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daryaguettler/globi-partners-data/data/partners/Korea/"/>
    </mc:Choice>
  </mc:AlternateContent>
  <xr:revisionPtr revIDLastSave="0" documentId="13_ncr:1_{32B2EB7B-05E0-044B-9880-83551B75F5F5}" xr6:coauthVersionLast="47" xr6:coauthVersionMax="47" xr10:uidLastSave="{00000000-0000-0000-0000-000000000000}"/>
  <bookViews>
    <workbookView xWindow="1520" yWindow="1040" windowWidth="26560" windowHeight="17640" firstSheet="9" activeTab="19" xr2:uid="{00000000-000D-0000-FFFF-FFFF00000000}"/>
  </bookViews>
  <sheets>
    <sheet name="Instructions" sheetId="1" r:id="rId1"/>
    <sheet name="Country_description" sheetId="2" r:id="rId2"/>
    <sheet name="Mapping&gt;&gt;" sheetId="3" state="hidden" r:id="rId3"/>
    <sheet name="component_options" sheetId="4" r:id="rId4"/>
    <sheet name="mapping" sheetId="5" state="hidden" r:id="rId5"/>
    <sheet name="generated_mapping" sheetId="6" state="hidden" r:id="rId6"/>
    <sheet name="Internal_gains" sheetId="7" state="hidden" r:id="rId7"/>
    <sheet name="Building_loads&gt;&gt;&gt;&gt;" sheetId="8" r:id="rId8"/>
    <sheet name="Occupancy" sheetId="9" r:id="rId9"/>
    <sheet name="Lighting" sheetId="10" r:id="rId10"/>
    <sheet name="Power" sheetId="11" r:id="rId11"/>
    <sheet name="Generated_schedule" sheetId="12" state="hidden" r:id="rId12"/>
    <sheet name="Schedule_viewer" sheetId="13" state="hidden" r:id="rId13"/>
    <sheet name="HVAC" sheetId="14" state="hidden" r:id="rId14"/>
    <sheet name="Setpoints" sheetId="15" r:id="rId15"/>
    <sheet name="Water_flow" sheetId="16" r:id="rId16"/>
    <sheet name="Space_use_assembly" sheetId="17" r:id="rId17"/>
    <sheet name="HVAC&gt;&gt;&gt;" sheetId="18" r:id="rId18"/>
    <sheet name="Conditioning_constructor" sheetId="19" r:id="rId19"/>
    <sheet name="Ventilation_constructor" sheetId="20" r:id="rId20"/>
    <sheet name="DHW" sheetId="21" state="hidden" r:id="rId21"/>
    <sheet name="DHW_Constructor" sheetId="22" r:id="rId22"/>
    <sheet name="Systems_assembly" sheetId="23" r:id="rId23"/>
    <sheet name="Building_construction&gt;&gt;&gt;&gt;" sheetId="24" r:id="rId24"/>
    <sheet name="Construction_generator" sheetId="25" state="hidden" r:id="rId25"/>
    <sheet name="Materials" sheetId="26" r:id="rId26"/>
    <sheet name="Construction_components" sheetId="27" r:id="rId27"/>
    <sheet name="Infiltration_components" sheetId="28" r:id="rId28"/>
    <sheet name="Construction_assembly" sheetId="29" r:id="rId29"/>
    <sheet name="Envelope_assembly" sheetId="30" r:id="rId30"/>
    <sheet name="Schedules_assembly (OPT)&gt;&gt;&gt;" sheetId="31" r:id="rId31"/>
    <sheet name="EPD_calculator" sheetId="32" state="hidden" r:id="rId32"/>
    <sheet name="Day_schedules" sheetId="33" r:id="rId33"/>
    <sheet name="Week_schedules" sheetId="34" r:id="rId34"/>
    <sheet name="Year_schedules" sheetId="35" r:id="rId35"/>
    <sheet name="Retrofit_options&gt;&gt;&gt;" sheetId="36" r:id="rId36"/>
    <sheet name="Sheet1" sheetId="37" r:id="rId37"/>
    <sheet name="Retrofit_determination (OPT)" sheetId="38" r:id="rId38"/>
    <sheet name="Retrofit_assembly (OPT)" sheetId="39" r:id="rId39"/>
    <sheet name="Support&gt;&gt;&gt;" sheetId="40" r:id="rId40"/>
    <sheet name="Units" sheetId="41" r:id="rId41"/>
    <sheet name="Window_choices" sheetId="42" r:id="rId42"/>
    <sheet name="Equipment_types" sheetId="43" state="hidden" r:id="rId43"/>
    <sheet name="Peak_load_calculator" sheetId="44" state="hidden" r:id="rId44"/>
    <sheet name="HVAC_options" sheetId="45" r:id="rId45"/>
    <sheet name="Wall_assembly_GH_generator" sheetId="46" r:id="rId46"/>
    <sheet name="Drop_downs" sheetId="47" r:id="rId47"/>
    <sheet name="Schedule_choices" sheetId="48" r:id="rId48"/>
    <sheet name="Constructions" sheetId="49" r:id="rId49"/>
    <sheet name="Sheet2" sheetId="50" r:id="rId50"/>
  </sheets>
  <definedNames>
    <definedName name="_xlnm._FilterDatabase" localSheetId="26" hidden="1">Construction_components!$A$2:$Y$942</definedName>
    <definedName name="_xlnm._FilterDatabase" localSheetId="29" hidden="1">Envelope_assembly!$A$2:$E$7562</definedName>
    <definedName name="_xlnm._FilterDatabase" localSheetId="27" hidden="1">Infiltration_components!$A$2:$E$114</definedName>
    <definedName name="_xlnm._FilterDatabase" localSheetId="25" hidden="1">Materials!$A$2:$M$292</definedName>
    <definedName name="_xlnm._FilterDatabase" localSheetId="19" hidden="1">Ventilation_constructor!$A$2:$K$33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4" roundtripDataChecksum="c1m9KMDgmczSFQBf5wv7oWpKcBrCIHdzEBFDCpcwQys="/>
    </ext>
  </extLst>
</workbook>
</file>

<file path=xl/calcChain.xml><?xml version="1.0" encoding="utf-8"?>
<calcChain xmlns="http://schemas.openxmlformats.org/spreadsheetml/2006/main">
  <c r="F944" i="27" l="1"/>
  <c r="F945" i="27"/>
  <c r="F946" i="27"/>
  <c r="F947" i="27"/>
  <c r="F948" i="27"/>
  <c r="F949" i="27"/>
  <c r="F950" i="27"/>
  <c r="F951" i="27"/>
  <c r="F952" i="27"/>
  <c r="F943" i="27"/>
  <c r="D388" i="27"/>
  <c r="D389" i="27"/>
  <c r="D390" i="27"/>
  <c r="D391" i="27"/>
  <c r="D392" i="27"/>
  <c r="D393" i="27"/>
  <c r="D394" i="27"/>
  <c r="D395" i="27"/>
  <c r="D396" i="27"/>
  <c r="D397" i="27"/>
  <c r="D398" i="27"/>
  <c r="D399" i="27"/>
  <c r="D400" i="27"/>
  <c r="D401" i="27"/>
  <c r="D402" i="27"/>
  <c r="D403" i="27"/>
  <c r="D404" i="27"/>
  <c r="D405" i="27"/>
  <c r="D406" i="27"/>
  <c r="E388" i="27"/>
  <c r="E389" i="27"/>
  <c r="E390" i="27"/>
  <c r="E391" i="27"/>
  <c r="E392" i="27"/>
  <c r="E393" i="27"/>
  <c r="E394" i="27"/>
  <c r="E395" i="27"/>
  <c r="E396" i="27"/>
  <c r="E397" i="27"/>
  <c r="E398" i="27"/>
  <c r="E399" i="27"/>
  <c r="E400" i="27"/>
  <c r="E401" i="27"/>
  <c r="E402" i="27"/>
  <c r="E403" i="27"/>
  <c r="E404" i="27"/>
  <c r="E405" i="27"/>
  <c r="E406" i="27"/>
  <c r="A429" i="27"/>
  <c r="A430" i="27"/>
  <c r="A431" i="27"/>
  <c r="F942" i="27" l="1"/>
  <c r="F941" i="27"/>
  <c r="F940" i="27"/>
  <c r="F939" i="27"/>
  <c r="F938" i="27"/>
  <c r="F937" i="27"/>
  <c r="F936" i="27"/>
  <c r="F935" i="27"/>
  <c r="F934" i="27"/>
  <c r="F933" i="27"/>
  <c r="F932" i="27"/>
  <c r="F931" i="27"/>
  <c r="F930" i="27"/>
  <c r="F929" i="27"/>
  <c r="F928" i="27"/>
  <c r="F927" i="27"/>
  <c r="F926" i="27"/>
  <c r="F925" i="27"/>
  <c r="F924" i="27"/>
  <c r="F923" i="27"/>
  <c r="F922" i="27"/>
  <c r="F921" i="27"/>
  <c r="F920" i="27"/>
  <c r="F919" i="27"/>
  <c r="F918" i="27"/>
  <c r="F917" i="27"/>
  <c r="F916" i="27"/>
  <c r="F915" i="27"/>
  <c r="F914" i="27"/>
  <c r="F913" i="27"/>
  <c r="F912" i="27"/>
  <c r="F911" i="27"/>
  <c r="F910" i="27"/>
  <c r="F909" i="27"/>
  <c r="F908" i="27"/>
  <c r="F907" i="27"/>
  <c r="F906" i="27"/>
  <c r="F905" i="27"/>
  <c r="F904" i="27"/>
  <c r="F903" i="27"/>
  <c r="F902" i="27"/>
  <c r="F901" i="27"/>
  <c r="F900" i="27"/>
  <c r="F899" i="27"/>
  <c r="F898" i="27"/>
  <c r="F897" i="27"/>
  <c r="F896" i="27"/>
  <c r="F895" i="27"/>
  <c r="F894" i="27"/>
  <c r="F893" i="27"/>
  <c r="F892" i="27"/>
  <c r="F891" i="27"/>
  <c r="F890" i="27"/>
  <c r="F889" i="27"/>
  <c r="F888" i="27"/>
  <c r="F887" i="27"/>
  <c r="F886" i="27"/>
  <c r="F885" i="27"/>
  <c r="F884" i="27"/>
  <c r="F883" i="27"/>
  <c r="F882" i="27"/>
  <c r="F881" i="27"/>
  <c r="F880" i="27"/>
  <c r="F879" i="27"/>
  <c r="F878" i="27"/>
  <c r="F877" i="27"/>
  <c r="F876" i="27"/>
  <c r="F875" i="27"/>
  <c r="F874" i="27"/>
  <c r="F873" i="27"/>
  <c r="F872" i="27"/>
  <c r="F871" i="27"/>
  <c r="F870" i="27"/>
  <c r="F869" i="27"/>
  <c r="F868" i="27"/>
  <c r="F867" i="27"/>
  <c r="F866" i="27"/>
  <c r="F865" i="27"/>
  <c r="F864" i="27"/>
  <c r="F863" i="27"/>
  <c r="G44" i="19" l="1"/>
  <c r="G43" i="19"/>
  <c r="E96" i="49"/>
  <c r="C96" i="49"/>
  <c r="B96" i="49"/>
  <c r="E95" i="49"/>
  <c r="C95" i="49"/>
  <c r="B95" i="49"/>
  <c r="E94" i="49"/>
  <c r="C94" i="49"/>
  <c r="B94" i="49"/>
  <c r="E93" i="49"/>
  <c r="C93" i="49"/>
  <c r="B93" i="49"/>
  <c r="E92" i="49"/>
  <c r="C92" i="49"/>
  <c r="B92" i="49"/>
  <c r="E91" i="49"/>
  <c r="C91" i="49"/>
  <c r="B91" i="49"/>
  <c r="E90" i="49"/>
  <c r="C90" i="49"/>
  <c r="B90" i="49"/>
  <c r="E89" i="49"/>
  <c r="C89" i="49"/>
  <c r="B89" i="49"/>
  <c r="E88" i="49"/>
  <c r="C88" i="49"/>
  <c r="B88" i="49"/>
  <c r="E87" i="49"/>
  <c r="C87" i="49"/>
  <c r="B87" i="49"/>
  <c r="E86" i="49"/>
  <c r="C86" i="49"/>
  <c r="B86" i="49"/>
  <c r="E85" i="49"/>
  <c r="C85" i="49"/>
  <c r="B85" i="49"/>
  <c r="E84" i="49"/>
  <c r="C84" i="49"/>
  <c r="B84" i="49"/>
  <c r="E83" i="49"/>
  <c r="C83" i="49"/>
  <c r="B83" i="49"/>
  <c r="E82" i="49"/>
  <c r="C82" i="49"/>
  <c r="B82" i="49"/>
  <c r="E81" i="49"/>
  <c r="C81" i="49"/>
  <c r="B81" i="49"/>
  <c r="E80" i="49"/>
  <c r="C80" i="49"/>
  <c r="B80" i="49"/>
  <c r="E79" i="49"/>
  <c r="C79" i="49"/>
  <c r="B79" i="49"/>
  <c r="E78" i="49"/>
  <c r="C78" i="49"/>
  <c r="B78" i="49"/>
  <c r="E77" i="49"/>
  <c r="C77" i="49"/>
  <c r="B77" i="49"/>
  <c r="E76" i="49"/>
  <c r="C76" i="49"/>
  <c r="B76" i="49"/>
  <c r="E75" i="49"/>
  <c r="C75" i="49"/>
  <c r="B75" i="49"/>
  <c r="E74" i="49"/>
  <c r="C74" i="49"/>
  <c r="B74" i="49"/>
  <c r="E73" i="49"/>
  <c r="C73" i="49"/>
  <c r="B73" i="49"/>
  <c r="E72" i="49"/>
  <c r="C72" i="49"/>
  <c r="B72" i="49"/>
  <c r="E71" i="49"/>
  <c r="C71" i="49"/>
  <c r="B71" i="49"/>
  <c r="E70" i="49"/>
  <c r="C70" i="49"/>
  <c r="B70" i="49"/>
  <c r="E69" i="49"/>
  <c r="C69" i="49"/>
  <c r="B69" i="49"/>
  <c r="E68" i="49"/>
  <c r="C68" i="49"/>
  <c r="B68" i="49"/>
  <c r="E67" i="49"/>
  <c r="C67" i="49"/>
  <c r="B67" i="49"/>
  <c r="E66" i="49"/>
  <c r="C66" i="49"/>
  <c r="B66" i="49"/>
  <c r="E65" i="49"/>
  <c r="C65" i="49"/>
  <c r="B65" i="49"/>
  <c r="E64" i="49"/>
  <c r="C64" i="49"/>
  <c r="B64" i="49"/>
  <c r="E63" i="49"/>
  <c r="C63" i="49"/>
  <c r="B63" i="49"/>
  <c r="E62" i="49"/>
  <c r="C62" i="49"/>
  <c r="B62" i="49"/>
  <c r="E61" i="49"/>
  <c r="C61" i="49"/>
  <c r="B61" i="49"/>
  <c r="E60" i="49"/>
  <c r="C60" i="49"/>
  <c r="B60" i="49"/>
  <c r="E59" i="49"/>
  <c r="C59" i="49"/>
  <c r="B59" i="49"/>
  <c r="E58" i="49"/>
  <c r="C58" i="49"/>
  <c r="B58" i="49"/>
  <c r="E57" i="49"/>
  <c r="C57" i="49"/>
  <c r="B57" i="49"/>
  <c r="E56" i="49"/>
  <c r="C56" i="49"/>
  <c r="B56" i="49"/>
  <c r="E55" i="49"/>
  <c r="C55" i="49"/>
  <c r="B55" i="49"/>
  <c r="E54" i="49"/>
  <c r="C54" i="49"/>
  <c r="B54" i="49"/>
  <c r="E53" i="49"/>
  <c r="C53" i="49"/>
  <c r="B53" i="49"/>
  <c r="E52" i="49"/>
  <c r="C52" i="49"/>
  <c r="B52" i="49"/>
  <c r="E51" i="49"/>
  <c r="C51" i="49"/>
  <c r="B51" i="49"/>
  <c r="E50" i="49"/>
  <c r="C50" i="49"/>
  <c r="B50" i="49"/>
  <c r="E49" i="49"/>
  <c r="C49" i="49"/>
  <c r="B49" i="49"/>
  <c r="E48" i="49"/>
  <c r="C48" i="49"/>
  <c r="B48" i="49"/>
  <c r="E47" i="49"/>
  <c r="C47" i="49"/>
  <c r="B47" i="49"/>
  <c r="E46" i="49"/>
  <c r="C46" i="49"/>
  <c r="B46" i="49"/>
  <c r="E45" i="49"/>
  <c r="C45" i="49"/>
  <c r="B45" i="49"/>
  <c r="E44" i="49"/>
  <c r="C44" i="49"/>
  <c r="B44" i="49"/>
  <c r="E43" i="49"/>
  <c r="C43" i="49"/>
  <c r="B43" i="49"/>
  <c r="E42" i="49"/>
  <c r="C42" i="49"/>
  <c r="B42" i="49"/>
  <c r="E41" i="49"/>
  <c r="C41" i="49"/>
  <c r="B41" i="49"/>
  <c r="E40" i="49"/>
  <c r="C40" i="49"/>
  <c r="B40" i="49"/>
  <c r="E39" i="49"/>
  <c r="C39" i="49"/>
  <c r="B39" i="49"/>
  <c r="E38" i="49"/>
  <c r="C38" i="49"/>
  <c r="B38" i="49"/>
  <c r="E37" i="49"/>
  <c r="C37" i="49"/>
  <c r="B37" i="49"/>
  <c r="E36" i="49"/>
  <c r="C36" i="49"/>
  <c r="B36" i="49"/>
  <c r="E35" i="49"/>
  <c r="C35" i="49"/>
  <c r="B35" i="49"/>
  <c r="E34" i="49"/>
  <c r="C34" i="49"/>
  <c r="B34" i="49"/>
  <c r="E33" i="49"/>
  <c r="C33" i="49"/>
  <c r="B33" i="49"/>
  <c r="E32" i="49"/>
  <c r="C32" i="49"/>
  <c r="B32" i="49"/>
  <c r="E31" i="49"/>
  <c r="C31" i="49"/>
  <c r="B31" i="49"/>
  <c r="E30" i="49"/>
  <c r="C30" i="49"/>
  <c r="B30" i="49"/>
  <c r="E29" i="49"/>
  <c r="C29" i="49"/>
  <c r="B29" i="49"/>
  <c r="E28" i="49"/>
  <c r="C28" i="49"/>
  <c r="B28" i="49"/>
  <c r="E27" i="49"/>
  <c r="C27" i="49"/>
  <c r="B27" i="49"/>
  <c r="E26" i="49"/>
  <c r="C26" i="49"/>
  <c r="B26" i="49"/>
  <c r="E25" i="49"/>
  <c r="C25" i="49"/>
  <c r="B25" i="49"/>
  <c r="E24" i="49"/>
  <c r="C24" i="49"/>
  <c r="B24" i="49"/>
  <c r="E23" i="49"/>
  <c r="C23" i="49"/>
  <c r="B23" i="49"/>
  <c r="E22" i="49"/>
  <c r="C22" i="49"/>
  <c r="B22" i="49"/>
  <c r="E21" i="49"/>
  <c r="C21" i="49"/>
  <c r="B21" i="49"/>
  <c r="H20" i="49"/>
  <c r="F20" i="49"/>
  <c r="E20" i="49"/>
  <c r="C20" i="49"/>
  <c r="B20" i="49"/>
  <c r="A20" i="49"/>
  <c r="H19" i="49"/>
  <c r="F19" i="49"/>
  <c r="E19" i="49"/>
  <c r="C19" i="49"/>
  <c r="B19" i="49"/>
  <c r="A19" i="49"/>
  <c r="I18" i="49"/>
  <c r="H18" i="49"/>
  <c r="G18" i="49"/>
  <c r="F18" i="49"/>
  <c r="E18" i="49"/>
  <c r="C18" i="49"/>
  <c r="B18" i="49"/>
  <c r="A18" i="49"/>
  <c r="I17" i="49"/>
  <c r="H17" i="49"/>
  <c r="G17" i="49"/>
  <c r="F17" i="49"/>
  <c r="E17" i="49"/>
  <c r="C17" i="49"/>
  <c r="B17" i="49"/>
  <c r="A17" i="49"/>
  <c r="I16" i="49"/>
  <c r="H16" i="49"/>
  <c r="G16" i="49"/>
  <c r="F16" i="49"/>
  <c r="E16" i="49"/>
  <c r="C16" i="49"/>
  <c r="B16" i="49"/>
  <c r="A16" i="49"/>
  <c r="I15" i="49"/>
  <c r="H15" i="49"/>
  <c r="G15" i="49"/>
  <c r="F15" i="49"/>
  <c r="E15" i="49"/>
  <c r="C15" i="49"/>
  <c r="B15" i="49"/>
  <c r="A15" i="49"/>
  <c r="I14" i="49"/>
  <c r="H14" i="49"/>
  <c r="G14" i="49"/>
  <c r="F14" i="49"/>
  <c r="E14" i="49"/>
  <c r="C14" i="49"/>
  <c r="B14" i="49"/>
  <c r="A14" i="49"/>
  <c r="I13" i="49"/>
  <c r="H13" i="49"/>
  <c r="G13" i="49"/>
  <c r="F13" i="49"/>
  <c r="E13" i="49"/>
  <c r="C13" i="49"/>
  <c r="B13" i="49"/>
  <c r="A13" i="49"/>
  <c r="I12" i="49"/>
  <c r="H12" i="49"/>
  <c r="G12" i="49"/>
  <c r="F12" i="49"/>
  <c r="E12" i="49"/>
  <c r="C12" i="49"/>
  <c r="B12" i="49"/>
  <c r="A12" i="49"/>
  <c r="I11" i="49"/>
  <c r="H11" i="49"/>
  <c r="G11" i="49"/>
  <c r="F11" i="49"/>
  <c r="E11" i="49"/>
  <c r="C11" i="49"/>
  <c r="B11" i="49"/>
  <c r="A11" i="49"/>
  <c r="I10" i="49"/>
  <c r="H10" i="49"/>
  <c r="G10" i="49"/>
  <c r="F10" i="49"/>
  <c r="E10" i="49"/>
  <c r="C10" i="49"/>
  <c r="B10" i="49"/>
  <c r="A10" i="49"/>
  <c r="I9" i="49"/>
  <c r="H9" i="49"/>
  <c r="G9" i="49"/>
  <c r="F9" i="49"/>
  <c r="E9" i="49"/>
  <c r="C9" i="49"/>
  <c r="B9" i="49"/>
  <c r="A9" i="49"/>
  <c r="I8" i="49"/>
  <c r="H8" i="49"/>
  <c r="G8" i="49"/>
  <c r="F8" i="49"/>
  <c r="E8" i="49"/>
  <c r="C8" i="49"/>
  <c r="B8" i="49"/>
  <c r="A8" i="49"/>
  <c r="L7" i="49" a="1"/>
  <c r="L7" i="49" s="1"/>
  <c r="I7" i="49"/>
  <c r="H7" i="49"/>
  <c r="G7" i="49"/>
  <c r="F7" i="49"/>
  <c r="E7" i="49"/>
  <c r="C7" i="49"/>
  <c r="B7" i="49"/>
  <c r="A7" i="49"/>
  <c r="J6" i="49"/>
  <c r="I6" i="49"/>
  <c r="H6" i="49"/>
  <c r="G6" i="49"/>
  <c r="F6" i="49"/>
  <c r="E6" i="49"/>
  <c r="C6" i="49"/>
  <c r="B6" i="49"/>
  <c r="A6" i="49"/>
  <c r="J5" i="49"/>
  <c r="I5" i="49"/>
  <c r="H5" i="49"/>
  <c r="G5" i="49"/>
  <c r="F5" i="49"/>
  <c r="E5" i="49"/>
  <c r="C5" i="49"/>
  <c r="B5" i="49"/>
  <c r="A5" i="49"/>
  <c r="J4" i="49"/>
  <c r="I4" i="49"/>
  <c r="H4" i="49"/>
  <c r="G4" i="49"/>
  <c r="F4" i="49"/>
  <c r="E4" i="49"/>
  <c r="D4" i="49"/>
  <c r="C4" i="49"/>
  <c r="B4" i="49"/>
  <c r="A4" i="49"/>
  <c r="J3" i="49"/>
  <c r="I3" i="49"/>
  <c r="H3" i="49"/>
  <c r="G3" i="49"/>
  <c r="F3" i="49"/>
  <c r="E3" i="49"/>
  <c r="D3" i="49"/>
  <c r="C3" i="49"/>
  <c r="B3" i="49"/>
  <c r="A3" i="49"/>
  <c r="K2" i="49"/>
  <c r="J2" i="49"/>
  <c r="I2" i="49"/>
  <c r="H2" i="49"/>
  <c r="G2" i="49"/>
  <c r="F2" i="49"/>
  <c r="E2" i="49"/>
  <c r="D2" i="49"/>
  <c r="C2" i="49"/>
  <c r="B2" i="49"/>
  <c r="A2" i="49"/>
  <c r="E3" i="48" a="1"/>
  <c r="E3" i="48" s="1"/>
  <c r="D2" i="48" a="1"/>
  <c r="D2" i="48" s="1"/>
  <c r="C2" i="48" a="1"/>
  <c r="C2" i="48" s="1"/>
  <c r="B2" i="48" a="1"/>
  <c r="B2" i="48" s="1"/>
  <c r="D50" i="38" a="1"/>
  <c r="D50" i="38" s="1"/>
  <c r="D49" i="38" a="1"/>
  <c r="D49" i="38" s="1"/>
  <c r="D48" i="38" a="1"/>
  <c r="D48" i="38" s="1"/>
  <c r="D47" i="38" a="1"/>
  <c r="D47" i="38" s="1"/>
  <c r="D46" i="38" a="1"/>
  <c r="D46" i="38" s="1"/>
  <c r="D45" i="38" a="1"/>
  <c r="D45" i="38" s="1"/>
  <c r="D44" i="38" a="1"/>
  <c r="D44" i="38" s="1"/>
  <c r="D43" i="38" a="1"/>
  <c r="D43" i="38" s="1"/>
  <c r="D42" i="38" a="1"/>
  <c r="D42" i="38" s="1"/>
  <c r="D41" i="38" a="1"/>
  <c r="D41" i="38" s="1"/>
  <c r="D40" i="38" a="1"/>
  <c r="D40" i="38" s="1"/>
  <c r="D39" i="38" a="1"/>
  <c r="D39" i="38" s="1"/>
  <c r="D38" i="38" a="1"/>
  <c r="D38" i="38" s="1"/>
  <c r="G37" i="38" a="1"/>
  <c r="G37" i="38" s="1"/>
  <c r="D37" i="38" a="1"/>
  <c r="D37" i="38" s="1"/>
  <c r="G36" i="38" a="1"/>
  <c r="G36" i="38" s="1"/>
  <c r="D36" i="38" a="1"/>
  <c r="D36" i="38" s="1"/>
  <c r="G35" i="38" a="1"/>
  <c r="G35" i="38" s="1"/>
  <c r="D35" i="38" a="1"/>
  <c r="D35" i="38" s="1"/>
  <c r="G34" i="38" a="1"/>
  <c r="G34" i="38" s="1"/>
  <c r="D34" i="38" a="1"/>
  <c r="D34" i="38" s="1"/>
  <c r="G33" i="38" a="1"/>
  <c r="G33" i="38" s="1"/>
  <c r="D33" i="38" a="1"/>
  <c r="D33" i="38" s="1"/>
  <c r="G32" i="38" a="1"/>
  <c r="G32" i="38" s="1"/>
  <c r="D32" i="38" a="1"/>
  <c r="D32" i="38" s="1"/>
  <c r="G31" i="38" a="1"/>
  <c r="G31" i="38" s="1"/>
  <c r="D31" i="38" a="1"/>
  <c r="D31" i="38" s="1"/>
  <c r="G30" i="38" a="1"/>
  <c r="G30" i="38" s="1"/>
  <c r="D30" i="38" a="1"/>
  <c r="D30" i="38" s="1"/>
  <c r="G29" i="38" a="1"/>
  <c r="G29" i="38" s="1"/>
  <c r="D29" i="38" a="1"/>
  <c r="D29" i="38" s="1"/>
  <c r="G28" i="38" a="1"/>
  <c r="G28" i="38" s="1"/>
  <c r="D28" i="38" a="1"/>
  <c r="D28" i="38" s="1"/>
  <c r="G16" i="38" a="1"/>
  <c r="G16" i="38" s="1"/>
  <c r="D16" i="38" a="1"/>
  <c r="D16" i="38" s="1"/>
  <c r="G13" i="38" a="1"/>
  <c r="G13" i="38" s="1"/>
  <c r="D13" i="38" a="1"/>
  <c r="D13" i="38" s="1"/>
  <c r="G12" i="38" a="1"/>
  <c r="G12" i="38" s="1"/>
  <c r="G11" i="38" a="1"/>
  <c r="G11" i="38" s="1"/>
  <c r="D11" i="38" a="1"/>
  <c r="D11" i="38" s="1"/>
  <c r="G10" i="38" a="1"/>
  <c r="G10" i="38" s="1"/>
  <c r="G9" i="38" a="1"/>
  <c r="G9" i="38" s="1"/>
  <c r="G8" i="38" a="1"/>
  <c r="G8" i="38" s="1"/>
  <c r="D8" i="38" a="1"/>
  <c r="D8" i="38" s="1"/>
  <c r="G7" i="38" a="1"/>
  <c r="G7" i="38" s="1"/>
  <c r="D7" i="38" a="1"/>
  <c r="D7" i="38" s="1"/>
  <c r="G6" i="38" a="1"/>
  <c r="G6" i="38" s="1"/>
  <c r="D6" i="38" a="1"/>
  <c r="D6" i="38" s="1"/>
  <c r="G5" i="38" a="1"/>
  <c r="G5" i="38" s="1"/>
  <c r="D5" i="38" a="1"/>
  <c r="D5" i="38" s="1"/>
  <c r="G4" i="38" a="1"/>
  <c r="G4" i="38" s="1"/>
  <c r="D4" i="38" a="1"/>
  <c r="D4" i="38" s="1"/>
  <c r="G3" i="38" a="1"/>
  <c r="G3" i="38" s="1"/>
  <c r="D3" i="38" a="1"/>
  <c r="D3" i="38" s="1"/>
  <c r="E7" i="32"/>
  <c r="D7" i="32"/>
  <c r="E6" i="32"/>
  <c r="D6" i="32"/>
  <c r="E5" i="32"/>
  <c r="D5" i="32"/>
  <c r="D4" i="32"/>
  <c r="E4" i="32" s="1"/>
  <c r="E3" i="32"/>
  <c r="AB387" i="27" a="1"/>
  <c r="AB387" i="27" s="1"/>
  <c r="E387" i="27" s="1"/>
  <c r="AA387" i="27"/>
  <c r="D387" i="27" s="1"/>
  <c r="V387" i="27"/>
  <c r="AB385" i="27" a="1"/>
  <c r="AB385" i="27" s="1"/>
  <c r="E385" i="27" s="1"/>
  <c r="AA385" i="27"/>
  <c r="D385" i="27" s="1"/>
  <c r="V385" i="27"/>
  <c r="AB384" i="27" a="1"/>
  <c r="AB384" i="27" s="1"/>
  <c r="E384" i="27" s="1"/>
  <c r="AA384" i="27"/>
  <c r="D384" i="27" s="1"/>
  <c r="V384" i="27"/>
  <c r="AB383" i="27" a="1"/>
  <c r="AB383" i="27" s="1"/>
  <c r="E383" i="27" s="1"/>
  <c r="AA383" i="27"/>
  <c r="D383" i="27" s="1"/>
  <c r="V383" i="27"/>
  <c r="AB382" i="27" a="1"/>
  <c r="AB382" i="27" s="1"/>
  <c r="E382" i="27" s="1"/>
  <c r="AA382" i="27"/>
  <c r="D382" i="27" s="1"/>
  <c r="V382" i="27"/>
  <c r="AB381" i="27" a="1"/>
  <c r="AB381" i="27" s="1"/>
  <c r="E381" i="27" s="1"/>
  <c r="AA381" i="27"/>
  <c r="D381" i="27" s="1"/>
  <c r="V381" i="27"/>
  <c r="AB380" i="27" a="1"/>
  <c r="AB380" i="27" s="1"/>
  <c r="E380" i="27" s="1"/>
  <c r="AA380" i="27"/>
  <c r="D380" i="27" s="1"/>
  <c r="V380" i="27"/>
  <c r="AB379" i="27" a="1"/>
  <c r="AB379" i="27" s="1"/>
  <c r="E379" i="27" s="1"/>
  <c r="AA379" i="27"/>
  <c r="D379" i="27" s="1"/>
  <c r="V379" i="27"/>
  <c r="AB378" i="27" a="1"/>
  <c r="AB378" i="27" s="1"/>
  <c r="E378" i="27" s="1"/>
  <c r="AA378" i="27"/>
  <c r="D378" i="27" s="1"/>
  <c r="V378" i="27"/>
  <c r="AB377" i="27" a="1"/>
  <c r="AB377" i="27" s="1"/>
  <c r="E377" i="27" s="1"/>
  <c r="AA377" i="27"/>
  <c r="D377" i="27" s="1"/>
  <c r="V377" i="27"/>
  <c r="AB376" i="27" a="1"/>
  <c r="AB376" i="27" s="1"/>
  <c r="E376" i="27" s="1"/>
  <c r="AA376" i="27"/>
  <c r="D376" i="27" s="1"/>
  <c r="V376" i="27"/>
  <c r="AB375" i="27" a="1"/>
  <c r="AB375" i="27" s="1"/>
  <c r="E375" i="27" s="1"/>
  <c r="AA375" i="27"/>
  <c r="D375" i="27" s="1"/>
  <c r="V375" i="27"/>
  <c r="AB374" i="27" a="1"/>
  <c r="AB374" i="27" s="1"/>
  <c r="E374" i="27" s="1"/>
  <c r="AA374" i="27"/>
  <c r="D374" i="27" s="1"/>
  <c r="V374" i="27"/>
  <c r="AB373" i="27" a="1"/>
  <c r="AB373" i="27" s="1"/>
  <c r="E373" i="27" s="1"/>
  <c r="AA373" i="27"/>
  <c r="D373" i="27" s="1"/>
  <c r="V373" i="27"/>
  <c r="AB372" i="27" a="1"/>
  <c r="AB372" i="27" s="1"/>
  <c r="E372" i="27" s="1"/>
  <c r="AA372" i="27"/>
  <c r="D372" i="27" s="1"/>
  <c r="V372" i="27"/>
  <c r="AB371" i="27" a="1"/>
  <c r="AB371" i="27" s="1"/>
  <c r="E371" i="27" s="1"/>
  <c r="AA371" i="27"/>
  <c r="D371" i="27" s="1"/>
  <c r="V371" i="27"/>
  <c r="AB370" i="27" a="1"/>
  <c r="AB370" i="27" s="1"/>
  <c r="E370" i="27" s="1"/>
  <c r="AA370" i="27"/>
  <c r="D370" i="27" s="1"/>
  <c r="V370" i="27"/>
  <c r="AB369" i="27" a="1"/>
  <c r="AB369" i="27" s="1"/>
  <c r="E369" i="27" s="1"/>
  <c r="AA369" i="27"/>
  <c r="D369" i="27" s="1"/>
  <c r="V369" i="27"/>
  <c r="AB368" i="27" a="1"/>
  <c r="AB368" i="27" s="1"/>
  <c r="E368" i="27" s="1"/>
  <c r="AA368" i="27"/>
  <c r="D368" i="27" s="1"/>
  <c r="V368" i="27"/>
  <c r="AB367" i="27" a="1"/>
  <c r="AB367" i="27" s="1"/>
  <c r="E367" i="27" s="1"/>
  <c r="AA367" i="27"/>
  <c r="D367" i="27" s="1"/>
  <c r="V367" i="27"/>
  <c r="AB365" i="27" a="1"/>
  <c r="AB365" i="27" s="1"/>
  <c r="E365" i="27" s="1"/>
  <c r="AA365" i="27"/>
  <c r="D365" i="27" s="1"/>
  <c r="V365" i="27"/>
  <c r="AB364" i="27" a="1"/>
  <c r="AB364" i="27" s="1"/>
  <c r="E364" i="27" s="1"/>
  <c r="AA364" i="27"/>
  <c r="D364" i="27" s="1"/>
  <c r="V364" i="27"/>
  <c r="AB363" i="27" a="1"/>
  <c r="AB363" i="27" s="1"/>
  <c r="E363" i="27" s="1"/>
  <c r="AA363" i="27"/>
  <c r="D363" i="27" s="1"/>
  <c r="V363" i="27"/>
  <c r="AB362" i="27" a="1"/>
  <c r="AB362" i="27" s="1"/>
  <c r="E362" i="27" s="1"/>
  <c r="AA362" i="27"/>
  <c r="D362" i="27" s="1"/>
  <c r="V362" i="27"/>
  <c r="AB361" i="27" a="1"/>
  <c r="AB361" i="27" s="1"/>
  <c r="E361" i="27" s="1"/>
  <c r="AA361" i="27"/>
  <c r="D361" i="27" s="1"/>
  <c r="V361" i="27"/>
  <c r="AB360" i="27" a="1"/>
  <c r="AB360" i="27" s="1"/>
  <c r="E360" i="27" s="1"/>
  <c r="AA360" i="27"/>
  <c r="D360" i="27" s="1"/>
  <c r="V360" i="27"/>
  <c r="AB359" i="27" a="1"/>
  <c r="AB359" i="27" s="1"/>
  <c r="E359" i="27" s="1"/>
  <c r="AA359" i="27"/>
  <c r="D359" i="27" s="1"/>
  <c r="V359" i="27"/>
  <c r="AB358" i="27" a="1"/>
  <c r="AB358" i="27" s="1"/>
  <c r="E358" i="27" s="1"/>
  <c r="AA358" i="27"/>
  <c r="D358" i="27" s="1"/>
  <c r="V358" i="27"/>
  <c r="AB357" i="27" a="1"/>
  <c r="AB357" i="27" s="1"/>
  <c r="E357" i="27" s="1"/>
  <c r="AA357" i="27"/>
  <c r="D357" i="27" s="1"/>
  <c r="V357" i="27"/>
  <c r="AB356" i="27" a="1"/>
  <c r="AB356" i="27" s="1"/>
  <c r="E356" i="27" s="1"/>
  <c r="AA356" i="27"/>
  <c r="D356" i="27" s="1"/>
  <c r="V356" i="27"/>
  <c r="AB355" i="27" a="1"/>
  <c r="AB355" i="27" s="1"/>
  <c r="E355" i="27" s="1"/>
  <c r="AA355" i="27"/>
  <c r="D355" i="27" s="1"/>
  <c r="V355" i="27"/>
  <c r="AB354" i="27" a="1"/>
  <c r="AB354" i="27" s="1"/>
  <c r="E354" i="27" s="1"/>
  <c r="AA354" i="27"/>
  <c r="D354" i="27" s="1"/>
  <c r="V354" i="27"/>
  <c r="AB353" i="27" a="1"/>
  <c r="AB353" i="27" s="1"/>
  <c r="E353" i="27" s="1"/>
  <c r="AA353" i="27"/>
  <c r="D353" i="27" s="1"/>
  <c r="V353" i="27"/>
  <c r="AB352" i="27" a="1"/>
  <c r="AB352" i="27" s="1"/>
  <c r="E352" i="27" s="1"/>
  <c r="AA352" i="27"/>
  <c r="D352" i="27" s="1"/>
  <c r="V352" i="27"/>
  <c r="AB351" i="27" a="1"/>
  <c r="AB351" i="27" s="1"/>
  <c r="E351" i="27" s="1"/>
  <c r="AA351" i="27"/>
  <c r="D351" i="27" s="1"/>
  <c r="V351" i="27"/>
  <c r="AB350" i="27" a="1"/>
  <c r="AB350" i="27" s="1"/>
  <c r="E350" i="27" s="1"/>
  <c r="AA350" i="27"/>
  <c r="D350" i="27" s="1"/>
  <c r="V350" i="27"/>
  <c r="AB349" i="27" a="1"/>
  <c r="AB349" i="27" s="1"/>
  <c r="E349" i="27" s="1"/>
  <c r="AA349" i="27"/>
  <c r="D349" i="27" s="1"/>
  <c r="V349" i="27"/>
  <c r="AB348" i="27" a="1"/>
  <c r="AB348" i="27" s="1"/>
  <c r="E348" i="27" s="1"/>
  <c r="AA348" i="27"/>
  <c r="D348" i="27" s="1"/>
  <c r="V348" i="27"/>
  <c r="AB347" i="27" a="1"/>
  <c r="AB347" i="27" s="1"/>
  <c r="E347" i="27" s="1"/>
  <c r="AA347" i="27"/>
  <c r="D347" i="27" s="1"/>
  <c r="V347" i="27"/>
  <c r="AB345" i="27" a="1"/>
  <c r="AB345" i="27" s="1"/>
  <c r="E345" i="27" s="1"/>
  <c r="AA345" i="27"/>
  <c r="D345" i="27" s="1"/>
  <c r="V345" i="27"/>
  <c r="AB344" i="27" a="1"/>
  <c r="AB344" i="27" s="1"/>
  <c r="E344" i="27" s="1"/>
  <c r="AA344" i="27"/>
  <c r="D344" i="27" s="1"/>
  <c r="V344" i="27"/>
  <c r="AB343" i="27" a="1"/>
  <c r="AB343" i="27" s="1"/>
  <c r="E343" i="27" s="1"/>
  <c r="AA343" i="27"/>
  <c r="D343" i="27" s="1"/>
  <c r="V343" i="27"/>
  <c r="AB342" i="27" a="1"/>
  <c r="AB342" i="27" s="1"/>
  <c r="E342" i="27" s="1"/>
  <c r="AA342" i="27"/>
  <c r="D342" i="27" s="1"/>
  <c r="V342" i="27"/>
  <c r="AB341" i="27" a="1"/>
  <c r="AB341" i="27" s="1"/>
  <c r="E341" i="27" s="1"/>
  <c r="AA341" i="27"/>
  <c r="D341" i="27" s="1"/>
  <c r="V341" i="27"/>
  <c r="AB340" i="27" a="1"/>
  <c r="AB340" i="27" s="1"/>
  <c r="E340" i="27" s="1"/>
  <c r="AA340" i="27"/>
  <c r="D340" i="27" s="1"/>
  <c r="V340" i="27"/>
  <c r="AB339" i="27" a="1"/>
  <c r="AB339" i="27" s="1"/>
  <c r="E339" i="27" s="1"/>
  <c r="AA339" i="27"/>
  <c r="D339" i="27" s="1"/>
  <c r="V339" i="27"/>
  <c r="AB338" i="27" a="1"/>
  <c r="AB338" i="27" s="1"/>
  <c r="E338" i="27" s="1"/>
  <c r="AA338" i="27"/>
  <c r="D338" i="27" s="1"/>
  <c r="V338" i="27"/>
  <c r="AB337" i="27" a="1"/>
  <c r="AB337" i="27" s="1"/>
  <c r="E337" i="27" s="1"/>
  <c r="AA337" i="27"/>
  <c r="D337" i="27" s="1"/>
  <c r="V337" i="27"/>
  <c r="AB336" i="27" a="1"/>
  <c r="AB336" i="27" s="1"/>
  <c r="E336" i="27" s="1"/>
  <c r="AA336" i="27"/>
  <c r="D336" i="27" s="1"/>
  <c r="V336" i="27"/>
  <c r="AB335" i="27" a="1"/>
  <c r="AB335" i="27" s="1"/>
  <c r="E335" i="27" s="1"/>
  <c r="AA335" i="27"/>
  <c r="D335" i="27" s="1"/>
  <c r="V335" i="27"/>
  <c r="AB334" i="27" a="1"/>
  <c r="AB334" i="27" s="1"/>
  <c r="E334" i="27" s="1"/>
  <c r="AA334" i="27"/>
  <c r="D334" i="27" s="1"/>
  <c r="V334" i="27"/>
  <c r="AB333" i="27" a="1"/>
  <c r="AB333" i="27" s="1"/>
  <c r="E333" i="27" s="1"/>
  <c r="AA333" i="27"/>
  <c r="D333" i="27" s="1"/>
  <c r="V333" i="27"/>
  <c r="AB332" i="27" a="1"/>
  <c r="AB332" i="27" s="1"/>
  <c r="E332" i="27" s="1"/>
  <c r="AA332" i="27"/>
  <c r="D332" i="27" s="1"/>
  <c r="V332" i="27"/>
  <c r="AB331" i="27" a="1"/>
  <c r="AB331" i="27" s="1"/>
  <c r="E331" i="27" s="1"/>
  <c r="AA331" i="27"/>
  <c r="D331" i="27" s="1"/>
  <c r="V331" i="27"/>
  <c r="AB330" i="27" a="1"/>
  <c r="AB330" i="27" s="1"/>
  <c r="E330" i="27" s="1"/>
  <c r="AA330" i="27"/>
  <c r="D330" i="27" s="1"/>
  <c r="V330" i="27"/>
  <c r="AB329" i="27" a="1"/>
  <c r="AB329" i="27" s="1"/>
  <c r="E329" i="27" s="1"/>
  <c r="AA329" i="27"/>
  <c r="D329" i="27" s="1"/>
  <c r="V329" i="27"/>
  <c r="AB328" i="27" a="1"/>
  <c r="AB328" i="27" s="1"/>
  <c r="E328" i="27" s="1"/>
  <c r="AA328" i="27"/>
  <c r="D328" i="27" s="1"/>
  <c r="V328" i="27"/>
  <c r="AB326" i="27" a="1"/>
  <c r="AB326" i="27" s="1"/>
  <c r="E326" i="27" s="1"/>
  <c r="AA326" i="27"/>
  <c r="D326" i="27" s="1"/>
  <c r="V326" i="27"/>
  <c r="AB325" i="27" a="1"/>
  <c r="AB325" i="27" s="1"/>
  <c r="E325" i="27" s="1"/>
  <c r="AA325" i="27"/>
  <c r="D325" i="27" s="1"/>
  <c r="V325" i="27"/>
  <c r="AB324" i="27" a="1"/>
  <c r="AB324" i="27" s="1"/>
  <c r="E324" i="27" s="1"/>
  <c r="AA324" i="27"/>
  <c r="D324" i="27" s="1"/>
  <c r="V324" i="27"/>
  <c r="AB323" i="27" a="1"/>
  <c r="AB323" i="27" s="1"/>
  <c r="E323" i="27" s="1"/>
  <c r="AA323" i="27"/>
  <c r="D323" i="27" s="1"/>
  <c r="V323" i="27"/>
  <c r="AB322" i="27" a="1"/>
  <c r="AB322" i="27" s="1"/>
  <c r="E322" i="27" s="1"/>
  <c r="AA322" i="27"/>
  <c r="D322" i="27" s="1"/>
  <c r="V322" i="27"/>
  <c r="AB321" i="27" a="1"/>
  <c r="AB321" i="27" s="1"/>
  <c r="E321" i="27" s="1"/>
  <c r="AA321" i="27"/>
  <c r="D321" i="27" s="1"/>
  <c r="V321" i="27"/>
  <c r="AB320" i="27" a="1"/>
  <c r="AB320" i="27" s="1"/>
  <c r="E320" i="27" s="1"/>
  <c r="AA320" i="27"/>
  <c r="D320" i="27" s="1"/>
  <c r="V320" i="27"/>
  <c r="AB319" i="27" a="1"/>
  <c r="AB319" i="27" s="1"/>
  <c r="E319" i="27" s="1"/>
  <c r="AA319" i="27"/>
  <c r="D319" i="27" s="1"/>
  <c r="V319" i="27"/>
  <c r="AB318" i="27" a="1"/>
  <c r="AB318" i="27" s="1"/>
  <c r="E318" i="27" s="1"/>
  <c r="AA318" i="27"/>
  <c r="D318" i="27" s="1"/>
  <c r="V318" i="27"/>
  <c r="AB317" i="27" a="1"/>
  <c r="AB317" i="27" s="1"/>
  <c r="E317" i="27" s="1"/>
  <c r="AA317" i="27"/>
  <c r="D317" i="27" s="1"/>
  <c r="V317" i="27"/>
  <c r="AB316" i="27" a="1"/>
  <c r="AB316" i="27" s="1"/>
  <c r="E316" i="27" s="1"/>
  <c r="AA316" i="27"/>
  <c r="D316" i="27" s="1"/>
  <c r="V316" i="27"/>
  <c r="AB315" i="27" a="1"/>
  <c r="AB315" i="27" s="1"/>
  <c r="E315" i="27" s="1"/>
  <c r="AA315" i="27"/>
  <c r="D315" i="27" s="1"/>
  <c r="V315" i="27"/>
  <c r="AB314" i="27" a="1"/>
  <c r="AB314" i="27" s="1"/>
  <c r="E314" i="27" s="1"/>
  <c r="AA314" i="27"/>
  <c r="D314" i="27" s="1"/>
  <c r="V314" i="27"/>
  <c r="AB313" i="27" a="1"/>
  <c r="AB313" i="27" s="1"/>
  <c r="E313" i="27" s="1"/>
  <c r="AA313" i="27"/>
  <c r="D313" i="27" s="1"/>
  <c r="V313" i="27"/>
  <c r="AB312" i="27" a="1"/>
  <c r="AB312" i="27" s="1"/>
  <c r="E312" i="27" s="1"/>
  <c r="AA312" i="27"/>
  <c r="D312" i="27" s="1"/>
  <c r="V312" i="27"/>
  <c r="AB311" i="27" a="1"/>
  <c r="AB311" i="27" s="1"/>
  <c r="E311" i="27" s="1"/>
  <c r="AA311" i="27"/>
  <c r="D311" i="27" s="1"/>
  <c r="V311" i="27"/>
  <c r="AB310" i="27" a="1"/>
  <c r="AB310" i="27" s="1"/>
  <c r="E310" i="27" s="1"/>
  <c r="AA310" i="27"/>
  <c r="D310" i="27" s="1"/>
  <c r="V310" i="27"/>
  <c r="AB308" i="27" a="1"/>
  <c r="AB308" i="27" s="1"/>
  <c r="E308" i="27" s="1"/>
  <c r="AA308" i="27"/>
  <c r="D308" i="27" s="1"/>
  <c r="V308" i="27"/>
  <c r="AB307" i="27" a="1"/>
  <c r="AB307" i="27" s="1"/>
  <c r="E307" i="27" s="1"/>
  <c r="AA307" i="27"/>
  <c r="D307" i="27" s="1"/>
  <c r="V307" i="27"/>
  <c r="AB306" i="27" a="1"/>
  <c r="AB306" i="27" s="1"/>
  <c r="E306" i="27" s="1"/>
  <c r="AA306" i="27"/>
  <c r="D306" i="27" s="1"/>
  <c r="V306" i="27"/>
  <c r="AB305" i="27" a="1"/>
  <c r="AB305" i="27" s="1"/>
  <c r="E305" i="27" s="1"/>
  <c r="AA305" i="27"/>
  <c r="D305" i="27" s="1"/>
  <c r="V305" i="27"/>
  <c r="AB304" i="27" a="1"/>
  <c r="AB304" i="27" s="1"/>
  <c r="E304" i="27" s="1"/>
  <c r="AA304" i="27"/>
  <c r="D304" i="27" s="1"/>
  <c r="V304" i="27"/>
  <c r="AB303" i="27" a="1"/>
  <c r="AB303" i="27" s="1"/>
  <c r="E303" i="27" s="1"/>
  <c r="AA303" i="27"/>
  <c r="D303" i="27" s="1"/>
  <c r="V303" i="27"/>
  <c r="AB302" i="27" a="1"/>
  <c r="AB302" i="27" s="1"/>
  <c r="E302" i="27" s="1"/>
  <c r="AA302" i="27"/>
  <c r="D302" i="27" s="1"/>
  <c r="V302" i="27"/>
  <c r="AB301" i="27" a="1"/>
  <c r="AB301" i="27" s="1"/>
  <c r="E301" i="27" s="1"/>
  <c r="AA301" i="27"/>
  <c r="D301" i="27" s="1"/>
  <c r="V301" i="27"/>
  <c r="AB300" i="27" a="1"/>
  <c r="AB300" i="27" s="1"/>
  <c r="E300" i="27" s="1"/>
  <c r="AA300" i="27"/>
  <c r="D300" i="27" s="1"/>
  <c r="V300" i="27"/>
  <c r="AB299" i="27" a="1"/>
  <c r="AB299" i="27" s="1"/>
  <c r="E299" i="27" s="1"/>
  <c r="AA299" i="27"/>
  <c r="D299" i="27" s="1"/>
  <c r="V299" i="27"/>
  <c r="AB298" i="27" a="1"/>
  <c r="AB298" i="27" s="1"/>
  <c r="E298" i="27" s="1"/>
  <c r="AA298" i="27"/>
  <c r="D298" i="27" s="1"/>
  <c r="V298" i="27"/>
  <c r="AB297" i="27" a="1"/>
  <c r="AB297" i="27" s="1"/>
  <c r="E297" i="27" s="1"/>
  <c r="AA297" i="27"/>
  <c r="D297" i="27" s="1"/>
  <c r="V297" i="27"/>
  <c r="AB296" i="27" a="1"/>
  <c r="AB296" i="27" s="1"/>
  <c r="E296" i="27" s="1"/>
  <c r="AA296" i="27"/>
  <c r="D296" i="27" s="1"/>
  <c r="V296" i="27"/>
  <c r="AB295" i="27" a="1"/>
  <c r="AB295" i="27" s="1"/>
  <c r="E295" i="27" s="1"/>
  <c r="AA295" i="27"/>
  <c r="D295" i="27" s="1"/>
  <c r="V295" i="27"/>
  <c r="AB294" i="27" a="1"/>
  <c r="AB294" i="27" s="1"/>
  <c r="E294" i="27" s="1"/>
  <c r="AA294" i="27"/>
  <c r="D294" i="27" s="1"/>
  <c r="V294" i="27"/>
  <c r="AB293" i="27" a="1"/>
  <c r="AB293" i="27" s="1"/>
  <c r="E293" i="27" s="1"/>
  <c r="AA293" i="27"/>
  <c r="D293" i="27" s="1"/>
  <c r="V293" i="27"/>
  <c r="AB292" i="27" a="1"/>
  <c r="AB292" i="27" s="1"/>
  <c r="E292" i="27" s="1"/>
  <c r="AA292" i="27"/>
  <c r="D292" i="27" s="1"/>
  <c r="V292" i="27"/>
  <c r="AB291" i="27" a="1"/>
  <c r="AB291" i="27" s="1"/>
  <c r="E291" i="27" s="1"/>
  <c r="AA291" i="27"/>
  <c r="D291" i="27" s="1"/>
  <c r="V291" i="27"/>
  <c r="AB289" i="27" a="1"/>
  <c r="AB289" i="27" s="1"/>
  <c r="E289" i="27" s="1"/>
  <c r="AA289" i="27"/>
  <c r="D289" i="27" s="1"/>
  <c r="V289" i="27"/>
  <c r="AB288" i="27" a="1"/>
  <c r="AB288" i="27" s="1"/>
  <c r="E288" i="27" s="1"/>
  <c r="AA288" i="27"/>
  <c r="D288" i="27" s="1"/>
  <c r="V288" i="27"/>
  <c r="AB287" i="27" a="1"/>
  <c r="AB287" i="27" s="1"/>
  <c r="E287" i="27" s="1"/>
  <c r="AA287" i="27"/>
  <c r="D287" i="27" s="1"/>
  <c r="V287" i="27"/>
  <c r="AB286" i="27" a="1"/>
  <c r="AB286" i="27" s="1"/>
  <c r="E286" i="27" s="1"/>
  <c r="AA286" i="27"/>
  <c r="D286" i="27" s="1"/>
  <c r="V286" i="27"/>
  <c r="AB285" i="27" a="1"/>
  <c r="AB285" i="27" s="1"/>
  <c r="E285" i="27" s="1"/>
  <c r="AA285" i="27"/>
  <c r="D285" i="27" s="1"/>
  <c r="V285" i="27"/>
  <c r="AB284" i="27" a="1"/>
  <c r="AB284" i="27" s="1"/>
  <c r="E284" i="27" s="1"/>
  <c r="AA284" i="27"/>
  <c r="D284" i="27" s="1"/>
  <c r="V284" i="27"/>
  <c r="AB283" i="27" a="1"/>
  <c r="AB283" i="27" s="1"/>
  <c r="E283" i="27" s="1"/>
  <c r="AA283" i="27"/>
  <c r="D283" i="27" s="1"/>
  <c r="V283" i="27"/>
  <c r="AB282" i="27" a="1"/>
  <c r="AB282" i="27" s="1"/>
  <c r="E282" i="27" s="1"/>
  <c r="AA282" i="27"/>
  <c r="D282" i="27" s="1"/>
  <c r="V282" i="27"/>
  <c r="AB281" i="27" a="1"/>
  <c r="AB281" i="27" s="1"/>
  <c r="E281" i="27" s="1"/>
  <c r="AA281" i="27"/>
  <c r="D281" i="27" s="1"/>
  <c r="V281" i="27"/>
  <c r="AB280" i="27" a="1"/>
  <c r="AB280" i="27" s="1"/>
  <c r="E280" i="27" s="1"/>
  <c r="AA280" i="27"/>
  <c r="D280" i="27" s="1"/>
  <c r="V280" i="27"/>
  <c r="AB279" i="27" a="1"/>
  <c r="AB279" i="27" s="1"/>
  <c r="E279" i="27" s="1"/>
  <c r="AA279" i="27"/>
  <c r="D279" i="27" s="1"/>
  <c r="V279" i="27"/>
  <c r="AB278" i="27" a="1"/>
  <c r="AB278" i="27" s="1"/>
  <c r="E278" i="27" s="1"/>
  <c r="AA278" i="27"/>
  <c r="D278" i="27" s="1"/>
  <c r="V278" i="27"/>
  <c r="AB277" i="27" a="1"/>
  <c r="AB277" i="27" s="1"/>
  <c r="E277" i="27" s="1"/>
  <c r="AA277" i="27"/>
  <c r="D277" i="27" s="1"/>
  <c r="V277" i="27"/>
  <c r="AB276" i="27" a="1"/>
  <c r="AB276" i="27" s="1"/>
  <c r="E276" i="27" s="1"/>
  <c r="AA276" i="27"/>
  <c r="D276" i="27" s="1"/>
  <c r="V276" i="27"/>
  <c r="AB275" i="27" a="1"/>
  <c r="AB275" i="27" s="1"/>
  <c r="E275" i="27" s="1"/>
  <c r="AA275" i="27"/>
  <c r="D275" i="27" s="1"/>
  <c r="V275" i="27"/>
  <c r="AB274" i="27" a="1"/>
  <c r="AB274" i="27" s="1"/>
  <c r="E274" i="27" s="1"/>
  <c r="AA274" i="27"/>
  <c r="D274" i="27" s="1"/>
  <c r="V274" i="27"/>
  <c r="AB273" i="27" a="1"/>
  <c r="AB273" i="27" s="1"/>
  <c r="E273" i="27" s="1"/>
  <c r="AA273" i="27"/>
  <c r="D273" i="27" s="1"/>
  <c r="V273" i="27"/>
  <c r="AB272" i="27" a="1"/>
  <c r="AB272" i="27" s="1"/>
  <c r="E272" i="27" s="1"/>
  <c r="AA272" i="27"/>
  <c r="D272" i="27" s="1"/>
  <c r="V272" i="27"/>
  <c r="AB271" i="27" a="1"/>
  <c r="AB271" i="27" s="1"/>
  <c r="E271" i="27" s="1"/>
  <c r="AA271" i="27"/>
  <c r="D271" i="27" s="1"/>
  <c r="V271" i="27"/>
  <c r="AB269" i="27" a="1"/>
  <c r="AB269" i="27" s="1"/>
  <c r="E269" i="27" s="1"/>
  <c r="AA269" i="27"/>
  <c r="D269" i="27" s="1"/>
  <c r="V269" i="27"/>
  <c r="AB268" i="27" a="1"/>
  <c r="AB268" i="27" s="1"/>
  <c r="E268" i="27" s="1"/>
  <c r="AA268" i="27"/>
  <c r="D268" i="27" s="1"/>
  <c r="V268" i="27"/>
  <c r="AB267" i="27" a="1"/>
  <c r="AB267" i="27" s="1"/>
  <c r="E267" i="27" s="1"/>
  <c r="AA267" i="27"/>
  <c r="D267" i="27" s="1"/>
  <c r="V267" i="27"/>
  <c r="AB266" i="27" a="1"/>
  <c r="AB266" i="27" s="1"/>
  <c r="E266" i="27" s="1"/>
  <c r="AA266" i="27"/>
  <c r="D266" i="27" s="1"/>
  <c r="V266" i="27"/>
  <c r="AB265" i="27" a="1"/>
  <c r="AB265" i="27" s="1"/>
  <c r="E265" i="27" s="1"/>
  <c r="AA265" i="27"/>
  <c r="D265" i="27" s="1"/>
  <c r="V265" i="27"/>
  <c r="AB264" i="27" a="1"/>
  <c r="AB264" i="27" s="1"/>
  <c r="E264" i="27" s="1"/>
  <c r="AA264" i="27"/>
  <c r="D264" i="27" s="1"/>
  <c r="V264" i="27"/>
  <c r="AB263" i="27" a="1"/>
  <c r="AB263" i="27" s="1"/>
  <c r="E263" i="27" s="1"/>
  <c r="AA263" i="27"/>
  <c r="D263" i="27" s="1"/>
  <c r="V263" i="27"/>
  <c r="AB262" i="27" a="1"/>
  <c r="AB262" i="27" s="1"/>
  <c r="E262" i="27" s="1"/>
  <c r="AA262" i="27"/>
  <c r="D262" i="27" s="1"/>
  <c r="V262" i="27"/>
  <c r="AB261" i="27" a="1"/>
  <c r="AB261" i="27" s="1"/>
  <c r="E261" i="27" s="1"/>
  <c r="AA261" i="27"/>
  <c r="D261" i="27" s="1"/>
  <c r="V261" i="27"/>
  <c r="AB260" i="27" a="1"/>
  <c r="AB260" i="27" s="1"/>
  <c r="E260" i="27" s="1"/>
  <c r="AA260" i="27"/>
  <c r="D260" i="27" s="1"/>
  <c r="V260" i="27"/>
  <c r="AB259" i="27" a="1"/>
  <c r="AB259" i="27" s="1"/>
  <c r="E259" i="27" s="1"/>
  <c r="AA259" i="27"/>
  <c r="D259" i="27" s="1"/>
  <c r="V259" i="27"/>
  <c r="AB258" i="27" a="1"/>
  <c r="AB258" i="27" s="1"/>
  <c r="E258" i="27" s="1"/>
  <c r="AA258" i="27"/>
  <c r="D258" i="27" s="1"/>
  <c r="V258" i="27"/>
  <c r="AB257" i="27" a="1"/>
  <c r="AB257" i="27" s="1"/>
  <c r="E257" i="27" s="1"/>
  <c r="AA257" i="27"/>
  <c r="D257" i="27" s="1"/>
  <c r="V257" i="27"/>
  <c r="AB256" i="27" a="1"/>
  <c r="AB256" i="27" s="1"/>
  <c r="E256" i="27" s="1"/>
  <c r="AA256" i="27"/>
  <c r="D256" i="27" s="1"/>
  <c r="V256" i="27"/>
  <c r="AB255" i="27" a="1"/>
  <c r="AB255" i="27" s="1"/>
  <c r="E255" i="27" s="1"/>
  <c r="AA255" i="27"/>
  <c r="D255" i="27" s="1"/>
  <c r="V255" i="27"/>
  <c r="AB254" i="27" a="1"/>
  <c r="AB254" i="27" s="1"/>
  <c r="E254" i="27" s="1"/>
  <c r="AA254" i="27"/>
  <c r="D254" i="27" s="1"/>
  <c r="V254" i="27"/>
  <c r="AB253" i="27" a="1"/>
  <c r="AB253" i="27" s="1"/>
  <c r="E253" i="27" s="1"/>
  <c r="AA253" i="27"/>
  <c r="D253" i="27" s="1"/>
  <c r="V253" i="27"/>
  <c r="AB252" i="27" a="1"/>
  <c r="AB252" i="27" s="1"/>
  <c r="E252" i="27" s="1"/>
  <c r="AA252" i="27"/>
  <c r="D252" i="27" s="1"/>
  <c r="V252" i="27"/>
  <c r="AB251" i="27" a="1"/>
  <c r="AB251" i="27" s="1"/>
  <c r="E251" i="27" s="1"/>
  <c r="AA251" i="27"/>
  <c r="D251" i="27" s="1"/>
  <c r="V251" i="27"/>
  <c r="AB249" i="27" a="1"/>
  <c r="AB249" i="27" s="1"/>
  <c r="E249" i="27" s="1"/>
  <c r="AA249" i="27"/>
  <c r="D249" i="27" s="1"/>
  <c r="V249" i="27"/>
  <c r="AB248" i="27" a="1"/>
  <c r="AB248" i="27" s="1"/>
  <c r="E248" i="27" s="1"/>
  <c r="AA248" i="27"/>
  <c r="D248" i="27" s="1"/>
  <c r="V248" i="27"/>
  <c r="AB247" i="27" a="1"/>
  <c r="AB247" i="27" s="1"/>
  <c r="E247" i="27" s="1"/>
  <c r="AA247" i="27"/>
  <c r="D247" i="27" s="1"/>
  <c r="V247" i="27"/>
  <c r="AB246" i="27" a="1"/>
  <c r="AB246" i="27" s="1"/>
  <c r="E246" i="27" s="1"/>
  <c r="AA246" i="27"/>
  <c r="D246" i="27" s="1"/>
  <c r="V246" i="27"/>
  <c r="AB245" i="27" a="1"/>
  <c r="AB245" i="27" s="1"/>
  <c r="E245" i="27" s="1"/>
  <c r="AA245" i="27"/>
  <c r="D245" i="27" s="1"/>
  <c r="V245" i="27"/>
  <c r="AB244" i="27" a="1"/>
  <c r="AB244" i="27" s="1"/>
  <c r="E244" i="27" s="1"/>
  <c r="AA244" i="27"/>
  <c r="D244" i="27" s="1"/>
  <c r="V244" i="27"/>
  <c r="AB243" i="27" a="1"/>
  <c r="AB243" i="27" s="1"/>
  <c r="E243" i="27" s="1"/>
  <c r="AA243" i="27"/>
  <c r="D243" i="27" s="1"/>
  <c r="V243" i="27"/>
  <c r="AB242" i="27" a="1"/>
  <c r="AB242" i="27" s="1"/>
  <c r="E242" i="27" s="1"/>
  <c r="AA242" i="27"/>
  <c r="D242" i="27" s="1"/>
  <c r="V242" i="27"/>
  <c r="AB241" i="27" a="1"/>
  <c r="AB241" i="27" s="1"/>
  <c r="E241" i="27" s="1"/>
  <c r="AA241" i="27"/>
  <c r="D241" i="27" s="1"/>
  <c r="V241" i="27"/>
  <c r="AB240" i="27" a="1"/>
  <c r="AB240" i="27" s="1"/>
  <c r="E240" i="27" s="1"/>
  <c r="AA240" i="27"/>
  <c r="D240" i="27" s="1"/>
  <c r="V240" i="27"/>
  <c r="AB239" i="27" a="1"/>
  <c r="AB239" i="27" s="1"/>
  <c r="E239" i="27" s="1"/>
  <c r="AA239" i="27"/>
  <c r="D239" i="27" s="1"/>
  <c r="V239" i="27"/>
  <c r="AB238" i="27" a="1"/>
  <c r="AB238" i="27" s="1"/>
  <c r="E238" i="27" s="1"/>
  <c r="AA238" i="27"/>
  <c r="D238" i="27" s="1"/>
  <c r="V238" i="27"/>
  <c r="AB237" i="27" a="1"/>
  <c r="AB237" i="27" s="1"/>
  <c r="E237" i="27" s="1"/>
  <c r="AA237" i="27"/>
  <c r="D237" i="27" s="1"/>
  <c r="V237" i="27"/>
  <c r="AB236" i="27" a="1"/>
  <c r="AB236" i="27" s="1"/>
  <c r="E236" i="27" s="1"/>
  <c r="AA236" i="27"/>
  <c r="D236" i="27" s="1"/>
  <c r="V236" i="27"/>
  <c r="AB235" i="27" a="1"/>
  <c r="AB235" i="27" s="1"/>
  <c r="E235" i="27" s="1"/>
  <c r="AA235" i="27"/>
  <c r="D235" i="27" s="1"/>
  <c r="V235" i="27"/>
  <c r="AB234" i="27" a="1"/>
  <c r="AB234" i="27" s="1"/>
  <c r="E234" i="27" s="1"/>
  <c r="AA234" i="27"/>
  <c r="D234" i="27" s="1"/>
  <c r="V234" i="27"/>
  <c r="AB233" i="27" a="1"/>
  <c r="AB233" i="27" s="1"/>
  <c r="E233" i="27" s="1"/>
  <c r="AA233" i="27"/>
  <c r="D233" i="27" s="1"/>
  <c r="V233" i="27"/>
  <c r="AB232" i="27" a="1"/>
  <c r="AB232" i="27" s="1"/>
  <c r="E232" i="27" s="1"/>
  <c r="AA232" i="27"/>
  <c r="D232" i="27" s="1"/>
  <c r="V232" i="27"/>
  <c r="AB231" i="27" a="1"/>
  <c r="AB231" i="27" s="1"/>
  <c r="E231" i="27" s="1"/>
  <c r="AA231" i="27"/>
  <c r="D231" i="27" s="1"/>
  <c r="V231" i="27"/>
  <c r="AB229" i="27" a="1"/>
  <c r="AB229" i="27" s="1"/>
  <c r="E229" i="27" s="1"/>
  <c r="AA229" i="27"/>
  <c r="D229" i="27" s="1"/>
  <c r="V229" i="27"/>
  <c r="AB228" i="27" a="1"/>
  <c r="AB228" i="27" s="1"/>
  <c r="E228" i="27" s="1"/>
  <c r="AA228" i="27"/>
  <c r="D228" i="27" s="1"/>
  <c r="V228" i="27"/>
  <c r="AB227" i="27" a="1"/>
  <c r="AB227" i="27" s="1"/>
  <c r="E227" i="27" s="1"/>
  <c r="AA227" i="27"/>
  <c r="D227" i="27" s="1"/>
  <c r="V227" i="27"/>
  <c r="AB226" i="27" a="1"/>
  <c r="AB226" i="27" s="1"/>
  <c r="E226" i="27" s="1"/>
  <c r="AA226" i="27"/>
  <c r="D226" i="27" s="1"/>
  <c r="V226" i="27"/>
  <c r="AB225" i="27" a="1"/>
  <c r="AB225" i="27" s="1"/>
  <c r="E225" i="27" s="1"/>
  <c r="AA225" i="27"/>
  <c r="D225" i="27" s="1"/>
  <c r="V225" i="27"/>
  <c r="AB224" i="27" a="1"/>
  <c r="AB224" i="27" s="1"/>
  <c r="E224" i="27" s="1"/>
  <c r="AA224" i="27"/>
  <c r="D224" i="27" s="1"/>
  <c r="V224" i="27"/>
  <c r="AB223" i="27" a="1"/>
  <c r="AB223" i="27" s="1"/>
  <c r="E223" i="27" s="1"/>
  <c r="AA223" i="27"/>
  <c r="D223" i="27" s="1"/>
  <c r="V223" i="27"/>
  <c r="AB222" i="27" a="1"/>
  <c r="AB222" i="27" s="1"/>
  <c r="E222" i="27" s="1"/>
  <c r="AA222" i="27"/>
  <c r="D222" i="27" s="1"/>
  <c r="V222" i="27"/>
  <c r="AB221" i="27" a="1"/>
  <c r="AB221" i="27" s="1"/>
  <c r="E221" i="27" s="1"/>
  <c r="AA221" i="27"/>
  <c r="D221" i="27" s="1"/>
  <c r="V221" i="27"/>
  <c r="AB220" i="27" a="1"/>
  <c r="AB220" i="27" s="1"/>
  <c r="E220" i="27" s="1"/>
  <c r="AA220" i="27"/>
  <c r="D220" i="27" s="1"/>
  <c r="V220" i="27"/>
  <c r="AB219" i="27" a="1"/>
  <c r="AB219" i="27" s="1"/>
  <c r="E219" i="27" s="1"/>
  <c r="AA219" i="27"/>
  <c r="D219" i="27" s="1"/>
  <c r="V219" i="27"/>
  <c r="AB218" i="27" a="1"/>
  <c r="AB218" i="27" s="1"/>
  <c r="E218" i="27" s="1"/>
  <c r="AA218" i="27"/>
  <c r="D218" i="27" s="1"/>
  <c r="V218" i="27"/>
  <c r="AB217" i="27" a="1"/>
  <c r="AB217" i="27" s="1"/>
  <c r="E217" i="27" s="1"/>
  <c r="AA217" i="27"/>
  <c r="D217" i="27" s="1"/>
  <c r="V217" i="27"/>
  <c r="AB216" i="27" a="1"/>
  <c r="AB216" i="27" s="1"/>
  <c r="E216" i="27" s="1"/>
  <c r="AA216" i="27"/>
  <c r="D216" i="27" s="1"/>
  <c r="V216" i="27"/>
  <c r="AB215" i="27" a="1"/>
  <c r="AB215" i="27" s="1"/>
  <c r="E215" i="27" s="1"/>
  <c r="AA215" i="27"/>
  <c r="D215" i="27" s="1"/>
  <c r="V215" i="27"/>
  <c r="AB214" i="27" a="1"/>
  <c r="AB214" i="27" s="1"/>
  <c r="E214" i="27" s="1"/>
  <c r="AA214" i="27"/>
  <c r="D214" i="27" s="1"/>
  <c r="V214" i="27"/>
  <c r="AB213" i="27" a="1"/>
  <c r="AB213" i="27" s="1"/>
  <c r="E213" i="27" s="1"/>
  <c r="AA213" i="27"/>
  <c r="D213" i="27" s="1"/>
  <c r="V213" i="27"/>
  <c r="AB212" i="27" a="1"/>
  <c r="AB212" i="27" s="1"/>
  <c r="E212" i="27" s="1"/>
  <c r="AA212" i="27"/>
  <c r="D212" i="27" s="1"/>
  <c r="V212" i="27"/>
  <c r="AB211" i="27" a="1"/>
  <c r="AB211" i="27" s="1"/>
  <c r="E211" i="27" s="1"/>
  <c r="AA211" i="27"/>
  <c r="D211" i="27" s="1"/>
  <c r="V211" i="27"/>
  <c r="AB209" i="27" a="1"/>
  <c r="AB209" i="27" s="1"/>
  <c r="E209" i="27" s="1"/>
  <c r="AA209" i="27"/>
  <c r="D209" i="27" s="1"/>
  <c r="V209" i="27"/>
  <c r="AB208" i="27" a="1"/>
  <c r="AB208" i="27" s="1"/>
  <c r="E208" i="27" s="1"/>
  <c r="AA208" i="27"/>
  <c r="D208" i="27" s="1"/>
  <c r="V208" i="27"/>
  <c r="AB207" i="27" a="1"/>
  <c r="AB207" i="27" s="1"/>
  <c r="E207" i="27" s="1"/>
  <c r="AA207" i="27"/>
  <c r="D207" i="27" s="1"/>
  <c r="V207" i="27"/>
  <c r="AB206" i="27" a="1"/>
  <c r="AB206" i="27" s="1"/>
  <c r="E206" i="27" s="1"/>
  <c r="AA206" i="27"/>
  <c r="D206" i="27" s="1"/>
  <c r="V206" i="27"/>
  <c r="AB205" i="27" a="1"/>
  <c r="AB205" i="27" s="1"/>
  <c r="E205" i="27" s="1"/>
  <c r="AA205" i="27"/>
  <c r="D205" i="27" s="1"/>
  <c r="V205" i="27"/>
  <c r="AB204" i="27" a="1"/>
  <c r="AB204" i="27" s="1"/>
  <c r="E204" i="27" s="1"/>
  <c r="AA204" i="27"/>
  <c r="D204" i="27" s="1"/>
  <c r="V204" i="27"/>
  <c r="AB203" i="27" a="1"/>
  <c r="AB203" i="27" s="1"/>
  <c r="E203" i="27" s="1"/>
  <c r="AA203" i="27"/>
  <c r="D203" i="27" s="1"/>
  <c r="V203" i="27"/>
  <c r="AB202" i="27" a="1"/>
  <c r="AB202" i="27" s="1"/>
  <c r="E202" i="27" s="1"/>
  <c r="AA202" i="27"/>
  <c r="D202" i="27" s="1"/>
  <c r="V202" i="27"/>
  <c r="AB201" i="27" a="1"/>
  <c r="AB201" i="27" s="1"/>
  <c r="E201" i="27" s="1"/>
  <c r="AA201" i="27"/>
  <c r="D201" i="27" s="1"/>
  <c r="V201" i="27"/>
  <c r="AB200" i="27" a="1"/>
  <c r="AB200" i="27" s="1"/>
  <c r="E200" i="27" s="1"/>
  <c r="AA200" i="27"/>
  <c r="D200" i="27" s="1"/>
  <c r="V200" i="27"/>
  <c r="AB199" i="27" a="1"/>
  <c r="AB199" i="27" s="1"/>
  <c r="E199" i="27" s="1"/>
  <c r="AA199" i="27"/>
  <c r="D199" i="27" s="1"/>
  <c r="V199" i="27"/>
  <c r="AB198" i="27" a="1"/>
  <c r="AB198" i="27" s="1"/>
  <c r="E198" i="27" s="1"/>
  <c r="AA198" i="27"/>
  <c r="D198" i="27" s="1"/>
  <c r="V198" i="27"/>
  <c r="AB197" i="27" a="1"/>
  <c r="AB197" i="27" s="1"/>
  <c r="E197" i="27" s="1"/>
  <c r="AA197" i="27"/>
  <c r="D197" i="27" s="1"/>
  <c r="V197" i="27"/>
  <c r="AB196" i="27" a="1"/>
  <c r="AB196" i="27" s="1"/>
  <c r="E196" i="27" s="1"/>
  <c r="AA196" i="27"/>
  <c r="D196" i="27" s="1"/>
  <c r="V196" i="27"/>
  <c r="AB195" i="27" a="1"/>
  <c r="AB195" i="27" s="1"/>
  <c r="E195" i="27" s="1"/>
  <c r="AA195" i="27"/>
  <c r="D195" i="27" s="1"/>
  <c r="V195" i="27"/>
  <c r="AB194" i="27" a="1"/>
  <c r="AB194" i="27" s="1"/>
  <c r="E194" i="27" s="1"/>
  <c r="AA194" i="27"/>
  <c r="D194" i="27" s="1"/>
  <c r="V194" i="27"/>
  <c r="AB193" i="27" a="1"/>
  <c r="AB193" i="27" s="1"/>
  <c r="E193" i="27" s="1"/>
  <c r="AA193" i="27"/>
  <c r="D193" i="27" s="1"/>
  <c r="V193" i="27"/>
  <c r="AB192" i="27" a="1"/>
  <c r="AB192" i="27" s="1"/>
  <c r="E192" i="27" s="1"/>
  <c r="AA192" i="27"/>
  <c r="D192" i="27" s="1"/>
  <c r="V192" i="27"/>
  <c r="AB191" i="27" a="1"/>
  <c r="AB191" i="27" s="1"/>
  <c r="E191" i="27" s="1"/>
  <c r="AA191" i="27"/>
  <c r="D191" i="27" s="1"/>
  <c r="V191" i="27"/>
  <c r="AB189" i="27" a="1"/>
  <c r="AB189" i="27" s="1"/>
  <c r="E189" i="27" s="1"/>
  <c r="AA189" i="27"/>
  <c r="D189" i="27" s="1"/>
  <c r="V189" i="27"/>
  <c r="AB188" i="27" a="1"/>
  <c r="AB188" i="27" s="1"/>
  <c r="E188" i="27" s="1"/>
  <c r="AA188" i="27"/>
  <c r="D188" i="27" s="1"/>
  <c r="V188" i="27"/>
  <c r="AB187" i="27" a="1"/>
  <c r="AB187" i="27" s="1"/>
  <c r="E187" i="27" s="1"/>
  <c r="AA187" i="27"/>
  <c r="D187" i="27" s="1"/>
  <c r="V187" i="27"/>
  <c r="AB186" i="27" a="1"/>
  <c r="AB186" i="27" s="1"/>
  <c r="E186" i="27" s="1"/>
  <c r="AA186" i="27"/>
  <c r="D186" i="27" s="1"/>
  <c r="V186" i="27"/>
  <c r="AB185" i="27" a="1"/>
  <c r="AB185" i="27" s="1"/>
  <c r="E185" i="27" s="1"/>
  <c r="AA185" i="27"/>
  <c r="D185" i="27" s="1"/>
  <c r="V185" i="27"/>
  <c r="AB184" i="27" a="1"/>
  <c r="AB184" i="27" s="1"/>
  <c r="E184" i="27" s="1"/>
  <c r="AA184" i="27"/>
  <c r="D184" i="27" s="1"/>
  <c r="V184" i="27"/>
  <c r="AB183" i="27" a="1"/>
  <c r="AB183" i="27" s="1"/>
  <c r="E183" i="27" s="1"/>
  <c r="AA183" i="27"/>
  <c r="D183" i="27" s="1"/>
  <c r="V183" i="27"/>
  <c r="AB182" i="27" a="1"/>
  <c r="AB182" i="27" s="1"/>
  <c r="E182" i="27" s="1"/>
  <c r="AA182" i="27"/>
  <c r="D182" i="27" s="1"/>
  <c r="V182" i="27"/>
  <c r="AB181" i="27" a="1"/>
  <c r="AB181" i="27" s="1"/>
  <c r="E181" i="27" s="1"/>
  <c r="AA181" i="27"/>
  <c r="D181" i="27" s="1"/>
  <c r="V181" i="27"/>
  <c r="AB180" i="27" a="1"/>
  <c r="AB180" i="27" s="1"/>
  <c r="E180" i="27" s="1"/>
  <c r="AA180" i="27"/>
  <c r="D180" i="27" s="1"/>
  <c r="V180" i="27"/>
  <c r="AB179" i="27" a="1"/>
  <c r="AB179" i="27" s="1"/>
  <c r="E179" i="27" s="1"/>
  <c r="AA179" i="27"/>
  <c r="D179" i="27" s="1"/>
  <c r="V179" i="27"/>
  <c r="AB178" i="27" a="1"/>
  <c r="AB178" i="27" s="1"/>
  <c r="E178" i="27" s="1"/>
  <c r="AA178" i="27"/>
  <c r="D178" i="27" s="1"/>
  <c r="V178" i="27"/>
  <c r="AB177" i="27" a="1"/>
  <c r="AB177" i="27" s="1"/>
  <c r="E177" i="27" s="1"/>
  <c r="AA177" i="27"/>
  <c r="D177" i="27" s="1"/>
  <c r="V177" i="27"/>
  <c r="AB176" i="27" a="1"/>
  <c r="AB176" i="27" s="1"/>
  <c r="E176" i="27" s="1"/>
  <c r="AA176" i="27"/>
  <c r="D176" i="27" s="1"/>
  <c r="V176" i="27"/>
  <c r="AB175" i="27" a="1"/>
  <c r="AB175" i="27" s="1"/>
  <c r="E175" i="27" s="1"/>
  <c r="AA175" i="27"/>
  <c r="D175" i="27" s="1"/>
  <c r="V175" i="27"/>
  <c r="AB174" i="27" a="1"/>
  <c r="AB174" i="27" s="1"/>
  <c r="E174" i="27" s="1"/>
  <c r="AA174" i="27"/>
  <c r="D174" i="27" s="1"/>
  <c r="V174" i="27"/>
  <c r="AB173" i="27" a="1"/>
  <c r="AB173" i="27" s="1"/>
  <c r="E173" i="27" s="1"/>
  <c r="AA173" i="27"/>
  <c r="D173" i="27" s="1"/>
  <c r="V173" i="27"/>
  <c r="AB172" i="27" a="1"/>
  <c r="AB172" i="27" s="1"/>
  <c r="E172" i="27" s="1"/>
  <c r="AA172" i="27"/>
  <c r="D172" i="27" s="1"/>
  <c r="V172" i="27"/>
  <c r="AB171" i="27" a="1"/>
  <c r="AB171" i="27" s="1"/>
  <c r="E171" i="27" s="1"/>
  <c r="AA171" i="27"/>
  <c r="D171" i="27" s="1"/>
  <c r="V171" i="27"/>
  <c r="AB169" i="27" a="1"/>
  <c r="AB169" i="27" s="1"/>
  <c r="E169" i="27" s="1"/>
  <c r="AA169" i="27"/>
  <c r="D169" i="27" s="1"/>
  <c r="V169" i="27"/>
  <c r="AB168" i="27" a="1"/>
  <c r="AB168" i="27" s="1"/>
  <c r="E168" i="27" s="1"/>
  <c r="AA168" i="27"/>
  <c r="D168" i="27" s="1"/>
  <c r="V168" i="27"/>
  <c r="AB167" i="27" a="1"/>
  <c r="AB167" i="27" s="1"/>
  <c r="E167" i="27" s="1"/>
  <c r="AA167" i="27"/>
  <c r="D167" i="27" s="1"/>
  <c r="V167" i="27"/>
  <c r="AB166" i="27" a="1"/>
  <c r="AB166" i="27" s="1"/>
  <c r="E166" i="27" s="1"/>
  <c r="AA166" i="27"/>
  <c r="D166" i="27" s="1"/>
  <c r="V166" i="27"/>
  <c r="AB165" i="27" a="1"/>
  <c r="AB165" i="27" s="1"/>
  <c r="E165" i="27" s="1"/>
  <c r="AA165" i="27"/>
  <c r="D165" i="27" s="1"/>
  <c r="V165" i="27"/>
  <c r="AB164" i="27" a="1"/>
  <c r="AB164" i="27" s="1"/>
  <c r="E164" i="27" s="1"/>
  <c r="AA164" i="27"/>
  <c r="D164" i="27" s="1"/>
  <c r="V164" i="27"/>
  <c r="AB163" i="27" a="1"/>
  <c r="AB163" i="27" s="1"/>
  <c r="E163" i="27" s="1"/>
  <c r="AA163" i="27"/>
  <c r="D163" i="27" s="1"/>
  <c r="V163" i="27"/>
  <c r="AB162" i="27" a="1"/>
  <c r="AB162" i="27" s="1"/>
  <c r="E162" i="27" s="1"/>
  <c r="AA162" i="27"/>
  <c r="D162" i="27" s="1"/>
  <c r="V162" i="27"/>
  <c r="AB161" i="27" a="1"/>
  <c r="AB161" i="27" s="1"/>
  <c r="E161" i="27" s="1"/>
  <c r="AA161" i="27"/>
  <c r="D161" i="27" s="1"/>
  <c r="V161" i="27"/>
  <c r="AB160" i="27" a="1"/>
  <c r="AB160" i="27" s="1"/>
  <c r="E160" i="27" s="1"/>
  <c r="AA160" i="27"/>
  <c r="D160" i="27" s="1"/>
  <c r="V160" i="27"/>
  <c r="AB159" i="27" a="1"/>
  <c r="AB159" i="27" s="1"/>
  <c r="E159" i="27" s="1"/>
  <c r="AA159" i="27"/>
  <c r="D159" i="27" s="1"/>
  <c r="V159" i="27"/>
  <c r="AB158" i="27" a="1"/>
  <c r="AB158" i="27" s="1"/>
  <c r="E158" i="27" s="1"/>
  <c r="AA158" i="27"/>
  <c r="D158" i="27" s="1"/>
  <c r="V158" i="27"/>
  <c r="AB157" i="27" a="1"/>
  <c r="AB157" i="27" s="1"/>
  <c r="E157" i="27" s="1"/>
  <c r="AA157" i="27"/>
  <c r="D157" i="27" s="1"/>
  <c r="V157" i="27"/>
  <c r="AB156" i="27" a="1"/>
  <c r="AB156" i="27" s="1"/>
  <c r="E156" i="27" s="1"/>
  <c r="AA156" i="27"/>
  <c r="D156" i="27" s="1"/>
  <c r="V156" i="27"/>
  <c r="AB155" i="27" a="1"/>
  <c r="AB155" i="27" s="1"/>
  <c r="E155" i="27" s="1"/>
  <c r="AA155" i="27"/>
  <c r="D155" i="27" s="1"/>
  <c r="V155" i="27"/>
  <c r="AB154" i="27" a="1"/>
  <c r="AB154" i="27" s="1"/>
  <c r="E154" i="27" s="1"/>
  <c r="AA154" i="27"/>
  <c r="D154" i="27" s="1"/>
  <c r="V154" i="27"/>
  <c r="AB153" i="27" a="1"/>
  <c r="AB153" i="27" s="1"/>
  <c r="E153" i="27" s="1"/>
  <c r="AA153" i="27"/>
  <c r="D153" i="27" s="1"/>
  <c r="V153" i="27"/>
  <c r="AB152" i="27" a="1"/>
  <c r="AB152" i="27" s="1"/>
  <c r="E152" i="27" s="1"/>
  <c r="AA152" i="27"/>
  <c r="D152" i="27" s="1"/>
  <c r="V152" i="27"/>
  <c r="AB151" i="27" a="1"/>
  <c r="AB151" i="27" s="1"/>
  <c r="E151" i="27" s="1"/>
  <c r="AA151" i="27"/>
  <c r="D151" i="27" s="1"/>
  <c r="V151" i="27"/>
  <c r="AB149" i="27" a="1"/>
  <c r="AB149" i="27" s="1"/>
  <c r="E149" i="27" s="1"/>
  <c r="AA149" i="27"/>
  <c r="D149" i="27" s="1"/>
  <c r="V149" i="27"/>
  <c r="AB148" i="27" a="1"/>
  <c r="AB148" i="27" s="1"/>
  <c r="E148" i="27" s="1"/>
  <c r="AA148" i="27"/>
  <c r="D148" i="27" s="1"/>
  <c r="V148" i="27"/>
  <c r="AB147" i="27" a="1"/>
  <c r="AB147" i="27" s="1"/>
  <c r="E147" i="27" s="1"/>
  <c r="AA147" i="27"/>
  <c r="D147" i="27" s="1"/>
  <c r="V147" i="27"/>
  <c r="AB146" i="27" a="1"/>
  <c r="AB146" i="27" s="1"/>
  <c r="E146" i="27" s="1"/>
  <c r="AA146" i="27"/>
  <c r="D146" i="27" s="1"/>
  <c r="V146" i="27"/>
  <c r="AB145" i="27" a="1"/>
  <c r="AB145" i="27" s="1"/>
  <c r="E145" i="27" s="1"/>
  <c r="AA145" i="27"/>
  <c r="D145" i="27" s="1"/>
  <c r="V145" i="27"/>
  <c r="AB144" i="27" a="1"/>
  <c r="AB144" i="27" s="1"/>
  <c r="E144" i="27" s="1"/>
  <c r="AA144" i="27"/>
  <c r="D144" i="27" s="1"/>
  <c r="V144" i="27"/>
  <c r="AB143" i="27" a="1"/>
  <c r="AB143" i="27" s="1"/>
  <c r="E143" i="27" s="1"/>
  <c r="AA143" i="27"/>
  <c r="D143" i="27" s="1"/>
  <c r="V143" i="27"/>
  <c r="AB142" i="27" a="1"/>
  <c r="AB142" i="27" s="1"/>
  <c r="E142" i="27" s="1"/>
  <c r="AA142" i="27"/>
  <c r="D142" i="27" s="1"/>
  <c r="V142" i="27"/>
  <c r="AB141" i="27" a="1"/>
  <c r="AB141" i="27" s="1"/>
  <c r="E141" i="27" s="1"/>
  <c r="AA141" i="27"/>
  <c r="D141" i="27" s="1"/>
  <c r="V141" i="27"/>
  <c r="AB140" i="27" a="1"/>
  <c r="AB140" i="27" s="1"/>
  <c r="E140" i="27" s="1"/>
  <c r="AA140" i="27"/>
  <c r="D140" i="27" s="1"/>
  <c r="V140" i="27"/>
  <c r="AB139" i="27" a="1"/>
  <c r="AB139" i="27" s="1"/>
  <c r="E139" i="27" s="1"/>
  <c r="AA139" i="27"/>
  <c r="D139" i="27" s="1"/>
  <c r="V139" i="27"/>
  <c r="AB138" i="27" a="1"/>
  <c r="AB138" i="27" s="1"/>
  <c r="E138" i="27" s="1"/>
  <c r="AA138" i="27"/>
  <c r="D138" i="27" s="1"/>
  <c r="V138" i="27"/>
  <c r="AB137" i="27" a="1"/>
  <c r="AB137" i="27" s="1"/>
  <c r="E137" i="27" s="1"/>
  <c r="AA137" i="27"/>
  <c r="D137" i="27" s="1"/>
  <c r="V137" i="27"/>
  <c r="AB136" i="27" a="1"/>
  <c r="AB136" i="27" s="1"/>
  <c r="E136" i="27" s="1"/>
  <c r="AA136" i="27"/>
  <c r="D136" i="27" s="1"/>
  <c r="V136" i="27"/>
  <c r="AB135" i="27" a="1"/>
  <c r="AB135" i="27" s="1"/>
  <c r="E135" i="27" s="1"/>
  <c r="AA135" i="27"/>
  <c r="D135" i="27" s="1"/>
  <c r="V135" i="27"/>
  <c r="AB134" i="27" a="1"/>
  <c r="AB134" i="27" s="1"/>
  <c r="E134" i="27" s="1"/>
  <c r="AA134" i="27"/>
  <c r="D134" i="27" s="1"/>
  <c r="V134" i="27"/>
  <c r="AB133" i="27" a="1"/>
  <c r="AB133" i="27" s="1"/>
  <c r="E133" i="27" s="1"/>
  <c r="AA133" i="27"/>
  <c r="D133" i="27" s="1"/>
  <c r="V133" i="27"/>
  <c r="AB132" i="27" a="1"/>
  <c r="AB132" i="27" s="1"/>
  <c r="E132" i="27" s="1"/>
  <c r="AA132" i="27"/>
  <c r="D132" i="27" s="1"/>
  <c r="V132" i="27"/>
  <c r="AB131" i="27" a="1"/>
  <c r="AB131" i="27" s="1"/>
  <c r="E131" i="27" s="1"/>
  <c r="AA131" i="27"/>
  <c r="D131" i="27" s="1"/>
  <c r="V131" i="27"/>
  <c r="AB129" i="27" a="1"/>
  <c r="AB129" i="27" s="1"/>
  <c r="E129" i="27" s="1"/>
  <c r="AA129" i="27"/>
  <c r="D129" i="27" s="1"/>
  <c r="V129" i="27"/>
  <c r="AB128" i="27" a="1"/>
  <c r="AB128" i="27" s="1"/>
  <c r="E128" i="27" s="1"/>
  <c r="AA128" i="27"/>
  <c r="D128" i="27" s="1"/>
  <c r="V128" i="27"/>
  <c r="AB127" i="27" a="1"/>
  <c r="AB127" i="27" s="1"/>
  <c r="E127" i="27" s="1"/>
  <c r="AA127" i="27"/>
  <c r="D127" i="27" s="1"/>
  <c r="V127" i="27"/>
  <c r="AB126" i="27" a="1"/>
  <c r="AB126" i="27" s="1"/>
  <c r="E126" i="27" s="1"/>
  <c r="AA126" i="27"/>
  <c r="D126" i="27" s="1"/>
  <c r="V126" i="27"/>
  <c r="AB125" i="27" a="1"/>
  <c r="AB125" i="27" s="1"/>
  <c r="E125" i="27" s="1"/>
  <c r="AA125" i="27"/>
  <c r="D125" i="27" s="1"/>
  <c r="V125" i="27"/>
  <c r="AB124" i="27" a="1"/>
  <c r="AB124" i="27" s="1"/>
  <c r="E124" i="27" s="1"/>
  <c r="AA124" i="27"/>
  <c r="D124" i="27" s="1"/>
  <c r="V124" i="27"/>
  <c r="AB123" i="27" a="1"/>
  <c r="AB123" i="27" s="1"/>
  <c r="E123" i="27" s="1"/>
  <c r="AA123" i="27"/>
  <c r="D123" i="27" s="1"/>
  <c r="V123" i="27"/>
  <c r="AB122" i="27" a="1"/>
  <c r="AB122" i="27" s="1"/>
  <c r="E122" i="27" s="1"/>
  <c r="AA122" i="27"/>
  <c r="D122" i="27" s="1"/>
  <c r="V122" i="27"/>
  <c r="AB121" i="27" a="1"/>
  <c r="AB121" i="27" s="1"/>
  <c r="E121" i="27" s="1"/>
  <c r="AA121" i="27"/>
  <c r="D121" i="27" s="1"/>
  <c r="V121" i="27"/>
  <c r="AB120" i="27" a="1"/>
  <c r="AB120" i="27" s="1"/>
  <c r="E120" i="27" s="1"/>
  <c r="AA120" i="27"/>
  <c r="D120" i="27" s="1"/>
  <c r="V120" i="27"/>
  <c r="AB119" i="27" a="1"/>
  <c r="AB119" i="27" s="1"/>
  <c r="E119" i="27" s="1"/>
  <c r="AA119" i="27"/>
  <c r="D119" i="27" s="1"/>
  <c r="V119" i="27"/>
  <c r="AB118" i="27" a="1"/>
  <c r="AB118" i="27" s="1"/>
  <c r="E118" i="27" s="1"/>
  <c r="AA118" i="27"/>
  <c r="D118" i="27" s="1"/>
  <c r="V118" i="27"/>
  <c r="AB117" i="27" a="1"/>
  <c r="AB117" i="27" s="1"/>
  <c r="E117" i="27" s="1"/>
  <c r="AA117" i="27"/>
  <c r="D117" i="27" s="1"/>
  <c r="V117" i="27"/>
  <c r="AB116" i="27" a="1"/>
  <c r="AB116" i="27" s="1"/>
  <c r="E116" i="27" s="1"/>
  <c r="AA116" i="27"/>
  <c r="D116" i="27" s="1"/>
  <c r="V116" i="27"/>
  <c r="AB115" i="27" a="1"/>
  <c r="AB115" i="27" s="1"/>
  <c r="E115" i="27" s="1"/>
  <c r="AA115" i="27"/>
  <c r="D115" i="27" s="1"/>
  <c r="V115" i="27"/>
  <c r="AB114" i="27" a="1"/>
  <c r="AB114" i="27" s="1"/>
  <c r="E114" i="27" s="1"/>
  <c r="AA114" i="27"/>
  <c r="D114" i="27" s="1"/>
  <c r="V114" i="27"/>
  <c r="AB113" i="27" a="1"/>
  <c r="AB113" i="27" s="1"/>
  <c r="E113" i="27" s="1"/>
  <c r="AA113" i="27"/>
  <c r="D113" i="27" s="1"/>
  <c r="V113" i="27"/>
  <c r="AB112" i="27" a="1"/>
  <c r="AB112" i="27" s="1"/>
  <c r="E112" i="27" s="1"/>
  <c r="AA112" i="27"/>
  <c r="D112" i="27" s="1"/>
  <c r="V112" i="27"/>
  <c r="AB111" i="27" a="1"/>
  <c r="AB111" i="27" s="1"/>
  <c r="E111" i="27" s="1"/>
  <c r="AA111" i="27"/>
  <c r="D111" i="27" s="1"/>
  <c r="V111" i="27"/>
  <c r="AB109" i="27" a="1"/>
  <c r="AB109" i="27" s="1"/>
  <c r="E109" i="27" s="1"/>
  <c r="AA109" i="27"/>
  <c r="D109" i="27" s="1"/>
  <c r="V109" i="27"/>
  <c r="AB108" i="27" a="1"/>
  <c r="AB108" i="27" s="1"/>
  <c r="E108" i="27" s="1"/>
  <c r="AA108" i="27"/>
  <c r="D108" i="27" s="1"/>
  <c r="V108" i="27"/>
  <c r="AB107" i="27" a="1"/>
  <c r="AB107" i="27" s="1"/>
  <c r="E107" i="27" s="1"/>
  <c r="AA107" i="27"/>
  <c r="D107" i="27" s="1"/>
  <c r="V107" i="27"/>
  <c r="AB106" i="27" a="1"/>
  <c r="AB106" i="27" s="1"/>
  <c r="E106" i="27" s="1"/>
  <c r="AA106" i="27"/>
  <c r="D106" i="27" s="1"/>
  <c r="V106" i="27"/>
  <c r="AB105" i="27" a="1"/>
  <c r="AB105" i="27" s="1"/>
  <c r="E105" i="27" s="1"/>
  <c r="AA105" i="27"/>
  <c r="D105" i="27" s="1"/>
  <c r="V105" i="27"/>
  <c r="AB104" i="27" a="1"/>
  <c r="AB104" i="27" s="1"/>
  <c r="E104" i="27" s="1"/>
  <c r="AA104" i="27"/>
  <c r="D104" i="27" s="1"/>
  <c r="V104" i="27"/>
  <c r="AB103" i="27" a="1"/>
  <c r="AB103" i="27" s="1"/>
  <c r="E103" i="27" s="1"/>
  <c r="AA103" i="27"/>
  <c r="D103" i="27" s="1"/>
  <c r="V103" i="27"/>
  <c r="AB102" i="27" a="1"/>
  <c r="AB102" i="27" s="1"/>
  <c r="E102" i="27" s="1"/>
  <c r="AA102" i="27"/>
  <c r="D102" i="27" s="1"/>
  <c r="V102" i="27"/>
  <c r="AB101" i="27" a="1"/>
  <c r="AB101" i="27" s="1"/>
  <c r="E101" i="27" s="1"/>
  <c r="AA101" i="27"/>
  <c r="D101" i="27" s="1"/>
  <c r="V101" i="27"/>
  <c r="AB100" i="27" a="1"/>
  <c r="AB100" i="27" s="1"/>
  <c r="E100" i="27" s="1"/>
  <c r="AA100" i="27"/>
  <c r="D100" i="27" s="1"/>
  <c r="V100" i="27"/>
  <c r="AB99" i="27" a="1"/>
  <c r="AB99" i="27" s="1"/>
  <c r="E99" i="27" s="1"/>
  <c r="AA99" i="27"/>
  <c r="D99" i="27" s="1"/>
  <c r="V99" i="27"/>
  <c r="AB98" i="27" a="1"/>
  <c r="AB98" i="27" s="1"/>
  <c r="E98" i="27" s="1"/>
  <c r="AA98" i="27"/>
  <c r="D98" i="27" s="1"/>
  <c r="V98" i="27"/>
  <c r="AB97" i="27" a="1"/>
  <c r="AB97" i="27" s="1"/>
  <c r="E97" i="27" s="1"/>
  <c r="AA97" i="27"/>
  <c r="D97" i="27" s="1"/>
  <c r="V97" i="27"/>
  <c r="AB96" i="27" a="1"/>
  <c r="AB96" i="27" s="1"/>
  <c r="E96" i="27" s="1"/>
  <c r="AA96" i="27"/>
  <c r="D96" i="27" s="1"/>
  <c r="V96" i="27"/>
  <c r="AB95" i="27" a="1"/>
  <c r="AB95" i="27" s="1"/>
  <c r="E95" i="27" s="1"/>
  <c r="AA95" i="27"/>
  <c r="D95" i="27" s="1"/>
  <c r="V95" i="27"/>
  <c r="AB94" i="27" a="1"/>
  <c r="AB94" i="27" s="1"/>
  <c r="E94" i="27" s="1"/>
  <c r="AA94" i="27"/>
  <c r="D94" i="27" s="1"/>
  <c r="V94" i="27"/>
  <c r="AB93" i="27" a="1"/>
  <c r="AB93" i="27" s="1"/>
  <c r="E93" i="27" s="1"/>
  <c r="AA93" i="27"/>
  <c r="D93" i="27" s="1"/>
  <c r="V93" i="27"/>
  <c r="AB92" i="27" a="1"/>
  <c r="AB92" i="27" s="1"/>
  <c r="E92" i="27" s="1"/>
  <c r="AA92" i="27"/>
  <c r="D92" i="27" s="1"/>
  <c r="V92" i="27"/>
  <c r="AB91" i="27" a="1"/>
  <c r="AB91" i="27" s="1"/>
  <c r="E91" i="27" s="1"/>
  <c r="AA91" i="27"/>
  <c r="D91" i="27" s="1"/>
  <c r="V91" i="27"/>
  <c r="AB89" i="27" a="1"/>
  <c r="AB89" i="27" s="1"/>
  <c r="E89" i="27" s="1"/>
  <c r="AA89" i="27"/>
  <c r="D89" i="27" s="1"/>
  <c r="V89" i="27"/>
  <c r="AB88" i="27" a="1"/>
  <c r="AB88" i="27" s="1"/>
  <c r="E88" i="27" s="1"/>
  <c r="AA88" i="27"/>
  <c r="D88" i="27" s="1"/>
  <c r="V88" i="27"/>
  <c r="AB87" i="27" a="1"/>
  <c r="AB87" i="27" s="1"/>
  <c r="E87" i="27" s="1"/>
  <c r="AA87" i="27"/>
  <c r="D87" i="27" s="1"/>
  <c r="V87" i="27"/>
  <c r="AB86" i="27" a="1"/>
  <c r="AB86" i="27" s="1"/>
  <c r="E86" i="27" s="1"/>
  <c r="AA86" i="27"/>
  <c r="D86" i="27" s="1"/>
  <c r="V86" i="27"/>
  <c r="AB85" i="27" a="1"/>
  <c r="AB85" i="27" s="1"/>
  <c r="E85" i="27" s="1"/>
  <c r="AA85" i="27"/>
  <c r="D85" i="27" s="1"/>
  <c r="V85" i="27"/>
  <c r="AB84" i="27" a="1"/>
  <c r="AB84" i="27" s="1"/>
  <c r="E84" i="27" s="1"/>
  <c r="AA84" i="27"/>
  <c r="D84" i="27" s="1"/>
  <c r="V84" i="27"/>
  <c r="AB83" i="27" a="1"/>
  <c r="AB83" i="27" s="1"/>
  <c r="E83" i="27" s="1"/>
  <c r="AA83" i="27"/>
  <c r="D83" i="27" s="1"/>
  <c r="V83" i="27"/>
  <c r="AB82" i="27" a="1"/>
  <c r="AB82" i="27" s="1"/>
  <c r="E82" i="27" s="1"/>
  <c r="AA82" i="27"/>
  <c r="D82" i="27" s="1"/>
  <c r="V82" i="27"/>
  <c r="AB81" i="27" a="1"/>
  <c r="AB81" i="27" s="1"/>
  <c r="E81" i="27" s="1"/>
  <c r="AA81" i="27"/>
  <c r="D81" i="27" s="1"/>
  <c r="V81" i="27"/>
  <c r="AB80" i="27" a="1"/>
  <c r="AB80" i="27" s="1"/>
  <c r="E80" i="27" s="1"/>
  <c r="AA80" i="27"/>
  <c r="D80" i="27" s="1"/>
  <c r="V80" i="27"/>
  <c r="AB79" i="27" a="1"/>
  <c r="AB79" i="27" s="1"/>
  <c r="E79" i="27" s="1"/>
  <c r="AA79" i="27"/>
  <c r="D79" i="27" s="1"/>
  <c r="V79" i="27"/>
  <c r="AB78" i="27" a="1"/>
  <c r="AB78" i="27" s="1"/>
  <c r="E78" i="27" s="1"/>
  <c r="AA78" i="27"/>
  <c r="D78" i="27" s="1"/>
  <c r="V78" i="27"/>
  <c r="AB77" i="27" a="1"/>
  <c r="AB77" i="27" s="1"/>
  <c r="E77" i="27" s="1"/>
  <c r="AA77" i="27"/>
  <c r="D77" i="27" s="1"/>
  <c r="V77" i="27"/>
  <c r="AB76" i="27" a="1"/>
  <c r="AB76" i="27" s="1"/>
  <c r="E76" i="27" s="1"/>
  <c r="AA76" i="27"/>
  <c r="D76" i="27" s="1"/>
  <c r="V76" i="27"/>
  <c r="AB75" i="27" a="1"/>
  <c r="AB75" i="27" s="1"/>
  <c r="E75" i="27" s="1"/>
  <c r="AA75" i="27"/>
  <c r="D75" i="27" s="1"/>
  <c r="V75" i="27"/>
  <c r="AB74" i="27" a="1"/>
  <c r="AB74" i="27" s="1"/>
  <c r="E74" i="27" s="1"/>
  <c r="AA74" i="27"/>
  <c r="D74" i="27" s="1"/>
  <c r="V74" i="27"/>
  <c r="AB73" i="27" a="1"/>
  <c r="AB73" i="27" s="1"/>
  <c r="E73" i="27" s="1"/>
  <c r="AA73" i="27"/>
  <c r="D73" i="27" s="1"/>
  <c r="V73" i="27"/>
  <c r="AB72" i="27" a="1"/>
  <c r="AB72" i="27" s="1"/>
  <c r="E72" i="27" s="1"/>
  <c r="AA72" i="27"/>
  <c r="D72" i="27" s="1"/>
  <c r="V72" i="27"/>
  <c r="AB71" i="27" a="1"/>
  <c r="AB71" i="27" s="1"/>
  <c r="E71" i="27" s="1"/>
  <c r="AA71" i="27"/>
  <c r="D71" i="27" s="1"/>
  <c r="V71" i="27"/>
  <c r="AB69" i="27" a="1"/>
  <c r="AB69" i="27" s="1"/>
  <c r="E69" i="27" s="1"/>
  <c r="AA69" i="27"/>
  <c r="D69" i="27" s="1"/>
  <c r="V69" i="27"/>
  <c r="AB68" i="27" a="1"/>
  <c r="AB68" i="27" s="1"/>
  <c r="E68" i="27" s="1"/>
  <c r="AA68" i="27"/>
  <c r="D68" i="27" s="1"/>
  <c r="V68" i="27"/>
  <c r="AB67" i="27" a="1"/>
  <c r="AB67" i="27" s="1"/>
  <c r="E67" i="27" s="1"/>
  <c r="AA67" i="27"/>
  <c r="D67" i="27" s="1"/>
  <c r="V67" i="27"/>
  <c r="AB66" i="27" a="1"/>
  <c r="AB66" i="27" s="1"/>
  <c r="E66" i="27" s="1"/>
  <c r="AA66" i="27"/>
  <c r="D66" i="27" s="1"/>
  <c r="V66" i="27"/>
  <c r="AB65" i="27" a="1"/>
  <c r="AB65" i="27" s="1"/>
  <c r="E65" i="27" s="1"/>
  <c r="AA65" i="27"/>
  <c r="D65" i="27" s="1"/>
  <c r="V65" i="27"/>
  <c r="AB64" i="27" a="1"/>
  <c r="AB64" i="27" s="1"/>
  <c r="E64" i="27" s="1"/>
  <c r="AA64" i="27"/>
  <c r="D64" i="27" s="1"/>
  <c r="V64" i="27"/>
  <c r="AB63" i="27" a="1"/>
  <c r="AB63" i="27" s="1"/>
  <c r="E63" i="27" s="1"/>
  <c r="AA63" i="27"/>
  <c r="D63" i="27" s="1"/>
  <c r="V63" i="27"/>
  <c r="AB62" i="27" a="1"/>
  <c r="AB62" i="27" s="1"/>
  <c r="E62" i="27" s="1"/>
  <c r="AA62" i="27"/>
  <c r="D62" i="27" s="1"/>
  <c r="V62" i="27"/>
  <c r="AB61" i="27" a="1"/>
  <c r="AB61" i="27" s="1"/>
  <c r="E61" i="27" s="1"/>
  <c r="AA61" i="27"/>
  <c r="D61" i="27" s="1"/>
  <c r="V61" i="27"/>
  <c r="AB60" i="27" a="1"/>
  <c r="AB60" i="27" s="1"/>
  <c r="E60" i="27" s="1"/>
  <c r="AA60" i="27"/>
  <c r="D60" i="27" s="1"/>
  <c r="V60" i="27"/>
  <c r="AB59" i="27" a="1"/>
  <c r="AB59" i="27" s="1"/>
  <c r="E59" i="27" s="1"/>
  <c r="AA59" i="27"/>
  <c r="D59" i="27" s="1"/>
  <c r="V59" i="27"/>
  <c r="AB58" i="27" a="1"/>
  <c r="AB58" i="27" s="1"/>
  <c r="E58" i="27" s="1"/>
  <c r="AA58" i="27"/>
  <c r="D58" i="27" s="1"/>
  <c r="V58" i="27"/>
  <c r="AB57" i="27" a="1"/>
  <c r="AB57" i="27" s="1"/>
  <c r="E57" i="27" s="1"/>
  <c r="AA57" i="27"/>
  <c r="D57" i="27" s="1"/>
  <c r="V57" i="27"/>
  <c r="AB56" i="27" a="1"/>
  <c r="AB56" i="27" s="1"/>
  <c r="E56" i="27" s="1"/>
  <c r="AA56" i="27"/>
  <c r="D56" i="27" s="1"/>
  <c r="V56" i="27"/>
  <c r="AB55" i="27" a="1"/>
  <c r="AB55" i="27" s="1"/>
  <c r="E55" i="27" s="1"/>
  <c r="AA55" i="27"/>
  <c r="D55" i="27" s="1"/>
  <c r="V55" i="27"/>
  <c r="AB54" i="27" a="1"/>
  <c r="AB54" i="27" s="1"/>
  <c r="E54" i="27" s="1"/>
  <c r="AA54" i="27"/>
  <c r="D54" i="27" s="1"/>
  <c r="V54" i="27"/>
  <c r="AB53" i="27" a="1"/>
  <c r="AB53" i="27" s="1"/>
  <c r="E53" i="27" s="1"/>
  <c r="AA53" i="27"/>
  <c r="D53" i="27" s="1"/>
  <c r="V53" i="27"/>
  <c r="AB52" i="27" a="1"/>
  <c r="AB52" i="27" s="1"/>
  <c r="E52" i="27" s="1"/>
  <c r="AA52" i="27"/>
  <c r="D52" i="27" s="1"/>
  <c r="V52" i="27"/>
  <c r="AB51" i="27" a="1"/>
  <c r="AB51" i="27" s="1"/>
  <c r="E51" i="27" s="1"/>
  <c r="AA51" i="27"/>
  <c r="D51" i="27" s="1"/>
  <c r="V51" i="27"/>
  <c r="AB50" i="27" a="1"/>
  <c r="AB50" i="27" s="1"/>
  <c r="E50" i="27" s="1"/>
  <c r="AA50" i="27"/>
  <c r="D50" i="27" s="1"/>
  <c r="V50" i="27"/>
  <c r="AB48" i="27" a="1"/>
  <c r="AB48" i="27" s="1"/>
  <c r="E48" i="27" s="1"/>
  <c r="AA48" i="27"/>
  <c r="D48" i="27" s="1"/>
  <c r="V48" i="27"/>
  <c r="AB47" i="27" a="1"/>
  <c r="AB47" i="27" s="1"/>
  <c r="E47" i="27" s="1"/>
  <c r="AA47" i="27"/>
  <c r="D47" i="27" s="1"/>
  <c r="V47" i="27"/>
  <c r="AB46" i="27" a="1"/>
  <c r="AB46" i="27" s="1"/>
  <c r="E46" i="27" s="1"/>
  <c r="AA46" i="27"/>
  <c r="D46" i="27" s="1"/>
  <c r="V46" i="27"/>
  <c r="AB45" i="27" a="1"/>
  <c r="AB45" i="27" s="1"/>
  <c r="E45" i="27" s="1"/>
  <c r="AA45" i="27"/>
  <c r="D45" i="27" s="1"/>
  <c r="V45" i="27"/>
  <c r="AB44" i="27" a="1"/>
  <c r="AB44" i="27" s="1"/>
  <c r="E44" i="27" s="1"/>
  <c r="AA44" i="27"/>
  <c r="D44" i="27" s="1"/>
  <c r="V44" i="27"/>
  <c r="AB43" i="27" a="1"/>
  <c r="AB43" i="27" s="1"/>
  <c r="E43" i="27" s="1"/>
  <c r="AA43" i="27"/>
  <c r="D43" i="27" s="1"/>
  <c r="V43" i="27"/>
  <c r="AB42" i="27" a="1"/>
  <c r="AB42" i="27" s="1"/>
  <c r="E42" i="27" s="1"/>
  <c r="AA42" i="27"/>
  <c r="D42" i="27" s="1"/>
  <c r="V42" i="27"/>
  <c r="AB41" i="27" a="1"/>
  <c r="AB41" i="27" s="1"/>
  <c r="E41" i="27" s="1"/>
  <c r="AA41" i="27"/>
  <c r="D41" i="27" s="1"/>
  <c r="V41" i="27"/>
  <c r="AB40" i="27" a="1"/>
  <c r="AB40" i="27" s="1"/>
  <c r="E40" i="27" s="1"/>
  <c r="AA40" i="27"/>
  <c r="D40" i="27" s="1"/>
  <c r="V40" i="27"/>
  <c r="AB39" i="27" a="1"/>
  <c r="AB39" i="27" s="1"/>
  <c r="E39" i="27" s="1"/>
  <c r="AA39" i="27"/>
  <c r="D39" i="27" s="1"/>
  <c r="V39" i="27"/>
  <c r="AB38" i="27" a="1"/>
  <c r="AB38" i="27" s="1"/>
  <c r="E38" i="27" s="1"/>
  <c r="AA38" i="27"/>
  <c r="D38" i="27" s="1"/>
  <c r="V38" i="27"/>
  <c r="AB37" i="27" a="1"/>
  <c r="AB37" i="27" s="1"/>
  <c r="E37" i="27" s="1"/>
  <c r="AA37" i="27"/>
  <c r="D37" i="27" s="1"/>
  <c r="V37" i="27"/>
  <c r="AB36" i="27" a="1"/>
  <c r="AB36" i="27" s="1"/>
  <c r="E36" i="27" s="1"/>
  <c r="AA36" i="27"/>
  <c r="D36" i="27" s="1"/>
  <c r="V36" i="27"/>
  <c r="AB35" i="27" a="1"/>
  <c r="AB35" i="27" s="1"/>
  <c r="E35" i="27" s="1"/>
  <c r="AA35" i="27"/>
  <c r="D35" i="27" s="1"/>
  <c r="V35" i="27"/>
  <c r="AB34" i="27" a="1"/>
  <c r="AB34" i="27" s="1"/>
  <c r="E34" i="27" s="1"/>
  <c r="AA34" i="27"/>
  <c r="D34" i="27" s="1"/>
  <c r="V34" i="27"/>
  <c r="AB33" i="27" a="1"/>
  <c r="AB33" i="27" s="1"/>
  <c r="E33" i="27" s="1"/>
  <c r="AA33" i="27"/>
  <c r="D33" i="27" s="1"/>
  <c r="V33" i="27"/>
  <c r="AB32" i="27" a="1"/>
  <c r="AB32" i="27" s="1"/>
  <c r="E32" i="27" s="1"/>
  <c r="AA32" i="27"/>
  <c r="D32" i="27" s="1"/>
  <c r="V32" i="27"/>
  <c r="AB31" i="27" a="1"/>
  <c r="AB31" i="27" s="1"/>
  <c r="E31" i="27" s="1"/>
  <c r="AA31" i="27"/>
  <c r="D31" i="27" s="1"/>
  <c r="V31" i="27"/>
  <c r="AB30" i="27" a="1"/>
  <c r="AB30" i="27" s="1"/>
  <c r="E30" i="27" s="1"/>
  <c r="AA30" i="27"/>
  <c r="D30" i="27" s="1"/>
  <c r="V30" i="27"/>
  <c r="AB29" i="27" a="1"/>
  <c r="AB29" i="27" s="1"/>
  <c r="E29" i="27" s="1"/>
  <c r="AA29" i="27"/>
  <c r="D29" i="27" s="1"/>
  <c r="V29" i="27"/>
  <c r="AB28" i="27" a="1"/>
  <c r="AB28" i="27" s="1"/>
  <c r="E28" i="27" s="1"/>
  <c r="AA28" i="27"/>
  <c r="D28" i="27" s="1"/>
  <c r="V28" i="27"/>
  <c r="AB26" i="27" a="1"/>
  <c r="AB26" i="27" s="1"/>
  <c r="E26" i="27" s="1"/>
  <c r="AA26" i="27"/>
  <c r="D26" i="27" s="1"/>
  <c r="V26" i="27"/>
  <c r="AB25" i="27" a="1"/>
  <c r="AB25" i="27" s="1"/>
  <c r="E25" i="27" s="1"/>
  <c r="AA25" i="27"/>
  <c r="D25" i="27" s="1"/>
  <c r="V25" i="27"/>
  <c r="AB24" i="27" a="1"/>
  <c r="AB24" i="27" s="1"/>
  <c r="E24" i="27" s="1"/>
  <c r="AA24" i="27"/>
  <c r="D24" i="27" s="1"/>
  <c r="V24" i="27"/>
  <c r="AB23" i="27" a="1"/>
  <c r="AB23" i="27" s="1"/>
  <c r="E23" i="27" s="1"/>
  <c r="AA23" i="27"/>
  <c r="D23" i="27" s="1"/>
  <c r="V23" i="27"/>
  <c r="AB22" i="27" a="1"/>
  <c r="AB22" i="27" s="1"/>
  <c r="E22" i="27" s="1"/>
  <c r="AA22" i="27"/>
  <c r="D22" i="27" s="1"/>
  <c r="V22" i="27"/>
  <c r="AB21" i="27" a="1"/>
  <c r="AB21" i="27" s="1"/>
  <c r="E21" i="27" s="1"/>
  <c r="AA21" i="27"/>
  <c r="D21" i="27" s="1"/>
  <c r="V21" i="27"/>
  <c r="AB20" i="27" a="1"/>
  <c r="AB20" i="27" s="1"/>
  <c r="E20" i="27" s="1"/>
  <c r="AA20" i="27"/>
  <c r="D20" i="27" s="1"/>
  <c r="V20" i="27"/>
  <c r="AB19" i="27" a="1"/>
  <c r="AB19" i="27" s="1"/>
  <c r="E19" i="27" s="1"/>
  <c r="AA19" i="27"/>
  <c r="D19" i="27" s="1"/>
  <c r="V19" i="27"/>
  <c r="AB18" i="27" a="1"/>
  <c r="AB18" i="27" s="1"/>
  <c r="E18" i="27" s="1"/>
  <c r="AA18" i="27"/>
  <c r="D18" i="27" s="1"/>
  <c r="V18" i="27"/>
  <c r="AB17" i="27" a="1"/>
  <c r="AB17" i="27" s="1"/>
  <c r="E17" i="27" s="1"/>
  <c r="AA17" i="27"/>
  <c r="D17" i="27" s="1"/>
  <c r="V17" i="27"/>
  <c r="AB16" i="27" a="1"/>
  <c r="AB16" i="27" s="1"/>
  <c r="E16" i="27" s="1"/>
  <c r="AA16" i="27"/>
  <c r="D16" i="27" s="1"/>
  <c r="V16" i="27"/>
  <c r="AB15" i="27" a="1"/>
  <c r="AB15" i="27" s="1"/>
  <c r="E15" i="27" s="1"/>
  <c r="AA15" i="27"/>
  <c r="D15" i="27" s="1"/>
  <c r="V15" i="27"/>
  <c r="AB14" i="27" a="1"/>
  <c r="AB14" i="27" s="1"/>
  <c r="E14" i="27" s="1"/>
  <c r="AA14" i="27"/>
  <c r="D14" i="27" s="1"/>
  <c r="V14" i="27"/>
  <c r="AB13" i="27" a="1"/>
  <c r="AB13" i="27" s="1"/>
  <c r="E13" i="27" s="1"/>
  <c r="AA13" i="27"/>
  <c r="D13" i="27" s="1"/>
  <c r="V13" i="27"/>
  <c r="AB12" i="27" a="1"/>
  <c r="AB12" i="27" s="1"/>
  <c r="E12" i="27" s="1"/>
  <c r="AA12" i="27"/>
  <c r="D12" i="27" s="1"/>
  <c r="V12" i="27"/>
  <c r="AB11" i="27" a="1"/>
  <c r="AB11" i="27" s="1"/>
  <c r="E11" i="27" s="1"/>
  <c r="AA11" i="27"/>
  <c r="D11" i="27" s="1"/>
  <c r="V11" i="27"/>
  <c r="AB10" i="27" a="1"/>
  <c r="AB10" i="27" s="1"/>
  <c r="E10" i="27" s="1"/>
  <c r="AA10" i="27"/>
  <c r="D10" i="27" s="1"/>
  <c r="V10" i="27"/>
  <c r="AB9" i="27" a="1"/>
  <c r="AB9" i="27" s="1"/>
  <c r="E9" i="27" s="1"/>
  <c r="AA9" i="27"/>
  <c r="D9" i="27" s="1"/>
  <c r="V9" i="27"/>
  <c r="AB8" i="27" a="1"/>
  <c r="AB8" i="27" s="1"/>
  <c r="E8" i="27" s="1"/>
  <c r="AA8" i="27"/>
  <c r="D8" i="27" s="1"/>
  <c r="V8" i="27"/>
  <c r="AB7" i="27" a="1"/>
  <c r="AB7" i="27" s="1"/>
  <c r="E7" i="27" s="1"/>
  <c r="AA7" i="27"/>
  <c r="D7" i="27" s="1"/>
  <c r="V7" i="27"/>
  <c r="AB6" i="27" a="1"/>
  <c r="AB6" i="27" s="1"/>
  <c r="E6" i="27" s="1"/>
  <c r="AA6" i="27"/>
  <c r="D6" i="27" s="1"/>
  <c r="V6" i="27"/>
  <c r="AB5" i="27" a="1"/>
  <c r="AB5" i="27" s="1"/>
  <c r="E5" i="27" s="1"/>
  <c r="AA5" i="27"/>
  <c r="D5" i="27" s="1"/>
  <c r="V5" i="27"/>
  <c r="AB4" i="27" a="1"/>
  <c r="AB4" i="27" s="1"/>
  <c r="E4" i="27" s="1"/>
  <c r="AA4" i="27"/>
  <c r="D4" i="27" s="1"/>
  <c r="V4" i="27"/>
  <c r="AB3" i="27" a="1"/>
  <c r="AB3" i="27" s="1"/>
  <c r="E3" i="27" s="1"/>
  <c r="AA3" i="27"/>
  <c r="D3" i="27" s="1"/>
  <c r="V3" i="27"/>
  <c r="O114" i="25"/>
  <c r="O113" i="25"/>
  <c r="O112" i="25"/>
  <c r="O111" i="25"/>
  <c r="O110" i="25"/>
  <c r="O109" i="25"/>
  <c r="O108" i="25"/>
  <c r="O107" i="25"/>
  <c r="O106" i="25"/>
  <c r="O105" i="25"/>
  <c r="O104" i="25"/>
  <c r="O103" i="25"/>
  <c r="O102" i="25"/>
  <c r="A103" i="25" s="1"/>
  <c r="O101" i="25"/>
  <c r="A102" i="25" s="1"/>
  <c r="O100" i="25"/>
  <c r="A101" i="25" s="1"/>
  <c r="O99" i="25"/>
  <c r="A100" i="25" s="1"/>
  <c r="O98" i="25"/>
  <c r="A99" i="25" s="1"/>
  <c r="O97" i="25"/>
  <c r="A98" i="25" s="1"/>
  <c r="O96" i="25"/>
  <c r="A97" i="25" s="1"/>
  <c r="O95" i="25"/>
  <c r="A96" i="25" s="1"/>
  <c r="O94" i="25"/>
  <c r="A95" i="25" s="1"/>
  <c r="O93" i="25"/>
  <c r="A94" i="25" s="1"/>
  <c r="O92" i="25"/>
  <c r="A93" i="25" s="1"/>
  <c r="O91" i="25"/>
  <c r="A92" i="25" s="1"/>
  <c r="O90" i="25"/>
  <c r="A91" i="25" s="1"/>
  <c r="O89" i="25"/>
  <c r="A90" i="25" s="1"/>
  <c r="O88" i="25"/>
  <c r="A89" i="25" s="1"/>
  <c r="O87" i="25"/>
  <c r="A88" i="25" s="1"/>
  <c r="O86" i="25"/>
  <c r="A87" i="25" s="1"/>
  <c r="O85" i="25"/>
  <c r="A86" i="25" s="1"/>
  <c r="O84" i="25"/>
  <c r="A85" i="25" s="1"/>
  <c r="O83" i="25"/>
  <c r="A84" i="25" s="1"/>
  <c r="O82" i="25"/>
  <c r="A83" i="25" s="1"/>
  <c r="O81" i="25"/>
  <c r="A82" i="25" s="1"/>
  <c r="O80" i="25"/>
  <c r="A81" i="25" s="1"/>
  <c r="O79" i="25"/>
  <c r="A80" i="25" s="1"/>
  <c r="O78" i="25"/>
  <c r="A79" i="25" s="1"/>
  <c r="O77" i="25"/>
  <c r="A78" i="25" s="1"/>
  <c r="O76" i="25"/>
  <c r="A77" i="25" s="1"/>
  <c r="O75" i="25"/>
  <c r="A76" i="25" s="1"/>
  <c r="O74" i="25"/>
  <c r="A75" i="25" s="1"/>
  <c r="O73" i="25"/>
  <c r="A74" i="25" s="1"/>
  <c r="O72" i="25"/>
  <c r="A73" i="25" s="1"/>
  <c r="O71" i="25"/>
  <c r="A72" i="25" s="1"/>
  <c r="O70" i="25"/>
  <c r="A71" i="25" s="1"/>
  <c r="O69" i="25"/>
  <c r="A70" i="25" s="1"/>
  <c r="O68" i="25"/>
  <c r="A69" i="25" s="1"/>
  <c r="O67" i="25"/>
  <c r="A68" i="25" s="1"/>
  <c r="O66" i="25"/>
  <c r="A67" i="25" s="1"/>
  <c r="O65" i="25"/>
  <c r="A66" i="25" s="1"/>
  <c r="O64" i="25"/>
  <c r="A65" i="25" s="1"/>
  <c r="O63" i="25"/>
  <c r="A64" i="25" s="1"/>
  <c r="O62" i="25"/>
  <c r="A63" i="25" s="1"/>
  <c r="O61" i="25"/>
  <c r="A62" i="25" s="1"/>
  <c r="O60" i="25"/>
  <c r="A61" i="25" s="1"/>
  <c r="O59" i="25"/>
  <c r="A60" i="25" s="1"/>
  <c r="O58" i="25"/>
  <c r="A59" i="25" s="1"/>
  <c r="O57" i="25"/>
  <c r="A58" i="25" s="1"/>
  <c r="O56" i="25"/>
  <c r="A57" i="25" s="1"/>
  <c r="O55" i="25"/>
  <c r="A56" i="25" s="1"/>
  <c r="O54" i="25"/>
  <c r="A55" i="25" s="1"/>
  <c r="O53" i="25"/>
  <c r="A54" i="25" s="1"/>
  <c r="O52" i="25"/>
  <c r="A53" i="25" s="1"/>
  <c r="O51" i="25"/>
  <c r="A52" i="25" s="1"/>
  <c r="O50" i="25"/>
  <c r="A51" i="25" s="1"/>
  <c r="O49" i="25"/>
  <c r="A50" i="25" s="1"/>
  <c r="O48" i="25"/>
  <c r="A49" i="25" s="1"/>
  <c r="O47" i="25"/>
  <c r="A48" i="25" s="1"/>
  <c r="O46" i="25"/>
  <c r="A47" i="25" s="1"/>
  <c r="O45" i="25"/>
  <c r="A46" i="25" s="1"/>
  <c r="O44" i="25"/>
  <c r="A45" i="25" s="1"/>
  <c r="O43" i="25"/>
  <c r="A44" i="25" s="1"/>
  <c r="O42" i="25"/>
  <c r="A43" i="25" s="1"/>
  <c r="O41" i="25"/>
  <c r="A42" i="25" s="1"/>
  <c r="O40" i="25"/>
  <c r="A41" i="25" s="1"/>
  <c r="O39" i="25"/>
  <c r="A40" i="25" s="1"/>
  <c r="O38" i="25"/>
  <c r="A39" i="25" s="1"/>
  <c r="O37" i="25"/>
  <c r="A38" i="25" s="1"/>
  <c r="O36" i="25"/>
  <c r="A37" i="25" s="1"/>
  <c r="O35" i="25"/>
  <c r="A36" i="25" s="1"/>
  <c r="O34" i="25"/>
  <c r="A35" i="25" s="1"/>
  <c r="O33" i="25"/>
  <c r="A34" i="25" s="1"/>
  <c r="O32" i="25"/>
  <c r="A33" i="25" s="1"/>
  <c r="O31" i="25"/>
  <c r="A32" i="25" s="1"/>
  <c r="O30" i="25"/>
  <c r="A31" i="25" s="1"/>
  <c r="O29" i="25"/>
  <c r="A30" i="25" s="1"/>
  <c r="O28" i="25"/>
  <c r="A29" i="25" s="1"/>
  <c r="O27" i="25"/>
  <c r="A28" i="25" s="1"/>
  <c r="O26" i="25"/>
  <c r="A27" i="25" s="1"/>
  <c r="O25" i="25"/>
  <c r="A26" i="25" s="1"/>
  <c r="O24" i="25"/>
  <c r="A25" i="25" s="1"/>
  <c r="O23" i="25"/>
  <c r="A24" i="25" s="1"/>
  <c r="O22" i="25"/>
  <c r="A23" i="25" s="1"/>
  <c r="O21" i="25"/>
  <c r="A22" i="25" s="1"/>
  <c r="O20" i="25"/>
  <c r="A21" i="25" s="1"/>
  <c r="O19" i="25"/>
  <c r="A20" i="25" s="1"/>
  <c r="O18" i="25"/>
  <c r="A19" i="25" s="1"/>
  <c r="O17" i="25"/>
  <c r="A18" i="25" s="1"/>
  <c r="O16" i="25"/>
  <c r="A17" i="25" s="1"/>
  <c r="O15" i="25"/>
  <c r="A16" i="25" s="1"/>
  <c r="O14" i="25"/>
  <c r="A15" i="25" s="1"/>
  <c r="O13" i="25"/>
  <c r="A14" i="25" s="1"/>
  <c r="O12" i="25"/>
  <c r="A13" i="25" s="1"/>
  <c r="O11" i="25"/>
  <c r="A12" i="25" s="1"/>
  <c r="O10" i="25"/>
  <c r="A11" i="25" s="1"/>
  <c r="O9" i="25"/>
  <c r="A10" i="25" s="1"/>
  <c r="O8" i="25"/>
  <c r="A9" i="25" s="1"/>
  <c r="O7" i="25"/>
  <c r="A8" i="25" s="1"/>
  <c r="O6" i="25"/>
  <c r="A7" i="25" s="1"/>
  <c r="O5" i="25"/>
  <c r="A6" i="25" s="1"/>
  <c r="O4" i="25"/>
  <c r="A5" i="25" s="1"/>
  <c r="O3" i="25"/>
  <c r="A4" i="25" s="1"/>
  <c r="O2" i="25"/>
  <c r="A3" i="25" s="1"/>
  <c r="G6" i="22"/>
  <c r="G5" i="22"/>
  <c r="G4" i="22"/>
  <c r="G3" i="22"/>
  <c r="D22" i="21" a="1"/>
  <c r="D22" i="21" s="1"/>
  <c r="B22" i="21" a="1"/>
  <c r="B22" i="21" s="1"/>
  <c r="D21" i="21" a="1"/>
  <c r="D21" i="21" s="1"/>
  <c r="B21" i="21" a="1"/>
  <c r="B21" i="21" s="1"/>
  <c r="D20" i="21" a="1"/>
  <c r="D20" i="21" s="1"/>
  <c r="B20" i="21" a="1"/>
  <c r="B20" i="21" s="1"/>
  <c r="D19" i="21" a="1"/>
  <c r="D19" i="21" s="1"/>
  <c r="B19" i="21" a="1"/>
  <c r="B19" i="21" s="1"/>
  <c r="D18" i="21" a="1"/>
  <c r="D18" i="21" s="1"/>
  <c r="B18" i="21" a="1"/>
  <c r="B18" i="21" s="1"/>
  <c r="D17" i="21" a="1"/>
  <c r="D17" i="21" s="1"/>
  <c r="B17" i="21" a="1"/>
  <c r="B17" i="21" s="1"/>
  <c r="D16" i="21" a="1"/>
  <c r="D16" i="21" s="1"/>
  <c r="B16" i="21" a="1"/>
  <c r="B16" i="21" s="1"/>
  <c r="D15" i="21" a="1"/>
  <c r="D15" i="21" s="1"/>
  <c r="B15" i="21" a="1"/>
  <c r="B15" i="21" s="1"/>
  <c r="D14" i="21" a="1"/>
  <c r="D14" i="21" s="1"/>
  <c r="B14" i="21" a="1"/>
  <c r="B14" i="21" s="1"/>
  <c r="D13" i="21" a="1"/>
  <c r="D13" i="21" s="1"/>
  <c r="B13" i="21" a="1"/>
  <c r="B13" i="21" s="1"/>
  <c r="D12" i="21" a="1"/>
  <c r="D12" i="21" s="1"/>
  <c r="B12" i="21" a="1"/>
  <c r="B12" i="21" s="1"/>
  <c r="D11" i="21" a="1"/>
  <c r="D11" i="21" s="1"/>
  <c r="B11" i="21" a="1"/>
  <c r="B11" i="21" s="1"/>
  <c r="D10" i="21" a="1"/>
  <c r="D10" i="21" s="1"/>
  <c r="B10" i="21" a="1"/>
  <c r="B10" i="21" s="1"/>
  <c r="D9" i="21" a="1"/>
  <c r="D9" i="21" s="1"/>
  <c r="B9" i="21" a="1"/>
  <c r="B9" i="21" s="1"/>
  <c r="D8" i="21" a="1"/>
  <c r="D8" i="21" s="1"/>
  <c r="B8" i="21" a="1"/>
  <c r="B8" i="21" s="1"/>
  <c r="D7" i="21" a="1"/>
  <c r="D7" i="21" s="1"/>
  <c r="B7" i="21" a="1"/>
  <c r="B7" i="21" s="1"/>
  <c r="D6" i="21" a="1"/>
  <c r="D6" i="21" s="1"/>
  <c r="B6" i="21" a="1"/>
  <c r="B6" i="21" s="1"/>
  <c r="D5" i="21" a="1"/>
  <c r="D5" i="21" s="1"/>
  <c r="B5" i="21" a="1"/>
  <c r="B5" i="21" s="1"/>
  <c r="D4" i="21" a="1"/>
  <c r="D4" i="21" s="1"/>
  <c r="B4" i="21" a="1"/>
  <c r="B4" i="21" s="1"/>
  <c r="D3" i="21" a="1"/>
  <c r="D3" i="21" s="1"/>
  <c r="B3" i="21" a="1"/>
  <c r="B3" i="21" s="1"/>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D72" i="14" a="1"/>
  <c r="D72" i="14" s="1"/>
  <c r="B72" i="14" a="1"/>
  <c r="B72" i="14" s="1"/>
  <c r="D71" i="14" a="1"/>
  <c r="D71" i="14" s="1"/>
  <c r="B71" i="14" a="1"/>
  <c r="B71" i="14" s="1"/>
  <c r="D70" i="14" a="1"/>
  <c r="D70" i="14" s="1"/>
  <c r="B70" i="14" a="1"/>
  <c r="B70" i="14" s="1"/>
  <c r="D69" i="14" a="1"/>
  <c r="D69" i="14" s="1"/>
  <c r="B69" i="14" a="1"/>
  <c r="B69" i="14" s="1"/>
  <c r="D68" i="14" a="1"/>
  <c r="D68" i="14" s="1"/>
  <c r="B68" i="14" a="1"/>
  <c r="B68" i="14" s="1"/>
  <c r="D67" i="14" a="1"/>
  <c r="D67" i="14" s="1"/>
  <c r="B67" i="14" a="1"/>
  <c r="B67" i="14" s="1"/>
  <c r="D66" i="14" a="1"/>
  <c r="D66" i="14" s="1"/>
  <c r="B66" i="14" a="1"/>
  <c r="B66" i="14" s="1"/>
  <c r="D65" i="14" a="1"/>
  <c r="D65" i="14" s="1"/>
  <c r="B65" i="14" a="1"/>
  <c r="B65" i="14" s="1"/>
  <c r="D64" i="14" a="1"/>
  <c r="D64" i="14" s="1"/>
  <c r="B64" i="14" a="1"/>
  <c r="B64" i="14" s="1"/>
  <c r="D63" i="14" a="1"/>
  <c r="D63" i="14" s="1"/>
  <c r="B63" i="14" a="1"/>
  <c r="B63" i="14" s="1"/>
  <c r="D62" i="14" a="1"/>
  <c r="D62" i="14" s="1"/>
  <c r="B62" i="14" a="1"/>
  <c r="B62" i="14" s="1"/>
  <c r="D61" i="14" a="1"/>
  <c r="D61" i="14" s="1"/>
  <c r="B61" i="14" a="1"/>
  <c r="B61" i="14" s="1"/>
  <c r="D60" i="14" a="1"/>
  <c r="D60" i="14" s="1"/>
  <c r="B60" i="14" a="1"/>
  <c r="B60" i="14" s="1"/>
  <c r="D59" i="14" a="1"/>
  <c r="D59" i="14" s="1"/>
  <c r="B59" i="14" a="1"/>
  <c r="B59" i="14" s="1"/>
  <c r="D58" i="14" a="1"/>
  <c r="D58" i="14" s="1"/>
  <c r="B58" i="14" a="1"/>
  <c r="B58" i="14" s="1"/>
  <c r="D57" i="14" a="1"/>
  <c r="D57" i="14" s="1"/>
  <c r="B57" i="14" a="1"/>
  <c r="B57" i="14" s="1"/>
  <c r="D56" i="14" a="1"/>
  <c r="D56" i="14" s="1"/>
  <c r="B56" i="14" a="1"/>
  <c r="B56" i="14" s="1"/>
  <c r="D55" i="14" a="1"/>
  <c r="D55" i="14" s="1"/>
  <c r="B55" i="14" a="1"/>
  <c r="B55" i="14" s="1"/>
  <c r="D54" i="14" a="1"/>
  <c r="D54" i="14" s="1"/>
  <c r="B54" i="14" a="1"/>
  <c r="B54" i="14" s="1"/>
  <c r="D53" i="14" a="1"/>
  <c r="D53" i="14" s="1"/>
  <c r="B53" i="14" a="1"/>
  <c r="B53" i="14" s="1"/>
  <c r="D52" i="14" a="1"/>
  <c r="D52" i="14" s="1"/>
  <c r="B52" i="14" a="1"/>
  <c r="B52" i="14" s="1"/>
  <c r="D51" i="14" a="1"/>
  <c r="D51" i="14" s="1"/>
  <c r="B51" i="14" a="1"/>
  <c r="B51" i="14" s="1"/>
  <c r="D50" i="14" a="1"/>
  <c r="D50" i="14" s="1"/>
  <c r="B50" i="14" a="1"/>
  <c r="B50" i="14" s="1"/>
  <c r="D49" i="14" a="1"/>
  <c r="D49" i="14" s="1"/>
  <c r="B49" i="14" a="1"/>
  <c r="B49" i="14" s="1"/>
  <c r="D48" i="14" a="1"/>
  <c r="D48" i="14" s="1"/>
  <c r="B48" i="14" a="1"/>
  <c r="B48" i="14" s="1"/>
  <c r="D47" i="14" a="1"/>
  <c r="D47" i="14" s="1"/>
  <c r="B47" i="14" a="1"/>
  <c r="B47" i="14" s="1"/>
  <c r="D46" i="14" a="1"/>
  <c r="D46" i="14" s="1"/>
  <c r="B46" i="14" a="1"/>
  <c r="B46" i="14" s="1"/>
  <c r="D45" i="14" a="1"/>
  <c r="D45" i="14" s="1"/>
  <c r="B45" i="14" a="1"/>
  <c r="B45" i="14" s="1"/>
  <c r="D44" i="14" a="1"/>
  <c r="D44" i="14" s="1"/>
  <c r="B44" i="14" a="1"/>
  <c r="B44" i="14" s="1"/>
  <c r="D43" i="14" a="1"/>
  <c r="D43" i="14" s="1"/>
  <c r="B43" i="14" a="1"/>
  <c r="B43" i="14" s="1"/>
  <c r="D42" i="14" a="1"/>
  <c r="D42" i="14" s="1"/>
  <c r="B42" i="14" a="1"/>
  <c r="B42" i="14" s="1"/>
  <c r="D41" i="14" a="1"/>
  <c r="D41" i="14" s="1"/>
  <c r="B41" i="14" a="1"/>
  <c r="B41" i="14" s="1"/>
  <c r="D40" i="14" a="1"/>
  <c r="D40" i="14" s="1"/>
  <c r="B40" i="14" a="1"/>
  <c r="B40" i="14" s="1"/>
  <c r="D39" i="14" a="1"/>
  <c r="D39" i="14" s="1"/>
  <c r="B39" i="14" a="1"/>
  <c r="B39" i="14" s="1"/>
  <c r="D38" i="14" a="1"/>
  <c r="D38" i="14" s="1"/>
  <c r="B38" i="14" a="1"/>
  <c r="B38" i="14" s="1"/>
  <c r="D37" i="14" a="1"/>
  <c r="D37" i="14" s="1"/>
  <c r="B37" i="14" a="1"/>
  <c r="B37" i="14" s="1"/>
  <c r="D36" i="14" a="1"/>
  <c r="D36" i="14" s="1"/>
  <c r="B36" i="14" a="1"/>
  <c r="B36" i="14" s="1"/>
  <c r="D35" i="14" a="1"/>
  <c r="D35" i="14" s="1"/>
  <c r="B35" i="14" a="1"/>
  <c r="B35" i="14" s="1"/>
  <c r="D34" i="14" a="1"/>
  <c r="D34" i="14" s="1"/>
  <c r="B34" i="14" a="1"/>
  <c r="B34" i="14" s="1"/>
  <c r="D33" i="14" a="1"/>
  <c r="D33" i="14" s="1"/>
  <c r="B33" i="14" a="1"/>
  <c r="B33" i="14" s="1"/>
  <c r="D32" i="14" a="1"/>
  <c r="D32" i="14" s="1"/>
  <c r="B32" i="14" a="1"/>
  <c r="B32" i="14" s="1"/>
  <c r="D31" i="14" a="1"/>
  <c r="D31" i="14" s="1"/>
  <c r="B31" i="14" a="1"/>
  <c r="B31" i="14" s="1"/>
  <c r="D30" i="14" a="1"/>
  <c r="D30" i="14" s="1"/>
  <c r="B30" i="14" a="1"/>
  <c r="B30" i="14" s="1"/>
  <c r="D29" i="14" a="1"/>
  <c r="D29" i="14" s="1"/>
  <c r="B29" i="14" a="1"/>
  <c r="B29" i="14" s="1"/>
  <c r="D28" i="14" a="1"/>
  <c r="D28" i="14" s="1"/>
  <c r="B28" i="14" a="1"/>
  <c r="B28" i="14" s="1"/>
  <c r="D27" i="14" a="1"/>
  <c r="D27" i="14" s="1"/>
  <c r="B27" i="14" a="1"/>
  <c r="B27" i="14" s="1"/>
  <c r="D26" i="14" a="1"/>
  <c r="D26" i="14" s="1"/>
  <c r="B26" i="14" a="1"/>
  <c r="B26" i="14" s="1"/>
  <c r="D25" i="14" a="1"/>
  <c r="D25" i="14" s="1"/>
  <c r="B25" i="14" a="1"/>
  <c r="B25" i="14" s="1"/>
  <c r="D24" i="14" a="1"/>
  <c r="D24" i="14" s="1"/>
  <c r="B24" i="14" a="1"/>
  <c r="B24" i="14" s="1"/>
  <c r="D23" i="14" a="1"/>
  <c r="D23" i="14" s="1"/>
  <c r="B23" i="14" a="1"/>
  <c r="B23" i="14" s="1"/>
  <c r="D22" i="14" a="1"/>
  <c r="D22" i="14" s="1"/>
  <c r="B22" i="14" a="1"/>
  <c r="B22" i="14" s="1"/>
  <c r="D21" i="14" a="1"/>
  <c r="D21" i="14" s="1"/>
  <c r="B21" i="14" a="1"/>
  <c r="B21" i="14" s="1"/>
  <c r="D20" i="14" a="1"/>
  <c r="D20" i="14" s="1"/>
  <c r="B20" i="14" a="1"/>
  <c r="B20" i="14" s="1"/>
  <c r="D19" i="14" a="1"/>
  <c r="D19" i="14" s="1"/>
  <c r="B19" i="14" a="1"/>
  <c r="B19" i="14" s="1"/>
  <c r="D18" i="14" a="1"/>
  <c r="D18" i="14" s="1"/>
  <c r="B18" i="14" a="1"/>
  <c r="B18" i="14" s="1"/>
  <c r="D17" i="14" a="1"/>
  <c r="D17" i="14" s="1"/>
  <c r="B17" i="14" a="1"/>
  <c r="B17" i="14" s="1"/>
  <c r="D16" i="14" a="1"/>
  <c r="D16" i="14" s="1"/>
  <c r="B16" i="14" a="1"/>
  <c r="B16" i="14" s="1"/>
  <c r="D15" i="14" a="1"/>
  <c r="D15" i="14" s="1"/>
  <c r="B15" i="14" a="1"/>
  <c r="B15" i="14" s="1"/>
  <c r="D14" i="14" a="1"/>
  <c r="D14" i="14" s="1"/>
  <c r="B14" i="14" a="1"/>
  <c r="B14" i="14" s="1"/>
  <c r="D13" i="14" a="1"/>
  <c r="D13" i="14" s="1"/>
  <c r="B13" i="14" a="1"/>
  <c r="B13" i="14" s="1"/>
  <c r="D12" i="14" a="1"/>
  <c r="D12" i="14" s="1"/>
  <c r="B12" i="14" a="1"/>
  <c r="B12" i="14" s="1"/>
  <c r="D11" i="14" a="1"/>
  <c r="D11" i="14" s="1"/>
  <c r="B11" i="14" a="1"/>
  <c r="B11" i="14" s="1"/>
  <c r="D10" i="14" a="1"/>
  <c r="D10" i="14" s="1"/>
  <c r="B10" i="14" a="1"/>
  <c r="B10" i="14" s="1"/>
  <c r="D9" i="14" a="1"/>
  <c r="D9" i="14" s="1"/>
  <c r="B9" i="14" a="1"/>
  <c r="B9" i="14" s="1"/>
  <c r="D8" i="14" a="1"/>
  <c r="D8" i="14" s="1"/>
  <c r="B8" i="14" a="1"/>
  <c r="B8" i="14" s="1"/>
  <c r="D7" i="14" a="1"/>
  <c r="D7" i="14" s="1"/>
  <c r="B7" i="14" a="1"/>
  <c r="B7" i="14" s="1"/>
  <c r="D6" i="14" a="1"/>
  <c r="D6" i="14" s="1"/>
  <c r="B6" i="14" a="1"/>
  <c r="B6" i="14" s="1"/>
  <c r="D5" i="14" a="1"/>
  <c r="D5" i="14" s="1"/>
  <c r="B5" i="14" a="1"/>
  <c r="B5" i="14" s="1"/>
  <c r="D4" i="14" a="1"/>
  <c r="D4" i="14" s="1"/>
  <c r="B4" i="14" a="1"/>
  <c r="B4" i="14" s="1"/>
  <c r="D3" i="14" a="1"/>
  <c r="D3" i="14" s="1"/>
  <c r="B3" i="14" a="1"/>
  <c r="B3" i="14" s="1"/>
  <c r="D139" i="7" a="1"/>
  <c r="D139" i="7" s="1"/>
  <c r="B139" i="7" a="1"/>
  <c r="B139" i="7" s="1"/>
  <c r="D138" i="7" a="1"/>
  <c r="D138" i="7" s="1"/>
  <c r="B138" i="7" a="1"/>
  <c r="B138" i="7" s="1"/>
  <c r="D137" i="7" a="1"/>
  <c r="D137" i="7" s="1"/>
  <c r="B137" i="7" a="1"/>
  <c r="B137" i="7" s="1"/>
  <c r="D136" i="7" a="1"/>
  <c r="D136" i="7" s="1"/>
  <c r="B136" i="7" a="1"/>
  <c r="B136" i="7" s="1"/>
  <c r="D135" i="7" a="1"/>
  <c r="D135" i="7" s="1"/>
  <c r="B135" i="7" a="1"/>
  <c r="B135" i="7" s="1"/>
  <c r="D134" i="7" a="1"/>
  <c r="D134" i="7" s="1"/>
  <c r="B134" i="7" a="1"/>
  <c r="B134" i="7" s="1"/>
  <c r="D133" i="7" a="1"/>
  <c r="D133" i="7" s="1"/>
  <c r="B133" i="7" a="1"/>
  <c r="B133" i="7" s="1"/>
  <c r="D132" i="7" a="1"/>
  <c r="D132" i="7" s="1"/>
  <c r="B132" i="7" a="1"/>
  <c r="B132" i="7" s="1"/>
  <c r="D131" i="7" a="1"/>
  <c r="D131" i="7" s="1"/>
  <c r="B131" i="7" a="1"/>
  <c r="B131" i="7" s="1"/>
  <c r="D130" i="7" a="1"/>
  <c r="D130" i="7" s="1"/>
  <c r="B130" i="7" a="1"/>
  <c r="B130" i="7" s="1"/>
  <c r="D129" i="7" a="1"/>
  <c r="D129" i="7" s="1"/>
  <c r="B129" i="7" a="1"/>
  <c r="B129" i="7" s="1"/>
  <c r="D128" i="7" a="1"/>
  <c r="D128" i="7" s="1"/>
  <c r="B128" i="7" a="1"/>
  <c r="B128" i="7" s="1"/>
  <c r="D127" i="7" a="1"/>
  <c r="D127" i="7" s="1"/>
  <c r="B127" i="7" a="1"/>
  <c r="B127" i="7" s="1"/>
  <c r="D126" i="7" a="1"/>
  <c r="D126" i="7" s="1"/>
  <c r="B126" i="7" a="1"/>
  <c r="B126" i="7" s="1"/>
  <c r="D125" i="7" a="1"/>
  <c r="D125" i="7" s="1"/>
  <c r="B125" i="7" a="1"/>
  <c r="B125" i="7" s="1"/>
  <c r="D124" i="7" a="1"/>
  <c r="D124" i="7" s="1"/>
  <c r="B124" i="7" a="1"/>
  <c r="B124" i="7" s="1"/>
  <c r="D123" i="7" a="1"/>
  <c r="D123" i="7" s="1"/>
  <c r="B123" i="7" a="1"/>
  <c r="B123" i="7" s="1"/>
  <c r="D122" i="7" a="1"/>
  <c r="D122" i="7" s="1"/>
  <c r="B122" i="7" a="1"/>
  <c r="B122" i="7" s="1"/>
  <c r="D121" i="7" a="1"/>
  <c r="D121" i="7" s="1"/>
  <c r="B121" i="7" a="1"/>
  <c r="B121" i="7" s="1"/>
  <c r="D120" i="7" a="1"/>
  <c r="D120" i="7" s="1"/>
  <c r="B120" i="7" a="1"/>
  <c r="B120" i="7" s="1"/>
  <c r="D119" i="7" a="1"/>
  <c r="D119" i="7" s="1"/>
  <c r="B119" i="7" a="1"/>
  <c r="B119" i="7" s="1"/>
  <c r="D118" i="7" a="1"/>
  <c r="D118" i="7" s="1"/>
  <c r="B118" i="7" a="1"/>
  <c r="B118" i="7" s="1"/>
  <c r="D117" i="7" a="1"/>
  <c r="D117" i="7" s="1"/>
  <c r="B117" i="7" a="1"/>
  <c r="B117" i="7" s="1"/>
  <c r="D116" i="7" a="1"/>
  <c r="D116" i="7" s="1"/>
  <c r="B116" i="7" a="1"/>
  <c r="B116" i="7" s="1"/>
  <c r="D115" i="7" a="1"/>
  <c r="D115" i="7" s="1"/>
  <c r="B115" i="7" a="1"/>
  <c r="B115" i="7" s="1"/>
  <c r="D114" i="7" a="1"/>
  <c r="D114" i="7" s="1"/>
  <c r="B114" i="7" a="1"/>
  <c r="B114" i="7" s="1"/>
  <c r="D113" i="7" a="1"/>
  <c r="D113" i="7" s="1"/>
  <c r="B113" i="7" a="1"/>
  <c r="B113" i="7" s="1"/>
  <c r="D112" i="7" a="1"/>
  <c r="D112" i="7" s="1"/>
  <c r="B112" i="7" a="1"/>
  <c r="B112" i="7" s="1"/>
  <c r="D111" i="7" a="1"/>
  <c r="D111" i="7" s="1"/>
  <c r="B111" i="7" a="1"/>
  <c r="B111" i="7" s="1"/>
  <c r="D110" i="7" a="1"/>
  <c r="D110" i="7" s="1"/>
  <c r="B110" i="7" a="1"/>
  <c r="B110" i="7" s="1"/>
  <c r="D109" i="7" a="1"/>
  <c r="D109" i="7" s="1"/>
  <c r="B109" i="7" a="1"/>
  <c r="B109" i="7" s="1"/>
  <c r="D108" i="7" a="1"/>
  <c r="D108" i="7" s="1"/>
  <c r="B108" i="7" a="1"/>
  <c r="B108" i="7" s="1"/>
  <c r="D107" i="7" a="1"/>
  <c r="D107" i="7" s="1"/>
  <c r="B107" i="7" a="1"/>
  <c r="B107" i="7" s="1"/>
  <c r="D106" i="7" a="1"/>
  <c r="D106" i="7" s="1"/>
  <c r="B106" i="7" a="1"/>
  <c r="B106" i="7" s="1"/>
  <c r="D105" i="7" a="1"/>
  <c r="D105" i="7" s="1"/>
  <c r="B105" i="7" a="1"/>
  <c r="B105" i="7" s="1"/>
  <c r="D104" i="7" a="1"/>
  <c r="D104" i="7" s="1"/>
  <c r="B104" i="7" a="1"/>
  <c r="B104" i="7" s="1"/>
  <c r="D103" i="7" a="1"/>
  <c r="D103" i="7" s="1"/>
  <c r="B103" i="7" a="1"/>
  <c r="B103" i="7" s="1"/>
  <c r="D102" i="7" a="1"/>
  <c r="D102" i="7" s="1"/>
  <c r="B102" i="7" a="1"/>
  <c r="B102" i="7" s="1"/>
  <c r="D101" i="7" a="1"/>
  <c r="D101" i="7" s="1"/>
  <c r="B101" i="7" a="1"/>
  <c r="B101" i="7" s="1"/>
  <c r="D100" i="7" a="1"/>
  <c r="D100" i="7" s="1"/>
  <c r="B100" i="7" a="1"/>
  <c r="B100" i="7" s="1"/>
  <c r="D99" i="7" a="1"/>
  <c r="D99" i="7" s="1"/>
  <c r="B99" i="7" a="1"/>
  <c r="B99" i="7" s="1"/>
  <c r="D98" i="7" a="1"/>
  <c r="D98" i="7" s="1"/>
  <c r="B98" i="7" a="1"/>
  <c r="B98" i="7" s="1"/>
  <c r="D97" i="7" a="1"/>
  <c r="D97" i="7" s="1"/>
  <c r="B97" i="7" a="1"/>
  <c r="B97" i="7" s="1"/>
  <c r="D96" i="7" a="1"/>
  <c r="D96" i="7" s="1"/>
  <c r="B96" i="7" a="1"/>
  <c r="B96" i="7" s="1"/>
  <c r="D95" i="7" a="1"/>
  <c r="D95" i="7" s="1"/>
  <c r="B95" i="7" a="1"/>
  <c r="B95" i="7" s="1"/>
  <c r="D94" i="7" a="1"/>
  <c r="D94" i="7" s="1"/>
  <c r="B94" i="7" a="1"/>
  <c r="B94" i="7" s="1"/>
  <c r="D93" i="7" a="1"/>
  <c r="D93" i="7" s="1"/>
  <c r="B93" i="7" a="1"/>
  <c r="B93" i="7" s="1"/>
  <c r="D92" i="7" a="1"/>
  <c r="D92" i="7" s="1"/>
  <c r="B92" i="7" a="1"/>
  <c r="B92" i="7" s="1"/>
  <c r="D91" i="7" a="1"/>
  <c r="D91" i="7" s="1"/>
  <c r="B91" i="7" a="1"/>
  <c r="B91" i="7" s="1"/>
  <c r="D90" i="7" a="1"/>
  <c r="D90" i="7" s="1"/>
  <c r="B90" i="7" a="1"/>
  <c r="B90" i="7" s="1"/>
  <c r="D89" i="7" a="1"/>
  <c r="D89" i="7" s="1"/>
  <c r="B89" i="7" a="1"/>
  <c r="B89" i="7" s="1"/>
  <c r="D88" i="7" a="1"/>
  <c r="D88" i="7" s="1"/>
  <c r="B88" i="7" a="1"/>
  <c r="B88" i="7" s="1"/>
  <c r="D87" i="7" a="1"/>
  <c r="D87" i="7" s="1"/>
  <c r="B87" i="7" a="1"/>
  <c r="B87" i="7" s="1"/>
  <c r="D86" i="7" a="1"/>
  <c r="D86" i="7" s="1"/>
  <c r="B86" i="7" a="1"/>
  <c r="B86" i="7" s="1"/>
  <c r="D85" i="7" a="1"/>
  <c r="D85" i="7" s="1"/>
  <c r="B85" i="7" a="1"/>
  <c r="B85" i="7" s="1"/>
  <c r="D84" i="7" a="1"/>
  <c r="D84" i="7" s="1"/>
  <c r="B84" i="7" a="1"/>
  <c r="B84" i="7" s="1"/>
  <c r="D83" i="7" a="1"/>
  <c r="D83" i="7" s="1"/>
  <c r="B83" i="7" a="1"/>
  <c r="B83" i="7" s="1"/>
  <c r="D82" i="7" a="1"/>
  <c r="D82" i="7" s="1"/>
  <c r="B82" i="7" a="1"/>
  <c r="B82" i="7" s="1"/>
  <c r="D81" i="7" a="1"/>
  <c r="D81" i="7" s="1"/>
  <c r="B81" i="7" a="1"/>
  <c r="B81" i="7" s="1"/>
  <c r="D80" i="7" a="1"/>
  <c r="D80" i="7" s="1"/>
  <c r="B80" i="7" a="1"/>
  <c r="B80" i="7" s="1"/>
  <c r="D79" i="7" a="1"/>
  <c r="D79" i="7" s="1"/>
  <c r="B79" i="7" a="1"/>
  <c r="B79" i="7" s="1"/>
  <c r="D78" i="7" a="1"/>
  <c r="D78" i="7" s="1"/>
  <c r="B78" i="7" a="1"/>
  <c r="B78" i="7" s="1"/>
  <c r="D77" i="7" a="1"/>
  <c r="D77" i="7" s="1"/>
  <c r="B77" i="7" a="1"/>
  <c r="B77" i="7" s="1"/>
  <c r="D76" i="7" a="1"/>
  <c r="D76" i="7" s="1"/>
  <c r="B76" i="7" a="1"/>
  <c r="B76" i="7" s="1"/>
  <c r="D75" i="7" a="1"/>
  <c r="D75" i="7" s="1"/>
  <c r="B75" i="7" a="1"/>
  <c r="B75" i="7" s="1"/>
  <c r="D74" i="7" a="1"/>
  <c r="D74" i="7" s="1"/>
  <c r="B74" i="7" a="1"/>
  <c r="B74" i="7" s="1"/>
  <c r="D73" i="7" a="1"/>
  <c r="D73" i="7" s="1"/>
  <c r="B73" i="7" a="1"/>
  <c r="B73" i="7" s="1"/>
  <c r="D72" i="7" a="1"/>
  <c r="D72" i="7" s="1"/>
  <c r="B72" i="7" a="1"/>
  <c r="B72" i="7" s="1"/>
  <c r="D71" i="7" a="1"/>
  <c r="D71" i="7" s="1"/>
  <c r="B71" i="7" a="1"/>
  <c r="B71" i="7" s="1"/>
  <c r="D70" i="7" a="1"/>
  <c r="D70" i="7" s="1"/>
  <c r="B70" i="7" a="1"/>
  <c r="B70" i="7" s="1"/>
  <c r="D69" i="7" a="1"/>
  <c r="D69" i="7" s="1"/>
  <c r="B69" i="7" a="1"/>
  <c r="B69" i="7" s="1"/>
  <c r="D68" i="7" a="1"/>
  <c r="D68" i="7" s="1"/>
  <c r="B68" i="7" a="1"/>
  <c r="B68" i="7" s="1"/>
  <c r="D67" i="7" a="1"/>
  <c r="D67" i="7" s="1"/>
  <c r="B67" i="7" a="1"/>
  <c r="B67" i="7" s="1"/>
  <c r="D66" i="7" a="1"/>
  <c r="D66" i="7" s="1"/>
  <c r="B66" i="7" a="1"/>
  <c r="B66" i="7" s="1"/>
  <c r="D65" i="7" a="1"/>
  <c r="D65" i="7" s="1"/>
  <c r="B65" i="7" a="1"/>
  <c r="B65" i="7" s="1"/>
  <c r="D64" i="7" a="1"/>
  <c r="D64" i="7" s="1"/>
  <c r="B64" i="7" a="1"/>
  <c r="B64" i="7" s="1"/>
  <c r="D63" i="7" a="1"/>
  <c r="D63" i="7" s="1"/>
  <c r="B63" i="7" a="1"/>
  <c r="B63" i="7" s="1"/>
  <c r="D62" i="7" a="1"/>
  <c r="D62" i="7" s="1"/>
  <c r="B62" i="7" a="1"/>
  <c r="B62" i="7" s="1"/>
  <c r="D61" i="7" a="1"/>
  <c r="D61" i="7" s="1"/>
  <c r="B61" i="7" a="1"/>
  <c r="B61" i="7" s="1"/>
  <c r="D60" i="7" a="1"/>
  <c r="D60" i="7" s="1"/>
  <c r="B60" i="7" a="1"/>
  <c r="B60" i="7" s="1"/>
  <c r="D59" i="7" a="1"/>
  <c r="D59" i="7" s="1"/>
  <c r="B59" i="7" a="1"/>
  <c r="B59" i="7" s="1"/>
  <c r="D58" i="7" a="1"/>
  <c r="D58" i="7" s="1"/>
  <c r="B58" i="7" a="1"/>
  <c r="B58" i="7" s="1"/>
  <c r="D57" i="7" a="1"/>
  <c r="D57" i="7" s="1"/>
  <c r="B57" i="7" a="1"/>
  <c r="B57" i="7" s="1"/>
  <c r="D56" i="7" a="1"/>
  <c r="D56" i="7" s="1"/>
  <c r="B56" i="7" a="1"/>
  <c r="B56" i="7" s="1"/>
  <c r="D55" i="7" a="1"/>
  <c r="D55" i="7" s="1"/>
  <c r="B55" i="7" a="1"/>
  <c r="B55" i="7" s="1"/>
  <c r="D54" i="7" a="1"/>
  <c r="D54" i="7" s="1"/>
  <c r="B54" i="7" a="1"/>
  <c r="B54" i="7" s="1"/>
  <c r="D53" i="7" a="1"/>
  <c r="D53" i="7" s="1"/>
  <c r="B53" i="7" a="1"/>
  <c r="B53" i="7" s="1"/>
  <c r="D52" i="7" a="1"/>
  <c r="D52" i="7" s="1"/>
  <c r="B52" i="7" a="1"/>
  <c r="B52" i="7" s="1"/>
  <c r="D51" i="7" a="1"/>
  <c r="D51" i="7" s="1"/>
  <c r="B51" i="7" a="1"/>
  <c r="B51" i="7" s="1"/>
  <c r="D50" i="7" a="1"/>
  <c r="D50" i="7" s="1"/>
  <c r="B50" i="7" a="1"/>
  <c r="B50" i="7" s="1"/>
  <c r="D49" i="7" a="1"/>
  <c r="D49" i="7" s="1"/>
  <c r="B49" i="7" a="1"/>
  <c r="B49" i="7" s="1"/>
  <c r="D48" i="7" a="1"/>
  <c r="D48" i="7" s="1"/>
  <c r="B48" i="7" a="1"/>
  <c r="B48" i="7" s="1"/>
  <c r="D47" i="7" a="1"/>
  <c r="D47" i="7" s="1"/>
  <c r="B47" i="7" a="1"/>
  <c r="B47" i="7" s="1"/>
  <c r="D46" i="7" a="1"/>
  <c r="D46" i="7" s="1"/>
  <c r="B46" i="7" a="1"/>
  <c r="B46" i="7" s="1"/>
  <c r="D45" i="7" a="1"/>
  <c r="D45" i="7" s="1"/>
  <c r="B45" i="7" a="1"/>
  <c r="B45" i="7" s="1"/>
  <c r="D44" i="7" a="1"/>
  <c r="D44" i="7" s="1"/>
  <c r="B44" i="7" a="1"/>
  <c r="B44" i="7" s="1"/>
  <c r="D43" i="7" a="1"/>
  <c r="D43" i="7" s="1"/>
  <c r="B43" i="7" a="1"/>
  <c r="B43" i="7" s="1"/>
  <c r="D42" i="7" a="1"/>
  <c r="D42" i="7" s="1"/>
  <c r="B42" i="7" a="1"/>
  <c r="B42" i="7" s="1"/>
  <c r="D41" i="7" a="1"/>
  <c r="D41" i="7" s="1"/>
  <c r="B41" i="7" a="1"/>
  <c r="B41" i="7" s="1"/>
  <c r="D40" i="7" a="1"/>
  <c r="D40" i="7" s="1"/>
  <c r="B40" i="7" a="1"/>
  <c r="B40" i="7" s="1"/>
  <c r="D39" i="7" a="1"/>
  <c r="D39" i="7" s="1"/>
  <c r="B39" i="7" a="1"/>
  <c r="B39" i="7" s="1"/>
  <c r="D38" i="7" a="1"/>
  <c r="D38" i="7" s="1"/>
  <c r="B38" i="7" a="1"/>
  <c r="B38" i="7" s="1"/>
  <c r="D37" i="7" a="1"/>
  <c r="D37" i="7" s="1"/>
  <c r="B37" i="7" a="1"/>
  <c r="B37" i="7" s="1"/>
  <c r="D36" i="7" a="1"/>
  <c r="D36" i="7" s="1"/>
  <c r="B36" i="7" a="1"/>
  <c r="B36" i="7" s="1"/>
  <c r="D35" i="7" a="1"/>
  <c r="D35" i="7" s="1"/>
  <c r="B35" i="7" a="1"/>
  <c r="B35" i="7" s="1"/>
  <c r="D34" i="7" a="1"/>
  <c r="D34" i="7" s="1"/>
  <c r="B34" i="7" a="1"/>
  <c r="B34" i="7" s="1"/>
  <c r="D33" i="7" a="1"/>
  <c r="D33" i="7" s="1"/>
  <c r="B33" i="7" a="1"/>
  <c r="B33" i="7" s="1"/>
  <c r="D32" i="7" a="1"/>
  <c r="D32" i="7" s="1"/>
  <c r="B32" i="7" a="1"/>
  <c r="B32" i="7" s="1"/>
  <c r="D31" i="7" a="1"/>
  <c r="D31" i="7" s="1"/>
  <c r="B31" i="7" a="1"/>
  <c r="B31" i="7" s="1"/>
  <c r="D30" i="7" a="1"/>
  <c r="D30" i="7" s="1"/>
  <c r="B30" i="7" a="1"/>
  <c r="B30" i="7" s="1"/>
  <c r="D29" i="7" a="1"/>
  <c r="D29" i="7" s="1"/>
  <c r="B29" i="7" a="1"/>
  <c r="B29" i="7" s="1"/>
  <c r="D28" i="7" a="1"/>
  <c r="D28" i="7" s="1"/>
  <c r="B28" i="7" a="1"/>
  <c r="B28" i="7" s="1"/>
  <c r="D27" i="7" a="1"/>
  <c r="D27" i="7" s="1"/>
  <c r="B27" i="7" a="1"/>
  <c r="B27" i="7" s="1"/>
  <c r="D26" i="7" a="1"/>
  <c r="D26" i="7" s="1"/>
  <c r="B26" i="7" a="1"/>
  <c r="B26" i="7" s="1"/>
  <c r="D25" i="7" a="1"/>
  <c r="D25" i="7" s="1"/>
  <c r="B25" i="7" a="1"/>
  <c r="B25" i="7" s="1"/>
  <c r="D24" i="7" a="1"/>
  <c r="D24" i="7" s="1"/>
  <c r="B24" i="7" a="1"/>
  <c r="B24" i="7" s="1"/>
  <c r="D23" i="7" a="1"/>
  <c r="D23" i="7" s="1"/>
  <c r="B23" i="7" a="1"/>
  <c r="B23" i="7" s="1"/>
  <c r="D22" i="7" a="1"/>
  <c r="D22" i="7" s="1"/>
  <c r="B22" i="7" a="1"/>
  <c r="B22" i="7" s="1"/>
  <c r="D21" i="7" a="1"/>
  <c r="D21" i="7" s="1"/>
  <c r="B21" i="7" a="1"/>
  <c r="B21" i="7" s="1"/>
  <c r="D20" i="7" a="1"/>
  <c r="D20" i="7" s="1"/>
  <c r="B20" i="7" a="1"/>
  <c r="B20" i="7" s="1"/>
  <c r="D19" i="7" a="1"/>
  <c r="D19" i="7" s="1"/>
  <c r="B19" i="7" a="1"/>
  <c r="B19" i="7" s="1"/>
  <c r="D18" i="7" a="1"/>
  <c r="D18" i="7" s="1"/>
  <c r="B18" i="7" a="1"/>
  <c r="B18" i="7" s="1"/>
  <c r="D17" i="7" a="1"/>
  <c r="D17" i="7" s="1"/>
  <c r="B17" i="7" a="1"/>
  <c r="B17" i="7" s="1"/>
  <c r="D16" i="7" a="1"/>
  <c r="D16" i="7" s="1"/>
  <c r="B16" i="7" a="1"/>
  <c r="B16" i="7" s="1"/>
  <c r="D15" i="7" a="1"/>
  <c r="D15" i="7" s="1"/>
  <c r="B15" i="7" a="1"/>
  <c r="B15" i="7" s="1"/>
  <c r="D14" i="7" a="1"/>
  <c r="D14" i="7" s="1"/>
  <c r="B14" i="7" a="1"/>
  <c r="B14" i="7" s="1"/>
  <c r="D13" i="7" a="1"/>
  <c r="D13" i="7" s="1"/>
  <c r="B13" i="7" a="1"/>
  <c r="B13" i="7" s="1"/>
  <c r="D12" i="7" a="1"/>
  <c r="D12" i="7" s="1"/>
  <c r="B12" i="7" a="1"/>
  <c r="B12" i="7" s="1"/>
  <c r="D11" i="7" a="1"/>
  <c r="D11" i="7" s="1"/>
  <c r="B11" i="7" a="1"/>
  <c r="B11" i="7" s="1"/>
  <c r="D10" i="7" a="1"/>
  <c r="D10" i="7" s="1"/>
  <c r="B10" i="7" a="1"/>
  <c r="B10" i="7" s="1"/>
  <c r="D9" i="7" a="1"/>
  <c r="D9" i="7" s="1"/>
  <c r="B9" i="7" a="1"/>
  <c r="B9" i="7" s="1"/>
  <c r="D8" i="7" a="1"/>
  <c r="D8" i="7" s="1"/>
  <c r="B8" i="7" a="1"/>
  <c r="B8" i="7" s="1"/>
  <c r="D7" i="7" a="1"/>
  <c r="D7" i="7" s="1"/>
  <c r="B7" i="7" a="1"/>
  <c r="B7" i="7" s="1"/>
  <c r="D6" i="7" a="1"/>
  <c r="D6" i="7" s="1"/>
  <c r="B6" i="7" a="1"/>
  <c r="B6" i="7" s="1"/>
  <c r="D5" i="7" a="1"/>
  <c r="D5" i="7" s="1"/>
  <c r="B5" i="7" a="1"/>
  <c r="B5" i="7" s="1"/>
  <c r="D4" i="7" a="1"/>
  <c r="D4" i="7" s="1"/>
  <c r="B4" i="7" a="1"/>
  <c r="B4" i="7" s="1"/>
  <c r="D3" i="7" a="1"/>
  <c r="D3" i="7" s="1"/>
  <c r="B3" i="7" a="1"/>
  <c r="B3" i="7" s="1"/>
</calcChain>
</file>

<file path=xl/sharedStrings.xml><?xml version="1.0" encoding="utf-8"?>
<sst xmlns="http://schemas.openxmlformats.org/spreadsheetml/2006/main" count="15237" uniqueCount="6699">
  <si>
    <t>How to use this template builder</t>
  </si>
  <si>
    <t>Instructions (clickon each step to find the tab to fill in)</t>
  </si>
  <si>
    <t>Tab group</t>
  </si>
  <si>
    <t>Included tabs to be filled out</t>
  </si>
  <si>
    <t>1. Identify the location you are targeting for the templates and enter details in the Country_description tab</t>
  </si>
  <si>
    <t xml:space="preserve">Tabs groups to fill out </t>
  </si>
  <si>
    <t>Building_loads</t>
  </si>
  <si>
    <t>Building features, Schedules, Building loads, etc.</t>
  </si>
  <si>
    <t>2. Identify  different internal gains packages and create regonizable names.</t>
  </si>
  <si>
    <t>HVAC</t>
  </si>
  <si>
    <t>Heating, Cooling, Ventilation, DHW</t>
  </si>
  <si>
    <t>3. Identify types of HVAC systems you want in the templates and fill out corresponding values.</t>
  </si>
  <si>
    <t>Construction</t>
  </si>
  <si>
    <t>Roof, Walls, Windows, etc.</t>
  </si>
  <si>
    <t>4. Identify types of ventilation systems you want in the templates</t>
  </si>
  <si>
    <t>Building retrofits</t>
  </si>
  <si>
    <t>Retrofit package design</t>
  </si>
  <si>
    <t xml:space="preserve">5. Identify types of DHW systems you want in the templates and fill out corresponding values. </t>
  </si>
  <si>
    <t>6. Create HVAC and DHW packages from your constructions</t>
  </si>
  <si>
    <t>7. Generate constructions based on the provided material lists for different building components</t>
  </si>
  <si>
    <t>8. Add together constructions to create a full envelope assembly, and assign a name to each assembly</t>
  </si>
  <si>
    <t>Guidance/Calculation tabs (no action needed)</t>
  </si>
  <si>
    <t>Materials_choices</t>
  </si>
  <si>
    <t>9. (OPTIONAL) Assign retrofit packages to each "template" for different internal components</t>
  </si>
  <si>
    <t>Drop_downs</t>
  </si>
  <si>
    <t>Units</t>
  </si>
  <si>
    <t>Material_assembly_generator</t>
  </si>
  <si>
    <t>Schedule_choices</t>
  </si>
  <si>
    <t>General guidance</t>
  </si>
  <si>
    <t>Constructions_assmebly</t>
  </si>
  <si>
    <r>
      <rPr>
        <i/>
        <sz val="12"/>
        <color theme="1"/>
        <rFont val="Arial"/>
        <family val="2"/>
      </rPr>
      <t xml:space="preserve">Follow the instructions in the </t>
    </r>
    <r>
      <rPr>
        <b/>
        <i/>
        <sz val="12"/>
        <color rgb="FFC1F0C8"/>
        <rFont val="Arial"/>
        <family val="2"/>
      </rPr>
      <t>green</t>
    </r>
    <r>
      <rPr>
        <i/>
        <sz val="12"/>
        <color theme="1"/>
        <rFont val="Arial"/>
        <family val="2"/>
      </rPr>
      <t xml:space="preserve"> highlighted text in each tab</t>
    </r>
  </si>
  <si>
    <t>HVAC_options</t>
  </si>
  <si>
    <t>Legend</t>
  </si>
  <si>
    <t>Fill out this tab</t>
  </si>
  <si>
    <t>Support tab</t>
  </si>
  <si>
    <t>Ready to upload to website?</t>
  </si>
  <si>
    <t>Save this excel and send to MIT team for next steps</t>
  </si>
  <si>
    <t>Fill in</t>
  </si>
  <si>
    <t>Drop down options</t>
  </si>
  <si>
    <t xml:space="preserve">   </t>
  </si>
  <si>
    <t>Fill out here general information about the building stock for the location you are working on</t>
  </si>
  <si>
    <t>Parameter</t>
  </si>
  <si>
    <t>Value</t>
  </si>
  <si>
    <t>Guidance</t>
  </si>
  <si>
    <t>Location_type</t>
  </si>
  <si>
    <t>City</t>
  </si>
  <si>
    <t>Enter the type of location you are considering for this template assignment</t>
  </si>
  <si>
    <t>description for Seoul, Korea</t>
  </si>
  <si>
    <t>Location_name</t>
  </si>
  <si>
    <t>Seoul</t>
  </si>
  <si>
    <t xml:space="preserve">Share the name of the region in English </t>
  </si>
  <si>
    <t>Overview
Seoul, the capital of the Republic of Korea, is one of the most densely developed cities in the country and contains a large and highly heterogeneous building stock composed of both residential and non-residential buildings. The current building stock has been shaped by rapid urbanization, large-scale housing supply programs, and repeated cycles of redevelopment and reconstruction.
Pronounced differences exist between central and peripheral districts, as well as between low-rise residential neighborhoods and large apartment complexes, resulting in substantial variation in building age, construction type, and energy use characteristics.
Average Costs
Building asset values in Seoul are among the highest in South Korea and vary significantly by location and building use.
Residential buildings—particularly apartment complexes—exhibit high unit prices, while non-residential buildings such as office, commercial, and hospitality facilities show wide variation in construction costs and asset values depending on size, function, and location.
Overall, Seoul’s building stock is characterized by high development density and relatively high operating cost burdens due to land scarcity and intensive urban use.
Construction Types (in order of commonality)
Residential Buildings
• Multi-family Housing (Apartments)
Apartments are the dominant residential building type in Seoul. These buildings are typically mid- to high-rise reinforced concrete structures, often exceeding five stories, and were largely constructed during major housing supply waves beginning in the 1990s.
• Single-Family Homes
Despite the prominence of apartment living, single-family homes account for a very large share of the total building count in Seoul. These buildings are typically low-rise and consist of a mix of masonry and reinforced concrete structures. Many are relatively old and exhibit low energy performance.
• Low-rise Multi-family Housing (Row houses and small apartment buildings)
These buildings are generally two to five stories tall and are widely distributed throughout residential districts. While individually small, they constitute a significant portion of Seoul’s residential building stock.
Non-residential Buildings
(Based on the 19-category building classification framework provided in the project dataset)
• Neighborhood Living Facilities (Type 1 and 2)
These are the most widely distributed non-residential buildings in Seoul by count. Typically low- to mid-rise reinforced concrete structures, they are commonly mixed with residential uses and form the backbone of everyday urban activity.
• Office Buildings
Office buildings are concentrated in central business districts and sub-centers and are generally mid- to high-rise reinforced concrete or composite structures. Cooling and ventilation loads dominate their energy use.
• Educational Facilities
Schools and research buildings are typically large-scale, long-life structures with relatively stable occupancy patterns.
• Medical Facilities
Hospitals and related facilities are characterized by continuous operation and high dependence on mechanical systems.
• Retail, Accommodation, and Cultural/Assembly Facilities
These buildings support commercial, tourism, and cultural activities and tend to exhibit high energy use intensities and strong temporal variability in occupancy and loads.
Construction History
Across both residential and non-residential sectors, reinforced concrete construction overwhelmingly dominates Seoul’s building stock. This reflects historical priorities related to fire safety, durability, and the need for high-density development.
Buildings constructed prior to the 1980s generally lack meaningful thermal insulation, and many single-family homes and low-rise neighborhood facilities from this period exhibit particularly poor envelope performance.
Beginning in the early 2000s, the introduction and subsequent strengthening of the Building Energy Conservation Design Standards led to the systematic application of minimum thermal and system efficiency requirements across residential, office, educational, retail, and other non-residential buildings. As a result, year of construction has become a key proxy for energy performance within Seoul’s building stock.
Average Age and Renovation Cycles
The average age of buildings in Seoul is approximately 30 years, with a high proportion of aging structures in both residential and non-residential categories.
Residential buildings typically undergo interior renovations and system upgrades every 15–30 years, while non-residential buildings experience more frequent partial renovations driven by tenant turnover, functional changes, and regulatory requirements.
Major structural changes are often implemented through redevelopment or reconstruction rather than incremental retrofits.
Heating and HVAC Equipment
Residential
• Natural Gas Boilers: The most common heating system
• District Heating: Predominantly used in large apartment complexes
• Electric or Oil-based Systems: Limited to specific cases, often in older single-family homes
Non-residential
• Central boilers and chillers: Common in office, medical, and educational buildings
• Packaged and split HVAC systems: Widely used in neighborhood living facilities and small commercial buildings
• VAV / CAV systems: Typical in large office and public buildings
Compared to residential buildings, non-residential buildings in Seoul exhibit significantly higher cooling, ventilation, and electricity-driven loads.
Energy Cost Environment
Seoul operates under the national electricity and gas pricing structure of South Korea. Historically, natural gas prices have remained relatively low and stable, making gas-based heating systems economically attractive across both residential and non-residential buildings. This has led to a strong lock-in of gas and district heating systems within the existing building stock.
More recently, rising electricity prices and energy transition policies have increased interest in electrified systems such as heat pumps. However, widespread adoption in existing buildings remains constrained by economic, technical, and structural barriers.</t>
  </si>
  <si>
    <t>Location_primary_language</t>
  </si>
  <si>
    <t>Korean</t>
  </si>
  <si>
    <t>Share the primary language spoken in this location in English</t>
  </si>
  <si>
    <t>Location_description</t>
  </si>
  <si>
    <t>Overview
서울특별시는 대한민국에서 가장 고밀도로 개발된 도시로, 주거·비주거 건물이 혼재된 대규모 건물 스톡을 보유하고 있다. 건물들은 급격한 도시 확장과 재개발·재건축 과정을 거치며 형성되었고, 건설 시기와 용도에 따른 이질성이 매우 큰 것이 특징이다.
도심부와 외곽 지역, 그리고 저층 주거 밀집지와 대규모 아파트 단지 간에는 건축 연식, 구조 형식, 에너지 사용 특성에서 뚜렷한 차이가 존재한다.
Average Costs
서울의 건물 자산 가치는 대한민국 내에서 가장 높은 수준을 보이며, 입지와 용도에 따라 큰 편차를 가진다.
주거용 건물은 특히 아파트 단지를 중심으로 높은 단가가 형성되어 있으며, 비주거 건물 또한 업무시설, 판매시설, 숙박시설 등 용도에 따라 연면적당 건설비와 자산 가치가 크게 달라진다.
고밀 개발과 토지 희소성으로 인해, 서울의 건물 스톡은 전반적으로 높은 집약도와 높은 운영비 부담 구조를 가진다.
Construction Types (in order of commonality)
Residential Buildings
• 공동주택 (아파트)
서울에서 가장 대표적인 주거 유형으로, 주로 5층 이상 중·고층 철근콘크리트 구조이다. 대규모 단지 형태로 조성되었으며, 1990년대 이후 집중적으로 공급되었다.
• 단독주택
서울 주거 건물 중 절대적인 동(棟) 수 비중이 매우 높은 유형으로, 주로 저층이며 조적조 또는 철근콘크리트 구조가 혼재한다. 연식이 길고 에너지 성능이 낮은 건물이 다수를 차지한다.
• 다가구·다세대주택
2 ~ 5층 규모의 저층 공동주택으로, 주거지역 전반에 널리 분포한다. 아파트에 비해 개별 건물 규모는 작으나, 도시 주거 스톡에서 중요한 비중을 차지한다.
Non-residential Buildings
(빌딩분류타입 엑셀의 19개 비주거 유형 체계를 전제로 함)
• 근린생활시설 (제1·2종)
서울 전역에 가장 광범위하게 분포한 비주거 유형으로, 저층 또는 중층 철근콘크리트 구조가 일반적이다. 주거와 혼합된 형태로 존재하며 건물 수 기준 비중이 매우 높다.
• 업무시설
도심 및 부도심을 중심으로 분포하며, 중·고층 철근콘크리트 또는 철골 구조가 일반적이다. 냉방 및 환기 부하가 지배적인 건물군이다.
• 교육시설
학교 및 연구시설로 구성되며, 비교적 대규모 부지와 장수명 구조를 가진다.
• 의료시설
병원 및 관련 시설로 구성되며, 연중 상시 운영과 높은 설비 의존도를 특징으로 한다.
• 판매시설·숙박시설·문화·집회시설
상업 및 관광 기능을 담당하며, 이용 패턴의 변동성이 크고 에너지 사용 밀도가 높은 경향을 보인다.
Construction History
서울의 건물은 주거·비주거를 막론하고 철근콘크리트 구조가 지배적이다. 이는 화재 안전, 내구성, 고밀 개발 요구에 따른 결과이다.
1980년대 이전에 건설된 건물은 단열 기준이 거의 적용되지 않았으며, 단독주택과 저층 근린생활시설을 중심으로 외피 성능이 매우 취약하다.
2000년대 이후 「건축물의 에너지절약설계기준」의 도입과 개정을 통해, 주거뿐 아니라 업무시설, 교육시설, 판매시설 등 비주거 건물에도 외피 및 설비 성능 기준이 단계적으로 적용되었다. 이로 인해 건축 연식은 서울 건물 스톡에서 에너지 성능을 설명하는 핵심 변수로 작용한다.
Average Age and Renovation Cycles
서울의 건물 평균 연식은 약 30년 내외로, 주거용과 비주거용 모두 노후 건물 비율이 높다.
주거 건물은 15 ~ 30년 주기로 내부 리모델링 및 설비 교체가 이루어지며, 비주거 건물은 임차인 교체 및 용도 변경에 따라 부분적인 개보수가 반복적으로 수행된다.
대규모 구조 변경은 재건축·재개발 사업을 통해 이루어지는 경우가 많다.
Heating and HVAC Equipment
Residential
• 도시가스 보일러: 가장 보편적인 난방 방식
• 지역난방: 대규모 아파트 단지 중심
• 전기·기름 보일러: 일부 노후 단독주택 및 특수 사례
Non-residential
• 중앙식 보일러 및 냉동기 시스템: 업무·의료·교육시설
• 개별 냉난방 및 패키지 공조기: 근린생활시설, 소규모 업무시설
• VAV / CAV 시스템: 대형 업무 및 공공건물
비주거 건물은 주거 건물에 비해 냉방, 환기, 전력 부하의 비중이 높다.
Energy Cost Environment
서울은 대한민국의 전력·가스 요금 체계를 그대로 적용받으며, 장기간 도시가스 기반 난방이 경제적으로 유리한 환경을 유지해 왔다. 이로 인해 주거·비주거 모두에서 가스 기반 난방 시스템이 널리 보급되었다.
최근에는 전기요금 변동성과 에너지 전환 정책의 영향으로 전기 기반 설비의 도입 가능성이 확대되고 있으나, 기존 건물 스톡에서는 여전히 가스 및 지역난방 의존도가 높다.</t>
  </si>
  <si>
    <t>Share a detailed description of the historical context of the building stock. This should include details around construction history, energy price environments, policies, etc. An Example is shared here for Massachusetts</t>
  </si>
  <si>
    <t>Location_description_translated</t>
  </si>
  <si>
    <t>As noted next to it</t>
  </si>
  <si>
    <t>Translated version of the description into primary language</t>
  </si>
  <si>
    <t>Existing_GIS_data_link</t>
  </si>
  <si>
    <t>OPTIONAL: Location of GIS data for 3d building footprints</t>
  </si>
  <si>
    <t>Bibliography</t>
  </si>
  <si>
    <t>OPTIONAL: List of sources used as reference for all the information in this excel</t>
  </si>
  <si>
    <t>Region</t>
  </si>
  <si>
    <t>Typology</t>
  </si>
  <si>
    <t>Age_bracket</t>
  </si>
  <si>
    <t>AtticVentilation</t>
  </si>
  <si>
    <t>RoofInsulation</t>
  </si>
  <si>
    <t>AtticFloorInsulation</t>
  </si>
  <si>
    <t>BasementCeilingInsulation</t>
  </si>
  <si>
    <t>BasementWallsInsulation</t>
  </si>
  <si>
    <t>BasementFloorInsulation</t>
  </si>
  <si>
    <t>Weatherization</t>
  </si>
  <si>
    <t>Wall</t>
  </si>
  <si>
    <t>Windows</t>
  </si>
  <si>
    <t>Heating</t>
  </si>
  <si>
    <t>Cooling</t>
  </si>
  <si>
    <t>Distribution</t>
  </si>
  <si>
    <t>DHW</t>
  </si>
  <si>
    <t>Equipment</t>
  </si>
  <si>
    <t>Lighting</t>
  </si>
  <si>
    <t>Thermostat</t>
  </si>
  <si>
    <t>MA</t>
  </si>
  <si>
    <t>SFH</t>
  </si>
  <si>
    <t>pre_1975</t>
  </si>
  <si>
    <t>UnventilatedAttic</t>
  </si>
  <si>
    <t>UninsulatedRoof</t>
  </si>
  <si>
    <t>UninsulatedFloor</t>
  </si>
  <si>
    <t>UninsulatedCeiling</t>
  </si>
  <si>
    <t>UninsulatedWalls</t>
  </si>
  <si>
    <t>UninsulatedGroundSlab</t>
  </si>
  <si>
    <t>LeakyEnvelope</t>
  </si>
  <si>
    <t>SinglePane</t>
  </si>
  <si>
    <t>ElectricResistance</t>
  </si>
  <si>
    <t>ACWindow</t>
  </si>
  <si>
    <t>Steam</t>
  </si>
  <si>
    <t>ElectricResistanceDHW</t>
  </si>
  <si>
    <t>LowEfficiencyEquipment</t>
  </si>
  <si>
    <t>NoLED</t>
  </si>
  <si>
    <t>NoControls</t>
  </si>
  <si>
    <t>MFH</t>
  </si>
  <si>
    <t>btw_1975_2003</t>
  </si>
  <si>
    <t>VentilatedAttic</t>
  </si>
  <si>
    <t>LimitedInsulationRoof</t>
  </si>
  <si>
    <t>LimitedInsulationFloor</t>
  </si>
  <si>
    <t>InsulatedCeiling</t>
  </si>
  <si>
    <t>InsulatedWalls</t>
  </si>
  <si>
    <t>InsulatedGroundSlab</t>
  </si>
  <si>
    <t>SomewhatLeakyEnvelope</t>
  </si>
  <si>
    <t>SomeInsulationWalls</t>
  </si>
  <si>
    <t>SinglePaneStormWindows</t>
  </si>
  <si>
    <t>OilHeating</t>
  </si>
  <si>
    <t>ACCentral</t>
  </si>
  <si>
    <t>HotWaterUninsulated</t>
  </si>
  <si>
    <t>NaturalGasDHW</t>
  </si>
  <si>
    <t>HighEfficiencyEquipment</t>
  </si>
  <si>
    <t>LED</t>
  </si>
  <si>
    <t>Controls</t>
  </si>
  <si>
    <t>post_2003</t>
  </si>
  <si>
    <t>HighlyInsulatedRoof</t>
  </si>
  <si>
    <t>HighlyInsulatedFloor</t>
  </si>
  <si>
    <t>TightEnvelope</t>
  </si>
  <si>
    <t>SIP</t>
  </si>
  <si>
    <t>DoublePaneLowE</t>
  </si>
  <si>
    <t>NaturalGasHeating</t>
  </si>
  <si>
    <t>WindowASHP</t>
  </si>
  <si>
    <t>AirDuctsUninsulated</t>
  </si>
  <si>
    <t>NaturalGasHeatingDHWCombo</t>
  </si>
  <si>
    <t>FullInsulationWallsCavity</t>
  </si>
  <si>
    <t>TriplePaneLowE</t>
  </si>
  <si>
    <t>NaturalGasCondensingHeating</t>
  </si>
  <si>
    <t>ASHPCooling</t>
  </si>
  <si>
    <t>AirDuctsConditionedUninsulated</t>
  </si>
  <si>
    <t>HPWH</t>
  </si>
  <si>
    <t>FullInsulationWallsCavityExterior</t>
  </si>
  <si>
    <t>ASHPHeating</t>
  </si>
  <si>
    <t>GSHPCooling</t>
  </si>
  <si>
    <t>HotWaterInsulated</t>
  </si>
  <si>
    <t>GSHPHeating</t>
  </si>
  <si>
    <t>AirDuctsInsulated</t>
  </si>
  <si>
    <t>Components</t>
  </si>
  <si>
    <t>Space_use_assembly</t>
  </si>
  <si>
    <t>Occupancy</t>
  </si>
  <si>
    <t>Y</t>
  </si>
  <si>
    <t>Power</t>
  </si>
  <si>
    <t>Water_flow</t>
  </si>
  <si>
    <t>Systems_assembly</t>
  </si>
  <si>
    <t>Conditioning_constructor</t>
  </si>
  <si>
    <t>Ventilation_constructor</t>
  </si>
  <si>
    <t>DHW_constructor</t>
  </si>
  <si>
    <t>Envelope_assembly</t>
  </si>
  <si>
    <t>Construction_assembly</t>
  </si>
  <si>
    <t>FlatRoof</t>
  </si>
  <si>
    <t>AtticRoof</t>
  </si>
  <si>
    <t>AtticFloor</t>
  </si>
  <si>
    <t>Facade</t>
  </si>
  <si>
    <t>Partition</t>
  </si>
  <si>
    <t>GroundWall</t>
  </si>
  <si>
    <t>GroundSlab</t>
  </si>
  <si>
    <t>BasementCeiling</t>
  </si>
  <si>
    <t>FloorCeiling</t>
  </si>
  <si>
    <t>Window</t>
  </si>
  <si>
    <t>Infiltration</t>
  </si>
  <si>
    <t>AtticInfiltration</t>
  </si>
  <si>
    <t>ExternalFloor</t>
  </si>
  <si>
    <t xml:space="preserve">This is the autogenerated set of labels for each of the tags. Please use these as your chosen labels when going through and assigning names and values </t>
  </si>
  <si>
    <t>Setpoints</t>
  </si>
  <si>
    <t>Construction_components</t>
  </si>
  <si>
    <t>Roof</t>
  </si>
  <si>
    <t>Walls</t>
  </si>
  <si>
    <t>GroundWalls</t>
  </si>
  <si>
    <t xml:space="preserve">Slab </t>
  </si>
  <si>
    <t>MA_SFH_Low_efficiency_equipment_NoControls_NoLED</t>
  </si>
  <si>
    <t>MA_SFH</t>
  </si>
  <si>
    <t>MA_SFH_NoLED</t>
  </si>
  <si>
    <t>MA_SFH_Low_efficiency_equipment</t>
  </si>
  <si>
    <t>MA_NoControls</t>
  </si>
  <si>
    <t>MA_SFH_Electric_resistance_AC_window_Steam_Electric_resistance_DHW</t>
  </si>
  <si>
    <t>MA_Electric_resistance_AC_window_Steam</t>
  </si>
  <si>
    <t>Electric_resistance_Steam</t>
  </si>
  <si>
    <t>AC_window_Steam</t>
  </si>
  <si>
    <t>MA_Electric_resistance_DHW</t>
  </si>
  <si>
    <t>MA_SFH_pre_1975_Occupied_uninsulated_Leaky_envelope_Uninsulated_walls_Single_pane</t>
  </si>
  <si>
    <t>MA_SFH_pre_1975_Occupied_uninsulated</t>
  </si>
  <si>
    <t>MA_SFH_Occupied_uninsulated</t>
  </si>
  <si>
    <t>MA_pre_1975_Uninsulated_walls</t>
  </si>
  <si>
    <t>MA_pre_1975</t>
  </si>
  <si>
    <t>MA_Single_pane</t>
  </si>
  <si>
    <t>MA_Leaky_envelope</t>
  </si>
  <si>
    <t>MA_SFH_Low_efficiency_equipment_NoControls_LED</t>
  </si>
  <si>
    <t>MA_MFH</t>
  </si>
  <si>
    <t>MA_SFH_LED</t>
  </si>
  <si>
    <t>MA_SFH_EnergyStar_equipment</t>
  </si>
  <si>
    <t>MA_Controls</t>
  </si>
  <si>
    <t>MA_SFH_Electric_resistance_AC_window_Steam_NG_DHW</t>
  </si>
  <si>
    <t>MA_Electric_resistance_AC_window_Hot_water_uninsulated</t>
  </si>
  <si>
    <t>Electric_resistance_Hot_water_uninsulated</t>
  </si>
  <si>
    <t>AC_window_Hot_water_uninsulated</t>
  </si>
  <si>
    <t>MA_NG_DHW</t>
  </si>
  <si>
    <t>MA_SFH_pre_1975_Occupied_uninsulated_Leaky_envelope_Uninsulated_walls_Single_pane_storm_windows</t>
  </si>
  <si>
    <t>MA_SFH_pre_1975_Unoccupied_uninsulated_floor</t>
  </si>
  <si>
    <t>MA_SFH_Unoccupied_uninsulated_floor</t>
  </si>
  <si>
    <t>MA_pre_1975_Some_wall_insulation</t>
  </si>
  <si>
    <t>MA_btw_1975_2003</t>
  </si>
  <si>
    <t>MA_Single_pane_storm_windows</t>
  </si>
  <si>
    <t>MA_Somewhat_leaky_envelope</t>
  </si>
  <si>
    <t>MA_SFH_Low_efficiency_equipment_Controls_NoLED</t>
  </si>
  <si>
    <t>MA_MFH_NoLED</t>
  </si>
  <si>
    <t>MA_MFH_Low_efficiency_equipment</t>
  </si>
  <si>
    <t>MA_SFH_Electric_resistance_AC_window_Steam_Heating_DHW_combo_NG</t>
  </si>
  <si>
    <t>MA_Electric_resistance_AC_window_Air_ducts_uninsulated</t>
  </si>
  <si>
    <t>Electric_resistance_Air_ducts_uninsulated</t>
  </si>
  <si>
    <t>AC_window_Air_ducts_uninsulated</t>
  </si>
  <si>
    <t>MA_Heating_DHW_combo_NG</t>
  </si>
  <si>
    <t>MA_SFH_pre_1975_Occupied_uninsulated_Leaky_envelope_Uninsulated_walls_Double_pane_lowE</t>
  </si>
  <si>
    <t>MA_SFH_pre_1975_Unoccupied_insulated_floor</t>
  </si>
  <si>
    <t>MA_SFH_Unoccupied_insulated_floor</t>
  </si>
  <si>
    <t>MA_pre_1975_SIP</t>
  </si>
  <si>
    <t>MA_post_2003</t>
  </si>
  <si>
    <t>MA_Double_pane_lowE</t>
  </si>
  <si>
    <t>MA_Tight_envelope_HRV</t>
  </si>
  <si>
    <t>MA_SFH_Low_efficiency_equipment_Controls_LED</t>
  </si>
  <si>
    <t>MA_MFH_LED</t>
  </si>
  <si>
    <t>MA_MFH_EnergyStar_equipment</t>
  </si>
  <si>
    <t>MA_SFH_Electric_resistance_AC_window_Steam_HPWH</t>
  </si>
  <si>
    <t>MA_Electric_resistance_AC_window_Air_ducts_conditioned_uninsulated</t>
  </si>
  <si>
    <t>Electric_resistance_Air_ducts_conditioned_uninsulated</t>
  </si>
  <si>
    <t>AC_window_Air_ducts_conditioned_uninsulated</t>
  </si>
  <si>
    <t>MA_HPWH</t>
  </si>
  <si>
    <t>MA_SFH_pre_1975_Occupied_uninsulated_Leaky_envelope_Uninsulated_walls_Triple_pane_lowE</t>
  </si>
  <si>
    <t>MA_SFH_pre_1975_Limited_insulation_roof</t>
  </si>
  <si>
    <t>MA_SFH_Limited_insulation_roof</t>
  </si>
  <si>
    <t>MA_pre_1975_Full_insulated_wall_cavity</t>
  </si>
  <si>
    <t>MA_Triple_pane_lowE</t>
  </si>
  <si>
    <t>MA_SFH_EnergyStar_equipment_NoControls_NoLED</t>
  </si>
  <si>
    <t>MA_SFH_Electric_resistance_AC_window_Hot_water_uninsulated_Electric_resistance_DHW</t>
  </si>
  <si>
    <t>MA_Electric_resistance_AC_window_Hot_water_insulated</t>
  </si>
  <si>
    <t>Electric_resistance_Hot_water_insulated</t>
  </si>
  <si>
    <t>AC_window_Hot_water_insulated</t>
  </si>
  <si>
    <t>MA_SFH_pre_1975_Occupied_uninsulated_Leaky_envelope_Some_wall_insulation_Single_pane</t>
  </si>
  <si>
    <t>MA_SFH_pre_1975_Insulation_roof</t>
  </si>
  <si>
    <t>MA_SFH_Insulation_roof</t>
  </si>
  <si>
    <t>MA_pre_1975_Full_insulated_wall_cavity_exterior</t>
  </si>
  <si>
    <t>MA_SFH_EnergyStar_equipment_NoControls_LED</t>
  </si>
  <si>
    <t>MA_SFH_Electric_resistance_AC_window_Hot_water_uninsulated_NG_DHW</t>
  </si>
  <si>
    <t>MA_Electric_resistance_AC_window_Air_ducts_insulated</t>
  </si>
  <si>
    <t>Electric_resistance_Air_ducts_insulated</t>
  </si>
  <si>
    <t>AC_window_Air_ducts_insulated</t>
  </si>
  <si>
    <t>MA_SFH_pre_1975_Occupied_uninsulated_Leaky_envelope_Some_wall_insulation_Single_pane_storm_windows</t>
  </si>
  <si>
    <t>MA_SFH_pre_1975_Occupied_insulated</t>
  </si>
  <si>
    <t>MA_SFH_Occupied_insulated</t>
  </si>
  <si>
    <t>MA_btw_1975_2003_Uninsulated_walls</t>
  </si>
  <si>
    <t>MA_SFH_EnergyStar_equipment_Controls_NoLED</t>
  </si>
  <si>
    <t>MA_SFH_Electric_resistance_AC_window_Hot_water_uninsulated_Heating_DHW_combo_NG</t>
  </si>
  <si>
    <t>MA_Electric_resistance_Central_AC_Steam</t>
  </si>
  <si>
    <t>Oil_heating_Steam</t>
  </si>
  <si>
    <t>Central_AC_Steam</t>
  </si>
  <si>
    <t>MA_SFH_pre_1975_Occupied_uninsulated_Leaky_envelope_Some_wall_insulation_Double_pane_lowE</t>
  </si>
  <si>
    <t>MA_SFH_pre_1975_Unoccupied_high_insulated_floor</t>
  </si>
  <si>
    <t>MA_SFH_Unoccupied_high_insulated_floor</t>
  </si>
  <si>
    <t>MA_btw_1975_2003_Some_wall_insulation</t>
  </si>
  <si>
    <t>MA_SFH_EnergyStar_equipment_Controls_LED</t>
  </si>
  <si>
    <t>MA_SFH_Electric_resistance_AC_window_Hot_water_uninsulated_HPWH</t>
  </si>
  <si>
    <t>MA_Electric_resistance_Central_AC_Hot_water_uninsulated</t>
  </si>
  <si>
    <t>Oil_heating_Hot_water_uninsulated</t>
  </si>
  <si>
    <t>Central_AC_Hot_water_uninsulated</t>
  </si>
  <si>
    <t>MA_SFH_pre_1975_Occupied_uninsulated_Leaky_envelope_Some_wall_insulation_Triple_pane_lowE</t>
  </si>
  <si>
    <t>MA_SFH_btw_1975_2003_Occupied_uninsulated</t>
  </si>
  <si>
    <t>MA_MFH_Occupied_uninsulated</t>
  </si>
  <si>
    <t>MA_btw_1975_2003_SIP</t>
  </si>
  <si>
    <t>MA_MFH_Low_efficiency_equipment_NoControls_NoLED</t>
  </si>
  <si>
    <t>MA_SFH_Electric_resistance_AC_window_Air_ducts_uninsulated_Electric_resistance_DHW</t>
  </si>
  <si>
    <t>MA_Electric_resistance_Central_AC_Air_ducts_uninsulated</t>
  </si>
  <si>
    <t>Oil_heating_Air_ducts_uninsulated</t>
  </si>
  <si>
    <t>Central_AC_Air_ducts_uninsulated</t>
  </si>
  <si>
    <t>MA_SFH_pre_1975_Occupied_uninsulated_Leaky_envelope_SIP_Single_pane</t>
  </si>
  <si>
    <t>MA_SFH_btw_1975_2003_Unoccupied_uninsulated_floor</t>
  </si>
  <si>
    <t>MA_MFH_Unoccupied_uninsulated_floor</t>
  </si>
  <si>
    <t>MA_btw_1975_2003_Full_insulated_wall_cavity</t>
  </si>
  <si>
    <t>MA_MFH_Low_efficiency_equipment_NoControls_LED</t>
  </si>
  <si>
    <t>MA_SFH_Electric_resistance_AC_window_Air_ducts_uninsulated_NG_DHW</t>
  </si>
  <si>
    <t>MA_Electric_resistance_Central_AC_Air_ducts_conditioned_uninsulated</t>
  </si>
  <si>
    <t>Oil_heating_Air_ducts_conditioned_uninsulated</t>
  </si>
  <si>
    <t>Central_AC_Air_ducts_conditioned_uninsulated</t>
  </si>
  <si>
    <t>MA_SFH_pre_1975_Occupied_uninsulated_Leaky_envelope_SIP_Single_pane_storm_windows</t>
  </si>
  <si>
    <t>MA_SFH_btw_1975_2003_Unoccupied_insulated_floor</t>
  </si>
  <si>
    <t>MA_MFH_Unoccupied_insulated_floor</t>
  </si>
  <si>
    <t>MA_btw_1975_2003_Full_insulated_wall_cavity_exterior</t>
  </si>
  <si>
    <t>MA_MFH_Low_efficiency_equipment_Controls_NoLED</t>
  </si>
  <si>
    <t>MA_SFH_Electric_resistance_AC_window_Air_ducts_uninsulated_Heating_DHW_combo_NG</t>
  </si>
  <si>
    <t>MA_Electric_resistance_Central_AC_Hot_water_insulated</t>
  </si>
  <si>
    <t>Oil_heating_Hot_water_insulated</t>
  </si>
  <si>
    <t>Central_AC_Hot_water_insulated</t>
  </si>
  <si>
    <t>MA_SFH_pre_1975_Occupied_uninsulated_Leaky_envelope_SIP_Double_pane_lowE</t>
  </si>
  <si>
    <t>MA_SFH_btw_1975_2003_Limited_insulation_roof</t>
  </si>
  <si>
    <t>MA_MFH_Limited_insulation_roof</t>
  </si>
  <si>
    <t>MA_post_2003_Uninsulated_walls</t>
  </si>
  <si>
    <t>MA_MFH_Low_efficiency_equipment_Controls_LED</t>
  </si>
  <si>
    <t>MA_SFH_Electric_resistance_AC_window_Air_ducts_uninsulated_HPWH</t>
  </si>
  <si>
    <t>MA_Electric_resistance_Central_AC_Air_ducts_insulated</t>
  </si>
  <si>
    <t>Oil_heating_Air_ducts_insulated</t>
  </si>
  <si>
    <t>Central_AC_Air_ducts_insulated</t>
  </si>
  <si>
    <t>MA_SFH_pre_1975_Occupied_uninsulated_Leaky_envelope_SIP_Triple_pane_lowE</t>
  </si>
  <si>
    <t>MA_SFH_btw_1975_2003_Insulation_roof</t>
  </si>
  <si>
    <t>MA_MFH_Insulation_roof</t>
  </si>
  <si>
    <t>MA_post_2003_Some_wall_insulation</t>
  </si>
  <si>
    <t>MA_MFH_EnergyStar_equipment_NoControls_NoLED</t>
  </si>
  <si>
    <t>MA_SFH_Electric_resistance_AC_window_Air_ducts_conditioned_uninsulated_Electric_resistance_DHW</t>
  </si>
  <si>
    <t>MA_Electric_resistance_Natural_ventilation_Steam</t>
  </si>
  <si>
    <t>NG_heating_Steam</t>
  </si>
  <si>
    <t>Natural_ventilation_Steam</t>
  </si>
  <si>
    <t>MA_SFH_pre_1975_Occupied_uninsulated_Leaky_envelope_Full_insulated_wall_cavity_Single_pane</t>
  </si>
  <si>
    <t>MA_SFH_btw_1975_2003_Occupied_insulated</t>
  </si>
  <si>
    <t>MA_MFH_Occupied_insulated</t>
  </si>
  <si>
    <t>MA_post_2003_SIP</t>
  </si>
  <si>
    <t>MA_MFH_EnergyStar_equipment_NoControls_LED</t>
  </si>
  <si>
    <t>MA_SFH_Electric_resistance_AC_window_Air_ducts_conditioned_uninsulated_NG_DHW</t>
  </si>
  <si>
    <t>MA_Electric_resistance_Natural_ventilation_Hot_water_uninsulated</t>
  </si>
  <si>
    <t>NG_heating_Hot_water_uninsulated</t>
  </si>
  <si>
    <t>Natural_ventilation_Hot_water_uninsulated</t>
  </si>
  <si>
    <t>MA_SFH_pre_1975_Occupied_uninsulated_Leaky_envelope_Full_insulated_wall_cavity_Single_pane_storm_windows</t>
  </si>
  <si>
    <t>MA_SFH_btw_1975_2003_Unoccupied_high_insulated_floor</t>
  </si>
  <si>
    <t>MA_MFH_Unoccupied_high_insulated_floor</t>
  </si>
  <si>
    <t>MA_post_2003_Full_insulated_wall_cavity</t>
  </si>
  <si>
    <t>MA_MFH_EnergyStar_equipment_Controls_NoLED</t>
  </si>
  <si>
    <t>MA_SFH_Electric_resistance_AC_window_Air_ducts_conditioned_uninsulated_Heating_DHW_combo_NG</t>
  </si>
  <si>
    <t>MA_Electric_resistance_Natural_ventilation_Air_ducts_uninsulated</t>
  </si>
  <si>
    <t>NG_heating_Air_ducts_uninsulated</t>
  </si>
  <si>
    <t>Natural_ventilation_Air_ducts_uninsulated</t>
  </si>
  <si>
    <t>MA_SFH_pre_1975_Occupied_uninsulated_Leaky_envelope_Full_insulated_wall_cavity_Double_pane_lowE</t>
  </si>
  <si>
    <t>MA_SFH_post_2003_Occupied_uninsulated</t>
  </si>
  <si>
    <t>MA_post_2003_Full_insulated_wall_cavity_exterior</t>
  </si>
  <si>
    <t>MA_MFH_EnergyStar_equipment_Controls_LED</t>
  </si>
  <si>
    <t>MA_SFH_Electric_resistance_AC_window_Air_ducts_conditioned_uninsulated_HPWH</t>
  </si>
  <si>
    <t>MA_Electric_resistance_Natural_ventilation_Air_ducts_conditioned_uninsulated</t>
  </si>
  <si>
    <t>NG_heating_Air_ducts_conditioned_uninsulated</t>
  </si>
  <si>
    <t>Natural_ventilation_Air_ducts_conditioned_uninsulated</t>
  </si>
  <si>
    <t>MA_SFH_pre_1975_Occupied_uninsulated_Leaky_envelope_Full_insulated_wall_cavity_Triple_pane_lowE</t>
  </si>
  <si>
    <t>MA_SFH_post_2003_Unoccupied_uninsulated_floor</t>
  </si>
  <si>
    <t>MA_SFH_Electric_resistance_AC_window_Hot_water_insulated_Electric_resistance_DHW</t>
  </si>
  <si>
    <t>MA_Electric_resistance_Natural_ventilation_Hot_water_insulated</t>
  </si>
  <si>
    <t>NG_heating_Hot_water_insulated</t>
  </si>
  <si>
    <t>Natural_ventilation_Hot_water_insulated</t>
  </si>
  <si>
    <t>MA_SFH_pre_1975_Occupied_uninsulated_Leaky_envelope_Full_insulated_wall_cavity_exterior_Single_pane</t>
  </si>
  <si>
    <t>MA_SFH_post_2003_Unoccupied_insulated_floor</t>
  </si>
  <si>
    <t>MA_SFH_Electric_resistance_AC_window_Hot_water_insulated_NG_DHW</t>
  </si>
  <si>
    <t>MA_Electric_resistance_Natural_ventilation_Air_ducts_insulated</t>
  </si>
  <si>
    <t>NG_heating_Air_ducts_insulated</t>
  </si>
  <si>
    <t>Natural_ventilation_Air_ducts_insulated</t>
  </si>
  <si>
    <t>MA_SFH_pre_1975_Occupied_uninsulated_Leaky_envelope_Full_insulated_wall_cavity_exterior_Single_pane_storm_windows</t>
  </si>
  <si>
    <t>MA_SFH_post_2003_Limited_insulation_roof</t>
  </si>
  <si>
    <t>MA_SFH_Electric_resistance_AC_window_Hot_water_insulated_Heating_DHW_combo_NG</t>
  </si>
  <si>
    <t>MA_Electric_resistance_Window_ASHP_Steam</t>
  </si>
  <si>
    <t>NG_condensing_heating_Steam</t>
  </si>
  <si>
    <t>Window_ASHP_Steam</t>
  </si>
  <si>
    <t>MA_SFH_pre_1975_Occupied_uninsulated_Leaky_envelope_Full_insulated_wall_cavity_exterior_Double_pane_lowE</t>
  </si>
  <si>
    <t>MA_SFH_post_2003_Insulation_roof</t>
  </si>
  <si>
    <t>MA_SFH_Electric_resistance_AC_window_Hot_water_insulated_HPWH</t>
  </si>
  <si>
    <t>MA_Electric_resistance_Window_ASHP_Hot_water_uninsulated</t>
  </si>
  <si>
    <t>NG_condensing_heating_Hot_water_uninsulated</t>
  </si>
  <si>
    <t>Window_ASHP_Hot_water_uninsulated</t>
  </si>
  <si>
    <t>MA_SFH_pre_1975_Occupied_uninsulated_Leaky_envelope_Full_insulated_wall_cavity_exterior_Triple_pane_lowE</t>
  </si>
  <si>
    <t>MA_SFH_post_2003_Occupied_insulated</t>
  </si>
  <si>
    <t>MA_SFH_Electric_resistance_AC_window_Air_ducts_insulated_Electric_resistance_DHW</t>
  </si>
  <si>
    <t>MA_Electric_resistance_Window_ASHP_Air_ducts_uninsulated</t>
  </si>
  <si>
    <t>NG_condensing_heating_Air_ducts_uninsulated</t>
  </si>
  <si>
    <t>Window_ASHP_Air_ducts_uninsulated</t>
  </si>
  <si>
    <t>MA_SFH_pre_1975_Occupied_uninsulated_Somewhat_leaky_envelope_Uninsulated_walls_Single_pane</t>
  </si>
  <si>
    <t>MA_SFH_post_2003_Unoccupied_high_insulated_floor</t>
  </si>
  <si>
    <t>MA_SFH_Electric_resistance_AC_window_Air_ducts_insulated_NG_DHW</t>
  </si>
  <si>
    <t>MA_Electric_resistance_Window_ASHP_Air_ducts_conditioned_uninsulated</t>
  </si>
  <si>
    <t>NG_condensing_heating_Air_ducts_conditioned_uninsulated</t>
  </si>
  <si>
    <t>Window_ASHP_Air_ducts_conditioned_uninsulated</t>
  </si>
  <si>
    <t>MA_SFH_pre_1975_Occupied_uninsulated_Somewhat_leaky_envelope_Uninsulated_walls_Single_pane_storm_windows</t>
  </si>
  <si>
    <t>MA_MFH_pre_1975_Occupied_uninsulated</t>
  </si>
  <si>
    <t>MA_SFH_Electric_resistance_AC_window_Air_ducts_insulated_Heating_DHW_combo_NG</t>
  </si>
  <si>
    <t>MA_Electric_resistance_Window_ASHP_Hot_water_insulated</t>
  </si>
  <si>
    <t>NG_condensing_heating_Hot_water_insulated</t>
  </si>
  <si>
    <t>Window_ASHP_Hot_water_insulated</t>
  </si>
  <si>
    <t>MA_SFH_pre_1975_Occupied_uninsulated_Somewhat_leaky_envelope_Uninsulated_walls_Double_pane_lowE</t>
  </si>
  <si>
    <t>MA_MFH_pre_1975_Unoccupied_uninsulated_floor</t>
  </si>
  <si>
    <t>MA_SFH_Electric_resistance_AC_window_Air_ducts_insulated_HPWH</t>
  </si>
  <si>
    <t>MA_Electric_resistance_Window_ASHP_Air_ducts_insulated</t>
  </si>
  <si>
    <t>NG_condensing_heating_Air_ducts_insulated</t>
  </si>
  <si>
    <t>Window_ASHP_Air_ducts_insulated</t>
  </si>
  <si>
    <t>MA_SFH_pre_1975_Occupied_uninsulated_Somewhat_leaky_envelope_Uninsulated_walls_Triple_pane_lowE</t>
  </si>
  <si>
    <t>MA_MFH_pre_1975_Unoccupied_insulated_floor</t>
  </si>
  <si>
    <t>MA_SFH_Electric_resistance_Central_AC_Steam_Electric_resistance_DHW</t>
  </si>
  <si>
    <t>MA_Electric_resistance_ASHP_Steam</t>
  </si>
  <si>
    <t>ASHP_Steam</t>
  </si>
  <si>
    <t>MA_SFH_pre_1975_Occupied_uninsulated_Somewhat_leaky_envelope_Some_wall_insulation_Single_pane</t>
  </si>
  <si>
    <t>MA_MFH_pre_1975_Limited_insulation_roof</t>
  </si>
  <si>
    <t>MA_SFH_Electric_resistance_Central_AC_Steam_NG_DHW</t>
  </si>
  <si>
    <t>MA_Electric_resistance_ASHP_Hot_water_uninsulated</t>
  </si>
  <si>
    <t>ASHP_Hot_water_uninsulated</t>
  </si>
  <si>
    <t>MA_SFH_pre_1975_Occupied_uninsulated_Somewhat_leaky_envelope_Some_wall_insulation_Single_pane_storm_windows</t>
  </si>
  <si>
    <t>MA_MFH_pre_1975_Insulation_roof</t>
  </si>
  <si>
    <t>MA_SFH_Electric_resistance_Central_AC_Steam_Heating_DHW_combo_NG</t>
  </si>
  <si>
    <t>MA_Electric_resistance_ASHP_Air_ducts_uninsulated</t>
  </si>
  <si>
    <t>ASHP_Air_ducts_uninsulated</t>
  </si>
  <si>
    <t>MA_SFH_pre_1975_Occupied_uninsulated_Somewhat_leaky_envelope_Some_wall_insulation_Double_pane_lowE</t>
  </si>
  <si>
    <t>MA_MFH_pre_1975_Occupied_insulated</t>
  </si>
  <si>
    <t>MA_SFH_Electric_resistance_Central_AC_Steam_HPWH</t>
  </si>
  <si>
    <t>MA_Electric_resistance_ASHP_Air_ducts_conditioned_uninsulated</t>
  </si>
  <si>
    <t>ASHP_Air_ducts_conditioned_uninsulated</t>
  </si>
  <si>
    <t>MA_SFH_pre_1975_Occupied_uninsulated_Somewhat_leaky_envelope_Some_wall_insulation_Triple_pane_lowE</t>
  </si>
  <si>
    <t>MA_MFH_pre_1975_Unoccupied_high_insulated_floor</t>
  </si>
  <si>
    <t>MA_SFH_Electric_resistance_Central_AC_Hot_water_uninsulated_Electric_resistance_DHW</t>
  </si>
  <si>
    <t>MA_Electric_resistance_ASHP_Hot_water_insulated</t>
  </si>
  <si>
    <t>ASHP_Hot_water_insulated</t>
  </si>
  <si>
    <t>MA_SFH_pre_1975_Occupied_uninsulated_Somewhat_leaky_envelope_SIP_Single_pane</t>
  </si>
  <si>
    <t>MA_MFH_btw_1975_2003_Occupied_uninsulated</t>
  </si>
  <si>
    <t>MA_SFH_Electric_resistance_Central_AC_Hot_water_uninsulated_NG_DHW</t>
  </si>
  <si>
    <t>MA_Electric_resistance_ASHP_Air_ducts_insulated</t>
  </si>
  <si>
    <t>ASHP_Air_ducts_insulated</t>
  </si>
  <si>
    <t>MA_SFH_pre_1975_Occupied_uninsulated_Somewhat_leaky_envelope_SIP_Single_pane_storm_windows</t>
  </si>
  <si>
    <t>MA_MFH_btw_1975_2003_Unoccupied_uninsulated_floor</t>
  </si>
  <si>
    <t>MA_SFH_Electric_resistance_Central_AC_Hot_water_uninsulated_Heating_DHW_combo_NG</t>
  </si>
  <si>
    <t>MA_Electric_resistance_GSHP_Steam</t>
  </si>
  <si>
    <t>GSHP_Steam</t>
  </si>
  <si>
    <t>MA_SFH_pre_1975_Occupied_uninsulated_Somewhat_leaky_envelope_SIP_Double_pane_lowE</t>
  </si>
  <si>
    <t>MA_MFH_btw_1975_2003_Unoccupied_insulated_floor</t>
  </si>
  <si>
    <t>MA_SFH_Electric_resistance_Central_AC_Hot_water_uninsulated_HPWH</t>
  </si>
  <si>
    <t>MA_Electric_resistance_GSHP_Hot_water_uninsulated</t>
  </si>
  <si>
    <t>GSHP_Hot_water_uninsulated</t>
  </si>
  <si>
    <t>MA_SFH_pre_1975_Occupied_uninsulated_Somewhat_leaky_envelope_SIP_Triple_pane_lowE</t>
  </si>
  <si>
    <t>MA_MFH_btw_1975_2003_Limited_insulation_roof</t>
  </si>
  <si>
    <t>MA_SFH_Electric_resistance_Central_AC_Air_ducts_uninsulated_Electric_resistance_DHW</t>
  </si>
  <si>
    <t>MA_Electric_resistance_GSHP_Air_ducts_uninsulated</t>
  </si>
  <si>
    <t>GSHP_Air_ducts_uninsulated</t>
  </si>
  <si>
    <t>MA_SFH_pre_1975_Occupied_uninsulated_Somewhat_leaky_envelope_Full_insulated_wall_cavity_Single_pane</t>
  </si>
  <si>
    <t>MA_MFH_btw_1975_2003_Insulation_roof</t>
  </si>
  <si>
    <t>MA_SFH_Electric_resistance_Central_AC_Air_ducts_uninsulated_NG_DHW</t>
  </si>
  <si>
    <t>MA_Electric_resistance_GSHP_Air_ducts_conditioned_uninsulated</t>
  </si>
  <si>
    <t>GSHP_Air_ducts_conditioned_uninsulated</t>
  </si>
  <si>
    <t>MA_SFH_pre_1975_Occupied_uninsulated_Somewhat_leaky_envelope_Full_insulated_wall_cavity_Single_pane_storm_windows</t>
  </si>
  <si>
    <t>MA_MFH_btw_1975_2003_Occupied_insulated</t>
  </si>
  <si>
    <t>MA_SFH_Electric_resistance_Central_AC_Air_ducts_uninsulated_Heating_DHW_combo_NG</t>
  </si>
  <si>
    <t>MA_Electric_resistance_GSHP_Hot_water_insulated</t>
  </si>
  <si>
    <t>GSHP_Hot_water_insulated</t>
  </si>
  <si>
    <t>MA_SFH_pre_1975_Occupied_uninsulated_Somewhat_leaky_envelope_Full_insulated_wall_cavity_Double_pane_lowE</t>
  </si>
  <si>
    <t>MA_MFH_btw_1975_2003_Unoccupied_high_insulated_floor</t>
  </si>
  <si>
    <t>MA_SFH_Electric_resistance_Central_AC_Air_ducts_uninsulated_HPWH</t>
  </si>
  <si>
    <t>MA_Electric_resistance_GSHP_Air_ducts_insulated</t>
  </si>
  <si>
    <t>GSHP_Air_ducts_insulated</t>
  </si>
  <si>
    <t>MA_SFH_pre_1975_Occupied_uninsulated_Somewhat_leaky_envelope_Full_insulated_wall_cavity_Triple_pane_lowE</t>
  </si>
  <si>
    <t>MA_MFH_post_2003_Occupied_uninsulated</t>
  </si>
  <si>
    <t>MA_SFH_Electric_resistance_Central_AC_Air_ducts_conditioned_uninsulated_Electric_resistance_DHW</t>
  </si>
  <si>
    <t>MA_Oil_heating_AC_window_Steam</t>
  </si>
  <si>
    <t>MA_SFH_pre_1975_Occupied_uninsulated_Somewhat_leaky_envelope_Full_insulated_wall_cavity_exterior_Single_pane</t>
  </si>
  <si>
    <t>MA_MFH_post_2003_Unoccupied_uninsulated_floor</t>
  </si>
  <si>
    <t>MA_SFH_Electric_resistance_Central_AC_Air_ducts_conditioned_uninsulated_NG_DHW</t>
  </si>
  <si>
    <t>MA_Oil_heating_AC_window_Hot_water_uninsulated</t>
  </si>
  <si>
    <t>MA_SFH_pre_1975_Occupied_uninsulated_Somewhat_leaky_envelope_Full_insulated_wall_cavity_exterior_Single_pane_storm_windows</t>
  </si>
  <si>
    <t>MA_MFH_post_2003_Unoccupied_insulated_floor</t>
  </si>
  <si>
    <t>MA_SFH_Electric_resistance_Central_AC_Air_ducts_conditioned_uninsulated_Heating_DHW_combo_NG</t>
  </si>
  <si>
    <t>MA_Oil_heating_AC_window_Air_ducts_uninsulated</t>
  </si>
  <si>
    <t>MA_SFH_pre_1975_Occupied_uninsulated_Somewhat_leaky_envelope_Full_insulated_wall_cavity_exterior_Double_pane_lowE</t>
  </si>
  <si>
    <t>MA_MFH_post_2003_Limited_insulation_roof</t>
  </si>
  <si>
    <t>MA_SFH_Electric_resistance_Central_AC_Air_ducts_conditioned_uninsulated_HPWH</t>
  </si>
  <si>
    <t>MA_Oil_heating_AC_window_Air_ducts_conditioned_uninsulated</t>
  </si>
  <si>
    <t>MA_SFH_pre_1975_Occupied_uninsulated_Somewhat_leaky_envelope_Full_insulated_wall_cavity_exterior_Triple_pane_lowE</t>
  </si>
  <si>
    <t>MA_MFH_post_2003_Insulation_roof</t>
  </si>
  <si>
    <t>MA_SFH_Electric_resistance_Central_AC_Hot_water_insulated_Electric_resistance_DHW</t>
  </si>
  <si>
    <t>MA_Oil_heating_AC_window_Hot_water_insulated</t>
  </si>
  <si>
    <t>MA_SFH_pre_1975_Occupied_uninsulated_Tight_envelope_HRV_Uninsulated_walls_Single_pane</t>
  </si>
  <si>
    <t>MA_MFH_post_2003_Occupied_insulated</t>
  </si>
  <si>
    <t>MA_SFH_Electric_resistance_Central_AC_Hot_water_insulated_NG_DHW</t>
  </si>
  <si>
    <t>MA_Oil_heating_AC_window_Air_ducts_insulated</t>
  </si>
  <si>
    <t>MA_SFH_pre_1975_Occupied_uninsulated_Tight_envelope_HRV_Uninsulated_walls_Single_pane_storm_windows</t>
  </si>
  <si>
    <t>MA_MFH_post_2003_Unoccupied_high_insulated_floor</t>
  </si>
  <si>
    <t>MA_SFH_Electric_resistance_Central_AC_Hot_water_insulated_Heating_DHW_combo_NG</t>
  </si>
  <si>
    <t>MA_Oil_heating_Central_AC_Steam</t>
  </si>
  <si>
    <t>MA_SFH_pre_1975_Occupied_uninsulated_Tight_envelope_HRV_Uninsulated_walls_Double_pane_lowE</t>
  </si>
  <si>
    <t>MA_SFH_Electric_resistance_Central_AC_Hot_water_insulated_HPWH</t>
  </si>
  <si>
    <t>MA_Oil_heating_Central_AC_Hot_water_uninsulated</t>
  </si>
  <si>
    <t>MA_SFH_pre_1975_Occupied_uninsulated_Tight_envelope_HRV_Uninsulated_walls_Triple_pane_lowE</t>
  </si>
  <si>
    <t>MA_SFH_Electric_resistance_Central_AC_Air_ducts_insulated_Electric_resistance_DHW</t>
  </si>
  <si>
    <t>MA_Oil_heating_Central_AC_Air_ducts_uninsulated</t>
  </si>
  <si>
    <t>MA_SFH_pre_1975_Occupied_uninsulated_Tight_envelope_HRV_Some_wall_insulation_Single_pane</t>
  </si>
  <si>
    <t>MA_SFH_Electric_resistance_Central_AC_Air_ducts_insulated_NG_DHW</t>
  </si>
  <si>
    <t>MA_Oil_heating_Central_AC_Air_ducts_conditioned_uninsulated</t>
  </si>
  <si>
    <t>MA_SFH_pre_1975_Occupied_uninsulated_Tight_envelope_HRV_Some_wall_insulation_Single_pane_storm_windows</t>
  </si>
  <si>
    <t>MA_SFH_Electric_resistance_Central_AC_Air_ducts_insulated_Heating_DHW_combo_NG</t>
  </si>
  <si>
    <t>MA_Oil_heating_Central_AC_Hot_water_insulated</t>
  </si>
  <si>
    <t>MA_SFH_pre_1975_Occupied_uninsulated_Tight_envelope_HRV_Some_wall_insulation_Double_pane_lowE</t>
  </si>
  <si>
    <t>MA_SFH_Electric_resistance_Central_AC_Air_ducts_insulated_HPWH</t>
  </si>
  <si>
    <t>MA_Oil_heating_Central_AC_Air_ducts_insulated</t>
  </si>
  <si>
    <t>MA_SFH_pre_1975_Occupied_uninsulated_Tight_envelope_HRV_Some_wall_insulation_Triple_pane_lowE</t>
  </si>
  <si>
    <t>MA_SFH_Electric_resistance_Natural_ventilation_Steam_Electric_resistance_DHW</t>
  </si>
  <si>
    <t>MA_Oil_heating_Natural_ventilation_Steam</t>
  </si>
  <si>
    <t>MA_SFH_pre_1975_Occupied_uninsulated_Tight_envelope_HRV_SIP_Single_pane</t>
  </si>
  <si>
    <t>MA_SFH_Electric_resistance_Natural_ventilation_Steam_NG_DHW</t>
  </si>
  <si>
    <t>MA_Oil_heating_Natural_ventilation_Hot_water_uninsulated</t>
  </si>
  <si>
    <t>MA_SFH_pre_1975_Occupied_uninsulated_Tight_envelope_HRV_SIP_Single_pane_storm_windows</t>
  </si>
  <si>
    <t>MA_SFH_Electric_resistance_Natural_ventilation_Steam_Heating_DHW_combo_NG</t>
  </si>
  <si>
    <t>MA_Oil_heating_Natural_ventilation_Air_ducts_uninsulated</t>
  </si>
  <si>
    <t>MA_SFH_pre_1975_Occupied_uninsulated_Tight_envelope_HRV_SIP_Double_pane_lowE</t>
  </si>
  <si>
    <t>MA_SFH_Electric_resistance_Natural_ventilation_Steam_HPWH</t>
  </si>
  <si>
    <t>MA_Oil_heating_Natural_ventilation_Air_ducts_conditioned_uninsulated</t>
  </si>
  <si>
    <t>MA_SFH_pre_1975_Occupied_uninsulated_Tight_envelope_HRV_SIP_Triple_pane_lowE</t>
  </si>
  <si>
    <t>MA_SFH_Electric_resistance_Natural_ventilation_Hot_water_uninsulated_Electric_resistance_DHW</t>
  </si>
  <si>
    <t>MA_Oil_heating_Natural_ventilation_Hot_water_insulated</t>
  </si>
  <si>
    <t>MA_SFH_pre_1975_Occupied_uninsulated_Tight_envelope_HRV_Full_insulated_wall_cavity_Single_pane</t>
  </si>
  <si>
    <t>MA_SFH_Electric_resistance_Natural_ventilation_Hot_water_uninsulated_NG_DHW</t>
  </si>
  <si>
    <t>MA_Oil_heating_Natural_ventilation_Air_ducts_insulated</t>
  </si>
  <si>
    <t>MA_SFH_pre_1975_Occupied_uninsulated_Tight_envelope_HRV_Full_insulated_wall_cavity_Single_pane_storm_windows</t>
  </si>
  <si>
    <t>MA_SFH_Electric_resistance_Natural_ventilation_Hot_water_uninsulated_Heating_DHW_combo_NG</t>
  </si>
  <si>
    <t>MA_Oil_heating_Window_ASHP_Steam</t>
  </si>
  <si>
    <t>MA_SFH_pre_1975_Occupied_uninsulated_Tight_envelope_HRV_Full_insulated_wall_cavity_Double_pane_lowE</t>
  </si>
  <si>
    <t>MA_SFH_Electric_resistance_Natural_ventilation_Hot_water_uninsulated_HPWH</t>
  </si>
  <si>
    <t>MA_Oil_heating_Window_ASHP_Hot_water_uninsulated</t>
  </si>
  <si>
    <t>MA_SFH_pre_1975_Occupied_uninsulated_Tight_envelope_HRV_Full_insulated_wall_cavity_Triple_pane_lowE</t>
  </si>
  <si>
    <t>MA_SFH_Electric_resistance_Natural_ventilation_Air_ducts_uninsulated_Electric_resistance_DHW</t>
  </si>
  <si>
    <t>MA_Oil_heating_Window_ASHP_Air_ducts_uninsulated</t>
  </si>
  <si>
    <t>MA_SFH_pre_1975_Occupied_uninsulated_Tight_envelope_HRV_Full_insulated_wall_cavity_exterior_Single_pane</t>
  </si>
  <si>
    <t>MA_SFH_Electric_resistance_Natural_ventilation_Air_ducts_uninsulated_NG_DHW</t>
  </si>
  <si>
    <t>MA_Oil_heating_Window_ASHP_Air_ducts_conditioned_uninsulated</t>
  </si>
  <si>
    <t>MA_SFH_pre_1975_Occupied_uninsulated_Tight_envelope_HRV_Full_insulated_wall_cavity_exterior_Single_pane_storm_windows</t>
  </si>
  <si>
    <t>MA_SFH_Electric_resistance_Natural_ventilation_Air_ducts_uninsulated_Heating_DHW_combo_NG</t>
  </si>
  <si>
    <t>MA_Oil_heating_Window_ASHP_Hot_water_insulated</t>
  </si>
  <si>
    <t>MA_SFH_pre_1975_Occupied_uninsulated_Tight_envelope_HRV_Full_insulated_wall_cavity_exterior_Double_pane_lowE</t>
  </si>
  <si>
    <t>MA_SFH_Electric_resistance_Natural_ventilation_Air_ducts_uninsulated_HPWH</t>
  </si>
  <si>
    <t>MA_Oil_heating_Window_ASHP_Air_ducts_insulated</t>
  </si>
  <si>
    <t>MA_SFH_pre_1975_Occupied_uninsulated_Tight_envelope_HRV_Full_insulated_wall_cavity_exterior_Triple_pane_lowE</t>
  </si>
  <si>
    <t>MA_SFH_Electric_resistance_Natural_ventilation_Air_ducts_conditioned_uninsulated_Electric_resistance_DHW</t>
  </si>
  <si>
    <t>MA_Oil_heating_ASHP_Steam</t>
  </si>
  <si>
    <t>MA_SFH_pre_1975_Unoccupied_uninsulated_floor_Leaky_envelope_Uninsulated_walls_Single_pane</t>
  </si>
  <si>
    <t>MA_SFH_Electric_resistance_Natural_ventilation_Air_ducts_conditioned_uninsulated_NG_DHW</t>
  </si>
  <si>
    <t>MA_Oil_heating_ASHP_Hot_water_uninsulated</t>
  </si>
  <si>
    <t>MA_SFH_pre_1975_Unoccupied_uninsulated_floor_Leaky_envelope_Uninsulated_walls_Single_pane_storm_windows</t>
  </si>
  <si>
    <t>MA_SFH_Electric_resistance_Natural_ventilation_Air_ducts_conditioned_uninsulated_Heating_DHW_combo_NG</t>
  </si>
  <si>
    <t>MA_Oil_heating_ASHP_Air_ducts_uninsulated</t>
  </si>
  <si>
    <t>MA_SFH_pre_1975_Unoccupied_uninsulated_floor_Leaky_envelope_Uninsulated_walls_Double_pane_lowE</t>
  </si>
  <si>
    <t>MA_SFH_Electric_resistance_Natural_ventilation_Air_ducts_conditioned_uninsulated_HPWH</t>
  </si>
  <si>
    <t>MA_Oil_heating_ASHP_Air_ducts_conditioned_uninsulated</t>
  </si>
  <si>
    <t>MA_SFH_pre_1975_Unoccupied_uninsulated_floor_Leaky_envelope_Uninsulated_walls_Triple_pane_lowE</t>
  </si>
  <si>
    <t>MA_SFH_Electric_resistance_Natural_ventilation_Hot_water_insulated_Electric_resistance_DHW</t>
  </si>
  <si>
    <t>MA_Oil_heating_ASHP_Hot_water_insulated</t>
  </si>
  <si>
    <t>MA_SFH_pre_1975_Unoccupied_uninsulated_floor_Leaky_envelope_Some_wall_insulation_Single_pane</t>
  </si>
  <si>
    <t>MA_SFH_Electric_resistance_Natural_ventilation_Hot_water_insulated_NG_DHW</t>
  </si>
  <si>
    <t>MA_Oil_heating_ASHP_Air_ducts_insulated</t>
  </si>
  <si>
    <t>MA_SFH_pre_1975_Unoccupied_uninsulated_floor_Leaky_envelope_Some_wall_insulation_Single_pane_storm_windows</t>
  </si>
  <si>
    <t>MA_SFH_Electric_resistance_Natural_ventilation_Hot_water_insulated_Heating_DHW_combo_NG</t>
  </si>
  <si>
    <t>MA_Oil_heating_GSHP_Steam</t>
  </si>
  <si>
    <t>MA_SFH_pre_1975_Unoccupied_uninsulated_floor_Leaky_envelope_Some_wall_insulation_Double_pane_lowE</t>
  </si>
  <si>
    <t>MA_SFH_Electric_resistance_Natural_ventilation_Hot_water_insulated_HPWH</t>
  </si>
  <si>
    <t>MA_Oil_heating_GSHP_Hot_water_uninsulated</t>
  </si>
  <si>
    <t>MA_SFH_pre_1975_Unoccupied_uninsulated_floor_Leaky_envelope_Some_wall_insulation_Triple_pane_lowE</t>
  </si>
  <si>
    <t>MA_SFH_Electric_resistance_Natural_ventilation_Air_ducts_insulated_Electric_resistance_DHW</t>
  </si>
  <si>
    <t>MA_Oil_heating_GSHP_Air_ducts_uninsulated</t>
  </si>
  <si>
    <t>MA_SFH_pre_1975_Unoccupied_uninsulated_floor_Leaky_envelope_SIP_Single_pane</t>
  </si>
  <si>
    <t>MA_SFH_Electric_resistance_Natural_ventilation_Air_ducts_insulated_NG_DHW</t>
  </si>
  <si>
    <t>MA_Oil_heating_GSHP_Air_ducts_conditioned_uninsulated</t>
  </si>
  <si>
    <t>MA_SFH_pre_1975_Unoccupied_uninsulated_floor_Leaky_envelope_SIP_Single_pane_storm_windows</t>
  </si>
  <si>
    <t>MA_SFH_Electric_resistance_Natural_ventilation_Air_ducts_insulated_Heating_DHW_combo_NG</t>
  </si>
  <si>
    <t>MA_Oil_heating_GSHP_Hot_water_insulated</t>
  </si>
  <si>
    <t>MA_SFH_pre_1975_Unoccupied_uninsulated_floor_Leaky_envelope_SIP_Double_pane_lowE</t>
  </si>
  <si>
    <t>MA_SFH_Electric_resistance_Natural_ventilation_Air_ducts_insulated_HPWH</t>
  </si>
  <si>
    <t>MA_Oil_heating_GSHP_Air_ducts_insulated</t>
  </si>
  <si>
    <t>MA_SFH_pre_1975_Unoccupied_uninsulated_floor_Leaky_envelope_SIP_Triple_pane_lowE</t>
  </si>
  <si>
    <t>MA_SFH_Electric_resistance_Window_ASHP_Steam_Electric_resistance_DHW</t>
  </si>
  <si>
    <t>MA_NG_heating_AC_window_Steam</t>
  </si>
  <si>
    <t>MA_SFH_pre_1975_Unoccupied_uninsulated_floor_Leaky_envelope_Full_insulated_wall_cavity_Single_pane</t>
  </si>
  <si>
    <t>MA_SFH_Electric_resistance_Window_ASHP_Steam_NG_DHW</t>
  </si>
  <si>
    <t>MA_NG_heating_AC_window_Hot_water_uninsulated</t>
  </si>
  <si>
    <t>MA_SFH_pre_1975_Unoccupied_uninsulated_floor_Leaky_envelope_Full_insulated_wall_cavity_Single_pane_storm_windows</t>
  </si>
  <si>
    <t>MA_SFH_Electric_resistance_Window_ASHP_Steam_Heating_DHW_combo_NG</t>
  </si>
  <si>
    <t>MA_NG_heating_AC_window_Air_ducts_uninsulated</t>
  </si>
  <si>
    <t>MA_SFH_pre_1975_Unoccupied_uninsulated_floor_Leaky_envelope_Full_insulated_wall_cavity_Double_pane_lowE</t>
  </si>
  <si>
    <t>MA_SFH_Electric_resistance_Window_ASHP_Steam_HPWH</t>
  </si>
  <si>
    <t>MA_NG_heating_AC_window_Air_ducts_conditioned_uninsulated</t>
  </si>
  <si>
    <t>MA_SFH_pre_1975_Unoccupied_uninsulated_floor_Leaky_envelope_Full_insulated_wall_cavity_Triple_pane_lowE</t>
  </si>
  <si>
    <t>MA_SFH_Electric_resistance_Window_ASHP_Hot_water_uninsulated_Electric_resistance_DHW</t>
  </si>
  <si>
    <t>MA_NG_heating_AC_window_Hot_water_insulated</t>
  </si>
  <si>
    <t>MA_SFH_pre_1975_Unoccupied_uninsulated_floor_Leaky_envelope_Full_insulated_wall_cavity_exterior_Single_pane</t>
  </si>
  <si>
    <t>MA_SFH_Electric_resistance_Window_ASHP_Hot_water_uninsulated_NG_DHW</t>
  </si>
  <si>
    <t>MA_NG_heating_AC_window_Air_ducts_insulated</t>
  </si>
  <si>
    <t>MA_SFH_pre_1975_Unoccupied_uninsulated_floor_Leaky_envelope_Full_insulated_wall_cavity_exterior_Single_pane_storm_windows</t>
  </si>
  <si>
    <t>MA_SFH_Electric_resistance_Window_ASHP_Hot_water_uninsulated_Heating_DHW_combo_NG</t>
  </si>
  <si>
    <t>MA_NG_heating_Central_AC_Steam</t>
  </si>
  <si>
    <t>MA_SFH_pre_1975_Unoccupied_uninsulated_floor_Leaky_envelope_Full_insulated_wall_cavity_exterior_Double_pane_lowE</t>
  </si>
  <si>
    <t>MA_SFH_Electric_resistance_Window_ASHP_Hot_water_uninsulated_HPWH</t>
  </si>
  <si>
    <t>MA_NG_heating_Central_AC_Hot_water_uninsulated</t>
  </si>
  <si>
    <t>MA_SFH_pre_1975_Unoccupied_uninsulated_floor_Leaky_envelope_Full_insulated_wall_cavity_exterior_Triple_pane_lowE</t>
  </si>
  <si>
    <t>MA_SFH_Electric_resistance_Window_ASHP_Air_ducts_uninsulated_Electric_resistance_DHW</t>
  </si>
  <si>
    <t>MA_NG_heating_Central_AC_Air_ducts_uninsulated</t>
  </si>
  <si>
    <t>MA_SFH_pre_1975_Unoccupied_uninsulated_floor_Somewhat_leaky_envelope_Uninsulated_walls_Single_pane</t>
  </si>
  <si>
    <t>MA_SFH_Electric_resistance_Window_ASHP_Air_ducts_uninsulated_NG_DHW</t>
  </si>
  <si>
    <t>MA_NG_heating_Central_AC_Air_ducts_conditioned_uninsulated</t>
  </si>
  <si>
    <t>MA_SFH_pre_1975_Unoccupied_uninsulated_floor_Somewhat_leaky_envelope_Uninsulated_walls_Single_pane_storm_windows</t>
  </si>
  <si>
    <t>MA_SFH_Electric_resistance_Window_ASHP_Air_ducts_uninsulated_Heating_DHW_combo_NG</t>
  </si>
  <si>
    <t>MA_NG_heating_Central_AC_Hot_water_insulated</t>
  </si>
  <si>
    <t>MA_SFH_pre_1975_Unoccupied_uninsulated_floor_Somewhat_leaky_envelope_Uninsulated_walls_Double_pane_lowE</t>
  </si>
  <si>
    <t>MA_SFH_Electric_resistance_Window_ASHP_Air_ducts_uninsulated_HPWH</t>
  </si>
  <si>
    <t>MA_NG_heating_Central_AC_Air_ducts_insulated</t>
  </si>
  <si>
    <t>MA_SFH_pre_1975_Unoccupied_uninsulated_floor_Somewhat_leaky_envelope_Uninsulated_walls_Triple_pane_lowE</t>
  </si>
  <si>
    <t>MA_SFH_Electric_resistance_Window_ASHP_Air_ducts_conditioned_uninsulated_Electric_resistance_DHW</t>
  </si>
  <si>
    <t>MA_NG_heating_Natural_ventilation_Steam</t>
  </si>
  <si>
    <t>MA_SFH_pre_1975_Unoccupied_uninsulated_floor_Somewhat_leaky_envelope_Some_wall_insulation_Single_pane</t>
  </si>
  <si>
    <t>MA_SFH_Electric_resistance_Window_ASHP_Air_ducts_conditioned_uninsulated_NG_DHW</t>
  </si>
  <si>
    <t>MA_NG_heating_Natural_ventilation_Hot_water_uninsulated</t>
  </si>
  <si>
    <t>MA_SFH_pre_1975_Unoccupied_uninsulated_floor_Somewhat_leaky_envelope_Some_wall_insulation_Single_pane_storm_windows</t>
  </si>
  <si>
    <t>MA_SFH_Electric_resistance_Window_ASHP_Air_ducts_conditioned_uninsulated_Heating_DHW_combo_NG</t>
  </si>
  <si>
    <t>MA_NG_heating_Natural_ventilation_Air_ducts_uninsulated</t>
  </si>
  <si>
    <t>MA_SFH_pre_1975_Unoccupied_uninsulated_floor_Somewhat_leaky_envelope_Some_wall_insulation_Double_pane_lowE</t>
  </si>
  <si>
    <t>MA_SFH_Electric_resistance_Window_ASHP_Air_ducts_conditioned_uninsulated_HPWH</t>
  </si>
  <si>
    <t>MA_NG_heating_Natural_ventilation_Air_ducts_conditioned_uninsulated</t>
  </si>
  <si>
    <t>MA_SFH_pre_1975_Unoccupied_uninsulated_floor_Somewhat_leaky_envelope_Some_wall_insulation_Triple_pane_lowE</t>
  </si>
  <si>
    <t>MA_SFH_Electric_resistance_Window_ASHP_Hot_water_insulated_Electric_resistance_DHW</t>
  </si>
  <si>
    <t>MA_NG_heating_Natural_ventilation_Hot_water_insulated</t>
  </si>
  <si>
    <t>MA_SFH_pre_1975_Unoccupied_uninsulated_floor_Somewhat_leaky_envelope_SIP_Single_pane</t>
  </si>
  <si>
    <t>MA_SFH_Electric_resistance_Window_ASHP_Hot_water_insulated_NG_DHW</t>
  </si>
  <si>
    <t>MA_NG_heating_Natural_ventilation_Air_ducts_insulated</t>
  </si>
  <si>
    <t>MA_SFH_pre_1975_Unoccupied_uninsulated_floor_Somewhat_leaky_envelope_SIP_Single_pane_storm_windows</t>
  </si>
  <si>
    <t>MA_SFH_Electric_resistance_Window_ASHP_Hot_water_insulated_Heating_DHW_combo_NG</t>
  </si>
  <si>
    <t>MA_NG_heating_Window_ASHP_Steam</t>
  </si>
  <si>
    <t>MA_SFH_pre_1975_Unoccupied_uninsulated_floor_Somewhat_leaky_envelope_SIP_Double_pane_lowE</t>
  </si>
  <si>
    <t>MA_SFH_Electric_resistance_Window_ASHP_Hot_water_insulated_HPWH</t>
  </si>
  <si>
    <t>MA_NG_heating_Window_ASHP_Hot_water_uninsulated</t>
  </si>
  <si>
    <t>MA_SFH_pre_1975_Unoccupied_uninsulated_floor_Somewhat_leaky_envelope_SIP_Triple_pane_lowE</t>
  </si>
  <si>
    <t>MA_SFH_Electric_resistance_Window_ASHP_Air_ducts_insulated_Electric_resistance_DHW</t>
  </si>
  <si>
    <t>MA_NG_heating_Window_ASHP_Air_ducts_uninsulated</t>
  </si>
  <si>
    <t>MA_SFH_pre_1975_Unoccupied_uninsulated_floor_Somewhat_leaky_envelope_Full_insulated_wall_cavity_Single_pane</t>
  </si>
  <si>
    <t>MA_SFH_Electric_resistance_Window_ASHP_Air_ducts_insulated_NG_DHW</t>
  </si>
  <si>
    <t>MA_NG_heating_Window_ASHP_Air_ducts_conditioned_uninsulated</t>
  </si>
  <si>
    <t>MA_SFH_pre_1975_Unoccupied_uninsulated_floor_Somewhat_leaky_envelope_Full_insulated_wall_cavity_Single_pane_storm_windows</t>
  </si>
  <si>
    <t>MA_SFH_Electric_resistance_Window_ASHP_Air_ducts_insulated_Heating_DHW_combo_NG</t>
  </si>
  <si>
    <t>MA_NG_heating_Window_ASHP_Hot_water_insulated</t>
  </si>
  <si>
    <t>MA_SFH_pre_1975_Unoccupied_uninsulated_floor_Somewhat_leaky_envelope_Full_insulated_wall_cavity_Double_pane_lowE</t>
  </si>
  <si>
    <t>MA_SFH_Electric_resistance_Window_ASHP_Air_ducts_insulated_HPWH</t>
  </si>
  <si>
    <t>MA_NG_heating_Window_ASHP_Air_ducts_insulated</t>
  </si>
  <si>
    <t>MA_SFH_pre_1975_Unoccupied_uninsulated_floor_Somewhat_leaky_envelope_Full_insulated_wall_cavity_Triple_pane_lowE</t>
  </si>
  <si>
    <t>MA_SFH_Electric_resistance_ASHP_Steam_Electric_resistance_DHW</t>
  </si>
  <si>
    <t>MA_NG_heating_ASHP_Steam</t>
  </si>
  <si>
    <t>MA_SFH_pre_1975_Unoccupied_uninsulated_floor_Somewhat_leaky_envelope_Full_insulated_wall_cavity_exterior_Single_pane</t>
  </si>
  <si>
    <t>MA_SFH_Electric_resistance_ASHP_Steam_NG_DHW</t>
  </si>
  <si>
    <t>MA_NG_heating_ASHP_Hot_water_uninsulated</t>
  </si>
  <si>
    <t>MA_SFH_pre_1975_Unoccupied_uninsulated_floor_Somewhat_leaky_envelope_Full_insulated_wall_cavity_exterior_Single_pane_storm_windows</t>
  </si>
  <si>
    <t>MA_SFH_Electric_resistance_ASHP_Steam_Heating_DHW_combo_NG</t>
  </si>
  <si>
    <t>MA_NG_heating_ASHP_Air_ducts_uninsulated</t>
  </si>
  <si>
    <t>MA_SFH_pre_1975_Unoccupied_uninsulated_floor_Somewhat_leaky_envelope_Full_insulated_wall_cavity_exterior_Double_pane_lowE</t>
  </si>
  <si>
    <t>MA_SFH_Electric_resistance_ASHP_Steam_HPWH</t>
  </si>
  <si>
    <t>MA_NG_heating_ASHP_Air_ducts_conditioned_uninsulated</t>
  </si>
  <si>
    <t>MA_SFH_pre_1975_Unoccupied_uninsulated_floor_Somewhat_leaky_envelope_Full_insulated_wall_cavity_exterior_Triple_pane_lowE</t>
  </si>
  <si>
    <t>MA_SFH_Electric_resistance_ASHP_Hot_water_uninsulated_Electric_resistance_DHW</t>
  </si>
  <si>
    <t>MA_NG_heating_ASHP_Hot_water_insulated</t>
  </si>
  <si>
    <t>MA_SFH_pre_1975_Unoccupied_uninsulated_floor_Tight_envelope_HRV_Uninsulated_walls_Single_pane</t>
  </si>
  <si>
    <t>MA_SFH_Electric_resistance_ASHP_Hot_water_uninsulated_NG_DHW</t>
  </si>
  <si>
    <t>MA_NG_heating_ASHP_Air_ducts_insulated</t>
  </si>
  <si>
    <t>MA_SFH_pre_1975_Unoccupied_uninsulated_floor_Tight_envelope_HRV_Uninsulated_walls_Single_pane_storm_windows</t>
  </si>
  <si>
    <t>MA_SFH_Electric_resistance_ASHP_Hot_water_uninsulated_Heating_DHW_combo_NG</t>
  </si>
  <si>
    <t>MA_NG_heating_GSHP_Steam</t>
  </si>
  <si>
    <t>MA_SFH_pre_1975_Unoccupied_uninsulated_floor_Tight_envelope_HRV_Uninsulated_walls_Double_pane_lowE</t>
  </si>
  <si>
    <t>MA_SFH_Electric_resistance_ASHP_Hot_water_uninsulated_HPWH</t>
  </si>
  <si>
    <t>MA_NG_heating_GSHP_Hot_water_uninsulated</t>
  </si>
  <si>
    <t>MA_SFH_pre_1975_Unoccupied_uninsulated_floor_Tight_envelope_HRV_Uninsulated_walls_Triple_pane_lowE</t>
  </si>
  <si>
    <t>MA_SFH_Electric_resistance_ASHP_Air_ducts_uninsulated_Electric_resistance_DHW</t>
  </si>
  <si>
    <t>MA_NG_heating_GSHP_Air_ducts_uninsulated</t>
  </si>
  <si>
    <t>MA_SFH_pre_1975_Unoccupied_uninsulated_floor_Tight_envelope_HRV_Some_wall_insulation_Single_pane</t>
  </si>
  <si>
    <t>MA_SFH_Electric_resistance_ASHP_Air_ducts_uninsulated_NG_DHW</t>
  </si>
  <si>
    <t>MA_NG_heating_GSHP_Air_ducts_conditioned_uninsulated</t>
  </si>
  <si>
    <t>MA_SFH_pre_1975_Unoccupied_uninsulated_floor_Tight_envelope_HRV_Some_wall_insulation_Single_pane_storm_windows</t>
  </si>
  <si>
    <t>MA_SFH_Electric_resistance_ASHP_Air_ducts_uninsulated_Heating_DHW_combo_NG</t>
  </si>
  <si>
    <t>MA_NG_heating_GSHP_Hot_water_insulated</t>
  </si>
  <si>
    <t>MA_SFH_pre_1975_Unoccupied_uninsulated_floor_Tight_envelope_HRV_Some_wall_insulation_Double_pane_lowE</t>
  </si>
  <si>
    <t>MA_SFH_Electric_resistance_ASHP_Air_ducts_uninsulated_HPWH</t>
  </si>
  <si>
    <t>MA_NG_heating_GSHP_Air_ducts_insulated</t>
  </si>
  <si>
    <t>MA_SFH_pre_1975_Unoccupied_uninsulated_floor_Tight_envelope_HRV_Some_wall_insulation_Triple_pane_lowE</t>
  </si>
  <si>
    <t>MA_SFH_Electric_resistance_ASHP_Air_ducts_conditioned_uninsulated_Electric_resistance_DHW</t>
  </si>
  <si>
    <t>MA_NG_condensing_heating_AC_window_Steam</t>
  </si>
  <si>
    <t>MA_SFH_pre_1975_Unoccupied_uninsulated_floor_Tight_envelope_HRV_SIP_Single_pane</t>
  </si>
  <si>
    <t>MA_SFH_Electric_resistance_ASHP_Air_ducts_conditioned_uninsulated_NG_DHW</t>
  </si>
  <si>
    <t>MA_NG_condensing_heating_AC_window_Hot_water_uninsulated</t>
  </si>
  <si>
    <t>MA_SFH_pre_1975_Unoccupied_uninsulated_floor_Tight_envelope_HRV_SIP_Single_pane_storm_windows</t>
  </si>
  <si>
    <t>MA_SFH_Electric_resistance_ASHP_Air_ducts_conditioned_uninsulated_Heating_DHW_combo_NG</t>
  </si>
  <si>
    <t>MA_NG_condensing_heating_AC_window_Air_ducts_uninsulated</t>
  </si>
  <si>
    <t>MA_SFH_pre_1975_Unoccupied_uninsulated_floor_Tight_envelope_HRV_SIP_Double_pane_lowE</t>
  </si>
  <si>
    <t>MA_SFH_Electric_resistance_ASHP_Air_ducts_conditioned_uninsulated_HPWH</t>
  </si>
  <si>
    <t>MA_NG_condensing_heating_AC_window_Air_ducts_conditioned_uninsulated</t>
  </si>
  <si>
    <t>MA_SFH_pre_1975_Unoccupied_uninsulated_floor_Tight_envelope_HRV_SIP_Triple_pane_lowE</t>
  </si>
  <si>
    <t>MA_SFH_Electric_resistance_ASHP_Hot_water_insulated_Electric_resistance_DHW</t>
  </si>
  <si>
    <t>MA_NG_condensing_heating_AC_window_Hot_water_insulated</t>
  </si>
  <si>
    <t>MA_SFH_pre_1975_Unoccupied_uninsulated_floor_Tight_envelope_HRV_Full_insulated_wall_cavity_Single_pane</t>
  </si>
  <si>
    <t>MA_SFH_Electric_resistance_ASHP_Hot_water_insulated_NG_DHW</t>
  </si>
  <si>
    <t>MA_NG_condensing_heating_AC_window_Air_ducts_insulated</t>
  </si>
  <si>
    <t>MA_SFH_pre_1975_Unoccupied_uninsulated_floor_Tight_envelope_HRV_Full_insulated_wall_cavity_Single_pane_storm_windows</t>
  </si>
  <si>
    <t>MA_SFH_Electric_resistance_ASHP_Hot_water_insulated_Heating_DHW_combo_NG</t>
  </si>
  <si>
    <t>MA_NG_condensing_heating_Central_AC_Steam</t>
  </si>
  <si>
    <t>MA_SFH_pre_1975_Unoccupied_uninsulated_floor_Tight_envelope_HRV_Full_insulated_wall_cavity_Double_pane_lowE</t>
  </si>
  <si>
    <t>MA_SFH_Electric_resistance_ASHP_Hot_water_insulated_HPWH</t>
  </si>
  <si>
    <t>MA_NG_condensing_heating_Central_AC_Hot_water_uninsulated</t>
  </si>
  <si>
    <t>MA_SFH_pre_1975_Unoccupied_uninsulated_floor_Tight_envelope_HRV_Full_insulated_wall_cavity_Triple_pane_lowE</t>
  </si>
  <si>
    <t>MA_SFH_Electric_resistance_ASHP_Air_ducts_insulated_Electric_resistance_DHW</t>
  </si>
  <si>
    <t>MA_NG_condensing_heating_Central_AC_Air_ducts_uninsulated</t>
  </si>
  <si>
    <t>MA_SFH_pre_1975_Unoccupied_uninsulated_floor_Tight_envelope_HRV_Full_insulated_wall_cavity_exterior_Single_pane</t>
  </si>
  <si>
    <t>MA_SFH_Electric_resistance_ASHP_Air_ducts_insulated_NG_DHW</t>
  </si>
  <si>
    <t>MA_NG_condensing_heating_Central_AC_Air_ducts_conditioned_uninsulated</t>
  </si>
  <si>
    <t>MA_SFH_pre_1975_Unoccupied_uninsulated_floor_Tight_envelope_HRV_Full_insulated_wall_cavity_exterior_Single_pane_storm_windows</t>
  </si>
  <si>
    <t>MA_SFH_Electric_resistance_ASHP_Air_ducts_insulated_Heating_DHW_combo_NG</t>
  </si>
  <si>
    <t>MA_NG_condensing_heating_Central_AC_Hot_water_insulated</t>
  </si>
  <si>
    <t>MA_SFH_pre_1975_Unoccupied_uninsulated_floor_Tight_envelope_HRV_Full_insulated_wall_cavity_exterior_Double_pane_lowE</t>
  </si>
  <si>
    <t>MA_SFH_Electric_resistance_ASHP_Air_ducts_insulated_HPWH</t>
  </si>
  <si>
    <t>MA_NG_condensing_heating_Central_AC_Air_ducts_insulated</t>
  </si>
  <si>
    <t>MA_SFH_pre_1975_Unoccupied_uninsulated_floor_Tight_envelope_HRV_Full_insulated_wall_cavity_exterior_Triple_pane_lowE</t>
  </si>
  <si>
    <t>MA_SFH_Electric_resistance_GSHP_Steam_Electric_resistance_DHW</t>
  </si>
  <si>
    <t>MA_NG_condensing_heating_Natural_ventilation_Steam</t>
  </si>
  <si>
    <t>MA_SFH_pre_1975_Unoccupied_insulated_floor_Leaky_envelope_Uninsulated_walls_Single_pane</t>
  </si>
  <si>
    <t>MA_SFH_Electric_resistance_GSHP_Steam_NG_DHW</t>
  </si>
  <si>
    <t>MA_NG_condensing_heating_Natural_ventilation_Hot_water_uninsulated</t>
  </si>
  <si>
    <t>MA_SFH_pre_1975_Unoccupied_insulated_floor_Leaky_envelope_Uninsulated_walls_Single_pane_storm_windows</t>
  </si>
  <si>
    <t>MA_SFH_Electric_resistance_GSHP_Steam_Heating_DHW_combo_NG</t>
  </si>
  <si>
    <t>MA_NG_condensing_heating_Natural_ventilation_Air_ducts_uninsulated</t>
  </si>
  <si>
    <t>MA_SFH_pre_1975_Unoccupied_insulated_floor_Leaky_envelope_Uninsulated_walls_Double_pane_lowE</t>
  </si>
  <si>
    <t>MA_SFH_Electric_resistance_GSHP_Steam_HPWH</t>
  </si>
  <si>
    <t>MA_NG_condensing_heating_Natural_ventilation_Air_ducts_conditioned_uninsulated</t>
  </si>
  <si>
    <t>MA_SFH_pre_1975_Unoccupied_insulated_floor_Leaky_envelope_Uninsulated_walls_Triple_pane_lowE</t>
  </si>
  <si>
    <t>MA_SFH_Electric_resistance_GSHP_Hot_water_uninsulated_Electric_resistance_DHW</t>
  </si>
  <si>
    <t>MA_NG_condensing_heating_Natural_ventilation_Hot_water_insulated</t>
  </si>
  <si>
    <t>MA_SFH_pre_1975_Unoccupied_insulated_floor_Leaky_envelope_Some_wall_insulation_Single_pane</t>
  </si>
  <si>
    <t>MA_SFH_Electric_resistance_GSHP_Hot_water_uninsulated_NG_DHW</t>
  </si>
  <si>
    <t>MA_NG_condensing_heating_Natural_ventilation_Air_ducts_insulated</t>
  </si>
  <si>
    <t>MA_SFH_pre_1975_Unoccupied_insulated_floor_Leaky_envelope_Some_wall_insulation_Single_pane_storm_windows</t>
  </si>
  <si>
    <t>MA_SFH_Electric_resistance_GSHP_Hot_water_uninsulated_Heating_DHW_combo_NG</t>
  </si>
  <si>
    <t>MA_NG_condensing_heating_Window_ASHP_Steam</t>
  </si>
  <si>
    <t>MA_SFH_pre_1975_Unoccupied_insulated_floor_Leaky_envelope_Some_wall_insulation_Double_pane_lowE</t>
  </si>
  <si>
    <t>MA_SFH_Electric_resistance_GSHP_Hot_water_uninsulated_HPWH</t>
  </si>
  <si>
    <t>MA_NG_condensing_heating_Window_ASHP_Hot_water_uninsulated</t>
  </si>
  <si>
    <t>MA_SFH_pre_1975_Unoccupied_insulated_floor_Leaky_envelope_Some_wall_insulation_Triple_pane_lowE</t>
  </si>
  <si>
    <t>MA_SFH_Electric_resistance_GSHP_Air_ducts_uninsulated_Electric_resistance_DHW</t>
  </si>
  <si>
    <t>MA_NG_condensing_heating_Window_ASHP_Air_ducts_uninsulated</t>
  </si>
  <si>
    <t>MA_SFH_pre_1975_Unoccupied_insulated_floor_Leaky_envelope_SIP_Single_pane</t>
  </si>
  <si>
    <t>MA_SFH_Electric_resistance_GSHP_Air_ducts_uninsulated_NG_DHW</t>
  </si>
  <si>
    <t>MA_NG_condensing_heating_Window_ASHP_Air_ducts_conditioned_uninsulated</t>
  </si>
  <si>
    <t>MA_SFH_pre_1975_Unoccupied_insulated_floor_Leaky_envelope_SIP_Single_pane_storm_windows</t>
  </si>
  <si>
    <t>MA_SFH_Electric_resistance_GSHP_Air_ducts_uninsulated_Heating_DHW_combo_NG</t>
  </si>
  <si>
    <t>MA_NG_condensing_heating_Window_ASHP_Hot_water_insulated</t>
  </si>
  <si>
    <t>MA_SFH_pre_1975_Unoccupied_insulated_floor_Leaky_envelope_SIP_Double_pane_lowE</t>
  </si>
  <si>
    <t>MA_SFH_Electric_resistance_GSHP_Air_ducts_uninsulated_HPWH</t>
  </si>
  <si>
    <t>MA_NG_condensing_heating_Window_ASHP_Air_ducts_insulated</t>
  </si>
  <si>
    <t>MA_SFH_pre_1975_Unoccupied_insulated_floor_Leaky_envelope_SIP_Triple_pane_lowE</t>
  </si>
  <si>
    <t>MA_SFH_Electric_resistance_GSHP_Air_ducts_conditioned_uninsulated_Electric_resistance_DHW</t>
  </si>
  <si>
    <t>MA_NG_condensing_heating_ASHP_Steam</t>
  </si>
  <si>
    <t>MA_SFH_pre_1975_Unoccupied_insulated_floor_Leaky_envelope_Full_insulated_wall_cavity_Single_pane</t>
  </si>
  <si>
    <t>MA_SFH_Electric_resistance_GSHP_Air_ducts_conditioned_uninsulated_NG_DHW</t>
  </si>
  <si>
    <t>MA_NG_condensing_heating_ASHP_Hot_water_uninsulated</t>
  </si>
  <si>
    <t>MA_SFH_pre_1975_Unoccupied_insulated_floor_Leaky_envelope_Full_insulated_wall_cavity_Single_pane_storm_windows</t>
  </si>
  <si>
    <t>MA_SFH_Electric_resistance_GSHP_Air_ducts_conditioned_uninsulated_Heating_DHW_combo_NG</t>
  </si>
  <si>
    <t>MA_NG_condensing_heating_ASHP_Air_ducts_uninsulated</t>
  </si>
  <si>
    <t>MA_SFH_pre_1975_Unoccupied_insulated_floor_Leaky_envelope_Full_insulated_wall_cavity_Double_pane_lowE</t>
  </si>
  <si>
    <t>MA_SFH_Electric_resistance_GSHP_Air_ducts_conditioned_uninsulated_HPWH</t>
  </si>
  <si>
    <t>MA_NG_condensing_heating_ASHP_Air_ducts_conditioned_uninsulated</t>
  </si>
  <si>
    <t>MA_SFH_pre_1975_Unoccupied_insulated_floor_Leaky_envelope_Full_insulated_wall_cavity_Triple_pane_lowE</t>
  </si>
  <si>
    <t>MA_SFH_Electric_resistance_GSHP_Hot_water_insulated_Electric_resistance_DHW</t>
  </si>
  <si>
    <t>MA_NG_condensing_heating_ASHP_Hot_water_insulated</t>
  </si>
  <si>
    <t>MA_SFH_pre_1975_Unoccupied_insulated_floor_Leaky_envelope_Full_insulated_wall_cavity_exterior_Single_pane</t>
  </si>
  <si>
    <t>MA_SFH_Electric_resistance_GSHP_Hot_water_insulated_NG_DHW</t>
  </si>
  <si>
    <t>MA_NG_condensing_heating_ASHP_Air_ducts_insulated</t>
  </si>
  <si>
    <t>MA_SFH_pre_1975_Unoccupied_insulated_floor_Leaky_envelope_Full_insulated_wall_cavity_exterior_Single_pane_storm_windows</t>
  </si>
  <si>
    <t>MA_SFH_Electric_resistance_GSHP_Hot_water_insulated_Heating_DHW_combo_NG</t>
  </si>
  <si>
    <t>MA_NG_condensing_heating_GSHP_Steam</t>
  </si>
  <si>
    <t>MA_SFH_pre_1975_Unoccupied_insulated_floor_Leaky_envelope_Full_insulated_wall_cavity_exterior_Double_pane_lowE</t>
  </si>
  <si>
    <t>MA_SFH_Electric_resistance_GSHP_Hot_water_insulated_HPWH</t>
  </si>
  <si>
    <t>MA_NG_condensing_heating_GSHP_Hot_water_uninsulated</t>
  </si>
  <si>
    <t>MA_SFH_pre_1975_Unoccupied_insulated_floor_Leaky_envelope_Full_insulated_wall_cavity_exterior_Triple_pane_lowE</t>
  </si>
  <si>
    <t>MA_SFH_Electric_resistance_GSHP_Air_ducts_insulated_Electric_resistance_DHW</t>
  </si>
  <si>
    <t>MA_NG_condensing_heating_GSHP_Air_ducts_uninsulated</t>
  </si>
  <si>
    <t>MA_SFH_pre_1975_Unoccupied_insulated_floor_Somewhat_leaky_envelope_Uninsulated_walls_Single_pane</t>
  </si>
  <si>
    <t>MA_SFH_Electric_resistance_GSHP_Air_ducts_insulated_NG_DHW</t>
  </si>
  <si>
    <t>MA_NG_condensing_heating_GSHP_Air_ducts_conditioned_uninsulated</t>
  </si>
  <si>
    <t>MA_SFH_pre_1975_Unoccupied_insulated_floor_Somewhat_leaky_envelope_Uninsulated_walls_Single_pane_storm_windows</t>
  </si>
  <si>
    <t>MA_SFH_Electric_resistance_GSHP_Air_ducts_insulated_Heating_DHW_combo_NG</t>
  </si>
  <si>
    <t>MA_NG_condensing_heating_GSHP_Hot_water_insulated</t>
  </si>
  <si>
    <t>MA_SFH_pre_1975_Unoccupied_insulated_floor_Somewhat_leaky_envelope_Uninsulated_walls_Double_pane_lowE</t>
  </si>
  <si>
    <t>MA_SFH_Electric_resistance_GSHP_Air_ducts_insulated_HPWH</t>
  </si>
  <si>
    <t>MA_NG_condensing_heating_GSHP_Air_ducts_insulated</t>
  </si>
  <si>
    <t>MA_SFH_pre_1975_Unoccupied_insulated_floor_Somewhat_leaky_envelope_Uninsulated_walls_Triple_pane_lowE</t>
  </si>
  <si>
    <t>MA_SFH_Oil_heating_AC_window_Steam_Electric_resistance_DHW</t>
  </si>
  <si>
    <t>MA_ASHP_AC_window_Steam</t>
  </si>
  <si>
    <t>MA_SFH_pre_1975_Unoccupied_insulated_floor_Somewhat_leaky_envelope_Some_wall_insulation_Single_pane</t>
  </si>
  <si>
    <t>MA_SFH_Oil_heating_AC_window_Steam_NG_DHW</t>
  </si>
  <si>
    <t>MA_ASHP_AC_window_Hot_water_uninsulated</t>
  </si>
  <si>
    <t>MA_SFH_pre_1975_Unoccupied_insulated_floor_Somewhat_leaky_envelope_Some_wall_insulation_Single_pane_storm_windows</t>
  </si>
  <si>
    <t>MA_SFH_Oil_heating_AC_window_Steam_Heating_DHW_combo_NG</t>
  </si>
  <si>
    <t>MA_ASHP_AC_window_Air_ducts_uninsulated</t>
  </si>
  <si>
    <t>MA_SFH_pre_1975_Unoccupied_insulated_floor_Somewhat_leaky_envelope_Some_wall_insulation_Double_pane_lowE</t>
  </si>
  <si>
    <t>MA_SFH_Oil_heating_AC_window_Steam_HPWH</t>
  </si>
  <si>
    <t>MA_ASHP_AC_window_Air_ducts_conditioned_uninsulated</t>
  </si>
  <si>
    <t>MA_SFH_pre_1975_Unoccupied_insulated_floor_Somewhat_leaky_envelope_Some_wall_insulation_Triple_pane_lowE</t>
  </si>
  <si>
    <t>MA_SFH_Oil_heating_AC_window_Hot_water_uninsulated_Electric_resistance_DHW</t>
  </si>
  <si>
    <t>MA_ASHP_AC_window_Hot_water_insulated</t>
  </si>
  <si>
    <t>MA_SFH_pre_1975_Unoccupied_insulated_floor_Somewhat_leaky_envelope_SIP_Single_pane</t>
  </si>
  <si>
    <t>MA_SFH_Oil_heating_AC_window_Hot_water_uninsulated_NG_DHW</t>
  </si>
  <si>
    <t>MA_ASHP_AC_window_Air_ducts_insulated</t>
  </si>
  <si>
    <t>MA_SFH_pre_1975_Unoccupied_insulated_floor_Somewhat_leaky_envelope_SIP_Single_pane_storm_windows</t>
  </si>
  <si>
    <t>MA_SFH_Oil_heating_AC_window_Hot_water_uninsulated_Heating_DHW_combo_NG</t>
  </si>
  <si>
    <t>MA_ASHP_Central_AC_Steam</t>
  </si>
  <si>
    <t>MA_SFH_pre_1975_Unoccupied_insulated_floor_Somewhat_leaky_envelope_SIP_Double_pane_lowE</t>
  </si>
  <si>
    <t>MA_SFH_Oil_heating_AC_window_Hot_water_uninsulated_HPWH</t>
  </si>
  <si>
    <t>MA_ASHP_Central_AC_Hot_water_uninsulated</t>
  </si>
  <si>
    <t>MA_SFH_pre_1975_Unoccupied_insulated_floor_Somewhat_leaky_envelope_SIP_Triple_pane_lowE</t>
  </si>
  <si>
    <t>MA_SFH_Oil_heating_AC_window_Air_ducts_uninsulated_Electric_resistance_DHW</t>
  </si>
  <si>
    <t>MA_ASHP_Central_AC_Air_ducts_uninsulated</t>
  </si>
  <si>
    <t>MA_SFH_pre_1975_Unoccupied_insulated_floor_Somewhat_leaky_envelope_Full_insulated_wall_cavity_Single_pane</t>
  </si>
  <si>
    <t>MA_SFH_Oil_heating_AC_window_Air_ducts_uninsulated_NG_DHW</t>
  </si>
  <si>
    <t>MA_ASHP_Central_AC_Air_ducts_conditioned_uninsulated</t>
  </si>
  <si>
    <t>MA_SFH_pre_1975_Unoccupied_insulated_floor_Somewhat_leaky_envelope_Full_insulated_wall_cavity_Single_pane_storm_windows</t>
  </si>
  <si>
    <t>MA_SFH_Oil_heating_AC_window_Air_ducts_uninsulated_Heating_DHW_combo_NG</t>
  </si>
  <si>
    <t>MA_ASHP_Central_AC_Hot_water_insulated</t>
  </si>
  <si>
    <t>MA_SFH_pre_1975_Unoccupied_insulated_floor_Somewhat_leaky_envelope_Full_insulated_wall_cavity_Double_pane_lowE</t>
  </si>
  <si>
    <t>MA_SFH_Oil_heating_AC_window_Air_ducts_uninsulated_HPWH</t>
  </si>
  <si>
    <t>MA_ASHP_Central_AC_Air_ducts_insulated</t>
  </si>
  <si>
    <t>MA_SFH_pre_1975_Unoccupied_insulated_floor_Somewhat_leaky_envelope_Full_insulated_wall_cavity_Triple_pane_lowE</t>
  </si>
  <si>
    <t>MA_SFH_Oil_heating_AC_window_Air_ducts_conditioned_uninsulated_Electric_resistance_DHW</t>
  </si>
  <si>
    <t>MA_ASHP_Natural_ventilation_Steam</t>
  </si>
  <si>
    <t>MA_SFH_pre_1975_Unoccupied_insulated_floor_Somewhat_leaky_envelope_Full_insulated_wall_cavity_exterior_Single_pane</t>
  </si>
  <si>
    <t>MA_SFH_Oil_heating_AC_window_Air_ducts_conditioned_uninsulated_NG_DHW</t>
  </si>
  <si>
    <t>MA_ASHP_Natural_ventilation_Hot_water_uninsulated</t>
  </si>
  <si>
    <t>MA_SFH_pre_1975_Unoccupied_insulated_floor_Somewhat_leaky_envelope_Full_insulated_wall_cavity_exterior_Single_pane_storm_windows</t>
  </si>
  <si>
    <t>MA_SFH_Oil_heating_AC_window_Air_ducts_conditioned_uninsulated_Heating_DHW_combo_NG</t>
  </si>
  <si>
    <t>MA_ASHP_Natural_ventilation_Air_ducts_uninsulated</t>
  </si>
  <si>
    <t>MA_SFH_pre_1975_Unoccupied_insulated_floor_Somewhat_leaky_envelope_Full_insulated_wall_cavity_exterior_Double_pane_lowE</t>
  </si>
  <si>
    <t>MA_SFH_Oil_heating_AC_window_Air_ducts_conditioned_uninsulated_HPWH</t>
  </si>
  <si>
    <t>MA_ASHP_Natural_ventilation_Air_ducts_conditioned_uninsulated</t>
  </si>
  <si>
    <t>MA_SFH_pre_1975_Unoccupied_insulated_floor_Somewhat_leaky_envelope_Full_insulated_wall_cavity_exterior_Triple_pane_lowE</t>
  </si>
  <si>
    <t>MA_SFH_Oil_heating_AC_window_Hot_water_insulated_Electric_resistance_DHW</t>
  </si>
  <si>
    <t>MA_ASHP_Natural_ventilation_Hot_water_insulated</t>
  </si>
  <si>
    <t>MA_SFH_pre_1975_Unoccupied_insulated_floor_Tight_envelope_HRV_Uninsulated_walls_Single_pane</t>
  </si>
  <si>
    <t>MA_SFH_Oil_heating_AC_window_Hot_water_insulated_NG_DHW</t>
  </si>
  <si>
    <t>MA_ASHP_Natural_ventilation_Air_ducts_insulated</t>
  </si>
  <si>
    <t>MA_SFH_pre_1975_Unoccupied_insulated_floor_Tight_envelope_HRV_Uninsulated_walls_Single_pane_storm_windows</t>
  </si>
  <si>
    <t>MA_SFH_Oil_heating_AC_window_Hot_water_insulated_Heating_DHW_combo_NG</t>
  </si>
  <si>
    <t>MA_ASHP_Window_ASHP_Steam</t>
  </si>
  <si>
    <t>MA_SFH_pre_1975_Unoccupied_insulated_floor_Tight_envelope_HRV_Uninsulated_walls_Double_pane_lowE</t>
  </si>
  <si>
    <t>MA_SFH_Oil_heating_AC_window_Hot_water_insulated_HPWH</t>
  </si>
  <si>
    <t>MA_ASHP_Window_ASHP_Hot_water_uninsulated</t>
  </si>
  <si>
    <t>MA_SFH_pre_1975_Unoccupied_insulated_floor_Tight_envelope_HRV_Uninsulated_walls_Triple_pane_lowE</t>
  </si>
  <si>
    <t>MA_SFH_Oil_heating_AC_window_Air_ducts_insulated_Electric_resistance_DHW</t>
  </si>
  <si>
    <t>MA_ASHP_Window_ASHP_Air_ducts_uninsulated</t>
  </si>
  <si>
    <t>MA_SFH_pre_1975_Unoccupied_insulated_floor_Tight_envelope_HRV_Some_wall_insulation_Single_pane</t>
  </si>
  <si>
    <t>MA_SFH_Oil_heating_AC_window_Air_ducts_insulated_NG_DHW</t>
  </si>
  <si>
    <t>MA_ASHP_Window_ASHP_Air_ducts_conditioned_uninsulated</t>
  </si>
  <si>
    <t>MA_SFH_pre_1975_Unoccupied_insulated_floor_Tight_envelope_HRV_Some_wall_insulation_Single_pane_storm_windows</t>
  </si>
  <si>
    <t>MA_SFH_Oil_heating_AC_window_Air_ducts_insulated_Heating_DHW_combo_NG</t>
  </si>
  <si>
    <t>MA_ASHP_Window_ASHP_Hot_water_insulated</t>
  </si>
  <si>
    <t>MA_SFH_pre_1975_Unoccupied_insulated_floor_Tight_envelope_HRV_Some_wall_insulation_Double_pane_lowE</t>
  </si>
  <si>
    <t>MA_SFH_Oil_heating_AC_window_Air_ducts_insulated_HPWH</t>
  </si>
  <si>
    <t>MA_ASHP_Window_ASHP_Air_ducts_insulated</t>
  </si>
  <si>
    <t>MA_SFH_pre_1975_Unoccupied_insulated_floor_Tight_envelope_HRV_Some_wall_insulation_Triple_pane_lowE</t>
  </si>
  <si>
    <t>MA_SFH_Oil_heating_Central_AC_Steam_Electric_resistance_DHW</t>
  </si>
  <si>
    <t>MA_ASHP_ASHP_Steam</t>
  </si>
  <si>
    <t>MA_SFH_pre_1975_Unoccupied_insulated_floor_Tight_envelope_HRV_SIP_Single_pane</t>
  </si>
  <si>
    <t>MA_SFH_Oil_heating_Central_AC_Steam_NG_DHW</t>
  </si>
  <si>
    <t>MA_ASHP_ASHP_Hot_water_uninsulated</t>
  </si>
  <si>
    <t>MA_SFH_pre_1975_Unoccupied_insulated_floor_Tight_envelope_HRV_SIP_Single_pane_storm_windows</t>
  </si>
  <si>
    <t>MA_SFH_Oil_heating_Central_AC_Steam_Heating_DHW_combo_NG</t>
  </si>
  <si>
    <t>MA_ASHP_ASHP_Air_ducts_uninsulated</t>
  </si>
  <si>
    <t>MA_SFH_pre_1975_Unoccupied_insulated_floor_Tight_envelope_HRV_SIP_Double_pane_lowE</t>
  </si>
  <si>
    <t>MA_SFH_Oil_heating_Central_AC_Steam_HPWH</t>
  </si>
  <si>
    <t>MA_ASHP_ASHP_Air_ducts_conditioned_uninsulated</t>
  </si>
  <si>
    <t>MA_SFH_pre_1975_Unoccupied_insulated_floor_Tight_envelope_HRV_SIP_Triple_pane_lowE</t>
  </si>
  <si>
    <t>MA_SFH_Oil_heating_Central_AC_Hot_water_uninsulated_Electric_resistance_DHW</t>
  </si>
  <si>
    <t>MA_ASHP_ASHP_Hot_water_insulated</t>
  </si>
  <si>
    <t>MA_SFH_pre_1975_Unoccupied_insulated_floor_Tight_envelope_HRV_Full_insulated_wall_cavity_Single_pane</t>
  </si>
  <si>
    <t>MA_SFH_Oil_heating_Central_AC_Hot_water_uninsulated_NG_DHW</t>
  </si>
  <si>
    <t>MA_ASHP_ASHP_Air_ducts_insulated</t>
  </si>
  <si>
    <t>MA_SFH_pre_1975_Unoccupied_insulated_floor_Tight_envelope_HRV_Full_insulated_wall_cavity_Single_pane_storm_windows</t>
  </si>
  <si>
    <t>MA_SFH_Oil_heating_Central_AC_Hot_water_uninsulated_Heating_DHW_combo_NG</t>
  </si>
  <si>
    <t>MA_ASHP_GSHP_Steam</t>
  </si>
  <si>
    <t>MA_SFH_pre_1975_Unoccupied_insulated_floor_Tight_envelope_HRV_Full_insulated_wall_cavity_Double_pane_lowE</t>
  </si>
  <si>
    <t>MA_SFH_Oil_heating_Central_AC_Hot_water_uninsulated_HPWH</t>
  </si>
  <si>
    <t>MA_ASHP_GSHP_Hot_water_uninsulated</t>
  </si>
  <si>
    <t>MA_SFH_pre_1975_Unoccupied_insulated_floor_Tight_envelope_HRV_Full_insulated_wall_cavity_Triple_pane_lowE</t>
  </si>
  <si>
    <t>MA_SFH_Oil_heating_Central_AC_Air_ducts_uninsulated_Electric_resistance_DHW</t>
  </si>
  <si>
    <t>MA_ASHP_GSHP_Air_ducts_uninsulated</t>
  </si>
  <si>
    <t>MA_SFH_pre_1975_Unoccupied_insulated_floor_Tight_envelope_HRV_Full_insulated_wall_cavity_exterior_Single_pane</t>
  </si>
  <si>
    <t>MA_SFH_Oil_heating_Central_AC_Air_ducts_uninsulated_NG_DHW</t>
  </si>
  <si>
    <t>MA_ASHP_GSHP_Air_ducts_conditioned_uninsulated</t>
  </si>
  <si>
    <t>MA_SFH_pre_1975_Unoccupied_insulated_floor_Tight_envelope_HRV_Full_insulated_wall_cavity_exterior_Single_pane_storm_windows</t>
  </si>
  <si>
    <t>MA_SFH_Oil_heating_Central_AC_Air_ducts_uninsulated_Heating_DHW_combo_NG</t>
  </si>
  <si>
    <t>MA_ASHP_GSHP_Hot_water_insulated</t>
  </si>
  <si>
    <t>MA_SFH_pre_1975_Unoccupied_insulated_floor_Tight_envelope_HRV_Full_insulated_wall_cavity_exterior_Double_pane_lowE</t>
  </si>
  <si>
    <t>MA_SFH_Oil_heating_Central_AC_Air_ducts_uninsulated_HPWH</t>
  </si>
  <si>
    <t>MA_ASHP_GSHP_Air_ducts_insulated</t>
  </si>
  <si>
    <t>MA_SFH_pre_1975_Unoccupied_insulated_floor_Tight_envelope_HRV_Full_insulated_wall_cavity_exterior_Triple_pane_lowE</t>
  </si>
  <si>
    <t>MA_SFH_Oil_heating_Central_AC_Air_ducts_conditioned_uninsulated_Electric_resistance_DHW</t>
  </si>
  <si>
    <t>MA_GSHP_AC_window_Steam</t>
  </si>
  <si>
    <t>MA_SFH_pre_1975_Limited_insulation_roof_Leaky_envelope_Uninsulated_walls_Single_pane</t>
  </si>
  <si>
    <t>MA_SFH_Oil_heating_Central_AC_Air_ducts_conditioned_uninsulated_NG_DHW</t>
  </si>
  <si>
    <t>MA_GSHP_AC_window_Hot_water_uninsulated</t>
  </si>
  <si>
    <t>MA_SFH_pre_1975_Limited_insulation_roof_Leaky_envelope_Uninsulated_walls_Single_pane_storm_windows</t>
  </si>
  <si>
    <t>MA_SFH_Oil_heating_Central_AC_Air_ducts_conditioned_uninsulated_Heating_DHW_combo_NG</t>
  </si>
  <si>
    <t>MA_GSHP_AC_window_Air_ducts_uninsulated</t>
  </si>
  <si>
    <t>MA_SFH_pre_1975_Limited_insulation_roof_Leaky_envelope_Uninsulated_walls_Double_pane_lowE</t>
  </si>
  <si>
    <t>MA_SFH_Oil_heating_Central_AC_Air_ducts_conditioned_uninsulated_HPWH</t>
  </si>
  <si>
    <t>MA_GSHP_AC_window_Air_ducts_conditioned_uninsulated</t>
  </si>
  <si>
    <t>MA_SFH_pre_1975_Limited_insulation_roof_Leaky_envelope_Uninsulated_walls_Triple_pane_lowE</t>
  </si>
  <si>
    <t>MA_SFH_Oil_heating_Central_AC_Hot_water_insulated_Electric_resistance_DHW</t>
  </si>
  <si>
    <t>MA_GSHP_AC_window_Hot_water_insulated</t>
  </si>
  <si>
    <t>MA_SFH_pre_1975_Limited_insulation_roof_Leaky_envelope_Some_wall_insulation_Single_pane</t>
  </si>
  <si>
    <t>MA_SFH_Oil_heating_Central_AC_Hot_water_insulated_NG_DHW</t>
  </si>
  <si>
    <t>MA_GSHP_AC_window_Air_ducts_insulated</t>
  </si>
  <si>
    <t>MA_SFH_pre_1975_Limited_insulation_roof_Leaky_envelope_Some_wall_insulation_Single_pane_storm_windows</t>
  </si>
  <si>
    <t>MA_SFH_Oil_heating_Central_AC_Hot_water_insulated_Heating_DHW_combo_NG</t>
  </si>
  <si>
    <t>MA_GSHP_Central_AC_Steam</t>
  </si>
  <si>
    <t>MA_SFH_pre_1975_Limited_insulation_roof_Leaky_envelope_Some_wall_insulation_Double_pane_lowE</t>
  </si>
  <si>
    <t>MA_SFH_Oil_heating_Central_AC_Hot_water_insulated_HPWH</t>
  </si>
  <si>
    <t>MA_GSHP_Central_AC_Hot_water_uninsulated</t>
  </si>
  <si>
    <t>MA_SFH_pre_1975_Limited_insulation_roof_Leaky_envelope_Some_wall_insulation_Triple_pane_lowE</t>
  </si>
  <si>
    <t>MA_SFH_Oil_heating_Central_AC_Air_ducts_insulated_Electric_resistance_DHW</t>
  </si>
  <si>
    <t>MA_GSHP_Central_AC_Air_ducts_uninsulated</t>
  </si>
  <si>
    <t>MA_SFH_pre_1975_Limited_insulation_roof_Leaky_envelope_SIP_Single_pane</t>
  </si>
  <si>
    <t>MA_SFH_Oil_heating_Central_AC_Air_ducts_insulated_NG_DHW</t>
  </si>
  <si>
    <t>MA_GSHP_Central_AC_Air_ducts_conditioned_uninsulated</t>
  </si>
  <si>
    <t>MA_SFH_pre_1975_Limited_insulation_roof_Leaky_envelope_SIP_Single_pane_storm_windows</t>
  </si>
  <si>
    <t>MA_SFH_Oil_heating_Central_AC_Air_ducts_insulated_Heating_DHW_combo_NG</t>
  </si>
  <si>
    <t>MA_GSHP_Central_AC_Hot_water_insulated</t>
  </si>
  <si>
    <t>MA_SFH_pre_1975_Limited_insulation_roof_Leaky_envelope_SIP_Double_pane_lowE</t>
  </si>
  <si>
    <t>MA_SFH_Oil_heating_Central_AC_Air_ducts_insulated_HPWH</t>
  </si>
  <si>
    <t>MA_GSHP_Central_AC_Air_ducts_insulated</t>
  </si>
  <si>
    <t>MA_SFH_pre_1975_Limited_insulation_roof_Leaky_envelope_SIP_Triple_pane_lowE</t>
  </si>
  <si>
    <t>MA_SFH_Oil_heating_Natural_ventilation_Steam_Electric_resistance_DHW</t>
  </si>
  <si>
    <t>MA_GSHP_Natural_ventilation_Steam</t>
  </si>
  <si>
    <t>MA_SFH_pre_1975_Limited_insulation_roof_Leaky_envelope_Full_insulated_wall_cavity_Single_pane</t>
  </si>
  <si>
    <t>MA_SFH_Oil_heating_Natural_ventilation_Steam_NG_DHW</t>
  </si>
  <si>
    <t>MA_GSHP_Natural_ventilation_Hot_water_uninsulated</t>
  </si>
  <si>
    <t>MA_SFH_pre_1975_Limited_insulation_roof_Leaky_envelope_Full_insulated_wall_cavity_Single_pane_storm_windows</t>
  </si>
  <si>
    <t>MA_SFH_Oil_heating_Natural_ventilation_Steam_Heating_DHW_combo_NG</t>
  </si>
  <si>
    <t>MA_GSHP_Natural_ventilation_Air_ducts_uninsulated</t>
  </si>
  <si>
    <t>MA_SFH_pre_1975_Limited_insulation_roof_Leaky_envelope_Full_insulated_wall_cavity_Double_pane_lowE</t>
  </si>
  <si>
    <t>MA_SFH_Oil_heating_Natural_ventilation_Steam_HPWH</t>
  </si>
  <si>
    <t>MA_GSHP_Natural_ventilation_Air_ducts_conditioned_uninsulated</t>
  </si>
  <si>
    <t>MA_SFH_pre_1975_Limited_insulation_roof_Leaky_envelope_Full_insulated_wall_cavity_Triple_pane_lowE</t>
  </si>
  <si>
    <t>MA_SFH_Oil_heating_Natural_ventilation_Hot_water_uninsulated_Electric_resistance_DHW</t>
  </si>
  <si>
    <t>MA_GSHP_Natural_ventilation_Hot_water_insulated</t>
  </si>
  <si>
    <t>MA_SFH_pre_1975_Limited_insulation_roof_Leaky_envelope_Full_insulated_wall_cavity_exterior_Single_pane</t>
  </si>
  <si>
    <t>MA_SFH_Oil_heating_Natural_ventilation_Hot_water_uninsulated_NG_DHW</t>
  </si>
  <si>
    <t>MA_GSHP_Natural_ventilation_Air_ducts_insulated</t>
  </si>
  <si>
    <t>MA_SFH_pre_1975_Limited_insulation_roof_Leaky_envelope_Full_insulated_wall_cavity_exterior_Single_pane_storm_windows</t>
  </si>
  <si>
    <t>MA_SFH_Oil_heating_Natural_ventilation_Hot_water_uninsulated_Heating_DHW_combo_NG</t>
  </si>
  <si>
    <t>MA_GSHP_Window_ASHP_Steam</t>
  </si>
  <si>
    <t>MA_SFH_pre_1975_Limited_insulation_roof_Leaky_envelope_Full_insulated_wall_cavity_exterior_Double_pane_lowE</t>
  </si>
  <si>
    <t>MA_SFH_Oil_heating_Natural_ventilation_Hot_water_uninsulated_HPWH</t>
  </si>
  <si>
    <t>MA_GSHP_Window_ASHP_Hot_water_uninsulated</t>
  </si>
  <si>
    <t>MA_SFH_pre_1975_Limited_insulation_roof_Leaky_envelope_Full_insulated_wall_cavity_exterior_Triple_pane_lowE</t>
  </si>
  <si>
    <t>MA_SFH_Oil_heating_Natural_ventilation_Air_ducts_uninsulated_Electric_resistance_DHW</t>
  </si>
  <si>
    <t>MA_GSHP_Window_ASHP_Air_ducts_uninsulated</t>
  </si>
  <si>
    <t>MA_SFH_pre_1975_Limited_insulation_roof_Somewhat_leaky_envelope_Uninsulated_walls_Single_pane</t>
  </si>
  <si>
    <t>MA_SFH_Oil_heating_Natural_ventilation_Air_ducts_uninsulated_NG_DHW</t>
  </si>
  <si>
    <t>MA_GSHP_Window_ASHP_Air_ducts_conditioned_uninsulated</t>
  </si>
  <si>
    <t>MA_SFH_pre_1975_Limited_insulation_roof_Somewhat_leaky_envelope_Uninsulated_walls_Single_pane_storm_windows</t>
  </si>
  <si>
    <t>MA_SFH_Oil_heating_Natural_ventilation_Air_ducts_uninsulated_Heating_DHW_combo_NG</t>
  </si>
  <si>
    <t>MA_GSHP_Window_ASHP_Hot_water_insulated</t>
  </si>
  <si>
    <t>MA_SFH_pre_1975_Limited_insulation_roof_Somewhat_leaky_envelope_Uninsulated_walls_Double_pane_lowE</t>
  </si>
  <si>
    <t>MA_SFH_Oil_heating_Natural_ventilation_Air_ducts_uninsulated_HPWH</t>
  </si>
  <si>
    <t>MA_GSHP_Window_ASHP_Air_ducts_insulated</t>
  </si>
  <si>
    <t>MA_SFH_pre_1975_Limited_insulation_roof_Somewhat_leaky_envelope_Uninsulated_walls_Triple_pane_lowE</t>
  </si>
  <si>
    <t>MA_SFH_Oil_heating_Natural_ventilation_Air_ducts_conditioned_uninsulated_Electric_resistance_DHW</t>
  </si>
  <si>
    <t>MA_GSHP_ASHP_Steam</t>
  </si>
  <si>
    <t>MA_SFH_pre_1975_Limited_insulation_roof_Somewhat_leaky_envelope_Some_wall_insulation_Single_pane</t>
  </si>
  <si>
    <t>MA_SFH_Oil_heating_Natural_ventilation_Air_ducts_conditioned_uninsulated_NG_DHW</t>
  </si>
  <si>
    <t>MA_GSHP_ASHP_Hot_water_uninsulated</t>
  </si>
  <si>
    <t>MA_SFH_pre_1975_Limited_insulation_roof_Somewhat_leaky_envelope_Some_wall_insulation_Single_pane_storm_windows</t>
  </si>
  <si>
    <t>MA_SFH_Oil_heating_Natural_ventilation_Air_ducts_conditioned_uninsulated_Heating_DHW_combo_NG</t>
  </si>
  <si>
    <t>MA_GSHP_ASHP_Air_ducts_uninsulated</t>
  </si>
  <si>
    <t>MA_SFH_pre_1975_Limited_insulation_roof_Somewhat_leaky_envelope_Some_wall_insulation_Double_pane_lowE</t>
  </si>
  <si>
    <t>MA_SFH_Oil_heating_Natural_ventilation_Air_ducts_conditioned_uninsulated_HPWH</t>
  </si>
  <si>
    <t>MA_GSHP_ASHP_Air_ducts_conditioned_uninsulated</t>
  </si>
  <si>
    <t>MA_SFH_pre_1975_Limited_insulation_roof_Somewhat_leaky_envelope_Some_wall_insulation_Triple_pane_lowE</t>
  </si>
  <si>
    <t>MA_SFH_Oil_heating_Natural_ventilation_Hot_water_insulated_Electric_resistance_DHW</t>
  </si>
  <si>
    <t>MA_GSHP_ASHP_Hot_water_insulated</t>
  </si>
  <si>
    <t>MA_SFH_pre_1975_Limited_insulation_roof_Somewhat_leaky_envelope_SIP_Single_pane</t>
  </si>
  <si>
    <t>MA_SFH_Oil_heating_Natural_ventilation_Hot_water_insulated_NG_DHW</t>
  </si>
  <si>
    <t>MA_GSHP_ASHP_Air_ducts_insulated</t>
  </si>
  <si>
    <t>MA_SFH_pre_1975_Limited_insulation_roof_Somewhat_leaky_envelope_SIP_Single_pane_storm_windows</t>
  </si>
  <si>
    <t>MA_SFH_Oil_heating_Natural_ventilation_Hot_water_insulated_Heating_DHW_combo_NG</t>
  </si>
  <si>
    <t>MA_GSHP_GSHP_Steam</t>
  </si>
  <si>
    <t>MA_SFH_pre_1975_Limited_insulation_roof_Somewhat_leaky_envelope_SIP_Double_pane_lowE</t>
  </si>
  <si>
    <t>MA_SFH_Oil_heating_Natural_ventilation_Hot_water_insulated_HPWH</t>
  </si>
  <si>
    <t>MA_GSHP_GSHP_Hot_water_uninsulated</t>
  </si>
  <si>
    <t>MA_SFH_pre_1975_Limited_insulation_roof_Somewhat_leaky_envelope_SIP_Triple_pane_lowE</t>
  </si>
  <si>
    <t>MA_SFH_Oil_heating_Natural_ventilation_Air_ducts_insulated_Electric_resistance_DHW</t>
  </si>
  <si>
    <t>MA_GSHP_GSHP_Air_ducts_uninsulated</t>
  </si>
  <si>
    <t>MA_SFH_pre_1975_Limited_insulation_roof_Somewhat_leaky_envelope_Full_insulated_wall_cavity_Single_pane</t>
  </si>
  <si>
    <t>MA_SFH_Oil_heating_Natural_ventilation_Air_ducts_insulated_NG_DHW</t>
  </si>
  <si>
    <t>MA_GSHP_GSHP_Air_ducts_conditioned_uninsulated</t>
  </si>
  <si>
    <t>MA_SFH_pre_1975_Limited_insulation_roof_Somewhat_leaky_envelope_Full_insulated_wall_cavity_Single_pane_storm_windows</t>
  </si>
  <si>
    <t>MA_SFH_Oil_heating_Natural_ventilation_Air_ducts_insulated_Heating_DHW_combo_NG</t>
  </si>
  <si>
    <t>MA_GSHP_GSHP_Hot_water_insulated</t>
  </si>
  <si>
    <t>MA_SFH_pre_1975_Limited_insulation_roof_Somewhat_leaky_envelope_Full_insulated_wall_cavity_Double_pane_lowE</t>
  </si>
  <si>
    <t>MA_SFH_Oil_heating_Natural_ventilation_Air_ducts_insulated_HPWH</t>
  </si>
  <si>
    <t>MA_GSHP_GSHP_Air_ducts_insulated</t>
  </si>
  <si>
    <t>MA_SFH_pre_1975_Limited_insulation_roof_Somewhat_leaky_envelope_Full_insulated_wall_cavity_Triple_pane_lowE</t>
  </si>
  <si>
    <t>MA_SFH_Oil_heating_Window_ASHP_Steam_Electric_resistance_DHW</t>
  </si>
  <si>
    <t>MA_SFH_pre_1975_Limited_insulation_roof_Somewhat_leaky_envelope_Full_insulated_wall_cavity_exterior_Single_pane</t>
  </si>
  <si>
    <t>MA_SFH_Oil_heating_Window_ASHP_Steam_NG_DHW</t>
  </si>
  <si>
    <t>MA_SFH_pre_1975_Limited_insulation_roof_Somewhat_leaky_envelope_Full_insulated_wall_cavity_exterior_Single_pane_storm_windows</t>
  </si>
  <si>
    <t>MA_SFH_Oil_heating_Window_ASHP_Steam_Heating_DHW_combo_NG</t>
  </si>
  <si>
    <t>MA_SFH_pre_1975_Limited_insulation_roof_Somewhat_leaky_envelope_Full_insulated_wall_cavity_exterior_Double_pane_lowE</t>
  </si>
  <si>
    <t>MA_SFH_Oil_heating_Window_ASHP_Steam_HPWH</t>
  </si>
  <si>
    <t>MA_SFH_pre_1975_Limited_insulation_roof_Somewhat_leaky_envelope_Full_insulated_wall_cavity_exterior_Triple_pane_lowE</t>
  </si>
  <si>
    <t>MA_SFH_Oil_heating_Window_ASHP_Hot_water_uninsulated_Electric_resistance_DHW</t>
  </si>
  <si>
    <t>MA_SFH_pre_1975_Limited_insulation_roof_Tight_envelope_HRV_Uninsulated_walls_Single_pane</t>
  </si>
  <si>
    <t>MA_SFH_Oil_heating_Window_ASHP_Hot_water_uninsulated_NG_DHW</t>
  </si>
  <si>
    <t>MA_SFH_pre_1975_Limited_insulation_roof_Tight_envelope_HRV_Uninsulated_walls_Single_pane_storm_windows</t>
  </si>
  <si>
    <t>MA_SFH_Oil_heating_Window_ASHP_Hot_water_uninsulated_Heating_DHW_combo_NG</t>
  </si>
  <si>
    <t>MA_SFH_pre_1975_Limited_insulation_roof_Tight_envelope_HRV_Uninsulated_walls_Double_pane_lowE</t>
  </si>
  <si>
    <t>MA_SFH_Oil_heating_Window_ASHP_Hot_water_uninsulated_HPWH</t>
  </si>
  <si>
    <t>MA_SFH_pre_1975_Limited_insulation_roof_Tight_envelope_HRV_Uninsulated_walls_Triple_pane_lowE</t>
  </si>
  <si>
    <t>MA_SFH_Oil_heating_Window_ASHP_Air_ducts_uninsulated_Electric_resistance_DHW</t>
  </si>
  <si>
    <t>MA_SFH_pre_1975_Limited_insulation_roof_Tight_envelope_HRV_Some_wall_insulation_Single_pane</t>
  </si>
  <si>
    <t>MA_SFH_Oil_heating_Window_ASHP_Air_ducts_uninsulated_NG_DHW</t>
  </si>
  <si>
    <t>MA_SFH_pre_1975_Limited_insulation_roof_Tight_envelope_HRV_Some_wall_insulation_Single_pane_storm_windows</t>
  </si>
  <si>
    <t>MA_SFH_Oil_heating_Window_ASHP_Air_ducts_uninsulated_Heating_DHW_combo_NG</t>
  </si>
  <si>
    <t>MA_SFH_pre_1975_Limited_insulation_roof_Tight_envelope_HRV_Some_wall_insulation_Double_pane_lowE</t>
  </si>
  <si>
    <t>MA_SFH_Oil_heating_Window_ASHP_Air_ducts_uninsulated_HPWH</t>
  </si>
  <si>
    <t>MA_SFH_pre_1975_Limited_insulation_roof_Tight_envelope_HRV_Some_wall_insulation_Triple_pane_lowE</t>
  </si>
  <si>
    <t>MA_SFH_Oil_heating_Window_ASHP_Air_ducts_conditioned_uninsulated_Electric_resistance_DHW</t>
  </si>
  <si>
    <t>MA_SFH_pre_1975_Limited_insulation_roof_Tight_envelope_HRV_SIP_Single_pane</t>
  </si>
  <si>
    <t>MA_SFH_Oil_heating_Window_ASHP_Air_ducts_conditioned_uninsulated_NG_DHW</t>
  </si>
  <si>
    <t>MA_SFH_pre_1975_Limited_insulation_roof_Tight_envelope_HRV_SIP_Single_pane_storm_windows</t>
  </si>
  <si>
    <t>MA_SFH_Oil_heating_Window_ASHP_Air_ducts_conditioned_uninsulated_Heating_DHW_combo_NG</t>
  </si>
  <si>
    <t>MA_SFH_pre_1975_Limited_insulation_roof_Tight_envelope_HRV_SIP_Double_pane_lowE</t>
  </si>
  <si>
    <t>MA_SFH_Oil_heating_Window_ASHP_Air_ducts_conditioned_uninsulated_HPWH</t>
  </si>
  <si>
    <t>MA_SFH_pre_1975_Limited_insulation_roof_Tight_envelope_HRV_SIP_Triple_pane_lowE</t>
  </si>
  <si>
    <t>MA_SFH_Oil_heating_Window_ASHP_Hot_water_insulated_Electric_resistance_DHW</t>
  </si>
  <si>
    <t>MA_SFH_pre_1975_Limited_insulation_roof_Tight_envelope_HRV_Full_insulated_wall_cavity_Single_pane</t>
  </si>
  <si>
    <t>MA_SFH_Oil_heating_Window_ASHP_Hot_water_insulated_NG_DHW</t>
  </si>
  <si>
    <t>MA_SFH_pre_1975_Limited_insulation_roof_Tight_envelope_HRV_Full_insulated_wall_cavity_Single_pane_storm_windows</t>
  </si>
  <si>
    <t>MA_SFH_Oil_heating_Window_ASHP_Hot_water_insulated_Heating_DHW_combo_NG</t>
  </si>
  <si>
    <t>MA_SFH_pre_1975_Limited_insulation_roof_Tight_envelope_HRV_Full_insulated_wall_cavity_Double_pane_lowE</t>
  </si>
  <si>
    <t>MA_SFH_Oil_heating_Window_ASHP_Hot_water_insulated_HPWH</t>
  </si>
  <si>
    <t>MA_SFH_pre_1975_Limited_insulation_roof_Tight_envelope_HRV_Full_insulated_wall_cavity_Triple_pane_lowE</t>
  </si>
  <si>
    <t>MA_SFH_Oil_heating_Window_ASHP_Air_ducts_insulated_Electric_resistance_DHW</t>
  </si>
  <si>
    <t>MA_SFH_pre_1975_Limited_insulation_roof_Tight_envelope_HRV_Full_insulated_wall_cavity_exterior_Single_pane</t>
  </si>
  <si>
    <t>MA_SFH_Oil_heating_Window_ASHP_Air_ducts_insulated_NG_DHW</t>
  </si>
  <si>
    <t>MA_SFH_pre_1975_Limited_insulation_roof_Tight_envelope_HRV_Full_insulated_wall_cavity_exterior_Single_pane_storm_windows</t>
  </si>
  <si>
    <t>MA_SFH_Oil_heating_Window_ASHP_Air_ducts_insulated_Heating_DHW_combo_NG</t>
  </si>
  <si>
    <t>MA_SFH_pre_1975_Limited_insulation_roof_Tight_envelope_HRV_Full_insulated_wall_cavity_exterior_Double_pane_lowE</t>
  </si>
  <si>
    <t>MA_SFH_Oil_heating_Window_ASHP_Air_ducts_insulated_HPWH</t>
  </si>
  <si>
    <t>MA_SFH_pre_1975_Limited_insulation_roof_Tight_envelope_HRV_Full_insulated_wall_cavity_exterior_Triple_pane_lowE</t>
  </si>
  <si>
    <t>MA_SFH_Oil_heating_ASHP_Steam_Electric_resistance_DHW</t>
  </si>
  <si>
    <t>MA_SFH_pre_1975_Insulation_roof_Leaky_envelope_Uninsulated_walls_Single_pane</t>
  </si>
  <si>
    <t>MA_SFH_Oil_heating_ASHP_Steam_NG_DHW</t>
  </si>
  <si>
    <t>MA_SFH_pre_1975_Insulation_roof_Leaky_envelope_Uninsulated_walls_Single_pane_storm_windows</t>
  </si>
  <si>
    <t>MA_SFH_Oil_heating_ASHP_Steam_Heating_DHW_combo_NG</t>
  </si>
  <si>
    <t>MA_SFH_pre_1975_Insulation_roof_Leaky_envelope_Uninsulated_walls_Double_pane_lowE</t>
  </si>
  <si>
    <t>MA_SFH_Oil_heating_ASHP_Steam_HPWH</t>
  </si>
  <si>
    <t>MA_SFH_pre_1975_Insulation_roof_Leaky_envelope_Uninsulated_walls_Triple_pane_lowE</t>
  </si>
  <si>
    <t>MA_SFH_Oil_heating_ASHP_Hot_water_uninsulated_Electric_resistance_DHW</t>
  </si>
  <si>
    <t>MA_SFH_pre_1975_Insulation_roof_Leaky_envelope_Some_wall_insulation_Single_pane</t>
  </si>
  <si>
    <t>MA_SFH_Oil_heating_ASHP_Hot_water_uninsulated_NG_DHW</t>
  </si>
  <si>
    <t>MA_SFH_pre_1975_Insulation_roof_Leaky_envelope_Some_wall_insulation_Single_pane_storm_windows</t>
  </si>
  <si>
    <t>MA_SFH_Oil_heating_ASHP_Hot_water_uninsulated_Heating_DHW_combo_NG</t>
  </si>
  <si>
    <t>MA_SFH_pre_1975_Insulation_roof_Leaky_envelope_Some_wall_insulation_Double_pane_lowE</t>
  </si>
  <si>
    <t>MA_SFH_Oil_heating_ASHP_Hot_water_uninsulated_HPWH</t>
  </si>
  <si>
    <t>MA_SFH_pre_1975_Insulation_roof_Leaky_envelope_Some_wall_insulation_Triple_pane_lowE</t>
  </si>
  <si>
    <t>MA_SFH_Oil_heating_ASHP_Air_ducts_uninsulated_Electric_resistance_DHW</t>
  </si>
  <si>
    <t>MA_SFH_pre_1975_Insulation_roof_Leaky_envelope_SIP_Single_pane</t>
  </si>
  <si>
    <t>MA_SFH_Oil_heating_ASHP_Air_ducts_uninsulated_NG_DHW</t>
  </si>
  <si>
    <t>MA_SFH_pre_1975_Insulation_roof_Leaky_envelope_SIP_Single_pane_storm_windows</t>
  </si>
  <si>
    <t>MA_SFH_Oil_heating_ASHP_Air_ducts_uninsulated_Heating_DHW_combo_NG</t>
  </si>
  <si>
    <t>MA_SFH_pre_1975_Insulation_roof_Leaky_envelope_SIP_Double_pane_lowE</t>
  </si>
  <si>
    <t>MA_SFH_Oil_heating_ASHP_Air_ducts_uninsulated_HPWH</t>
  </si>
  <si>
    <t>MA_SFH_pre_1975_Insulation_roof_Leaky_envelope_SIP_Triple_pane_lowE</t>
  </si>
  <si>
    <t>MA_SFH_Oil_heating_ASHP_Air_ducts_conditioned_uninsulated_Electric_resistance_DHW</t>
  </si>
  <si>
    <t>MA_SFH_pre_1975_Insulation_roof_Leaky_envelope_Full_insulated_wall_cavity_Single_pane</t>
  </si>
  <si>
    <t>MA_SFH_Oil_heating_ASHP_Air_ducts_conditioned_uninsulated_NG_DHW</t>
  </si>
  <si>
    <t>MA_SFH_pre_1975_Insulation_roof_Leaky_envelope_Full_insulated_wall_cavity_Single_pane_storm_windows</t>
  </si>
  <si>
    <t>MA_SFH_Oil_heating_ASHP_Air_ducts_conditioned_uninsulated_Heating_DHW_combo_NG</t>
  </si>
  <si>
    <t>MA_SFH_pre_1975_Insulation_roof_Leaky_envelope_Full_insulated_wall_cavity_Double_pane_lowE</t>
  </si>
  <si>
    <t>MA_SFH_Oil_heating_ASHP_Air_ducts_conditioned_uninsulated_HPWH</t>
  </si>
  <si>
    <t>MA_SFH_pre_1975_Insulation_roof_Leaky_envelope_Full_insulated_wall_cavity_Triple_pane_lowE</t>
  </si>
  <si>
    <t>MA_SFH_Oil_heating_ASHP_Hot_water_insulated_Electric_resistance_DHW</t>
  </si>
  <si>
    <t>MA_SFH_pre_1975_Insulation_roof_Leaky_envelope_Full_insulated_wall_cavity_exterior_Single_pane</t>
  </si>
  <si>
    <t>MA_SFH_Oil_heating_ASHP_Hot_water_insulated_NG_DHW</t>
  </si>
  <si>
    <t>MA_SFH_pre_1975_Insulation_roof_Leaky_envelope_Full_insulated_wall_cavity_exterior_Single_pane_storm_windows</t>
  </si>
  <si>
    <t>MA_SFH_Oil_heating_ASHP_Hot_water_insulated_Heating_DHW_combo_NG</t>
  </si>
  <si>
    <t>MA_SFH_pre_1975_Insulation_roof_Leaky_envelope_Full_insulated_wall_cavity_exterior_Double_pane_lowE</t>
  </si>
  <si>
    <t>MA_SFH_Oil_heating_ASHP_Hot_water_insulated_HPWH</t>
  </si>
  <si>
    <t>MA_SFH_pre_1975_Insulation_roof_Leaky_envelope_Full_insulated_wall_cavity_exterior_Triple_pane_lowE</t>
  </si>
  <si>
    <t>MA_SFH_Oil_heating_ASHP_Air_ducts_insulated_Electric_resistance_DHW</t>
  </si>
  <si>
    <t>MA_SFH_pre_1975_Insulation_roof_Somewhat_leaky_envelope_Uninsulated_walls_Single_pane</t>
  </si>
  <si>
    <t>MA_SFH_Oil_heating_ASHP_Air_ducts_insulated_NG_DHW</t>
  </si>
  <si>
    <t>MA_SFH_pre_1975_Insulation_roof_Somewhat_leaky_envelope_Uninsulated_walls_Single_pane_storm_windows</t>
  </si>
  <si>
    <t>MA_SFH_Oil_heating_ASHP_Air_ducts_insulated_Heating_DHW_combo_NG</t>
  </si>
  <si>
    <t>MA_SFH_pre_1975_Insulation_roof_Somewhat_leaky_envelope_Uninsulated_walls_Double_pane_lowE</t>
  </si>
  <si>
    <t>MA_SFH_Oil_heating_ASHP_Air_ducts_insulated_HPWH</t>
  </si>
  <si>
    <t>MA_SFH_pre_1975_Insulation_roof_Somewhat_leaky_envelope_Uninsulated_walls_Triple_pane_lowE</t>
  </si>
  <si>
    <t>MA_SFH_Oil_heating_GSHP_Steam_Electric_resistance_DHW</t>
  </si>
  <si>
    <t>MA_SFH_pre_1975_Insulation_roof_Somewhat_leaky_envelope_Some_wall_insulation_Single_pane</t>
  </si>
  <si>
    <t>MA_SFH_Oil_heating_GSHP_Steam_NG_DHW</t>
  </si>
  <si>
    <t>MA_SFH_pre_1975_Insulation_roof_Somewhat_leaky_envelope_Some_wall_insulation_Single_pane_storm_windows</t>
  </si>
  <si>
    <t>MA_SFH_Oil_heating_GSHP_Steam_Heating_DHW_combo_NG</t>
  </si>
  <si>
    <t>MA_SFH_pre_1975_Insulation_roof_Somewhat_leaky_envelope_Some_wall_insulation_Double_pane_lowE</t>
  </si>
  <si>
    <t>MA_SFH_Oil_heating_GSHP_Steam_HPWH</t>
  </si>
  <si>
    <t>MA_SFH_pre_1975_Insulation_roof_Somewhat_leaky_envelope_Some_wall_insulation_Triple_pane_lowE</t>
  </si>
  <si>
    <t>MA_SFH_Oil_heating_GSHP_Hot_water_uninsulated_Electric_resistance_DHW</t>
  </si>
  <si>
    <t>MA_SFH_pre_1975_Insulation_roof_Somewhat_leaky_envelope_SIP_Single_pane</t>
  </si>
  <si>
    <t>MA_SFH_Oil_heating_GSHP_Hot_water_uninsulated_NG_DHW</t>
  </si>
  <si>
    <t>MA_SFH_pre_1975_Insulation_roof_Somewhat_leaky_envelope_SIP_Single_pane_storm_windows</t>
  </si>
  <si>
    <t>MA_SFH_Oil_heating_GSHP_Hot_water_uninsulated_Heating_DHW_combo_NG</t>
  </si>
  <si>
    <t>MA_SFH_pre_1975_Insulation_roof_Somewhat_leaky_envelope_SIP_Double_pane_lowE</t>
  </si>
  <si>
    <t>MA_SFH_Oil_heating_GSHP_Hot_water_uninsulated_HPWH</t>
  </si>
  <si>
    <t>MA_SFH_pre_1975_Insulation_roof_Somewhat_leaky_envelope_SIP_Triple_pane_lowE</t>
  </si>
  <si>
    <t>MA_SFH_Oil_heating_GSHP_Air_ducts_uninsulated_Electric_resistance_DHW</t>
  </si>
  <si>
    <t>MA_SFH_pre_1975_Insulation_roof_Somewhat_leaky_envelope_Full_insulated_wall_cavity_Single_pane</t>
  </si>
  <si>
    <t>MA_SFH_Oil_heating_GSHP_Air_ducts_uninsulated_NG_DHW</t>
  </si>
  <si>
    <t>MA_SFH_pre_1975_Insulation_roof_Somewhat_leaky_envelope_Full_insulated_wall_cavity_Single_pane_storm_windows</t>
  </si>
  <si>
    <t>MA_SFH_Oil_heating_GSHP_Air_ducts_uninsulated_Heating_DHW_combo_NG</t>
  </si>
  <si>
    <t>MA_SFH_pre_1975_Insulation_roof_Somewhat_leaky_envelope_Full_insulated_wall_cavity_Double_pane_lowE</t>
  </si>
  <si>
    <t>MA_SFH_Oil_heating_GSHP_Air_ducts_uninsulated_HPWH</t>
  </si>
  <si>
    <t>MA_SFH_pre_1975_Insulation_roof_Somewhat_leaky_envelope_Full_insulated_wall_cavity_Triple_pane_lowE</t>
  </si>
  <si>
    <t>MA_SFH_Oil_heating_GSHP_Air_ducts_conditioned_uninsulated_Electric_resistance_DHW</t>
  </si>
  <si>
    <t>MA_SFH_pre_1975_Insulation_roof_Somewhat_leaky_envelope_Full_insulated_wall_cavity_exterior_Single_pane</t>
  </si>
  <si>
    <t>MA_SFH_Oil_heating_GSHP_Air_ducts_conditioned_uninsulated_NG_DHW</t>
  </si>
  <si>
    <t>MA_SFH_pre_1975_Insulation_roof_Somewhat_leaky_envelope_Full_insulated_wall_cavity_exterior_Single_pane_storm_windows</t>
  </si>
  <si>
    <t>MA_SFH_Oil_heating_GSHP_Air_ducts_conditioned_uninsulated_Heating_DHW_combo_NG</t>
  </si>
  <si>
    <t>MA_SFH_pre_1975_Insulation_roof_Somewhat_leaky_envelope_Full_insulated_wall_cavity_exterior_Double_pane_lowE</t>
  </si>
  <si>
    <t>MA_SFH_Oil_heating_GSHP_Air_ducts_conditioned_uninsulated_HPWH</t>
  </si>
  <si>
    <t>MA_SFH_pre_1975_Insulation_roof_Somewhat_leaky_envelope_Full_insulated_wall_cavity_exterior_Triple_pane_lowE</t>
  </si>
  <si>
    <t>MA_SFH_Oil_heating_GSHP_Hot_water_insulated_Electric_resistance_DHW</t>
  </si>
  <si>
    <t>MA_SFH_pre_1975_Insulation_roof_Tight_envelope_HRV_Uninsulated_walls_Single_pane</t>
  </si>
  <si>
    <t>MA_SFH_Oil_heating_GSHP_Hot_water_insulated_NG_DHW</t>
  </si>
  <si>
    <t>MA_SFH_pre_1975_Insulation_roof_Tight_envelope_HRV_Uninsulated_walls_Single_pane_storm_windows</t>
  </si>
  <si>
    <t>MA_SFH_Oil_heating_GSHP_Hot_water_insulated_Heating_DHW_combo_NG</t>
  </si>
  <si>
    <t>MA_SFH_pre_1975_Insulation_roof_Tight_envelope_HRV_Uninsulated_walls_Double_pane_lowE</t>
  </si>
  <si>
    <t>MA_SFH_Oil_heating_GSHP_Hot_water_insulated_HPWH</t>
  </si>
  <si>
    <t>MA_SFH_pre_1975_Insulation_roof_Tight_envelope_HRV_Uninsulated_walls_Triple_pane_lowE</t>
  </si>
  <si>
    <t>MA_SFH_Oil_heating_GSHP_Air_ducts_insulated_Electric_resistance_DHW</t>
  </si>
  <si>
    <t>MA_SFH_pre_1975_Insulation_roof_Tight_envelope_HRV_Some_wall_insulation_Single_pane</t>
  </si>
  <si>
    <t>MA_SFH_Oil_heating_GSHP_Air_ducts_insulated_NG_DHW</t>
  </si>
  <si>
    <t>MA_SFH_pre_1975_Insulation_roof_Tight_envelope_HRV_Some_wall_insulation_Single_pane_storm_windows</t>
  </si>
  <si>
    <t>MA_SFH_Oil_heating_GSHP_Air_ducts_insulated_Heating_DHW_combo_NG</t>
  </si>
  <si>
    <t>MA_SFH_pre_1975_Insulation_roof_Tight_envelope_HRV_Some_wall_insulation_Double_pane_lowE</t>
  </si>
  <si>
    <t>MA_SFH_Oil_heating_GSHP_Air_ducts_insulated_HPWH</t>
  </si>
  <si>
    <t>MA_SFH_pre_1975_Insulation_roof_Tight_envelope_HRV_Some_wall_insulation_Triple_pane_lowE</t>
  </si>
  <si>
    <t>MA_SFH_NG_heating_AC_window_Steam_Electric_resistance_DHW</t>
  </si>
  <si>
    <t>MA_SFH_pre_1975_Insulation_roof_Tight_envelope_HRV_SIP_Single_pane</t>
  </si>
  <si>
    <t>MA_SFH_NG_heating_AC_window_Steam_NG_DHW</t>
  </si>
  <si>
    <t>MA_SFH_pre_1975_Insulation_roof_Tight_envelope_HRV_SIP_Single_pane_storm_windows</t>
  </si>
  <si>
    <t>MA_SFH_NG_heating_AC_window_Steam_Heating_DHW_combo_NG</t>
  </si>
  <si>
    <t>MA_SFH_pre_1975_Insulation_roof_Tight_envelope_HRV_SIP_Double_pane_lowE</t>
  </si>
  <si>
    <t>MA_SFH_NG_heating_AC_window_Steam_HPWH</t>
  </si>
  <si>
    <t>MA_SFH_pre_1975_Insulation_roof_Tight_envelope_HRV_SIP_Triple_pane_lowE</t>
  </si>
  <si>
    <t>MA_SFH_NG_heating_AC_window_Hot_water_uninsulated_Electric_resistance_DHW</t>
  </si>
  <si>
    <t>MA_SFH_pre_1975_Insulation_roof_Tight_envelope_HRV_Full_insulated_wall_cavity_Single_pane</t>
  </si>
  <si>
    <t>MA_SFH_NG_heating_AC_window_Hot_water_uninsulated_NG_DHW</t>
  </si>
  <si>
    <t>MA_SFH_pre_1975_Insulation_roof_Tight_envelope_HRV_Full_insulated_wall_cavity_Single_pane_storm_windows</t>
  </si>
  <si>
    <t>MA_SFH_NG_heating_AC_window_Hot_water_uninsulated_Heating_DHW_combo_NG</t>
  </si>
  <si>
    <t>MA_SFH_pre_1975_Insulation_roof_Tight_envelope_HRV_Full_insulated_wall_cavity_Double_pane_lowE</t>
  </si>
  <si>
    <t>MA_SFH_NG_heating_AC_window_Hot_water_uninsulated_HPWH</t>
  </si>
  <si>
    <t>MA_SFH_pre_1975_Insulation_roof_Tight_envelope_HRV_Full_insulated_wall_cavity_Triple_pane_lowE</t>
  </si>
  <si>
    <t>MA_SFH_NG_heating_AC_window_Air_ducts_uninsulated_Electric_resistance_DHW</t>
  </si>
  <si>
    <t>MA_SFH_pre_1975_Insulation_roof_Tight_envelope_HRV_Full_insulated_wall_cavity_exterior_Single_pane</t>
  </si>
  <si>
    <t>MA_SFH_NG_heating_AC_window_Air_ducts_uninsulated_NG_DHW</t>
  </si>
  <si>
    <t>MA_SFH_pre_1975_Insulation_roof_Tight_envelope_HRV_Full_insulated_wall_cavity_exterior_Single_pane_storm_windows</t>
  </si>
  <si>
    <t>MA_SFH_NG_heating_AC_window_Air_ducts_uninsulated_Heating_DHW_combo_NG</t>
  </si>
  <si>
    <t>MA_SFH_pre_1975_Insulation_roof_Tight_envelope_HRV_Full_insulated_wall_cavity_exterior_Double_pane_lowE</t>
  </si>
  <si>
    <t>MA_SFH_NG_heating_AC_window_Air_ducts_uninsulated_HPWH</t>
  </si>
  <si>
    <t>MA_SFH_pre_1975_Insulation_roof_Tight_envelope_HRV_Full_insulated_wall_cavity_exterior_Triple_pane_lowE</t>
  </si>
  <si>
    <t>MA_SFH_NG_heating_AC_window_Air_ducts_conditioned_uninsulated_Electric_resistance_DHW</t>
  </si>
  <si>
    <t>MA_SFH_pre_1975_Occupied_insulated_Leaky_envelope_Uninsulated_walls_Single_pane</t>
  </si>
  <si>
    <t>MA_SFH_NG_heating_AC_window_Air_ducts_conditioned_uninsulated_NG_DHW</t>
  </si>
  <si>
    <t>MA_SFH_pre_1975_Occupied_insulated_Leaky_envelope_Uninsulated_walls_Single_pane_storm_windows</t>
  </si>
  <si>
    <t>MA_SFH_NG_heating_AC_window_Air_ducts_conditioned_uninsulated_Heating_DHW_combo_NG</t>
  </si>
  <si>
    <t>MA_SFH_pre_1975_Occupied_insulated_Leaky_envelope_Uninsulated_walls_Double_pane_lowE</t>
  </si>
  <si>
    <t>MA_SFH_NG_heating_AC_window_Air_ducts_conditioned_uninsulated_HPWH</t>
  </si>
  <si>
    <t>MA_SFH_pre_1975_Occupied_insulated_Leaky_envelope_Uninsulated_walls_Triple_pane_lowE</t>
  </si>
  <si>
    <t>MA_SFH_NG_heating_AC_window_Hot_water_insulated_Electric_resistance_DHW</t>
  </si>
  <si>
    <t>MA_SFH_pre_1975_Occupied_insulated_Leaky_envelope_Some_wall_insulation_Single_pane</t>
  </si>
  <si>
    <t>MA_SFH_NG_heating_AC_window_Hot_water_insulated_NG_DHW</t>
  </si>
  <si>
    <t>MA_SFH_pre_1975_Occupied_insulated_Leaky_envelope_Some_wall_insulation_Single_pane_storm_windows</t>
  </si>
  <si>
    <t>MA_SFH_NG_heating_AC_window_Hot_water_insulated_Heating_DHW_combo_NG</t>
  </si>
  <si>
    <t>MA_SFH_pre_1975_Occupied_insulated_Leaky_envelope_Some_wall_insulation_Double_pane_lowE</t>
  </si>
  <si>
    <t>MA_SFH_NG_heating_AC_window_Hot_water_insulated_HPWH</t>
  </si>
  <si>
    <t>MA_SFH_pre_1975_Occupied_insulated_Leaky_envelope_Some_wall_insulation_Triple_pane_lowE</t>
  </si>
  <si>
    <t>MA_SFH_NG_heating_AC_window_Air_ducts_insulated_Electric_resistance_DHW</t>
  </si>
  <si>
    <t>MA_SFH_pre_1975_Occupied_insulated_Leaky_envelope_SIP_Single_pane</t>
  </si>
  <si>
    <t>MA_SFH_NG_heating_AC_window_Air_ducts_insulated_NG_DHW</t>
  </si>
  <si>
    <t>MA_SFH_pre_1975_Occupied_insulated_Leaky_envelope_SIP_Single_pane_storm_windows</t>
  </si>
  <si>
    <t>MA_SFH_NG_heating_AC_window_Air_ducts_insulated_Heating_DHW_combo_NG</t>
  </si>
  <si>
    <t>MA_SFH_pre_1975_Occupied_insulated_Leaky_envelope_SIP_Double_pane_lowE</t>
  </si>
  <si>
    <t>MA_SFH_NG_heating_AC_window_Air_ducts_insulated_HPWH</t>
  </si>
  <si>
    <t>MA_SFH_pre_1975_Occupied_insulated_Leaky_envelope_SIP_Triple_pane_lowE</t>
  </si>
  <si>
    <t>MA_SFH_NG_heating_Central_AC_Steam_Electric_resistance_DHW</t>
  </si>
  <si>
    <t>MA_SFH_pre_1975_Occupied_insulated_Leaky_envelope_Full_insulated_wall_cavity_Single_pane</t>
  </si>
  <si>
    <t>MA_SFH_NG_heating_Central_AC_Steam_NG_DHW</t>
  </si>
  <si>
    <t>MA_SFH_pre_1975_Occupied_insulated_Leaky_envelope_Full_insulated_wall_cavity_Single_pane_storm_windows</t>
  </si>
  <si>
    <t>MA_SFH_NG_heating_Central_AC_Steam_Heating_DHW_combo_NG</t>
  </si>
  <si>
    <t>MA_SFH_pre_1975_Occupied_insulated_Leaky_envelope_Full_insulated_wall_cavity_Double_pane_lowE</t>
  </si>
  <si>
    <t>MA_SFH_NG_heating_Central_AC_Steam_HPWH</t>
  </si>
  <si>
    <t>MA_SFH_pre_1975_Occupied_insulated_Leaky_envelope_Full_insulated_wall_cavity_Triple_pane_lowE</t>
  </si>
  <si>
    <t>MA_SFH_NG_heating_Central_AC_Hot_water_uninsulated_Electric_resistance_DHW</t>
  </si>
  <si>
    <t>MA_SFH_pre_1975_Occupied_insulated_Leaky_envelope_Full_insulated_wall_cavity_exterior_Single_pane</t>
  </si>
  <si>
    <t>MA_SFH_NG_heating_Central_AC_Hot_water_uninsulated_NG_DHW</t>
  </si>
  <si>
    <t>MA_SFH_pre_1975_Occupied_insulated_Leaky_envelope_Full_insulated_wall_cavity_exterior_Single_pane_storm_windows</t>
  </si>
  <si>
    <t>MA_SFH_NG_heating_Central_AC_Hot_water_uninsulated_Heating_DHW_combo_NG</t>
  </si>
  <si>
    <t>MA_SFH_pre_1975_Occupied_insulated_Leaky_envelope_Full_insulated_wall_cavity_exterior_Double_pane_lowE</t>
  </si>
  <si>
    <t>MA_SFH_NG_heating_Central_AC_Hot_water_uninsulated_HPWH</t>
  </si>
  <si>
    <t>MA_SFH_pre_1975_Occupied_insulated_Leaky_envelope_Full_insulated_wall_cavity_exterior_Triple_pane_lowE</t>
  </si>
  <si>
    <t>MA_SFH_NG_heating_Central_AC_Air_ducts_uninsulated_Electric_resistance_DHW</t>
  </si>
  <si>
    <t>MA_SFH_pre_1975_Occupied_insulated_Somewhat_leaky_envelope_Uninsulated_walls_Single_pane</t>
  </si>
  <si>
    <t>MA_SFH_NG_heating_Central_AC_Air_ducts_uninsulated_NG_DHW</t>
  </si>
  <si>
    <t>MA_SFH_pre_1975_Occupied_insulated_Somewhat_leaky_envelope_Uninsulated_walls_Single_pane_storm_windows</t>
  </si>
  <si>
    <t>MA_SFH_NG_heating_Central_AC_Air_ducts_uninsulated_Heating_DHW_combo_NG</t>
  </si>
  <si>
    <t>MA_SFH_pre_1975_Occupied_insulated_Somewhat_leaky_envelope_Uninsulated_walls_Double_pane_lowE</t>
  </si>
  <si>
    <t>MA_SFH_NG_heating_Central_AC_Air_ducts_uninsulated_HPWH</t>
  </si>
  <si>
    <t>MA_SFH_pre_1975_Occupied_insulated_Somewhat_leaky_envelope_Uninsulated_walls_Triple_pane_lowE</t>
  </si>
  <si>
    <t>MA_SFH_NG_heating_Central_AC_Air_ducts_conditioned_uninsulated_Electric_resistance_DHW</t>
  </si>
  <si>
    <t>MA_SFH_pre_1975_Occupied_insulated_Somewhat_leaky_envelope_Some_wall_insulation_Single_pane</t>
  </si>
  <si>
    <t>MA_SFH_NG_heating_Central_AC_Air_ducts_conditioned_uninsulated_NG_DHW</t>
  </si>
  <si>
    <t>MA_SFH_pre_1975_Occupied_insulated_Somewhat_leaky_envelope_Some_wall_insulation_Single_pane_storm_windows</t>
  </si>
  <si>
    <t>MA_SFH_NG_heating_Central_AC_Air_ducts_conditioned_uninsulated_Heating_DHW_combo_NG</t>
  </si>
  <si>
    <t>MA_SFH_pre_1975_Occupied_insulated_Somewhat_leaky_envelope_Some_wall_insulation_Double_pane_lowE</t>
  </si>
  <si>
    <t>MA_SFH_NG_heating_Central_AC_Air_ducts_conditioned_uninsulated_HPWH</t>
  </si>
  <si>
    <t>MA_SFH_pre_1975_Occupied_insulated_Somewhat_leaky_envelope_Some_wall_insulation_Triple_pane_lowE</t>
  </si>
  <si>
    <t>MA_SFH_NG_heating_Central_AC_Hot_water_insulated_Electric_resistance_DHW</t>
  </si>
  <si>
    <t>MA_SFH_pre_1975_Occupied_insulated_Somewhat_leaky_envelope_SIP_Single_pane</t>
  </si>
  <si>
    <t>MA_SFH_NG_heating_Central_AC_Hot_water_insulated_NG_DHW</t>
  </si>
  <si>
    <t>MA_SFH_pre_1975_Occupied_insulated_Somewhat_leaky_envelope_SIP_Single_pane_storm_windows</t>
  </si>
  <si>
    <t>MA_SFH_NG_heating_Central_AC_Hot_water_insulated_Heating_DHW_combo_NG</t>
  </si>
  <si>
    <t>MA_SFH_pre_1975_Occupied_insulated_Somewhat_leaky_envelope_SIP_Double_pane_lowE</t>
  </si>
  <si>
    <t>MA_SFH_NG_heating_Central_AC_Hot_water_insulated_HPWH</t>
  </si>
  <si>
    <t>MA_SFH_pre_1975_Occupied_insulated_Somewhat_leaky_envelope_SIP_Triple_pane_lowE</t>
  </si>
  <si>
    <t>MA_SFH_NG_heating_Central_AC_Air_ducts_insulated_Electric_resistance_DHW</t>
  </si>
  <si>
    <t>MA_SFH_pre_1975_Occupied_insulated_Somewhat_leaky_envelope_Full_insulated_wall_cavity_Single_pane</t>
  </si>
  <si>
    <t>MA_SFH_NG_heating_Central_AC_Air_ducts_insulated_NG_DHW</t>
  </si>
  <si>
    <t>MA_SFH_pre_1975_Occupied_insulated_Somewhat_leaky_envelope_Full_insulated_wall_cavity_Single_pane_storm_windows</t>
  </si>
  <si>
    <t>MA_SFH_NG_heating_Central_AC_Air_ducts_insulated_Heating_DHW_combo_NG</t>
  </si>
  <si>
    <t>MA_SFH_pre_1975_Occupied_insulated_Somewhat_leaky_envelope_Full_insulated_wall_cavity_Double_pane_lowE</t>
  </si>
  <si>
    <t>MA_SFH_NG_heating_Central_AC_Air_ducts_insulated_HPWH</t>
  </si>
  <si>
    <t>MA_SFH_pre_1975_Occupied_insulated_Somewhat_leaky_envelope_Full_insulated_wall_cavity_Triple_pane_lowE</t>
  </si>
  <si>
    <t>MA_SFH_NG_heating_Natural_ventilation_Steam_Electric_resistance_DHW</t>
  </si>
  <si>
    <t>MA_SFH_pre_1975_Occupied_insulated_Somewhat_leaky_envelope_Full_insulated_wall_cavity_exterior_Single_pane</t>
  </si>
  <si>
    <t>MA_SFH_NG_heating_Natural_ventilation_Steam_NG_DHW</t>
  </si>
  <si>
    <t>MA_SFH_pre_1975_Occupied_insulated_Somewhat_leaky_envelope_Full_insulated_wall_cavity_exterior_Single_pane_storm_windows</t>
  </si>
  <si>
    <t>MA_SFH_NG_heating_Natural_ventilation_Steam_Heating_DHW_combo_NG</t>
  </si>
  <si>
    <t>MA_SFH_pre_1975_Occupied_insulated_Somewhat_leaky_envelope_Full_insulated_wall_cavity_exterior_Double_pane_lowE</t>
  </si>
  <si>
    <t>MA_SFH_NG_heating_Natural_ventilation_Steam_HPWH</t>
  </si>
  <si>
    <t>MA_SFH_pre_1975_Occupied_insulated_Somewhat_leaky_envelope_Full_insulated_wall_cavity_exterior_Triple_pane_lowE</t>
  </si>
  <si>
    <t>MA_SFH_NG_heating_Natural_ventilation_Hot_water_uninsulated_Electric_resistance_DHW</t>
  </si>
  <si>
    <t>MA_SFH_pre_1975_Occupied_insulated_Tight_envelope_HRV_Uninsulated_walls_Single_pane</t>
  </si>
  <si>
    <t>MA_SFH_NG_heating_Natural_ventilation_Hot_water_uninsulated_NG_DHW</t>
  </si>
  <si>
    <t>MA_SFH_pre_1975_Occupied_insulated_Tight_envelope_HRV_Uninsulated_walls_Single_pane_storm_windows</t>
  </si>
  <si>
    <t>MA_SFH_NG_heating_Natural_ventilation_Hot_water_uninsulated_Heating_DHW_combo_NG</t>
  </si>
  <si>
    <t>MA_SFH_pre_1975_Occupied_insulated_Tight_envelope_HRV_Uninsulated_walls_Double_pane_lowE</t>
  </si>
  <si>
    <t>MA_SFH_NG_heating_Natural_ventilation_Hot_water_uninsulated_HPWH</t>
  </si>
  <si>
    <t>MA_SFH_pre_1975_Occupied_insulated_Tight_envelope_HRV_Uninsulated_walls_Triple_pane_lowE</t>
  </si>
  <si>
    <t>MA_SFH_NG_heating_Natural_ventilation_Air_ducts_uninsulated_Electric_resistance_DHW</t>
  </si>
  <si>
    <t>MA_SFH_pre_1975_Occupied_insulated_Tight_envelope_HRV_Some_wall_insulation_Single_pane</t>
  </si>
  <si>
    <t>MA_SFH_NG_heating_Natural_ventilation_Air_ducts_uninsulated_NG_DHW</t>
  </si>
  <si>
    <t>MA_SFH_pre_1975_Occupied_insulated_Tight_envelope_HRV_Some_wall_insulation_Single_pane_storm_windows</t>
  </si>
  <si>
    <t>MA_SFH_NG_heating_Natural_ventilation_Air_ducts_uninsulated_Heating_DHW_combo_NG</t>
  </si>
  <si>
    <t>MA_SFH_pre_1975_Occupied_insulated_Tight_envelope_HRV_Some_wall_insulation_Double_pane_lowE</t>
  </si>
  <si>
    <t>MA_SFH_NG_heating_Natural_ventilation_Air_ducts_uninsulated_HPWH</t>
  </si>
  <si>
    <t>MA_SFH_pre_1975_Occupied_insulated_Tight_envelope_HRV_Some_wall_insulation_Triple_pane_lowE</t>
  </si>
  <si>
    <t>MA_SFH_NG_heating_Natural_ventilation_Air_ducts_conditioned_uninsulated_Electric_resistance_DHW</t>
  </si>
  <si>
    <t>MA_SFH_pre_1975_Occupied_insulated_Tight_envelope_HRV_SIP_Single_pane</t>
  </si>
  <si>
    <t>MA_SFH_NG_heating_Natural_ventilation_Air_ducts_conditioned_uninsulated_NG_DHW</t>
  </si>
  <si>
    <t>MA_SFH_pre_1975_Occupied_insulated_Tight_envelope_HRV_SIP_Single_pane_storm_windows</t>
  </si>
  <si>
    <t>MA_SFH_NG_heating_Natural_ventilation_Air_ducts_conditioned_uninsulated_Heating_DHW_combo_NG</t>
  </si>
  <si>
    <t>MA_SFH_pre_1975_Occupied_insulated_Tight_envelope_HRV_SIP_Double_pane_lowE</t>
  </si>
  <si>
    <t>MA_SFH_NG_heating_Natural_ventilation_Air_ducts_conditioned_uninsulated_HPWH</t>
  </si>
  <si>
    <t>MA_SFH_pre_1975_Occupied_insulated_Tight_envelope_HRV_SIP_Triple_pane_lowE</t>
  </si>
  <si>
    <t>MA_SFH_NG_heating_Natural_ventilation_Hot_water_insulated_Electric_resistance_DHW</t>
  </si>
  <si>
    <t>MA_SFH_pre_1975_Occupied_insulated_Tight_envelope_HRV_Full_insulated_wall_cavity_Single_pane</t>
  </si>
  <si>
    <t>MA_SFH_NG_heating_Natural_ventilation_Hot_water_insulated_NG_DHW</t>
  </si>
  <si>
    <t>MA_SFH_pre_1975_Occupied_insulated_Tight_envelope_HRV_Full_insulated_wall_cavity_Single_pane_storm_windows</t>
  </si>
  <si>
    <t>MA_SFH_NG_heating_Natural_ventilation_Hot_water_insulated_Heating_DHW_combo_NG</t>
  </si>
  <si>
    <t>MA_SFH_pre_1975_Occupied_insulated_Tight_envelope_HRV_Full_insulated_wall_cavity_Double_pane_lowE</t>
  </si>
  <si>
    <t>MA_SFH_NG_heating_Natural_ventilation_Hot_water_insulated_HPWH</t>
  </si>
  <si>
    <t>MA_SFH_pre_1975_Occupied_insulated_Tight_envelope_HRV_Full_insulated_wall_cavity_Triple_pane_lowE</t>
  </si>
  <si>
    <t>MA_SFH_NG_heating_Natural_ventilation_Air_ducts_insulated_Electric_resistance_DHW</t>
  </si>
  <si>
    <t>MA_SFH_pre_1975_Occupied_insulated_Tight_envelope_HRV_Full_insulated_wall_cavity_exterior_Single_pane</t>
  </si>
  <si>
    <t>MA_SFH_NG_heating_Natural_ventilation_Air_ducts_insulated_NG_DHW</t>
  </si>
  <si>
    <t>MA_SFH_pre_1975_Occupied_insulated_Tight_envelope_HRV_Full_insulated_wall_cavity_exterior_Single_pane_storm_windows</t>
  </si>
  <si>
    <t>MA_SFH_NG_heating_Natural_ventilation_Air_ducts_insulated_Heating_DHW_combo_NG</t>
  </si>
  <si>
    <t>MA_SFH_pre_1975_Occupied_insulated_Tight_envelope_HRV_Full_insulated_wall_cavity_exterior_Double_pane_lowE</t>
  </si>
  <si>
    <t>MA_SFH_NG_heating_Natural_ventilation_Air_ducts_insulated_HPWH</t>
  </si>
  <si>
    <t>MA_SFH_pre_1975_Occupied_insulated_Tight_envelope_HRV_Full_insulated_wall_cavity_exterior_Triple_pane_lowE</t>
  </si>
  <si>
    <t>MA_SFH_NG_heating_Window_ASHP_Steam_Electric_resistance_DHW</t>
  </si>
  <si>
    <t>MA_SFH_pre_1975_Unoccupied_high_insulated_floor_Leaky_envelope_Uninsulated_walls_Single_pane</t>
  </si>
  <si>
    <t>MA_SFH_NG_heating_Window_ASHP_Steam_NG_DHW</t>
  </si>
  <si>
    <t>MA_SFH_pre_1975_Unoccupied_high_insulated_floor_Leaky_envelope_Uninsulated_walls_Single_pane_storm_windows</t>
  </si>
  <si>
    <t>MA_SFH_NG_heating_Window_ASHP_Steam_Heating_DHW_combo_NG</t>
  </si>
  <si>
    <t>MA_SFH_pre_1975_Unoccupied_high_insulated_floor_Leaky_envelope_Uninsulated_walls_Double_pane_lowE</t>
  </si>
  <si>
    <t>MA_SFH_NG_heating_Window_ASHP_Steam_HPWH</t>
  </si>
  <si>
    <t>MA_SFH_pre_1975_Unoccupied_high_insulated_floor_Leaky_envelope_Uninsulated_walls_Triple_pane_lowE</t>
  </si>
  <si>
    <t>MA_SFH_NG_heating_Window_ASHP_Hot_water_uninsulated_Electric_resistance_DHW</t>
  </si>
  <si>
    <t>MA_SFH_pre_1975_Unoccupied_high_insulated_floor_Leaky_envelope_Some_wall_insulation_Single_pane</t>
  </si>
  <si>
    <t>MA_SFH_NG_heating_Window_ASHP_Hot_water_uninsulated_NG_DHW</t>
  </si>
  <si>
    <t>MA_SFH_pre_1975_Unoccupied_high_insulated_floor_Leaky_envelope_Some_wall_insulation_Single_pane_storm_windows</t>
  </si>
  <si>
    <t>MA_SFH_NG_heating_Window_ASHP_Hot_water_uninsulated_Heating_DHW_combo_NG</t>
  </si>
  <si>
    <t>MA_SFH_pre_1975_Unoccupied_high_insulated_floor_Leaky_envelope_Some_wall_insulation_Double_pane_lowE</t>
  </si>
  <si>
    <t>MA_SFH_NG_heating_Window_ASHP_Hot_water_uninsulated_HPWH</t>
  </si>
  <si>
    <t>MA_SFH_pre_1975_Unoccupied_high_insulated_floor_Leaky_envelope_Some_wall_insulation_Triple_pane_lowE</t>
  </si>
  <si>
    <t>MA_SFH_NG_heating_Window_ASHP_Air_ducts_uninsulated_Electric_resistance_DHW</t>
  </si>
  <si>
    <t>MA_SFH_pre_1975_Unoccupied_high_insulated_floor_Leaky_envelope_SIP_Single_pane</t>
  </si>
  <si>
    <t>MA_SFH_NG_heating_Window_ASHP_Air_ducts_uninsulated_NG_DHW</t>
  </si>
  <si>
    <t>MA_SFH_pre_1975_Unoccupied_high_insulated_floor_Leaky_envelope_SIP_Single_pane_storm_windows</t>
  </si>
  <si>
    <t>MA_SFH_NG_heating_Window_ASHP_Air_ducts_uninsulated_Heating_DHW_combo_NG</t>
  </si>
  <si>
    <t>MA_SFH_pre_1975_Unoccupied_high_insulated_floor_Leaky_envelope_SIP_Double_pane_lowE</t>
  </si>
  <si>
    <t>MA_SFH_NG_heating_Window_ASHP_Air_ducts_uninsulated_HPWH</t>
  </si>
  <si>
    <t>MA_SFH_pre_1975_Unoccupied_high_insulated_floor_Leaky_envelope_SIP_Triple_pane_lowE</t>
  </si>
  <si>
    <t>MA_SFH_NG_heating_Window_ASHP_Air_ducts_conditioned_uninsulated_Electric_resistance_DHW</t>
  </si>
  <si>
    <t>MA_SFH_pre_1975_Unoccupied_high_insulated_floor_Leaky_envelope_Full_insulated_wall_cavity_Single_pane</t>
  </si>
  <si>
    <t>MA_SFH_NG_heating_Window_ASHP_Air_ducts_conditioned_uninsulated_NG_DHW</t>
  </si>
  <si>
    <t>MA_SFH_pre_1975_Unoccupied_high_insulated_floor_Leaky_envelope_Full_insulated_wall_cavity_Single_pane_storm_windows</t>
  </si>
  <si>
    <t>MA_SFH_NG_heating_Window_ASHP_Air_ducts_conditioned_uninsulated_Heating_DHW_combo_NG</t>
  </si>
  <si>
    <t>MA_SFH_pre_1975_Unoccupied_high_insulated_floor_Leaky_envelope_Full_insulated_wall_cavity_Double_pane_lowE</t>
  </si>
  <si>
    <t>MA_SFH_NG_heating_Window_ASHP_Air_ducts_conditioned_uninsulated_HPWH</t>
  </si>
  <si>
    <t>MA_SFH_pre_1975_Unoccupied_high_insulated_floor_Leaky_envelope_Full_insulated_wall_cavity_Triple_pane_lowE</t>
  </si>
  <si>
    <t>MA_SFH_NG_heating_Window_ASHP_Hot_water_insulated_Electric_resistance_DHW</t>
  </si>
  <si>
    <t>MA_SFH_pre_1975_Unoccupied_high_insulated_floor_Leaky_envelope_Full_insulated_wall_cavity_exterior_Single_pane</t>
  </si>
  <si>
    <t>MA_SFH_NG_heating_Window_ASHP_Hot_water_insulated_NG_DHW</t>
  </si>
  <si>
    <t>MA_SFH_pre_1975_Unoccupied_high_insulated_floor_Leaky_envelope_Full_insulated_wall_cavity_exterior_Single_pane_storm_windows</t>
  </si>
  <si>
    <t>MA_SFH_NG_heating_Window_ASHP_Hot_water_insulated_Heating_DHW_combo_NG</t>
  </si>
  <si>
    <t>MA_SFH_pre_1975_Unoccupied_high_insulated_floor_Leaky_envelope_Full_insulated_wall_cavity_exterior_Double_pane_lowE</t>
  </si>
  <si>
    <t>MA_SFH_NG_heating_Window_ASHP_Hot_water_insulated_HPWH</t>
  </si>
  <si>
    <t>MA_SFH_pre_1975_Unoccupied_high_insulated_floor_Leaky_envelope_Full_insulated_wall_cavity_exterior_Triple_pane_lowE</t>
  </si>
  <si>
    <t>MA_SFH_NG_heating_Window_ASHP_Air_ducts_insulated_Electric_resistance_DHW</t>
  </si>
  <si>
    <t>MA_SFH_pre_1975_Unoccupied_high_insulated_floor_Somewhat_leaky_envelope_Uninsulated_walls_Single_pane</t>
  </si>
  <si>
    <t>MA_SFH_NG_heating_Window_ASHP_Air_ducts_insulated_NG_DHW</t>
  </si>
  <si>
    <t>MA_SFH_pre_1975_Unoccupied_high_insulated_floor_Somewhat_leaky_envelope_Uninsulated_walls_Single_pane_storm_windows</t>
  </si>
  <si>
    <t>MA_SFH_NG_heating_Window_ASHP_Air_ducts_insulated_Heating_DHW_combo_NG</t>
  </si>
  <si>
    <t>MA_SFH_pre_1975_Unoccupied_high_insulated_floor_Somewhat_leaky_envelope_Uninsulated_walls_Double_pane_lowE</t>
  </si>
  <si>
    <t>MA_SFH_NG_heating_Window_ASHP_Air_ducts_insulated_HPWH</t>
  </si>
  <si>
    <t>MA_SFH_pre_1975_Unoccupied_high_insulated_floor_Somewhat_leaky_envelope_Uninsulated_walls_Triple_pane_lowE</t>
  </si>
  <si>
    <t>MA_SFH_NG_heating_ASHP_Steam_Electric_resistance_DHW</t>
  </si>
  <si>
    <t>MA_SFH_pre_1975_Unoccupied_high_insulated_floor_Somewhat_leaky_envelope_Some_wall_insulation_Single_pane</t>
  </si>
  <si>
    <t>MA_SFH_NG_heating_ASHP_Steam_NG_DHW</t>
  </si>
  <si>
    <t>MA_SFH_pre_1975_Unoccupied_high_insulated_floor_Somewhat_leaky_envelope_Some_wall_insulation_Single_pane_storm_windows</t>
  </si>
  <si>
    <t>MA_SFH_NG_heating_ASHP_Steam_Heating_DHW_combo_NG</t>
  </si>
  <si>
    <t>MA_SFH_pre_1975_Unoccupied_high_insulated_floor_Somewhat_leaky_envelope_Some_wall_insulation_Double_pane_lowE</t>
  </si>
  <si>
    <t>MA_SFH_NG_heating_ASHP_Steam_HPWH</t>
  </si>
  <si>
    <t>MA_SFH_pre_1975_Unoccupied_high_insulated_floor_Somewhat_leaky_envelope_Some_wall_insulation_Triple_pane_lowE</t>
  </si>
  <si>
    <t>MA_SFH_NG_heating_ASHP_Hot_water_uninsulated_Electric_resistance_DHW</t>
  </si>
  <si>
    <t>MA_SFH_pre_1975_Unoccupied_high_insulated_floor_Somewhat_leaky_envelope_SIP_Single_pane</t>
  </si>
  <si>
    <t>MA_SFH_NG_heating_ASHP_Hot_water_uninsulated_NG_DHW</t>
  </si>
  <si>
    <t>MA_SFH_pre_1975_Unoccupied_high_insulated_floor_Somewhat_leaky_envelope_SIP_Single_pane_storm_windows</t>
  </si>
  <si>
    <t>MA_SFH_NG_heating_ASHP_Hot_water_uninsulated_Heating_DHW_combo_NG</t>
  </si>
  <si>
    <t>MA_SFH_pre_1975_Unoccupied_high_insulated_floor_Somewhat_leaky_envelope_SIP_Double_pane_lowE</t>
  </si>
  <si>
    <t>MA_SFH_NG_heating_ASHP_Hot_water_uninsulated_HPWH</t>
  </si>
  <si>
    <t>MA_SFH_pre_1975_Unoccupied_high_insulated_floor_Somewhat_leaky_envelope_SIP_Triple_pane_lowE</t>
  </si>
  <si>
    <t>MA_SFH_NG_heating_ASHP_Air_ducts_uninsulated_Electric_resistance_DHW</t>
  </si>
  <si>
    <t>MA_SFH_pre_1975_Unoccupied_high_insulated_floor_Somewhat_leaky_envelope_Full_insulated_wall_cavity_Single_pane</t>
  </si>
  <si>
    <t>MA_SFH_NG_heating_ASHP_Air_ducts_uninsulated_NG_DHW</t>
  </si>
  <si>
    <t>MA_SFH_pre_1975_Unoccupied_high_insulated_floor_Somewhat_leaky_envelope_Full_insulated_wall_cavity_Single_pane_storm_windows</t>
  </si>
  <si>
    <t>MA_SFH_NG_heating_ASHP_Air_ducts_uninsulated_Heating_DHW_combo_NG</t>
  </si>
  <si>
    <t>MA_SFH_pre_1975_Unoccupied_high_insulated_floor_Somewhat_leaky_envelope_Full_insulated_wall_cavity_Double_pane_lowE</t>
  </si>
  <si>
    <t>MA_SFH_NG_heating_ASHP_Air_ducts_uninsulated_HPWH</t>
  </si>
  <si>
    <t>MA_SFH_pre_1975_Unoccupied_high_insulated_floor_Somewhat_leaky_envelope_Full_insulated_wall_cavity_Triple_pane_lowE</t>
  </si>
  <si>
    <t>MA_SFH_NG_heating_ASHP_Air_ducts_conditioned_uninsulated_Electric_resistance_DHW</t>
  </si>
  <si>
    <t>MA_SFH_pre_1975_Unoccupied_high_insulated_floor_Somewhat_leaky_envelope_Full_insulated_wall_cavity_exterior_Single_pane</t>
  </si>
  <si>
    <t>MA_SFH_NG_heating_ASHP_Air_ducts_conditioned_uninsulated_NG_DHW</t>
  </si>
  <si>
    <t>MA_SFH_pre_1975_Unoccupied_high_insulated_floor_Somewhat_leaky_envelope_Full_insulated_wall_cavity_exterior_Single_pane_storm_windows</t>
  </si>
  <si>
    <t>MA_SFH_NG_heating_ASHP_Air_ducts_conditioned_uninsulated_Heating_DHW_combo_NG</t>
  </si>
  <si>
    <t>MA_SFH_pre_1975_Unoccupied_high_insulated_floor_Somewhat_leaky_envelope_Full_insulated_wall_cavity_exterior_Double_pane_lowE</t>
  </si>
  <si>
    <t>MA_SFH_NG_heating_ASHP_Air_ducts_conditioned_uninsulated_HPWH</t>
  </si>
  <si>
    <t>MA_SFH_pre_1975_Unoccupied_high_insulated_floor_Somewhat_leaky_envelope_Full_insulated_wall_cavity_exterior_Triple_pane_lowE</t>
  </si>
  <si>
    <t>MA_SFH_NG_heating_ASHP_Hot_water_insulated_Electric_resistance_DHW</t>
  </si>
  <si>
    <t>MA_SFH_pre_1975_Unoccupied_high_insulated_floor_Tight_envelope_HRV_Uninsulated_walls_Single_pane</t>
  </si>
  <si>
    <t>MA_SFH_NG_heating_ASHP_Hot_water_insulated_NG_DHW</t>
  </si>
  <si>
    <t>MA_SFH_pre_1975_Unoccupied_high_insulated_floor_Tight_envelope_HRV_Uninsulated_walls_Single_pane_storm_windows</t>
  </si>
  <si>
    <t>MA_SFH_NG_heating_ASHP_Hot_water_insulated_Heating_DHW_combo_NG</t>
  </si>
  <si>
    <t>MA_SFH_pre_1975_Unoccupied_high_insulated_floor_Tight_envelope_HRV_Uninsulated_walls_Double_pane_lowE</t>
  </si>
  <si>
    <t>MA_SFH_NG_heating_ASHP_Hot_water_insulated_HPWH</t>
  </si>
  <si>
    <t>MA_SFH_pre_1975_Unoccupied_high_insulated_floor_Tight_envelope_HRV_Uninsulated_walls_Triple_pane_lowE</t>
  </si>
  <si>
    <t>MA_SFH_NG_heating_ASHP_Air_ducts_insulated_Electric_resistance_DHW</t>
  </si>
  <si>
    <t>MA_SFH_pre_1975_Unoccupied_high_insulated_floor_Tight_envelope_HRV_Some_wall_insulation_Single_pane</t>
  </si>
  <si>
    <t>MA_SFH_NG_heating_ASHP_Air_ducts_insulated_NG_DHW</t>
  </si>
  <si>
    <t>MA_SFH_pre_1975_Unoccupied_high_insulated_floor_Tight_envelope_HRV_Some_wall_insulation_Single_pane_storm_windows</t>
  </si>
  <si>
    <t>MA_SFH_NG_heating_ASHP_Air_ducts_insulated_Heating_DHW_combo_NG</t>
  </si>
  <si>
    <t>MA_SFH_pre_1975_Unoccupied_high_insulated_floor_Tight_envelope_HRV_Some_wall_insulation_Double_pane_lowE</t>
  </si>
  <si>
    <t>MA_SFH_NG_heating_ASHP_Air_ducts_insulated_HPWH</t>
  </si>
  <si>
    <t>MA_SFH_pre_1975_Unoccupied_high_insulated_floor_Tight_envelope_HRV_Some_wall_insulation_Triple_pane_lowE</t>
  </si>
  <si>
    <t>MA_SFH_NG_heating_GSHP_Steam_Electric_resistance_DHW</t>
  </si>
  <si>
    <t>MA_SFH_pre_1975_Unoccupied_high_insulated_floor_Tight_envelope_HRV_SIP_Single_pane</t>
  </si>
  <si>
    <t>MA_SFH_NG_heating_GSHP_Steam_NG_DHW</t>
  </si>
  <si>
    <t>MA_SFH_pre_1975_Unoccupied_high_insulated_floor_Tight_envelope_HRV_SIP_Single_pane_storm_windows</t>
  </si>
  <si>
    <t>MA_SFH_NG_heating_GSHP_Steam_Heating_DHW_combo_NG</t>
  </si>
  <si>
    <t>MA_SFH_pre_1975_Unoccupied_high_insulated_floor_Tight_envelope_HRV_SIP_Double_pane_lowE</t>
  </si>
  <si>
    <t>MA_SFH_NG_heating_GSHP_Steam_HPWH</t>
  </si>
  <si>
    <t>MA_SFH_pre_1975_Unoccupied_high_insulated_floor_Tight_envelope_HRV_SIP_Triple_pane_lowE</t>
  </si>
  <si>
    <t>MA_SFH_NG_heating_GSHP_Hot_water_uninsulated_Electric_resistance_DHW</t>
  </si>
  <si>
    <t>MA_SFH_pre_1975_Unoccupied_high_insulated_floor_Tight_envelope_HRV_Full_insulated_wall_cavity_Single_pane</t>
  </si>
  <si>
    <t>MA_SFH_NG_heating_GSHP_Hot_water_uninsulated_NG_DHW</t>
  </si>
  <si>
    <t>MA_SFH_pre_1975_Unoccupied_high_insulated_floor_Tight_envelope_HRV_Full_insulated_wall_cavity_Single_pane_storm_windows</t>
  </si>
  <si>
    <t>MA_SFH_NG_heating_GSHP_Hot_water_uninsulated_Heating_DHW_combo_NG</t>
  </si>
  <si>
    <t>MA_SFH_pre_1975_Unoccupied_high_insulated_floor_Tight_envelope_HRV_Full_insulated_wall_cavity_Double_pane_lowE</t>
  </si>
  <si>
    <t>MA_SFH_NG_heating_GSHP_Hot_water_uninsulated_HPWH</t>
  </si>
  <si>
    <t>MA_SFH_pre_1975_Unoccupied_high_insulated_floor_Tight_envelope_HRV_Full_insulated_wall_cavity_Triple_pane_lowE</t>
  </si>
  <si>
    <t>MA_SFH_NG_heating_GSHP_Air_ducts_uninsulated_Electric_resistance_DHW</t>
  </si>
  <si>
    <t>MA_SFH_pre_1975_Unoccupied_high_insulated_floor_Tight_envelope_HRV_Full_insulated_wall_cavity_exterior_Single_pane</t>
  </si>
  <si>
    <t>MA_SFH_NG_heating_GSHP_Air_ducts_uninsulated_NG_DHW</t>
  </si>
  <si>
    <t>MA_SFH_pre_1975_Unoccupied_high_insulated_floor_Tight_envelope_HRV_Full_insulated_wall_cavity_exterior_Single_pane_storm_windows</t>
  </si>
  <si>
    <t>MA_SFH_NG_heating_GSHP_Air_ducts_uninsulated_Heating_DHW_combo_NG</t>
  </si>
  <si>
    <t>MA_SFH_pre_1975_Unoccupied_high_insulated_floor_Tight_envelope_HRV_Full_insulated_wall_cavity_exterior_Double_pane_lowE</t>
  </si>
  <si>
    <t>MA_SFH_NG_heating_GSHP_Air_ducts_uninsulated_HPWH</t>
  </si>
  <si>
    <t>MA_SFH_pre_1975_Unoccupied_high_insulated_floor_Tight_envelope_HRV_Full_insulated_wall_cavity_exterior_Triple_pane_lowE</t>
  </si>
  <si>
    <t>MA_SFH_NG_heating_GSHP_Air_ducts_conditioned_uninsulated_Electric_resistance_DHW</t>
  </si>
  <si>
    <t>MA_SFH_btw_1975_2003_Occupied_uninsulated_Leaky_envelope_Uninsulated_walls_Single_pane</t>
  </si>
  <si>
    <t>MA_SFH_NG_heating_GSHP_Air_ducts_conditioned_uninsulated_NG_DHW</t>
  </si>
  <si>
    <t>MA_SFH_btw_1975_2003_Occupied_uninsulated_Leaky_envelope_Uninsulated_walls_Single_pane_storm_windows</t>
  </si>
  <si>
    <t>MA_SFH_NG_heating_GSHP_Air_ducts_conditioned_uninsulated_Heating_DHW_combo_NG</t>
  </si>
  <si>
    <t>MA_SFH_btw_1975_2003_Occupied_uninsulated_Leaky_envelope_Uninsulated_walls_Double_pane_lowE</t>
  </si>
  <si>
    <t>MA_SFH_NG_heating_GSHP_Air_ducts_conditioned_uninsulated_HPWH</t>
  </si>
  <si>
    <t>MA_SFH_btw_1975_2003_Occupied_uninsulated_Leaky_envelope_Uninsulated_walls_Triple_pane_lowE</t>
  </si>
  <si>
    <t>MA_SFH_NG_heating_GSHP_Hot_water_insulated_Electric_resistance_DHW</t>
  </si>
  <si>
    <t>MA_SFH_btw_1975_2003_Occupied_uninsulated_Leaky_envelope_Some_wall_insulation_Single_pane</t>
  </si>
  <si>
    <t>MA_SFH_NG_heating_GSHP_Hot_water_insulated_NG_DHW</t>
  </si>
  <si>
    <t>MA_SFH_btw_1975_2003_Occupied_uninsulated_Leaky_envelope_Some_wall_insulation_Single_pane_storm_windows</t>
  </si>
  <si>
    <t>MA_SFH_NG_heating_GSHP_Hot_water_insulated_Heating_DHW_combo_NG</t>
  </si>
  <si>
    <t>MA_SFH_btw_1975_2003_Occupied_uninsulated_Leaky_envelope_Some_wall_insulation_Double_pane_lowE</t>
  </si>
  <si>
    <t>MA_SFH_NG_heating_GSHP_Hot_water_insulated_HPWH</t>
  </si>
  <si>
    <t>MA_SFH_btw_1975_2003_Occupied_uninsulated_Leaky_envelope_Some_wall_insulation_Triple_pane_lowE</t>
  </si>
  <si>
    <t>MA_SFH_NG_heating_GSHP_Air_ducts_insulated_Electric_resistance_DHW</t>
  </si>
  <si>
    <t>MA_SFH_btw_1975_2003_Occupied_uninsulated_Leaky_envelope_SIP_Single_pane</t>
  </si>
  <si>
    <t>MA_SFH_NG_heating_GSHP_Air_ducts_insulated_NG_DHW</t>
  </si>
  <si>
    <t>MA_SFH_btw_1975_2003_Occupied_uninsulated_Leaky_envelope_SIP_Single_pane_storm_windows</t>
  </si>
  <si>
    <t>MA_SFH_NG_heating_GSHP_Air_ducts_insulated_Heating_DHW_combo_NG</t>
  </si>
  <si>
    <t>MA_SFH_btw_1975_2003_Occupied_uninsulated_Leaky_envelope_SIP_Double_pane_lowE</t>
  </si>
  <si>
    <t>MA_SFH_NG_heating_GSHP_Air_ducts_insulated_HPWH</t>
  </si>
  <si>
    <t>MA_SFH_btw_1975_2003_Occupied_uninsulated_Leaky_envelope_SIP_Triple_pane_lowE</t>
  </si>
  <si>
    <t>MA_SFH_NG_condensing_heating_AC_window_Steam_Electric_resistance_DHW</t>
  </si>
  <si>
    <t>MA_SFH_btw_1975_2003_Occupied_uninsulated_Leaky_envelope_Full_insulated_wall_cavity_Single_pane</t>
  </si>
  <si>
    <t>MA_SFH_NG_condensing_heating_AC_window_Steam_NG_DHW</t>
  </si>
  <si>
    <t>MA_SFH_btw_1975_2003_Occupied_uninsulated_Leaky_envelope_Full_insulated_wall_cavity_Single_pane_storm_windows</t>
  </si>
  <si>
    <t>MA_SFH_NG_condensing_heating_AC_window_Steam_Heating_DHW_combo_NG</t>
  </si>
  <si>
    <t>MA_SFH_btw_1975_2003_Occupied_uninsulated_Leaky_envelope_Full_insulated_wall_cavity_Double_pane_lowE</t>
  </si>
  <si>
    <t>MA_SFH_NG_condensing_heating_AC_window_Steam_HPWH</t>
  </si>
  <si>
    <t>MA_SFH_btw_1975_2003_Occupied_uninsulated_Leaky_envelope_Full_insulated_wall_cavity_Triple_pane_lowE</t>
  </si>
  <si>
    <t>MA_SFH_NG_condensing_heating_AC_window_Hot_water_uninsulated_Electric_resistance_DHW</t>
  </si>
  <si>
    <t>MA_SFH_btw_1975_2003_Occupied_uninsulated_Leaky_envelope_Full_insulated_wall_cavity_exterior_Single_pane</t>
  </si>
  <si>
    <t>MA_SFH_NG_condensing_heating_AC_window_Hot_water_uninsulated_NG_DHW</t>
  </si>
  <si>
    <t>MA_SFH_btw_1975_2003_Occupied_uninsulated_Leaky_envelope_Full_insulated_wall_cavity_exterior_Single_pane_storm_windows</t>
  </si>
  <si>
    <t>MA_SFH_NG_condensing_heating_AC_window_Hot_water_uninsulated_Heating_DHW_combo_NG</t>
  </si>
  <si>
    <t>MA_SFH_btw_1975_2003_Occupied_uninsulated_Leaky_envelope_Full_insulated_wall_cavity_exterior_Double_pane_lowE</t>
  </si>
  <si>
    <t>MA_SFH_NG_condensing_heating_AC_window_Hot_water_uninsulated_HPWH</t>
  </si>
  <si>
    <t>MA_SFH_btw_1975_2003_Occupied_uninsulated_Leaky_envelope_Full_insulated_wall_cavity_exterior_Triple_pane_lowE</t>
  </si>
  <si>
    <t>MA_SFH_NG_condensing_heating_AC_window_Air_ducts_uninsulated_Electric_resistance_DHW</t>
  </si>
  <si>
    <t>MA_SFH_btw_1975_2003_Occupied_uninsulated_Somewhat_leaky_envelope_Uninsulated_walls_Single_pane</t>
  </si>
  <si>
    <t>MA_SFH_NG_condensing_heating_AC_window_Air_ducts_uninsulated_NG_DHW</t>
  </si>
  <si>
    <t>MA_SFH_btw_1975_2003_Occupied_uninsulated_Somewhat_leaky_envelope_Uninsulated_walls_Single_pane_storm_windows</t>
  </si>
  <si>
    <t>MA_SFH_NG_condensing_heating_AC_window_Air_ducts_uninsulated_Heating_DHW_combo_NG</t>
  </si>
  <si>
    <t>MA_SFH_btw_1975_2003_Occupied_uninsulated_Somewhat_leaky_envelope_Uninsulated_walls_Double_pane_lowE</t>
  </si>
  <si>
    <t>MA_SFH_NG_condensing_heating_AC_window_Air_ducts_uninsulated_HPWH</t>
  </si>
  <si>
    <t>MA_SFH_btw_1975_2003_Occupied_uninsulated_Somewhat_leaky_envelope_Uninsulated_walls_Triple_pane_lowE</t>
  </si>
  <si>
    <t>MA_SFH_NG_condensing_heating_AC_window_Air_ducts_conditioned_uninsulated_Electric_resistance_DHW</t>
  </si>
  <si>
    <t>MA_SFH_btw_1975_2003_Occupied_uninsulated_Somewhat_leaky_envelope_Some_wall_insulation_Single_pane</t>
  </si>
  <si>
    <t>MA_SFH_NG_condensing_heating_AC_window_Air_ducts_conditioned_uninsulated_NG_DHW</t>
  </si>
  <si>
    <t>MA_SFH_btw_1975_2003_Occupied_uninsulated_Somewhat_leaky_envelope_Some_wall_insulation_Single_pane_storm_windows</t>
  </si>
  <si>
    <t>MA_SFH_NG_condensing_heating_AC_window_Air_ducts_conditioned_uninsulated_Heating_DHW_combo_NG</t>
  </si>
  <si>
    <t>MA_SFH_btw_1975_2003_Occupied_uninsulated_Somewhat_leaky_envelope_Some_wall_insulation_Double_pane_lowE</t>
  </si>
  <si>
    <t>MA_SFH_NG_condensing_heating_AC_window_Air_ducts_conditioned_uninsulated_HPWH</t>
  </si>
  <si>
    <t>MA_SFH_btw_1975_2003_Occupied_uninsulated_Somewhat_leaky_envelope_Some_wall_insulation_Triple_pane_lowE</t>
  </si>
  <si>
    <t>MA_SFH_NG_condensing_heating_AC_window_Hot_water_insulated_Electric_resistance_DHW</t>
  </si>
  <si>
    <t>MA_SFH_btw_1975_2003_Occupied_uninsulated_Somewhat_leaky_envelope_SIP_Single_pane</t>
  </si>
  <si>
    <t>MA_SFH_NG_condensing_heating_AC_window_Hot_water_insulated_NG_DHW</t>
  </si>
  <si>
    <t>MA_SFH_btw_1975_2003_Occupied_uninsulated_Somewhat_leaky_envelope_SIP_Single_pane_storm_windows</t>
  </si>
  <si>
    <t>MA_SFH_NG_condensing_heating_AC_window_Hot_water_insulated_Heating_DHW_combo_NG</t>
  </si>
  <si>
    <t>MA_SFH_btw_1975_2003_Occupied_uninsulated_Somewhat_leaky_envelope_SIP_Double_pane_lowE</t>
  </si>
  <si>
    <t>MA_SFH_NG_condensing_heating_AC_window_Hot_water_insulated_HPWH</t>
  </si>
  <si>
    <t>MA_SFH_btw_1975_2003_Occupied_uninsulated_Somewhat_leaky_envelope_SIP_Triple_pane_lowE</t>
  </si>
  <si>
    <t>MA_SFH_NG_condensing_heating_AC_window_Air_ducts_insulated_Electric_resistance_DHW</t>
  </si>
  <si>
    <t>MA_SFH_btw_1975_2003_Occupied_uninsulated_Somewhat_leaky_envelope_Full_insulated_wall_cavity_Single_pane</t>
  </si>
  <si>
    <t>MA_SFH_NG_condensing_heating_AC_window_Air_ducts_insulated_NG_DHW</t>
  </si>
  <si>
    <t>MA_SFH_btw_1975_2003_Occupied_uninsulated_Somewhat_leaky_envelope_Full_insulated_wall_cavity_Single_pane_storm_windows</t>
  </si>
  <si>
    <t>MA_SFH_NG_condensing_heating_AC_window_Air_ducts_insulated_Heating_DHW_combo_NG</t>
  </si>
  <si>
    <t>MA_SFH_btw_1975_2003_Occupied_uninsulated_Somewhat_leaky_envelope_Full_insulated_wall_cavity_Double_pane_lowE</t>
  </si>
  <si>
    <t>MA_SFH_NG_condensing_heating_AC_window_Air_ducts_insulated_HPWH</t>
  </si>
  <si>
    <t>MA_SFH_btw_1975_2003_Occupied_uninsulated_Somewhat_leaky_envelope_Full_insulated_wall_cavity_Triple_pane_lowE</t>
  </si>
  <si>
    <t>MA_SFH_NG_condensing_heating_Central_AC_Steam_Electric_resistance_DHW</t>
  </si>
  <si>
    <t>MA_SFH_btw_1975_2003_Occupied_uninsulated_Somewhat_leaky_envelope_Full_insulated_wall_cavity_exterior_Single_pane</t>
  </si>
  <si>
    <t>MA_SFH_NG_condensing_heating_Central_AC_Steam_NG_DHW</t>
  </si>
  <si>
    <t>MA_SFH_btw_1975_2003_Occupied_uninsulated_Somewhat_leaky_envelope_Full_insulated_wall_cavity_exterior_Single_pane_storm_windows</t>
  </si>
  <si>
    <t>MA_SFH_NG_condensing_heating_Central_AC_Steam_Heating_DHW_combo_NG</t>
  </si>
  <si>
    <t>MA_SFH_btw_1975_2003_Occupied_uninsulated_Somewhat_leaky_envelope_Full_insulated_wall_cavity_exterior_Double_pane_lowE</t>
  </si>
  <si>
    <t>MA_SFH_NG_condensing_heating_Central_AC_Steam_HPWH</t>
  </si>
  <si>
    <t>MA_SFH_btw_1975_2003_Occupied_uninsulated_Somewhat_leaky_envelope_Full_insulated_wall_cavity_exterior_Triple_pane_lowE</t>
  </si>
  <si>
    <t>MA_SFH_NG_condensing_heating_Central_AC_Hot_water_uninsulated_Electric_resistance_DHW</t>
  </si>
  <si>
    <t>MA_SFH_btw_1975_2003_Occupied_uninsulated_Tight_envelope_HRV_Uninsulated_walls_Single_pane</t>
  </si>
  <si>
    <t>MA_SFH_NG_condensing_heating_Central_AC_Hot_water_uninsulated_NG_DHW</t>
  </si>
  <si>
    <t>MA_SFH_btw_1975_2003_Occupied_uninsulated_Tight_envelope_HRV_Uninsulated_walls_Single_pane_storm_windows</t>
  </si>
  <si>
    <t>MA_SFH_NG_condensing_heating_Central_AC_Hot_water_uninsulated_Heating_DHW_combo_NG</t>
  </si>
  <si>
    <t>MA_SFH_btw_1975_2003_Occupied_uninsulated_Tight_envelope_HRV_Uninsulated_walls_Double_pane_lowE</t>
  </si>
  <si>
    <t>MA_SFH_NG_condensing_heating_Central_AC_Hot_water_uninsulated_HPWH</t>
  </si>
  <si>
    <t>MA_SFH_btw_1975_2003_Occupied_uninsulated_Tight_envelope_HRV_Uninsulated_walls_Triple_pane_lowE</t>
  </si>
  <si>
    <t>MA_SFH_NG_condensing_heating_Central_AC_Air_ducts_uninsulated_Electric_resistance_DHW</t>
  </si>
  <si>
    <t>MA_SFH_btw_1975_2003_Occupied_uninsulated_Tight_envelope_HRV_Some_wall_insulation_Single_pane</t>
  </si>
  <si>
    <t>MA_SFH_NG_condensing_heating_Central_AC_Air_ducts_uninsulated_NG_DHW</t>
  </si>
  <si>
    <t>MA_SFH_btw_1975_2003_Occupied_uninsulated_Tight_envelope_HRV_Some_wall_insulation_Single_pane_storm_windows</t>
  </si>
  <si>
    <t>MA_SFH_NG_condensing_heating_Central_AC_Air_ducts_uninsulated_Heating_DHW_combo_NG</t>
  </si>
  <si>
    <t>MA_SFH_btw_1975_2003_Occupied_uninsulated_Tight_envelope_HRV_Some_wall_insulation_Double_pane_lowE</t>
  </si>
  <si>
    <t>MA_SFH_NG_condensing_heating_Central_AC_Air_ducts_uninsulated_HPWH</t>
  </si>
  <si>
    <t>MA_SFH_btw_1975_2003_Occupied_uninsulated_Tight_envelope_HRV_Some_wall_insulation_Triple_pane_lowE</t>
  </si>
  <si>
    <t>MA_SFH_NG_condensing_heating_Central_AC_Air_ducts_conditioned_uninsulated_Electric_resistance_DHW</t>
  </si>
  <si>
    <t>MA_SFH_btw_1975_2003_Occupied_uninsulated_Tight_envelope_HRV_SIP_Single_pane</t>
  </si>
  <si>
    <t>MA_SFH_NG_condensing_heating_Central_AC_Air_ducts_conditioned_uninsulated_NG_DHW</t>
  </si>
  <si>
    <t>MA_SFH_btw_1975_2003_Occupied_uninsulated_Tight_envelope_HRV_SIP_Single_pane_storm_windows</t>
  </si>
  <si>
    <t>MA_SFH_NG_condensing_heating_Central_AC_Air_ducts_conditioned_uninsulated_Heating_DHW_combo_NG</t>
  </si>
  <si>
    <t>MA_SFH_btw_1975_2003_Occupied_uninsulated_Tight_envelope_HRV_SIP_Double_pane_lowE</t>
  </si>
  <si>
    <t>MA_SFH_NG_condensing_heating_Central_AC_Air_ducts_conditioned_uninsulated_HPWH</t>
  </si>
  <si>
    <t>MA_SFH_btw_1975_2003_Occupied_uninsulated_Tight_envelope_HRV_SIP_Triple_pane_lowE</t>
  </si>
  <si>
    <t>MA_SFH_NG_condensing_heating_Central_AC_Hot_water_insulated_Electric_resistance_DHW</t>
  </si>
  <si>
    <t>MA_SFH_btw_1975_2003_Occupied_uninsulated_Tight_envelope_HRV_Full_insulated_wall_cavity_Single_pane</t>
  </si>
  <si>
    <t>MA_SFH_NG_condensing_heating_Central_AC_Hot_water_insulated_NG_DHW</t>
  </si>
  <si>
    <t>MA_SFH_btw_1975_2003_Occupied_uninsulated_Tight_envelope_HRV_Full_insulated_wall_cavity_Single_pane_storm_windows</t>
  </si>
  <si>
    <t>MA_SFH_NG_condensing_heating_Central_AC_Hot_water_insulated_Heating_DHW_combo_NG</t>
  </si>
  <si>
    <t>MA_SFH_btw_1975_2003_Occupied_uninsulated_Tight_envelope_HRV_Full_insulated_wall_cavity_Double_pane_lowE</t>
  </si>
  <si>
    <t>MA_SFH_NG_condensing_heating_Central_AC_Hot_water_insulated_HPWH</t>
  </si>
  <si>
    <t>MA_SFH_btw_1975_2003_Occupied_uninsulated_Tight_envelope_HRV_Full_insulated_wall_cavity_Triple_pane_lowE</t>
  </si>
  <si>
    <t>MA_SFH_NG_condensing_heating_Central_AC_Air_ducts_insulated_Electric_resistance_DHW</t>
  </si>
  <si>
    <t>MA_SFH_btw_1975_2003_Occupied_uninsulated_Tight_envelope_HRV_Full_insulated_wall_cavity_exterior_Single_pane</t>
  </si>
  <si>
    <t>MA_SFH_NG_condensing_heating_Central_AC_Air_ducts_insulated_NG_DHW</t>
  </si>
  <si>
    <t>MA_SFH_btw_1975_2003_Occupied_uninsulated_Tight_envelope_HRV_Full_insulated_wall_cavity_exterior_Single_pane_storm_windows</t>
  </si>
  <si>
    <t>MA_SFH_NG_condensing_heating_Central_AC_Air_ducts_insulated_Heating_DHW_combo_NG</t>
  </si>
  <si>
    <t>MA_SFH_btw_1975_2003_Occupied_uninsulated_Tight_envelope_HRV_Full_insulated_wall_cavity_exterior_Double_pane_lowE</t>
  </si>
  <si>
    <t>MA_SFH_NG_condensing_heating_Central_AC_Air_ducts_insulated_HPWH</t>
  </si>
  <si>
    <t>MA_SFH_btw_1975_2003_Occupied_uninsulated_Tight_envelope_HRV_Full_insulated_wall_cavity_exterior_Triple_pane_lowE</t>
  </si>
  <si>
    <t>MA_SFH_NG_condensing_heating_Natural_ventilation_Steam_Electric_resistance_DHW</t>
  </si>
  <si>
    <t>MA_SFH_btw_1975_2003_Unoccupied_uninsulated_floor_Leaky_envelope_Uninsulated_walls_Single_pane</t>
  </si>
  <si>
    <t>MA_SFH_NG_condensing_heating_Natural_ventilation_Steam_NG_DHW</t>
  </si>
  <si>
    <t>MA_SFH_btw_1975_2003_Unoccupied_uninsulated_floor_Leaky_envelope_Uninsulated_walls_Single_pane_storm_windows</t>
  </si>
  <si>
    <t>MA_SFH_NG_condensing_heating_Natural_ventilation_Steam_Heating_DHW_combo_NG</t>
  </si>
  <si>
    <t>MA_SFH_btw_1975_2003_Unoccupied_uninsulated_floor_Leaky_envelope_Uninsulated_walls_Double_pane_lowE</t>
  </si>
  <si>
    <t>MA_SFH_NG_condensing_heating_Natural_ventilation_Steam_HPWH</t>
  </si>
  <si>
    <t>MA_SFH_btw_1975_2003_Unoccupied_uninsulated_floor_Leaky_envelope_Uninsulated_walls_Triple_pane_lowE</t>
  </si>
  <si>
    <t>MA_SFH_NG_condensing_heating_Natural_ventilation_Hot_water_uninsulated_Electric_resistance_DHW</t>
  </si>
  <si>
    <t>MA_SFH_btw_1975_2003_Unoccupied_uninsulated_floor_Leaky_envelope_Some_wall_insulation_Single_pane</t>
  </si>
  <si>
    <t>MA_SFH_NG_condensing_heating_Natural_ventilation_Hot_water_uninsulated_NG_DHW</t>
  </si>
  <si>
    <t>MA_SFH_btw_1975_2003_Unoccupied_uninsulated_floor_Leaky_envelope_Some_wall_insulation_Single_pane_storm_windows</t>
  </si>
  <si>
    <t>MA_SFH_NG_condensing_heating_Natural_ventilation_Hot_water_uninsulated_Heating_DHW_combo_NG</t>
  </si>
  <si>
    <t>MA_SFH_btw_1975_2003_Unoccupied_uninsulated_floor_Leaky_envelope_Some_wall_insulation_Double_pane_lowE</t>
  </si>
  <si>
    <t>MA_SFH_NG_condensing_heating_Natural_ventilation_Hot_water_uninsulated_HPWH</t>
  </si>
  <si>
    <t>MA_SFH_btw_1975_2003_Unoccupied_uninsulated_floor_Leaky_envelope_Some_wall_insulation_Triple_pane_lowE</t>
  </si>
  <si>
    <t>MA_SFH_NG_condensing_heating_Natural_ventilation_Air_ducts_uninsulated_Electric_resistance_DHW</t>
  </si>
  <si>
    <t>MA_SFH_btw_1975_2003_Unoccupied_uninsulated_floor_Leaky_envelope_SIP_Single_pane</t>
  </si>
  <si>
    <t>MA_SFH_NG_condensing_heating_Natural_ventilation_Air_ducts_uninsulated_NG_DHW</t>
  </si>
  <si>
    <t>MA_SFH_btw_1975_2003_Unoccupied_uninsulated_floor_Leaky_envelope_SIP_Single_pane_storm_windows</t>
  </si>
  <si>
    <t>MA_SFH_NG_condensing_heating_Natural_ventilation_Air_ducts_uninsulated_Heating_DHW_combo_NG</t>
  </si>
  <si>
    <t>MA_SFH_btw_1975_2003_Unoccupied_uninsulated_floor_Leaky_envelope_SIP_Double_pane_lowE</t>
  </si>
  <si>
    <t>MA_SFH_NG_condensing_heating_Natural_ventilation_Air_ducts_uninsulated_HPWH</t>
  </si>
  <si>
    <t>MA_SFH_btw_1975_2003_Unoccupied_uninsulated_floor_Leaky_envelope_SIP_Triple_pane_lowE</t>
  </si>
  <si>
    <t>MA_SFH_NG_condensing_heating_Natural_ventilation_Air_ducts_conditioned_uninsulated_Electric_resistance_DHW</t>
  </si>
  <si>
    <t>MA_SFH_btw_1975_2003_Unoccupied_uninsulated_floor_Leaky_envelope_Full_insulated_wall_cavity_Single_pane</t>
  </si>
  <si>
    <t>MA_SFH_NG_condensing_heating_Natural_ventilation_Air_ducts_conditioned_uninsulated_NG_DHW</t>
  </si>
  <si>
    <t>MA_SFH_btw_1975_2003_Unoccupied_uninsulated_floor_Leaky_envelope_Full_insulated_wall_cavity_Single_pane_storm_windows</t>
  </si>
  <si>
    <t>MA_SFH_NG_condensing_heating_Natural_ventilation_Air_ducts_conditioned_uninsulated_Heating_DHW_combo_NG</t>
  </si>
  <si>
    <t>MA_SFH_btw_1975_2003_Unoccupied_uninsulated_floor_Leaky_envelope_Full_insulated_wall_cavity_Double_pane_lowE</t>
  </si>
  <si>
    <t>MA_SFH_NG_condensing_heating_Natural_ventilation_Air_ducts_conditioned_uninsulated_HPWH</t>
  </si>
  <si>
    <t>MA_SFH_btw_1975_2003_Unoccupied_uninsulated_floor_Leaky_envelope_Full_insulated_wall_cavity_Triple_pane_lowE</t>
  </si>
  <si>
    <t>MA_SFH_NG_condensing_heating_Natural_ventilation_Hot_water_insulated_Electric_resistance_DHW</t>
  </si>
  <si>
    <t>MA_SFH_btw_1975_2003_Unoccupied_uninsulated_floor_Leaky_envelope_Full_insulated_wall_cavity_exterior_Single_pane</t>
  </si>
  <si>
    <t>MA_SFH_NG_condensing_heating_Natural_ventilation_Hot_water_insulated_NG_DHW</t>
  </si>
  <si>
    <t>MA_SFH_btw_1975_2003_Unoccupied_uninsulated_floor_Leaky_envelope_Full_insulated_wall_cavity_exterior_Single_pane_storm_windows</t>
  </si>
  <si>
    <t>MA_SFH_NG_condensing_heating_Natural_ventilation_Hot_water_insulated_Heating_DHW_combo_NG</t>
  </si>
  <si>
    <t>MA_SFH_btw_1975_2003_Unoccupied_uninsulated_floor_Leaky_envelope_Full_insulated_wall_cavity_exterior_Double_pane_lowE</t>
  </si>
  <si>
    <t>MA_SFH_NG_condensing_heating_Natural_ventilation_Hot_water_insulated_HPWH</t>
  </si>
  <si>
    <t>MA_SFH_btw_1975_2003_Unoccupied_uninsulated_floor_Leaky_envelope_Full_insulated_wall_cavity_exterior_Triple_pane_lowE</t>
  </si>
  <si>
    <t>MA_SFH_NG_condensing_heating_Natural_ventilation_Air_ducts_insulated_Electric_resistance_DHW</t>
  </si>
  <si>
    <t>MA_SFH_btw_1975_2003_Unoccupied_uninsulated_floor_Somewhat_leaky_envelope_Uninsulated_walls_Single_pane</t>
  </si>
  <si>
    <t>MA_SFH_NG_condensing_heating_Natural_ventilation_Air_ducts_insulated_NG_DHW</t>
  </si>
  <si>
    <t>MA_SFH_btw_1975_2003_Unoccupied_uninsulated_floor_Somewhat_leaky_envelope_Uninsulated_walls_Single_pane_storm_windows</t>
  </si>
  <si>
    <t>MA_SFH_NG_condensing_heating_Natural_ventilation_Air_ducts_insulated_Heating_DHW_combo_NG</t>
  </si>
  <si>
    <t>MA_SFH_btw_1975_2003_Unoccupied_uninsulated_floor_Somewhat_leaky_envelope_Uninsulated_walls_Double_pane_lowE</t>
  </si>
  <si>
    <t>MA_SFH_NG_condensing_heating_Natural_ventilation_Air_ducts_insulated_HPWH</t>
  </si>
  <si>
    <t>MA_SFH_btw_1975_2003_Unoccupied_uninsulated_floor_Somewhat_leaky_envelope_Uninsulated_walls_Triple_pane_lowE</t>
  </si>
  <si>
    <t>MA_SFH_NG_condensing_heating_Window_ASHP_Steam_Electric_resistance_DHW</t>
  </si>
  <si>
    <t>MA_SFH_btw_1975_2003_Unoccupied_uninsulated_floor_Somewhat_leaky_envelope_Some_wall_insulation_Single_pane</t>
  </si>
  <si>
    <t>MA_SFH_NG_condensing_heating_Window_ASHP_Steam_NG_DHW</t>
  </si>
  <si>
    <t>MA_SFH_btw_1975_2003_Unoccupied_uninsulated_floor_Somewhat_leaky_envelope_Some_wall_insulation_Single_pane_storm_windows</t>
  </si>
  <si>
    <t>MA_SFH_NG_condensing_heating_Window_ASHP_Steam_Heating_DHW_combo_NG</t>
  </si>
  <si>
    <t>MA_SFH_btw_1975_2003_Unoccupied_uninsulated_floor_Somewhat_leaky_envelope_Some_wall_insulation_Double_pane_lowE</t>
  </si>
  <si>
    <t>MA_SFH_NG_condensing_heating_Window_ASHP_Steam_HPWH</t>
  </si>
  <si>
    <t>MA_SFH_btw_1975_2003_Unoccupied_uninsulated_floor_Somewhat_leaky_envelope_Some_wall_insulation_Triple_pane_lowE</t>
  </si>
  <si>
    <t>MA_SFH_NG_condensing_heating_Window_ASHP_Hot_water_uninsulated_Electric_resistance_DHW</t>
  </si>
  <si>
    <t>MA_SFH_btw_1975_2003_Unoccupied_uninsulated_floor_Somewhat_leaky_envelope_SIP_Single_pane</t>
  </si>
  <si>
    <t>MA_SFH_NG_condensing_heating_Window_ASHP_Hot_water_uninsulated_NG_DHW</t>
  </si>
  <si>
    <t>MA_SFH_btw_1975_2003_Unoccupied_uninsulated_floor_Somewhat_leaky_envelope_SIP_Single_pane_storm_windows</t>
  </si>
  <si>
    <t>MA_SFH_NG_condensing_heating_Window_ASHP_Hot_water_uninsulated_Heating_DHW_combo_NG</t>
  </si>
  <si>
    <t>MA_SFH_btw_1975_2003_Unoccupied_uninsulated_floor_Somewhat_leaky_envelope_SIP_Double_pane_lowE</t>
  </si>
  <si>
    <t>MA_SFH_NG_condensing_heating_Window_ASHP_Hot_water_uninsulated_HPWH</t>
  </si>
  <si>
    <t>MA_SFH_btw_1975_2003_Unoccupied_uninsulated_floor_Somewhat_leaky_envelope_SIP_Triple_pane_lowE</t>
  </si>
  <si>
    <t>MA_SFH_NG_condensing_heating_Window_ASHP_Air_ducts_uninsulated_Electric_resistance_DHW</t>
  </si>
  <si>
    <t>MA_SFH_btw_1975_2003_Unoccupied_uninsulated_floor_Somewhat_leaky_envelope_Full_insulated_wall_cavity_Single_pane</t>
  </si>
  <si>
    <t>MA_SFH_NG_condensing_heating_Window_ASHP_Air_ducts_uninsulated_NG_DHW</t>
  </si>
  <si>
    <t>MA_SFH_btw_1975_2003_Unoccupied_uninsulated_floor_Somewhat_leaky_envelope_Full_insulated_wall_cavity_Single_pane_storm_windows</t>
  </si>
  <si>
    <t>MA_SFH_NG_condensing_heating_Window_ASHP_Air_ducts_uninsulated_Heating_DHW_combo_NG</t>
  </si>
  <si>
    <t>MA_SFH_btw_1975_2003_Unoccupied_uninsulated_floor_Somewhat_leaky_envelope_Full_insulated_wall_cavity_Double_pane_lowE</t>
  </si>
  <si>
    <t>MA_SFH_NG_condensing_heating_Window_ASHP_Air_ducts_uninsulated_HPWH</t>
  </si>
  <si>
    <t>MA_SFH_btw_1975_2003_Unoccupied_uninsulated_floor_Somewhat_leaky_envelope_Full_insulated_wall_cavity_Triple_pane_lowE</t>
  </si>
  <si>
    <t>MA_SFH_NG_condensing_heating_Window_ASHP_Air_ducts_conditioned_uninsulated_Electric_resistance_DHW</t>
  </si>
  <si>
    <t>MA_SFH_btw_1975_2003_Unoccupied_uninsulated_floor_Somewhat_leaky_envelope_Full_insulated_wall_cavity_exterior_Single_pane</t>
  </si>
  <si>
    <t>MA_SFH_NG_condensing_heating_Window_ASHP_Air_ducts_conditioned_uninsulated_NG_DHW</t>
  </si>
  <si>
    <t>MA_SFH_btw_1975_2003_Unoccupied_uninsulated_floor_Somewhat_leaky_envelope_Full_insulated_wall_cavity_exterior_Single_pane_storm_windows</t>
  </si>
  <si>
    <t>MA_SFH_NG_condensing_heating_Window_ASHP_Air_ducts_conditioned_uninsulated_Heating_DHW_combo_NG</t>
  </si>
  <si>
    <t>MA_SFH_btw_1975_2003_Unoccupied_uninsulated_floor_Somewhat_leaky_envelope_Full_insulated_wall_cavity_exterior_Double_pane_lowE</t>
  </si>
  <si>
    <t>MA_SFH_NG_condensing_heating_Window_ASHP_Air_ducts_conditioned_uninsulated_HPWH</t>
  </si>
  <si>
    <t>MA_SFH_btw_1975_2003_Unoccupied_uninsulated_floor_Somewhat_leaky_envelope_Full_insulated_wall_cavity_exterior_Triple_pane_lowE</t>
  </si>
  <si>
    <t>MA_SFH_NG_condensing_heating_Window_ASHP_Hot_water_insulated_Electric_resistance_DHW</t>
  </si>
  <si>
    <t>MA_SFH_btw_1975_2003_Unoccupied_uninsulated_floor_Tight_envelope_HRV_Uninsulated_walls_Single_pane</t>
  </si>
  <si>
    <t>MA_SFH_NG_condensing_heating_Window_ASHP_Hot_water_insulated_NG_DHW</t>
  </si>
  <si>
    <t>MA_SFH_btw_1975_2003_Unoccupied_uninsulated_floor_Tight_envelope_HRV_Uninsulated_walls_Single_pane_storm_windows</t>
  </si>
  <si>
    <t>MA_SFH_NG_condensing_heating_Window_ASHP_Hot_water_insulated_Heating_DHW_combo_NG</t>
  </si>
  <si>
    <t>MA_SFH_btw_1975_2003_Unoccupied_uninsulated_floor_Tight_envelope_HRV_Uninsulated_walls_Double_pane_lowE</t>
  </si>
  <si>
    <t>MA_SFH_NG_condensing_heating_Window_ASHP_Hot_water_insulated_HPWH</t>
  </si>
  <si>
    <t>MA_SFH_btw_1975_2003_Unoccupied_uninsulated_floor_Tight_envelope_HRV_Uninsulated_walls_Triple_pane_lowE</t>
  </si>
  <si>
    <t>MA_SFH_NG_condensing_heating_Window_ASHP_Air_ducts_insulated_Electric_resistance_DHW</t>
  </si>
  <si>
    <t>MA_SFH_btw_1975_2003_Unoccupied_uninsulated_floor_Tight_envelope_HRV_Some_wall_insulation_Single_pane</t>
  </si>
  <si>
    <t>MA_SFH_NG_condensing_heating_Window_ASHP_Air_ducts_insulated_NG_DHW</t>
  </si>
  <si>
    <t>MA_SFH_btw_1975_2003_Unoccupied_uninsulated_floor_Tight_envelope_HRV_Some_wall_insulation_Single_pane_storm_windows</t>
  </si>
  <si>
    <t>MA_SFH_NG_condensing_heating_Window_ASHP_Air_ducts_insulated_Heating_DHW_combo_NG</t>
  </si>
  <si>
    <t>MA_SFH_btw_1975_2003_Unoccupied_uninsulated_floor_Tight_envelope_HRV_Some_wall_insulation_Double_pane_lowE</t>
  </si>
  <si>
    <t>MA_SFH_NG_condensing_heating_Window_ASHP_Air_ducts_insulated_HPWH</t>
  </si>
  <si>
    <t>MA_SFH_btw_1975_2003_Unoccupied_uninsulated_floor_Tight_envelope_HRV_Some_wall_insulation_Triple_pane_lowE</t>
  </si>
  <si>
    <t>MA_SFH_NG_condensing_heating_ASHP_Steam_Electric_resistance_DHW</t>
  </si>
  <si>
    <t>MA_SFH_btw_1975_2003_Unoccupied_uninsulated_floor_Tight_envelope_HRV_SIP_Single_pane</t>
  </si>
  <si>
    <t>MA_SFH_NG_condensing_heating_ASHP_Steam_NG_DHW</t>
  </si>
  <si>
    <t>MA_SFH_btw_1975_2003_Unoccupied_uninsulated_floor_Tight_envelope_HRV_SIP_Single_pane_storm_windows</t>
  </si>
  <si>
    <t>MA_SFH_NG_condensing_heating_ASHP_Steam_Heating_DHW_combo_NG</t>
  </si>
  <si>
    <t>MA_SFH_btw_1975_2003_Unoccupied_uninsulated_floor_Tight_envelope_HRV_SIP_Double_pane_lowE</t>
  </si>
  <si>
    <t>MA_SFH_NG_condensing_heating_ASHP_Steam_HPWH</t>
  </si>
  <si>
    <t>MA_SFH_btw_1975_2003_Unoccupied_uninsulated_floor_Tight_envelope_HRV_SIP_Triple_pane_lowE</t>
  </si>
  <si>
    <t>MA_SFH_NG_condensing_heating_ASHP_Hot_water_uninsulated_Electric_resistance_DHW</t>
  </si>
  <si>
    <t>MA_SFH_btw_1975_2003_Unoccupied_uninsulated_floor_Tight_envelope_HRV_Full_insulated_wall_cavity_Single_pane</t>
  </si>
  <si>
    <t>MA_SFH_NG_condensing_heating_ASHP_Hot_water_uninsulated_NG_DHW</t>
  </si>
  <si>
    <t>MA_SFH_btw_1975_2003_Unoccupied_uninsulated_floor_Tight_envelope_HRV_Full_insulated_wall_cavity_Single_pane_storm_windows</t>
  </si>
  <si>
    <t>MA_SFH_NG_condensing_heating_ASHP_Hot_water_uninsulated_Heating_DHW_combo_NG</t>
  </si>
  <si>
    <t>MA_SFH_btw_1975_2003_Unoccupied_uninsulated_floor_Tight_envelope_HRV_Full_insulated_wall_cavity_Double_pane_lowE</t>
  </si>
  <si>
    <t>MA_SFH_NG_condensing_heating_ASHP_Hot_water_uninsulated_HPWH</t>
  </si>
  <si>
    <t>MA_SFH_btw_1975_2003_Unoccupied_uninsulated_floor_Tight_envelope_HRV_Full_insulated_wall_cavity_Triple_pane_lowE</t>
  </si>
  <si>
    <t>MA_SFH_NG_condensing_heating_ASHP_Air_ducts_uninsulated_Electric_resistance_DHW</t>
  </si>
  <si>
    <t>MA_SFH_btw_1975_2003_Unoccupied_uninsulated_floor_Tight_envelope_HRV_Full_insulated_wall_cavity_exterior_Single_pane</t>
  </si>
  <si>
    <t>MA_SFH_NG_condensing_heating_ASHP_Air_ducts_uninsulated_NG_DHW</t>
  </si>
  <si>
    <t>MA_SFH_btw_1975_2003_Unoccupied_uninsulated_floor_Tight_envelope_HRV_Full_insulated_wall_cavity_exterior_Single_pane_storm_windows</t>
  </si>
  <si>
    <t>MA_SFH_NG_condensing_heating_ASHP_Air_ducts_uninsulated_Heating_DHW_combo_NG</t>
  </si>
  <si>
    <t>MA_SFH_btw_1975_2003_Unoccupied_uninsulated_floor_Tight_envelope_HRV_Full_insulated_wall_cavity_exterior_Double_pane_lowE</t>
  </si>
  <si>
    <t>MA_SFH_NG_condensing_heating_ASHP_Air_ducts_uninsulated_HPWH</t>
  </si>
  <si>
    <t>MA_SFH_btw_1975_2003_Unoccupied_uninsulated_floor_Tight_envelope_HRV_Full_insulated_wall_cavity_exterior_Triple_pane_lowE</t>
  </si>
  <si>
    <t>MA_SFH_NG_condensing_heating_ASHP_Air_ducts_conditioned_uninsulated_Electric_resistance_DHW</t>
  </si>
  <si>
    <t>MA_SFH_btw_1975_2003_Unoccupied_insulated_floor_Leaky_envelope_Uninsulated_walls_Single_pane</t>
  </si>
  <si>
    <t>MA_SFH_NG_condensing_heating_ASHP_Air_ducts_conditioned_uninsulated_NG_DHW</t>
  </si>
  <si>
    <t>MA_SFH_btw_1975_2003_Unoccupied_insulated_floor_Leaky_envelope_Uninsulated_walls_Single_pane_storm_windows</t>
  </si>
  <si>
    <t>MA_SFH_NG_condensing_heating_ASHP_Air_ducts_conditioned_uninsulated_Heating_DHW_combo_NG</t>
  </si>
  <si>
    <t>MA_SFH_btw_1975_2003_Unoccupied_insulated_floor_Leaky_envelope_Uninsulated_walls_Double_pane_lowE</t>
  </si>
  <si>
    <t>MA_SFH_NG_condensing_heating_ASHP_Air_ducts_conditioned_uninsulated_HPWH</t>
  </si>
  <si>
    <t>MA_SFH_btw_1975_2003_Unoccupied_insulated_floor_Leaky_envelope_Uninsulated_walls_Triple_pane_lowE</t>
  </si>
  <si>
    <t>MA_SFH_NG_condensing_heating_ASHP_Hot_water_insulated_Electric_resistance_DHW</t>
  </si>
  <si>
    <t>MA_SFH_btw_1975_2003_Unoccupied_insulated_floor_Leaky_envelope_Some_wall_insulation_Single_pane</t>
  </si>
  <si>
    <t>MA_SFH_NG_condensing_heating_ASHP_Hot_water_insulated_NG_DHW</t>
  </si>
  <si>
    <t>MA_SFH_btw_1975_2003_Unoccupied_insulated_floor_Leaky_envelope_Some_wall_insulation_Single_pane_storm_windows</t>
  </si>
  <si>
    <t>MA_SFH_NG_condensing_heating_ASHP_Hot_water_insulated_Heating_DHW_combo_NG</t>
  </si>
  <si>
    <t>MA_SFH_btw_1975_2003_Unoccupied_insulated_floor_Leaky_envelope_Some_wall_insulation_Double_pane_lowE</t>
  </si>
  <si>
    <t>MA_SFH_NG_condensing_heating_ASHP_Hot_water_insulated_HPWH</t>
  </si>
  <si>
    <t>MA_SFH_btw_1975_2003_Unoccupied_insulated_floor_Leaky_envelope_Some_wall_insulation_Triple_pane_lowE</t>
  </si>
  <si>
    <t>MA_SFH_NG_condensing_heating_ASHP_Air_ducts_insulated_Electric_resistance_DHW</t>
  </si>
  <si>
    <t>MA_SFH_btw_1975_2003_Unoccupied_insulated_floor_Leaky_envelope_SIP_Single_pane</t>
  </si>
  <si>
    <t>MA_SFH_NG_condensing_heating_ASHP_Air_ducts_insulated_NG_DHW</t>
  </si>
  <si>
    <t>MA_SFH_btw_1975_2003_Unoccupied_insulated_floor_Leaky_envelope_SIP_Single_pane_storm_windows</t>
  </si>
  <si>
    <t>MA_SFH_NG_condensing_heating_ASHP_Air_ducts_insulated_Heating_DHW_combo_NG</t>
  </si>
  <si>
    <t>MA_SFH_btw_1975_2003_Unoccupied_insulated_floor_Leaky_envelope_SIP_Double_pane_lowE</t>
  </si>
  <si>
    <t>MA_SFH_NG_condensing_heating_ASHP_Air_ducts_insulated_HPWH</t>
  </si>
  <si>
    <t>MA_SFH_btw_1975_2003_Unoccupied_insulated_floor_Leaky_envelope_SIP_Triple_pane_lowE</t>
  </si>
  <si>
    <t>MA_SFH_NG_condensing_heating_GSHP_Steam_Electric_resistance_DHW</t>
  </si>
  <si>
    <t>MA_SFH_btw_1975_2003_Unoccupied_insulated_floor_Leaky_envelope_Full_insulated_wall_cavity_Single_pane</t>
  </si>
  <si>
    <t>MA_SFH_NG_condensing_heating_GSHP_Steam_NG_DHW</t>
  </si>
  <si>
    <t>MA_SFH_btw_1975_2003_Unoccupied_insulated_floor_Leaky_envelope_Full_insulated_wall_cavity_Single_pane_storm_windows</t>
  </si>
  <si>
    <t>MA_SFH_NG_condensing_heating_GSHP_Steam_Heating_DHW_combo_NG</t>
  </si>
  <si>
    <t>MA_SFH_btw_1975_2003_Unoccupied_insulated_floor_Leaky_envelope_Full_insulated_wall_cavity_Double_pane_lowE</t>
  </si>
  <si>
    <t>MA_SFH_NG_condensing_heating_GSHP_Steam_HPWH</t>
  </si>
  <si>
    <t>MA_SFH_btw_1975_2003_Unoccupied_insulated_floor_Leaky_envelope_Full_insulated_wall_cavity_Triple_pane_lowE</t>
  </si>
  <si>
    <t>MA_SFH_NG_condensing_heating_GSHP_Hot_water_uninsulated_Electric_resistance_DHW</t>
  </si>
  <si>
    <t>MA_SFH_btw_1975_2003_Unoccupied_insulated_floor_Leaky_envelope_Full_insulated_wall_cavity_exterior_Single_pane</t>
  </si>
  <si>
    <t>MA_SFH_NG_condensing_heating_GSHP_Hot_water_uninsulated_NG_DHW</t>
  </si>
  <si>
    <t>MA_SFH_btw_1975_2003_Unoccupied_insulated_floor_Leaky_envelope_Full_insulated_wall_cavity_exterior_Single_pane_storm_windows</t>
  </si>
  <si>
    <t>MA_SFH_NG_condensing_heating_GSHP_Hot_water_uninsulated_Heating_DHW_combo_NG</t>
  </si>
  <si>
    <t>MA_SFH_btw_1975_2003_Unoccupied_insulated_floor_Leaky_envelope_Full_insulated_wall_cavity_exterior_Double_pane_lowE</t>
  </si>
  <si>
    <t>MA_SFH_NG_condensing_heating_GSHP_Hot_water_uninsulated_HPWH</t>
  </si>
  <si>
    <t>MA_SFH_btw_1975_2003_Unoccupied_insulated_floor_Leaky_envelope_Full_insulated_wall_cavity_exterior_Triple_pane_lowE</t>
  </si>
  <si>
    <t>MA_SFH_NG_condensing_heating_GSHP_Air_ducts_uninsulated_Electric_resistance_DHW</t>
  </si>
  <si>
    <t>MA_SFH_btw_1975_2003_Unoccupied_insulated_floor_Somewhat_leaky_envelope_Uninsulated_walls_Single_pane</t>
  </si>
  <si>
    <t>MA_SFH_NG_condensing_heating_GSHP_Air_ducts_uninsulated_NG_DHW</t>
  </si>
  <si>
    <t>MA_SFH_btw_1975_2003_Unoccupied_insulated_floor_Somewhat_leaky_envelope_Uninsulated_walls_Single_pane_storm_windows</t>
  </si>
  <si>
    <t>MA_SFH_NG_condensing_heating_GSHP_Air_ducts_uninsulated_Heating_DHW_combo_NG</t>
  </si>
  <si>
    <t>MA_SFH_btw_1975_2003_Unoccupied_insulated_floor_Somewhat_leaky_envelope_Uninsulated_walls_Double_pane_lowE</t>
  </si>
  <si>
    <t>MA_SFH_NG_condensing_heating_GSHP_Air_ducts_uninsulated_HPWH</t>
  </si>
  <si>
    <t>MA_SFH_btw_1975_2003_Unoccupied_insulated_floor_Somewhat_leaky_envelope_Uninsulated_walls_Triple_pane_lowE</t>
  </si>
  <si>
    <t>MA_SFH_NG_condensing_heating_GSHP_Air_ducts_conditioned_uninsulated_Electric_resistance_DHW</t>
  </si>
  <si>
    <t>MA_SFH_btw_1975_2003_Unoccupied_insulated_floor_Somewhat_leaky_envelope_Some_wall_insulation_Single_pane</t>
  </si>
  <si>
    <t>MA_SFH_NG_condensing_heating_GSHP_Air_ducts_conditioned_uninsulated_NG_DHW</t>
  </si>
  <si>
    <t>MA_SFH_btw_1975_2003_Unoccupied_insulated_floor_Somewhat_leaky_envelope_Some_wall_insulation_Single_pane_storm_windows</t>
  </si>
  <si>
    <t>MA_SFH_NG_condensing_heating_GSHP_Air_ducts_conditioned_uninsulated_Heating_DHW_combo_NG</t>
  </si>
  <si>
    <t>MA_SFH_btw_1975_2003_Unoccupied_insulated_floor_Somewhat_leaky_envelope_Some_wall_insulation_Double_pane_lowE</t>
  </si>
  <si>
    <t>MA_SFH_NG_condensing_heating_GSHP_Air_ducts_conditioned_uninsulated_HPWH</t>
  </si>
  <si>
    <t>MA_SFH_btw_1975_2003_Unoccupied_insulated_floor_Somewhat_leaky_envelope_Some_wall_insulation_Triple_pane_lowE</t>
  </si>
  <si>
    <t>MA_SFH_NG_condensing_heating_GSHP_Hot_water_insulated_Electric_resistance_DHW</t>
  </si>
  <si>
    <t>MA_SFH_btw_1975_2003_Unoccupied_insulated_floor_Somewhat_leaky_envelope_SIP_Single_pane</t>
  </si>
  <si>
    <t>MA_SFH_NG_condensing_heating_GSHP_Hot_water_insulated_NG_DHW</t>
  </si>
  <si>
    <t>MA_SFH_btw_1975_2003_Unoccupied_insulated_floor_Somewhat_leaky_envelope_SIP_Single_pane_storm_windows</t>
  </si>
  <si>
    <t>MA_SFH_NG_condensing_heating_GSHP_Hot_water_insulated_Heating_DHW_combo_NG</t>
  </si>
  <si>
    <t>MA_SFH_btw_1975_2003_Unoccupied_insulated_floor_Somewhat_leaky_envelope_SIP_Double_pane_lowE</t>
  </si>
  <si>
    <t>MA_SFH_NG_condensing_heating_GSHP_Hot_water_insulated_HPWH</t>
  </si>
  <si>
    <t>MA_SFH_btw_1975_2003_Unoccupied_insulated_floor_Somewhat_leaky_envelope_SIP_Triple_pane_lowE</t>
  </si>
  <si>
    <t>MA_SFH_NG_condensing_heating_GSHP_Air_ducts_insulated_Electric_resistance_DHW</t>
  </si>
  <si>
    <t>MA_SFH_btw_1975_2003_Unoccupied_insulated_floor_Somewhat_leaky_envelope_Full_insulated_wall_cavity_Single_pane</t>
  </si>
  <si>
    <t>MA_SFH_NG_condensing_heating_GSHP_Air_ducts_insulated_NG_DHW</t>
  </si>
  <si>
    <t>MA_SFH_btw_1975_2003_Unoccupied_insulated_floor_Somewhat_leaky_envelope_Full_insulated_wall_cavity_Single_pane_storm_windows</t>
  </si>
  <si>
    <t>MA_SFH_NG_condensing_heating_GSHP_Air_ducts_insulated_Heating_DHW_combo_NG</t>
  </si>
  <si>
    <t>MA_SFH_btw_1975_2003_Unoccupied_insulated_floor_Somewhat_leaky_envelope_Full_insulated_wall_cavity_Double_pane_lowE</t>
  </si>
  <si>
    <t>MA_SFH_NG_condensing_heating_GSHP_Air_ducts_insulated_HPWH</t>
  </si>
  <si>
    <t>MA_SFH_btw_1975_2003_Unoccupied_insulated_floor_Somewhat_leaky_envelope_Full_insulated_wall_cavity_Triple_pane_lowE</t>
  </si>
  <si>
    <t>MA_SFH_ASHP_AC_window_Steam_Electric_resistance_DHW</t>
  </si>
  <si>
    <t>MA_SFH_btw_1975_2003_Unoccupied_insulated_floor_Somewhat_leaky_envelope_Full_insulated_wall_cavity_exterior_Single_pane</t>
  </si>
  <si>
    <t>MA_SFH_ASHP_AC_window_Steam_NG_DHW</t>
  </si>
  <si>
    <t>MA_SFH_btw_1975_2003_Unoccupied_insulated_floor_Somewhat_leaky_envelope_Full_insulated_wall_cavity_exterior_Single_pane_storm_windows</t>
  </si>
  <si>
    <t>MA_SFH_ASHP_AC_window_Steam_Heating_DHW_combo_NG</t>
  </si>
  <si>
    <t>MA_SFH_btw_1975_2003_Unoccupied_insulated_floor_Somewhat_leaky_envelope_Full_insulated_wall_cavity_exterior_Double_pane_lowE</t>
  </si>
  <si>
    <t>MA_SFH_ASHP_AC_window_Steam_HPWH</t>
  </si>
  <si>
    <t>MA_SFH_btw_1975_2003_Unoccupied_insulated_floor_Somewhat_leaky_envelope_Full_insulated_wall_cavity_exterior_Triple_pane_lowE</t>
  </si>
  <si>
    <t>MA_SFH_ASHP_AC_window_Hot_water_uninsulated_Electric_resistance_DHW</t>
  </si>
  <si>
    <t>MA_SFH_btw_1975_2003_Unoccupied_insulated_floor_Tight_envelope_HRV_Uninsulated_walls_Single_pane</t>
  </si>
  <si>
    <t>MA_SFH_ASHP_AC_window_Hot_water_uninsulated_NG_DHW</t>
  </si>
  <si>
    <t>MA_SFH_btw_1975_2003_Unoccupied_insulated_floor_Tight_envelope_HRV_Uninsulated_walls_Single_pane_storm_windows</t>
  </si>
  <si>
    <t>MA_SFH_ASHP_AC_window_Hot_water_uninsulated_Heating_DHW_combo_NG</t>
  </si>
  <si>
    <t>MA_SFH_btw_1975_2003_Unoccupied_insulated_floor_Tight_envelope_HRV_Uninsulated_walls_Double_pane_lowE</t>
  </si>
  <si>
    <t>MA_SFH_ASHP_AC_window_Hot_water_uninsulated_HPWH</t>
  </si>
  <si>
    <t>MA_SFH_btw_1975_2003_Unoccupied_insulated_floor_Tight_envelope_HRV_Uninsulated_walls_Triple_pane_lowE</t>
  </si>
  <si>
    <t>MA_SFH_ASHP_AC_window_Air_ducts_uninsulated_Electric_resistance_DHW</t>
  </si>
  <si>
    <t>MA_SFH_btw_1975_2003_Unoccupied_insulated_floor_Tight_envelope_HRV_Some_wall_insulation_Single_pane</t>
  </si>
  <si>
    <t>MA_SFH_ASHP_AC_window_Air_ducts_uninsulated_NG_DHW</t>
  </si>
  <si>
    <t>MA_SFH_btw_1975_2003_Unoccupied_insulated_floor_Tight_envelope_HRV_Some_wall_insulation_Single_pane_storm_windows</t>
  </si>
  <si>
    <t>MA_SFH_ASHP_AC_window_Air_ducts_uninsulated_Heating_DHW_combo_NG</t>
  </si>
  <si>
    <t>MA_SFH_btw_1975_2003_Unoccupied_insulated_floor_Tight_envelope_HRV_Some_wall_insulation_Double_pane_lowE</t>
  </si>
  <si>
    <t>MA_SFH_ASHP_AC_window_Air_ducts_uninsulated_HPWH</t>
  </si>
  <si>
    <t>MA_SFH_btw_1975_2003_Unoccupied_insulated_floor_Tight_envelope_HRV_Some_wall_insulation_Triple_pane_lowE</t>
  </si>
  <si>
    <t>MA_SFH_ASHP_AC_window_Air_ducts_conditioned_uninsulated_Electric_resistance_DHW</t>
  </si>
  <si>
    <t>MA_SFH_btw_1975_2003_Unoccupied_insulated_floor_Tight_envelope_HRV_SIP_Single_pane</t>
  </si>
  <si>
    <t>MA_SFH_ASHP_AC_window_Air_ducts_conditioned_uninsulated_NG_DHW</t>
  </si>
  <si>
    <t>MA_SFH_btw_1975_2003_Unoccupied_insulated_floor_Tight_envelope_HRV_SIP_Single_pane_storm_windows</t>
  </si>
  <si>
    <t>MA_SFH_ASHP_AC_window_Air_ducts_conditioned_uninsulated_Heating_DHW_combo_NG</t>
  </si>
  <si>
    <t>MA_SFH_btw_1975_2003_Unoccupied_insulated_floor_Tight_envelope_HRV_SIP_Double_pane_lowE</t>
  </si>
  <si>
    <t>MA_SFH_ASHP_AC_window_Air_ducts_conditioned_uninsulated_HPWH</t>
  </si>
  <si>
    <t>MA_SFH_btw_1975_2003_Unoccupied_insulated_floor_Tight_envelope_HRV_SIP_Triple_pane_lowE</t>
  </si>
  <si>
    <t>MA_SFH_ASHP_AC_window_Hot_water_insulated_Electric_resistance_DHW</t>
  </si>
  <si>
    <t>MA_SFH_btw_1975_2003_Unoccupied_insulated_floor_Tight_envelope_HRV_Full_insulated_wall_cavity_Single_pane</t>
  </si>
  <si>
    <t>MA_SFH_ASHP_AC_window_Hot_water_insulated_NG_DHW</t>
  </si>
  <si>
    <t>MA_SFH_btw_1975_2003_Unoccupied_insulated_floor_Tight_envelope_HRV_Full_insulated_wall_cavity_Single_pane_storm_windows</t>
  </si>
  <si>
    <t>MA_SFH_ASHP_AC_window_Hot_water_insulated_Heating_DHW_combo_NG</t>
  </si>
  <si>
    <t>MA_SFH_btw_1975_2003_Unoccupied_insulated_floor_Tight_envelope_HRV_Full_insulated_wall_cavity_Double_pane_lowE</t>
  </si>
  <si>
    <t>MA_SFH_ASHP_AC_window_Hot_water_insulated_HPWH</t>
  </si>
  <si>
    <t>MA_SFH_btw_1975_2003_Unoccupied_insulated_floor_Tight_envelope_HRV_Full_insulated_wall_cavity_Triple_pane_lowE</t>
  </si>
  <si>
    <t>MA_SFH_ASHP_AC_window_Air_ducts_insulated_Electric_resistance_DHW</t>
  </si>
  <si>
    <t>MA_SFH_btw_1975_2003_Unoccupied_insulated_floor_Tight_envelope_HRV_Full_insulated_wall_cavity_exterior_Single_pane</t>
  </si>
  <si>
    <t>MA_SFH_ASHP_AC_window_Air_ducts_insulated_NG_DHW</t>
  </si>
  <si>
    <t>MA_SFH_btw_1975_2003_Unoccupied_insulated_floor_Tight_envelope_HRV_Full_insulated_wall_cavity_exterior_Single_pane_storm_windows</t>
  </si>
  <si>
    <t>MA_SFH_ASHP_AC_window_Air_ducts_insulated_Heating_DHW_combo_NG</t>
  </si>
  <si>
    <t>MA_SFH_btw_1975_2003_Unoccupied_insulated_floor_Tight_envelope_HRV_Full_insulated_wall_cavity_exterior_Double_pane_lowE</t>
  </si>
  <si>
    <t>MA_SFH_ASHP_AC_window_Air_ducts_insulated_HPWH</t>
  </si>
  <si>
    <t>MA_SFH_btw_1975_2003_Unoccupied_insulated_floor_Tight_envelope_HRV_Full_insulated_wall_cavity_exterior_Triple_pane_lowE</t>
  </si>
  <si>
    <t>MA_SFH_ASHP_Central_AC_Steam_Electric_resistance_DHW</t>
  </si>
  <si>
    <t>MA_SFH_btw_1975_2003_Limited_insulation_roof_Leaky_envelope_Uninsulated_walls_Single_pane</t>
  </si>
  <si>
    <t>MA_SFH_ASHP_Central_AC_Steam_NG_DHW</t>
  </si>
  <si>
    <t>MA_SFH_btw_1975_2003_Limited_insulation_roof_Leaky_envelope_Uninsulated_walls_Single_pane_storm_windows</t>
  </si>
  <si>
    <t>MA_SFH_ASHP_Central_AC_Steam_Heating_DHW_combo_NG</t>
  </si>
  <si>
    <t>MA_SFH_btw_1975_2003_Limited_insulation_roof_Leaky_envelope_Uninsulated_walls_Double_pane_lowE</t>
  </si>
  <si>
    <t>MA_SFH_ASHP_Central_AC_Steam_HPWH</t>
  </si>
  <si>
    <t>MA_SFH_btw_1975_2003_Limited_insulation_roof_Leaky_envelope_Uninsulated_walls_Triple_pane_lowE</t>
  </si>
  <si>
    <t>MA_SFH_ASHP_Central_AC_Hot_water_uninsulated_Electric_resistance_DHW</t>
  </si>
  <si>
    <t>MA_SFH_btw_1975_2003_Limited_insulation_roof_Leaky_envelope_Some_wall_insulation_Single_pane</t>
  </si>
  <si>
    <t>MA_SFH_ASHP_Central_AC_Hot_water_uninsulated_NG_DHW</t>
  </si>
  <si>
    <t>MA_SFH_btw_1975_2003_Limited_insulation_roof_Leaky_envelope_Some_wall_insulation_Single_pane_storm_windows</t>
  </si>
  <si>
    <t>MA_SFH_ASHP_Central_AC_Hot_water_uninsulated_Heating_DHW_combo_NG</t>
  </si>
  <si>
    <t>MA_SFH_btw_1975_2003_Limited_insulation_roof_Leaky_envelope_Some_wall_insulation_Double_pane_lowE</t>
  </si>
  <si>
    <t>MA_SFH_ASHP_Central_AC_Hot_water_uninsulated_HPWH</t>
  </si>
  <si>
    <t>MA_SFH_btw_1975_2003_Limited_insulation_roof_Leaky_envelope_Some_wall_insulation_Triple_pane_lowE</t>
  </si>
  <si>
    <t>MA_SFH_ASHP_Central_AC_Air_ducts_uninsulated_Electric_resistance_DHW</t>
  </si>
  <si>
    <t>MA_SFH_btw_1975_2003_Limited_insulation_roof_Leaky_envelope_SIP_Single_pane</t>
  </si>
  <si>
    <t>MA_SFH_ASHP_Central_AC_Air_ducts_uninsulated_NG_DHW</t>
  </si>
  <si>
    <t>MA_SFH_btw_1975_2003_Limited_insulation_roof_Leaky_envelope_SIP_Single_pane_storm_windows</t>
  </si>
  <si>
    <t>MA_SFH_ASHP_Central_AC_Air_ducts_uninsulated_Heating_DHW_combo_NG</t>
  </si>
  <si>
    <t>MA_SFH_btw_1975_2003_Limited_insulation_roof_Leaky_envelope_SIP_Double_pane_lowE</t>
  </si>
  <si>
    <t>MA_SFH_ASHP_Central_AC_Air_ducts_uninsulated_HPWH</t>
  </si>
  <si>
    <t>MA_SFH_btw_1975_2003_Limited_insulation_roof_Leaky_envelope_SIP_Triple_pane_lowE</t>
  </si>
  <si>
    <t>MA_SFH_ASHP_Central_AC_Air_ducts_conditioned_uninsulated_Electric_resistance_DHW</t>
  </si>
  <si>
    <t>MA_SFH_btw_1975_2003_Limited_insulation_roof_Leaky_envelope_Full_insulated_wall_cavity_Single_pane</t>
  </si>
  <si>
    <t>MA_SFH_ASHP_Central_AC_Air_ducts_conditioned_uninsulated_NG_DHW</t>
  </si>
  <si>
    <t>MA_SFH_btw_1975_2003_Limited_insulation_roof_Leaky_envelope_Full_insulated_wall_cavity_Single_pane_storm_windows</t>
  </si>
  <si>
    <t>MA_SFH_ASHP_Central_AC_Air_ducts_conditioned_uninsulated_Heating_DHW_combo_NG</t>
  </si>
  <si>
    <t>MA_SFH_btw_1975_2003_Limited_insulation_roof_Leaky_envelope_Full_insulated_wall_cavity_Double_pane_lowE</t>
  </si>
  <si>
    <t>MA_SFH_ASHP_Central_AC_Air_ducts_conditioned_uninsulated_HPWH</t>
  </si>
  <si>
    <t>MA_SFH_btw_1975_2003_Limited_insulation_roof_Leaky_envelope_Full_insulated_wall_cavity_Triple_pane_lowE</t>
  </si>
  <si>
    <t>MA_SFH_ASHP_Central_AC_Hot_water_insulated_Electric_resistance_DHW</t>
  </si>
  <si>
    <t>MA_SFH_btw_1975_2003_Limited_insulation_roof_Leaky_envelope_Full_insulated_wall_cavity_exterior_Single_pane</t>
  </si>
  <si>
    <t>MA_SFH_ASHP_Central_AC_Hot_water_insulated_NG_DHW</t>
  </si>
  <si>
    <t>MA_SFH_btw_1975_2003_Limited_insulation_roof_Leaky_envelope_Full_insulated_wall_cavity_exterior_Single_pane_storm_windows</t>
  </si>
  <si>
    <t>MA_SFH_ASHP_Central_AC_Hot_water_insulated_Heating_DHW_combo_NG</t>
  </si>
  <si>
    <t>MA_SFH_btw_1975_2003_Limited_insulation_roof_Leaky_envelope_Full_insulated_wall_cavity_exterior_Double_pane_lowE</t>
  </si>
  <si>
    <t>MA_SFH_ASHP_Central_AC_Hot_water_insulated_HPWH</t>
  </si>
  <si>
    <t>MA_SFH_btw_1975_2003_Limited_insulation_roof_Leaky_envelope_Full_insulated_wall_cavity_exterior_Triple_pane_lowE</t>
  </si>
  <si>
    <t>MA_SFH_ASHP_Central_AC_Air_ducts_insulated_Electric_resistance_DHW</t>
  </si>
  <si>
    <t>MA_SFH_btw_1975_2003_Limited_insulation_roof_Somewhat_leaky_envelope_Uninsulated_walls_Single_pane</t>
  </si>
  <si>
    <t>MA_SFH_ASHP_Central_AC_Air_ducts_insulated_NG_DHW</t>
  </si>
  <si>
    <t>MA_SFH_btw_1975_2003_Limited_insulation_roof_Somewhat_leaky_envelope_Uninsulated_walls_Single_pane_storm_windows</t>
  </si>
  <si>
    <t>MA_SFH_ASHP_Central_AC_Air_ducts_insulated_Heating_DHW_combo_NG</t>
  </si>
  <si>
    <t>MA_SFH_btw_1975_2003_Limited_insulation_roof_Somewhat_leaky_envelope_Uninsulated_walls_Double_pane_lowE</t>
  </si>
  <si>
    <t>MA_SFH_ASHP_Central_AC_Air_ducts_insulated_HPWH</t>
  </si>
  <si>
    <t>MA_SFH_btw_1975_2003_Limited_insulation_roof_Somewhat_leaky_envelope_Uninsulated_walls_Triple_pane_lowE</t>
  </si>
  <si>
    <t>MA_SFH_ASHP_Natural_ventilation_Steam_Electric_resistance_DHW</t>
  </si>
  <si>
    <t>MA_SFH_btw_1975_2003_Limited_insulation_roof_Somewhat_leaky_envelope_Some_wall_insulation_Single_pane</t>
  </si>
  <si>
    <t>MA_SFH_ASHP_Natural_ventilation_Steam_NG_DHW</t>
  </si>
  <si>
    <t>MA_SFH_btw_1975_2003_Limited_insulation_roof_Somewhat_leaky_envelope_Some_wall_insulation_Single_pane_storm_windows</t>
  </si>
  <si>
    <t>MA_SFH_ASHP_Natural_ventilation_Steam_Heating_DHW_combo_NG</t>
  </si>
  <si>
    <t>MA_SFH_btw_1975_2003_Limited_insulation_roof_Somewhat_leaky_envelope_Some_wall_insulation_Double_pane_lowE</t>
  </si>
  <si>
    <t>MA_SFH_ASHP_Natural_ventilation_Steam_HPWH</t>
  </si>
  <si>
    <t>MA_SFH_btw_1975_2003_Limited_insulation_roof_Somewhat_leaky_envelope_Some_wall_insulation_Triple_pane_lowE</t>
  </si>
  <si>
    <t>MA_SFH_ASHP_Natural_ventilation_Hot_water_uninsulated_Electric_resistance_DHW</t>
  </si>
  <si>
    <t>MA_SFH_btw_1975_2003_Limited_insulation_roof_Somewhat_leaky_envelope_SIP_Single_pane</t>
  </si>
  <si>
    <t>MA_SFH_ASHP_Natural_ventilation_Hot_water_uninsulated_NG_DHW</t>
  </si>
  <si>
    <t>MA_SFH_btw_1975_2003_Limited_insulation_roof_Somewhat_leaky_envelope_SIP_Single_pane_storm_windows</t>
  </si>
  <si>
    <t>MA_SFH_ASHP_Natural_ventilation_Hot_water_uninsulated_Heating_DHW_combo_NG</t>
  </si>
  <si>
    <t>MA_SFH_btw_1975_2003_Limited_insulation_roof_Somewhat_leaky_envelope_SIP_Double_pane_lowE</t>
  </si>
  <si>
    <t>MA_SFH_ASHP_Natural_ventilation_Hot_water_uninsulated_HPWH</t>
  </si>
  <si>
    <t>MA_SFH_btw_1975_2003_Limited_insulation_roof_Somewhat_leaky_envelope_SIP_Triple_pane_lowE</t>
  </si>
  <si>
    <t>MA_SFH_ASHP_Natural_ventilation_Air_ducts_uninsulated_Electric_resistance_DHW</t>
  </si>
  <si>
    <t>MA_SFH_btw_1975_2003_Limited_insulation_roof_Somewhat_leaky_envelope_Full_insulated_wall_cavity_Single_pane</t>
  </si>
  <si>
    <t>MA_SFH_ASHP_Natural_ventilation_Air_ducts_uninsulated_NG_DHW</t>
  </si>
  <si>
    <t>MA_SFH_btw_1975_2003_Limited_insulation_roof_Somewhat_leaky_envelope_Full_insulated_wall_cavity_Single_pane_storm_windows</t>
  </si>
  <si>
    <t>MA_SFH_ASHP_Natural_ventilation_Air_ducts_uninsulated_Heating_DHW_combo_NG</t>
  </si>
  <si>
    <t>MA_SFH_btw_1975_2003_Limited_insulation_roof_Somewhat_leaky_envelope_Full_insulated_wall_cavity_Double_pane_lowE</t>
  </si>
  <si>
    <t>MA_SFH_ASHP_Natural_ventilation_Air_ducts_uninsulated_HPWH</t>
  </si>
  <si>
    <t>MA_SFH_btw_1975_2003_Limited_insulation_roof_Somewhat_leaky_envelope_Full_insulated_wall_cavity_Triple_pane_lowE</t>
  </si>
  <si>
    <t>MA_SFH_ASHP_Natural_ventilation_Air_ducts_conditioned_uninsulated_Electric_resistance_DHW</t>
  </si>
  <si>
    <t>MA_SFH_btw_1975_2003_Limited_insulation_roof_Somewhat_leaky_envelope_Full_insulated_wall_cavity_exterior_Single_pane</t>
  </si>
  <si>
    <t>MA_SFH_ASHP_Natural_ventilation_Air_ducts_conditioned_uninsulated_NG_DHW</t>
  </si>
  <si>
    <t>MA_SFH_btw_1975_2003_Limited_insulation_roof_Somewhat_leaky_envelope_Full_insulated_wall_cavity_exterior_Single_pane_storm_windows</t>
  </si>
  <si>
    <t>MA_SFH_ASHP_Natural_ventilation_Air_ducts_conditioned_uninsulated_Heating_DHW_combo_NG</t>
  </si>
  <si>
    <t>MA_SFH_btw_1975_2003_Limited_insulation_roof_Somewhat_leaky_envelope_Full_insulated_wall_cavity_exterior_Double_pane_lowE</t>
  </si>
  <si>
    <t>MA_SFH_ASHP_Natural_ventilation_Air_ducts_conditioned_uninsulated_HPWH</t>
  </si>
  <si>
    <t>MA_SFH_btw_1975_2003_Limited_insulation_roof_Somewhat_leaky_envelope_Full_insulated_wall_cavity_exterior_Triple_pane_lowE</t>
  </si>
  <si>
    <t>MA_SFH_ASHP_Natural_ventilation_Hot_water_insulated_Electric_resistance_DHW</t>
  </si>
  <si>
    <t>MA_SFH_btw_1975_2003_Limited_insulation_roof_Tight_envelope_HRV_Uninsulated_walls_Single_pane</t>
  </si>
  <si>
    <t>MA_SFH_ASHP_Natural_ventilation_Hot_water_insulated_NG_DHW</t>
  </si>
  <si>
    <t>MA_SFH_btw_1975_2003_Limited_insulation_roof_Tight_envelope_HRV_Uninsulated_walls_Single_pane_storm_windows</t>
  </si>
  <si>
    <t>MA_SFH_ASHP_Natural_ventilation_Hot_water_insulated_Heating_DHW_combo_NG</t>
  </si>
  <si>
    <t>MA_SFH_btw_1975_2003_Limited_insulation_roof_Tight_envelope_HRV_Uninsulated_walls_Double_pane_lowE</t>
  </si>
  <si>
    <t>MA_SFH_ASHP_Natural_ventilation_Hot_water_insulated_HPWH</t>
  </si>
  <si>
    <t>MA_SFH_btw_1975_2003_Limited_insulation_roof_Tight_envelope_HRV_Uninsulated_walls_Triple_pane_lowE</t>
  </si>
  <si>
    <t>MA_SFH_ASHP_Natural_ventilation_Air_ducts_insulated_Electric_resistance_DHW</t>
  </si>
  <si>
    <t>MA_SFH_btw_1975_2003_Limited_insulation_roof_Tight_envelope_HRV_Some_wall_insulation_Single_pane</t>
  </si>
  <si>
    <t>MA_SFH_ASHP_Natural_ventilation_Air_ducts_insulated_NG_DHW</t>
  </si>
  <si>
    <t>MA_SFH_btw_1975_2003_Limited_insulation_roof_Tight_envelope_HRV_Some_wall_insulation_Single_pane_storm_windows</t>
  </si>
  <si>
    <t>MA_SFH_ASHP_Natural_ventilation_Air_ducts_insulated_Heating_DHW_combo_NG</t>
  </si>
  <si>
    <t>MA_SFH_btw_1975_2003_Limited_insulation_roof_Tight_envelope_HRV_Some_wall_insulation_Double_pane_lowE</t>
  </si>
  <si>
    <t>MA_SFH_ASHP_Natural_ventilation_Air_ducts_insulated_HPWH</t>
  </si>
  <si>
    <t>MA_SFH_btw_1975_2003_Limited_insulation_roof_Tight_envelope_HRV_Some_wall_insulation_Triple_pane_lowE</t>
  </si>
  <si>
    <t>MA_SFH_ASHP_Window_ASHP_Steam_Electric_resistance_DHW</t>
  </si>
  <si>
    <t>MA_SFH_btw_1975_2003_Limited_insulation_roof_Tight_envelope_HRV_SIP_Single_pane</t>
  </si>
  <si>
    <t>MA_SFH_ASHP_Window_ASHP_Steam_NG_DHW</t>
  </si>
  <si>
    <t>MA_SFH_btw_1975_2003_Limited_insulation_roof_Tight_envelope_HRV_SIP_Single_pane_storm_windows</t>
  </si>
  <si>
    <t>MA_SFH_ASHP_Window_ASHP_Steam_Heating_DHW_combo_NG</t>
  </si>
  <si>
    <t>MA_SFH_btw_1975_2003_Limited_insulation_roof_Tight_envelope_HRV_SIP_Double_pane_lowE</t>
  </si>
  <si>
    <t>MA_SFH_ASHP_Window_ASHP_Steam_HPWH</t>
  </si>
  <si>
    <t>MA_SFH_btw_1975_2003_Limited_insulation_roof_Tight_envelope_HRV_SIP_Triple_pane_lowE</t>
  </si>
  <si>
    <t>MA_SFH_ASHP_Window_ASHP_Hot_water_uninsulated_Electric_resistance_DHW</t>
  </si>
  <si>
    <t>MA_SFH_btw_1975_2003_Limited_insulation_roof_Tight_envelope_HRV_Full_insulated_wall_cavity_Single_pane</t>
  </si>
  <si>
    <t>MA_SFH_ASHP_Window_ASHP_Hot_water_uninsulated_NG_DHW</t>
  </si>
  <si>
    <t>MA_SFH_btw_1975_2003_Limited_insulation_roof_Tight_envelope_HRV_Full_insulated_wall_cavity_Single_pane_storm_windows</t>
  </si>
  <si>
    <t>MA_SFH_ASHP_Window_ASHP_Hot_water_uninsulated_Heating_DHW_combo_NG</t>
  </si>
  <si>
    <t>MA_SFH_btw_1975_2003_Limited_insulation_roof_Tight_envelope_HRV_Full_insulated_wall_cavity_Double_pane_lowE</t>
  </si>
  <si>
    <t>MA_SFH_ASHP_Window_ASHP_Hot_water_uninsulated_HPWH</t>
  </si>
  <si>
    <t>MA_SFH_btw_1975_2003_Limited_insulation_roof_Tight_envelope_HRV_Full_insulated_wall_cavity_Triple_pane_lowE</t>
  </si>
  <si>
    <t>MA_SFH_ASHP_Window_ASHP_Air_ducts_uninsulated_Electric_resistance_DHW</t>
  </si>
  <si>
    <t>MA_SFH_btw_1975_2003_Limited_insulation_roof_Tight_envelope_HRV_Full_insulated_wall_cavity_exterior_Single_pane</t>
  </si>
  <si>
    <t>MA_SFH_ASHP_Window_ASHP_Air_ducts_uninsulated_NG_DHW</t>
  </si>
  <si>
    <t>MA_SFH_btw_1975_2003_Limited_insulation_roof_Tight_envelope_HRV_Full_insulated_wall_cavity_exterior_Single_pane_storm_windows</t>
  </si>
  <si>
    <t>MA_SFH_ASHP_Window_ASHP_Air_ducts_uninsulated_Heating_DHW_combo_NG</t>
  </si>
  <si>
    <t>MA_SFH_btw_1975_2003_Limited_insulation_roof_Tight_envelope_HRV_Full_insulated_wall_cavity_exterior_Double_pane_lowE</t>
  </si>
  <si>
    <t>MA_SFH_ASHP_Window_ASHP_Air_ducts_uninsulated_HPWH</t>
  </si>
  <si>
    <t>MA_SFH_btw_1975_2003_Limited_insulation_roof_Tight_envelope_HRV_Full_insulated_wall_cavity_exterior_Triple_pane_lowE</t>
  </si>
  <si>
    <t>MA_SFH_ASHP_Window_ASHP_Air_ducts_conditioned_uninsulated_Electric_resistance_DHW</t>
  </si>
  <si>
    <t>MA_SFH_btw_1975_2003_Insulation_roof_Leaky_envelope_Uninsulated_walls_Single_pane</t>
  </si>
  <si>
    <t>MA_SFH_ASHP_Window_ASHP_Air_ducts_conditioned_uninsulated_NG_DHW</t>
  </si>
  <si>
    <t>MA_SFH_btw_1975_2003_Insulation_roof_Leaky_envelope_Uninsulated_walls_Single_pane_storm_windows</t>
  </si>
  <si>
    <t>MA_SFH_ASHP_Window_ASHP_Air_ducts_conditioned_uninsulated_Heating_DHW_combo_NG</t>
  </si>
  <si>
    <t>MA_SFH_btw_1975_2003_Insulation_roof_Leaky_envelope_Uninsulated_walls_Double_pane_lowE</t>
  </si>
  <si>
    <t>MA_SFH_ASHP_Window_ASHP_Air_ducts_conditioned_uninsulated_HPWH</t>
  </si>
  <si>
    <t>MA_SFH_btw_1975_2003_Insulation_roof_Leaky_envelope_Uninsulated_walls_Triple_pane_lowE</t>
  </si>
  <si>
    <t>MA_SFH_ASHP_Window_ASHP_Hot_water_insulated_Electric_resistance_DHW</t>
  </si>
  <si>
    <t>MA_SFH_btw_1975_2003_Insulation_roof_Leaky_envelope_Some_wall_insulation_Single_pane</t>
  </si>
  <si>
    <t>MA_SFH_ASHP_Window_ASHP_Hot_water_insulated_NG_DHW</t>
  </si>
  <si>
    <t>MA_SFH_btw_1975_2003_Insulation_roof_Leaky_envelope_Some_wall_insulation_Single_pane_storm_windows</t>
  </si>
  <si>
    <t>MA_SFH_ASHP_Window_ASHP_Hot_water_insulated_Heating_DHW_combo_NG</t>
  </si>
  <si>
    <t>MA_SFH_btw_1975_2003_Insulation_roof_Leaky_envelope_Some_wall_insulation_Double_pane_lowE</t>
  </si>
  <si>
    <t>MA_SFH_ASHP_Window_ASHP_Hot_water_insulated_HPWH</t>
  </si>
  <si>
    <t>MA_SFH_btw_1975_2003_Insulation_roof_Leaky_envelope_Some_wall_insulation_Triple_pane_lowE</t>
  </si>
  <si>
    <t>MA_SFH_ASHP_Window_ASHP_Air_ducts_insulated_Electric_resistance_DHW</t>
  </si>
  <si>
    <t>MA_SFH_btw_1975_2003_Insulation_roof_Leaky_envelope_SIP_Single_pane</t>
  </si>
  <si>
    <t>MA_SFH_ASHP_Window_ASHP_Air_ducts_insulated_NG_DHW</t>
  </si>
  <si>
    <t>MA_SFH_btw_1975_2003_Insulation_roof_Leaky_envelope_SIP_Single_pane_storm_windows</t>
  </si>
  <si>
    <t>MA_SFH_ASHP_Window_ASHP_Air_ducts_insulated_Heating_DHW_combo_NG</t>
  </si>
  <si>
    <t>MA_SFH_btw_1975_2003_Insulation_roof_Leaky_envelope_SIP_Double_pane_lowE</t>
  </si>
  <si>
    <t>MA_SFH_ASHP_Window_ASHP_Air_ducts_insulated_HPWH</t>
  </si>
  <si>
    <t>MA_SFH_btw_1975_2003_Insulation_roof_Leaky_envelope_SIP_Triple_pane_lowE</t>
  </si>
  <si>
    <t>MA_SFH_ASHP_ASHP_Steam_Electric_resistance_DHW</t>
  </si>
  <si>
    <t>MA_SFH_btw_1975_2003_Insulation_roof_Leaky_envelope_Full_insulated_wall_cavity_Single_pane</t>
  </si>
  <si>
    <t>MA_SFH_ASHP_ASHP_Steam_NG_DHW</t>
  </si>
  <si>
    <t>MA_SFH_btw_1975_2003_Insulation_roof_Leaky_envelope_Full_insulated_wall_cavity_Single_pane_storm_windows</t>
  </si>
  <si>
    <t>MA_SFH_ASHP_ASHP_Steam_Heating_DHW_combo_NG</t>
  </si>
  <si>
    <t>MA_SFH_btw_1975_2003_Insulation_roof_Leaky_envelope_Full_insulated_wall_cavity_Double_pane_lowE</t>
  </si>
  <si>
    <t>MA_SFH_ASHP_ASHP_Steam_HPWH</t>
  </si>
  <si>
    <t>MA_SFH_btw_1975_2003_Insulation_roof_Leaky_envelope_Full_insulated_wall_cavity_Triple_pane_lowE</t>
  </si>
  <si>
    <t>MA_SFH_ASHP_ASHP_Hot_water_uninsulated_Electric_resistance_DHW</t>
  </si>
  <si>
    <t>MA_SFH_btw_1975_2003_Insulation_roof_Leaky_envelope_Full_insulated_wall_cavity_exterior_Single_pane</t>
  </si>
  <si>
    <t>MA_SFH_ASHP_ASHP_Hot_water_uninsulated_NG_DHW</t>
  </si>
  <si>
    <t>MA_SFH_btw_1975_2003_Insulation_roof_Leaky_envelope_Full_insulated_wall_cavity_exterior_Single_pane_storm_windows</t>
  </si>
  <si>
    <t>MA_SFH_ASHP_ASHP_Hot_water_uninsulated_Heating_DHW_combo_NG</t>
  </si>
  <si>
    <t>MA_SFH_btw_1975_2003_Insulation_roof_Leaky_envelope_Full_insulated_wall_cavity_exterior_Double_pane_lowE</t>
  </si>
  <si>
    <t>MA_SFH_ASHP_ASHP_Hot_water_uninsulated_HPWH</t>
  </si>
  <si>
    <t>MA_SFH_btw_1975_2003_Insulation_roof_Leaky_envelope_Full_insulated_wall_cavity_exterior_Triple_pane_lowE</t>
  </si>
  <si>
    <t>MA_SFH_ASHP_ASHP_Air_ducts_uninsulated_Electric_resistance_DHW</t>
  </si>
  <si>
    <t>MA_SFH_btw_1975_2003_Insulation_roof_Somewhat_leaky_envelope_Uninsulated_walls_Single_pane</t>
  </si>
  <si>
    <t>MA_SFH_ASHP_ASHP_Air_ducts_uninsulated_NG_DHW</t>
  </si>
  <si>
    <t>MA_SFH_btw_1975_2003_Insulation_roof_Somewhat_leaky_envelope_Uninsulated_walls_Single_pane_storm_windows</t>
  </si>
  <si>
    <t>MA_SFH_ASHP_ASHP_Air_ducts_uninsulated_Heating_DHW_combo_NG</t>
  </si>
  <si>
    <t>MA_SFH_btw_1975_2003_Insulation_roof_Somewhat_leaky_envelope_Uninsulated_walls_Double_pane_lowE</t>
  </si>
  <si>
    <t>MA_SFH_ASHP_ASHP_Air_ducts_uninsulated_HPWH</t>
  </si>
  <si>
    <t>MA_SFH_btw_1975_2003_Insulation_roof_Somewhat_leaky_envelope_Uninsulated_walls_Triple_pane_lowE</t>
  </si>
  <si>
    <t>MA_SFH_ASHP_ASHP_Air_ducts_conditioned_uninsulated_Electric_resistance_DHW</t>
  </si>
  <si>
    <t>MA_SFH_btw_1975_2003_Insulation_roof_Somewhat_leaky_envelope_Some_wall_insulation_Single_pane</t>
  </si>
  <si>
    <t>MA_SFH_ASHP_ASHP_Air_ducts_conditioned_uninsulated_NG_DHW</t>
  </si>
  <si>
    <t>MA_SFH_btw_1975_2003_Insulation_roof_Somewhat_leaky_envelope_Some_wall_insulation_Single_pane_storm_windows</t>
  </si>
  <si>
    <t>MA_SFH_ASHP_ASHP_Air_ducts_conditioned_uninsulated_Heating_DHW_combo_NG</t>
  </si>
  <si>
    <t>MA_SFH_btw_1975_2003_Insulation_roof_Somewhat_leaky_envelope_Some_wall_insulation_Double_pane_lowE</t>
  </si>
  <si>
    <t>MA_SFH_ASHP_ASHP_Air_ducts_conditioned_uninsulated_HPWH</t>
  </si>
  <si>
    <t>MA_SFH_btw_1975_2003_Insulation_roof_Somewhat_leaky_envelope_Some_wall_insulation_Triple_pane_lowE</t>
  </si>
  <si>
    <t>MA_SFH_ASHP_ASHP_Hot_water_insulated_Electric_resistance_DHW</t>
  </si>
  <si>
    <t>MA_SFH_btw_1975_2003_Insulation_roof_Somewhat_leaky_envelope_SIP_Single_pane</t>
  </si>
  <si>
    <t>MA_SFH_ASHP_ASHP_Hot_water_insulated_NG_DHW</t>
  </si>
  <si>
    <t>MA_SFH_btw_1975_2003_Insulation_roof_Somewhat_leaky_envelope_SIP_Single_pane_storm_windows</t>
  </si>
  <si>
    <t>MA_SFH_ASHP_ASHP_Hot_water_insulated_Heating_DHW_combo_NG</t>
  </si>
  <si>
    <t>MA_SFH_btw_1975_2003_Insulation_roof_Somewhat_leaky_envelope_SIP_Double_pane_lowE</t>
  </si>
  <si>
    <t>MA_SFH_ASHP_ASHP_Hot_water_insulated_HPWH</t>
  </si>
  <si>
    <t>MA_SFH_btw_1975_2003_Insulation_roof_Somewhat_leaky_envelope_SIP_Triple_pane_lowE</t>
  </si>
  <si>
    <t>MA_SFH_ASHP_ASHP_Air_ducts_insulated_Electric_resistance_DHW</t>
  </si>
  <si>
    <t>MA_SFH_btw_1975_2003_Insulation_roof_Somewhat_leaky_envelope_Full_insulated_wall_cavity_Single_pane</t>
  </si>
  <si>
    <t>MA_SFH_ASHP_ASHP_Air_ducts_insulated_NG_DHW</t>
  </si>
  <si>
    <t>MA_SFH_btw_1975_2003_Insulation_roof_Somewhat_leaky_envelope_Full_insulated_wall_cavity_Single_pane_storm_windows</t>
  </si>
  <si>
    <t>MA_SFH_ASHP_ASHP_Air_ducts_insulated_Heating_DHW_combo_NG</t>
  </si>
  <si>
    <t>MA_SFH_btw_1975_2003_Insulation_roof_Somewhat_leaky_envelope_Full_insulated_wall_cavity_Double_pane_lowE</t>
  </si>
  <si>
    <t>MA_SFH_ASHP_ASHP_Air_ducts_insulated_HPWH</t>
  </si>
  <si>
    <t>MA_SFH_btw_1975_2003_Insulation_roof_Somewhat_leaky_envelope_Full_insulated_wall_cavity_Triple_pane_lowE</t>
  </si>
  <si>
    <t>MA_SFH_ASHP_GSHP_Steam_Electric_resistance_DHW</t>
  </si>
  <si>
    <t>MA_SFH_btw_1975_2003_Insulation_roof_Somewhat_leaky_envelope_Full_insulated_wall_cavity_exterior_Single_pane</t>
  </si>
  <si>
    <t>MA_SFH_ASHP_GSHP_Steam_NG_DHW</t>
  </si>
  <si>
    <t>MA_SFH_btw_1975_2003_Insulation_roof_Somewhat_leaky_envelope_Full_insulated_wall_cavity_exterior_Single_pane_storm_windows</t>
  </si>
  <si>
    <t>MA_SFH_ASHP_GSHP_Steam_Heating_DHW_combo_NG</t>
  </si>
  <si>
    <t>MA_SFH_btw_1975_2003_Insulation_roof_Somewhat_leaky_envelope_Full_insulated_wall_cavity_exterior_Double_pane_lowE</t>
  </si>
  <si>
    <t>MA_SFH_ASHP_GSHP_Steam_HPWH</t>
  </si>
  <si>
    <t>MA_SFH_btw_1975_2003_Insulation_roof_Somewhat_leaky_envelope_Full_insulated_wall_cavity_exterior_Triple_pane_lowE</t>
  </si>
  <si>
    <t>MA_SFH_ASHP_GSHP_Hot_water_uninsulated_Electric_resistance_DHW</t>
  </si>
  <si>
    <t>MA_SFH_btw_1975_2003_Insulation_roof_Tight_envelope_HRV_Uninsulated_walls_Single_pane</t>
  </si>
  <si>
    <t>MA_SFH_ASHP_GSHP_Hot_water_uninsulated_NG_DHW</t>
  </si>
  <si>
    <t>MA_SFH_btw_1975_2003_Insulation_roof_Tight_envelope_HRV_Uninsulated_walls_Single_pane_storm_windows</t>
  </si>
  <si>
    <t>MA_SFH_ASHP_GSHP_Hot_water_uninsulated_Heating_DHW_combo_NG</t>
  </si>
  <si>
    <t>MA_SFH_btw_1975_2003_Insulation_roof_Tight_envelope_HRV_Uninsulated_walls_Double_pane_lowE</t>
  </si>
  <si>
    <t>MA_SFH_ASHP_GSHP_Hot_water_uninsulated_HPWH</t>
  </si>
  <si>
    <t>MA_SFH_btw_1975_2003_Insulation_roof_Tight_envelope_HRV_Uninsulated_walls_Triple_pane_lowE</t>
  </si>
  <si>
    <t>MA_SFH_ASHP_GSHP_Air_ducts_uninsulated_Electric_resistance_DHW</t>
  </si>
  <si>
    <t>MA_SFH_btw_1975_2003_Insulation_roof_Tight_envelope_HRV_Some_wall_insulation_Single_pane</t>
  </si>
  <si>
    <t>MA_SFH_ASHP_GSHP_Air_ducts_uninsulated_NG_DHW</t>
  </si>
  <si>
    <t>MA_SFH_btw_1975_2003_Insulation_roof_Tight_envelope_HRV_Some_wall_insulation_Single_pane_storm_windows</t>
  </si>
  <si>
    <t>MA_SFH_ASHP_GSHP_Air_ducts_uninsulated_Heating_DHW_combo_NG</t>
  </si>
  <si>
    <t>MA_SFH_btw_1975_2003_Insulation_roof_Tight_envelope_HRV_Some_wall_insulation_Double_pane_lowE</t>
  </si>
  <si>
    <t>MA_SFH_ASHP_GSHP_Air_ducts_uninsulated_HPWH</t>
  </si>
  <si>
    <t>MA_SFH_btw_1975_2003_Insulation_roof_Tight_envelope_HRV_Some_wall_insulation_Triple_pane_lowE</t>
  </si>
  <si>
    <t>MA_SFH_ASHP_GSHP_Air_ducts_conditioned_uninsulated_Electric_resistance_DHW</t>
  </si>
  <si>
    <t>MA_SFH_btw_1975_2003_Insulation_roof_Tight_envelope_HRV_SIP_Single_pane</t>
  </si>
  <si>
    <t>MA_SFH_ASHP_GSHP_Air_ducts_conditioned_uninsulated_NG_DHW</t>
  </si>
  <si>
    <t>MA_SFH_btw_1975_2003_Insulation_roof_Tight_envelope_HRV_SIP_Single_pane_storm_windows</t>
  </si>
  <si>
    <t>MA_SFH_ASHP_GSHP_Air_ducts_conditioned_uninsulated_Heating_DHW_combo_NG</t>
  </si>
  <si>
    <t>MA_SFH_btw_1975_2003_Insulation_roof_Tight_envelope_HRV_SIP_Double_pane_lowE</t>
  </si>
  <si>
    <t>MA_SFH_ASHP_GSHP_Air_ducts_conditioned_uninsulated_HPWH</t>
  </si>
  <si>
    <t>MA_SFH_btw_1975_2003_Insulation_roof_Tight_envelope_HRV_SIP_Triple_pane_lowE</t>
  </si>
  <si>
    <t>MA_SFH_ASHP_GSHP_Hot_water_insulated_Electric_resistance_DHW</t>
  </si>
  <si>
    <t>MA_SFH_btw_1975_2003_Insulation_roof_Tight_envelope_HRV_Full_insulated_wall_cavity_Single_pane</t>
  </si>
  <si>
    <t>MA_SFH_ASHP_GSHP_Hot_water_insulated_NG_DHW</t>
  </si>
  <si>
    <t>MA_SFH_btw_1975_2003_Insulation_roof_Tight_envelope_HRV_Full_insulated_wall_cavity_Single_pane_storm_windows</t>
  </si>
  <si>
    <t>MA_SFH_ASHP_GSHP_Hot_water_insulated_Heating_DHW_combo_NG</t>
  </si>
  <si>
    <t>MA_SFH_btw_1975_2003_Insulation_roof_Tight_envelope_HRV_Full_insulated_wall_cavity_Double_pane_lowE</t>
  </si>
  <si>
    <t>MA_SFH_ASHP_GSHP_Hot_water_insulated_HPWH</t>
  </si>
  <si>
    <t>MA_SFH_btw_1975_2003_Insulation_roof_Tight_envelope_HRV_Full_insulated_wall_cavity_Triple_pane_lowE</t>
  </si>
  <si>
    <t>MA_SFH_ASHP_GSHP_Air_ducts_insulated_Electric_resistance_DHW</t>
  </si>
  <si>
    <t>MA_SFH_btw_1975_2003_Insulation_roof_Tight_envelope_HRV_Full_insulated_wall_cavity_exterior_Single_pane</t>
  </si>
  <si>
    <t>MA_SFH_ASHP_GSHP_Air_ducts_insulated_NG_DHW</t>
  </si>
  <si>
    <t>MA_SFH_btw_1975_2003_Insulation_roof_Tight_envelope_HRV_Full_insulated_wall_cavity_exterior_Single_pane_storm_windows</t>
  </si>
  <si>
    <t>MA_SFH_ASHP_GSHP_Air_ducts_insulated_Heating_DHW_combo_NG</t>
  </si>
  <si>
    <t>MA_SFH_btw_1975_2003_Insulation_roof_Tight_envelope_HRV_Full_insulated_wall_cavity_exterior_Double_pane_lowE</t>
  </si>
  <si>
    <t>MA_SFH_ASHP_GSHP_Air_ducts_insulated_HPWH</t>
  </si>
  <si>
    <t>MA_SFH_btw_1975_2003_Insulation_roof_Tight_envelope_HRV_Full_insulated_wall_cavity_exterior_Triple_pane_lowE</t>
  </si>
  <si>
    <t>MA_SFH_GSHP_AC_window_Steam_Electric_resistance_DHW</t>
  </si>
  <si>
    <t>MA_SFH_btw_1975_2003_Occupied_insulated_Leaky_envelope_Uninsulated_walls_Single_pane</t>
  </si>
  <si>
    <t>MA_SFH_GSHP_AC_window_Steam_NG_DHW</t>
  </si>
  <si>
    <t>MA_SFH_btw_1975_2003_Occupied_insulated_Leaky_envelope_Uninsulated_walls_Single_pane_storm_windows</t>
  </si>
  <si>
    <t>MA_SFH_GSHP_AC_window_Steam_Heating_DHW_combo_NG</t>
  </si>
  <si>
    <t>MA_SFH_btw_1975_2003_Occupied_insulated_Leaky_envelope_Uninsulated_walls_Double_pane_lowE</t>
  </si>
  <si>
    <t>MA_SFH_GSHP_AC_window_Steam_HPWH</t>
  </si>
  <si>
    <t>MA_SFH_btw_1975_2003_Occupied_insulated_Leaky_envelope_Uninsulated_walls_Triple_pane_lowE</t>
  </si>
  <si>
    <t>MA_SFH_GSHP_AC_window_Hot_water_uninsulated_Electric_resistance_DHW</t>
  </si>
  <si>
    <t>MA_SFH_btw_1975_2003_Occupied_insulated_Leaky_envelope_Some_wall_insulation_Single_pane</t>
  </si>
  <si>
    <t>MA_SFH_GSHP_AC_window_Hot_water_uninsulated_NG_DHW</t>
  </si>
  <si>
    <t>MA_SFH_btw_1975_2003_Occupied_insulated_Leaky_envelope_Some_wall_insulation_Single_pane_storm_windows</t>
  </si>
  <si>
    <t>MA_SFH_GSHP_AC_window_Hot_water_uninsulated_Heating_DHW_combo_NG</t>
  </si>
  <si>
    <t>MA_SFH_btw_1975_2003_Occupied_insulated_Leaky_envelope_Some_wall_insulation_Double_pane_lowE</t>
  </si>
  <si>
    <t>MA_SFH_GSHP_AC_window_Hot_water_uninsulated_HPWH</t>
  </si>
  <si>
    <t>MA_SFH_btw_1975_2003_Occupied_insulated_Leaky_envelope_Some_wall_insulation_Triple_pane_lowE</t>
  </si>
  <si>
    <t>MA_SFH_GSHP_AC_window_Air_ducts_uninsulated_Electric_resistance_DHW</t>
  </si>
  <si>
    <t>MA_SFH_btw_1975_2003_Occupied_insulated_Leaky_envelope_SIP_Single_pane</t>
  </si>
  <si>
    <t>MA_SFH_GSHP_AC_window_Air_ducts_uninsulated_NG_DHW</t>
  </si>
  <si>
    <t>MA_SFH_btw_1975_2003_Occupied_insulated_Leaky_envelope_SIP_Single_pane_storm_windows</t>
  </si>
  <si>
    <t>MA_SFH_GSHP_AC_window_Air_ducts_uninsulated_Heating_DHW_combo_NG</t>
  </si>
  <si>
    <t>MA_SFH_btw_1975_2003_Occupied_insulated_Leaky_envelope_SIP_Double_pane_lowE</t>
  </si>
  <si>
    <t>MA_SFH_GSHP_AC_window_Air_ducts_uninsulated_HPWH</t>
  </si>
  <si>
    <t>MA_SFH_btw_1975_2003_Occupied_insulated_Leaky_envelope_SIP_Triple_pane_lowE</t>
  </si>
  <si>
    <t>MA_SFH_GSHP_AC_window_Air_ducts_conditioned_uninsulated_Electric_resistance_DHW</t>
  </si>
  <si>
    <t>MA_SFH_btw_1975_2003_Occupied_insulated_Leaky_envelope_Full_insulated_wall_cavity_Single_pane</t>
  </si>
  <si>
    <t>MA_SFH_GSHP_AC_window_Air_ducts_conditioned_uninsulated_NG_DHW</t>
  </si>
  <si>
    <t>MA_SFH_btw_1975_2003_Occupied_insulated_Leaky_envelope_Full_insulated_wall_cavity_Single_pane_storm_windows</t>
  </si>
  <si>
    <t>MA_SFH_GSHP_AC_window_Air_ducts_conditioned_uninsulated_Heating_DHW_combo_NG</t>
  </si>
  <si>
    <t>MA_SFH_btw_1975_2003_Occupied_insulated_Leaky_envelope_Full_insulated_wall_cavity_Double_pane_lowE</t>
  </si>
  <si>
    <t>MA_SFH_GSHP_AC_window_Air_ducts_conditioned_uninsulated_HPWH</t>
  </si>
  <si>
    <t>MA_SFH_btw_1975_2003_Occupied_insulated_Leaky_envelope_Full_insulated_wall_cavity_Triple_pane_lowE</t>
  </si>
  <si>
    <t>MA_SFH_GSHP_AC_window_Hot_water_insulated_Electric_resistance_DHW</t>
  </si>
  <si>
    <t>MA_SFH_btw_1975_2003_Occupied_insulated_Leaky_envelope_Full_insulated_wall_cavity_exterior_Single_pane</t>
  </si>
  <si>
    <t>MA_SFH_GSHP_AC_window_Hot_water_insulated_NG_DHW</t>
  </si>
  <si>
    <t>MA_SFH_btw_1975_2003_Occupied_insulated_Leaky_envelope_Full_insulated_wall_cavity_exterior_Single_pane_storm_windows</t>
  </si>
  <si>
    <t>MA_SFH_GSHP_AC_window_Hot_water_insulated_Heating_DHW_combo_NG</t>
  </si>
  <si>
    <t>MA_SFH_btw_1975_2003_Occupied_insulated_Leaky_envelope_Full_insulated_wall_cavity_exterior_Double_pane_lowE</t>
  </si>
  <si>
    <t>MA_SFH_GSHP_AC_window_Hot_water_insulated_HPWH</t>
  </si>
  <si>
    <t>MA_SFH_btw_1975_2003_Occupied_insulated_Leaky_envelope_Full_insulated_wall_cavity_exterior_Triple_pane_lowE</t>
  </si>
  <si>
    <t>MA_SFH_GSHP_AC_window_Air_ducts_insulated_Electric_resistance_DHW</t>
  </si>
  <si>
    <t>MA_SFH_btw_1975_2003_Occupied_insulated_Somewhat_leaky_envelope_Uninsulated_walls_Single_pane</t>
  </si>
  <si>
    <t>MA_SFH_GSHP_AC_window_Air_ducts_insulated_NG_DHW</t>
  </si>
  <si>
    <t>MA_SFH_btw_1975_2003_Occupied_insulated_Somewhat_leaky_envelope_Uninsulated_walls_Single_pane_storm_windows</t>
  </si>
  <si>
    <t>MA_SFH_GSHP_AC_window_Air_ducts_insulated_Heating_DHW_combo_NG</t>
  </si>
  <si>
    <t>MA_SFH_btw_1975_2003_Occupied_insulated_Somewhat_leaky_envelope_Uninsulated_walls_Double_pane_lowE</t>
  </si>
  <si>
    <t>MA_SFH_GSHP_AC_window_Air_ducts_insulated_HPWH</t>
  </si>
  <si>
    <t>MA_SFH_btw_1975_2003_Occupied_insulated_Somewhat_leaky_envelope_Uninsulated_walls_Triple_pane_lowE</t>
  </si>
  <si>
    <t>MA_SFH_GSHP_Central_AC_Steam_Electric_resistance_DHW</t>
  </si>
  <si>
    <t>MA_SFH_btw_1975_2003_Occupied_insulated_Somewhat_leaky_envelope_Some_wall_insulation_Single_pane</t>
  </si>
  <si>
    <t>MA_SFH_GSHP_Central_AC_Steam_NG_DHW</t>
  </si>
  <si>
    <t>MA_SFH_btw_1975_2003_Occupied_insulated_Somewhat_leaky_envelope_Some_wall_insulation_Single_pane_storm_windows</t>
  </si>
  <si>
    <t>MA_SFH_GSHP_Central_AC_Steam_Heating_DHW_combo_NG</t>
  </si>
  <si>
    <t>MA_SFH_btw_1975_2003_Occupied_insulated_Somewhat_leaky_envelope_Some_wall_insulation_Double_pane_lowE</t>
  </si>
  <si>
    <t>MA_SFH_GSHP_Central_AC_Steam_HPWH</t>
  </si>
  <si>
    <t>MA_SFH_btw_1975_2003_Occupied_insulated_Somewhat_leaky_envelope_Some_wall_insulation_Triple_pane_lowE</t>
  </si>
  <si>
    <t>MA_SFH_GSHP_Central_AC_Hot_water_uninsulated_Electric_resistance_DHW</t>
  </si>
  <si>
    <t>MA_SFH_btw_1975_2003_Occupied_insulated_Somewhat_leaky_envelope_SIP_Single_pane</t>
  </si>
  <si>
    <t>MA_SFH_GSHP_Central_AC_Hot_water_uninsulated_NG_DHW</t>
  </si>
  <si>
    <t>MA_SFH_btw_1975_2003_Occupied_insulated_Somewhat_leaky_envelope_SIP_Single_pane_storm_windows</t>
  </si>
  <si>
    <t>MA_SFH_GSHP_Central_AC_Hot_water_uninsulated_Heating_DHW_combo_NG</t>
  </si>
  <si>
    <t>MA_SFH_btw_1975_2003_Occupied_insulated_Somewhat_leaky_envelope_SIP_Double_pane_lowE</t>
  </si>
  <si>
    <t>MA_SFH_GSHP_Central_AC_Hot_water_uninsulated_HPWH</t>
  </si>
  <si>
    <t>MA_SFH_btw_1975_2003_Occupied_insulated_Somewhat_leaky_envelope_SIP_Triple_pane_lowE</t>
  </si>
  <si>
    <t>MA_SFH_GSHP_Central_AC_Air_ducts_uninsulated_Electric_resistance_DHW</t>
  </si>
  <si>
    <t>MA_SFH_btw_1975_2003_Occupied_insulated_Somewhat_leaky_envelope_Full_insulated_wall_cavity_Single_pane</t>
  </si>
  <si>
    <t>MA_SFH_GSHP_Central_AC_Air_ducts_uninsulated_NG_DHW</t>
  </si>
  <si>
    <t>MA_SFH_btw_1975_2003_Occupied_insulated_Somewhat_leaky_envelope_Full_insulated_wall_cavity_Single_pane_storm_windows</t>
  </si>
  <si>
    <t>MA_SFH_GSHP_Central_AC_Air_ducts_uninsulated_Heating_DHW_combo_NG</t>
  </si>
  <si>
    <t>MA_SFH_btw_1975_2003_Occupied_insulated_Somewhat_leaky_envelope_Full_insulated_wall_cavity_Double_pane_lowE</t>
  </si>
  <si>
    <t>MA_SFH_GSHP_Central_AC_Air_ducts_uninsulated_HPWH</t>
  </si>
  <si>
    <t>MA_SFH_btw_1975_2003_Occupied_insulated_Somewhat_leaky_envelope_Full_insulated_wall_cavity_Triple_pane_lowE</t>
  </si>
  <si>
    <t>MA_SFH_GSHP_Central_AC_Air_ducts_conditioned_uninsulated_Electric_resistance_DHW</t>
  </si>
  <si>
    <t>MA_SFH_btw_1975_2003_Occupied_insulated_Somewhat_leaky_envelope_Full_insulated_wall_cavity_exterior_Single_pane</t>
  </si>
  <si>
    <t>MA_SFH_GSHP_Central_AC_Air_ducts_conditioned_uninsulated_NG_DHW</t>
  </si>
  <si>
    <t>MA_SFH_btw_1975_2003_Occupied_insulated_Somewhat_leaky_envelope_Full_insulated_wall_cavity_exterior_Single_pane_storm_windows</t>
  </si>
  <si>
    <t>MA_SFH_GSHP_Central_AC_Air_ducts_conditioned_uninsulated_Heating_DHW_combo_NG</t>
  </si>
  <si>
    <t>MA_SFH_btw_1975_2003_Occupied_insulated_Somewhat_leaky_envelope_Full_insulated_wall_cavity_exterior_Double_pane_lowE</t>
  </si>
  <si>
    <t>MA_SFH_GSHP_Central_AC_Air_ducts_conditioned_uninsulated_HPWH</t>
  </si>
  <si>
    <t>MA_SFH_btw_1975_2003_Occupied_insulated_Somewhat_leaky_envelope_Full_insulated_wall_cavity_exterior_Triple_pane_lowE</t>
  </si>
  <si>
    <t>MA_SFH_GSHP_Central_AC_Hot_water_insulated_Electric_resistance_DHW</t>
  </si>
  <si>
    <t>MA_SFH_btw_1975_2003_Occupied_insulated_Tight_envelope_HRV_Uninsulated_walls_Single_pane</t>
  </si>
  <si>
    <t>MA_SFH_GSHP_Central_AC_Hot_water_insulated_NG_DHW</t>
  </si>
  <si>
    <t>MA_SFH_btw_1975_2003_Occupied_insulated_Tight_envelope_HRV_Uninsulated_walls_Single_pane_storm_windows</t>
  </si>
  <si>
    <t>MA_SFH_GSHP_Central_AC_Hot_water_insulated_Heating_DHW_combo_NG</t>
  </si>
  <si>
    <t>MA_SFH_btw_1975_2003_Occupied_insulated_Tight_envelope_HRV_Uninsulated_walls_Double_pane_lowE</t>
  </si>
  <si>
    <t>MA_SFH_GSHP_Central_AC_Hot_water_insulated_HPWH</t>
  </si>
  <si>
    <t>MA_SFH_btw_1975_2003_Occupied_insulated_Tight_envelope_HRV_Uninsulated_walls_Triple_pane_lowE</t>
  </si>
  <si>
    <t>MA_SFH_GSHP_Central_AC_Air_ducts_insulated_Electric_resistance_DHW</t>
  </si>
  <si>
    <t>MA_SFH_btw_1975_2003_Occupied_insulated_Tight_envelope_HRV_Some_wall_insulation_Single_pane</t>
  </si>
  <si>
    <t>MA_SFH_GSHP_Central_AC_Air_ducts_insulated_NG_DHW</t>
  </si>
  <si>
    <t>MA_SFH_btw_1975_2003_Occupied_insulated_Tight_envelope_HRV_Some_wall_insulation_Single_pane_storm_windows</t>
  </si>
  <si>
    <t>MA_SFH_GSHP_Central_AC_Air_ducts_insulated_Heating_DHW_combo_NG</t>
  </si>
  <si>
    <t>MA_SFH_btw_1975_2003_Occupied_insulated_Tight_envelope_HRV_Some_wall_insulation_Double_pane_lowE</t>
  </si>
  <si>
    <t>MA_SFH_GSHP_Central_AC_Air_ducts_insulated_HPWH</t>
  </si>
  <si>
    <t>MA_SFH_btw_1975_2003_Occupied_insulated_Tight_envelope_HRV_Some_wall_insulation_Triple_pane_lowE</t>
  </si>
  <si>
    <t>MA_SFH_GSHP_Natural_ventilation_Steam_Electric_resistance_DHW</t>
  </si>
  <si>
    <t>MA_SFH_btw_1975_2003_Occupied_insulated_Tight_envelope_HRV_SIP_Single_pane</t>
  </si>
  <si>
    <t>MA_SFH_GSHP_Natural_ventilation_Steam_NG_DHW</t>
  </si>
  <si>
    <t>MA_SFH_btw_1975_2003_Occupied_insulated_Tight_envelope_HRV_SIP_Single_pane_storm_windows</t>
  </si>
  <si>
    <t>MA_SFH_GSHP_Natural_ventilation_Steam_Heating_DHW_combo_NG</t>
  </si>
  <si>
    <t>MA_SFH_btw_1975_2003_Occupied_insulated_Tight_envelope_HRV_SIP_Double_pane_lowE</t>
  </si>
  <si>
    <t>MA_SFH_GSHP_Natural_ventilation_Steam_HPWH</t>
  </si>
  <si>
    <t>MA_SFH_btw_1975_2003_Occupied_insulated_Tight_envelope_HRV_SIP_Triple_pane_lowE</t>
  </si>
  <si>
    <t>MA_SFH_GSHP_Natural_ventilation_Hot_water_uninsulated_Electric_resistance_DHW</t>
  </si>
  <si>
    <t>MA_SFH_btw_1975_2003_Occupied_insulated_Tight_envelope_HRV_Full_insulated_wall_cavity_Single_pane</t>
  </si>
  <si>
    <t>MA_SFH_GSHP_Natural_ventilation_Hot_water_uninsulated_NG_DHW</t>
  </si>
  <si>
    <t>MA_SFH_btw_1975_2003_Occupied_insulated_Tight_envelope_HRV_Full_insulated_wall_cavity_Single_pane_storm_windows</t>
  </si>
  <si>
    <t>MA_SFH_GSHP_Natural_ventilation_Hot_water_uninsulated_Heating_DHW_combo_NG</t>
  </si>
  <si>
    <t>MA_SFH_btw_1975_2003_Occupied_insulated_Tight_envelope_HRV_Full_insulated_wall_cavity_Double_pane_lowE</t>
  </si>
  <si>
    <t>MA_SFH_GSHP_Natural_ventilation_Hot_water_uninsulated_HPWH</t>
  </si>
  <si>
    <t>MA_SFH_btw_1975_2003_Occupied_insulated_Tight_envelope_HRV_Full_insulated_wall_cavity_Triple_pane_lowE</t>
  </si>
  <si>
    <t>MA_SFH_GSHP_Natural_ventilation_Air_ducts_uninsulated_Electric_resistance_DHW</t>
  </si>
  <si>
    <t>MA_SFH_btw_1975_2003_Occupied_insulated_Tight_envelope_HRV_Full_insulated_wall_cavity_exterior_Single_pane</t>
  </si>
  <si>
    <t>MA_SFH_GSHP_Natural_ventilation_Air_ducts_uninsulated_NG_DHW</t>
  </si>
  <si>
    <t>MA_SFH_btw_1975_2003_Occupied_insulated_Tight_envelope_HRV_Full_insulated_wall_cavity_exterior_Single_pane_storm_windows</t>
  </si>
  <si>
    <t>MA_SFH_GSHP_Natural_ventilation_Air_ducts_uninsulated_Heating_DHW_combo_NG</t>
  </si>
  <si>
    <t>MA_SFH_btw_1975_2003_Occupied_insulated_Tight_envelope_HRV_Full_insulated_wall_cavity_exterior_Double_pane_lowE</t>
  </si>
  <si>
    <t>MA_SFH_GSHP_Natural_ventilation_Air_ducts_uninsulated_HPWH</t>
  </si>
  <si>
    <t>MA_SFH_btw_1975_2003_Occupied_insulated_Tight_envelope_HRV_Full_insulated_wall_cavity_exterior_Triple_pane_lowE</t>
  </si>
  <si>
    <t>MA_SFH_GSHP_Natural_ventilation_Air_ducts_conditioned_uninsulated_Electric_resistance_DHW</t>
  </si>
  <si>
    <t>MA_SFH_btw_1975_2003_Unoccupied_high_insulated_floor_Leaky_envelope_Uninsulated_walls_Single_pane</t>
  </si>
  <si>
    <t>MA_SFH_GSHP_Natural_ventilation_Air_ducts_conditioned_uninsulated_NG_DHW</t>
  </si>
  <si>
    <t>MA_SFH_btw_1975_2003_Unoccupied_high_insulated_floor_Leaky_envelope_Uninsulated_walls_Single_pane_storm_windows</t>
  </si>
  <si>
    <t>MA_SFH_GSHP_Natural_ventilation_Air_ducts_conditioned_uninsulated_Heating_DHW_combo_NG</t>
  </si>
  <si>
    <t>MA_SFH_btw_1975_2003_Unoccupied_high_insulated_floor_Leaky_envelope_Uninsulated_walls_Double_pane_lowE</t>
  </si>
  <si>
    <t>MA_SFH_GSHP_Natural_ventilation_Air_ducts_conditioned_uninsulated_HPWH</t>
  </si>
  <si>
    <t>MA_SFH_btw_1975_2003_Unoccupied_high_insulated_floor_Leaky_envelope_Uninsulated_walls_Triple_pane_lowE</t>
  </si>
  <si>
    <t>MA_SFH_GSHP_Natural_ventilation_Hot_water_insulated_Electric_resistance_DHW</t>
  </si>
  <si>
    <t>MA_SFH_btw_1975_2003_Unoccupied_high_insulated_floor_Leaky_envelope_Some_wall_insulation_Single_pane</t>
  </si>
  <si>
    <t>MA_SFH_GSHP_Natural_ventilation_Hot_water_insulated_NG_DHW</t>
  </si>
  <si>
    <t>MA_SFH_btw_1975_2003_Unoccupied_high_insulated_floor_Leaky_envelope_Some_wall_insulation_Single_pane_storm_windows</t>
  </si>
  <si>
    <t>MA_SFH_GSHP_Natural_ventilation_Hot_water_insulated_Heating_DHW_combo_NG</t>
  </si>
  <si>
    <t>MA_SFH_btw_1975_2003_Unoccupied_high_insulated_floor_Leaky_envelope_Some_wall_insulation_Double_pane_lowE</t>
  </si>
  <si>
    <t>MA_SFH_GSHP_Natural_ventilation_Hot_water_insulated_HPWH</t>
  </si>
  <si>
    <t>MA_SFH_btw_1975_2003_Unoccupied_high_insulated_floor_Leaky_envelope_Some_wall_insulation_Triple_pane_lowE</t>
  </si>
  <si>
    <t>MA_SFH_GSHP_Natural_ventilation_Air_ducts_insulated_Electric_resistance_DHW</t>
  </si>
  <si>
    <t>MA_SFH_btw_1975_2003_Unoccupied_high_insulated_floor_Leaky_envelope_SIP_Single_pane</t>
  </si>
  <si>
    <t>MA_SFH_GSHP_Natural_ventilation_Air_ducts_insulated_NG_DHW</t>
  </si>
  <si>
    <t>MA_SFH_btw_1975_2003_Unoccupied_high_insulated_floor_Leaky_envelope_SIP_Single_pane_storm_windows</t>
  </si>
  <si>
    <t>MA_SFH_GSHP_Natural_ventilation_Air_ducts_insulated_Heating_DHW_combo_NG</t>
  </si>
  <si>
    <t>MA_SFH_btw_1975_2003_Unoccupied_high_insulated_floor_Leaky_envelope_SIP_Double_pane_lowE</t>
  </si>
  <si>
    <t>MA_SFH_GSHP_Natural_ventilation_Air_ducts_insulated_HPWH</t>
  </si>
  <si>
    <t>MA_SFH_btw_1975_2003_Unoccupied_high_insulated_floor_Leaky_envelope_SIP_Triple_pane_lowE</t>
  </si>
  <si>
    <t>MA_SFH_GSHP_Window_ASHP_Steam_Electric_resistance_DHW</t>
  </si>
  <si>
    <t>MA_SFH_btw_1975_2003_Unoccupied_high_insulated_floor_Leaky_envelope_Full_insulated_wall_cavity_Single_pane</t>
  </si>
  <si>
    <t>MA_SFH_GSHP_Window_ASHP_Steam_NG_DHW</t>
  </si>
  <si>
    <t>MA_SFH_btw_1975_2003_Unoccupied_high_insulated_floor_Leaky_envelope_Full_insulated_wall_cavity_Single_pane_storm_windows</t>
  </si>
  <si>
    <t>MA_SFH_GSHP_Window_ASHP_Steam_Heating_DHW_combo_NG</t>
  </si>
  <si>
    <t>MA_SFH_btw_1975_2003_Unoccupied_high_insulated_floor_Leaky_envelope_Full_insulated_wall_cavity_Double_pane_lowE</t>
  </si>
  <si>
    <t>MA_SFH_GSHP_Window_ASHP_Steam_HPWH</t>
  </si>
  <si>
    <t>MA_SFH_btw_1975_2003_Unoccupied_high_insulated_floor_Leaky_envelope_Full_insulated_wall_cavity_Triple_pane_lowE</t>
  </si>
  <si>
    <t>MA_SFH_GSHP_Window_ASHP_Hot_water_uninsulated_Electric_resistance_DHW</t>
  </si>
  <si>
    <t>MA_SFH_btw_1975_2003_Unoccupied_high_insulated_floor_Leaky_envelope_Full_insulated_wall_cavity_exterior_Single_pane</t>
  </si>
  <si>
    <t>MA_SFH_GSHP_Window_ASHP_Hot_water_uninsulated_NG_DHW</t>
  </si>
  <si>
    <t>MA_SFH_btw_1975_2003_Unoccupied_high_insulated_floor_Leaky_envelope_Full_insulated_wall_cavity_exterior_Single_pane_storm_windows</t>
  </si>
  <si>
    <t>MA_SFH_GSHP_Window_ASHP_Hot_water_uninsulated_Heating_DHW_combo_NG</t>
  </si>
  <si>
    <t>MA_SFH_btw_1975_2003_Unoccupied_high_insulated_floor_Leaky_envelope_Full_insulated_wall_cavity_exterior_Double_pane_lowE</t>
  </si>
  <si>
    <t>MA_SFH_GSHP_Window_ASHP_Hot_water_uninsulated_HPWH</t>
  </si>
  <si>
    <t>MA_SFH_btw_1975_2003_Unoccupied_high_insulated_floor_Leaky_envelope_Full_insulated_wall_cavity_exterior_Triple_pane_lowE</t>
  </si>
  <si>
    <t>MA_SFH_GSHP_Window_ASHP_Air_ducts_uninsulated_Electric_resistance_DHW</t>
  </si>
  <si>
    <t>MA_SFH_btw_1975_2003_Unoccupied_high_insulated_floor_Somewhat_leaky_envelope_Uninsulated_walls_Single_pane</t>
  </si>
  <si>
    <t>MA_SFH_GSHP_Window_ASHP_Air_ducts_uninsulated_NG_DHW</t>
  </si>
  <si>
    <t>MA_SFH_btw_1975_2003_Unoccupied_high_insulated_floor_Somewhat_leaky_envelope_Uninsulated_walls_Single_pane_storm_windows</t>
  </si>
  <si>
    <t>MA_SFH_GSHP_Window_ASHP_Air_ducts_uninsulated_Heating_DHW_combo_NG</t>
  </si>
  <si>
    <t>MA_SFH_btw_1975_2003_Unoccupied_high_insulated_floor_Somewhat_leaky_envelope_Uninsulated_walls_Double_pane_lowE</t>
  </si>
  <si>
    <t>MA_SFH_GSHP_Window_ASHP_Air_ducts_uninsulated_HPWH</t>
  </si>
  <si>
    <t>MA_SFH_btw_1975_2003_Unoccupied_high_insulated_floor_Somewhat_leaky_envelope_Uninsulated_walls_Triple_pane_lowE</t>
  </si>
  <si>
    <t>MA_SFH_GSHP_Window_ASHP_Air_ducts_conditioned_uninsulated_Electric_resistance_DHW</t>
  </si>
  <si>
    <t>MA_SFH_btw_1975_2003_Unoccupied_high_insulated_floor_Somewhat_leaky_envelope_Some_wall_insulation_Single_pane</t>
  </si>
  <si>
    <t>MA_SFH_GSHP_Window_ASHP_Air_ducts_conditioned_uninsulated_NG_DHW</t>
  </si>
  <si>
    <t>MA_SFH_btw_1975_2003_Unoccupied_high_insulated_floor_Somewhat_leaky_envelope_Some_wall_insulation_Single_pane_storm_windows</t>
  </si>
  <si>
    <t>MA_SFH_GSHP_Window_ASHP_Air_ducts_conditioned_uninsulated_Heating_DHW_combo_NG</t>
  </si>
  <si>
    <t>MA_SFH_btw_1975_2003_Unoccupied_high_insulated_floor_Somewhat_leaky_envelope_Some_wall_insulation_Double_pane_lowE</t>
  </si>
  <si>
    <t>MA_SFH_GSHP_Window_ASHP_Air_ducts_conditioned_uninsulated_HPWH</t>
  </si>
  <si>
    <t>MA_SFH_btw_1975_2003_Unoccupied_high_insulated_floor_Somewhat_leaky_envelope_Some_wall_insulation_Triple_pane_lowE</t>
  </si>
  <si>
    <t>MA_SFH_GSHP_Window_ASHP_Hot_water_insulated_Electric_resistance_DHW</t>
  </si>
  <si>
    <t>MA_SFH_btw_1975_2003_Unoccupied_high_insulated_floor_Somewhat_leaky_envelope_SIP_Single_pane</t>
  </si>
  <si>
    <t>MA_SFH_GSHP_Window_ASHP_Hot_water_insulated_NG_DHW</t>
  </si>
  <si>
    <t>MA_SFH_btw_1975_2003_Unoccupied_high_insulated_floor_Somewhat_leaky_envelope_SIP_Single_pane_storm_windows</t>
  </si>
  <si>
    <t>MA_SFH_GSHP_Window_ASHP_Hot_water_insulated_Heating_DHW_combo_NG</t>
  </si>
  <si>
    <t>MA_SFH_btw_1975_2003_Unoccupied_high_insulated_floor_Somewhat_leaky_envelope_SIP_Double_pane_lowE</t>
  </si>
  <si>
    <t>MA_SFH_GSHP_Window_ASHP_Hot_water_insulated_HPWH</t>
  </si>
  <si>
    <t>MA_SFH_btw_1975_2003_Unoccupied_high_insulated_floor_Somewhat_leaky_envelope_SIP_Triple_pane_lowE</t>
  </si>
  <si>
    <t>MA_SFH_GSHP_Window_ASHP_Air_ducts_insulated_Electric_resistance_DHW</t>
  </si>
  <si>
    <t>MA_SFH_btw_1975_2003_Unoccupied_high_insulated_floor_Somewhat_leaky_envelope_Full_insulated_wall_cavity_Single_pane</t>
  </si>
  <si>
    <t>MA_SFH_GSHP_Window_ASHP_Air_ducts_insulated_NG_DHW</t>
  </si>
  <si>
    <t>MA_SFH_btw_1975_2003_Unoccupied_high_insulated_floor_Somewhat_leaky_envelope_Full_insulated_wall_cavity_Single_pane_storm_windows</t>
  </si>
  <si>
    <t>MA_SFH_GSHP_Window_ASHP_Air_ducts_insulated_Heating_DHW_combo_NG</t>
  </si>
  <si>
    <t>MA_SFH_btw_1975_2003_Unoccupied_high_insulated_floor_Somewhat_leaky_envelope_Full_insulated_wall_cavity_Double_pane_lowE</t>
  </si>
  <si>
    <t>MA_SFH_GSHP_Window_ASHP_Air_ducts_insulated_HPWH</t>
  </si>
  <si>
    <t>MA_SFH_btw_1975_2003_Unoccupied_high_insulated_floor_Somewhat_leaky_envelope_Full_insulated_wall_cavity_Triple_pane_lowE</t>
  </si>
  <si>
    <t>MA_SFH_GSHP_ASHP_Steam_Electric_resistance_DHW</t>
  </si>
  <si>
    <t>MA_SFH_btw_1975_2003_Unoccupied_high_insulated_floor_Somewhat_leaky_envelope_Full_insulated_wall_cavity_exterior_Single_pane</t>
  </si>
  <si>
    <t>MA_SFH_GSHP_ASHP_Steam_NG_DHW</t>
  </si>
  <si>
    <t>MA_SFH_btw_1975_2003_Unoccupied_high_insulated_floor_Somewhat_leaky_envelope_Full_insulated_wall_cavity_exterior_Single_pane_storm_windows</t>
  </si>
  <si>
    <t>MA_SFH_GSHP_ASHP_Steam_Heating_DHW_combo_NG</t>
  </si>
  <si>
    <t>MA_SFH_btw_1975_2003_Unoccupied_high_insulated_floor_Somewhat_leaky_envelope_Full_insulated_wall_cavity_exterior_Double_pane_lowE</t>
  </si>
  <si>
    <t>MA_SFH_GSHP_ASHP_Steam_HPWH</t>
  </si>
  <si>
    <t>MA_SFH_btw_1975_2003_Unoccupied_high_insulated_floor_Somewhat_leaky_envelope_Full_insulated_wall_cavity_exterior_Triple_pane_lowE</t>
  </si>
  <si>
    <t>MA_SFH_GSHP_ASHP_Hot_water_uninsulated_Electric_resistance_DHW</t>
  </si>
  <si>
    <t>MA_SFH_btw_1975_2003_Unoccupied_high_insulated_floor_Tight_envelope_HRV_Uninsulated_walls_Single_pane</t>
  </si>
  <si>
    <t>MA_SFH_GSHP_ASHP_Hot_water_uninsulated_NG_DHW</t>
  </si>
  <si>
    <t>MA_SFH_btw_1975_2003_Unoccupied_high_insulated_floor_Tight_envelope_HRV_Uninsulated_walls_Single_pane_storm_windows</t>
  </si>
  <si>
    <t>MA_SFH_GSHP_ASHP_Hot_water_uninsulated_Heating_DHW_combo_NG</t>
  </si>
  <si>
    <t>MA_SFH_btw_1975_2003_Unoccupied_high_insulated_floor_Tight_envelope_HRV_Uninsulated_walls_Double_pane_lowE</t>
  </si>
  <si>
    <t>MA_SFH_GSHP_ASHP_Hot_water_uninsulated_HPWH</t>
  </si>
  <si>
    <t>MA_SFH_btw_1975_2003_Unoccupied_high_insulated_floor_Tight_envelope_HRV_Uninsulated_walls_Triple_pane_lowE</t>
  </si>
  <si>
    <t>MA_SFH_GSHP_ASHP_Air_ducts_uninsulated_Electric_resistance_DHW</t>
  </si>
  <si>
    <t>MA_SFH_btw_1975_2003_Unoccupied_high_insulated_floor_Tight_envelope_HRV_Some_wall_insulation_Single_pane</t>
  </si>
  <si>
    <t>MA_SFH_GSHP_ASHP_Air_ducts_uninsulated_NG_DHW</t>
  </si>
  <si>
    <t>MA_SFH_btw_1975_2003_Unoccupied_high_insulated_floor_Tight_envelope_HRV_Some_wall_insulation_Single_pane_storm_windows</t>
  </si>
  <si>
    <t>MA_SFH_GSHP_ASHP_Air_ducts_uninsulated_Heating_DHW_combo_NG</t>
  </si>
  <si>
    <t>MA_SFH_btw_1975_2003_Unoccupied_high_insulated_floor_Tight_envelope_HRV_Some_wall_insulation_Double_pane_lowE</t>
  </si>
  <si>
    <t>MA_SFH_GSHP_ASHP_Air_ducts_uninsulated_HPWH</t>
  </si>
  <si>
    <t>MA_SFH_btw_1975_2003_Unoccupied_high_insulated_floor_Tight_envelope_HRV_Some_wall_insulation_Triple_pane_lowE</t>
  </si>
  <si>
    <t>MA_SFH_GSHP_ASHP_Air_ducts_conditioned_uninsulated_Electric_resistance_DHW</t>
  </si>
  <si>
    <t>MA_SFH_btw_1975_2003_Unoccupied_high_insulated_floor_Tight_envelope_HRV_SIP_Single_pane</t>
  </si>
  <si>
    <t>MA_SFH_GSHP_ASHP_Air_ducts_conditioned_uninsulated_NG_DHW</t>
  </si>
  <si>
    <t>MA_SFH_btw_1975_2003_Unoccupied_high_insulated_floor_Tight_envelope_HRV_SIP_Single_pane_storm_windows</t>
  </si>
  <si>
    <t>MA_SFH_GSHP_ASHP_Air_ducts_conditioned_uninsulated_Heating_DHW_combo_NG</t>
  </si>
  <si>
    <t>MA_SFH_btw_1975_2003_Unoccupied_high_insulated_floor_Tight_envelope_HRV_SIP_Double_pane_lowE</t>
  </si>
  <si>
    <t>MA_SFH_GSHP_ASHP_Air_ducts_conditioned_uninsulated_HPWH</t>
  </si>
  <si>
    <t>MA_SFH_btw_1975_2003_Unoccupied_high_insulated_floor_Tight_envelope_HRV_SIP_Triple_pane_lowE</t>
  </si>
  <si>
    <t>MA_SFH_GSHP_ASHP_Hot_water_insulated_Electric_resistance_DHW</t>
  </si>
  <si>
    <t>MA_SFH_btw_1975_2003_Unoccupied_high_insulated_floor_Tight_envelope_HRV_Full_insulated_wall_cavity_Single_pane</t>
  </si>
  <si>
    <t>MA_SFH_GSHP_ASHP_Hot_water_insulated_NG_DHW</t>
  </si>
  <si>
    <t>MA_SFH_btw_1975_2003_Unoccupied_high_insulated_floor_Tight_envelope_HRV_Full_insulated_wall_cavity_Single_pane_storm_windows</t>
  </si>
  <si>
    <t>MA_SFH_GSHP_ASHP_Hot_water_insulated_Heating_DHW_combo_NG</t>
  </si>
  <si>
    <t>MA_SFH_btw_1975_2003_Unoccupied_high_insulated_floor_Tight_envelope_HRV_Full_insulated_wall_cavity_Double_pane_lowE</t>
  </si>
  <si>
    <t>MA_SFH_GSHP_ASHP_Hot_water_insulated_HPWH</t>
  </si>
  <si>
    <t>MA_SFH_btw_1975_2003_Unoccupied_high_insulated_floor_Tight_envelope_HRV_Full_insulated_wall_cavity_Triple_pane_lowE</t>
  </si>
  <si>
    <t>MA_SFH_GSHP_ASHP_Air_ducts_insulated_Electric_resistance_DHW</t>
  </si>
  <si>
    <t>MA_SFH_btw_1975_2003_Unoccupied_high_insulated_floor_Tight_envelope_HRV_Full_insulated_wall_cavity_exterior_Single_pane</t>
  </si>
  <si>
    <t>MA_SFH_GSHP_ASHP_Air_ducts_insulated_NG_DHW</t>
  </si>
  <si>
    <t>MA_SFH_btw_1975_2003_Unoccupied_high_insulated_floor_Tight_envelope_HRV_Full_insulated_wall_cavity_exterior_Single_pane_storm_windows</t>
  </si>
  <si>
    <t>MA_SFH_GSHP_ASHP_Air_ducts_insulated_Heating_DHW_combo_NG</t>
  </si>
  <si>
    <t>MA_SFH_btw_1975_2003_Unoccupied_high_insulated_floor_Tight_envelope_HRV_Full_insulated_wall_cavity_exterior_Double_pane_lowE</t>
  </si>
  <si>
    <t>MA_SFH_GSHP_ASHP_Air_ducts_insulated_HPWH</t>
  </si>
  <si>
    <t>MA_SFH_btw_1975_2003_Unoccupied_high_insulated_floor_Tight_envelope_HRV_Full_insulated_wall_cavity_exterior_Triple_pane_lowE</t>
  </si>
  <si>
    <t>MA_SFH_GSHP_GSHP_Steam_Electric_resistance_DHW</t>
  </si>
  <si>
    <t>MA_SFH_post_2003_Occupied_uninsulated_Leaky_envelope_Uninsulated_walls_Single_pane</t>
  </si>
  <si>
    <t>MA_SFH_GSHP_GSHP_Steam_NG_DHW</t>
  </si>
  <si>
    <t>MA_SFH_post_2003_Occupied_uninsulated_Leaky_envelope_Uninsulated_walls_Single_pane_storm_windows</t>
  </si>
  <si>
    <t>MA_SFH_GSHP_GSHP_Steam_Heating_DHW_combo_NG</t>
  </si>
  <si>
    <t>MA_SFH_post_2003_Occupied_uninsulated_Leaky_envelope_Uninsulated_walls_Double_pane_lowE</t>
  </si>
  <si>
    <t>MA_SFH_GSHP_GSHP_Steam_HPWH</t>
  </si>
  <si>
    <t>MA_SFH_post_2003_Occupied_uninsulated_Leaky_envelope_Uninsulated_walls_Triple_pane_lowE</t>
  </si>
  <si>
    <t>MA_SFH_GSHP_GSHP_Hot_water_uninsulated_Electric_resistance_DHW</t>
  </si>
  <si>
    <t>MA_SFH_post_2003_Occupied_uninsulated_Leaky_envelope_Some_wall_insulation_Single_pane</t>
  </si>
  <si>
    <t>MA_SFH_GSHP_GSHP_Hot_water_uninsulated_NG_DHW</t>
  </si>
  <si>
    <t>MA_SFH_post_2003_Occupied_uninsulated_Leaky_envelope_Some_wall_insulation_Single_pane_storm_windows</t>
  </si>
  <si>
    <t>MA_SFH_GSHP_GSHP_Hot_water_uninsulated_Heating_DHW_combo_NG</t>
  </si>
  <si>
    <t>MA_SFH_post_2003_Occupied_uninsulated_Leaky_envelope_Some_wall_insulation_Double_pane_lowE</t>
  </si>
  <si>
    <t>MA_SFH_GSHP_GSHP_Hot_water_uninsulated_HPWH</t>
  </si>
  <si>
    <t>MA_SFH_post_2003_Occupied_uninsulated_Leaky_envelope_Some_wall_insulation_Triple_pane_lowE</t>
  </si>
  <si>
    <t>MA_SFH_GSHP_GSHP_Air_ducts_uninsulated_Electric_resistance_DHW</t>
  </si>
  <si>
    <t>MA_SFH_post_2003_Occupied_uninsulated_Leaky_envelope_SIP_Single_pane</t>
  </si>
  <si>
    <t>MA_SFH_GSHP_GSHP_Air_ducts_uninsulated_NG_DHW</t>
  </si>
  <si>
    <t>MA_SFH_post_2003_Occupied_uninsulated_Leaky_envelope_SIP_Single_pane_storm_windows</t>
  </si>
  <si>
    <t>MA_SFH_GSHP_GSHP_Air_ducts_uninsulated_Heating_DHW_combo_NG</t>
  </si>
  <si>
    <t>MA_SFH_post_2003_Occupied_uninsulated_Leaky_envelope_SIP_Double_pane_lowE</t>
  </si>
  <si>
    <t>MA_SFH_GSHP_GSHP_Air_ducts_uninsulated_HPWH</t>
  </si>
  <si>
    <t>MA_SFH_post_2003_Occupied_uninsulated_Leaky_envelope_SIP_Triple_pane_lowE</t>
  </si>
  <si>
    <t>MA_SFH_GSHP_GSHP_Air_ducts_conditioned_uninsulated_Electric_resistance_DHW</t>
  </si>
  <si>
    <t>MA_SFH_post_2003_Occupied_uninsulated_Leaky_envelope_Full_insulated_wall_cavity_Single_pane</t>
  </si>
  <si>
    <t>MA_SFH_GSHP_GSHP_Air_ducts_conditioned_uninsulated_NG_DHW</t>
  </si>
  <si>
    <t>MA_SFH_post_2003_Occupied_uninsulated_Leaky_envelope_Full_insulated_wall_cavity_Single_pane_storm_windows</t>
  </si>
  <si>
    <t>MA_SFH_GSHP_GSHP_Air_ducts_conditioned_uninsulated_Heating_DHW_combo_NG</t>
  </si>
  <si>
    <t>MA_SFH_post_2003_Occupied_uninsulated_Leaky_envelope_Full_insulated_wall_cavity_Double_pane_lowE</t>
  </si>
  <si>
    <t>MA_SFH_GSHP_GSHP_Air_ducts_conditioned_uninsulated_HPWH</t>
  </si>
  <si>
    <t>MA_SFH_post_2003_Occupied_uninsulated_Leaky_envelope_Full_insulated_wall_cavity_Triple_pane_lowE</t>
  </si>
  <si>
    <t>MA_SFH_GSHP_GSHP_Hot_water_insulated_Electric_resistance_DHW</t>
  </si>
  <si>
    <t>MA_SFH_post_2003_Occupied_uninsulated_Leaky_envelope_Full_insulated_wall_cavity_exterior_Single_pane</t>
  </si>
  <si>
    <t>MA_SFH_GSHP_GSHP_Hot_water_insulated_NG_DHW</t>
  </si>
  <si>
    <t>MA_SFH_post_2003_Occupied_uninsulated_Leaky_envelope_Full_insulated_wall_cavity_exterior_Single_pane_storm_windows</t>
  </si>
  <si>
    <t>MA_SFH_GSHP_GSHP_Hot_water_insulated_Heating_DHW_combo_NG</t>
  </si>
  <si>
    <t>MA_SFH_post_2003_Occupied_uninsulated_Leaky_envelope_Full_insulated_wall_cavity_exterior_Double_pane_lowE</t>
  </si>
  <si>
    <t>MA_SFH_GSHP_GSHP_Hot_water_insulated_HPWH</t>
  </si>
  <si>
    <t>MA_SFH_post_2003_Occupied_uninsulated_Leaky_envelope_Full_insulated_wall_cavity_exterior_Triple_pane_lowE</t>
  </si>
  <si>
    <t>MA_SFH_GSHP_GSHP_Air_ducts_insulated_Electric_resistance_DHW</t>
  </si>
  <si>
    <t>MA_SFH_post_2003_Occupied_uninsulated_Somewhat_leaky_envelope_Uninsulated_walls_Single_pane</t>
  </si>
  <si>
    <t>MA_SFH_GSHP_GSHP_Air_ducts_insulated_NG_DHW</t>
  </si>
  <si>
    <t>MA_SFH_post_2003_Occupied_uninsulated_Somewhat_leaky_envelope_Uninsulated_walls_Single_pane_storm_windows</t>
  </si>
  <si>
    <t>MA_SFH_GSHP_GSHP_Air_ducts_insulated_Heating_DHW_combo_NG</t>
  </si>
  <si>
    <t>MA_SFH_post_2003_Occupied_uninsulated_Somewhat_leaky_envelope_Uninsulated_walls_Double_pane_lowE</t>
  </si>
  <si>
    <t>MA_SFH_GSHP_GSHP_Air_ducts_insulated_HPWH</t>
  </si>
  <si>
    <t>MA_SFH_post_2003_Occupied_uninsulated_Somewhat_leaky_envelope_Uninsulated_walls_Triple_pane_lowE</t>
  </si>
  <si>
    <t>MA_MFH_Electric_resistance_AC_window_Steam_Electric_resistance_DHW</t>
  </si>
  <si>
    <t>MA_SFH_post_2003_Occupied_uninsulated_Somewhat_leaky_envelope_Some_wall_insulation_Single_pane</t>
  </si>
  <si>
    <t>MA_MFH_Electric_resistance_AC_window_Steam_NG_DHW</t>
  </si>
  <si>
    <t>MA_SFH_post_2003_Occupied_uninsulated_Somewhat_leaky_envelope_Some_wall_insulation_Single_pane_storm_windows</t>
  </si>
  <si>
    <t>MA_MFH_Electric_resistance_AC_window_Steam_Heating_DHW_combo_NG</t>
  </si>
  <si>
    <t>MA_SFH_post_2003_Occupied_uninsulated_Somewhat_leaky_envelope_Some_wall_insulation_Double_pane_lowE</t>
  </si>
  <si>
    <t>MA_MFH_Electric_resistance_AC_window_Steam_HPWH</t>
  </si>
  <si>
    <t>MA_SFH_post_2003_Occupied_uninsulated_Somewhat_leaky_envelope_Some_wall_insulation_Triple_pane_lowE</t>
  </si>
  <si>
    <t>MA_MFH_Electric_resistance_AC_window_Hot_water_uninsulated_Electric_resistance_DHW</t>
  </si>
  <si>
    <t>MA_SFH_post_2003_Occupied_uninsulated_Somewhat_leaky_envelope_SIP_Single_pane</t>
  </si>
  <si>
    <t>MA_MFH_Electric_resistance_AC_window_Hot_water_uninsulated_NG_DHW</t>
  </si>
  <si>
    <t>MA_SFH_post_2003_Occupied_uninsulated_Somewhat_leaky_envelope_SIP_Single_pane_storm_windows</t>
  </si>
  <si>
    <t>MA_MFH_Electric_resistance_AC_window_Hot_water_uninsulated_Heating_DHW_combo_NG</t>
  </si>
  <si>
    <t>MA_SFH_post_2003_Occupied_uninsulated_Somewhat_leaky_envelope_SIP_Double_pane_lowE</t>
  </si>
  <si>
    <t>MA_MFH_Electric_resistance_AC_window_Hot_water_uninsulated_HPWH</t>
  </si>
  <si>
    <t>MA_SFH_post_2003_Occupied_uninsulated_Somewhat_leaky_envelope_SIP_Triple_pane_lowE</t>
  </si>
  <si>
    <t>MA_MFH_Electric_resistance_AC_window_Air_ducts_uninsulated_Electric_resistance_DHW</t>
  </si>
  <si>
    <t>MA_SFH_post_2003_Occupied_uninsulated_Somewhat_leaky_envelope_Full_insulated_wall_cavity_Single_pane</t>
  </si>
  <si>
    <t>MA_MFH_Electric_resistance_AC_window_Air_ducts_uninsulated_NG_DHW</t>
  </si>
  <si>
    <t>MA_SFH_post_2003_Occupied_uninsulated_Somewhat_leaky_envelope_Full_insulated_wall_cavity_Single_pane_storm_windows</t>
  </si>
  <si>
    <t>MA_MFH_Electric_resistance_AC_window_Air_ducts_uninsulated_Heating_DHW_combo_NG</t>
  </si>
  <si>
    <t>MA_SFH_post_2003_Occupied_uninsulated_Somewhat_leaky_envelope_Full_insulated_wall_cavity_Double_pane_lowE</t>
  </si>
  <si>
    <t>MA_MFH_Electric_resistance_AC_window_Air_ducts_uninsulated_HPWH</t>
  </si>
  <si>
    <t>MA_SFH_post_2003_Occupied_uninsulated_Somewhat_leaky_envelope_Full_insulated_wall_cavity_Triple_pane_lowE</t>
  </si>
  <si>
    <t>MA_MFH_Electric_resistance_AC_window_Air_ducts_conditioned_uninsulated_Electric_resistance_DHW</t>
  </si>
  <si>
    <t>MA_SFH_post_2003_Occupied_uninsulated_Somewhat_leaky_envelope_Full_insulated_wall_cavity_exterior_Single_pane</t>
  </si>
  <si>
    <t>MA_MFH_Electric_resistance_AC_window_Air_ducts_conditioned_uninsulated_NG_DHW</t>
  </si>
  <si>
    <t>MA_SFH_post_2003_Occupied_uninsulated_Somewhat_leaky_envelope_Full_insulated_wall_cavity_exterior_Single_pane_storm_windows</t>
  </si>
  <si>
    <t>MA_MFH_Electric_resistance_AC_window_Air_ducts_conditioned_uninsulated_Heating_DHW_combo_NG</t>
  </si>
  <si>
    <t>MA_SFH_post_2003_Occupied_uninsulated_Somewhat_leaky_envelope_Full_insulated_wall_cavity_exterior_Double_pane_lowE</t>
  </si>
  <si>
    <t>MA_MFH_Electric_resistance_AC_window_Air_ducts_conditioned_uninsulated_HPWH</t>
  </si>
  <si>
    <t>MA_SFH_post_2003_Occupied_uninsulated_Somewhat_leaky_envelope_Full_insulated_wall_cavity_exterior_Triple_pane_lowE</t>
  </si>
  <si>
    <t>MA_MFH_Electric_resistance_AC_window_Hot_water_insulated_Electric_resistance_DHW</t>
  </si>
  <si>
    <t>MA_SFH_post_2003_Occupied_uninsulated_Tight_envelope_HRV_Uninsulated_walls_Single_pane</t>
  </si>
  <si>
    <t>MA_MFH_Electric_resistance_AC_window_Hot_water_insulated_NG_DHW</t>
  </si>
  <si>
    <t>MA_SFH_post_2003_Occupied_uninsulated_Tight_envelope_HRV_Uninsulated_walls_Single_pane_storm_windows</t>
  </si>
  <si>
    <t>MA_MFH_Electric_resistance_AC_window_Hot_water_insulated_Heating_DHW_combo_NG</t>
  </si>
  <si>
    <t>MA_SFH_post_2003_Occupied_uninsulated_Tight_envelope_HRV_Uninsulated_walls_Double_pane_lowE</t>
  </si>
  <si>
    <t>MA_MFH_Electric_resistance_AC_window_Hot_water_insulated_HPWH</t>
  </si>
  <si>
    <t>MA_SFH_post_2003_Occupied_uninsulated_Tight_envelope_HRV_Uninsulated_walls_Triple_pane_lowE</t>
  </si>
  <si>
    <t>MA_MFH_Electric_resistance_AC_window_Air_ducts_insulated_Electric_resistance_DHW</t>
  </si>
  <si>
    <t>MA_SFH_post_2003_Occupied_uninsulated_Tight_envelope_HRV_Some_wall_insulation_Single_pane</t>
  </si>
  <si>
    <t>MA_MFH_Electric_resistance_AC_window_Air_ducts_insulated_NG_DHW</t>
  </si>
  <si>
    <t>MA_SFH_post_2003_Occupied_uninsulated_Tight_envelope_HRV_Some_wall_insulation_Single_pane_storm_windows</t>
  </si>
  <si>
    <t>MA_MFH_Electric_resistance_AC_window_Air_ducts_insulated_Heating_DHW_combo_NG</t>
  </si>
  <si>
    <t>MA_SFH_post_2003_Occupied_uninsulated_Tight_envelope_HRV_Some_wall_insulation_Double_pane_lowE</t>
  </si>
  <si>
    <t>MA_MFH_Electric_resistance_AC_window_Air_ducts_insulated_HPWH</t>
  </si>
  <si>
    <t>MA_SFH_post_2003_Occupied_uninsulated_Tight_envelope_HRV_Some_wall_insulation_Triple_pane_lowE</t>
  </si>
  <si>
    <t>MA_MFH_Electric_resistance_Central_AC_Steam_Electric_resistance_DHW</t>
  </si>
  <si>
    <t>MA_SFH_post_2003_Occupied_uninsulated_Tight_envelope_HRV_SIP_Single_pane</t>
  </si>
  <si>
    <t>MA_MFH_Electric_resistance_Central_AC_Steam_NG_DHW</t>
  </si>
  <si>
    <t>MA_SFH_post_2003_Occupied_uninsulated_Tight_envelope_HRV_SIP_Single_pane_storm_windows</t>
  </si>
  <si>
    <t>MA_MFH_Electric_resistance_Central_AC_Steam_Heating_DHW_combo_NG</t>
  </si>
  <si>
    <t>MA_SFH_post_2003_Occupied_uninsulated_Tight_envelope_HRV_SIP_Double_pane_lowE</t>
  </si>
  <si>
    <t>MA_MFH_Electric_resistance_Central_AC_Steam_HPWH</t>
  </si>
  <si>
    <t>MA_SFH_post_2003_Occupied_uninsulated_Tight_envelope_HRV_SIP_Triple_pane_lowE</t>
  </si>
  <si>
    <t>MA_MFH_Electric_resistance_Central_AC_Hot_water_uninsulated_Electric_resistance_DHW</t>
  </si>
  <si>
    <t>MA_SFH_post_2003_Occupied_uninsulated_Tight_envelope_HRV_Full_insulated_wall_cavity_Single_pane</t>
  </si>
  <si>
    <t>MA_MFH_Electric_resistance_Central_AC_Hot_water_uninsulated_NG_DHW</t>
  </si>
  <si>
    <t>MA_SFH_post_2003_Occupied_uninsulated_Tight_envelope_HRV_Full_insulated_wall_cavity_Single_pane_storm_windows</t>
  </si>
  <si>
    <t>MA_MFH_Electric_resistance_Central_AC_Hot_water_uninsulated_Heating_DHW_combo_NG</t>
  </si>
  <si>
    <t>MA_SFH_post_2003_Occupied_uninsulated_Tight_envelope_HRV_Full_insulated_wall_cavity_Double_pane_lowE</t>
  </si>
  <si>
    <t>MA_MFH_Electric_resistance_Central_AC_Hot_water_uninsulated_HPWH</t>
  </si>
  <si>
    <t>MA_SFH_post_2003_Occupied_uninsulated_Tight_envelope_HRV_Full_insulated_wall_cavity_Triple_pane_lowE</t>
  </si>
  <si>
    <t>MA_MFH_Electric_resistance_Central_AC_Air_ducts_uninsulated_Electric_resistance_DHW</t>
  </si>
  <si>
    <t>MA_SFH_post_2003_Occupied_uninsulated_Tight_envelope_HRV_Full_insulated_wall_cavity_exterior_Single_pane</t>
  </si>
  <si>
    <t>MA_MFH_Electric_resistance_Central_AC_Air_ducts_uninsulated_NG_DHW</t>
  </si>
  <si>
    <t>MA_SFH_post_2003_Occupied_uninsulated_Tight_envelope_HRV_Full_insulated_wall_cavity_exterior_Single_pane_storm_windows</t>
  </si>
  <si>
    <t>MA_MFH_Electric_resistance_Central_AC_Air_ducts_uninsulated_Heating_DHW_combo_NG</t>
  </si>
  <si>
    <t>MA_SFH_post_2003_Occupied_uninsulated_Tight_envelope_HRV_Full_insulated_wall_cavity_exterior_Double_pane_lowE</t>
  </si>
  <si>
    <t>MA_MFH_Electric_resistance_Central_AC_Air_ducts_uninsulated_HPWH</t>
  </si>
  <si>
    <t>MA_SFH_post_2003_Occupied_uninsulated_Tight_envelope_HRV_Full_insulated_wall_cavity_exterior_Triple_pane_lowE</t>
  </si>
  <si>
    <t>MA_MFH_Electric_resistance_Central_AC_Air_ducts_conditioned_uninsulated_Electric_resistance_DHW</t>
  </si>
  <si>
    <t>MA_SFH_post_2003_Unoccupied_uninsulated_floor_Leaky_envelope_Uninsulated_walls_Single_pane</t>
  </si>
  <si>
    <t>MA_MFH_Electric_resistance_Central_AC_Air_ducts_conditioned_uninsulated_NG_DHW</t>
  </si>
  <si>
    <t>MA_SFH_post_2003_Unoccupied_uninsulated_floor_Leaky_envelope_Uninsulated_walls_Single_pane_storm_windows</t>
  </si>
  <si>
    <t>MA_MFH_Electric_resistance_Central_AC_Air_ducts_conditioned_uninsulated_Heating_DHW_combo_NG</t>
  </si>
  <si>
    <t>MA_SFH_post_2003_Unoccupied_uninsulated_floor_Leaky_envelope_Uninsulated_walls_Double_pane_lowE</t>
  </si>
  <si>
    <t>MA_MFH_Electric_resistance_Central_AC_Air_ducts_conditioned_uninsulated_HPWH</t>
  </si>
  <si>
    <t>MA_SFH_post_2003_Unoccupied_uninsulated_floor_Leaky_envelope_Uninsulated_walls_Triple_pane_lowE</t>
  </si>
  <si>
    <t>MA_MFH_Electric_resistance_Central_AC_Hot_water_insulated_Electric_resistance_DHW</t>
  </si>
  <si>
    <t>MA_SFH_post_2003_Unoccupied_uninsulated_floor_Leaky_envelope_Some_wall_insulation_Single_pane</t>
  </si>
  <si>
    <t>MA_MFH_Electric_resistance_Central_AC_Hot_water_insulated_NG_DHW</t>
  </si>
  <si>
    <t>MA_SFH_post_2003_Unoccupied_uninsulated_floor_Leaky_envelope_Some_wall_insulation_Single_pane_storm_windows</t>
  </si>
  <si>
    <t>MA_MFH_Electric_resistance_Central_AC_Hot_water_insulated_Heating_DHW_combo_NG</t>
  </si>
  <si>
    <t>MA_SFH_post_2003_Unoccupied_uninsulated_floor_Leaky_envelope_Some_wall_insulation_Double_pane_lowE</t>
  </si>
  <si>
    <t>MA_MFH_Electric_resistance_Central_AC_Hot_water_insulated_HPWH</t>
  </si>
  <si>
    <t>MA_SFH_post_2003_Unoccupied_uninsulated_floor_Leaky_envelope_Some_wall_insulation_Triple_pane_lowE</t>
  </si>
  <si>
    <t>MA_MFH_Electric_resistance_Central_AC_Air_ducts_insulated_Electric_resistance_DHW</t>
  </si>
  <si>
    <t>MA_SFH_post_2003_Unoccupied_uninsulated_floor_Leaky_envelope_SIP_Single_pane</t>
  </si>
  <si>
    <t>MA_MFH_Electric_resistance_Central_AC_Air_ducts_insulated_NG_DHW</t>
  </si>
  <si>
    <t>MA_SFH_post_2003_Unoccupied_uninsulated_floor_Leaky_envelope_SIP_Single_pane_storm_windows</t>
  </si>
  <si>
    <t>MA_MFH_Electric_resistance_Central_AC_Air_ducts_insulated_Heating_DHW_combo_NG</t>
  </si>
  <si>
    <t>MA_SFH_post_2003_Unoccupied_uninsulated_floor_Leaky_envelope_SIP_Double_pane_lowE</t>
  </si>
  <si>
    <t>MA_MFH_Electric_resistance_Central_AC_Air_ducts_insulated_HPWH</t>
  </si>
  <si>
    <t>MA_SFH_post_2003_Unoccupied_uninsulated_floor_Leaky_envelope_SIP_Triple_pane_lowE</t>
  </si>
  <si>
    <t>MA_MFH_Electric_resistance_Natural_ventilation_Steam_Electric_resistance_DHW</t>
  </si>
  <si>
    <t>MA_SFH_post_2003_Unoccupied_uninsulated_floor_Leaky_envelope_Full_insulated_wall_cavity_Single_pane</t>
  </si>
  <si>
    <t>MA_MFH_Electric_resistance_Natural_ventilation_Steam_NG_DHW</t>
  </si>
  <si>
    <t>MA_SFH_post_2003_Unoccupied_uninsulated_floor_Leaky_envelope_Full_insulated_wall_cavity_Single_pane_storm_windows</t>
  </si>
  <si>
    <t>MA_MFH_Electric_resistance_Natural_ventilation_Steam_Heating_DHW_combo_NG</t>
  </si>
  <si>
    <t>MA_SFH_post_2003_Unoccupied_uninsulated_floor_Leaky_envelope_Full_insulated_wall_cavity_Double_pane_lowE</t>
  </si>
  <si>
    <t>MA_MFH_Electric_resistance_Natural_ventilation_Steam_HPWH</t>
  </si>
  <si>
    <t>MA_SFH_post_2003_Unoccupied_uninsulated_floor_Leaky_envelope_Full_insulated_wall_cavity_Triple_pane_lowE</t>
  </si>
  <si>
    <t>MA_MFH_Electric_resistance_Natural_ventilation_Hot_water_uninsulated_Electric_resistance_DHW</t>
  </si>
  <si>
    <t>MA_SFH_post_2003_Unoccupied_uninsulated_floor_Leaky_envelope_Full_insulated_wall_cavity_exterior_Single_pane</t>
  </si>
  <si>
    <t>MA_MFH_Electric_resistance_Natural_ventilation_Hot_water_uninsulated_NG_DHW</t>
  </si>
  <si>
    <t>MA_SFH_post_2003_Unoccupied_uninsulated_floor_Leaky_envelope_Full_insulated_wall_cavity_exterior_Single_pane_storm_windows</t>
  </si>
  <si>
    <t>MA_MFH_Electric_resistance_Natural_ventilation_Hot_water_uninsulated_Heating_DHW_combo_NG</t>
  </si>
  <si>
    <t>MA_SFH_post_2003_Unoccupied_uninsulated_floor_Leaky_envelope_Full_insulated_wall_cavity_exterior_Double_pane_lowE</t>
  </si>
  <si>
    <t>MA_MFH_Electric_resistance_Natural_ventilation_Hot_water_uninsulated_HPWH</t>
  </si>
  <si>
    <t>MA_SFH_post_2003_Unoccupied_uninsulated_floor_Leaky_envelope_Full_insulated_wall_cavity_exterior_Triple_pane_lowE</t>
  </si>
  <si>
    <t>MA_MFH_Electric_resistance_Natural_ventilation_Air_ducts_uninsulated_Electric_resistance_DHW</t>
  </si>
  <si>
    <t>MA_SFH_post_2003_Unoccupied_uninsulated_floor_Somewhat_leaky_envelope_Uninsulated_walls_Single_pane</t>
  </si>
  <si>
    <t>MA_MFH_Electric_resistance_Natural_ventilation_Air_ducts_uninsulated_NG_DHW</t>
  </si>
  <si>
    <t>MA_SFH_post_2003_Unoccupied_uninsulated_floor_Somewhat_leaky_envelope_Uninsulated_walls_Single_pane_storm_windows</t>
  </si>
  <si>
    <t>MA_MFH_Electric_resistance_Natural_ventilation_Air_ducts_uninsulated_Heating_DHW_combo_NG</t>
  </si>
  <si>
    <t>MA_SFH_post_2003_Unoccupied_uninsulated_floor_Somewhat_leaky_envelope_Uninsulated_walls_Double_pane_lowE</t>
  </si>
  <si>
    <t>MA_MFH_Electric_resistance_Natural_ventilation_Air_ducts_uninsulated_HPWH</t>
  </si>
  <si>
    <t>MA_SFH_post_2003_Unoccupied_uninsulated_floor_Somewhat_leaky_envelope_Uninsulated_walls_Triple_pane_lowE</t>
  </si>
  <si>
    <t>MA_MFH_Electric_resistance_Natural_ventilation_Air_ducts_conditioned_uninsulated_Electric_resistance_DHW</t>
  </si>
  <si>
    <t>MA_SFH_post_2003_Unoccupied_uninsulated_floor_Somewhat_leaky_envelope_Some_wall_insulation_Single_pane</t>
  </si>
  <si>
    <t>MA_MFH_Electric_resistance_Natural_ventilation_Air_ducts_conditioned_uninsulated_NG_DHW</t>
  </si>
  <si>
    <t>MA_SFH_post_2003_Unoccupied_uninsulated_floor_Somewhat_leaky_envelope_Some_wall_insulation_Single_pane_storm_windows</t>
  </si>
  <si>
    <t>MA_MFH_Electric_resistance_Natural_ventilation_Air_ducts_conditioned_uninsulated_Heating_DHW_combo_NG</t>
  </si>
  <si>
    <t>MA_SFH_post_2003_Unoccupied_uninsulated_floor_Somewhat_leaky_envelope_Some_wall_insulation_Double_pane_lowE</t>
  </si>
  <si>
    <t>MA_MFH_Electric_resistance_Natural_ventilation_Air_ducts_conditioned_uninsulated_HPWH</t>
  </si>
  <si>
    <t>MA_SFH_post_2003_Unoccupied_uninsulated_floor_Somewhat_leaky_envelope_Some_wall_insulation_Triple_pane_lowE</t>
  </si>
  <si>
    <t>MA_MFH_Electric_resistance_Natural_ventilation_Hot_water_insulated_Electric_resistance_DHW</t>
  </si>
  <si>
    <t>MA_SFH_post_2003_Unoccupied_uninsulated_floor_Somewhat_leaky_envelope_SIP_Single_pane</t>
  </si>
  <si>
    <t>MA_MFH_Electric_resistance_Natural_ventilation_Hot_water_insulated_NG_DHW</t>
  </si>
  <si>
    <t>MA_SFH_post_2003_Unoccupied_uninsulated_floor_Somewhat_leaky_envelope_SIP_Single_pane_storm_windows</t>
  </si>
  <si>
    <t>MA_MFH_Electric_resistance_Natural_ventilation_Hot_water_insulated_Heating_DHW_combo_NG</t>
  </si>
  <si>
    <t>MA_SFH_post_2003_Unoccupied_uninsulated_floor_Somewhat_leaky_envelope_SIP_Double_pane_lowE</t>
  </si>
  <si>
    <t>MA_MFH_Electric_resistance_Natural_ventilation_Hot_water_insulated_HPWH</t>
  </si>
  <si>
    <t>MA_SFH_post_2003_Unoccupied_uninsulated_floor_Somewhat_leaky_envelope_SIP_Triple_pane_lowE</t>
  </si>
  <si>
    <t>MA_MFH_Electric_resistance_Natural_ventilation_Air_ducts_insulated_Electric_resistance_DHW</t>
  </si>
  <si>
    <t>MA_SFH_post_2003_Unoccupied_uninsulated_floor_Somewhat_leaky_envelope_Full_insulated_wall_cavity_Single_pane</t>
  </si>
  <si>
    <t>MA_MFH_Electric_resistance_Natural_ventilation_Air_ducts_insulated_NG_DHW</t>
  </si>
  <si>
    <t>MA_SFH_post_2003_Unoccupied_uninsulated_floor_Somewhat_leaky_envelope_Full_insulated_wall_cavity_Single_pane_storm_windows</t>
  </si>
  <si>
    <t>MA_MFH_Electric_resistance_Natural_ventilation_Air_ducts_insulated_Heating_DHW_combo_NG</t>
  </si>
  <si>
    <t>MA_SFH_post_2003_Unoccupied_uninsulated_floor_Somewhat_leaky_envelope_Full_insulated_wall_cavity_Double_pane_lowE</t>
  </si>
  <si>
    <t>MA_MFH_Electric_resistance_Natural_ventilation_Air_ducts_insulated_HPWH</t>
  </si>
  <si>
    <t>MA_SFH_post_2003_Unoccupied_uninsulated_floor_Somewhat_leaky_envelope_Full_insulated_wall_cavity_Triple_pane_lowE</t>
  </si>
  <si>
    <t>MA_MFH_Electric_resistance_Window_ASHP_Steam_Electric_resistance_DHW</t>
  </si>
  <si>
    <t>MA_SFH_post_2003_Unoccupied_uninsulated_floor_Somewhat_leaky_envelope_Full_insulated_wall_cavity_exterior_Single_pane</t>
  </si>
  <si>
    <t>MA_MFH_Electric_resistance_Window_ASHP_Steam_NG_DHW</t>
  </si>
  <si>
    <t>MA_SFH_post_2003_Unoccupied_uninsulated_floor_Somewhat_leaky_envelope_Full_insulated_wall_cavity_exterior_Single_pane_storm_windows</t>
  </si>
  <si>
    <t>MA_MFH_Electric_resistance_Window_ASHP_Steam_Heating_DHW_combo_NG</t>
  </si>
  <si>
    <t>MA_SFH_post_2003_Unoccupied_uninsulated_floor_Somewhat_leaky_envelope_Full_insulated_wall_cavity_exterior_Double_pane_lowE</t>
  </si>
  <si>
    <t>MA_MFH_Electric_resistance_Window_ASHP_Steam_HPWH</t>
  </si>
  <si>
    <t>MA_SFH_post_2003_Unoccupied_uninsulated_floor_Somewhat_leaky_envelope_Full_insulated_wall_cavity_exterior_Triple_pane_lowE</t>
  </si>
  <si>
    <t>MA_MFH_Electric_resistance_Window_ASHP_Hot_water_uninsulated_Electric_resistance_DHW</t>
  </si>
  <si>
    <t>MA_SFH_post_2003_Unoccupied_uninsulated_floor_Tight_envelope_HRV_Uninsulated_walls_Single_pane</t>
  </si>
  <si>
    <t>MA_MFH_Electric_resistance_Window_ASHP_Hot_water_uninsulated_NG_DHW</t>
  </si>
  <si>
    <t>MA_SFH_post_2003_Unoccupied_uninsulated_floor_Tight_envelope_HRV_Uninsulated_walls_Single_pane_storm_windows</t>
  </si>
  <si>
    <t>MA_MFH_Electric_resistance_Window_ASHP_Hot_water_uninsulated_Heating_DHW_combo_NG</t>
  </si>
  <si>
    <t>MA_SFH_post_2003_Unoccupied_uninsulated_floor_Tight_envelope_HRV_Uninsulated_walls_Double_pane_lowE</t>
  </si>
  <si>
    <t>MA_MFH_Electric_resistance_Window_ASHP_Hot_water_uninsulated_HPWH</t>
  </si>
  <si>
    <t>MA_SFH_post_2003_Unoccupied_uninsulated_floor_Tight_envelope_HRV_Uninsulated_walls_Triple_pane_lowE</t>
  </si>
  <si>
    <t>MA_MFH_Electric_resistance_Window_ASHP_Air_ducts_uninsulated_Electric_resistance_DHW</t>
  </si>
  <si>
    <t>MA_SFH_post_2003_Unoccupied_uninsulated_floor_Tight_envelope_HRV_Some_wall_insulation_Single_pane</t>
  </si>
  <si>
    <t>MA_MFH_Electric_resistance_Window_ASHP_Air_ducts_uninsulated_NG_DHW</t>
  </si>
  <si>
    <t>MA_SFH_post_2003_Unoccupied_uninsulated_floor_Tight_envelope_HRV_Some_wall_insulation_Single_pane_storm_windows</t>
  </si>
  <si>
    <t>MA_MFH_Electric_resistance_Window_ASHP_Air_ducts_uninsulated_Heating_DHW_combo_NG</t>
  </si>
  <si>
    <t>MA_SFH_post_2003_Unoccupied_uninsulated_floor_Tight_envelope_HRV_Some_wall_insulation_Double_pane_lowE</t>
  </si>
  <si>
    <t>MA_MFH_Electric_resistance_Window_ASHP_Air_ducts_uninsulated_HPWH</t>
  </si>
  <si>
    <t>MA_SFH_post_2003_Unoccupied_uninsulated_floor_Tight_envelope_HRV_Some_wall_insulation_Triple_pane_lowE</t>
  </si>
  <si>
    <t>MA_MFH_Electric_resistance_Window_ASHP_Air_ducts_conditioned_uninsulated_Electric_resistance_DHW</t>
  </si>
  <si>
    <t>MA_SFH_post_2003_Unoccupied_uninsulated_floor_Tight_envelope_HRV_SIP_Single_pane</t>
  </si>
  <si>
    <t>MA_MFH_Electric_resistance_Window_ASHP_Air_ducts_conditioned_uninsulated_NG_DHW</t>
  </si>
  <si>
    <t>MA_SFH_post_2003_Unoccupied_uninsulated_floor_Tight_envelope_HRV_SIP_Single_pane_storm_windows</t>
  </si>
  <si>
    <t>MA_MFH_Electric_resistance_Window_ASHP_Air_ducts_conditioned_uninsulated_Heating_DHW_combo_NG</t>
  </si>
  <si>
    <t>MA_SFH_post_2003_Unoccupied_uninsulated_floor_Tight_envelope_HRV_SIP_Double_pane_lowE</t>
  </si>
  <si>
    <t>MA_MFH_Electric_resistance_Window_ASHP_Air_ducts_conditioned_uninsulated_HPWH</t>
  </si>
  <si>
    <t>MA_SFH_post_2003_Unoccupied_uninsulated_floor_Tight_envelope_HRV_SIP_Triple_pane_lowE</t>
  </si>
  <si>
    <t>MA_MFH_Electric_resistance_Window_ASHP_Hot_water_insulated_Electric_resistance_DHW</t>
  </si>
  <si>
    <t>MA_SFH_post_2003_Unoccupied_uninsulated_floor_Tight_envelope_HRV_Full_insulated_wall_cavity_Single_pane</t>
  </si>
  <si>
    <t>MA_MFH_Electric_resistance_Window_ASHP_Hot_water_insulated_NG_DHW</t>
  </si>
  <si>
    <t>MA_SFH_post_2003_Unoccupied_uninsulated_floor_Tight_envelope_HRV_Full_insulated_wall_cavity_Single_pane_storm_windows</t>
  </si>
  <si>
    <t>MA_MFH_Electric_resistance_Window_ASHP_Hot_water_insulated_Heating_DHW_combo_NG</t>
  </si>
  <si>
    <t>MA_SFH_post_2003_Unoccupied_uninsulated_floor_Tight_envelope_HRV_Full_insulated_wall_cavity_Double_pane_lowE</t>
  </si>
  <si>
    <t>MA_MFH_Electric_resistance_Window_ASHP_Hot_water_insulated_HPWH</t>
  </si>
  <si>
    <t>MA_SFH_post_2003_Unoccupied_uninsulated_floor_Tight_envelope_HRV_Full_insulated_wall_cavity_Triple_pane_lowE</t>
  </si>
  <si>
    <t>MA_MFH_Electric_resistance_Window_ASHP_Air_ducts_insulated_Electric_resistance_DHW</t>
  </si>
  <si>
    <t>MA_SFH_post_2003_Unoccupied_uninsulated_floor_Tight_envelope_HRV_Full_insulated_wall_cavity_exterior_Single_pane</t>
  </si>
  <si>
    <t>MA_MFH_Electric_resistance_Window_ASHP_Air_ducts_insulated_NG_DHW</t>
  </si>
  <si>
    <t>MA_SFH_post_2003_Unoccupied_uninsulated_floor_Tight_envelope_HRV_Full_insulated_wall_cavity_exterior_Single_pane_storm_windows</t>
  </si>
  <si>
    <t>MA_MFH_Electric_resistance_Window_ASHP_Air_ducts_insulated_Heating_DHW_combo_NG</t>
  </si>
  <si>
    <t>MA_SFH_post_2003_Unoccupied_uninsulated_floor_Tight_envelope_HRV_Full_insulated_wall_cavity_exterior_Double_pane_lowE</t>
  </si>
  <si>
    <t>MA_MFH_Electric_resistance_Window_ASHP_Air_ducts_insulated_HPWH</t>
  </si>
  <si>
    <t>MA_SFH_post_2003_Unoccupied_uninsulated_floor_Tight_envelope_HRV_Full_insulated_wall_cavity_exterior_Triple_pane_lowE</t>
  </si>
  <si>
    <t>MA_MFH_Electric_resistance_ASHP_Steam_Electric_resistance_DHW</t>
  </si>
  <si>
    <t>MA_SFH_post_2003_Unoccupied_insulated_floor_Leaky_envelope_Uninsulated_walls_Single_pane</t>
  </si>
  <si>
    <t>MA_MFH_Electric_resistance_ASHP_Steam_NG_DHW</t>
  </si>
  <si>
    <t>MA_SFH_post_2003_Unoccupied_insulated_floor_Leaky_envelope_Uninsulated_walls_Single_pane_storm_windows</t>
  </si>
  <si>
    <t>MA_MFH_Electric_resistance_ASHP_Steam_Heating_DHW_combo_NG</t>
  </si>
  <si>
    <t>MA_SFH_post_2003_Unoccupied_insulated_floor_Leaky_envelope_Uninsulated_walls_Double_pane_lowE</t>
  </si>
  <si>
    <t>MA_MFH_Electric_resistance_ASHP_Steam_HPWH</t>
  </si>
  <si>
    <t>MA_SFH_post_2003_Unoccupied_insulated_floor_Leaky_envelope_Uninsulated_walls_Triple_pane_lowE</t>
  </si>
  <si>
    <t>MA_MFH_Electric_resistance_ASHP_Hot_water_uninsulated_Electric_resistance_DHW</t>
  </si>
  <si>
    <t>MA_SFH_post_2003_Unoccupied_insulated_floor_Leaky_envelope_Some_wall_insulation_Single_pane</t>
  </si>
  <si>
    <t>MA_MFH_Electric_resistance_ASHP_Hot_water_uninsulated_NG_DHW</t>
  </si>
  <si>
    <t>MA_SFH_post_2003_Unoccupied_insulated_floor_Leaky_envelope_Some_wall_insulation_Single_pane_storm_windows</t>
  </si>
  <si>
    <t>MA_MFH_Electric_resistance_ASHP_Hot_water_uninsulated_Heating_DHW_combo_NG</t>
  </si>
  <si>
    <t>MA_SFH_post_2003_Unoccupied_insulated_floor_Leaky_envelope_Some_wall_insulation_Double_pane_lowE</t>
  </si>
  <si>
    <t>MA_MFH_Electric_resistance_ASHP_Hot_water_uninsulated_HPWH</t>
  </si>
  <si>
    <t>MA_SFH_post_2003_Unoccupied_insulated_floor_Leaky_envelope_Some_wall_insulation_Triple_pane_lowE</t>
  </si>
  <si>
    <t>MA_MFH_Electric_resistance_ASHP_Air_ducts_uninsulated_Electric_resistance_DHW</t>
  </si>
  <si>
    <t>MA_SFH_post_2003_Unoccupied_insulated_floor_Leaky_envelope_SIP_Single_pane</t>
  </si>
  <si>
    <t>MA_MFH_Electric_resistance_ASHP_Air_ducts_uninsulated_NG_DHW</t>
  </si>
  <si>
    <t>MA_SFH_post_2003_Unoccupied_insulated_floor_Leaky_envelope_SIP_Single_pane_storm_windows</t>
  </si>
  <si>
    <t>MA_MFH_Electric_resistance_ASHP_Air_ducts_uninsulated_Heating_DHW_combo_NG</t>
  </si>
  <si>
    <t>MA_SFH_post_2003_Unoccupied_insulated_floor_Leaky_envelope_SIP_Double_pane_lowE</t>
  </si>
  <si>
    <t>MA_MFH_Electric_resistance_ASHP_Air_ducts_uninsulated_HPWH</t>
  </si>
  <si>
    <t>MA_SFH_post_2003_Unoccupied_insulated_floor_Leaky_envelope_SIP_Triple_pane_lowE</t>
  </si>
  <si>
    <t>MA_MFH_Electric_resistance_ASHP_Air_ducts_conditioned_uninsulated_Electric_resistance_DHW</t>
  </si>
  <si>
    <t>MA_SFH_post_2003_Unoccupied_insulated_floor_Leaky_envelope_Full_insulated_wall_cavity_Single_pane</t>
  </si>
  <si>
    <t>MA_MFH_Electric_resistance_ASHP_Air_ducts_conditioned_uninsulated_NG_DHW</t>
  </si>
  <si>
    <t>MA_SFH_post_2003_Unoccupied_insulated_floor_Leaky_envelope_Full_insulated_wall_cavity_Single_pane_storm_windows</t>
  </si>
  <si>
    <t>MA_MFH_Electric_resistance_ASHP_Air_ducts_conditioned_uninsulated_Heating_DHW_combo_NG</t>
  </si>
  <si>
    <t>MA_SFH_post_2003_Unoccupied_insulated_floor_Leaky_envelope_Full_insulated_wall_cavity_Double_pane_lowE</t>
  </si>
  <si>
    <t>MA_MFH_Electric_resistance_ASHP_Air_ducts_conditioned_uninsulated_HPWH</t>
  </si>
  <si>
    <t>MA_SFH_post_2003_Unoccupied_insulated_floor_Leaky_envelope_Full_insulated_wall_cavity_Triple_pane_lowE</t>
  </si>
  <si>
    <t>MA_MFH_Electric_resistance_ASHP_Hot_water_insulated_Electric_resistance_DHW</t>
  </si>
  <si>
    <t>MA_SFH_post_2003_Unoccupied_insulated_floor_Leaky_envelope_Full_insulated_wall_cavity_exterior_Single_pane</t>
  </si>
  <si>
    <t>MA_MFH_Electric_resistance_ASHP_Hot_water_insulated_NG_DHW</t>
  </si>
  <si>
    <t>MA_SFH_post_2003_Unoccupied_insulated_floor_Leaky_envelope_Full_insulated_wall_cavity_exterior_Single_pane_storm_windows</t>
  </si>
  <si>
    <t>MA_MFH_Electric_resistance_ASHP_Hot_water_insulated_Heating_DHW_combo_NG</t>
  </si>
  <si>
    <t>MA_SFH_post_2003_Unoccupied_insulated_floor_Leaky_envelope_Full_insulated_wall_cavity_exterior_Double_pane_lowE</t>
  </si>
  <si>
    <t>MA_MFH_Electric_resistance_ASHP_Hot_water_insulated_HPWH</t>
  </si>
  <si>
    <t>MA_SFH_post_2003_Unoccupied_insulated_floor_Leaky_envelope_Full_insulated_wall_cavity_exterior_Triple_pane_lowE</t>
  </si>
  <si>
    <t>MA_MFH_Electric_resistance_ASHP_Air_ducts_insulated_Electric_resistance_DHW</t>
  </si>
  <si>
    <t>MA_SFH_post_2003_Unoccupied_insulated_floor_Somewhat_leaky_envelope_Uninsulated_walls_Single_pane</t>
  </si>
  <si>
    <t>MA_MFH_Electric_resistance_ASHP_Air_ducts_insulated_NG_DHW</t>
  </si>
  <si>
    <t>MA_SFH_post_2003_Unoccupied_insulated_floor_Somewhat_leaky_envelope_Uninsulated_walls_Single_pane_storm_windows</t>
  </si>
  <si>
    <t>MA_MFH_Electric_resistance_ASHP_Air_ducts_insulated_Heating_DHW_combo_NG</t>
  </si>
  <si>
    <t>MA_SFH_post_2003_Unoccupied_insulated_floor_Somewhat_leaky_envelope_Uninsulated_walls_Double_pane_lowE</t>
  </si>
  <si>
    <t>MA_MFH_Electric_resistance_ASHP_Air_ducts_insulated_HPWH</t>
  </si>
  <si>
    <t>MA_SFH_post_2003_Unoccupied_insulated_floor_Somewhat_leaky_envelope_Uninsulated_walls_Triple_pane_lowE</t>
  </si>
  <si>
    <t>MA_MFH_Electric_resistance_GSHP_Steam_Electric_resistance_DHW</t>
  </si>
  <si>
    <t>MA_SFH_post_2003_Unoccupied_insulated_floor_Somewhat_leaky_envelope_Some_wall_insulation_Single_pane</t>
  </si>
  <si>
    <t>MA_MFH_Electric_resistance_GSHP_Steam_NG_DHW</t>
  </si>
  <si>
    <t>MA_SFH_post_2003_Unoccupied_insulated_floor_Somewhat_leaky_envelope_Some_wall_insulation_Single_pane_storm_windows</t>
  </si>
  <si>
    <t>MA_MFH_Electric_resistance_GSHP_Steam_Heating_DHW_combo_NG</t>
  </si>
  <si>
    <t>MA_SFH_post_2003_Unoccupied_insulated_floor_Somewhat_leaky_envelope_Some_wall_insulation_Double_pane_lowE</t>
  </si>
  <si>
    <t>MA_MFH_Electric_resistance_GSHP_Steam_HPWH</t>
  </si>
  <si>
    <t>MA_SFH_post_2003_Unoccupied_insulated_floor_Somewhat_leaky_envelope_Some_wall_insulation_Triple_pane_lowE</t>
  </si>
  <si>
    <t>MA_MFH_Electric_resistance_GSHP_Hot_water_uninsulated_Electric_resistance_DHW</t>
  </si>
  <si>
    <t>MA_SFH_post_2003_Unoccupied_insulated_floor_Somewhat_leaky_envelope_SIP_Single_pane</t>
  </si>
  <si>
    <t>MA_MFH_Electric_resistance_GSHP_Hot_water_uninsulated_NG_DHW</t>
  </si>
  <si>
    <t>MA_SFH_post_2003_Unoccupied_insulated_floor_Somewhat_leaky_envelope_SIP_Single_pane_storm_windows</t>
  </si>
  <si>
    <t>MA_MFH_Electric_resistance_GSHP_Hot_water_uninsulated_Heating_DHW_combo_NG</t>
  </si>
  <si>
    <t>MA_SFH_post_2003_Unoccupied_insulated_floor_Somewhat_leaky_envelope_SIP_Double_pane_lowE</t>
  </si>
  <si>
    <t>MA_MFH_Electric_resistance_GSHP_Hot_water_uninsulated_HPWH</t>
  </si>
  <si>
    <t>MA_SFH_post_2003_Unoccupied_insulated_floor_Somewhat_leaky_envelope_SIP_Triple_pane_lowE</t>
  </si>
  <si>
    <t>MA_MFH_Electric_resistance_GSHP_Air_ducts_uninsulated_Electric_resistance_DHW</t>
  </si>
  <si>
    <t>MA_SFH_post_2003_Unoccupied_insulated_floor_Somewhat_leaky_envelope_Full_insulated_wall_cavity_Single_pane</t>
  </si>
  <si>
    <t>MA_MFH_Electric_resistance_GSHP_Air_ducts_uninsulated_NG_DHW</t>
  </si>
  <si>
    <t>MA_SFH_post_2003_Unoccupied_insulated_floor_Somewhat_leaky_envelope_Full_insulated_wall_cavity_Single_pane_storm_windows</t>
  </si>
  <si>
    <t>MA_MFH_Electric_resistance_GSHP_Air_ducts_uninsulated_Heating_DHW_combo_NG</t>
  </si>
  <si>
    <t>MA_SFH_post_2003_Unoccupied_insulated_floor_Somewhat_leaky_envelope_Full_insulated_wall_cavity_Double_pane_lowE</t>
  </si>
  <si>
    <t>MA_MFH_Electric_resistance_GSHP_Air_ducts_uninsulated_HPWH</t>
  </si>
  <si>
    <t>MA_SFH_post_2003_Unoccupied_insulated_floor_Somewhat_leaky_envelope_Full_insulated_wall_cavity_Triple_pane_lowE</t>
  </si>
  <si>
    <t>MA_MFH_Electric_resistance_GSHP_Air_ducts_conditioned_uninsulated_Electric_resistance_DHW</t>
  </si>
  <si>
    <t>MA_SFH_post_2003_Unoccupied_insulated_floor_Somewhat_leaky_envelope_Full_insulated_wall_cavity_exterior_Single_pane</t>
  </si>
  <si>
    <t>MA_MFH_Electric_resistance_GSHP_Air_ducts_conditioned_uninsulated_NG_DHW</t>
  </si>
  <si>
    <t>MA_SFH_post_2003_Unoccupied_insulated_floor_Somewhat_leaky_envelope_Full_insulated_wall_cavity_exterior_Single_pane_storm_windows</t>
  </si>
  <si>
    <t>MA_MFH_Electric_resistance_GSHP_Air_ducts_conditioned_uninsulated_Heating_DHW_combo_NG</t>
  </si>
  <si>
    <t>MA_SFH_post_2003_Unoccupied_insulated_floor_Somewhat_leaky_envelope_Full_insulated_wall_cavity_exterior_Double_pane_lowE</t>
  </si>
  <si>
    <t>MA_MFH_Electric_resistance_GSHP_Air_ducts_conditioned_uninsulated_HPWH</t>
  </si>
  <si>
    <t>MA_SFH_post_2003_Unoccupied_insulated_floor_Somewhat_leaky_envelope_Full_insulated_wall_cavity_exterior_Triple_pane_lowE</t>
  </si>
  <si>
    <t>MA_MFH_Electric_resistance_GSHP_Hot_water_insulated_Electric_resistance_DHW</t>
  </si>
  <si>
    <t>MA_SFH_post_2003_Unoccupied_insulated_floor_Tight_envelope_HRV_Uninsulated_walls_Single_pane</t>
  </si>
  <si>
    <t>MA_MFH_Electric_resistance_GSHP_Hot_water_insulated_NG_DHW</t>
  </si>
  <si>
    <t>MA_SFH_post_2003_Unoccupied_insulated_floor_Tight_envelope_HRV_Uninsulated_walls_Single_pane_storm_windows</t>
  </si>
  <si>
    <t>MA_MFH_Electric_resistance_GSHP_Hot_water_insulated_Heating_DHW_combo_NG</t>
  </si>
  <si>
    <t>MA_SFH_post_2003_Unoccupied_insulated_floor_Tight_envelope_HRV_Uninsulated_walls_Double_pane_lowE</t>
  </si>
  <si>
    <t>MA_MFH_Electric_resistance_GSHP_Hot_water_insulated_HPWH</t>
  </si>
  <si>
    <t>MA_SFH_post_2003_Unoccupied_insulated_floor_Tight_envelope_HRV_Uninsulated_walls_Triple_pane_lowE</t>
  </si>
  <si>
    <t>MA_MFH_Electric_resistance_GSHP_Air_ducts_insulated_Electric_resistance_DHW</t>
  </si>
  <si>
    <t>MA_SFH_post_2003_Unoccupied_insulated_floor_Tight_envelope_HRV_Some_wall_insulation_Single_pane</t>
  </si>
  <si>
    <t>MA_MFH_Electric_resistance_GSHP_Air_ducts_insulated_NG_DHW</t>
  </si>
  <si>
    <t>MA_SFH_post_2003_Unoccupied_insulated_floor_Tight_envelope_HRV_Some_wall_insulation_Single_pane_storm_windows</t>
  </si>
  <si>
    <t>MA_MFH_Electric_resistance_GSHP_Air_ducts_insulated_Heating_DHW_combo_NG</t>
  </si>
  <si>
    <t>MA_SFH_post_2003_Unoccupied_insulated_floor_Tight_envelope_HRV_Some_wall_insulation_Double_pane_lowE</t>
  </si>
  <si>
    <t>MA_MFH_Electric_resistance_GSHP_Air_ducts_insulated_HPWH</t>
  </si>
  <si>
    <t>MA_SFH_post_2003_Unoccupied_insulated_floor_Tight_envelope_HRV_Some_wall_insulation_Triple_pane_lowE</t>
  </si>
  <si>
    <t>MA_MFH_Oil_heating_AC_window_Steam_Electric_resistance_DHW</t>
  </si>
  <si>
    <t>MA_SFH_post_2003_Unoccupied_insulated_floor_Tight_envelope_HRV_SIP_Single_pane</t>
  </si>
  <si>
    <t>MA_MFH_Oil_heating_AC_window_Steam_NG_DHW</t>
  </si>
  <si>
    <t>MA_SFH_post_2003_Unoccupied_insulated_floor_Tight_envelope_HRV_SIP_Single_pane_storm_windows</t>
  </si>
  <si>
    <t>MA_MFH_Oil_heating_AC_window_Steam_Heating_DHW_combo_NG</t>
  </si>
  <si>
    <t>MA_SFH_post_2003_Unoccupied_insulated_floor_Tight_envelope_HRV_SIP_Double_pane_lowE</t>
  </si>
  <si>
    <t>MA_MFH_Oil_heating_AC_window_Steam_HPWH</t>
  </si>
  <si>
    <t>MA_SFH_post_2003_Unoccupied_insulated_floor_Tight_envelope_HRV_SIP_Triple_pane_lowE</t>
  </si>
  <si>
    <t>MA_MFH_Oil_heating_AC_window_Hot_water_uninsulated_Electric_resistance_DHW</t>
  </si>
  <si>
    <t>MA_SFH_post_2003_Unoccupied_insulated_floor_Tight_envelope_HRV_Full_insulated_wall_cavity_Single_pane</t>
  </si>
  <si>
    <t>MA_MFH_Oil_heating_AC_window_Hot_water_uninsulated_NG_DHW</t>
  </si>
  <si>
    <t>MA_SFH_post_2003_Unoccupied_insulated_floor_Tight_envelope_HRV_Full_insulated_wall_cavity_Single_pane_storm_windows</t>
  </si>
  <si>
    <t>MA_MFH_Oil_heating_AC_window_Hot_water_uninsulated_Heating_DHW_combo_NG</t>
  </si>
  <si>
    <t>MA_SFH_post_2003_Unoccupied_insulated_floor_Tight_envelope_HRV_Full_insulated_wall_cavity_Double_pane_lowE</t>
  </si>
  <si>
    <t>MA_MFH_Oil_heating_AC_window_Hot_water_uninsulated_HPWH</t>
  </si>
  <si>
    <t>MA_SFH_post_2003_Unoccupied_insulated_floor_Tight_envelope_HRV_Full_insulated_wall_cavity_Triple_pane_lowE</t>
  </si>
  <si>
    <t>MA_MFH_Oil_heating_AC_window_Air_ducts_uninsulated_Electric_resistance_DHW</t>
  </si>
  <si>
    <t>MA_SFH_post_2003_Unoccupied_insulated_floor_Tight_envelope_HRV_Full_insulated_wall_cavity_exterior_Single_pane</t>
  </si>
  <si>
    <t>MA_MFH_Oil_heating_AC_window_Air_ducts_uninsulated_NG_DHW</t>
  </si>
  <si>
    <t>MA_SFH_post_2003_Unoccupied_insulated_floor_Tight_envelope_HRV_Full_insulated_wall_cavity_exterior_Single_pane_storm_windows</t>
  </si>
  <si>
    <t>MA_MFH_Oil_heating_AC_window_Air_ducts_uninsulated_Heating_DHW_combo_NG</t>
  </si>
  <si>
    <t>MA_SFH_post_2003_Unoccupied_insulated_floor_Tight_envelope_HRV_Full_insulated_wall_cavity_exterior_Double_pane_lowE</t>
  </si>
  <si>
    <t>MA_MFH_Oil_heating_AC_window_Air_ducts_uninsulated_HPWH</t>
  </si>
  <si>
    <t>MA_SFH_post_2003_Unoccupied_insulated_floor_Tight_envelope_HRV_Full_insulated_wall_cavity_exterior_Triple_pane_lowE</t>
  </si>
  <si>
    <t>MA_MFH_Oil_heating_AC_window_Air_ducts_conditioned_uninsulated_Electric_resistance_DHW</t>
  </si>
  <si>
    <t>MA_SFH_post_2003_Limited_insulation_roof_Leaky_envelope_Uninsulated_walls_Single_pane</t>
  </si>
  <si>
    <t>MA_MFH_Oil_heating_AC_window_Air_ducts_conditioned_uninsulated_NG_DHW</t>
  </si>
  <si>
    <t>MA_SFH_post_2003_Limited_insulation_roof_Leaky_envelope_Uninsulated_walls_Single_pane_storm_windows</t>
  </si>
  <si>
    <t>MA_MFH_Oil_heating_AC_window_Air_ducts_conditioned_uninsulated_Heating_DHW_combo_NG</t>
  </si>
  <si>
    <t>MA_SFH_post_2003_Limited_insulation_roof_Leaky_envelope_Uninsulated_walls_Double_pane_lowE</t>
  </si>
  <si>
    <t>MA_MFH_Oil_heating_AC_window_Air_ducts_conditioned_uninsulated_HPWH</t>
  </si>
  <si>
    <t>MA_SFH_post_2003_Limited_insulation_roof_Leaky_envelope_Uninsulated_walls_Triple_pane_lowE</t>
  </si>
  <si>
    <t>MA_MFH_Oil_heating_AC_window_Hot_water_insulated_Electric_resistance_DHW</t>
  </si>
  <si>
    <t>MA_SFH_post_2003_Limited_insulation_roof_Leaky_envelope_Some_wall_insulation_Single_pane</t>
  </si>
  <si>
    <t>MA_MFH_Oil_heating_AC_window_Hot_water_insulated_NG_DHW</t>
  </si>
  <si>
    <t>MA_SFH_post_2003_Limited_insulation_roof_Leaky_envelope_Some_wall_insulation_Single_pane_storm_windows</t>
  </si>
  <si>
    <t>MA_MFH_Oil_heating_AC_window_Hot_water_insulated_Heating_DHW_combo_NG</t>
  </si>
  <si>
    <t>MA_SFH_post_2003_Limited_insulation_roof_Leaky_envelope_Some_wall_insulation_Double_pane_lowE</t>
  </si>
  <si>
    <t>MA_MFH_Oil_heating_AC_window_Hot_water_insulated_HPWH</t>
  </si>
  <si>
    <t>MA_SFH_post_2003_Limited_insulation_roof_Leaky_envelope_Some_wall_insulation_Triple_pane_lowE</t>
  </si>
  <si>
    <t>MA_MFH_Oil_heating_AC_window_Air_ducts_insulated_Electric_resistance_DHW</t>
  </si>
  <si>
    <t>MA_SFH_post_2003_Limited_insulation_roof_Leaky_envelope_SIP_Single_pane</t>
  </si>
  <si>
    <t>MA_MFH_Oil_heating_AC_window_Air_ducts_insulated_NG_DHW</t>
  </si>
  <si>
    <t>MA_SFH_post_2003_Limited_insulation_roof_Leaky_envelope_SIP_Single_pane_storm_windows</t>
  </si>
  <si>
    <t>MA_MFH_Oil_heating_AC_window_Air_ducts_insulated_Heating_DHW_combo_NG</t>
  </si>
  <si>
    <t>MA_SFH_post_2003_Limited_insulation_roof_Leaky_envelope_SIP_Double_pane_lowE</t>
  </si>
  <si>
    <t>MA_MFH_Oil_heating_AC_window_Air_ducts_insulated_HPWH</t>
  </si>
  <si>
    <t>MA_SFH_post_2003_Limited_insulation_roof_Leaky_envelope_SIP_Triple_pane_lowE</t>
  </si>
  <si>
    <t>MA_MFH_Oil_heating_Central_AC_Steam_Electric_resistance_DHW</t>
  </si>
  <si>
    <t>MA_SFH_post_2003_Limited_insulation_roof_Leaky_envelope_Full_insulated_wall_cavity_Single_pane</t>
  </si>
  <si>
    <t>MA_MFH_Oil_heating_Central_AC_Steam_NG_DHW</t>
  </si>
  <si>
    <t>MA_SFH_post_2003_Limited_insulation_roof_Leaky_envelope_Full_insulated_wall_cavity_Single_pane_storm_windows</t>
  </si>
  <si>
    <t>MA_MFH_Oil_heating_Central_AC_Steam_Heating_DHW_combo_NG</t>
  </si>
  <si>
    <t>MA_SFH_post_2003_Limited_insulation_roof_Leaky_envelope_Full_insulated_wall_cavity_Double_pane_lowE</t>
  </si>
  <si>
    <t>MA_MFH_Oil_heating_Central_AC_Steam_HPWH</t>
  </si>
  <si>
    <t>MA_SFH_post_2003_Limited_insulation_roof_Leaky_envelope_Full_insulated_wall_cavity_Triple_pane_lowE</t>
  </si>
  <si>
    <t>MA_MFH_Oil_heating_Central_AC_Hot_water_uninsulated_Electric_resistance_DHW</t>
  </si>
  <si>
    <t>MA_SFH_post_2003_Limited_insulation_roof_Leaky_envelope_Full_insulated_wall_cavity_exterior_Single_pane</t>
  </si>
  <si>
    <t>MA_MFH_Oil_heating_Central_AC_Hot_water_uninsulated_NG_DHW</t>
  </si>
  <si>
    <t>MA_SFH_post_2003_Limited_insulation_roof_Leaky_envelope_Full_insulated_wall_cavity_exterior_Single_pane_storm_windows</t>
  </si>
  <si>
    <t>MA_MFH_Oil_heating_Central_AC_Hot_water_uninsulated_Heating_DHW_combo_NG</t>
  </si>
  <si>
    <t>MA_SFH_post_2003_Limited_insulation_roof_Leaky_envelope_Full_insulated_wall_cavity_exterior_Double_pane_lowE</t>
  </si>
  <si>
    <t>MA_MFH_Oil_heating_Central_AC_Hot_water_uninsulated_HPWH</t>
  </si>
  <si>
    <t>MA_SFH_post_2003_Limited_insulation_roof_Leaky_envelope_Full_insulated_wall_cavity_exterior_Triple_pane_lowE</t>
  </si>
  <si>
    <t>MA_MFH_Oil_heating_Central_AC_Air_ducts_uninsulated_Electric_resistance_DHW</t>
  </si>
  <si>
    <t>MA_SFH_post_2003_Limited_insulation_roof_Somewhat_leaky_envelope_Uninsulated_walls_Single_pane</t>
  </si>
  <si>
    <t>MA_MFH_Oil_heating_Central_AC_Air_ducts_uninsulated_NG_DHW</t>
  </si>
  <si>
    <t>MA_SFH_post_2003_Limited_insulation_roof_Somewhat_leaky_envelope_Uninsulated_walls_Single_pane_storm_windows</t>
  </si>
  <si>
    <t>MA_MFH_Oil_heating_Central_AC_Air_ducts_uninsulated_Heating_DHW_combo_NG</t>
  </si>
  <si>
    <t>MA_SFH_post_2003_Limited_insulation_roof_Somewhat_leaky_envelope_Uninsulated_walls_Double_pane_lowE</t>
  </si>
  <si>
    <t>MA_MFH_Oil_heating_Central_AC_Air_ducts_uninsulated_HPWH</t>
  </si>
  <si>
    <t>MA_SFH_post_2003_Limited_insulation_roof_Somewhat_leaky_envelope_Uninsulated_walls_Triple_pane_lowE</t>
  </si>
  <si>
    <t>MA_MFH_Oil_heating_Central_AC_Air_ducts_conditioned_uninsulated_Electric_resistance_DHW</t>
  </si>
  <si>
    <t>MA_SFH_post_2003_Limited_insulation_roof_Somewhat_leaky_envelope_Some_wall_insulation_Single_pane</t>
  </si>
  <si>
    <t>MA_MFH_Oil_heating_Central_AC_Air_ducts_conditioned_uninsulated_NG_DHW</t>
  </si>
  <si>
    <t>MA_SFH_post_2003_Limited_insulation_roof_Somewhat_leaky_envelope_Some_wall_insulation_Single_pane_storm_windows</t>
  </si>
  <si>
    <t>MA_MFH_Oil_heating_Central_AC_Air_ducts_conditioned_uninsulated_Heating_DHW_combo_NG</t>
  </si>
  <si>
    <t>MA_SFH_post_2003_Limited_insulation_roof_Somewhat_leaky_envelope_Some_wall_insulation_Double_pane_lowE</t>
  </si>
  <si>
    <t>MA_MFH_Oil_heating_Central_AC_Air_ducts_conditioned_uninsulated_HPWH</t>
  </si>
  <si>
    <t>MA_SFH_post_2003_Limited_insulation_roof_Somewhat_leaky_envelope_Some_wall_insulation_Triple_pane_lowE</t>
  </si>
  <si>
    <t>MA_MFH_Oil_heating_Central_AC_Hot_water_insulated_Electric_resistance_DHW</t>
  </si>
  <si>
    <t>MA_SFH_post_2003_Limited_insulation_roof_Somewhat_leaky_envelope_SIP_Single_pane</t>
  </si>
  <si>
    <t>MA_MFH_Oil_heating_Central_AC_Hot_water_insulated_NG_DHW</t>
  </si>
  <si>
    <t>MA_SFH_post_2003_Limited_insulation_roof_Somewhat_leaky_envelope_SIP_Single_pane_storm_windows</t>
  </si>
  <si>
    <t>MA_MFH_Oil_heating_Central_AC_Hot_water_insulated_Heating_DHW_combo_NG</t>
  </si>
  <si>
    <t>MA_SFH_post_2003_Limited_insulation_roof_Somewhat_leaky_envelope_SIP_Double_pane_lowE</t>
  </si>
  <si>
    <t>MA_MFH_Oil_heating_Central_AC_Hot_water_insulated_HPWH</t>
  </si>
  <si>
    <t>MA_SFH_post_2003_Limited_insulation_roof_Somewhat_leaky_envelope_SIP_Triple_pane_lowE</t>
  </si>
  <si>
    <t>MA_MFH_Oil_heating_Central_AC_Air_ducts_insulated_Electric_resistance_DHW</t>
  </si>
  <si>
    <t>MA_SFH_post_2003_Limited_insulation_roof_Somewhat_leaky_envelope_Full_insulated_wall_cavity_Single_pane</t>
  </si>
  <si>
    <t>MA_MFH_Oil_heating_Central_AC_Air_ducts_insulated_NG_DHW</t>
  </si>
  <si>
    <t>MA_SFH_post_2003_Limited_insulation_roof_Somewhat_leaky_envelope_Full_insulated_wall_cavity_Single_pane_storm_windows</t>
  </si>
  <si>
    <t>MA_MFH_Oil_heating_Central_AC_Air_ducts_insulated_Heating_DHW_combo_NG</t>
  </si>
  <si>
    <t>MA_SFH_post_2003_Limited_insulation_roof_Somewhat_leaky_envelope_Full_insulated_wall_cavity_Double_pane_lowE</t>
  </si>
  <si>
    <t>MA_MFH_Oil_heating_Central_AC_Air_ducts_insulated_HPWH</t>
  </si>
  <si>
    <t>MA_SFH_post_2003_Limited_insulation_roof_Somewhat_leaky_envelope_Full_insulated_wall_cavity_Triple_pane_lowE</t>
  </si>
  <si>
    <t>MA_MFH_Oil_heating_Natural_ventilation_Steam_Electric_resistance_DHW</t>
  </si>
  <si>
    <t>MA_SFH_post_2003_Limited_insulation_roof_Somewhat_leaky_envelope_Full_insulated_wall_cavity_exterior_Single_pane</t>
  </si>
  <si>
    <t>MA_MFH_Oil_heating_Natural_ventilation_Steam_NG_DHW</t>
  </si>
  <si>
    <t>MA_SFH_post_2003_Limited_insulation_roof_Somewhat_leaky_envelope_Full_insulated_wall_cavity_exterior_Single_pane_storm_windows</t>
  </si>
  <si>
    <t>MA_MFH_Oil_heating_Natural_ventilation_Steam_Heating_DHW_combo_NG</t>
  </si>
  <si>
    <t>MA_SFH_post_2003_Limited_insulation_roof_Somewhat_leaky_envelope_Full_insulated_wall_cavity_exterior_Double_pane_lowE</t>
  </si>
  <si>
    <t>MA_MFH_Oil_heating_Natural_ventilation_Steam_HPWH</t>
  </si>
  <si>
    <t>MA_SFH_post_2003_Limited_insulation_roof_Somewhat_leaky_envelope_Full_insulated_wall_cavity_exterior_Triple_pane_lowE</t>
  </si>
  <si>
    <t>MA_MFH_Oil_heating_Natural_ventilation_Hot_water_uninsulated_Electric_resistance_DHW</t>
  </si>
  <si>
    <t>MA_SFH_post_2003_Limited_insulation_roof_Tight_envelope_HRV_Uninsulated_walls_Single_pane</t>
  </si>
  <si>
    <t>MA_MFH_Oil_heating_Natural_ventilation_Hot_water_uninsulated_NG_DHW</t>
  </si>
  <si>
    <t>MA_SFH_post_2003_Limited_insulation_roof_Tight_envelope_HRV_Uninsulated_walls_Single_pane_storm_windows</t>
  </si>
  <si>
    <t>MA_MFH_Oil_heating_Natural_ventilation_Hot_water_uninsulated_Heating_DHW_combo_NG</t>
  </si>
  <si>
    <t>MA_SFH_post_2003_Limited_insulation_roof_Tight_envelope_HRV_Uninsulated_walls_Double_pane_lowE</t>
  </si>
  <si>
    <t>MA_MFH_Oil_heating_Natural_ventilation_Hot_water_uninsulated_HPWH</t>
  </si>
  <si>
    <t>MA_SFH_post_2003_Limited_insulation_roof_Tight_envelope_HRV_Uninsulated_walls_Triple_pane_lowE</t>
  </si>
  <si>
    <t>MA_MFH_Oil_heating_Natural_ventilation_Air_ducts_uninsulated_Electric_resistance_DHW</t>
  </si>
  <si>
    <t>MA_SFH_post_2003_Limited_insulation_roof_Tight_envelope_HRV_Some_wall_insulation_Single_pane</t>
  </si>
  <si>
    <t>MA_MFH_Oil_heating_Natural_ventilation_Air_ducts_uninsulated_NG_DHW</t>
  </si>
  <si>
    <t>MA_SFH_post_2003_Limited_insulation_roof_Tight_envelope_HRV_Some_wall_insulation_Single_pane_storm_windows</t>
  </si>
  <si>
    <t>MA_MFH_Oil_heating_Natural_ventilation_Air_ducts_uninsulated_Heating_DHW_combo_NG</t>
  </si>
  <si>
    <t>MA_SFH_post_2003_Limited_insulation_roof_Tight_envelope_HRV_Some_wall_insulation_Double_pane_lowE</t>
  </si>
  <si>
    <t>MA_MFH_Oil_heating_Natural_ventilation_Air_ducts_uninsulated_HPWH</t>
  </si>
  <si>
    <t>MA_SFH_post_2003_Limited_insulation_roof_Tight_envelope_HRV_Some_wall_insulation_Triple_pane_lowE</t>
  </si>
  <si>
    <t>MA_MFH_Oil_heating_Natural_ventilation_Air_ducts_conditioned_uninsulated_Electric_resistance_DHW</t>
  </si>
  <si>
    <t>MA_SFH_post_2003_Limited_insulation_roof_Tight_envelope_HRV_SIP_Single_pane</t>
  </si>
  <si>
    <t>MA_MFH_Oil_heating_Natural_ventilation_Air_ducts_conditioned_uninsulated_NG_DHW</t>
  </si>
  <si>
    <t>MA_SFH_post_2003_Limited_insulation_roof_Tight_envelope_HRV_SIP_Single_pane_storm_windows</t>
  </si>
  <si>
    <t>MA_MFH_Oil_heating_Natural_ventilation_Air_ducts_conditioned_uninsulated_Heating_DHW_combo_NG</t>
  </si>
  <si>
    <t>MA_SFH_post_2003_Limited_insulation_roof_Tight_envelope_HRV_SIP_Double_pane_lowE</t>
  </si>
  <si>
    <t>MA_MFH_Oil_heating_Natural_ventilation_Air_ducts_conditioned_uninsulated_HPWH</t>
  </si>
  <si>
    <t>MA_SFH_post_2003_Limited_insulation_roof_Tight_envelope_HRV_SIP_Triple_pane_lowE</t>
  </si>
  <si>
    <t>MA_MFH_Oil_heating_Natural_ventilation_Hot_water_insulated_Electric_resistance_DHW</t>
  </si>
  <si>
    <t>MA_SFH_post_2003_Limited_insulation_roof_Tight_envelope_HRV_Full_insulated_wall_cavity_Single_pane</t>
  </si>
  <si>
    <t>MA_MFH_Oil_heating_Natural_ventilation_Hot_water_insulated_NG_DHW</t>
  </si>
  <si>
    <t>MA_SFH_post_2003_Limited_insulation_roof_Tight_envelope_HRV_Full_insulated_wall_cavity_Single_pane_storm_windows</t>
  </si>
  <si>
    <t>MA_MFH_Oil_heating_Natural_ventilation_Hot_water_insulated_Heating_DHW_combo_NG</t>
  </si>
  <si>
    <t>MA_SFH_post_2003_Limited_insulation_roof_Tight_envelope_HRV_Full_insulated_wall_cavity_Double_pane_lowE</t>
  </si>
  <si>
    <t>MA_MFH_Oil_heating_Natural_ventilation_Hot_water_insulated_HPWH</t>
  </si>
  <si>
    <t>MA_SFH_post_2003_Limited_insulation_roof_Tight_envelope_HRV_Full_insulated_wall_cavity_Triple_pane_lowE</t>
  </si>
  <si>
    <t>MA_MFH_Oil_heating_Natural_ventilation_Air_ducts_insulated_Electric_resistance_DHW</t>
  </si>
  <si>
    <t>MA_SFH_post_2003_Limited_insulation_roof_Tight_envelope_HRV_Full_insulated_wall_cavity_exterior_Single_pane</t>
  </si>
  <si>
    <t>MA_MFH_Oil_heating_Natural_ventilation_Air_ducts_insulated_NG_DHW</t>
  </si>
  <si>
    <t>MA_SFH_post_2003_Limited_insulation_roof_Tight_envelope_HRV_Full_insulated_wall_cavity_exterior_Single_pane_storm_windows</t>
  </si>
  <si>
    <t>MA_MFH_Oil_heating_Natural_ventilation_Air_ducts_insulated_Heating_DHW_combo_NG</t>
  </si>
  <si>
    <t>MA_SFH_post_2003_Limited_insulation_roof_Tight_envelope_HRV_Full_insulated_wall_cavity_exterior_Double_pane_lowE</t>
  </si>
  <si>
    <t>MA_MFH_Oil_heating_Natural_ventilation_Air_ducts_insulated_HPWH</t>
  </si>
  <si>
    <t>MA_SFH_post_2003_Limited_insulation_roof_Tight_envelope_HRV_Full_insulated_wall_cavity_exterior_Triple_pane_lowE</t>
  </si>
  <si>
    <t>MA_MFH_Oil_heating_Window_ASHP_Steam_Electric_resistance_DHW</t>
  </si>
  <si>
    <t>MA_SFH_post_2003_Insulation_roof_Leaky_envelope_Uninsulated_walls_Single_pane</t>
  </si>
  <si>
    <t>MA_MFH_Oil_heating_Window_ASHP_Steam_NG_DHW</t>
  </si>
  <si>
    <t>MA_SFH_post_2003_Insulation_roof_Leaky_envelope_Uninsulated_walls_Single_pane_storm_windows</t>
  </si>
  <si>
    <t>MA_MFH_Oil_heating_Window_ASHP_Steam_Heating_DHW_combo_NG</t>
  </si>
  <si>
    <t>MA_SFH_post_2003_Insulation_roof_Leaky_envelope_Uninsulated_walls_Double_pane_lowE</t>
  </si>
  <si>
    <t>MA_MFH_Oil_heating_Window_ASHP_Steam_HPWH</t>
  </si>
  <si>
    <t>MA_SFH_post_2003_Insulation_roof_Leaky_envelope_Uninsulated_walls_Triple_pane_lowE</t>
  </si>
  <si>
    <t>MA_MFH_Oil_heating_Window_ASHP_Hot_water_uninsulated_Electric_resistance_DHW</t>
  </si>
  <si>
    <t>MA_SFH_post_2003_Insulation_roof_Leaky_envelope_Some_wall_insulation_Single_pane</t>
  </si>
  <si>
    <t>MA_MFH_Oil_heating_Window_ASHP_Hot_water_uninsulated_NG_DHW</t>
  </si>
  <si>
    <t>MA_SFH_post_2003_Insulation_roof_Leaky_envelope_Some_wall_insulation_Single_pane_storm_windows</t>
  </si>
  <si>
    <t>MA_MFH_Oil_heating_Window_ASHP_Hot_water_uninsulated_Heating_DHW_combo_NG</t>
  </si>
  <si>
    <t>MA_SFH_post_2003_Insulation_roof_Leaky_envelope_Some_wall_insulation_Double_pane_lowE</t>
  </si>
  <si>
    <t>MA_MFH_Oil_heating_Window_ASHP_Hot_water_uninsulated_HPWH</t>
  </si>
  <si>
    <t>MA_SFH_post_2003_Insulation_roof_Leaky_envelope_Some_wall_insulation_Triple_pane_lowE</t>
  </si>
  <si>
    <t>MA_MFH_Oil_heating_Window_ASHP_Air_ducts_uninsulated_Electric_resistance_DHW</t>
  </si>
  <si>
    <t>MA_SFH_post_2003_Insulation_roof_Leaky_envelope_SIP_Single_pane</t>
  </si>
  <si>
    <t>MA_MFH_Oil_heating_Window_ASHP_Air_ducts_uninsulated_NG_DHW</t>
  </si>
  <si>
    <t>MA_SFH_post_2003_Insulation_roof_Leaky_envelope_SIP_Single_pane_storm_windows</t>
  </si>
  <si>
    <t>MA_MFH_Oil_heating_Window_ASHP_Air_ducts_uninsulated_Heating_DHW_combo_NG</t>
  </si>
  <si>
    <t>MA_SFH_post_2003_Insulation_roof_Leaky_envelope_SIP_Double_pane_lowE</t>
  </si>
  <si>
    <t>MA_MFH_Oil_heating_Window_ASHP_Air_ducts_uninsulated_HPWH</t>
  </si>
  <si>
    <t>MA_SFH_post_2003_Insulation_roof_Leaky_envelope_SIP_Triple_pane_lowE</t>
  </si>
  <si>
    <t>MA_MFH_Oil_heating_Window_ASHP_Air_ducts_conditioned_uninsulated_Electric_resistance_DHW</t>
  </si>
  <si>
    <t>MA_SFH_post_2003_Insulation_roof_Leaky_envelope_Full_insulated_wall_cavity_Single_pane</t>
  </si>
  <si>
    <t>MA_MFH_Oil_heating_Window_ASHP_Air_ducts_conditioned_uninsulated_NG_DHW</t>
  </si>
  <si>
    <t>MA_SFH_post_2003_Insulation_roof_Leaky_envelope_Full_insulated_wall_cavity_Single_pane_storm_windows</t>
  </si>
  <si>
    <t>MA_MFH_Oil_heating_Window_ASHP_Air_ducts_conditioned_uninsulated_Heating_DHW_combo_NG</t>
  </si>
  <si>
    <t>MA_SFH_post_2003_Insulation_roof_Leaky_envelope_Full_insulated_wall_cavity_Double_pane_lowE</t>
  </si>
  <si>
    <t>MA_MFH_Oil_heating_Window_ASHP_Air_ducts_conditioned_uninsulated_HPWH</t>
  </si>
  <si>
    <t>MA_SFH_post_2003_Insulation_roof_Leaky_envelope_Full_insulated_wall_cavity_Triple_pane_lowE</t>
  </si>
  <si>
    <t>MA_MFH_Oil_heating_Window_ASHP_Hot_water_insulated_Electric_resistance_DHW</t>
  </si>
  <si>
    <t>MA_SFH_post_2003_Insulation_roof_Leaky_envelope_Full_insulated_wall_cavity_exterior_Single_pane</t>
  </si>
  <si>
    <t>MA_MFH_Oil_heating_Window_ASHP_Hot_water_insulated_NG_DHW</t>
  </si>
  <si>
    <t>MA_SFH_post_2003_Insulation_roof_Leaky_envelope_Full_insulated_wall_cavity_exterior_Single_pane_storm_windows</t>
  </si>
  <si>
    <t>MA_MFH_Oil_heating_Window_ASHP_Hot_water_insulated_Heating_DHW_combo_NG</t>
  </si>
  <si>
    <t>MA_SFH_post_2003_Insulation_roof_Leaky_envelope_Full_insulated_wall_cavity_exterior_Double_pane_lowE</t>
  </si>
  <si>
    <t>MA_MFH_Oil_heating_Window_ASHP_Hot_water_insulated_HPWH</t>
  </si>
  <si>
    <t>MA_SFH_post_2003_Insulation_roof_Leaky_envelope_Full_insulated_wall_cavity_exterior_Triple_pane_lowE</t>
  </si>
  <si>
    <t>MA_MFH_Oil_heating_Window_ASHP_Air_ducts_insulated_Electric_resistance_DHW</t>
  </si>
  <si>
    <t>MA_SFH_post_2003_Insulation_roof_Somewhat_leaky_envelope_Uninsulated_walls_Single_pane</t>
  </si>
  <si>
    <t>MA_MFH_Oil_heating_Window_ASHP_Air_ducts_insulated_NG_DHW</t>
  </si>
  <si>
    <t>MA_SFH_post_2003_Insulation_roof_Somewhat_leaky_envelope_Uninsulated_walls_Single_pane_storm_windows</t>
  </si>
  <si>
    <t>MA_MFH_Oil_heating_Window_ASHP_Air_ducts_insulated_Heating_DHW_combo_NG</t>
  </si>
  <si>
    <t>MA_SFH_post_2003_Insulation_roof_Somewhat_leaky_envelope_Uninsulated_walls_Double_pane_lowE</t>
  </si>
  <si>
    <t>MA_MFH_Oil_heating_Window_ASHP_Air_ducts_insulated_HPWH</t>
  </si>
  <si>
    <t>MA_SFH_post_2003_Insulation_roof_Somewhat_leaky_envelope_Uninsulated_walls_Triple_pane_lowE</t>
  </si>
  <si>
    <t>MA_MFH_Oil_heating_ASHP_Steam_Electric_resistance_DHW</t>
  </si>
  <si>
    <t>MA_SFH_post_2003_Insulation_roof_Somewhat_leaky_envelope_Some_wall_insulation_Single_pane</t>
  </si>
  <si>
    <t>MA_MFH_Oil_heating_ASHP_Steam_NG_DHW</t>
  </si>
  <si>
    <t>MA_SFH_post_2003_Insulation_roof_Somewhat_leaky_envelope_Some_wall_insulation_Single_pane_storm_windows</t>
  </si>
  <si>
    <t>MA_MFH_Oil_heating_ASHP_Steam_Heating_DHW_combo_NG</t>
  </si>
  <si>
    <t>MA_SFH_post_2003_Insulation_roof_Somewhat_leaky_envelope_Some_wall_insulation_Double_pane_lowE</t>
  </si>
  <si>
    <t>MA_MFH_Oil_heating_ASHP_Steam_HPWH</t>
  </si>
  <si>
    <t>MA_SFH_post_2003_Insulation_roof_Somewhat_leaky_envelope_Some_wall_insulation_Triple_pane_lowE</t>
  </si>
  <si>
    <t>MA_MFH_Oil_heating_ASHP_Hot_water_uninsulated_Electric_resistance_DHW</t>
  </si>
  <si>
    <t>MA_SFH_post_2003_Insulation_roof_Somewhat_leaky_envelope_SIP_Single_pane</t>
  </si>
  <si>
    <t>MA_MFH_Oil_heating_ASHP_Hot_water_uninsulated_NG_DHW</t>
  </si>
  <si>
    <t>MA_SFH_post_2003_Insulation_roof_Somewhat_leaky_envelope_SIP_Single_pane_storm_windows</t>
  </si>
  <si>
    <t>MA_MFH_Oil_heating_ASHP_Hot_water_uninsulated_Heating_DHW_combo_NG</t>
  </si>
  <si>
    <t>MA_SFH_post_2003_Insulation_roof_Somewhat_leaky_envelope_SIP_Double_pane_lowE</t>
  </si>
  <si>
    <t>MA_MFH_Oil_heating_ASHP_Hot_water_uninsulated_HPWH</t>
  </si>
  <si>
    <t>MA_SFH_post_2003_Insulation_roof_Somewhat_leaky_envelope_SIP_Triple_pane_lowE</t>
  </si>
  <si>
    <t>MA_MFH_Oil_heating_ASHP_Air_ducts_uninsulated_Electric_resistance_DHW</t>
  </si>
  <si>
    <t>MA_SFH_post_2003_Insulation_roof_Somewhat_leaky_envelope_Full_insulated_wall_cavity_Single_pane</t>
  </si>
  <si>
    <t>MA_MFH_Oil_heating_ASHP_Air_ducts_uninsulated_NG_DHW</t>
  </si>
  <si>
    <t>MA_SFH_post_2003_Insulation_roof_Somewhat_leaky_envelope_Full_insulated_wall_cavity_Single_pane_storm_windows</t>
  </si>
  <si>
    <t>MA_MFH_Oil_heating_ASHP_Air_ducts_uninsulated_Heating_DHW_combo_NG</t>
  </si>
  <si>
    <t>MA_SFH_post_2003_Insulation_roof_Somewhat_leaky_envelope_Full_insulated_wall_cavity_Double_pane_lowE</t>
  </si>
  <si>
    <t>MA_MFH_Oil_heating_ASHP_Air_ducts_uninsulated_HPWH</t>
  </si>
  <si>
    <t>MA_SFH_post_2003_Insulation_roof_Somewhat_leaky_envelope_Full_insulated_wall_cavity_Triple_pane_lowE</t>
  </si>
  <si>
    <t>MA_MFH_Oil_heating_ASHP_Air_ducts_conditioned_uninsulated_Electric_resistance_DHW</t>
  </si>
  <si>
    <t>MA_SFH_post_2003_Insulation_roof_Somewhat_leaky_envelope_Full_insulated_wall_cavity_exterior_Single_pane</t>
  </si>
  <si>
    <t>MA_MFH_Oil_heating_ASHP_Air_ducts_conditioned_uninsulated_NG_DHW</t>
  </si>
  <si>
    <t>MA_SFH_post_2003_Insulation_roof_Somewhat_leaky_envelope_Full_insulated_wall_cavity_exterior_Single_pane_storm_windows</t>
  </si>
  <si>
    <t>MA_MFH_Oil_heating_ASHP_Air_ducts_conditioned_uninsulated_Heating_DHW_combo_NG</t>
  </si>
  <si>
    <t>MA_SFH_post_2003_Insulation_roof_Somewhat_leaky_envelope_Full_insulated_wall_cavity_exterior_Double_pane_lowE</t>
  </si>
  <si>
    <t>MA_MFH_Oil_heating_ASHP_Air_ducts_conditioned_uninsulated_HPWH</t>
  </si>
  <si>
    <t>MA_SFH_post_2003_Insulation_roof_Somewhat_leaky_envelope_Full_insulated_wall_cavity_exterior_Triple_pane_lowE</t>
  </si>
  <si>
    <t>MA_MFH_Oil_heating_ASHP_Hot_water_insulated_Electric_resistance_DHW</t>
  </si>
  <si>
    <t>MA_SFH_post_2003_Insulation_roof_Tight_envelope_HRV_Uninsulated_walls_Single_pane</t>
  </si>
  <si>
    <t>MA_MFH_Oil_heating_ASHP_Hot_water_insulated_NG_DHW</t>
  </si>
  <si>
    <t>MA_SFH_post_2003_Insulation_roof_Tight_envelope_HRV_Uninsulated_walls_Single_pane_storm_windows</t>
  </si>
  <si>
    <t>MA_MFH_Oil_heating_ASHP_Hot_water_insulated_Heating_DHW_combo_NG</t>
  </si>
  <si>
    <t>MA_SFH_post_2003_Insulation_roof_Tight_envelope_HRV_Uninsulated_walls_Double_pane_lowE</t>
  </si>
  <si>
    <t>MA_MFH_Oil_heating_ASHP_Hot_water_insulated_HPWH</t>
  </si>
  <si>
    <t>MA_SFH_post_2003_Insulation_roof_Tight_envelope_HRV_Uninsulated_walls_Triple_pane_lowE</t>
  </si>
  <si>
    <t>MA_MFH_Oil_heating_ASHP_Air_ducts_insulated_Electric_resistance_DHW</t>
  </si>
  <si>
    <t>MA_SFH_post_2003_Insulation_roof_Tight_envelope_HRV_Some_wall_insulation_Single_pane</t>
  </si>
  <si>
    <t>MA_MFH_Oil_heating_ASHP_Air_ducts_insulated_NG_DHW</t>
  </si>
  <si>
    <t>MA_SFH_post_2003_Insulation_roof_Tight_envelope_HRV_Some_wall_insulation_Single_pane_storm_windows</t>
  </si>
  <si>
    <t>MA_MFH_Oil_heating_ASHP_Air_ducts_insulated_Heating_DHW_combo_NG</t>
  </si>
  <si>
    <t>MA_SFH_post_2003_Insulation_roof_Tight_envelope_HRV_Some_wall_insulation_Double_pane_lowE</t>
  </si>
  <si>
    <t>MA_MFH_Oil_heating_ASHP_Air_ducts_insulated_HPWH</t>
  </si>
  <si>
    <t>MA_SFH_post_2003_Insulation_roof_Tight_envelope_HRV_Some_wall_insulation_Triple_pane_lowE</t>
  </si>
  <si>
    <t>MA_MFH_Oil_heating_GSHP_Steam_Electric_resistance_DHW</t>
  </si>
  <si>
    <t>MA_SFH_post_2003_Insulation_roof_Tight_envelope_HRV_SIP_Single_pane</t>
  </si>
  <si>
    <t>MA_MFH_Oil_heating_GSHP_Steam_NG_DHW</t>
  </si>
  <si>
    <t>MA_SFH_post_2003_Insulation_roof_Tight_envelope_HRV_SIP_Single_pane_storm_windows</t>
  </si>
  <si>
    <t>MA_MFH_Oil_heating_GSHP_Steam_Heating_DHW_combo_NG</t>
  </si>
  <si>
    <t>MA_SFH_post_2003_Insulation_roof_Tight_envelope_HRV_SIP_Double_pane_lowE</t>
  </si>
  <si>
    <t>MA_MFH_Oil_heating_GSHP_Steam_HPWH</t>
  </si>
  <si>
    <t>MA_SFH_post_2003_Insulation_roof_Tight_envelope_HRV_SIP_Triple_pane_lowE</t>
  </si>
  <si>
    <t>MA_MFH_Oil_heating_GSHP_Hot_water_uninsulated_Electric_resistance_DHW</t>
  </si>
  <si>
    <t>MA_SFH_post_2003_Insulation_roof_Tight_envelope_HRV_Full_insulated_wall_cavity_Single_pane</t>
  </si>
  <si>
    <t>MA_MFH_Oil_heating_GSHP_Hot_water_uninsulated_NG_DHW</t>
  </si>
  <si>
    <t>MA_SFH_post_2003_Insulation_roof_Tight_envelope_HRV_Full_insulated_wall_cavity_Single_pane_storm_windows</t>
  </si>
  <si>
    <t>MA_MFH_Oil_heating_GSHP_Hot_water_uninsulated_Heating_DHW_combo_NG</t>
  </si>
  <si>
    <t>MA_SFH_post_2003_Insulation_roof_Tight_envelope_HRV_Full_insulated_wall_cavity_Double_pane_lowE</t>
  </si>
  <si>
    <t>MA_MFH_Oil_heating_GSHP_Hot_water_uninsulated_HPWH</t>
  </si>
  <si>
    <t>MA_SFH_post_2003_Insulation_roof_Tight_envelope_HRV_Full_insulated_wall_cavity_Triple_pane_lowE</t>
  </si>
  <si>
    <t>MA_MFH_Oil_heating_GSHP_Air_ducts_uninsulated_Electric_resistance_DHW</t>
  </si>
  <si>
    <t>MA_SFH_post_2003_Insulation_roof_Tight_envelope_HRV_Full_insulated_wall_cavity_exterior_Single_pane</t>
  </si>
  <si>
    <t>MA_MFH_Oil_heating_GSHP_Air_ducts_uninsulated_NG_DHW</t>
  </si>
  <si>
    <t>MA_SFH_post_2003_Insulation_roof_Tight_envelope_HRV_Full_insulated_wall_cavity_exterior_Single_pane_storm_windows</t>
  </si>
  <si>
    <t>MA_MFH_Oil_heating_GSHP_Air_ducts_uninsulated_Heating_DHW_combo_NG</t>
  </si>
  <si>
    <t>MA_SFH_post_2003_Insulation_roof_Tight_envelope_HRV_Full_insulated_wall_cavity_exterior_Double_pane_lowE</t>
  </si>
  <si>
    <t>MA_MFH_Oil_heating_GSHP_Air_ducts_uninsulated_HPWH</t>
  </si>
  <si>
    <t>MA_SFH_post_2003_Insulation_roof_Tight_envelope_HRV_Full_insulated_wall_cavity_exterior_Triple_pane_lowE</t>
  </si>
  <si>
    <t>MA_MFH_Oil_heating_GSHP_Air_ducts_conditioned_uninsulated_Electric_resistance_DHW</t>
  </si>
  <si>
    <t>MA_SFH_post_2003_Occupied_insulated_Leaky_envelope_Uninsulated_walls_Single_pane</t>
  </si>
  <si>
    <t>MA_MFH_Oil_heating_GSHP_Air_ducts_conditioned_uninsulated_NG_DHW</t>
  </si>
  <si>
    <t>MA_SFH_post_2003_Occupied_insulated_Leaky_envelope_Uninsulated_walls_Single_pane_storm_windows</t>
  </si>
  <si>
    <t>MA_MFH_Oil_heating_GSHP_Air_ducts_conditioned_uninsulated_Heating_DHW_combo_NG</t>
  </si>
  <si>
    <t>MA_SFH_post_2003_Occupied_insulated_Leaky_envelope_Uninsulated_walls_Double_pane_lowE</t>
  </si>
  <si>
    <t>MA_MFH_Oil_heating_GSHP_Air_ducts_conditioned_uninsulated_HPWH</t>
  </si>
  <si>
    <t>MA_SFH_post_2003_Occupied_insulated_Leaky_envelope_Uninsulated_walls_Triple_pane_lowE</t>
  </si>
  <si>
    <t>MA_MFH_Oil_heating_GSHP_Hot_water_insulated_Electric_resistance_DHW</t>
  </si>
  <si>
    <t>MA_SFH_post_2003_Occupied_insulated_Leaky_envelope_Some_wall_insulation_Single_pane</t>
  </si>
  <si>
    <t>MA_MFH_Oil_heating_GSHP_Hot_water_insulated_NG_DHW</t>
  </si>
  <si>
    <t>MA_SFH_post_2003_Occupied_insulated_Leaky_envelope_Some_wall_insulation_Single_pane_storm_windows</t>
  </si>
  <si>
    <t>MA_MFH_Oil_heating_GSHP_Hot_water_insulated_Heating_DHW_combo_NG</t>
  </si>
  <si>
    <t>MA_SFH_post_2003_Occupied_insulated_Leaky_envelope_Some_wall_insulation_Double_pane_lowE</t>
  </si>
  <si>
    <t>MA_MFH_Oil_heating_GSHP_Hot_water_insulated_HPWH</t>
  </si>
  <si>
    <t>MA_SFH_post_2003_Occupied_insulated_Leaky_envelope_Some_wall_insulation_Triple_pane_lowE</t>
  </si>
  <si>
    <t>MA_MFH_Oil_heating_GSHP_Air_ducts_insulated_Electric_resistance_DHW</t>
  </si>
  <si>
    <t>MA_SFH_post_2003_Occupied_insulated_Leaky_envelope_SIP_Single_pane</t>
  </si>
  <si>
    <t>MA_MFH_Oil_heating_GSHP_Air_ducts_insulated_NG_DHW</t>
  </si>
  <si>
    <t>MA_SFH_post_2003_Occupied_insulated_Leaky_envelope_SIP_Single_pane_storm_windows</t>
  </si>
  <si>
    <t>MA_MFH_Oil_heating_GSHP_Air_ducts_insulated_Heating_DHW_combo_NG</t>
  </si>
  <si>
    <t>MA_SFH_post_2003_Occupied_insulated_Leaky_envelope_SIP_Double_pane_lowE</t>
  </si>
  <si>
    <t>MA_MFH_Oil_heating_GSHP_Air_ducts_insulated_HPWH</t>
  </si>
  <si>
    <t>MA_SFH_post_2003_Occupied_insulated_Leaky_envelope_SIP_Triple_pane_lowE</t>
  </si>
  <si>
    <t>MA_MFH_NG_heating_AC_window_Steam_Electric_resistance_DHW</t>
  </si>
  <si>
    <t>MA_SFH_post_2003_Occupied_insulated_Leaky_envelope_Full_insulated_wall_cavity_Single_pane</t>
  </si>
  <si>
    <t>MA_MFH_NG_heating_AC_window_Steam_NG_DHW</t>
  </si>
  <si>
    <t>MA_SFH_post_2003_Occupied_insulated_Leaky_envelope_Full_insulated_wall_cavity_Single_pane_storm_windows</t>
  </si>
  <si>
    <t>MA_MFH_NG_heating_AC_window_Steam_Heating_DHW_combo_NG</t>
  </si>
  <si>
    <t>MA_SFH_post_2003_Occupied_insulated_Leaky_envelope_Full_insulated_wall_cavity_Double_pane_lowE</t>
  </si>
  <si>
    <t>MA_MFH_NG_heating_AC_window_Steam_HPWH</t>
  </si>
  <si>
    <t>MA_SFH_post_2003_Occupied_insulated_Leaky_envelope_Full_insulated_wall_cavity_Triple_pane_lowE</t>
  </si>
  <si>
    <t>MA_MFH_NG_heating_AC_window_Hot_water_uninsulated_Electric_resistance_DHW</t>
  </si>
  <si>
    <t>MA_SFH_post_2003_Occupied_insulated_Leaky_envelope_Full_insulated_wall_cavity_exterior_Single_pane</t>
  </si>
  <si>
    <t>MA_MFH_NG_heating_AC_window_Hot_water_uninsulated_NG_DHW</t>
  </si>
  <si>
    <t>MA_SFH_post_2003_Occupied_insulated_Leaky_envelope_Full_insulated_wall_cavity_exterior_Single_pane_storm_windows</t>
  </si>
  <si>
    <t>MA_MFH_NG_heating_AC_window_Hot_water_uninsulated_Heating_DHW_combo_NG</t>
  </si>
  <si>
    <t>MA_SFH_post_2003_Occupied_insulated_Leaky_envelope_Full_insulated_wall_cavity_exterior_Double_pane_lowE</t>
  </si>
  <si>
    <t>MA_MFH_NG_heating_AC_window_Hot_water_uninsulated_HPWH</t>
  </si>
  <si>
    <t>MA_SFH_post_2003_Occupied_insulated_Leaky_envelope_Full_insulated_wall_cavity_exterior_Triple_pane_lowE</t>
  </si>
  <si>
    <t>MA_MFH_NG_heating_AC_window_Air_ducts_uninsulated_Electric_resistance_DHW</t>
  </si>
  <si>
    <t>MA_SFH_post_2003_Occupied_insulated_Somewhat_leaky_envelope_Uninsulated_walls_Single_pane</t>
  </si>
  <si>
    <t>MA_MFH_NG_heating_AC_window_Air_ducts_uninsulated_NG_DHW</t>
  </si>
  <si>
    <t>MA_SFH_post_2003_Occupied_insulated_Somewhat_leaky_envelope_Uninsulated_walls_Single_pane_storm_windows</t>
  </si>
  <si>
    <t>MA_MFH_NG_heating_AC_window_Air_ducts_uninsulated_Heating_DHW_combo_NG</t>
  </si>
  <si>
    <t>MA_SFH_post_2003_Occupied_insulated_Somewhat_leaky_envelope_Uninsulated_walls_Double_pane_lowE</t>
  </si>
  <si>
    <t>MA_MFH_NG_heating_AC_window_Air_ducts_uninsulated_HPWH</t>
  </si>
  <si>
    <t>MA_SFH_post_2003_Occupied_insulated_Somewhat_leaky_envelope_Uninsulated_walls_Triple_pane_lowE</t>
  </si>
  <si>
    <t>MA_MFH_NG_heating_AC_window_Air_ducts_conditioned_uninsulated_Electric_resistance_DHW</t>
  </si>
  <si>
    <t>MA_SFH_post_2003_Occupied_insulated_Somewhat_leaky_envelope_Some_wall_insulation_Single_pane</t>
  </si>
  <si>
    <t>MA_MFH_NG_heating_AC_window_Air_ducts_conditioned_uninsulated_NG_DHW</t>
  </si>
  <si>
    <t>MA_SFH_post_2003_Occupied_insulated_Somewhat_leaky_envelope_Some_wall_insulation_Single_pane_storm_windows</t>
  </si>
  <si>
    <t>MA_MFH_NG_heating_AC_window_Air_ducts_conditioned_uninsulated_Heating_DHW_combo_NG</t>
  </si>
  <si>
    <t>MA_SFH_post_2003_Occupied_insulated_Somewhat_leaky_envelope_Some_wall_insulation_Double_pane_lowE</t>
  </si>
  <si>
    <t>MA_MFH_NG_heating_AC_window_Air_ducts_conditioned_uninsulated_HPWH</t>
  </si>
  <si>
    <t>MA_SFH_post_2003_Occupied_insulated_Somewhat_leaky_envelope_Some_wall_insulation_Triple_pane_lowE</t>
  </si>
  <si>
    <t>MA_MFH_NG_heating_AC_window_Hot_water_insulated_Electric_resistance_DHW</t>
  </si>
  <si>
    <t>MA_SFH_post_2003_Occupied_insulated_Somewhat_leaky_envelope_SIP_Single_pane</t>
  </si>
  <si>
    <t>MA_MFH_NG_heating_AC_window_Hot_water_insulated_NG_DHW</t>
  </si>
  <si>
    <t>MA_SFH_post_2003_Occupied_insulated_Somewhat_leaky_envelope_SIP_Single_pane_storm_windows</t>
  </si>
  <si>
    <t>MA_MFH_NG_heating_AC_window_Hot_water_insulated_Heating_DHW_combo_NG</t>
  </si>
  <si>
    <t>MA_SFH_post_2003_Occupied_insulated_Somewhat_leaky_envelope_SIP_Double_pane_lowE</t>
  </si>
  <si>
    <t>MA_MFH_NG_heating_AC_window_Hot_water_insulated_HPWH</t>
  </si>
  <si>
    <t>MA_SFH_post_2003_Occupied_insulated_Somewhat_leaky_envelope_SIP_Triple_pane_lowE</t>
  </si>
  <si>
    <t>MA_MFH_NG_heating_AC_window_Air_ducts_insulated_Electric_resistance_DHW</t>
  </si>
  <si>
    <t>MA_SFH_post_2003_Occupied_insulated_Somewhat_leaky_envelope_Full_insulated_wall_cavity_Single_pane</t>
  </si>
  <si>
    <t>MA_MFH_NG_heating_AC_window_Air_ducts_insulated_NG_DHW</t>
  </si>
  <si>
    <t>MA_SFH_post_2003_Occupied_insulated_Somewhat_leaky_envelope_Full_insulated_wall_cavity_Single_pane_storm_windows</t>
  </si>
  <si>
    <t>MA_MFH_NG_heating_AC_window_Air_ducts_insulated_Heating_DHW_combo_NG</t>
  </si>
  <si>
    <t>MA_SFH_post_2003_Occupied_insulated_Somewhat_leaky_envelope_Full_insulated_wall_cavity_Double_pane_lowE</t>
  </si>
  <si>
    <t>MA_MFH_NG_heating_AC_window_Air_ducts_insulated_HPWH</t>
  </si>
  <si>
    <t>MA_SFH_post_2003_Occupied_insulated_Somewhat_leaky_envelope_Full_insulated_wall_cavity_Triple_pane_lowE</t>
  </si>
  <si>
    <t>MA_MFH_NG_heating_Central_AC_Steam_Electric_resistance_DHW</t>
  </si>
  <si>
    <t>MA_SFH_post_2003_Occupied_insulated_Somewhat_leaky_envelope_Full_insulated_wall_cavity_exterior_Single_pane</t>
  </si>
  <si>
    <t>MA_MFH_NG_heating_Central_AC_Steam_NG_DHW</t>
  </si>
  <si>
    <t>MA_SFH_post_2003_Occupied_insulated_Somewhat_leaky_envelope_Full_insulated_wall_cavity_exterior_Single_pane_storm_windows</t>
  </si>
  <si>
    <t>MA_MFH_NG_heating_Central_AC_Steam_Heating_DHW_combo_NG</t>
  </si>
  <si>
    <t>MA_SFH_post_2003_Occupied_insulated_Somewhat_leaky_envelope_Full_insulated_wall_cavity_exterior_Double_pane_lowE</t>
  </si>
  <si>
    <t>MA_MFH_NG_heating_Central_AC_Steam_HPWH</t>
  </si>
  <si>
    <t>MA_SFH_post_2003_Occupied_insulated_Somewhat_leaky_envelope_Full_insulated_wall_cavity_exterior_Triple_pane_lowE</t>
  </si>
  <si>
    <t>MA_MFH_NG_heating_Central_AC_Hot_water_uninsulated_Electric_resistance_DHW</t>
  </si>
  <si>
    <t>MA_SFH_post_2003_Occupied_insulated_Tight_envelope_HRV_Uninsulated_walls_Single_pane</t>
  </si>
  <si>
    <t>MA_MFH_NG_heating_Central_AC_Hot_water_uninsulated_NG_DHW</t>
  </si>
  <si>
    <t>MA_SFH_post_2003_Occupied_insulated_Tight_envelope_HRV_Uninsulated_walls_Single_pane_storm_windows</t>
  </si>
  <si>
    <t>MA_MFH_NG_heating_Central_AC_Hot_water_uninsulated_Heating_DHW_combo_NG</t>
  </si>
  <si>
    <t>MA_SFH_post_2003_Occupied_insulated_Tight_envelope_HRV_Uninsulated_walls_Double_pane_lowE</t>
  </si>
  <si>
    <t>MA_MFH_NG_heating_Central_AC_Hot_water_uninsulated_HPWH</t>
  </si>
  <si>
    <t>MA_SFH_post_2003_Occupied_insulated_Tight_envelope_HRV_Uninsulated_walls_Triple_pane_lowE</t>
  </si>
  <si>
    <t>MA_MFH_NG_heating_Central_AC_Air_ducts_uninsulated_Electric_resistance_DHW</t>
  </si>
  <si>
    <t>MA_SFH_post_2003_Occupied_insulated_Tight_envelope_HRV_Some_wall_insulation_Single_pane</t>
  </si>
  <si>
    <t>MA_MFH_NG_heating_Central_AC_Air_ducts_uninsulated_NG_DHW</t>
  </si>
  <si>
    <t>MA_SFH_post_2003_Occupied_insulated_Tight_envelope_HRV_Some_wall_insulation_Single_pane_storm_windows</t>
  </si>
  <si>
    <t>MA_MFH_NG_heating_Central_AC_Air_ducts_uninsulated_Heating_DHW_combo_NG</t>
  </si>
  <si>
    <t>MA_SFH_post_2003_Occupied_insulated_Tight_envelope_HRV_Some_wall_insulation_Double_pane_lowE</t>
  </si>
  <si>
    <t>MA_MFH_NG_heating_Central_AC_Air_ducts_uninsulated_HPWH</t>
  </si>
  <si>
    <t>MA_SFH_post_2003_Occupied_insulated_Tight_envelope_HRV_Some_wall_insulation_Triple_pane_lowE</t>
  </si>
  <si>
    <t>MA_MFH_NG_heating_Central_AC_Air_ducts_conditioned_uninsulated_Electric_resistance_DHW</t>
  </si>
  <si>
    <t>MA_SFH_post_2003_Occupied_insulated_Tight_envelope_HRV_SIP_Single_pane</t>
  </si>
  <si>
    <t>MA_MFH_NG_heating_Central_AC_Air_ducts_conditioned_uninsulated_NG_DHW</t>
  </si>
  <si>
    <t>MA_SFH_post_2003_Occupied_insulated_Tight_envelope_HRV_SIP_Single_pane_storm_windows</t>
  </si>
  <si>
    <t>MA_MFH_NG_heating_Central_AC_Air_ducts_conditioned_uninsulated_Heating_DHW_combo_NG</t>
  </si>
  <si>
    <t>MA_SFH_post_2003_Occupied_insulated_Tight_envelope_HRV_SIP_Double_pane_lowE</t>
  </si>
  <si>
    <t>MA_MFH_NG_heating_Central_AC_Air_ducts_conditioned_uninsulated_HPWH</t>
  </si>
  <si>
    <t>MA_SFH_post_2003_Occupied_insulated_Tight_envelope_HRV_SIP_Triple_pane_lowE</t>
  </si>
  <si>
    <t>MA_MFH_NG_heating_Central_AC_Hot_water_insulated_Electric_resistance_DHW</t>
  </si>
  <si>
    <t>MA_SFH_post_2003_Occupied_insulated_Tight_envelope_HRV_Full_insulated_wall_cavity_Single_pane</t>
  </si>
  <si>
    <t>MA_MFH_NG_heating_Central_AC_Hot_water_insulated_NG_DHW</t>
  </si>
  <si>
    <t>MA_SFH_post_2003_Occupied_insulated_Tight_envelope_HRV_Full_insulated_wall_cavity_Single_pane_storm_windows</t>
  </si>
  <si>
    <t>MA_MFH_NG_heating_Central_AC_Hot_water_insulated_Heating_DHW_combo_NG</t>
  </si>
  <si>
    <t>MA_SFH_post_2003_Occupied_insulated_Tight_envelope_HRV_Full_insulated_wall_cavity_Double_pane_lowE</t>
  </si>
  <si>
    <t>MA_MFH_NG_heating_Central_AC_Hot_water_insulated_HPWH</t>
  </si>
  <si>
    <t>MA_SFH_post_2003_Occupied_insulated_Tight_envelope_HRV_Full_insulated_wall_cavity_Triple_pane_lowE</t>
  </si>
  <si>
    <t>MA_MFH_NG_heating_Central_AC_Air_ducts_insulated_Electric_resistance_DHW</t>
  </si>
  <si>
    <t>MA_SFH_post_2003_Occupied_insulated_Tight_envelope_HRV_Full_insulated_wall_cavity_exterior_Single_pane</t>
  </si>
  <si>
    <t>MA_MFH_NG_heating_Central_AC_Air_ducts_insulated_NG_DHW</t>
  </si>
  <si>
    <t>MA_SFH_post_2003_Occupied_insulated_Tight_envelope_HRV_Full_insulated_wall_cavity_exterior_Single_pane_storm_windows</t>
  </si>
  <si>
    <t>MA_MFH_NG_heating_Central_AC_Air_ducts_insulated_Heating_DHW_combo_NG</t>
  </si>
  <si>
    <t>MA_SFH_post_2003_Occupied_insulated_Tight_envelope_HRV_Full_insulated_wall_cavity_exterior_Double_pane_lowE</t>
  </si>
  <si>
    <t>MA_MFH_NG_heating_Central_AC_Air_ducts_insulated_HPWH</t>
  </si>
  <si>
    <t>MA_SFH_post_2003_Occupied_insulated_Tight_envelope_HRV_Full_insulated_wall_cavity_exterior_Triple_pane_lowE</t>
  </si>
  <si>
    <t>MA_MFH_NG_heating_Natural_ventilation_Steam_Electric_resistance_DHW</t>
  </si>
  <si>
    <t>MA_SFH_post_2003_Unoccupied_high_insulated_floor_Leaky_envelope_Uninsulated_walls_Single_pane</t>
  </si>
  <si>
    <t>MA_MFH_NG_heating_Natural_ventilation_Steam_NG_DHW</t>
  </si>
  <si>
    <t>MA_SFH_post_2003_Unoccupied_high_insulated_floor_Leaky_envelope_Uninsulated_walls_Single_pane_storm_windows</t>
  </si>
  <si>
    <t>MA_MFH_NG_heating_Natural_ventilation_Steam_Heating_DHW_combo_NG</t>
  </si>
  <si>
    <t>MA_SFH_post_2003_Unoccupied_high_insulated_floor_Leaky_envelope_Uninsulated_walls_Double_pane_lowE</t>
  </si>
  <si>
    <t>MA_MFH_NG_heating_Natural_ventilation_Steam_HPWH</t>
  </si>
  <si>
    <t>MA_SFH_post_2003_Unoccupied_high_insulated_floor_Leaky_envelope_Uninsulated_walls_Triple_pane_lowE</t>
  </si>
  <si>
    <t>MA_MFH_NG_heating_Natural_ventilation_Hot_water_uninsulated_Electric_resistance_DHW</t>
  </si>
  <si>
    <t>MA_SFH_post_2003_Unoccupied_high_insulated_floor_Leaky_envelope_Some_wall_insulation_Single_pane</t>
  </si>
  <si>
    <t>MA_MFH_NG_heating_Natural_ventilation_Hot_water_uninsulated_NG_DHW</t>
  </si>
  <si>
    <t>MA_SFH_post_2003_Unoccupied_high_insulated_floor_Leaky_envelope_Some_wall_insulation_Single_pane_storm_windows</t>
  </si>
  <si>
    <t>MA_MFH_NG_heating_Natural_ventilation_Hot_water_uninsulated_Heating_DHW_combo_NG</t>
  </si>
  <si>
    <t>MA_SFH_post_2003_Unoccupied_high_insulated_floor_Leaky_envelope_Some_wall_insulation_Double_pane_lowE</t>
  </si>
  <si>
    <t>MA_MFH_NG_heating_Natural_ventilation_Hot_water_uninsulated_HPWH</t>
  </si>
  <si>
    <t>MA_SFH_post_2003_Unoccupied_high_insulated_floor_Leaky_envelope_Some_wall_insulation_Triple_pane_lowE</t>
  </si>
  <si>
    <t>MA_MFH_NG_heating_Natural_ventilation_Air_ducts_uninsulated_Electric_resistance_DHW</t>
  </si>
  <si>
    <t>MA_SFH_post_2003_Unoccupied_high_insulated_floor_Leaky_envelope_SIP_Single_pane</t>
  </si>
  <si>
    <t>MA_MFH_NG_heating_Natural_ventilation_Air_ducts_uninsulated_NG_DHW</t>
  </si>
  <si>
    <t>MA_SFH_post_2003_Unoccupied_high_insulated_floor_Leaky_envelope_SIP_Single_pane_storm_windows</t>
  </si>
  <si>
    <t>MA_MFH_NG_heating_Natural_ventilation_Air_ducts_uninsulated_Heating_DHW_combo_NG</t>
  </si>
  <si>
    <t>MA_SFH_post_2003_Unoccupied_high_insulated_floor_Leaky_envelope_SIP_Double_pane_lowE</t>
  </si>
  <si>
    <t>MA_MFH_NG_heating_Natural_ventilation_Air_ducts_uninsulated_HPWH</t>
  </si>
  <si>
    <t>MA_SFH_post_2003_Unoccupied_high_insulated_floor_Leaky_envelope_SIP_Triple_pane_lowE</t>
  </si>
  <si>
    <t>MA_MFH_NG_heating_Natural_ventilation_Air_ducts_conditioned_uninsulated_Electric_resistance_DHW</t>
  </si>
  <si>
    <t>MA_SFH_post_2003_Unoccupied_high_insulated_floor_Leaky_envelope_Full_insulated_wall_cavity_Single_pane</t>
  </si>
  <si>
    <t>MA_MFH_NG_heating_Natural_ventilation_Air_ducts_conditioned_uninsulated_NG_DHW</t>
  </si>
  <si>
    <t>MA_SFH_post_2003_Unoccupied_high_insulated_floor_Leaky_envelope_Full_insulated_wall_cavity_Single_pane_storm_windows</t>
  </si>
  <si>
    <t>MA_MFH_NG_heating_Natural_ventilation_Air_ducts_conditioned_uninsulated_Heating_DHW_combo_NG</t>
  </si>
  <si>
    <t>MA_SFH_post_2003_Unoccupied_high_insulated_floor_Leaky_envelope_Full_insulated_wall_cavity_Double_pane_lowE</t>
  </si>
  <si>
    <t>MA_MFH_NG_heating_Natural_ventilation_Air_ducts_conditioned_uninsulated_HPWH</t>
  </si>
  <si>
    <t>MA_SFH_post_2003_Unoccupied_high_insulated_floor_Leaky_envelope_Full_insulated_wall_cavity_Triple_pane_lowE</t>
  </si>
  <si>
    <t>MA_MFH_NG_heating_Natural_ventilation_Hot_water_insulated_Electric_resistance_DHW</t>
  </si>
  <si>
    <t>MA_SFH_post_2003_Unoccupied_high_insulated_floor_Leaky_envelope_Full_insulated_wall_cavity_exterior_Single_pane</t>
  </si>
  <si>
    <t>MA_MFH_NG_heating_Natural_ventilation_Hot_water_insulated_NG_DHW</t>
  </si>
  <si>
    <t>MA_SFH_post_2003_Unoccupied_high_insulated_floor_Leaky_envelope_Full_insulated_wall_cavity_exterior_Single_pane_storm_windows</t>
  </si>
  <si>
    <t>MA_MFH_NG_heating_Natural_ventilation_Hot_water_insulated_Heating_DHW_combo_NG</t>
  </si>
  <si>
    <t>MA_SFH_post_2003_Unoccupied_high_insulated_floor_Leaky_envelope_Full_insulated_wall_cavity_exterior_Double_pane_lowE</t>
  </si>
  <si>
    <t>MA_MFH_NG_heating_Natural_ventilation_Hot_water_insulated_HPWH</t>
  </si>
  <si>
    <t>MA_SFH_post_2003_Unoccupied_high_insulated_floor_Leaky_envelope_Full_insulated_wall_cavity_exterior_Triple_pane_lowE</t>
  </si>
  <si>
    <t>MA_MFH_NG_heating_Natural_ventilation_Air_ducts_insulated_Electric_resistance_DHW</t>
  </si>
  <si>
    <t>MA_SFH_post_2003_Unoccupied_high_insulated_floor_Somewhat_leaky_envelope_Uninsulated_walls_Single_pane</t>
  </si>
  <si>
    <t>MA_MFH_NG_heating_Natural_ventilation_Air_ducts_insulated_NG_DHW</t>
  </si>
  <si>
    <t>MA_SFH_post_2003_Unoccupied_high_insulated_floor_Somewhat_leaky_envelope_Uninsulated_walls_Single_pane_storm_windows</t>
  </si>
  <si>
    <t>MA_MFH_NG_heating_Natural_ventilation_Air_ducts_insulated_Heating_DHW_combo_NG</t>
  </si>
  <si>
    <t>MA_SFH_post_2003_Unoccupied_high_insulated_floor_Somewhat_leaky_envelope_Uninsulated_walls_Double_pane_lowE</t>
  </si>
  <si>
    <t>MA_MFH_NG_heating_Natural_ventilation_Air_ducts_insulated_HPWH</t>
  </si>
  <si>
    <t>MA_SFH_post_2003_Unoccupied_high_insulated_floor_Somewhat_leaky_envelope_Uninsulated_walls_Triple_pane_lowE</t>
  </si>
  <si>
    <t>MA_MFH_NG_heating_Window_ASHP_Steam_Electric_resistance_DHW</t>
  </si>
  <si>
    <t>MA_SFH_post_2003_Unoccupied_high_insulated_floor_Somewhat_leaky_envelope_Some_wall_insulation_Single_pane</t>
  </si>
  <si>
    <t>MA_MFH_NG_heating_Window_ASHP_Steam_NG_DHW</t>
  </si>
  <si>
    <t>MA_SFH_post_2003_Unoccupied_high_insulated_floor_Somewhat_leaky_envelope_Some_wall_insulation_Single_pane_storm_windows</t>
  </si>
  <si>
    <t>MA_MFH_NG_heating_Window_ASHP_Steam_Heating_DHW_combo_NG</t>
  </si>
  <si>
    <t>MA_SFH_post_2003_Unoccupied_high_insulated_floor_Somewhat_leaky_envelope_Some_wall_insulation_Double_pane_lowE</t>
  </si>
  <si>
    <t>MA_MFH_NG_heating_Window_ASHP_Steam_HPWH</t>
  </si>
  <si>
    <t>MA_SFH_post_2003_Unoccupied_high_insulated_floor_Somewhat_leaky_envelope_Some_wall_insulation_Triple_pane_lowE</t>
  </si>
  <si>
    <t>MA_MFH_NG_heating_Window_ASHP_Hot_water_uninsulated_Electric_resistance_DHW</t>
  </si>
  <si>
    <t>MA_SFH_post_2003_Unoccupied_high_insulated_floor_Somewhat_leaky_envelope_SIP_Single_pane</t>
  </si>
  <si>
    <t>MA_MFH_NG_heating_Window_ASHP_Hot_water_uninsulated_NG_DHW</t>
  </si>
  <si>
    <t>MA_SFH_post_2003_Unoccupied_high_insulated_floor_Somewhat_leaky_envelope_SIP_Single_pane_storm_windows</t>
  </si>
  <si>
    <t>MA_MFH_NG_heating_Window_ASHP_Hot_water_uninsulated_Heating_DHW_combo_NG</t>
  </si>
  <si>
    <t>MA_SFH_post_2003_Unoccupied_high_insulated_floor_Somewhat_leaky_envelope_SIP_Double_pane_lowE</t>
  </si>
  <si>
    <t>MA_MFH_NG_heating_Window_ASHP_Hot_water_uninsulated_HPWH</t>
  </si>
  <si>
    <t>MA_SFH_post_2003_Unoccupied_high_insulated_floor_Somewhat_leaky_envelope_SIP_Triple_pane_lowE</t>
  </si>
  <si>
    <t>MA_MFH_NG_heating_Window_ASHP_Air_ducts_uninsulated_Electric_resistance_DHW</t>
  </si>
  <si>
    <t>MA_SFH_post_2003_Unoccupied_high_insulated_floor_Somewhat_leaky_envelope_Full_insulated_wall_cavity_Single_pane</t>
  </si>
  <si>
    <t>MA_MFH_NG_heating_Window_ASHP_Air_ducts_uninsulated_NG_DHW</t>
  </si>
  <si>
    <t>MA_SFH_post_2003_Unoccupied_high_insulated_floor_Somewhat_leaky_envelope_Full_insulated_wall_cavity_Single_pane_storm_windows</t>
  </si>
  <si>
    <t>MA_MFH_NG_heating_Window_ASHP_Air_ducts_uninsulated_Heating_DHW_combo_NG</t>
  </si>
  <si>
    <t>MA_SFH_post_2003_Unoccupied_high_insulated_floor_Somewhat_leaky_envelope_Full_insulated_wall_cavity_Double_pane_lowE</t>
  </si>
  <si>
    <t>MA_MFH_NG_heating_Window_ASHP_Air_ducts_uninsulated_HPWH</t>
  </si>
  <si>
    <t>MA_SFH_post_2003_Unoccupied_high_insulated_floor_Somewhat_leaky_envelope_Full_insulated_wall_cavity_Triple_pane_lowE</t>
  </si>
  <si>
    <t>MA_MFH_NG_heating_Window_ASHP_Air_ducts_conditioned_uninsulated_Electric_resistance_DHW</t>
  </si>
  <si>
    <t>MA_SFH_post_2003_Unoccupied_high_insulated_floor_Somewhat_leaky_envelope_Full_insulated_wall_cavity_exterior_Single_pane</t>
  </si>
  <si>
    <t>MA_MFH_NG_heating_Window_ASHP_Air_ducts_conditioned_uninsulated_NG_DHW</t>
  </si>
  <si>
    <t>MA_SFH_post_2003_Unoccupied_high_insulated_floor_Somewhat_leaky_envelope_Full_insulated_wall_cavity_exterior_Single_pane_storm_windows</t>
  </si>
  <si>
    <t>MA_MFH_NG_heating_Window_ASHP_Air_ducts_conditioned_uninsulated_Heating_DHW_combo_NG</t>
  </si>
  <si>
    <t>MA_SFH_post_2003_Unoccupied_high_insulated_floor_Somewhat_leaky_envelope_Full_insulated_wall_cavity_exterior_Double_pane_lowE</t>
  </si>
  <si>
    <t>MA_MFH_NG_heating_Window_ASHP_Air_ducts_conditioned_uninsulated_HPWH</t>
  </si>
  <si>
    <t>MA_SFH_post_2003_Unoccupied_high_insulated_floor_Somewhat_leaky_envelope_Full_insulated_wall_cavity_exterior_Triple_pane_lowE</t>
  </si>
  <si>
    <t>MA_MFH_NG_heating_Window_ASHP_Hot_water_insulated_Electric_resistance_DHW</t>
  </si>
  <si>
    <t>MA_SFH_post_2003_Unoccupied_high_insulated_floor_Tight_envelope_HRV_Uninsulated_walls_Single_pane</t>
  </si>
  <si>
    <t>MA_MFH_NG_heating_Window_ASHP_Hot_water_insulated_NG_DHW</t>
  </si>
  <si>
    <t>MA_SFH_post_2003_Unoccupied_high_insulated_floor_Tight_envelope_HRV_Uninsulated_walls_Single_pane_storm_windows</t>
  </si>
  <si>
    <t>MA_MFH_NG_heating_Window_ASHP_Hot_water_insulated_Heating_DHW_combo_NG</t>
  </si>
  <si>
    <t>MA_SFH_post_2003_Unoccupied_high_insulated_floor_Tight_envelope_HRV_Uninsulated_walls_Double_pane_lowE</t>
  </si>
  <si>
    <t>MA_MFH_NG_heating_Window_ASHP_Hot_water_insulated_HPWH</t>
  </si>
  <si>
    <t>MA_SFH_post_2003_Unoccupied_high_insulated_floor_Tight_envelope_HRV_Uninsulated_walls_Triple_pane_lowE</t>
  </si>
  <si>
    <t>MA_MFH_NG_heating_Window_ASHP_Air_ducts_insulated_Electric_resistance_DHW</t>
  </si>
  <si>
    <t>MA_SFH_post_2003_Unoccupied_high_insulated_floor_Tight_envelope_HRV_Some_wall_insulation_Single_pane</t>
  </si>
  <si>
    <t>MA_MFH_NG_heating_Window_ASHP_Air_ducts_insulated_NG_DHW</t>
  </si>
  <si>
    <t>MA_SFH_post_2003_Unoccupied_high_insulated_floor_Tight_envelope_HRV_Some_wall_insulation_Single_pane_storm_windows</t>
  </si>
  <si>
    <t>MA_MFH_NG_heating_Window_ASHP_Air_ducts_insulated_Heating_DHW_combo_NG</t>
  </si>
  <si>
    <t>MA_SFH_post_2003_Unoccupied_high_insulated_floor_Tight_envelope_HRV_Some_wall_insulation_Double_pane_lowE</t>
  </si>
  <si>
    <t>MA_MFH_NG_heating_Window_ASHP_Air_ducts_insulated_HPWH</t>
  </si>
  <si>
    <t>MA_SFH_post_2003_Unoccupied_high_insulated_floor_Tight_envelope_HRV_Some_wall_insulation_Triple_pane_lowE</t>
  </si>
  <si>
    <t>MA_MFH_NG_heating_ASHP_Steam_Electric_resistance_DHW</t>
  </si>
  <si>
    <t>MA_SFH_post_2003_Unoccupied_high_insulated_floor_Tight_envelope_HRV_SIP_Single_pane</t>
  </si>
  <si>
    <t>MA_MFH_NG_heating_ASHP_Steam_NG_DHW</t>
  </si>
  <si>
    <t>MA_SFH_post_2003_Unoccupied_high_insulated_floor_Tight_envelope_HRV_SIP_Single_pane_storm_windows</t>
  </si>
  <si>
    <t>MA_MFH_NG_heating_ASHP_Steam_Heating_DHW_combo_NG</t>
  </si>
  <si>
    <t>MA_SFH_post_2003_Unoccupied_high_insulated_floor_Tight_envelope_HRV_SIP_Double_pane_lowE</t>
  </si>
  <si>
    <t>MA_MFH_NG_heating_ASHP_Steam_HPWH</t>
  </si>
  <si>
    <t>MA_SFH_post_2003_Unoccupied_high_insulated_floor_Tight_envelope_HRV_SIP_Triple_pane_lowE</t>
  </si>
  <si>
    <t>MA_MFH_NG_heating_ASHP_Hot_water_uninsulated_Electric_resistance_DHW</t>
  </si>
  <si>
    <t>MA_SFH_post_2003_Unoccupied_high_insulated_floor_Tight_envelope_HRV_Full_insulated_wall_cavity_Single_pane</t>
  </si>
  <si>
    <t>MA_MFH_NG_heating_ASHP_Hot_water_uninsulated_NG_DHW</t>
  </si>
  <si>
    <t>MA_SFH_post_2003_Unoccupied_high_insulated_floor_Tight_envelope_HRV_Full_insulated_wall_cavity_Single_pane_storm_windows</t>
  </si>
  <si>
    <t>MA_MFH_NG_heating_ASHP_Hot_water_uninsulated_Heating_DHW_combo_NG</t>
  </si>
  <si>
    <t>MA_SFH_post_2003_Unoccupied_high_insulated_floor_Tight_envelope_HRV_Full_insulated_wall_cavity_Double_pane_lowE</t>
  </si>
  <si>
    <t>MA_MFH_NG_heating_ASHP_Hot_water_uninsulated_HPWH</t>
  </si>
  <si>
    <t>MA_SFH_post_2003_Unoccupied_high_insulated_floor_Tight_envelope_HRV_Full_insulated_wall_cavity_Triple_pane_lowE</t>
  </si>
  <si>
    <t>MA_MFH_NG_heating_ASHP_Air_ducts_uninsulated_Electric_resistance_DHW</t>
  </si>
  <si>
    <t>MA_SFH_post_2003_Unoccupied_high_insulated_floor_Tight_envelope_HRV_Full_insulated_wall_cavity_exterior_Single_pane</t>
  </si>
  <si>
    <t>MA_MFH_NG_heating_ASHP_Air_ducts_uninsulated_NG_DHW</t>
  </si>
  <si>
    <t>MA_SFH_post_2003_Unoccupied_high_insulated_floor_Tight_envelope_HRV_Full_insulated_wall_cavity_exterior_Single_pane_storm_windows</t>
  </si>
  <si>
    <t>MA_MFH_NG_heating_ASHP_Air_ducts_uninsulated_Heating_DHW_combo_NG</t>
  </si>
  <si>
    <t>MA_SFH_post_2003_Unoccupied_high_insulated_floor_Tight_envelope_HRV_Full_insulated_wall_cavity_exterior_Double_pane_lowE</t>
  </si>
  <si>
    <t>MA_MFH_NG_heating_ASHP_Air_ducts_uninsulated_HPWH</t>
  </si>
  <si>
    <t>MA_SFH_post_2003_Unoccupied_high_insulated_floor_Tight_envelope_HRV_Full_insulated_wall_cavity_exterior_Triple_pane_lowE</t>
  </si>
  <si>
    <t>MA_MFH_NG_heating_ASHP_Air_ducts_conditioned_uninsulated_Electric_resistance_DHW</t>
  </si>
  <si>
    <t>MA_MFH_pre_1975_Occupied_uninsulated_Leaky_envelope_Uninsulated_walls_Single_pane</t>
  </si>
  <si>
    <t>MA_MFH_NG_heating_ASHP_Air_ducts_conditioned_uninsulated_NG_DHW</t>
  </si>
  <si>
    <t>MA_MFH_pre_1975_Occupied_uninsulated_Leaky_envelope_Uninsulated_walls_Single_pane_storm_windows</t>
  </si>
  <si>
    <t>MA_MFH_NG_heating_ASHP_Air_ducts_conditioned_uninsulated_Heating_DHW_combo_NG</t>
  </si>
  <si>
    <t>MA_MFH_pre_1975_Occupied_uninsulated_Leaky_envelope_Uninsulated_walls_Double_pane_lowE</t>
  </si>
  <si>
    <t>MA_MFH_NG_heating_ASHP_Air_ducts_conditioned_uninsulated_HPWH</t>
  </si>
  <si>
    <t>MA_MFH_pre_1975_Occupied_uninsulated_Leaky_envelope_Uninsulated_walls_Triple_pane_lowE</t>
  </si>
  <si>
    <t>MA_MFH_NG_heating_ASHP_Hot_water_insulated_Electric_resistance_DHW</t>
  </si>
  <si>
    <t>MA_MFH_pre_1975_Occupied_uninsulated_Leaky_envelope_Some_wall_insulation_Single_pane</t>
  </si>
  <si>
    <t>MA_MFH_NG_heating_ASHP_Hot_water_insulated_NG_DHW</t>
  </si>
  <si>
    <t>MA_MFH_pre_1975_Occupied_uninsulated_Leaky_envelope_Some_wall_insulation_Single_pane_storm_windows</t>
  </si>
  <si>
    <t>MA_MFH_NG_heating_ASHP_Hot_water_insulated_Heating_DHW_combo_NG</t>
  </si>
  <si>
    <t>MA_MFH_pre_1975_Occupied_uninsulated_Leaky_envelope_Some_wall_insulation_Double_pane_lowE</t>
  </si>
  <si>
    <t>MA_MFH_NG_heating_ASHP_Hot_water_insulated_HPWH</t>
  </si>
  <si>
    <t>MA_MFH_pre_1975_Occupied_uninsulated_Leaky_envelope_Some_wall_insulation_Triple_pane_lowE</t>
  </si>
  <si>
    <t>MA_MFH_NG_heating_ASHP_Air_ducts_insulated_Electric_resistance_DHW</t>
  </si>
  <si>
    <t>MA_MFH_pre_1975_Occupied_uninsulated_Leaky_envelope_SIP_Single_pane</t>
  </si>
  <si>
    <t>MA_MFH_NG_heating_ASHP_Air_ducts_insulated_NG_DHW</t>
  </si>
  <si>
    <t>MA_MFH_pre_1975_Occupied_uninsulated_Leaky_envelope_SIP_Single_pane_storm_windows</t>
  </si>
  <si>
    <t>MA_MFH_NG_heating_ASHP_Air_ducts_insulated_Heating_DHW_combo_NG</t>
  </si>
  <si>
    <t>MA_MFH_pre_1975_Occupied_uninsulated_Leaky_envelope_SIP_Double_pane_lowE</t>
  </si>
  <si>
    <t>MA_MFH_NG_heating_ASHP_Air_ducts_insulated_HPWH</t>
  </si>
  <si>
    <t>MA_MFH_pre_1975_Occupied_uninsulated_Leaky_envelope_SIP_Triple_pane_lowE</t>
  </si>
  <si>
    <t>MA_MFH_NG_heating_GSHP_Steam_Electric_resistance_DHW</t>
  </si>
  <si>
    <t>MA_MFH_pre_1975_Occupied_uninsulated_Leaky_envelope_Full_insulated_wall_cavity_Single_pane</t>
  </si>
  <si>
    <t>MA_MFH_NG_heating_GSHP_Steam_NG_DHW</t>
  </si>
  <si>
    <t>MA_MFH_pre_1975_Occupied_uninsulated_Leaky_envelope_Full_insulated_wall_cavity_Single_pane_storm_windows</t>
  </si>
  <si>
    <t>MA_MFH_NG_heating_GSHP_Steam_Heating_DHW_combo_NG</t>
  </si>
  <si>
    <t>MA_MFH_pre_1975_Occupied_uninsulated_Leaky_envelope_Full_insulated_wall_cavity_Double_pane_lowE</t>
  </si>
  <si>
    <t>MA_MFH_NG_heating_GSHP_Steam_HPWH</t>
  </si>
  <si>
    <t>MA_MFH_pre_1975_Occupied_uninsulated_Leaky_envelope_Full_insulated_wall_cavity_Triple_pane_lowE</t>
  </si>
  <si>
    <t>MA_MFH_NG_heating_GSHP_Hot_water_uninsulated_Electric_resistance_DHW</t>
  </si>
  <si>
    <t>MA_MFH_pre_1975_Occupied_uninsulated_Leaky_envelope_Full_insulated_wall_cavity_exterior_Single_pane</t>
  </si>
  <si>
    <t>MA_MFH_NG_heating_GSHP_Hot_water_uninsulated_NG_DHW</t>
  </si>
  <si>
    <t>MA_MFH_pre_1975_Occupied_uninsulated_Leaky_envelope_Full_insulated_wall_cavity_exterior_Single_pane_storm_windows</t>
  </si>
  <si>
    <t>MA_MFH_NG_heating_GSHP_Hot_water_uninsulated_Heating_DHW_combo_NG</t>
  </si>
  <si>
    <t>MA_MFH_pre_1975_Occupied_uninsulated_Leaky_envelope_Full_insulated_wall_cavity_exterior_Double_pane_lowE</t>
  </si>
  <si>
    <t>MA_MFH_NG_heating_GSHP_Hot_water_uninsulated_HPWH</t>
  </si>
  <si>
    <t>MA_MFH_pre_1975_Occupied_uninsulated_Leaky_envelope_Full_insulated_wall_cavity_exterior_Triple_pane_lowE</t>
  </si>
  <si>
    <t>MA_MFH_NG_heating_GSHP_Air_ducts_uninsulated_Electric_resistance_DHW</t>
  </si>
  <si>
    <t>MA_MFH_pre_1975_Occupied_uninsulated_Somewhat_leaky_envelope_Uninsulated_walls_Single_pane</t>
  </si>
  <si>
    <t>MA_MFH_NG_heating_GSHP_Air_ducts_uninsulated_NG_DHW</t>
  </si>
  <si>
    <t>MA_MFH_pre_1975_Occupied_uninsulated_Somewhat_leaky_envelope_Uninsulated_walls_Single_pane_storm_windows</t>
  </si>
  <si>
    <t>MA_MFH_NG_heating_GSHP_Air_ducts_uninsulated_Heating_DHW_combo_NG</t>
  </si>
  <si>
    <t>MA_MFH_pre_1975_Occupied_uninsulated_Somewhat_leaky_envelope_Uninsulated_walls_Double_pane_lowE</t>
  </si>
  <si>
    <t>MA_MFH_NG_heating_GSHP_Air_ducts_uninsulated_HPWH</t>
  </si>
  <si>
    <t>MA_MFH_pre_1975_Occupied_uninsulated_Somewhat_leaky_envelope_Uninsulated_walls_Triple_pane_lowE</t>
  </si>
  <si>
    <t>MA_MFH_NG_heating_GSHP_Air_ducts_conditioned_uninsulated_Electric_resistance_DHW</t>
  </si>
  <si>
    <t>MA_MFH_pre_1975_Occupied_uninsulated_Somewhat_leaky_envelope_Some_wall_insulation_Single_pane</t>
  </si>
  <si>
    <t>MA_MFH_NG_heating_GSHP_Air_ducts_conditioned_uninsulated_NG_DHW</t>
  </si>
  <si>
    <t>MA_MFH_pre_1975_Occupied_uninsulated_Somewhat_leaky_envelope_Some_wall_insulation_Single_pane_storm_windows</t>
  </si>
  <si>
    <t>MA_MFH_NG_heating_GSHP_Air_ducts_conditioned_uninsulated_Heating_DHW_combo_NG</t>
  </si>
  <si>
    <t>MA_MFH_pre_1975_Occupied_uninsulated_Somewhat_leaky_envelope_Some_wall_insulation_Double_pane_lowE</t>
  </si>
  <si>
    <t>MA_MFH_NG_heating_GSHP_Air_ducts_conditioned_uninsulated_HPWH</t>
  </si>
  <si>
    <t>MA_MFH_pre_1975_Occupied_uninsulated_Somewhat_leaky_envelope_Some_wall_insulation_Triple_pane_lowE</t>
  </si>
  <si>
    <t>MA_MFH_NG_heating_GSHP_Hot_water_insulated_Electric_resistance_DHW</t>
  </si>
  <si>
    <t>MA_MFH_pre_1975_Occupied_uninsulated_Somewhat_leaky_envelope_SIP_Single_pane</t>
  </si>
  <si>
    <t>MA_MFH_NG_heating_GSHP_Hot_water_insulated_NG_DHW</t>
  </si>
  <si>
    <t>MA_MFH_pre_1975_Occupied_uninsulated_Somewhat_leaky_envelope_SIP_Single_pane_storm_windows</t>
  </si>
  <si>
    <t>MA_MFH_NG_heating_GSHP_Hot_water_insulated_Heating_DHW_combo_NG</t>
  </si>
  <si>
    <t>MA_MFH_pre_1975_Occupied_uninsulated_Somewhat_leaky_envelope_SIP_Double_pane_lowE</t>
  </si>
  <si>
    <t>MA_MFH_NG_heating_GSHP_Hot_water_insulated_HPWH</t>
  </si>
  <si>
    <t>MA_MFH_pre_1975_Occupied_uninsulated_Somewhat_leaky_envelope_SIP_Triple_pane_lowE</t>
  </si>
  <si>
    <t>MA_MFH_NG_heating_GSHP_Air_ducts_insulated_Electric_resistance_DHW</t>
  </si>
  <si>
    <t>MA_MFH_pre_1975_Occupied_uninsulated_Somewhat_leaky_envelope_Full_insulated_wall_cavity_Single_pane</t>
  </si>
  <si>
    <t>MA_MFH_NG_heating_GSHP_Air_ducts_insulated_NG_DHW</t>
  </si>
  <si>
    <t>MA_MFH_pre_1975_Occupied_uninsulated_Somewhat_leaky_envelope_Full_insulated_wall_cavity_Single_pane_storm_windows</t>
  </si>
  <si>
    <t>MA_MFH_NG_heating_GSHP_Air_ducts_insulated_Heating_DHW_combo_NG</t>
  </si>
  <si>
    <t>MA_MFH_pre_1975_Occupied_uninsulated_Somewhat_leaky_envelope_Full_insulated_wall_cavity_Double_pane_lowE</t>
  </si>
  <si>
    <t>MA_MFH_NG_heating_GSHP_Air_ducts_insulated_HPWH</t>
  </si>
  <si>
    <t>MA_MFH_pre_1975_Occupied_uninsulated_Somewhat_leaky_envelope_Full_insulated_wall_cavity_Triple_pane_lowE</t>
  </si>
  <si>
    <t>MA_MFH_NG_condensing_heating_AC_window_Steam_Electric_resistance_DHW</t>
  </si>
  <si>
    <t>MA_MFH_pre_1975_Occupied_uninsulated_Somewhat_leaky_envelope_Full_insulated_wall_cavity_exterior_Single_pane</t>
  </si>
  <si>
    <t>MA_MFH_NG_condensing_heating_AC_window_Steam_NG_DHW</t>
  </si>
  <si>
    <t>MA_MFH_pre_1975_Occupied_uninsulated_Somewhat_leaky_envelope_Full_insulated_wall_cavity_exterior_Single_pane_storm_windows</t>
  </si>
  <si>
    <t>MA_MFH_NG_condensing_heating_AC_window_Steam_Heating_DHW_combo_NG</t>
  </si>
  <si>
    <t>MA_MFH_pre_1975_Occupied_uninsulated_Somewhat_leaky_envelope_Full_insulated_wall_cavity_exterior_Double_pane_lowE</t>
  </si>
  <si>
    <t>MA_MFH_NG_condensing_heating_AC_window_Steam_HPWH</t>
  </si>
  <si>
    <t>MA_MFH_pre_1975_Occupied_uninsulated_Somewhat_leaky_envelope_Full_insulated_wall_cavity_exterior_Triple_pane_lowE</t>
  </si>
  <si>
    <t>MA_MFH_NG_condensing_heating_AC_window_Hot_water_uninsulated_Electric_resistance_DHW</t>
  </si>
  <si>
    <t>MA_MFH_pre_1975_Occupied_uninsulated_Tight_envelope_HRV_Uninsulated_walls_Single_pane</t>
  </si>
  <si>
    <t>MA_MFH_NG_condensing_heating_AC_window_Hot_water_uninsulated_NG_DHW</t>
  </si>
  <si>
    <t>MA_MFH_pre_1975_Occupied_uninsulated_Tight_envelope_HRV_Uninsulated_walls_Single_pane_storm_windows</t>
  </si>
  <si>
    <t>MA_MFH_NG_condensing_heating_AC_window_Hot_water_uninsulated_Heating_DHW_combo_NG</t>
  </si>
  <si>
    <t>MA_MFH_pre_1975_Occupied_uninsulated_Tight_envelope_HRV_Uninsulated_walls_Double_pane_lowE</t>
  </si>
  <si>
    <t>MA_MFH_NG_condensing_heating_AC_window_Hot_water_uninsulated_HPWH</t>
  </si>
  <si>
    <t>MA_MFH_pre_1975_Occupied_uninsulated_Tight_envelope_HRV_Uninsulated_walls_Triple_pane_lowE</t>
  </si>
  <si>
    <t>MA_MFH_NG_condensing_heating_AC_window_Air_ducts_uninsulated_Electric_resistance_DHW</t>
  </si>
  <si>
    <t>MA_MFH_pre_1975_Occupied_uninsulated_Tight_envelope_HRV_Some_wall_insulation_Single_pane</t>
  </si>
  <si>
    <t>MA_MFH_NG_condensing_heating_AC_window_Air_ducts_uninsulated_NG_DHW</t>
  </si>
  <si>
    <t>MA_MFH_pre_1975_Occupied_uninsulated_Tight_envelope_HRV_Some_wall_insulation_Single_pane_storm_windows</t>
  </si>
  <si>
    <t>MA_MFH_NG_condensing_heating_AC_window_Air_ducts_uninsulated_Heating_DHW_combo_NG</t>
  </si>
  <si>
    <t>MA_MFH_pre_1975_Occupied_uninsulated_Tight_envelope_HRV_Some_wall_insulation_Double_pane_lowE</t>
  </si>
  <si>
    <t>MA_MFH_NG_condensing_heating_AC_window_Air_ducts_uninsulated_HPWH</t>
  </si>
  <si>
    <t>MA_MFH_pre_1975_Occupied_uninsulated_Tight_envelope_HRV_Some_wall_insulation_Triple_pane_lowE</t>
  </si>
  <si>
    <t>MA_MFH_NG_condensing_heating_AC_window_Air_ducts_conditioned_uninsulated_Electric_resistance_DHW</t>
  </si>
  <si>
    <t>MA_MFH_pre_1975_Occupied_uninsulated_Tight_envelope_HRV_SIP_Single_pane</t>
  </si>
  <si>
    <t>MA_MFH_NG_condensing_heating_AC_window_Air_ducts_conditioned_uninsulated_NG_DHW</t>
  </si>
  <si>
    <t>MA_MFH_pre_1975_Occupied_uninsulated_Tight_envelope_HRV_SIP_Single_pane_storm_windows</t>
  </si>
  <si>
    <t>MA_MFH_NG_condensing_heating_AC_window_Air_ducts_conditioned_uninsulated_Heating_DHW_combo_NG</t>
  </si>
  <si>
    <t>MA_MFH_pre_1975_Occupied_uninsulated_Tight_envelope_HRV_SIP_Double_pane_lowE</t>
  </si>
  <si>
    <t>MA_MFH_NG_condensing_heating_AC_window_Air_ducts_conditioned_uninsulated_HPWH</t>
  </si>
  <si>
    <t>MA_MFH_pre_1975_Occupied_uninsulated_Tight_envelope_HRV_SIP_Triple_pane_lowE</t>
  </si>
  <si>
    <t>MA_MFH_NG_condensing_heating_AC_window_Hot_water_insulated_Electric_resistance_DHW</t>
  </si>
  <si>
    <t>MA_MFH_pre_1975_Occupied_uninsulated_Tight_envelope_HRV_Full_insulated_wall_cavity_Single_pane</t>
  </si>
  <si>
    <t>MA_MFH_NG_condensing_heating_AC_window_Hot_water_insulated_NG_DHW</t>
  </si>
  <si>
    <t>MA_MFH_pre_1975_Occupied_uninsulated_Tight_envelope_HRV_Full_insulated_wall_cavity_Single_pane_storm_windows</t>
  </si>
  <si>
    <t>MA_MFH_NG_condensing_heating_AC_window_Hot_water_insulated_Heating_DHW_combo_NG</t>
  </si>
  <si>
    <t>MA_MFH_pre_1975_Occupied_uninsulated_Tight_envelope_HRV_Full_insulated_wall_cavity_Double_pane_lowE</t>
  </si>
  <si>
    <t>MA_MFH_NG_condensing_heating_AC_window_Hot_water_insulated_HPWH</t>
  </si>
  <si>
    <t>MA_MFH_pre_1975_Occupied_uninsulated_Tight_envelope_HRV_Full_insulated_wall_cavity_Triple_pane_lowE</t>
  </si>
  <si>
    <t>MA_MFH_NG_condensing_heating_AC_window_Air_ducts_insulated_Electric_resistance_DHW</t>
  </si>
  <si>
    <t>MA_MFH_pre_1975_Occupied_uninsulated_Tight_envelope_HRV_Full_insulated_wall_cavity_exterior_Single_pane</t>
  </si>
  <si>
    <t>MA_MFH_NG_condensing_heating_AC_window_Air_ducts_insulated_NG_DHW</t>
  </si>
  <si>
    <t>MA_MFH_pre_1975_Occupied_uninsulated_Tight_envelope_HRV_Full_insulated_wall_cavity_exterior_Single_pane_storm_windows</t>
  </si>
  <si>
    <t>MA_MFH_NG_condensing_heating_AC_window_Air_ducts_insulated_Heating_DHW_combo_NG</t>
  </si>
  <si>
    <t>MA_MFH_pre_1975_Occupied_uninsulated_Tight_envelope_HRV_Full_insulated_wall_cavity_exterior_Double_pane_lowE</t>
  </si>
  <si>
    <t>MA_MFH_NG_condensing_heating_AC_window_Air_ducts_insulated_HPWH</t>
  </si>
  <si>
    <t>MA_MFH_pre_1975_Occupied_uninsulated_Tight_envelope_HRV_Full_insulated_wall_cavity_exterior_Triple_pane_lowE</t>
  </si>
  <si>
    <t>MA_MFH_NG_condensing_heating_Central_AC_Steam_Electric_resistance_DHW</t>
  </si>
  <si>
    <t>MA_MFH_pre_1975_Unoccupied_uninsulated_floor_Leaky_envelope_Uninsulated_walls_Single_pane</t>
  </si>
  <si>
    <t>MA_MFH_NG_condensing_heating_Central_AC_Steam_NG_DHW</t>
  </si>
  <si>
    <t>MA_MFH_pre_1975_Unoccupied_uninsulated_floor_Leaky_envelope_Uninsulated_walls_Single_pane_storm_windows</t>
  </si>
  <si>
    <t>MA_MFH_NG_condensing_heating_Central_AC_Steam_Heating_DHW_combo_NG</t>
  </si>
  <si>
    <t>MA_MFH_pre_1975_Unoccupied_uninsulated_floor_Leaky_envelope_Uninsulated_walls_Double_pane_lowE</t>
  </si>
  <si>
    <t>MA_MFH_NG_condensing_heating_Central_AC_Steam_HPWH</t>
  </si>
  <si>
    <t>MA_MFH_pre_1975_Unoccupied_uninsulated_floor_Leaky_envelope_Uninsulated_walls_Triple_pane_lowE</t>
  </si>
  <si>
    <t>MA_MFH_NG_condensing_heating_Central_AC_Hot_water_uninsulated_Electric_resistance_DHW</t>
  </si>
  <si>
    <t>MA_MFH_pre_1975_Unoccupied_uninsulated_floor_Leaky_envelope_Some_wall_insulation_Single_pane</t>
  </si>
  <si>
    <t>MA_MFH_NG_condensing_heating_Central_AC_Hot_water_uninsulated_NG_DHW</t>
  </si>
  <si>
    <t>MA_MFH_pre_1975_Unoccupied_uninsulated_floor_Leaky_envelope_Some_wall_insulation_Single_pane_storm_windows</t>
  </si>
  <si>
    <t>MA_MFH_NG_condensing_heating_Central_AC_Hot_water_uninsulated_Heating_DHW_combo_NG</t>
  </si>
  <si>
    <t>MA_MFH_pre_1975_Unoccupied_uninsulated_floor_Leaky_envelope_Some_wall_insulation_Double_pane_lowE</t>
  </si>
  <si>
    <t>MA_MFH_NG_condensing_heating_Central_AC_Hot_water_uninsulated_HPWH</t>
  </si>
  <si>
    <t>MA_MFH_pre_1975_Unoccupied_uninsulated_floor_Leaky_envelope_Some_wall_insulation_Triple_pane_lowE</t>
  </si>
  <si>
    <t>MA_MFH_NG_condensing_heating_Central_AC_Air_ducts_uninsulated_Electric_resistance_DHW</t>
  </si>
  <si>
    <t>MA_MFH_pre_1975_Unoccupied_uninsulated_floor_Leaky_envelope_SIP_Single_pane</t>
  </si>
  <si>
    <t>MA_MFH_NG_condensing_heating_Central_AC_Air_ducts_uninsulated_NG_DHW</t>
  </si>
  <si>
    <t>MA_MFH_pre_1975_Unoccupied_uninsulated_floor_Leaky_envelope_SIP_Single_pane_storm_windows</t>
  </si>
  <si>
    <t>MA_MFH_NG_condensing_heating_Central_AC_Air_ducts_uninsulated_Heating_DHW_combo_NG</t>
  </si>
  <si>
    <t>MA_MFH_pre_1975_Unoccupied_uninsulated_floor_Leaky_envelope_SIP_Double_pane_lowE</t>
  </si>
  <si>
    <t>MA_MFH_NG_condensing_heating_Central_AC_Air_ducts_uninsulated_HPWH</t>
  </si>
  <si>
    <t>MA_MFH_pre_1975_Unoccupied_uninsulated_floor_Leaky_envelope_SIP_Triple_pane_lowE</t>
  </si>
  <si>
    <t>MA_MFH_NG_condensing_heating_Central_AC_Air_ducts_conditioned_uninsulated_Electric_resistance_DHW</t>
  </si>
  <si>
    <t>MA_MFH_pre_1975_Unoccupied_uninsulated_floor_Leaky_envelope_Full_insulated_wall_cavity_Single_pane</t>
  </si>
  <si>
    <t>MA_MFH_NG_condensing_heating_Central_AC_Air_ducts_conditioned_uninsulated_NG_DHW</t>
  </si>
  <si>
    <t>MA_MFH_pre_1975_Unoccupied_uninsulated_floor_Leaky_envelope_Full_insulated_wall_cavity_Single_pane_storm_windows</t>
  </si>
  <si>
    <t>MA_MFH_NG_condensing_heating_Central_AC_Air_ducts_conditioned_uninsulated_Heating_DHW_combo_NG</t>
  </si>
  <si>
    <t>MA_MFH_pre_1975_Unoccupied_uninsulated_floor_Leaky_envelope_Full_insulated_wall_cavity_Double_pane_lowE</t>
  </si>
  <si>
    <t>MA_MFH_NG_condensing_heating_Central_AC_Air_ducts_conditioned_uninsulated_HPWH</t>
  </si>
  <si>
    <t>MA_MFH_pre_1975_Unoccupied_uninsulated_floor_Leaky_envelope_Full_insulated_wall_cavity_Triple_pane_lowE</t>
  </si>
  <si>
    <t>MA_MFH_NG_condensing_heating_Central_AC_Hot_water_insulated_Electric_resistance_DHW</t>
  </si>
  <si>
    <t>MA_MFH_pre_1975_Unoccupied_uninsulated_floor_Leaky_envelope_Full_insulated_wall_cavity_exterior_Single_pane</t>
  </si>
  <si>
    <t>MA_MFH_NG_condensing_heating_Central_AC_Hot_water_insulated_NG_DHW</t>
  </si>
  <si>
    <t>MA_MFH_pre_1975_Unoccupied_uninsulated_floor_Leaky_envelope_Full_insulated_wall_cavity_exterior_Single_pane_storm_windows</t>
  </si>
  <si>
    <t>MA_MFH_NG_condensing_heating_Central_AC_Hot_water_insulated_Heating_DHW_combo_NG</t>
  </si>
  <si>
    <t>MA_MFH_pre_1975_Unoccupied_uninsulated_floor_Leaky_envelope_Full_insulated_wall_cavity_exterior_Double_pane_lowE</t>
  </si>
  <si>
    <t>MA_MFH_NG_condensing_heating_Central_AC_Hot_water_insulated_HPWH</t>
  </si>
  <si>
    <t>MA_MFH_pre_1975_Unoccupied_uninsulated_floor_Leaky_envelope_Full_insulated_wall_cavity_exterior_Triple_pane_lowE</t>
  </si>
  <si>
    <t>MA_MFH_NG_condensing_heating_Central_AC_Air_ducts_insulated_Electric_resistance_DHW</t>
  </si>
  <si>
    <t>MA_MFH_pre_1975_Unoccupied_uninsulated_floor_Somewhat_leaky_envelope_Uninsulated_walls_Single_pane</t>
  </si>
  <si>
    <t>MA_MFH_NG_condensing_heating_Central_AC_Air_ducts_insulated_NG_DHW</t>
  </si>
  <si>
    <t>MA_MFH_pre_1975_Unoccupied_uninsulated_floor_Somewhat_leaky_envelope_Uninsulated_walls_Single_pane_storm_windows</t>
  </si>
  <si>
    <t>MA_MFH_NG_condensing_heating_Central_AC_Air_ducts_insulated_Heating_DHW_combo_NG</t>
  </si>
  <si>
    <t>MA_MFH_pre_1975_Unoccupied_uninsulated_floor_Somewhat_leaky_envelope_Uninsulated_walls_Double_pane_lowE</t>
  </si>
  <si>
    <t>MA_MFH_NG_condensing_heating_Central_AC_Air_ducts_insulated_HPWH</t>
  </si>
  <si>
    <t>MA_MFH_pre_1975_Unoccupied_uninsulated_floor_Somewhat_leaky_envelope_Uninsulated_walls_Triple_pane_lowE</t>
  </si>
  <si>
    <t>MA_MFH_NG_condensing_heating_Natural_ventilation_Steam_Electric_resistance_DHW</t>
  </si>
  <si>
    <t>MA_MFH_pre_1975_Unoccupied_uninsulated_floor_Somewhat_leaky_envelope_Some_wall_insulation_Single_pane</t>
  </si>
  <si>
    <t>MA_MFH_NG_condensing_heating_Natural_ventilation_Steam_NG_DHW</t>
  </si>
  <si>
    <t>MA_MFH_pre_1975_Unoccupied_uninsulated_floor_Somewhat_leaky_envelope_Some_wall_insulation_Single_pane_storm_windows</t>
  </si>
  <si>
    <t>MA_MFH_NG_condensing_heating_Natural_ventilation_Steam_Heating_DHW_combo_NG</t>
  </si>
  <si>
    <t>MA_MFH_pre_1975_Unoccupied_uninsulated_floor_Somewhat_leaky_envelope_Some_wall_insulation_Double_pane_lowE</t>
  </si>
  <si>
    <t>MA_MFH_NG_condensing_heating_Natural_ventilation_Steam_HPWH</t>
  </si>
  <si>
    <t>MA_MFH_pre_1975_Unoccupied_uninsulated_floor_Somewhat_leaky_envelope_Some_wall_insulation_Triple_pane_lowE</t>
  </si>
  <si>
    <t>MA_MFH_NG_condensing_heating_Natural_ventilation_Hot_water_uninsulated_Electric_resistance_DHW</t>
  </si>
  <si>
    <t>MA_MFH_pre_1975_Unoccupied_uninsulated_floor_Somewhat_leaky_envelope_SIP_Single_pane</t>
  </si>
  <si>
    <t>MA_MFH_NG_condensing_heating_Natural_ventilation_Hot_water_uninsulated_NG_DHW</t>
  </si>
  <si>
    <t>MA_MFH_pre_1975_Unoccupied_uninsulated_floor_Somewhat_leaky_envelope_SIP_Single_pane_storm_windows</t>
  </si>
  <si>
    <t>MA_MFH_NG_condensing_heating_Natural_ventilation_Hot_water_uninsulated_Heating_DHW_combo_NG</t>
  </si>
  <si>
    <t>MA_MFH_pre_1975_Unoccupied_uninsulated_floor_Somewhat_leaky_envelope_SIP_Double_pane_lowE</t>
  </si>
  <si>
    <t>MA_MFH_NG_condensing_heating_Natural_ventilation_Hot_water_uninsulated_HPWH</t>
  </si>
  <si>
    <t>MA_MFH_pre_1975_Unoccupied_uninsulated_floor_Somewhat_leaky_envelope_SIP_Triple_pane_lowE</t>
  </si>
  <si>
    <t>MA_MFH_NG_condensing_heating_Natural_ventilation_Air_ducts_uninsulated_Electric_resistance_DHW</t>
  </si>
  <si>
    <t>MA_MFH_pre_1975_Unoccupied_uninsulated_floor_Somewhat_leaky_envelope_Full_insulated_wall_cavity_Single_pane</t>
  </si>
  <si>
    <t>MA_MFH_NG_condensing_heating_Natural_ventilation_Air_ducts_uninsulated_NG_DHW</t>
  </si>
  <si>
    <t>MA_MFH_pre_1975_Unoccupied_uninsulated_floor_Somewhat_leaky_envelope_Full_insulated_wall_cavity_Single_pane_storm_windows</t>
  </si>
  <si>
    <t>MA_MFH_NG_condensing_heating_Natural_ventilation_Air_ducts_uninsulated_Heating_DHW_combo_NG</t>
  </si>
  <si>
    <t>MA_MFH_pre_1975_Unoccupied_uninsulated_floor_Somewhat_leaky_envelope_Full_insulated_wall_cavity_Double_pane_lowE</t>
  </si>
  <si>
    <t>MA_MFH_NG_condensing_heating_Natural_ventilation_Air_ducts_uninsulated_HPWH</t>
  </si>
  <si>
    <t>MA_MFH_pre_1975_Unoccupied_uninsulated_floor_Somewhat_leaky_envelope_Full_insulated_wall_cavity_Triple_pane_lowE</t>
  </si>
  <si>
    <t>MA_MFH_NG_condensing_heating_Natural_ventilation_Air_ducts_conditioned_uninsulated_Electric_resistance_DHW</t>
  </si>
  <si>
    <t>MA_MFH_pre_1975_Unoccupied_uninsulated_floor_Somewhat_leaky_envelope_Full_insulated_wall_cavity_exterior_Single_pane</t>
  </si>
  <si>
    <t>MA_MFH_NG_condensing_heating_Natural_ventilation_Air_ducts_conditioned_uninsulated_NG_DHW</t>
  </si>
  <si>
    <t>MA_MFH_pre_1975_Unoccupied_uninsulated_floor_Somewhat_leaky_envelope_Full_insulated_wall_cavity_exterior_Single_pane_storm_windows</t>
  </si>
  <si>
    <t>MA_MFH_NG_condensing_heating_Natural_ventilation_Air_ducts_conditioned_uninsulated_Heating_DHW_combo_NG</t>
  </si>
  <si>
    <t>MA_MFH_pre_1975_Unoccupied_uninsulated_floor_Somewhat_leaky_envelope_Full_insulated_wall_cavity_exterior_Double_pane_lowE</t>
  </si>
  <si>
    <t>MA_MFH_NG_condensing_heating_Natural_ventilation_Air_ducts_conditioned_uninsulated_HPWH</t>
  </si>
  <si>
    <t>MA_MFH_pre_1975_Unoccupied_uninsulated_floor_Somewhat_leaky_envelope_Full_insulated_wall_cavity_exterior_Triple_pane_lowE</t>
  </si>
  <si>
    <t>MA_MFH_NG_condensing_heating_Natural_ventilation_Hot_water_insulated_Electric_resistance_DHW</t>
  </si>
  <si>
    <t>MA_MFH_pre_1975_Unoccupied_uninsulated_floor_Tight_envelope_HRV_Uninsulated_walls_Single_pane</t>
  </si>
  <si>
    <t>MA_MFH_NG_condensing_heating_Natural_ventilation_Hot_water_insulated_NG_DHW</t>
  </si>
  <si>
    <t>MA_MFH_pre_1975_Unoccupied_uninsulated_floor_Tight_envelope_HRV_Uninsulated_walls_Single_pane_storm_windows</t>
  </si>
  <si>
    <t>MA_MFH_NG_condensing_heating_Natural_ventilation_Hot_water_insulated_Heating_DHW_combo_NG</t>
  </si>
  <si>
    <t>MA_MFH_pre_1975_Unoccupied_uninsulated_floor_Tight_envelope_HRV_Uninsulated_walls_Double_pane_lowE</t>
  </si>
  <si>
    <t>MA_MFH_NG_condensing_heating_Natural_ventilation_Hot_water_insulated_HPWH</t>
  </si>
  <si>
    <t>MA_MFH_pre_1975_Unoccupied_uninsulated_floor_Tight_envelope_HRV_Uninsulated_walls_Triple_pane_lowE</t>
  </si>
  <si>
    <t>MA_MFH_NG_condensing_heating_Natural_ventilation_Air_ducts_insulated_Electric_resistance_DHW</t>
  </si>
  <si>
    <t>MA_MFH_pre_1975_Unoccupied_uninsulated_floor_Tight_envelope_HRV_Some_wall_insulation_Single_pane</t>
  </si>
  <si>
    <t>MA_MFH_NG_condensing_heating_Natural_ventilation_Air_ducts_insulated_NG_DHW</t>
  </si>
  <si>
    <t>MA_MFH_pre_1975_Unoccupied_uninsulated_floor_Tight_envelope_HRV_Some_wall_insulation_Single_pane_storm_windows</t>
  </si>
  <si>
    <t>MA_MFH_NG_condensing_heating_Natural_ventilation_Air_ducts_insulated_Heating_DHW_combo_NG</t>
  </si>
  <si>
    <t>MA_MFH_pre_1975_Unoccupied_uninsulated_floor_Tight_envelope_HRV_Some_wall_insulation_Double_pane_lowE</t>
  </si>
  <si>
    <t>MA_MFH_NG_condensing_heating_Natural_ventilation_Air_ducts_insulated_HPWH</t>
  </si>
  <si>
    <t>MA_MFH_pre_1975_Unoccupied_uninsulated_floor_Tight_envelope_HRV_Some_wall_insulation_Triple_pane_lowE</t>
  </si>
  <si>
    <t>MA_MFH_NG_condensing_heating_Window_ASHP_Steam_Electric_resistance_DHW</t>
  </si>
  <si>
    <t>MA_MFH_pre_1975_Unoccupied_uninsulated_floor_Tight_envelope_HRV_SIP_Single_pane</t>
  </si>
  <si>
    <t>MA_MFH_NG_condensing_heating_Window_ASHP_Steam_NG_DHW</t>
  </si>
  <si>
    <t>MA_MFH_pre_1975_Unoccupied_uninsulated_floor_Tight_envelope_HRV_SIP_Single_pane_storm_windows</t>
  </si>
  <si>
    <t>MA_MFH_NG_condensing_heating_Window_ASHP_Steam_Heating_DHW_combo_NG</t>
  </si>
  <si>
    <t>MA_MFH_pre_1975_Unoccupied_uninsulated_floor_Tight_envelope_HRV_SIP_Double_pane_lowE</t>
  </si>
  <si>
    <t>MA_MFH_NG_condensing_heating_Window_ASHP_Steam_HPWH</t>
  </si>
  <si>
    <t>MA_MFH_pre_1975_Unoccupied_uninsulated_floor_Tight_envelope_HRV_SIP_Triple_pane_lowE</t>
  </si>
  <si>
    <t>MA_MFH_NG_condensing_heating_Window_ASHP_Hot_water_uninsulated_Electric_resistance_DHW</t>
  </si>
  <si>
    <t>MA_MFH_pre_1975_Unoccupied_uninsulated_floor_Tight_envelope_HRV_Full_insulated_wall_cavity_Single_pane</t>
  </si>
  <si>
    <t>MA_MFH_NG_condensing_heating_Window_ASHP_Hot_water_uninsulated_NG_DHW</t>
  </si>
  <si>
    <t>MA_MFH_pre_1975_Unoccupied_uninsulated_floor_Tight_envelope_HRV_Full_insulated_wall_cavity_Single_pane_storm_windows</t>
  </si>
  <si>
    <t>MA_MFH_NG_condensing_heating_Window_ASHP_Hot_water_uninsulated_Heating_DHW_combo_NG</t>
  </si>
  <si>
    <t>MA_MFH_pre_1975_Unoccupied_uninsulated_floor_Tight_envelope_HRV_Full_insulated_wall_cavity_Double_pane_lowE</t>
  </si>
  <si>
    <t>MA_MFH_NG_condensing_heating_Window_ASHP_Hot_water_uninsulated_HPWH</t>
  </si>
  <si>
    <t>MA_MFH_pre_1975_Unoccupied_uninsulated_floor_Tight_envelope_HRV_Full_insulated_wall_cavity_Triple_pane_lowE</t>
  </si>
  <si>
    <t>MA_MFH_NG_condensing_heating_Window_ASHP_Air_ducts_uninsulated_Electric_resistance_DHW</t>
  </si>
  <si>
    <t>MA_MFH_pre_1975_Unoccupied_uninsulated_floor_Tight_envelope_HRV_Full_insulated_wall_cavity_exterior_Single_pane</t>
  </si>
  <si>
    <t>MA_MFH_NG_condensing_heating_Window_ASHP_Air_ducts_uninsulated_NG_DHW</t>
  </si>
  <si>
    <t>MA_MFH_pre_1975_Unoccupied_uninsulated_floor_Tight_envelope_HRV_Full_insulated_wall_cavity_exterior_Single_pane_storm_windows</t>
  </si>
  <si>
    <t>MA_MFH_NG_condensing_heating_Window_ASHP_Air_ducts_uninsulated_Heating_DHW_combo_NG</t>
  </si>
  <si>
    <t>MA_MFH_pre_1975_Unoccupied_uninsulated_floor_Tight_envelope_HRV_Full_insulated_wall_cavity_exterior_Double_pane_lowE</t>
  </si>
  <si>
    <t>MA_MFH_NG_condensing_heating_Window_ASHP_Air_ducts_uninsulated_HPWH</t>
  </si>
  <si>
    <t>MA_MFH_pre_1975_Unoccupied_uninsulated_floor_Tight_envelope_HRV_Full_insulated_wall_cavity_exterior_Triple_pane_lowE</t>
  </si>
  <si>
    <t>MA_MFH_NG_condensing_heating_Window_ASHP_Air_ducts_conditioned_uninsulated_Electric_resistance_DHW</t>
  </si>
  <si>
    <t>MA_MFH_pre_1975_Unoccupied_insulated_floor_Leaky_envelope_Uninsulated_walls_Single_pane</t>
  </si>
  <si>
    <t>MA_MFH_NG_condensing_heating_Window_ASHP_Air_ducts_conditioned_uninsulated_NG_DHW</t>
  </si>
  <si>
    <t>MA_MFH_pre_1975_Unoccupied_insulated_floor_Leaky_envelope_Uninsulated_walls_Single_pane_storm_windows</t>
  </si>
  <si>
    <t>MA_MFH_NG_condensing_heating_Window_ASHP_Air_ducts_conditioned_uninsulated_Heating_DHW_combo_NG</t>
  </si>
  <si>
    <t>MA_MFH_pre_1975_Unoccupied_insulated_floor_Leaky_envelope_Uninsulated_walls_Double_pane_lowE</t>
  </si>
  <si>
    <t>MA_MFH_NG_condensing_heating_Window_ASHP_Air_ducts_conditioned_uninsulated_HPWH</t>
  </si>
  <si>
    <t>MA_MFH_pre_1975_Unoccupied_insulated_floor_Leaky_envelope_Uninsulated_walls_Triple_pane_lowE</t>
  </si>
  <si>
    <t>MA_MFH_NG_condensing_heating_Window_ASHP_Hot_water_insulated_Electric_resistance_DHW</t>
  </si>
  <si>
    <t>MA_MFH_pre_1975_Unoccupied_insulated_floor_Leaky_envelope_Some_wall_insulation_Single_pane</t>
  </si>
  <si>
    <t>MA_MFH_NG_condensing_heating_Window_ASHP_Hot_water_insulated_NG_DHW</t>
  </si>
  <si>
    <t>MA_MFH_pre_1975_Unoccupied_insulated_floor_Leaky_envelope_Some_wall_insulation_Single_pane_storm_windows</t>
  </si>
  <si>
    <t>MA_MFH_NG_condensing_heating_Window_ASHP_Hot_water_insulated_Heating_DHW_combo_NG</t>
  </si>
  <si>
    <t>MA_MFH_pre_1975_Unoccupied_insulated_floor_Leaky_envelope_Some_wall_insulation_Double_pane_lowE</t>
  </si>
  <si>
    <t>MA_MFH_NG_condensing_heating_Window_ASHP_Hot_water_insulated_HPWH</t>
  </si>
  <si>
    <t>MA_MFH_pre_1975_Unoccupied_insulated_floor_Leaky_envelope_Some_wall_insulation_Triple_pane_lowE</t>
  </si>
  <si>
    <t>MA_MFH_NG_condensing_heating_Window_ASHP_Air_ducts_insulated_Electric_resistance_DHW</t>
  </si>
  <si>
    <t>MA_MFH_pre_1975_Unoccupied_insulated_floor_Leaky_envelope_SIP_Single_pane</t>
  </si>
  <si>
    <t>MA_MFH_NG_condensing_heating_Window_ASHP_Air_ducts_insulated_NG_DHW</t>
  </si>
  <si>
    <t>MA_MFH_pre_1975_Unoccupied_insulated_floor_Leaky_envelope_SIP_Single_pane_storm_windows</t>
  </si>
  <si>
    <t>MA_MFH_NG_condensing_heating_Window_ASHP_Air_ducts_insulated_Heating_DHW_combo_NG</t>
  </si>
  <si>
    <t>MA_MFH_pre_1975_Unoccupied_insulated_floor_Leaky_envelope_SIP_Double_pane_lowE</t>
  </si>
  <si>
    <t>MA_MFH_NG_condensing_heating_Window_ASHP_Air_ducts_insulated_HPWH</t>
  </si>
  <si>
    <t>MA_MFH_pre_1975_Unoccupied_insulated_floor_Leaky_envelope_SIP_Triple_pane_lowE</t>
  </si>
  <si>
    <t>MA_MFH_NG_condensing_heating_ASHP_Steam_Electric_resistance_DHW</t>
  </si>
  <si>
    <t>MA_MFH_pre_1975_Unoccupied_insulated_floor_Leaky_envelope_Full_insulated_wall_cavity_Single_pane</t>
  </si>
  <si>
    <t>MA_MFH_NG_condensing_heating_ASHP_Steam_NG_DHW</t>
  </si>
  <si>
    <t>MA_MFH_pre_1975_Unoccupied_insulated_floor_Leaky_envelope_Full_insulated_wall_cavity_Single_pane_storm_windows</t>
  </si>
  <si>
    <t>MA_MFH_NG_condensing_heating_ASHP_Steam_Heating_DHW_combo_NG</t>
  </si>
  <si>
    <t>MA_MFH_pre_1975_Unoccupied_insulated_floor_Leaky_envelope_Full_insulated_wall_cavity_Double_pane_lowE</t>
  </si>
  <si>
    <t>MA_MFH_NG_condensing_heating_ASHP_Steam_HPWH</t>
  </si>
  <si>
    <t>MA_MFH_pre_1975_Unoccupied_insulated_floor_Leaky_envelope_Full_insulated_wall_cavity_Triple_pane_lowE</t>
  </si>
  <si>
    <t>MA_MFH_NG_condensing_heating_ASHP_Hot_water_uninsulated_Electric_resistance_DHW</t>
  </si>
  <si>
    <t>MA_MFH_pre_1975_Unoccupied_insulated_floor_Leaky_envelope_Full_insulated_wall_cavity_exterior_Single_pane</t>
  </si>
  <si>
    <t>MA_MFH_NG_condensing_heating_ASHP_Hot_water_uninsulated_NG_DHW</t>
  </si>
  <si>
    <t>MA_MFH_pre_1975_Unoccupied_insulated_floor_Leaky_envelope_Full_insulated_wall_cavity_exterior_Single_pane_storm_windows</t>
  </si>
  <si>
    <t>MA_MFH_NG_condensing_heating_ASHP_Hot_water_uninsulated_Heating_DHW_combo_NG</t>
  </si>
  <si>
    <t>MA_MFH_pre_1975_Unoccupied_insulated_floor_Leaky_envelope_Full_insulated_wall_cavity_exterior_Double_pane_lowE</t>
  </si>
  <si>
    <t>MA_MFH_NG_condensing_heating_ASHP_Hot_water_uninsulated_HPWH</t>
  </si>
  <si>
    <t>MA_MFH_pre_1975_Unoccupied_insulated_floor_Leaky_envelope_Full_insulated_wall_cavity_exterior_Triple_pane_lowE</t>
  </si>
  <si>
    <t>MA_MFH_NG_condensing_heating_ASHP_Air_ducts_uninsulated_Electric_resistance_DHW</t>
  </si>
  <si>
    <t>MA_MFH_pre_1975_Unoccupied_insulated_floor_Somewhat_leaky_envelope_Uninsulated_walls_Single_pane</t>
  </si>
  <si>
    <t>MA_MFH_NG_condensing_heating_ASHP_Air_ducts_uninsulated_NG_DHW</t>
  </si>
  <si>
    <t>MA_MFH_pre_1975_Unoccupied_insulated_floor_Somewhat_leaky_envelope_Uninsulated_walls_Single_pane_storm_windows</t>
  </si>
  <si>
    <t>MA_MFH_NG_condensing_heating_ASHP_Air_ducts_uninsulated_Heating_DHW_combo_NG</t>
  </si>
  <si>
    <t>MA_MFH_pre_1975_Unoccupied_insulated_floor_Somewhat_leaky_envelope_Uninsulated_walls_Double_pane_lowE</t>
  </si>
  <si>
    <t>MA_MFH_NG_condensing_heating_ASHP_Air_ducts_uninsulated_HPWH</t>
  </si>
  <si>
    <t>MA_MFH_pre_1975_Unoccupied_insulated_floor_Somewhat_leaky_envelope_Uninsulated_walls_Triple_pane_lowE</t>
  </si>
  <si>
    <t>MA_MFH_NG_condensing_heating_ASHP_Air_ducts_conditioned_uninsulated_Electric_resistance_DHW</t>
  </si>
  <si>
    <t>MA_MFH_pre_1975_Unoccupied_insulated_floor_Somewhat_leaky_envelope_Some_wall_insulation_Single_pane</t>
  </si>
  <si>
    <t>MA_MFH_NG_condensing_heating_ASHP_Air_ducts_conditioned_uninsulated_NG_DHW</t>
  </si>
  <si>
    <t>MA_MFH_pre_1975_Unoccupied_insulated_floor_Somewhat_leaky_envelope_Some_wall_insulation_Single_pane_storm_windows</t>
  </si>
  <si>
    <t>MA_MFH_NG_condensing_heating_ASHP_Air_ducts_conditioned_uninsulated_Heating_DHW_combo_NG</t>
  </si>
  <si>
    <t>MA_MFH_pre_1975_Unoccupied_insulated_floor_Somewhat_leaky_envelope_Some_wall_insulation_Double_pane_lowE</t>
  </si>
  <si>
    <t>MA_MFH_NG_condensing_heating_ASHP_Air_ducts_conditioned_uninsulated_HPWH</t>
  </si>
  <si>
    <t>MA_MFH_pre_1975_Unoccupied_insulated_floor_Somewhat_leaky_envelope_Some_wall_insulation_Triple_pane_lowE</t>
  </si>
  <si>
    <t>MA_MFH_NG_condensing_heating_ASHP_Hot_water_insulated_Electric_resistance_DHW</t>
  </si>
  <si>
    <t>MA_MFH_pre_1975_Unoccupied_insulated_floor_Somewhat_leaky_envelope_SIP_Single_pane</t>
  </si>
  <si>
    <t>MA_MFH_NG_condensing_heating_ASHP_Hot_water_insulated_NG_DHW</t>
  </si>
  <si>
    <t>MA_MFH_pre_1975_Unoccupied_insulated_floor_Somewhat_leaky_envelope_SIP_Single_pane_storm_windows</t>
  </si>
  <si>
    <t>MA_MFH_NG_condensing_heating_ASHP_Hot_water_insulated_Heating_DHW_combo_NG</t>
  </si>
  <si>
    <t>MA_MFH_pre_1975_Unoccupied_insulated_floor_Somewhat_leaky_envelope_SIP_Double_pane_lowE</t>
  </si>
  <si>
    <t>MA_MFH_NG_condensing_heating_ASHP_Hot_water_insulated_HPWH</t>
  </si>
  <si>
    <t>MA_MFH_pre_1975_Unoccupied_insulated_floor_Somewhat_leaky_envelope_SIP_Triple_pane_lowE</t>
  </si>
  <si>
    <t>MA_MFH_NG_condensing_heating_ASHP_Air_ducts_insulated_Electric_resistance_DHW</t>
  </si>
  <si>
    <t>MA_MFH_pre_1975_Unoccupied_insulated_floor_Somewhat_leaky_envelope_Full_insulated_wall_cavity_Single_pane</t>
  </si>
  <si>
    <t>MA_MFH_NG_condensing_heating_ASHP_Air_ducts_insulated_NG_DHW</t>
  </si>
  <si>
    <t>MA_MFH_pre_1975_Unoccupied_insulated_floor_Somewhat_leaky_envelope_Full_insulated_wall_cavity_Single_pane_storm_windows</t>
  </si>
  <si>
    <t>MA_MFH_NG_condensing_heating_ASHP_Air_ducts_insulated_Heating_DHW_combo_NG</t>
  </si>
  <si>
    <t>MA_MFH_pre_1975_Unoccupied_insulated_floor_Somewhat_leaky_envelope_Full_insulated_wall_cavity_Double_pane_lowE</t>
  </si>
  <si>
    <t>MA_MFH_NG_condensing_heating_ASHP_Air_ducts_insulated_HPWH</t>
  </si>
  <si>
    <t>MA_MFH_pre_1975_Unoccupied_insulated_floor_Somewhat_leaky_envelope_Full_insulated_wall_cavity_Triple_pane_lowE</t>
  </si>
  <si>
    <t>MA_MFH_NG_condensing_heating_GSHP_Steam_Electric_resistance_DHW</t>
  </si>
  <si>
    <t>MA_MFH_pre_1975_Unoccupied_insulated_floor_Somewhat_leaky_envelope_Full_insulated_wall_cavity_exterior_Single_pane</t>
  </si>
  <si>
    <t>MA_MFH_NG_condensing_heating_GSHP_Steam_NG_DHW</t>
  </si>
  <si>
    <t>MA_MFH_pre_1975_Unoccupied_insulated_floor_Somewhat_leaky_envelope_Full_insulated_wall_cavity_exterior_Single_pane_storm_windows</t>
  </si>
  <si>
    <t>MA_MFH_NG_condensing_heating_GSHP_Steam_Heating_DHW_combo_NG</t>
  </si>
  <si>
    <t>MA_MFH_pre_1975_Unoccupied_insulated_floor_Somewhat_leaky_envelope_Full_insulated_wall_cavity_exterior_Double_pane_lowE</t>
  </si>
  <si>
    <t>MA_MFH_NG_condensing_heating_GSHP_Steam_HPWH</t>
  </si>
  <si>
    <t>MA_MFH_pre_1975_Unoccupied_insulated_floor_Somewhat_leaky_envelope_Full_insulated_wall_cavity_exterior_Triple_pane_lowE</t>
  </si>
  <si>
    <t>MA_MFH_NG_condensing_heating_GSHP_Hot_water_uninsulated_Electric_resistance_DHW</t>
  </si>
  <si>
    <t>MA_MFH_pre_1975_Unoccupied_insulated_floor_Tight_envelope_HRV_Uninsulated_walls_Single_pane</t>
  </si>
  <si>
    <t>MA_MFH_NG_condensing_heating_GSHP_Hot_water_uninsulated_NG_DHW</t>
  </si>
  <si>
    <t>MA_MFH_pre_1975_Unoccupied_insulated_floor_Tight_envelope_HRV_Uninsulated_walls_Single_pane_storm_windows</t>
  </si>
  <si>
    <t>MA_MFH_NG_condensing_heating_GSHP_Hot_water_uninsulated_Heating_DHW_combo_NG</t>
  </si>
  <si>
    <t>MA_MFH_pre_1975_Unoccupied_insulated_floor_Tight_envelope_HRV_Uninsulated_walls_Double_pane_lowE</t>
  </si>
  <si>
    <t>MA_MFH_NG_condensing_heating_GSHP_Hot_water_uninsulated_HPWH</t>
  </si>
  <si>
    <t>MA_MFH_pre_1975_Unoccupied_insulated_floor_Tight_envelope_HRV_Uninsulated_walls_Triple_pane_lowE</t>
  </si>
  <si>
    <t>MA_MFH_NG_condensing_heating_GSHP_Air_ducts_uninsulated_Electric_resistance_DHW</t>
  </si>
  <si>
    <t>MA_MFH_pre_1975_Unoccupied_insulated_floor_Tight_envelope_HRV_Some_wall_insulation_Single_pane</t>
  </si>
  <si>
    <t>MA_MFH_NG_condensing_heating_GSHP_Air_ducts_uninsulated_NG_DHW</t>
  </si>
  <si>
    <t>MA_MFH_pre_1975_Unoccupied_insulated_floor_Tight_envelope_HRV_Some_wall_insulation_Single_pane_storm_windows</t>
  </si>
  <si>
    <t>MA_MFH_NG_condensing_heating_GSHP_Air_ducts_uninsulated_Heating_DHW_combo_NG</t>
  </si>
  <si>
    <t>MA_MFH_pre_1975_Unoccupied_insulated_floor_Tight_envelope_HRV_Some_wall_insulation_Double_pane_lowE</t>
  </si>
  <si>
    <t>MA_MFH_NG_condensing_heating_GSHP_Air_ducts_uninsulated_HPWH</t>
  </si>
  <si>
    <t>MA_MFH_pre_1975_Unoccupied_insulated_floor_Tight_envelope_HRV_Some_wall_insulation_Triple_pane_lowE</t>
  </si>
  <si>
    <t>MA_MFH_NG_condensing_heating_GSHP_Air_ducts_conditioned_uninsulated_Electric_resistance_DHW</t>
  </si>
  <si>
    <t>MA_MFH_pre_1975_Unoccupied_insulated_floor_Tight_envelope_HRV_SIP_Single_pane</t>
  </si>
  <si>
    <t>MA_MFH_NG_condensing_heating_GSHP_Air_ducts_conditioned_uninsulated_NG_DHW</t>
  </si>
  <si>
    <t>MA_MFH_pre_1975_Unoccupied_insulated_floor_Tight_envelope_HRV_SIP_Single_pane_storm_windows</t>
  </si>
  <si>
    <t>MA_MFH_NG_condensing_heating_GSHP_Air_ducts_conditioned_uninsulated_Heating_DHW_combo_NG</t>
  </si>
  <si>
    <t>MA_MFH_pre_1975_Unoccupied_insulated_floor_Tight_envelope_HRV_SIP_Double_pane_lowE</t>
  </si>
  <si>
    <t>MA_MFH_NG_condensing_heating_GSHP_Air_ducts_conditioned_uninsulated_HPWH</t>
  </si>
  <si>
    <t>MA_MFH_pre_1975_Unoccupied_insulated_floor_Tight_envelope_HRV_SIP_Triple_pane_lowE</t>
  </si>
  <si>
    <t>MA_MFH_NG_condensing_heating_GSHP_Hot_water_insulated_Electric_resistance_DHW</t>
  </si>
  <si>
    <t>MA_MFH_pre_1975_Unoccupied_insulated_floor_Tight_envelope_HRV_Full_insulated_wall_cavity_Single_pane</t>
  </si>
  <si>
    <t>MA_MFH_NG_condensing_heating_GSHP_Hot_water_insulated_NG_DHW</t>
  </si>
  <si>
    <t>MA_MFH_pre_1975_Unoccupied_insulated_floor_Tight_envelope_HRV_Full_insulated_wall_cavity_Single_pane_storm_windows</t>
  </si>
  <si>
    <t>MA_MFH_NG_condensing_heating_GSHP_Hot_water_insulated_Heating_DHW_combo_NG</t>
  </si>
  <si>
    <t>MA_MFH_pre_1975_Unoccupied_insulated_floor_Tight_envelope_HRV_Full_insulated_wall_cavity_Double_pane_lowE</t>
  </si>
  <si>
    <t>MA_MFH_NG_condensing_heating_GSHP_Hot_water_insulated_HPWH</t>
  </si>
  <si>
    <t>MA_MFH_pre_1975_Unoccupied_insulated_floor_Tight_envelope_HRV_Full_insulated_wall_cavity_Triple_pane_lowE</t>
  </si>
  <si>
    <t>MA_MFH_NG_condensing_heating_GSHP_Air_ducts_insulated_Electric_resistance_DHW</t>
  </si>
  <si>
    <t>MA_MFH_pre_1975_Unoccupied_insulated_floor_Tight_envelope_HRV_Full_insulated_wall_cavity_exterior_Single_pane</t>
  </si>
  <si>
    <t>MA_MFH_NG_condensing_heating_GSHP_Air_ducts_insulated_NG_DHW</t>
  </si>
  <si>
    <t>MA_MFH_pre_1975_Unoccupied_insulated_floor_Tight_envelope_HRV_Full_insulated_wall_cavity_exterior_Single_pane_storm_windows</t>
  </si>
  <si>
    <t>MA_MFH_NG_condensing_heating_GSHP_Air_ducts_insulated_Heating_DHW_combo_NG</t>
  </si>
  <si>
    <t>MA_MFH_pre_1975_Unoccupied_insulated_floor_Tight_envelope_HRV_Full_insulated_wall_cavity_exterior_Double_pane_lowE</t>
  </si>
  <si>
    <t>MA_MFH_NG_condensing_heating_GSHP_Air_ducts_insulated_HPWH</t>
  </si>
  <si>
    <t>MA_MFH_pre_1975_Unoccupied_insulated_floor_Tight_envelope_HRV_Full_insulated_wall_cavity_exterior_Triple_pane_lowE</t>
  </si>
  <si>
    <t>MA_MFH_ASHP_AC_window_Steam_Electric_resistance_DHW</t>
  </si>
  <si>
    <t>MA_MFH_pre_1975_Limited_insulation_roof_Leaky_envelope_Uninsulated_walls_Single_pane</t>
  </si>
  <si>
    <t>MA_MFH_ASHP_AC_window_Steam_NG_DHW</t>
  </si>
  <si>
    <t>MA_MFH_pre_1975_Limited_insulation_roof_Leaky_envelope_Uninsulated_walls_Single_pane_storm_windows</t>
  </si>
  <si>
    <t>MA_MFH_ASHP_AC_window_Steam_Heating_DHW_combo_NG</t>
  </si>
  <si>
    <t>MA_MFH_pre_1975_Limited_insulation_roof_Leaky_envelope_Uninsulated_walls_Double_pane_lowE</t>
  </si>
  <si>
    <t>MA_MFH_ASHP_AC_window_Steam_HPWH</t>
  </si>
  <si>
    <t>MA_MFH_pre_1975_Limited_insulation_roof_Leaky_envelope_Uninsulated_walls_Triple_pane_lowE</t>
  </si>
  <si>
    <t>MA_MFH_ASHP_AC_window_Hot_water_uninsulated_Electric_resistance_DHW</t>
  </si>
  <si>
    <t>MA_MFH_pre_1975_Limited_insulation_roof_Leaky_envelope_Some_wall_insulation_Single_pane</t>
  </si>
  <si>
    <t>MA_MFH_ASHP_AC_window_Hot_water_uninsulated_NG_DHW</t>
  </si>
  <si>
    <t>MA_MFH_pre_1975_Limited_insulation_roof_Leaky_envelope_Some_wall_insulation_Single_pane_storm_windows</t>
  </si>
  <si>
    <t>MA_MFH_ASHP_AC_window_Hot_water_uninsulated_Heating_DHW_combo_NG</t>
  </si>
  <si>
    <t>MA_MFH_pre_1975_Limited_insulation_roof_Leaky_envelope_Some_wall_insulation_Double_pane_lowE</t>
  </si>
  <si>
    <t>MA_MFH_ASHP_AC_window_Hot_water_uninsulated_HPWH</t>
  </si>
  <si>
    <t>MA_MFH_pre_1975_Limited_insulation_roof_Leaky_envelope_Some_wall_insulation_Triple_pane_lowE</t>
  </si>
  <si>
    <t>MA_MFH_ASHP_AC_window_Air_ducts_uninsulated_Electric_resistance_DHW</t>
  </si>
  <si>
    <t>MA_MFH_pre_1975_Limited_insulation_roof_Leaky_envelope_SIP_Single_pane</t>
  </si>
  <si>
    <t>MA_MFH_ASHP_AC_window_Air_ducts_uninsulated_NG_DHW</t>
  </si>
  <si>
    <t>MA_MFH_pre_1975_Limited_insulation_roof_Leaky_envelope_SIP_Single_pane_storm_windows</t>
  </si>
  <si>
    <t>MA_MFH_ASHP_AC_window_Air_ducts_uninsulated_Heating_DHW_combo_NG</t>
  </si>
  <si>
    <t>MA_MFH_pre_1975_Limited_insulation_roof_Leaky_envelope_SIP_Double_pane_lowE</t>
  </si>
  <si>
    <t>MA_MFH_ASHP_AC_window_Air_ducts_uninsulated_HPWH</t>
  </si>
  <si>
    <t>MA_MFH_pre_1975_Limited_insulation_roof_Leaky_envelope_SIP_Triple_pane_lowE</t>
  </si>
  <si>
    <t>MA_MFH_ASHP_AC_window_Air_ducts_conditioned_uninsulated_Electric_resistance_DHW</t>
  </si>
  <si>
    <t>MA_MFH_pre_1975_Limited_insulation_roof_Leaky_envelope_Full_insulated_wall_cavity_Single_pane</t>
  </si>
  <si>
    <t>MA_MFH_ASHP_AC_window_Air_ducts_conditioned_uninsulated_NG_DHW</t>
  </si>
  <si>
    <t>MA_MFH_pre_1975_Limited_insulation_roof_Leaky_envelope_Full_insulated_wall_cavity_Single_pane_storm_windows</t>
  </si>
  <si>
    <t>MA_MFH_ASHP_AC_window_Air_ducts_conditioned_uninsulated_Heating_DHW_combo_NG</t>
  </si>
  <si>
    <t>MA_MFH_pre_1975_Limited_insulation_roof_Leaky_envelope_Full_insulated_wall_cavity_Double_pane_lowE</t>
  </si>
  <si>
    <t>MA_MFH_ASHP_AC_window_Air_ducts_conditioned_uninsulated_HPWH</t>
  </si>
  <si>
    <t>MA_MFH_pre_1975_Limited_insulation_roof_Leaky_envelope_Full_insulated_wall_cavity_Triple_pane_lowE</t>
  </si>
  <si>
    <t>MA_MFH_ASHP_AC_window_Hot_water_insulated_Electric_resistance_DHW</t>
  </si>
  <si>
    <t>MA_MFH_pre_1975_Limited_insulation_roof_Leaky_envelope_Full_insulated_wall_cavity_exterior_Single_pane</t>
  </si>
  <si>
    <t>MA_MFH_ASHP_AC_window_Hot_water_insulated_NG_DHW</t>
  </si>
  <si>
    <t>MA_MFH_pre_1975_Limited_insulation_roof_Leaky_envelope_Full_insulated_wall_cavity_exterior_Single_pane_storm_windows</t>
  </si>
  <si>
    <t>MA_MFH_ASHP_AC_window_Hot_water_insulated_Heating_DHW_combo_NG</t>
  </si>
  <si>
    <t>MA_MFH_pre_1975_Limited_insulation_roof_Leaky_envelope_Full_insulated_wall_cavity_exterior_Double_pane_lowE</t>
  </si>
  <si>
    <t>MA_MFH_ASHP_AC_window_Hot_water_insulated_HPWH</t>
  </si>
  <si>
    <t>MA_MFH_pre_1975_Limited_insulation_roof_Leaky_envelope_Full_insulated_wall_cavity_exterior_Triple_pane_lowE</t>
  </si>
  <si>
    <t>MA_MFH_ASHP_AC_window_Air_ducts_insulated_Electric_resistance_DHW</t>
  </si>
  <si>
    <t>MA_MFH_pre_1975_Limited_insulation_roof_Somewhat_leaky_envelope_Uninsulated_walls_Single_pane</t>
  </si>
  <si>
    <t>MA_MFH_ASHP_AC_window_Air_ducts_insulated_NG_DHW</t>
  </si>
  <si>
    <t>MA_MFH_pre_1975_Limited_insulation_roof_Somewhat_leaky_envelope_Uninsulated_walls_Single_pane_storm_windows</t>
  </si>
  <si>
    <t>MA_MFH_ASHP_AC_window_Air_ducts_insulated_Heating_DHW_combo_NG</t>
  </si>
  <si>
    <t>MA_MFH_pre_1975_Limited_insulation_roof_Somewhat_leaky_envelope_Uninsulated_walls_Double_pane_lowE</t>
  </si>
  <si>
    <t>MA_MFH_ASHP_AC_window_Air_ducts_insulated_HPWH</t>
  </si>
  <si>
    <t>MA_MFH_pre_1975_Limited_insulation_roof_Somewhat_leaky_envelope_Uninsulated_walls_Triple_pane_lowE</t>
  </si>
  <si>
    <t>MA_MFH_ASHP_Central_AC_Steam_Electric_resistance_DHW</t>
  </si>
  <si>
    <t>MA_MFH_pre_1975_Limited_insulation_roof_Somewhat_leaky_envelope_Some_wall_insulation_Single_pane</t>
  </si>
  <si>
    <t>MA_MFH_ASHP_Central_AC_Steam_NG_DHW</t>
  </si>
  <si>
    <t>MA_MFH_pre_1975_Limited_insulation_roof_Somewhat_leaky_envelope_Some_wall_insulation_Single_pane_storm_windows</t>
  </si>
  <si>
    <t>MA_MFH_ASHP_Central_AC_Steam_Heating_DHW_combo_NG</t>
  </si>
  <si>
    <t>MA_MFH_pre_1975_Limited_insulation_roof_Somewhat_leaky_envelope_Some_wall_insulation_Double_pane_lowE</t>
  </si>
  <si>
    <t>MA_MFH_ASHP_Central_AC_Steam_HPWH</t>
  </si>
  <si>
    <t>MA_MFH_pre_1975_Limited_insulation_roof_Somewhat_leaky_envelope_Some_wall_insulation_Triple_pane_lowE</t>
  </si>
  <si>
    <t>MA_MFH_ASHP_Central_AC_Hot_water_uninsulated_Electric_resistance_DHW</t>
  </si>
  <si>
    <t>MA_MFH_pre_1975_Limited_insulation_roof_Somewhat_leaky_envelope_SIP_Single_pane</t>
  </si>
  <si>
    <t>MA_MFH_ASHP_Central_AC_Hot_water_uninsulated_NG_DHW</t>
  </si>
  <si>
    <t>MA_MFH_pre_1975_Limited_insulation_roof_Somewhat_leaky_envelope_SIP_Single_pane_storm_windows</t>
  </si>
  <si>
    <t>MA_MFH_ASHP_Central_AC_Hot_water_uninsulated_Heating_DHW_combo_NG</t>
  </si>
  <si>
    <t>MA_MFH_pre_1975_Limited_insulation_roof_Somewhat_leaky_envelope_SIP_Double_pane_lowE</t>
  </si>
  <si>
    <t>MA_MFH_ASHP_Central_AC_Hot_water_uninsulated_HPWH</t>
  </si>
  <si>
    <t>MA_MFH_pre_1975_Limited_insulation_roof_Somewhat_leaky_envelope_SIP_Triple_pane_lowE</t>
  </si>
  <si>
    <t>MA_MFH_ASHP_Central_AC_Air_ducts_uninsulated_Electric_resistance_DHW</t>
  </si>
  <si>
    <t>MA_MFH_pre_1975_Limited_insulation_roof_Somewhat_leaky_envelope_Full_insulated_wall_cavity_Single_pane</t>
  </si>
  <si>
    <t>MA_MFH_ASHP_Central_AC_Air_ducts_uninsulated_NG_DHW</t>
  </si>
  <si>
    <t>MA_MFH_pre_1975_Limited_insulation_roof_Somewhat_leaky_envelope_Full_insulated_wall_cavity_Single_pane_storm_windows</t>
  </si>
  <si>
    <t>MA_MFH_ASHP_Central_AC_Air_ducts_uninsulated_Heating_DHW_combo_NG</t>
  </si>
  <si>
    <t>MA_MFH_pre_1975_Limited_insulation_roof_Somewhat_leaky_envelope_Full_insulated_wall_cavity_Double_pane_lowE</t>
  </si>
  <si>
    <t>MA_MFH_ASHP_Central_AC_Air_ducts_uninsulated_HPWH</t>
  </si>
  <si>
    <t>MA_MFH_pre_1975_Limited_insulation_roof_Somewhat_leaky_envelope_Full_insulated_wall_cavity_Triple_pane_lowE</t>
  </si>
  <si>
    <t>MA_MFH_ASHP_Central_AC_Air_ducts_conditioned_uninsulated_Electric_resistance_DHW</t>
  </si>
  <si>
    <t>MA_MFH_pre_1975_Limited_insulation_roof_Somewhat_leaky_envelope_Full_insulated_wall_cavity_exterior_Single_pane</t>
  </si>
  <si>
    <t>MA_MFH_ASHP_Central_AC_Air_ducts_conditioned_uninsulated_NG_DHW</t>
  </si>
  <si>
    <t>MA_MFH_pre_1975_Limited_insulation_roof_Somewhat_leaky_envelope_Full_insulated_wall_cavity_exterior_Single_pane_storm_windows</t>
  </si>
  <si>
    <t>MA_MFH_ASHP_Central_AC_Air_ducts_conditioned_uninsulated_Heating_DHW_combo_NG</t>
  </si>
  <si>
    <t>MA_MFH_pre_1975_Limited_insulation_roof_Somewhat_leaky_envelope_Full_insulated_wall_cavity_exterior_Double_pane_lowE</t>
  </si>
  <si>
    <t>MA_MFH_ASHP_Central_AC_Air_ducts_conditioned_uninsulated_HPWH</t>
  </si>
  <si>
    <t>MA_MFH_pre_1975_Limited_insulation_roof_Somewhat_leaky_envelope_Full_insulated_wall_cavity_exterior_Triple_pane_lowE</t>
  </si>
  <si>
    <t>MA_MFH_ASHP_Central_AC_Hot_water_insulated_Electric_resistance_DHW</t>
  </si>
  <si>
    <t>MA_MFH_pre_1975_Limited_insulation_roof_Tight_envelope_HRV_Uninsulated_walls_Single_pane</t>
  </si>
  <si>
    <t>MA_MFH_ASHP_Central_AC_Hot_water_insulated_NG_DHW</t>
  </si>
  <si>
    <t>MA_MFH_pre_1975_Limited_insulation_roof_Tight_envelope_HRV_Uninsulated_walls_Single_pane_storm_windows</t>
  </si>
  <si>
    <t>MA_MFH_ASHP_Central_AC_Hot_water_insulated_Heating_DHW_combo_NG</t>
  </si>
  <si>
    <t>MA_MFH_pre_1975_Limited_insulation_roof_Tight_envelope_HRV_Uninsulated_walls_Double_pane_lowE</t>
  </si>
  <si>
    <t>MA_MFH_ASHP_Central_AC_Hot_water_insulated_HPWH</t>
  </si>
  <si>
    <t>MA_MFH_pre_1975_Limited_insulation_roof_Tight_envelope_HRV_Uninsulated_walls_Triple_pane_lowE</t>
  </si>
  <si>
    <t>MA_MFH_ASHP_Central_AC_Air_ducts_insulated_Electric_resistance_DHW</t>
  </si>
  <si>
    <t>MA_MFH_pre_1975_Limited_insulation_roof_Tight_envelope_HRV_Some_wall_insulation_Single_pane</t>
  </si>
  <si>
    <t>MA_MFH_ASHP_Central_AC_Air_ducts_insulated_NG_DHW</t>
  </si>
  <si>
    <t>MA_MFH_pre_1975_Limited_insulation_roof_Tight_envelope_HRV_Some_wall_insulation_Single_pane_storm_windows</t>
  </si>
  <si>
    <t>MA_MFH_ASHP_Central_AC_Air_ducts_insulated_Heating_DHW_combo_NG</t>
  </si>
  <si>
    <t>MA_MFH_pre_1975_Limited_insulation_roof_Tight_envelope_HRV_Some_wall_insulation_Double_pane_lowE</t>
  </si>
  <si>
    <t>MA_MFH_ASHP_Central_AC_Air_ducts_insulated_HPWH</t>
  </si>
  <si>
    <t>MA_MFH_pre_1975_Limited_insulation_roof_Tight_envelope_HRV_Some_wall_insulation_Triple_pane_lowE</t>
  </si>
  <si>
    <t>MA_MFH_ASHP_Natural_ventilation_Steam_Electric_resistance_DHW</t>
  </si>
  <si>
    <t>MA_MFH_pre_1975_Limited_insulation_roof_Tight_envelope_HRV_SIP_Single_pane</t>
  </si>
  <si>
    <t>MA_MFH_ASHP_Natural_ventilation_Steam_NG_DHW</t>
  </si>
  <si>
    <t>MA_MFH_pre_1975_Limited_insulation_roof_Tight_envelope_HRV_SIP_Single_pane_storm_windows</t>
  </si>
  <si>
    <t>MA_MFH_ASHP_Natural_ventilation_Steam_Heating_DHW_combo_NG</t>
  </si>
  <si>
    <t>MA_MFH_pre_1975_Limited_insulation_roof_Tight_envelope_HRV_SIP_Double_pane_lowE</t>
  </si>
  <si>
    <t>MA_MFH_ASHP_Natural_ventilation_Steam_HPWH</t>
  </si>
  <si>
    <t>MA_MFH_pre_1975_Limited_insulation_roof_Tight_envelope_HRV_SIP_Triple_pane_lowE</t>
  </si>
  <si>
    <t>MA_MFH_ASHP_Natural_ventilation_Hot_water_uninsulated_Electric_resistance_DHW</t>
  </si>
  <si>
    <t>MA_MFH_pre_1975_Limited_insulation_roof_Tight_envelope_HRV_Full_insulated_wall_cavity_Single_pane</t>
  </si>
  <si>
    <t>MA_MFH_ASHP_Natural_ventilation_Hot_water_uninsulated_NG_DHW</t>
  </si>
  <si>
    <t>MA_MFH_pre_1975_Limited_insulation_roof_Tight_envelope_HRV_Full_insulated_wall_cavity_Single_pane_storm_windows</t>
  </si>
  <si>
    <t>MA_MFH_ASHP_Natural_ventilation_Hot_water_uninsulated_Heating_DHW_combo_NG</t>
  </si>
  <si>
    <t>MA_MFH_pre_1975_Limited_insulation_roof_Tight_envelope_HRV_Full_insulated_wall_cavity_Double_pane_lowE</t>
  </si>
  <si>
    <t>MA_MFH_ASHP_Natural_ventilation_Hot_water_uninsulated_HPWH</t>
  </si>
  <si>
    <t>MA_MFH_pre_1975_Limited_insulation_roof_Tight_envelope_HRV_Full_insulated_wall_cavity_Triple_pane_lowE</t>
  </si>
  <si>
    <t>MA_MFH_ASHP_Natural_ventilation_Air_ducts_uninsulated_Electric_resistance_DHW</t>
  </si>
  <si>
    <t>MA_MFH_pre_1975_Limited_insulation_roof_Tight_envelope_HRV_Full_insulated_wall_cavity_exterior_Single_pane</t>
  </si>
  <si>
    <t>MA_MFH_ASHP_Natural_ventilation_Air_ducts_uninsulated_NG_DHW</t>
  </si>
  <si>
    <t>MA_MFH_pre_1975_Limited_insulation_roof_Tight_envelope_HRV_Full_insulated_wall_cavity_exterior_Single_pane_storm_windows</t>
  </si>
  <si>
    <t>MA_MFH_ASHP_Natural_ventilation_Air_ducts_uninsulated_Heating_DHW_combo_NG</t>
  </si>
  <si>
    <t>MA_MFH_pre_1975_Limited_insulation_roof_Tight_envelope_HRV_Full_insulated_wall_cavity_exterior_Double_pane_lowE</t>
  </si>
  <si>
    <t>MA_MFH_ASHP_Natural_ventilation_Air_ducts_uninsulated_HPWH</t>
  </si>
  <si>
    <t>MA_MFH_pre_1975_Limited_insulation_roof_Tight_envelope_HRV_Full_insulated_wall_cavity_exterior_Triple_pane_lowE</t>
  </si>
  <si>
    <t>MA_MFH_ASHP_Natural_ventilation_Air_ducts_conditioned_uninsulated_Electric_resistance_DHW</t>
  </si>
  <si>
    <t>MA_MFH_pre_1975_Insulation_roof_Leaky_envelope_Uninsulated_walls_Single_pane</t>
  </si>
  <si>
    <t>MA_MFH_ASHP_Natural_ventilation_Air_ducts_conditioned_uninsulated_NG_DHW</t>
  </si>
  <si>
    <t>MA_MFH_pre_1975_Insulation_roof_Leaky_envelope_Uninsulated_walls_Single_pane_storm_windows</t>
  </si>
  <si>
    <t>MA_MFH_ASHP_Natural_ventilation_Air_ducts_conditioned_uninsulated_Heating_DHW_combo_NG</t>
  </si>
  <si>
    <t>MA_MFH_pre_1975_Insulation_roof_Leaky_envelope_Uninsulated_walls_Double_pane_lowE</t>
  </si>
  <si>
    <t>MA_MFH_ASHP_Natural_ventilation_Air_ducts_conditioned_uninsulated_HPWH</t>
  </si>
  <si>
    <t>MA_MFH_pre_1975_Insulation_roof_Leaky_envelope_Uninsulated_walls_Triple_pane_lowE</t>
  </si>
  <si>
    <t>MA_MFH_ASHP_Natural_ventilation_Hot_water_insulated_Electric_resistance_DHW</t>
  </si>
  <si>
    <t>MA_MFH_pre_1975_Insulation_roof_Leaky_envelope_Some_wall_insulation_Single_pane</t>
  </si>
  <si>
    <t>MA_MFH_ASHP_Natural_ventilation_Hot_water_insulated_NG_DHW</t>
  </si>
  <si>
    <t>MA_MFH_pre_1975_Insulation_roof_Leaky_envelope_Some_wall_insulation_Single_pane_storm_windows</t>
  </si>
  <si>
    <t>MA_MFH_ASHP_Natural_ventilation_Hot_water_insulated_Heating_DHW_combo_NG</t>
  </si>
  <si>
    <t>MA_MFH_pre_1975_Insulation_roof_Leaky_envelope_Some_wall_insulation_Double_pane_lowE</t>
  </si>
  <si>
    <t>MA_MFH_ASHP_Natural_ventilation_Hot_water_insulated_HPWH</t>
  </si>
  <si>
    <t>MA_MFH_pre_1975_Insulation_roof_Leaky_envelope_Some_wall_insulation_Triple_pane_lowE</t>
  </si>
  <si>
    <t>MA_MFH_ASHP_Natural_ventilation_Air_ducts_insulated_Electric_resistance_DHW</t>
  </si>
  <si>
    <t>MA_MFH_pre_1975_Insulation_roof_Leaky_envelope_SIP_Single_pane</t>
  </si>
  <si>
    <t>MA_MFH_ASHP_Natural_ventilation_Air_ducts_insulated_NG_DHW</t>
  </si>
  <si>
    <t>MA_MFH_pre_1975_Insulation_roof_Leaky_envelope_SIP_Single_pane_storm_windows</t>
  </si>
  <si>
    <t>MA_MFH_ASHP_Natural_ventilation_Air_ducts_insulated_Heating_DHW_combo_NG</t>
  </si>
  <si>
    <t>MA_MFH_pre_1975_Insulation_roof_Leaky_envelope_SIP_Double_pane_lowE</t>
  </si>
  <si>
    <t>MA_MFH_ASHP_Natural_ventilation_Air_ducts_insulated_HPWH</t>
  </si>
  <si>
    <t>MA_MFH_pre_1975_Insulation_roof_Leaky_envelope_SIP_Triple_pane_lowE</t>
  </si>
  <si>
    <t>MA_MFH_ASHP_Window_ASHP_Steam_Electric_resistance_DHW</t>
  </si>
  <si>
    <t>MA_MFH_pre_1975_Insulation_roof_Leaky_envelope_Full_insulated_wall_cavity_Single_pane</t>
  </si>
  <si>
    <t>MA_MFH_ASHP_Window_ASHP_Steam_NG_DHW</t>
  </si>
  <si>
    <t>MA_MFH_pre_1975_Insulation_roof_Leaky_envelope_Full_insulated_wall_cavity_Single_pane_storm_windows</t>
  </si>
  <si>
    <t>MA_MFH_ASHP_Window_ASHP_Steam_Heating_DHW_combo_NG</t>
  </si>
  <si>
    <t>MA_MFH_pre_1975_Insulation_roof_Leaky_envelope_Full_insulated_wall_cavity_Double_pane_lowE</t>
  </si>
  <si>
    <t>MA_MFH_ASHP_Window_ASHP_Steam_HPWH</t>
  </si>
  <si>
    <t>MA_MFH_pre_1975_Insulation_roof_Leaky_envelope_Full_insulated_wall_cavity_Triple_pane_lowE</t>
  </si>
  <si>
    <t>MA_MFH_ASHP_Window_ASHP_Hot_water_uninsulated_Electric_resistance_DHW</t>
  </si>
  <si>
    <t>MA_MFH_pre_1975_Insulation_roof_Leaky_envelope_Full_insulated_wall_cavity_exterior_Single_pane</t>
  </si>
  <si>
    <t>MA_MFH_ASHP_Window_ASHP_Hot_water_uninsulated_NG_DHW</t>
  </si>
  <si>
    <t>MA_MFH_pre_1975_Insulation_roof_Leaky_envelope_Full_insulated_wall_cavity_exterior_Single_pane_storm_windows</t>
  </si>
  <si>
    <t>MA_MFH_ASHP_Window_ASHP_Hot_water_uninsulated_Heating_DHW_combo_NG</t>
  </si>
  <si>
    <t>MA_MFH_pre_1975_Insulation_roof_Leaky_envelope_Full_insulated_wall_cavity_exterior_Double_pane_lowE</t>
  </si>
  <si>
    <t>MA_MFH_ASHP_Window_ASHP_Hot_water_uninsulated_HPWH</t>
  </si>
  <si>
    <t>MA_MFH_pre_1975_Insulation_roof_Leaky_envelope_Full_insulated_wall_cavity_exterior_Triple_pane_lowE</t>
  </si>
  <si>
    <t>MA_MFH_ASHP_Window_ASHP_Air_ducts_uninsulated_Electric_resistance_DHW</t>
  </si>
  <si>
    <t>MA_MFH_pre_1975_Insulation_roof_Somewhat_leaky_envelope_Uninsulated_walls_Single_pane</t>
  </si>
  <si>
    <t>MA_MFH_ASHP_Window_ASHP_Air_ducts_uninsulated_NG_DHW</t>
  </si>
  <si>
    <t>MA_MFH_pre_1975_Insulation_roof_Somewhat_leaky_envelope_Uninsulated_walls_Single_pane_storm_windows</t>
  </si>
  <si>
    <t>MA_MFH_ASHP_Window_ASHP_Air_ducts_uninsulated_Heating_DHW_combo_NG</t>
  </si>
  <si>
    <t>MA_MFH_pre_1975_Insulation_roof_Somewhat_leaky_envelope_Uninsulated_walls_Double_pane_lowE</t>
  </si>
  <si>
    <t>MA_MFH_ASHP_Window_ASHP_Air_ducts_uninsulated_HPWH</t>
  </si>
  <si>
    <t>MA_MFH_pre_1975_Insulation_roof_Somewhat_leaky_envelope_Uninsulated_walls_Triple_pane_lowE</t>
  </si>
  <si>
    <t>MA_MFH_ASHP_Window_ASHP_Air_ducts_conditioned_uninsulated_Electric_resistance_DHW</t>
  </si>
  <si>
    <t>MA_MFH_pre_1975_Insulation_roof_Somewhat_leaky_envelope_Some_wall_insulation_Single_pane</t>
  </si>
  <si>
    <t>MA_MFH_ASHP_Window_ASHP_Air_ducts_conditioned_uninsulated_NG_DHW</t>
  </si>
  <si>
    <t>MA_MFH_pre_1975_Insulation_roof_Somewhat_leaky_envelope_Some_wall_insulation_Single_pane_storm_windows</t>
  </si>
  <si>
    <t>MA_MFH_ASHP_Window_ASHP_Air_ducts_conditioned_uninsulated_Heating_DHW_combo_NG</t>
  </si>
  <si>
    <t>MA_MFH_pre_1975_Insulation_roof_Somewhat_leaky_envelope_Some_wall_insulation_Double_pane_lowE</t>
  </si>
  <si>
    <t>MA_MFH_ASHP_Window_ASHP_Air_ducts_conditioned_uninsulated_HPWH</t>
  </si>
  <si>
    <t>MA_MFH_pre_1975_Insulation_roof_Somewhat_leaky_envelope_Some_wall_insulation_Triple_pane_lowE</t>
  </si>
  <si>
    <t>MA_MFH_ASHP_Window_ASHP_Hot_water_insulated_Electric_resistance_DHW</t>
  </si>
  <si>
    <t>MA_MFH_pre_1975_Insulation_roof_Somewhat_leaky_envelope_SIP_Single_pane</t>
  </si>
  <si>
    <t>MA_MFH_ASHP_Window_ASHP_Hot_water_insulated_NG_DHW</t>
  </si>
  <si>
    <t>MA_MFH_pre_1975_Insulation_roof_Somewhat_leaky_envelope_SIP_Single_pane_storm_windows</t>
  </si>
  <si>
    <t>MA_MFH_ASHP_Window_ASHP_Hot_water_insulated_Heating_DHW_combo_NG</t>
  </si>
  <si>
    <t>MA_MFH_pre_1975_Insulation_roof_Somewhat_leaky_envelope_SIP_Double_pane_lowE</t>
  </si>
  <si>
    <t>MA_MFH_ASHP_Window_ASHP_Hot_water_insulated_HPWH</t>
  </si>
  <si>
    <t>MA_MFH_pre_1975_Insulation_roof_Somewhat_leaky_envelope_SIP_Triple_pane_lowE</t>
  </si>
  <si>
    <t>MA_MFH_ASHP_Window_ASHP_Air_ducts_insulated_Electric_resistance_DHW</t>
  </si>
  <si>
    <t>MA_MFH_pre_1975_Insulation_roof_Somewhat_leaky_envelope_Full_insulated_wall_cavity_Single_pane</t>
  </si>
  <si>
    <t>MA_MFH_ASHP_Window_ASHP_Air_ducts_insulated_NG_DHW</t>
  </si>
  <si>
    <t>MA_MFH_pre_1975_Insulation_roof_Somewhat_leaky_envelope_Full_insulated_wall_cavity_Single_pane_storm_windows</t>
  </si>
  <si>
    <t>MA_MFH_ASHP_Window_ASHP_Air_ducts_insulated_Heating_DHW_combo_NG</t>
  </si>
  <si>
    <t>MA_MFH_pre_1975_Insulation_roof_Somewhat_leaky_envelope_Full_insulated_wall_cavity_Double_pane_lowE</t>
  </si>
  <si>
    <t>MA_MFH_ASHP_Window_ASHP_Air_ducts_insulated_HPWH</t>
  </si>
  <si>
    <t>MA_MFH_pre_1975_Insulation_roof_Somewhat_leaky_envelope_Full_insulated_wall_cavity_Triple_pane_lowE</t>
  </si>
  <si>
    <t>MA_MFH_ASHP_ASHP_Steam_Electric_resistance_DHW</t>
  </si>
  <si>
    <t>MA_MFH_pre_1975_Insulation_roof_Somewhat_leaky_envelope_Full_insulated_wall_cavity_exterior_Single_pane</t>
  </si>
  <si>
    <t>MA_MFH_ASHP_ASHP_Steam_NG_DHW</t>
  </si>
  <si>
    <t>MA_MFH_pre_1975_Insulation_roof_Somewhat_leaky_envelope_Full_insulated_wall_cavity_exterior_Single_pane_storm_windows</t>
  </si>
  <si>
    <t>MA_MFH_ASHP_ASHP_Steam_Heating_DHW_combo_NG</t>
  </si>
  <si>
    <t>MA_MFH_pre_1975_Insulation_roof_Somewhat_leaky_envelope_Full_insulated_wall_cavity_exterior_Double_pane_lowE</t>
  </si>
  <si>
    <t>MA_MFH_ASHP_ASHP_Steam_HPWH</t>
  </si>
  <si>
    <t>MA_MFH_pre_1975_Insulation_roof_Somewhat_leaky_envelope_Full_insulated_wall_cavity_exterior_Triple_pane_lowE</t>
  </si>
  <si>
    <t>MA_MFH_ASHP_ASHP_Hot_water_uninsulated_Electric_resistance_DHW</t>
  </si>
  <si>
    <t>MA_MFH_pre_1975_Insulation_roof_Tight_envelope_HRV_Uninsulated_walls_Single_pane</t>
  </si>
  <si>
    <t>MA_MFH_ASHP_ASHP_Hot_water_uninsulated_NG_DHW</t>
  </si>
  <si>
    <t>MA_MFH_pre_1975_Insulation_roof_Tight_envelope_HRV_Uninsulated_walls_Single_pane_storm_windows</t>
  </si>
  <si>
    <t>MA_MFH_ASHP_ASHP_Hot_water_uninsulated_Heating_DHW_combo_NG</t>
  </si>
  <si>
    <t>MA_MFH_pre_1975_Insulation_roof_Tight_envelope_HRV_Uninsulated_walls_Double_pane_lowE</t>
  </si>
  <si>
    <t>MA_MFH_ASHP_ASHP_Hot_water_uninsulated_HPWH</t>
  </si>
  <si>
    <t>MA_MFH_pre_1975_Insulation_roof_Tight_envelope_HRV_Uninsulated_walls_Triple_pane_lowE</t>
  </si>
  <si>
    <t>MA_MFH_ASHP_ASHP_Air_ducts_uninsulated_Electric_resistance_DHW</t>
  </si>
  <si>
    <t>MA_MFH_pre_1975_Insulation_roof_Tight_envelope_HRV_Some_wall_insulation_Single_pane</t>
  </si>
  <si>
    <t>MA_MFH_ASHP_ASHP_Air_ducts_uninsulated_NG_DHW</t>
  </si>
  <si>
    <t>MA_MFH_pre_1975_Insulation_roof_Tight_envelope_HRV_Some_wall_insulation_Single_pane_storm_windows</t>
  </si>
  <si>
    <t>MA_MFH_ASHP_ASHP_Air_ducts_uninsulated_Heating_DHW_combo_NG</t>
  </si>
  <si>
    <t>MA_MFH_pre_1975_Insulation_roof_Tight_envelope_HRV_Some_wall_insulation_Double_pane_lowE</t>
  </si>
  <si>
    <t>MA_MFH_ASHP_ASHP_Air_ducts_uninsulated_HPWH</t>
  </si>
  <si>
    <t>MA_MFH_pre_1975_Insulation_roof_Tight_envelope_HRV_Some_wall_insulation_Triple_pane_lowE</t>
  </si>
  <si>
    <t>MA_MFH_ASHP_ASHP_Air_ducts_conditioned_uninsulated_Electric_resistance_DHW</t>
  </si>
  <si>
    <t>MA_MFH_pre_1975_Insulation_roof_Tight_envelope_HRV_SIP_Single_pane</t>
  </si>
  <si>
    <t>MA_MFH_ASHP_ASHP_Air_ducts_conditioned_uninsulated_NG_DHW</t>
  </si>
  <si>
    <t>MA_MFH_pre_1975_Insulation_roof_Tight_envelope_HRV_SIP_Single_pane_storm_windows</t>
  </si>
  <si>
    <t>MA_MFH_ASHP_ASHP_Air_ducts_conditioned_uninsulated_Heating_DHW_combo_NG</t>
  </si>
  <si>
    <t>MA_MFH_pre_1975_Insulation_roof_Tight_envelope_HRV_SIP_Double_pane_lowE</t>
  </si>
  <si>
    <t>MA_MFH_ASHP_ASHP_Air_ducts_conditioned_uninsulated_HPWH</t>
  </si>
  <si>
    <t>MA_MFH_pre_1975_Insulation_roof_Tight_envelope_HRV_SIP_Triple_pane_lowE</t>
  </si>
  <si>
    <t>MA_MFH_ASHP_ASHP_Hot_water_insulated_Electric_resistance_DHW</t>
  </si>
  <si>
    <t>MA_MFH_pre_1975_Insulation_roof_Tight_envelope_HRV_Full_insulated_wall_cavity_Single_pane</t>
  </si>
  <si>
    <t>MA_MFH_ASHP_ASHP_Hot_water_insulated_NG_DHW</t>
  </si>
  <si>
    <t>MA_MFH_pre_1975_Insulation_roof_Tight_envelope_HRV_Full_insulated_wall_cavity_Single_pane_storm_windows</t>
  </si>
  <si>
    <t>MA_MFH_ASHP_ASHP_Hot_water_insulated_Heating_DHW_combo_NG</t>
  </si>
  <si>
    <t>MA_MFH_pre_1975_Insulation_roof_Tight_envelope_HRV_Full_insulated_wall_cavity_Double_pane_lowE</t>
  </si>
  <si>
    <t>MA_MFH_ASHP_ASHP_Hot_water_insulated_HPWH</t>
  </si>
  <si>
    <t>MA_MFH_pre_1975_Insulation_roof_Tight_envelope_HRV_Full_insulated_wall_cavity_Triple_pane_lowE</t>
  </si>
  <si>
    <t>MA_MFH_ASHP_ASHP_Air_ducts_insulated_Electric_resistance_DHW</t>
  </si>
  <si>
    <t>MA_MFH_pre_1975_Insulation_roof_Tight_envelope_HRV_Full_insulated_wall_cavity_exterior_Single_pane</t>
  </si>
  <si>
    <t>MA_MFH_ASHP_ASHP_Air_ducts_insulated_NG_DHW</t>
  </si>
  <si>
    <t>MA_MFH_pre_1975_Insulation_roof_Tight_envelope_HRV_Full_insulated_wall_cavity_exterior_Single_pane_storm_windows</t>
  </si>
  <si>
    <t>MA_MFH_ASHP_ASHP_Air_ducts_insulated_Heating_DHW_combo_NG</t>
  </si>
  <si>
    <t>MA_MFH_pre_1975_Insulation_roof_Tight_envelope_HRV_Full_insulated_wall_cavity_exterior_Double_pane_lowE</t>
  </si>
  <si>
    <t>MA_MFH_ASHP_ASHP_Air_ducts_insulated_HPWH</t>
  </si>
  <si>
    <t>MA_MFH_pre_1975_Insulation_roof_Tight_envelope_HRV_Full_insulated_wall_cavity_exterior_Triple_pane_lowE</t>
  </si>
  <si>
    <t>MA_MFH_ASHP_GSHP_Steam_Electric_resistance_DHW</t>
  </si>
  <si>
    <t>MA_MFH_pre_1975_Occupied_insulated_Leaky_envelope_Uninsulated_walls_Single_pane</t>
  </si>
  <si>
    <t>MA_MFH_ASHP_GSHP_Steam_NG_DHW</t>
  </si>
  <si>
    <t>MA_MFH_pre_1975_Occupied_insulated_Leaky_envelope_Uninsulated_walls_Single_pane_storm_windows</t>
  </si>
  <si>
    <t>MA_MFH_ASHP_GSHP_Steam_Heating_DHW_combo_NG</t>
  </si>
  <si>
    <t>MA_MFH_pre_1975_Occupied_insulated_Leaky_envelope_Uninsulated_walls_Double_pane_lowE</t>
  </si>
  <si>
    <t>MA_MFH_ASHP_GSHP_Steam_HPWH</t>
  </si>
  <si>
    <t>MA_MFH_pre_1975_Occupied_insulated_Leaky_envelope_Uninsulated_walls_Triple_pane_lowE</t>
  </si>
  <si>
    <t>MA_MFH_ASHP_GSHP_Hot_water_uninsulated_Electric_resistance_DHW</t>
  </si>
  <si>
    <t>MA_MFH_pre_1975_Occupied_insulated_Leaky_envelope_Some_wall_insulation_Single_pane</t>
  </si>
  <si>
    <t>MA_MFH_ASHP_GSHP_Hot_water_uninsulated_NG_DHW</t>
  </si>
  <si>
    <t>MA_MFH_pre_1975_Occupied_insulated_Leaky_envelope_Some_wall_insulation_Single_pane_storm_windows</t>
  </si>
  <si>
    <t>MA_MFH_ASHP_GSHP_Hot_water_uninsulated_Heating_DHW_combo_NG</t>
  </si>
  <si>
    <t>MA_MFH_pre_1975_Occupied_insulated_Leaky_envelope_Some_wall_insulation_Double_pane_lowE</t>
  </si>
  <si>
    <t>MA_MFH_ASHP_GSHP_Hot_water_uninsulated_HPWH</t>
  </si>
  <si>
    <t>MA_MFH_pre_1975_Occupied_insulated_Leaky_envelope_Some_wall_insulation_Triple_pane_lowE</t>
  </si>
  <si>
    <t>MA_MFH_ASHP_GSHP_Air_ducts_uninsulated_Electric_resistance_DHW</t>
  </si>
  <si>
    <t>MA_MFH_pre_1975_Occupied_insulated_Leaky_envelope_SIP_Single_pane</t>
  </si>
  <si>
    <t>MA_MFH_ASHP_GSHP_Air_ducts_uninsulated_NG_DHW</t>
  </si>
  <si>
    <t>MA_MFH_pre_1975_Occupied_insulated_Leaky_envelope_SIP_Single_pane_storm_windows</t>
  </si>
  <si>
    <t>MA_MFH_ASHP_GSHP_Air_ducts_uninsulated_Heating_DHW_combo_NG</t>
  </si>
  <si>
    <t>MA_MFH_pre_1975_Occupied_insulated_Leaky_envelope_SIP_Double_pane_lowE</t>
  </si>
  <si>
    <t>MA_MFH_ASHP_GSHP_Air_ducts_uninsulated_HPWH</t>
  </si>
  <si>
    <t>MA_MFH_pre_1975_Occupied_insulated_Leaky_envelope_SIP_Triple_pane_lowE</t>
  </si>
  <si>
    <t>MA_MFH_ASHP_GSHP_Air_ducts_conditioned_uninsulated_Electric_resistance_DHW</t>
  </si>
  <si>
    <t>MA_MFH_pre_1975_Occupied_insulated_Leaky_envelope_Full_insulated_wall_cavity_Single_pane</t>
  </si>
  <si>
    <t>MA_MFH_ASHP_GSHP_Air_ducts_conditioned_uninsulated_NG_DHW</t>
  </si>
  <si>
    <t>MA_MFH_pre_1975_Occupied_insulated_Leaky_envelope_Full_insulated_wall_cavity_Single_pane_storm_windows</t>
  </si>
  <si>
    <t>MA_MFH_ASHP_GSHP_Air_ducts_conditioned_uninsulated_Heating_DHW_combo_NG</t>
  </si>
  <si>
    <t>MA_MFH_pre_1975_Occupied_insulated_Leaky_envelope_Full_insulated_wall_cavity_Double_pane_lowE</t>
  </si>
  <si>
    <t>MA_MFH_ASHP_GSHP_Air_ducts_conditioned_uninsulated_HPWH</t>
  </si>
  <si>
    <t>MA_MFH_pre_1975_Occupied_insulated_Leaky_envelope_Full_insulated_wall_cavity_Triple_pane_lowE</t>
  </si>
  <si>
    <t>MA_MFH_ASHP_GSHP_Hot_water_insulated_Electric_resistance_DHW</t>
  </si>
  <si>
    <t>MA_MFH_pre_1975_Occupied_insulated_Leaky_envelope_Full_insulated_wall_cavity_exterior_Single_pane</t>
  </si>
  <si>
    <t>MA_MFH_ASHP_GSHP_Hot_water_insulated_NG_DHW</t>
  </si>
  <si>
    <t>MA_MFH_pre_1975_Occupied_insulated_Leaky_envelope_Full_insulated_wall_cavity_exterior_Single_pane_storm_windows</t>
  </si>
  <si>
    <t>MA_MFH_ASHP_GSHP_Hot_water_insulated_Heating_DHW_combo_NG</t>
  </si>
  <si>
    <t>MA_MFH_pre_1975_Occupied_insulated_Leaky_envelope_Full_insulated_wall_cavity_exterior_Double_pane_lowE</t>
  </si>
  <si>
    <t>MA_MFH_ASHP_GSHP_Hot_water_insulated_HPWH</t>
  </si>
  <si>
    <t>MA_MFH_pre_1975_Occupied_insulated_Leaky_envelope_Full_insulated_wall_cavity_exterior_Triple_pane_lowE</t>
  </si>
  <si>
    <t>MA_MFH_ASHP_GSHP_Air_ducts_insulated_Electric_resistance_DHW</t>
  </si>
  <si>
    <t>MA_MFH_pre_1975_Occupied_insulated_Somewhat_leaky_envelope_Uninsulated_walls_Single_pane</t>
  </si>
  <si>
    <t>MA_MFH_ASHP_GSHP_Air_ducts_insulated_NG_DHW</t>
  </si>
  <si>
    <t>MA_MFH_pre_1975_Occupied_insulated_Somewhat_leaky_envelope_Uninsulated_walls_Single_pane_storm_windows</t>
  </si>
  <si>
    <t>MA_MFH_ASHP_GSHP_Air_ducts_insulated_Heating_DHW_combo_NG</t>
  </si>
  <si>
    <t>MA_MFH_pre_1975_Occupied_insulated_Somewhat_leaky_envelope_Uninsulated_walls_Double_pane_lowE</t>
  </si>
  <si>
    <t>MA_MFH_ASHP_GSHP_Air_ducts_insulated_HPWH</t>
  </si>
  <si>
    <t>MA_MFH_pre_1975_Occupied_insulated_Somewhat_leaky_envelope_Uninsulated_walls_Triple_pane_lowE</t>
  </si>
  <si>
    <t>MA_MFH_GSHP_AC_window_Steam_Electric_resistance_DHW</t>
  </si>
  <si>
    <t>MA_MFH_pre_1975_Occupied_insulated_Somewhat_leaky_envelope_Some_wall_insulation_Single_pane</t>
  </si>
  <si>
    <t>MA_MFH_GSHP_AC_window_Steam_NG_DHW</t>
  </si>
  <si>
    <t>MA_MFH_pre_1975_Occupied_insulated_Somewhat_leaky_envelope_Some_wall_insulation_Single_pane_storm_windows</t>
  </si>
  <si>
    <t>MA_MFH_GSHP_AC_window_Steam_Heating_DHW_combo_NG</t>
  </si>
  <si>
    <t>MA_MFH_pre_1975_Occupied_insulated_Somewhat_leaky_envelope_Some_wall_insulation_Double_pane_lowE</t>
  </si>
  <si>
    <t>MA_MFH_GSHP_AC_window_Steam_HPWH</t>
  </si>
  <si>
    <t>MA_MFH_pre_1975_Occupied_insulated_Somewhat_leaky_envelope_Some_wall_insulation_Triple_pane_lowE</t>
  </si>
  <si>
    <t>MA_MFH_GSHP_AC_window_Hot_water_uninsulated_Electric_resistance_DHW</t>
  </si>
  <si>
    <t>MA_MFH_pre_1975_Occupied_insulated_Somewhat_leaky_envelope_SIP_Single_pane</t>
  </si>
  <si>
    <t>MA_MFH_GSHP_AC_window_Hot_water_uninsulated_NG_DHW</t>
  </si>
  <si>
    <t>MA_MFH_pre_1975_Occupied_insulated_Somewhat_leaky_envelope_SIP_Single_pane_storm_windows</t>
  </si>
  <si>
    <t>MA_MFH_GSHP_AC_window_Hot_water_uninsulated_Heating_DHW_combo_NG</t>
  </si>
  <si>
    <t>MA_MFH_pre_1975_Occupied_insulated_Somewhat_leaky_envelope_SIP_Double_pane_lowE</t>
  </si>
  <si>
    <t>MA_MFH_GSHP_AC_window_Hot_water_uninsulated_HPWH</t>
  </si>
  <si>
    <t>MA_MFH_pre_1975_Occupied_insulated_Somewhat_leaky_envelope_SIP_Triple_pane_lowE</t>
  </si>
  <si>
    <t>MA_MFH_GSHP_AC_window_Air_ducts_uninsulated_Electric_resistance_DHW</t>
  </si>
  <si>
    <t>MA_MFH_pre_1975_Occupied_insulated_Somewhat_leaky_envelope_Full_insulated_wall_cavity_Single_pane</t>
  </si>
  <si>
    <t>MA_MFH_GSHP_AC_window_Air_ducts_uninsulated_NG_DHW</t>
  </si>
  <si>
    <t>MA_MFH_pre_1975_Occupied_insulated_Somewhat_leaky_envelope_Full_insulated_wall_cavity_Single_pane_storm_windows</t>
  </si>
  <si>
    <t>MA_MFH_GSHP_AC_window_Air_ducts_uninsulated_Heating_DHW_combo_NG</t>
  </si>
  <si>
    <t>MA_MFH_pre_1975_Occupied_insulated_Somewhat_leaky_envelope_Full_insulated_wall_cavity_Double_pane_lowE</t>
  </si>
  <si>
    <t>MA_MFH_GSHP_AC_window_Air_ducts_uninsulated_HPWH</t>
  </si>
  <si>
    <t>MA_MFH_pre_1975_Occupied_insulated_Somewhat_leaky_envelope_Full_insulated_wall_cavity_Triple_pane_lowE</t>
  </si>
  <si>
    <t>MA_MFH_GSHP_AC_window_Air_ducts_conditioned_uninsulated_Electric_resistance_DHW</t>
  </si>
  <si>
    <t>MA_MFH_pre_1975_Occupied_insulated_Somewhat_leaky_envelope_Full_insulated_wall_cavity_exterior_Single_pane</t>
  </si>
  <si>
    <t>MA_MFH_GSHP_AC_window_Air_ducts_conditioned_uninsulated_NG_DHW</t>
  </si>
  <si>
    <t>MA_MFH_pre_1975_Occupied_insulated_Somewhat_leaky_envelope_Full_insulated_wall_cavity_exterior_Single_pane_storm_windows</t>
  </si>
  <si>
    <t>MA_MFH_GSHP_AC_window_Air_ducts_conditioned_uninsulated_Heating_DHW_combo_NG</t>
  </si>
  <si>
    <t>MA_MFH_pre_1975_Occupied_insulated_Somewhat_leaky_envelope_Full_insulated_wall_cavity_exterior_Double_pane_lowE</t>
  </si>
  <si>
    <t>MA_MFH_GSHP_AC_window_Air_ducts_conditioned_uninsulated_HPWH</t>
  </si>
  <si>
    <t>MA_MFH_pre_1975_Occupied_insulated_Somewhat_leaky_envelope_Full_insulated_wall_cavity_exterior_Triple_pane_lowE</t>
  </si>
  <si>
    <t>MA_MFH_GSHP_AC_window_Hot_water_insulated_Electric_resistance_DHW</t>
  </si>
  <si>
    <t>MA_MFH_pre_1975_Occupied_insulated_Tight_envelope_HRV_Uninsulated_walls_Single_pane</t>
  </si>
  <si>
    <t>MA_MFH_GSHP_AC_window_Hot_water_insulated_NG_DHW</t>
  </si>
  <si>
    <t>MA_MFH_pre_1975_Occupied_insulated_Tight_envelope_HRV_Uninsulated_walls_Single_pane_storm_windows</t>
  </si>
  <si>
    <t>MA_MFH_GSHP_AC_window_Hot_water_insulated_Heating_DHW_combo_NG</t>
  </si>
  <si>
    <t>MA_MFH_pre_1975_Occupied_insulated_Tight_envelope_HRV_Uninsulated_walls_Double_pane_lowE</t>
  </si>
  <si>
    <t>MA_MFH_GSHP_AC_window_Hot_water_insulated_HPWH</t>
  </si>
  <si>
    <t>MA_MFH_pre_1975_Occupied_insulated_Tight_envelope_HRV_Uninsulated_walls_Triple_pane_lowE</t>
  </si>
  <si>
    <t>MA_MFH_GSHP_AC_window_Air_ducts_insulated_Electric_resistance_DHW</t>
  </si>
  <si>
    <t>MA_MFH_pre_1975_Occupied_insulated_Tight_envelope_HRV_Some_wall_insulation_Single_pane</t>
  </si>
  <si>
    <t>MA_MFH_GSHP_AC_window_Air_ducts_insulated_NG_DHW</t>
  </si>
  <si>
    <t>MA_MFH_pre_1975_Occupied_insulated_Tight_envelope_HRV_Some_wall_insulation_Single_pane_storm_windows</t>
  </si>
  <si>
    <t>MA_MFH_GSHP_AC_window_Air_ducts_insulated_Heating_DHW_combo_NG</t>
  </si>
  <si>
    <t>MA_MFH_pre_1975_Occupied_insulated_Tight_envelope_HRV_Some_wall_insulation_Double_pane_lowE</t>
  </si>
  <si>
    <t>MA_MFH_GSHP_AC_window_Air_ducts_insulated_HPWH</t>
  </si>
  <si>
    <t>MA_MFH_pre_1975_Occupied_insulated_Tight_envelope_HRV_Some_wall_insulation_Triple_pane_lowE</t>
  </si>
  <si>
    <t>MA_MFH_GSHP_Central_AC_Steam_Electric_resistance_DHW</t>
  </si>
  <si>
    <t>MA_MFH_pre_1975_Occupied_insulated_Tight_envelope_HRV_SIP_Single_pane</t>
  </si>
  <si>
    <t>MA_MFH_GSHP_Central_AC_Steam_NG_DHW</t>
  </si>
  <si>
    <t>MA_MFH_pre_1975_Occupied_insulated_Tight_envelope_HRV_SIP_Single_pane_storm_windows</t>
  </si>
  <si>
    <t>MA_MFH_GSHP_Central_AC_Steam_Heating_DHW_combo_NG</t>
  </si>
  <si>
    <t>MA_MFH_pre_1975_Occupied_insulated_Tight_envelope_HRV_SIP_Double_pane_lowE</t>
  </si>
  <si>
    <t>MA_MFH_GSHP_Central_AC_Steam_HPWH</t>
  </si>
  <si>
    <t>MA_MFH_pre_1975_Occupied_insulated_Tight_envelope_HRV_SIP_Triple_pane_lowE</t>
  </si>
  <si>
    <t>MA_MFH_GSHP_Central_AC_Hot_water_uninsulated_Electric_resistance_DHW</t>
  </si>
  <si>
    <t>MA_MFH_pre_1975_Occupied_insulated_Tight_envelope_HRV_Full_insulated_wall_cavity_Single_pane</t>
  </si>
  <si>
    <t>MA_MFH_GSHP_Central_AC_Hot_water_uninsulated_NG_DHW</t>
  </si>
  <si>
    <t>MA_MFH_pre_1975_Occupied_insulated_Tight_envelope_HRV_Full_insulated_wall_cavity_Single_pane_storm_windows</t>
  </si>
  <si>
    <t>MA_MFH_GSHP_Central_AC_Hot_water_uninsulated_Heating_DHW_combo_NG</t>
  </si>
  <si>
    <t>MA_MFH_pre_1975_Occupied_insulated_Tight_envelope_HRV_Full_insulated_wall_cavity_Double_pane_lowE</t>
  </si>
  <si>
    <t>MA_MFH_GSHP_Central_AC_Hot_water_uninsulated_HPWH</t>
  </si>
  <si>
    <t>MA_MFH_pre_1975_Occupied_insulated_Tight_envelope_HRV_Full_insulated_wall_cavity_Triple_pane_lowE</t>
  </si>
  <si>
    <t>MA_MFH_GSHP_Central_AC_Air_ducts_uninsulated_Electric_resistance_DHW</t>
  </si>
  <si>
    <t>MA_MFH_pre_1975_Occupied_insulated_Tight_envelope_HRV_Full_insulated_wall_cavity_exterior_Single_pane</t>
  </si>
  <si>
    <t>MA_MFH_GSHP_Central_AC_Air_ducts_uninsulated_NG_DHW</t>
  </si>
  <si>
    <t>MA_MFH_pre_1975_Occupied_insulated_Tight_envelope_HRV_Full_insulated_wall_cavity_exterior_Single_pane_storm_windows</t>
  </si>
  <si>
    <t>MA_MFH_GSHP_Central_AC_Air_ducts_uninsulated_Heating_DHW_combo_NG</t>
  </si>
  <si>
    <t>MA_MFH_pre_1975_Occupied_insulated_Tight_envelope_HRV_Full_insulated_wall_cavity_exterior_Double_pane_lowE</t>
  </si>
  <si>
    <t>MA_MFH_GSHP_Central_AC_Air_ducts_uninsulated_HPWH</t>
  </si>
  <si>
    <t>MA_MFH_pre_1975_Occupied_insulated_Tight_envelope_HRV_Full_insulated_wall_cavity_exterior_Triple_pane_lowE</t>
  </si>
  <si>
    <t>MA_MFH_GSHP_Central_AC_Air_ducts_conditioned_uninsulated_Electric_resistance_DHW</t>
  </si>
  <si>
    <t>MA_MFH_pre_1975_Unoccupied_high_insulated_floor_Leaky_envelope_Uninsulated_walls_Single_pane</t>
  </si>
  <si>
    <t>MA_MFH_GSHP_Central_AC_Air_ducts_conditioned_uninsulated_NG_DHW</t>
  </si>
  <si>
    <t>MA_MFH_pre_1975_Unoccupied_high_insulated_floor_Leaky_envelope_Uninsulated_walls_Single_pane_storm_windows</t>
  </si>
  <si>
    <t>MA_MFH_GSHP_Central_AC_Air_ducts_conditioned_uninsulated_Heating_DHW_combo_NG</t>
  </si>
  <si>
    <t>MA_MFH_pre_1975_Unoccupied_high_insulated_floor_Leaky_envelope_Uninsulated_walls_Double_pane_lowE</t>
  </si>
  <si>
    <t>MA_MFH_GSHP_Central_AC_Air_ducts_conditioned_uninsulated_HPWH</t>
  </si>
  <si>
    <t>MA_MFH_pre_1975_Unoccupied_high_insulated_floor_Leaky_envelope_Uninsulated_walls_Triple_pane_lowE</t>
  </si>
  <si>
    <t>MA_MFH_GSHP_Central_AC_Hot_water_insulated_Electric_resistance_DHW</t>
  </si>
  <si>
    <t>MA_MFH_pre_1975_Unoccupied_high_insulated_floor_Leaky_envelope_Some_wall_insulation_Single_pane</t>
  </si>
  <si>
    <t>MA_MFH_GSHP_Central_AC_Hot_water_insulated_NG_DHW</t>
  </si>
  <si>
    <t>MA_MFH_pre_1975_Unoccupied_high_insulated_floor_Leaky_envelope_Some_wall_insulation_Single_pane_storm_windows</t>
  </si>
  <si>
    <t>MA_MFH_GSHP_Central_AC_Hot_water_insulated_Heating_DHW_combo_NG</t>
  </si>
  <si>
    <t>MA_MFH_pre_1975_Unoccupied_high_insulated_floor_Leaky_envelope_Some_wall_insulation_Double_pane_lowE</t>
  </si>
  <si>
    <t>MA_MFH_GSHP_Central_AC_Hot_water_insulated_HPWH</t>
  </si>
  <si>
    <t>MA_MFH_pre_1975_Unoccupied_high_insulated_floor_Leaky_envelope_Some_wall_insulation_Triple_pane_lowE</t>
  </si>
  <si>
    <t>MA_MFH_GSHP_Central_AC_Air_ducts_insulated_Electric_resistance_DHW</t>
  </si>
  <si>
    <t>MA_MFH_pre_1975_Unoccupied_high_insulated_floor_Leaky_envelope_SIP_Single_pane</t>
  </si>
  <si>
    <t>MA_MFH_GSHP_Central_AC_Air_ducts_insulated_NG_DHW</t>
  </si>
  <si>
    <t>MA_MFH_pre_1975_Unoccupied_high_insulated_floor_Leaky_envelope_SIP_Single_pane_storm_windows</t>
  </si>
  <si>
    <t>MA_MFH_GSHP_Central_AC_Air_ducts_insulated_Heating_DHW_combo_NG</t>
  </si>
  <si>
    <t>MA_MFH_pre_1975_Unoccupied_high_insulated_floor_Leaky_envelope_SIP_Double_pane_lowE</t>
  </si>
  <si>
    <t>MA_MFH_GSHP_Central_AC_Air_ducts_insulated_HPWH</t>
  </si>
  <si>
    <t>MA_MFH_pre_1975_Unoccupied_high_insulated_floor_Leaky_envelope_SIP_Triple_pane_lowE</t>
  </si>
  <si>
    <t>MA_MFH_GSHP_Natural_ventilation_Steam_Electric_resistance_DHW</t>
  </si>
  <si>
    <t>MA_MFH_pre_1975_Unoccupied_high_insulated_floor_Leaky_envelope_Full_insulated_wall_cavity_Single_pane</t>
  </si>
  <si>
    <t>MA_MFH_GSHP_Natural_ventilation_Steam_NG_DHW</t>
  </si>
  <si>
    <t>MA_MFH_pre_1975_Unoccupied_high_insulated_floor_Leaky_envelope_Full_insulated_wall_cavity_Single_pane_storm_windows</t>
  </si>
  <si>
    <t>MA_MFH_GSHP_Natural_ventilation_Steam_Heating_DHW_combo_NG</t>
  </si>
  <si>
    <t>MA_MFH_pre_1975_Unoccupied_high_insulated_floor_Leaky_envelope_Full_insulated_wall_cavity_Double_pane_lowE</t>
  </si>
  <si>
    <t>MA_MFH_GSHP_Natural_ventilation_Steam_HPWH</t>
  </si>
  <si>
    <t>MA_MFH_pre_1975_Unoccupied_high_insulated_floor_Leaky_envelope_Full_insulated_wall_cavity_Triple_pane_lowE</t>
  </si>
  <si>
    <t>MA_MFH_GSHP_Natural_ventilation_Hot_water_uninsulated_Electric_resistance_DHW</t>
  </si>
  <si>
    <t>MA_MFH_pre_1975_Unoccupied_high_insulated_floor_Leaky_envelope_Full_insulated_wall_cavity_exterior_Single_pane</t>
  </si>
  <si>
    <t>MA_MFH_GSHP_Natural_ventilation_Hot_water_uninsulated_NG_DHW</t>
  </si>
  <si>
    <t>MA_MFH_pre_1975_Unoccupied_high_insulated_floor_Leaky_envelope_Full_insulated_wall_cavity_exterior_Single_pane_storm_windows</t>
  </si>
  <si>
    <t>MA_MFH_GSHP_Natural_ventilation_Hot_water_uninsulated_Heating_DHW_combo_NG</t>
  </si>
  <si>
    <t>MA_MFH_pre_1975_Unoccupied_high_insulated_floor_Leaky_envelope_Full_insulated_wall_cavity_exterior_Double_pane_lowE</t>
  </si>
  <si>
    <t>MA_MFH_GSHP_Natural_ventilation_Hot_water_uninsulated_HPWH</t>
  </si>
  <si>
    <t>MA_MFH_pre_1975_Unoccupied_high_insulated_floor_Leaky_envelope_Full_insulated_wall_cavity_exterior_Triple_pane_lowE</t>
  </si>
  <si>
    <t>MA_MFH_GSHP_Natural_ventilation_Air_ducts_uninsulated_Electric_resistance_DHW</t>
  </si>
  <si>
    <t>MA_MFH_pre_1975_Unoccupied_high_insulated_floor_Somewhat_leaky_envelope_Uninsulated_walls_Single_pane</t>
  </si>
  <si>
    <t>MA_MFH_GSHP_Natural_ventilation_Air_ducts_uninsulated_NG_DHW</t>
  </si>
  <si>
    <t>MA_MFH_pre_1975_Unoccupied_high_insulated_floor_Somewhat_leaky_envelope_Uninsulated_walls_Single_pane_storm_windows</t>
  </si>
  <si>
    <t>MA_MFH_GSHP_Natural_ventilation_Air_ducts_uninsulated_Heating_DHW_combo_NG</t>
  </si>
  <si>
    <t>MA_MFH_pre_1975_Unoccupied_high_insulated_floor_Somewhat_leaky_envelope_Uninsulated_walls_Double_pane_lowE</t>
  </si>
  <si>
    <t>MA_MFH_GSHP_Natural_ventilation_Air_ducts_uninsulated_HPWH</t>
  </si>
  <si>
    <t>MA_MFH_pre_1975_Unoccupied_high_insulated_floor_Somewhat_leaky_envelope_Uninsulated_walls_Triple_pane_lowE</t>
  </si>
  <si>
    <t>MA_MFH_GSHP_Natural_ventilation_Air_ducts_conditioned_uninsulated_Electric_resistance_DHW</t>
  </si>
  <si>
    <t>MA_MFH_pre_1975_Unoccupied_high_insulated_floor_Somewhat_leaky_envelope_Some_wall_insulation_Single_pane</t>
  </si>
  <si>
    <t>MA_MFH_GSHP_Natural_ventilation_Air_ducts_conditioned_uninsulated_NG_DHW</t>
  </si>
  <si>
    <t>MA_MFH_pre_1975_Unoccupied_high_insulated_floor_Somewhat_leaky_envelope_Some_wall_insulation_Single_pane_storm_windows</t>
  </si>
  <si>
    <t>MA_MFH_GSHP_Natural_ventilation_Air_ducts_conditioned_uninsulated_Heating_DHW_combo_NG</t>
  </si>
  <si>
    <t>MA_MFH_pre_1975_Unoccupied_high_insulated_floor_Somewhat_leaky_envelope_Some_wall_insulation_Double_pane_lowE</t>
  </si>
  <si>
    <t>MA_MFH_GSHP_Natural_ventilation_Air_ducts_conditioned_uninsulated_HPWH</t>
  </si>
  <si>
    <t>MA_MFH_pre_1975_Unoccupied_high_insulated_floor_Somewhat_leaky_envelope_Some_wall_insulation_Triple_pane_lowE</t>
  </si>
  <si>
    <t>MA_MFH_GSHP_Natural_ventilation_Hot_water_insulated_Electric_resistance_DHW</t>
  </si>
  <si>
    <t>MA_MFH_pre_1975_Unoccupied_high_insulated_floor_Somewhat_leaky_envelope_SIP_Single_pane</t>
  </si>
  <si>
    <t>MA_MFH_GSHP_Natural_ventilation_Hot_water_insulated_NG_DHW</t>
  </si>
  <si>
    <t>MA_MFH_pre_1975_Unoccupied_high_insulated_floor_Somewhat_leaky_envelope_SIP_Single_pane_storm_windows</t>
  </si>
  <si>
    <t>MA_MFH_GSHP_Natural_ventilation_Hot_water_insulated_Heating_DHW_combo_NG</t>
  </si>
  <si>
    <t>MA_MFH_pre_1975_Unoccupied_high_insulated_floor_Somewhat_leaky_envelope_SIP_Double_pane_lowE</t>
  </si>
  <si>
    <t>MA_MFH_GSHP_Natural_ventilation_Hot_water_insulated_HPWH</t>
  </si>
  <si>
    <t>MA_MFH_pre_1975_Unoccupied_high_insulated_floor_Somewhat_leaky_envelope_SIP_Triple_pane_lowE</t>
  </si>
  <si>
    <t>MA_MFH_GSHP_Natural_ventilation_Air_ducts_insulated_Electric_resistance_DHW</t>
  </si>
  <si>
    <t>MA_MFH_pre_1975_Unoccupied_high_insulated_floor_Somewhat_leaky_envelope_Full_insulated_wall_cavity_Single_pane</t>
  </si>
  <si>
    <t>MA_MFH_GSHP_Natural_ventilation_Air_ducts_insulated_NG_DHW</t>
  </si>
  <si>
    <t>MA_MFH_pre_1975_Unoccupied_high_insulated_floor_Somewhat_leaky_envelope_Full_insulated_wall_cavity_Single_pane_storm_windows</t>
  </si>
  <si>
    <t>MA_MFH_GSHP_Natural_ventilation_Air_ducts_insulated_Heating_DHW_combo_NG</t>
  </si>
  <si>
    <t>MA_MFH_pre_1975_Unoccupied_high_insulated_floor_Somewhat_leaky_envelope_Full_insulated_wall_cavity_Double_pane_lowE</t>
  </si>
  <si>
    <t>MA_MFH_GSHP_Natural_ventilation_Air_ducts_insulated_HPWH</t>
  </si>
  <si>
    <t>MA_MFH_pre_1975_Unoccupied_high_insulated_floor_Somewhat_leaky_envelope_Full_insulated_wall_cavity_Triple_pane_lowE</t>
  </si>
  <si>
    <t>MA_MFH_GSHP_Window_ASHP_Steam_Electric_resistance_DHW</t>
  </si>
  <si>
    <t>MA_MFH_pre_1975_Unoccupied_high_insulated_floor_Somewhat_leaky_envelope_Full_insulated_wall_cavity_exterior_Single_pane</t>
  </si>
  <si>
    <t>MA_MFH_GSHP_Window_ASHP_Steam_NG_DHW</t>
  </si>
  <si>
    <t>MA_MFH_pre_1975_Unoccupied_high_insulated_floor_Somewhat_leaky_envelope_Full_insulated_wall_cavity_exterior_Single_pane_storm_windows</t>
  </si>
  <si>
    <t>MA_MFH_GSHP_Window_ASHP_Steam_Heating_DHW_combo_NG</t>
  </si>
  <si>
    <t>MA_MFH_pre_1975_Unoccupied_high_insulated_floor_Somewhat_leaky_envelope_Full_insulated_wall_cavity_exterior_Double_pane_lowE</t>
  </si>
  <si>
    <t>MA_MFH_GSHP_Window_ASHP_Steam_HPWH</t>
  </si>
  <si>
    <t>MA_MFH_pre_1975_Unoccupied_high_insulated_floor_Somewhat_leaky_envelope_Full_insulated_wall_cavity_exterior_Triple_pane_lowE</t>
  </si>
  <si>
    <t>MA_MFH_GSHP_Window_ASHP_Hot_water_uninsulated_Electric_resistance_DHW</t>
  </si>
  <si>
    <t>MA_MFH_pre_1975_Unoccupied_high_insulated_floor_Tight_envelope_HRV_Uninsulated_walls_Single_pane</t>
  </si>
  <si>
    <t>MA_MFH_GSHP_Window_ASHP_Hot_water_uninsulated_NG_DHW</t>
  </si>
  <si>
    <t>MA_MFH_pre_1975_Unoccupied_high_insulated_floor_Tight_envelope_HRV_Uninsulated_walls_Single_pane_storm_windows</t>
  </si>
  <si>
    <t>MA_MFH_GSHP_Window_ASHP_Hot_water_uninsulated_Heating_DHW_combo_NG</t>
  </si>
  <si>
    <t>MA_MFH_pre_1975_Unoccupied_high_insulated_floor_Tight_envelope_HRV_Uninsulated_walls_Double_pane_lowE</t>
  </si>
  <si>
    <t>MA_MFH_GSHP_Window_ASHP_Hot_water_uninsulated_HPWH</t>
  </si>
  <si>
    <t>MA_MFH_pre_1975_Unoccupied_high_insulated_floor_Tight_envelope_HRV_Uninsulated_walls_Triple_pane_lowE</t>
  </si>
  <si>
    <t>MA_MFH_GSHP_Window_ASHP_Air_ducts_uninsulated_Electric_resistance_DHW</t>
  </si>
  <si>
    <t>MA_MFH_pre_1975_Unoccupied_high_insulated_floor_Tight_envelope_HRV_Some_wall_insulation_Single_pane</t>
  </si>
  <si>
    <t>MA_MFH_GSHP_Window_ASHP_Air_ducts_uninsulated_NG_DHW</t>
  </si>
  <si>
    <t>MA_MFH_pre_1975_Unoccupied_high_insulated_floor_Tight_envelope_HRV_Some_wall_insulation_Single_pane_storm_windows</t>
  </si>
  <si>
    <t>MA_MFH_GSHP_Window_ASHP_Air_ducts_uninsulated_Heating_DHW_combo_NG</t>
  </si>
  <si>
    <t>MA_MFH_pre_1975_Unoccupied_high_insulated_floor_Tight_envelope_HRV_Some_wall_insulation_Double_pane_lowE</t>
  </si>
  <si>
    <t>MA_MFH_GSHP_Window_ASHP_Air_ducts_uninsulated_HPWH</t>
  </si>
  <si>
    <t>MA_MFH_pre_1975_Unoccupied_high_insulated_floor_Tight_envelope_HRV_Some_wall_insulation_Triple_pane_lowE</t>
  </si>
  <si>
    <t>MA_MFH_GSHP_Window_ASHP_Air_ducts_conditioned_uninsulated_Electric_resistance_DHW</t>
  </si>
  <si>
    <t>MA_MFH_pre_1975_Unoccupied_high_insulated_floor_Tight_envelope_HRV_SIP_Single_pane</t>
  </si>
  <si>
    <t>MA_MFH_GSHP_Window_ASHP_Air_ducts_conditioned_uninsulated_NG_DHW</t>
  </si>
  <si>
    <t>MA_MFH_pre_1975_Unoccupied_high_insulated_floor_Tight_envelope_HRV_SIP_Single_pane_storm_windows</t>
  </si>
  <si>
    <t>MA_MFH_GSHP_Window_ASHP_Air_ducts_conditioned_uninsulated_Heating_DHW_combo_NG</t>
  </si>
  <si>
    <t>MA_MFH_pre_1975_Unoccupied_high_insulated_floor_Tight_envelope_HRV_SIP_Double_pane_lowE</t>
  </si>
  <si>
    <t>MA_MFH_GSHP_Window_ASHP_Air_ducts_conditioned_uninsulated_HPWH</t>
  </si>
  <si>
    <t>MA_MFH_pre_1975_Unoccupied_high_insulated_floor_Tight_envelope_HRV_SIP_Triple_pane_lowE</t>
  </si>
  <si>
    <t>MA_MFH_GSHP_Window_ASHP_Hot_water_insulated_Electric_resistance_DHW</t>
  </si>
  <si>
    <t>MA_MFH_pre_1975_Unoccupied_high_insulated_floor_Tight_envelope_HRV_Full_insulated_wall_cavity_Single_pane</t>
  </si>
  <si>
    <t>MA_MFH_GSHP_Window_ASHP_Hot_water_insulated_NG_DHW</t>
  </si>
  <si>
    <t>MA_MFH_pre_1975_Unoccupied_high_insulated_floor_Tight_envelope_HRV_Full_insulated_wall_cavity_Single_pane_storm_windows</t>
  </si>
  <si>
    <t>MA_MFH_GSHP_Window_ASHP_Hot_water_insulated_Heating_DHW_combo_NG</t>
  </si>
  <si>
    <t>MA_MFH_pre_1975_Unoccupied_high_insulated_floor_Tight_envelope_HRV_Full_insulated_wall_cavity_Double_pane_lowE</t>
  </si>
  <si>
    <t>MA_MFH_GSHP_Window_ASHP_Hot_water_insulated_HPWH</t>
  </si>
  <si>
    <t>MA_MFH_pre_1975_Unoccupied_high_insulated_floor_Tight_envelope_HRV_Full_insulated_wall_cavity_Triple_pane_lowE</t>
  </si>
  <si>
    <t>MA_MFH_GSHP_Window_ASHP_Air_ducts_insulated_Electric_resistance_DHW</t>
  </si>
  <si>
    <t>MA_MFH_pre_1975_Unoccupied_high_insulated_floor_Tight_envelope_HRV_Full_insulated_wall_cavity_exterior_Single_pane</t>
  </si>
  <si>
    <t>MA_MFH_GSHP_Window_ASHP_Air_ducts_insulated_NG_DHW</t>
  </si>
  <si>
    <t>MA_MFH_pre_1975_Unoccupied_high_insulated_floor_Tight_envelope_HRV_Full_insulated_wall_cavity_exterior_Single_pane_storm_windows</t>
  </si>
  <si>
    <t>MA_MFH_GSHP_Window_ASHP_Air_ducts_insulated_Heating_DHW_combo_NG</t>
  </si>
  <si>
    <t>MA_MFH_pre_1975_Unoccupied_high_insulated_floor_Tight_envelope_HRV_Full_insulated_wall_cavity_exterior_Double_pane_lowE</t>
  </si>
  <si>
    <t>MA_MFH_GSHP_Window_ASHP_Air_ducts_insulated_HPWH</t>
  </si>
  <si>
    <t>MA_MFH_pre_1975_Unoccupied_high_insulated_floor_Tight_envelope_HRV_Full_insulated_wall_cavity_exterior_Triple_pane_lowE</t>
  </si>
  <si>
    <t>MA_MFH_GSHP_ASHP_Steam_Electric_resistance_DHW</t>
  </si>
  <si>
    <t>MA_MFH_btw_1975_2003_Occupied_uninsulated_Leaky_envelope_Uninsulated_walls_Single_pane</t>
  </si>
  <si>
    <t>MA_MFH_GSHP_ASHP_Steam_NG_DHW</t>
  </si>
  <si>
    <t>MA_MFH_btw_1975_2003_Occupied_uninsulated_Leaky_envelope_Uninsulated_walls_Single_pane_storm_windows</t>
  </si>
  <si>
    <t>MA_MFH_GSHP_ASHP_Steam_Heating_DHW_combo_NG</t>
  </si>
  <si>
    <t>MA_MFH_btw_1975_2003_Occupied_uninsulated_Leaky_envelope_Uninsulated_walls_Double_pane_lowE</t>
  </si>
  <si>
    <t>MA_MFH_GSHP_ASHP_Steam_HPWH</t>
  </si>
  <si>
    <t>MA_MFH_btw_1975_2003_Occupied_uninsulated_Leaky_envelope_Uninsulated_walls_Triple_pane_lowE</t>
  </si>
  <si>
    <t>MA_MFH_GSHP_ASHP_Hot_water_uninsulated_Electric_resistance_DHW</t>
  </si>
  <si>
    <t>MA_MFH_btw_1975_2003_Occupied_uninsulated_Leaky_envelope_Some_wall_insulation_Single_pane</t>
  </si>
  <si>
    <t>MA_MFH_GSHP_ASHP_Hot_water_uninsulated_NG_DHW</t>
  </si>
  <si>
    <t>MA_MFH_btw_1975_2003_Occupied_uninsulated_Leaky_envelope_Some_wall_insulation_Single_pane_storm_windows</t>
  </si>
  <si>
    <t>MA_MFH_GSHP_ASHP_Hot_water_uninsulated_Heating_DHW_combo_NG</t>
  </si>
  <si>
    <t>MA_MFH_btw_1975_2003_Occupied_uninsulated_Leaky_envelope_Some_wall_insulation_Double_pane_lowE</t>
  </si>
  <si>
    <t>MA_MFH_GSHP_ASHP_Hot_water_uninsulated_HPWH</t>
  </si>
  <si>
    <t>MA_MFH_btw_1975_2003_Occupied_uninsulated_Leaky_envelope_Some_wall_insulation_Triple_pane_lowE</t>
  </si>
  <si>
    <t>MA_MFH_GSHP_ASHP_Air_ducts_uninsulated_Electric_resistance_DHW</t>
  </si>
  <si>
    <t>MA_MFH_btw_1975_2003_Occupied_uninsulated_Leaky_envelope_SIP_Single_pane</t>
  </si>
  <si>
    <t>MA_MFH_GSHP_ASHP_Air_ducts_uninsulated_NG_DHW</t>
  </si>
  <si>
    <t>MA_MFH_btw_1975_2003_Occupied_uninsulated_Leaky_envelope_SIP_Single_pane_storm_windows</t>
  </si>
  <si>
    <t>MA_MFH_GSHP_ASHP_Air_ducts_uninsulated_Heating_DHW_combo_NG</t>
  </si>
  <si>
    <t>MA_MFH_btw_1975_2003_Occupied_uninsulated_Leaky_envelope_SIP_Double_pane_lowE</t>
  </si>
  <si>
    <t>MA_MFH_GSHP_ASHP_Air_ducts_uninsulated_HPWH</t>
  </si>
  <si>
    <t>MA_MFH_btw_1975_2003_Occupied_uninsulated_Leaky_envelope_SIP_Triple_pane_lowE</t>
  </si>
  <si>
    <t>MA_MFH_GSHP_ASHP_Air_ducts_conditioned_uninsulated_Electric_resistance_DHW</t>
  </si>
  <si>
    <t>MA_MFH_btw_1975_2003_Occupied_uninsulated_Leaky_envelope_Full_insulated_wall_cavity_Single_pane</t>
  </si>
  <si>
    <t>MA_MFH_GSHP_ASHP_Air_ducts_conditioned_uninsulated_NG_DHW</t>
  </si>
  <si>
    <t>MA_MFH_btw_1975_2003_Occupied_uninsulated_Leaky_envelope_Full_insulated_wall_cavity_Single_pane_storm_windows</t>
  </si>
  <si>
    <t>MA_MFH_GSHP_ASHP_Air_ducts_conditioned_uninsulated_Heating_DHW_combo_NG</t>
  </si>
  <si>
    <t>MA_MFH_btw_1975_2003_Occupied_uninsulated_Leaky_envelope_Full_insulated_wall_cavity_Double_pane_lowE</t>
  </si>
  <si>
    <t>MA_MFH_GSHP_ASHP_Air_ducts_conditioned_uninsulated_HPWH</t>
  </si>
  <si>
    <t>MA_MFH_btw_1975_2003_Occupied_uninsulated_Leaky_envelope_Full_insulated_wall_cavity_Triple_pane_lowE</t>
  </si>
  <si>
    <t>MA_MFH_GSHP_ASHP_Hot_water_insulated_Electric_resistance_DHW</t>
  </si>
  <si>
    <t>MA_MFH_btw_1975_2003_Occupied_uninsulated_Leaky_envelope_Full_insulated_wall_cavity_exterior_Single_pane</t>
  </si>
  <si>
    <t>MA_MFH_GSHP_ASHP_Hot_water_insulated_NG_DHW</t>
  </si>
  <si>
    <t>MA_MFH_btw_1975_2003_Occupied_uninsulated_Leaky_envelope_Full_insulated_wall_cavity_exterior_Single_pane_storm_windows</t>
  </si>
  <si>
    <t>MA_MFH_GSHP_ASHP_Hot_water_insulated_Heating_DHW_combo_NG</t>
  </si>
  <si>
    <t>MA_MFH_btw_1975_2003_Occupied_uninsulated_Leaky_envelope_Full_insulated_wall_cavity_exterior_Double_pane_lowE</t>
  </si>
  <si>
    <t>MA_MFH_GSHP_ASHP_Hot_water_insulated_HPWH</t>
  </si>
  <si>
    <t>MA_MFH_btw_1975_2003_Occupied_uninsulated_Leaky_envelope_Full_insulated_wall_cavity_exterior_Triple_pane_lowE</t>
  </si>
  <si>
    <t>MA_MFH_GSHP_ASHP_Air_ducts_insulated_Electric_resistance_DHW</t>
  </si>
  <si>
    <t>MA_MFH_btw_1975_2003_Occupied_uninsulated_Somewhat_leaky_envelope_Uninsulated_walls_Single_pane</t>
  </si>
  <si>
    <t>MA_MFH_GSHP_ASHP_Air_ducts_insulated_NG_DHW</t>
  </si>
  <si>
    <t>MA_MFH_btw_1975_2003_Occupied_uninsulated_Somewhat_leaky_envelope_Uninsulated_walls_Single_pane_storm_windows</t>
  </si>
  <si>
    <t>MA_MFH_GSHP_ASHP_Air_ducts_insulated_Heating_DHW_combo_NG</t>
  </si>
  <si>
    <t>MA_MFH_btw_1975_2003_Occupied_uninsulated_Somewhat_leaky_envelope_Uninsulated_walls_Double_pane_lowE</t>
  </si>
  <si>
    <t>MA_MFH_GSHP_ASHP_Air_ducts_insulated_HPWH</t>
  </si>
  <si>
    <t>MA_MFH_btw_1975_2003_Occupied_uninsulated_Somewhat_leaky_envelope_Uninsulated_walls_Triple_pane_lowE</t>
  </si>
  <si>
    <t>MA_MFH_GSHP_GSHP_Steam_Electric_resistance_DHW</t>
  </si>
  <si>
    <t>MA_MFH_btw_1975_2003_Occupied_uninsulated_Somewhat_leaky_envelope_Some_wall_insulation_Single_pane</t>
  </si>
  <si>
    <t>MA_MFH_GSHP_GSHP_Steam_NG_DHW</t>
  </si>
  <si>
    <t>MA_MFH_btw_1975_2003_Occupied_uninsulated_Somewhat_leaky_envelope_Some_wall_insulation_Single_pane_storm_windows</t>
  </si>
  <si>
    <t>MA_MFH_GSHP_GSHP_Steam_Heating_DHW_combo_NG</t>
  </si>
  <si>
    <t>MA_MFH_btw_1975_2003_Occupied_uninsulated_Somewhat_leaky_envelope_Some_wall_insulation_Double_pane_lowE</t>
  </si>
  <si>
    <t>MA_MFH_GSHP_GSHP_Steam_HPWH</t>
  </si>
  <si>
    <t>MA_MFH_btw_1975_2003_Occupied_uninsulated_Somewhat_leaky_envelope_Some_wall_insulation_Triple_pane_lowE</t>
  </si>
  <si>
    <t>MA_MFH_GSHP_GSHP_Hot_water_uninsulated_Electric_resistance_DHW</t>
  </si>
  <si>
    <t>MA_MFH_btw_1975_2003_Occupied_uninsulated_Somewhat_leaky_envelope_SIP_Single_pane</t>
  </si>
  <si>
    <t>MA_MFH_GSHP_GSHP_Hot_water_uninsulated_NG_DHW</t>
  </si>
  <si>
    <t>MA_MFH_btw_1975_2003_Occupied_uninsulated_Somewhat_leaky_envelope_SIP_Single_pane_storm_windows</t>
  </si>
  <si>
    <t>MA_MFH_GSHP_GSHP_Hot_water_uninsulated_Heating_DHW_combo_NG</t>
  </si>
  <si>
    <t>MA_MFH_btw_1975_2003_Occupied_uninsulated_Somewhat_leaky_envelope_SIP_Double_pane_lowE</t>
  </si>
  <si>
    <t>MA_MFH_GSHP_GSHP_Hot_water_uninsulated_HPWH</t>
  </si>
  <si>
    <t>MA_MFH_btw_1975_2003_Occupied_uninsulated_Somewhat_leaky_envelope_SIP_Triple_pane_lowE</t>
  </si>
  <si>
    <t>MA_MFH_GSHP_GSHP_Air_ducts_uninsulated_Electric_resistance_DHW</t>
  </si>
  <si>
    <t>MA_MFH_btw_1975_2003_Occupied_uninsulated_Somewhat_leaky_envelope_Full_insulated_wall_cavity_Single_pane</t>
  </si>
  <si>
    <t>MA_MFH_GSHP_GSHP_Air_ducts_uninsulated_NG_DHW</t>
  </si>
  <si>
    <t>MA_MFH_btw_1975_2003_Occupied_uninsulated_Somewhat_leaky_envelope_Full_insulated_wall_cavity_Single_pane_storm_windows</t>
  </si>
  <si>
    <t>MA_MFH_GSHP_GSHP_Air_ducts_uninsulated_Heating_DHW_combo_NG</t>
  </si>
  <si>
    <t>MA_MFH_btw_1975_2003_Occupied_uninsulated_Somewhat_leaky_envelope_Full_insulated_wall_cavity_Double_pane_lowE</t>
  </si>
  <si>
    <t>MA_MFH_GSHP_GSHP_Air_ducts_uninsulated_HPWH</t>
  </si>
  <si>
    <t>MA_MFH_btw_1975_2003_Occupied_uninsulated_Somewhat_leaky_envelope_Full_insulated_wall_cavity_Triple_pane_lowE</t>
  </si>
  <si>
    <t>MA_MFH_GSHP_GSHP_Air_ducts_conditioned_uninsulated_Electric_resistance_DHW</t>
  </si>
  <si>
    <t>MA_MFH_btw_1975_2003_Occupied_uninsulated_Somewhat_leaky_envelope_Full_insulated_wall_cavity_exterior_Single_pane</t>
  </si>
  <si>
    <t>MA_MFH_GSHP_GSHP_Air_ducts_conditioned_uninsulated_NG_DHW</t>
  </si>
  <si>
    <t>MA_MFH_btw_1975_2003_Occupied_uninsulated_Somewhat_leaky_envelope_Full_insulated_wall_cavity_exterior_Single_pane_storm_windows</t>
  </si>
  <si>
    <t>MA_MFH_GSHP_GSHP_Air_ducts_conditioned_uninsulated_Heating_DHW_combo_NG</t>
  </si>
  <si>
    <t>MA_MFH_btw_1975_2003_Occupied_uninsulated_Somewhat_leaky_envelope_Full_insulated_wall_cavity_exterior_Double_pane_lowE</t>
  </si>
  <si>
    <t>MA_MFH_GSHP_GSHP_Air_ducts_conditioned_uninsulated_HPWH</t>
  </si>
  <si>
    <t>MA_MFH_btw_1975_2003_Occupied_uninsulated_Somewhat_leaky_envelope_Full_insulated_wall_cavity_exterior_Triple_pane_lowE</t>
  </si>
  <si>
    <t>MA_MFH_GSHP_GSHP_Hot_water_insulated_Electric_resistance_DHW</t>
  </si>
  <si>
    <t>MA_MFH_btw_1975_2003_Occupied_uninsulated_Tight_envelope_HRV_Uninsulated_walls_Single_pane</t>
  </si>
  <si>
    <t>MA_MFH_GSHP_GSHP_Hot_water_insulated_NG_DHW</t>
  </si>
  <si>
    <t>MA_MFH_btw_1975_2003_Occupied_uninsulated_Tight_envelope_HRV_Uninsulated_walls_Single_pane_storm_windows</t>
  </si>
  <si>
    <t>MA_MFH_GSHP_GSHP_Hot_water_insulated_Heating_DHW_combo_NG</t>
  </si>
  <si>
    <t>MA_MFH_btw_1975_2003_Occupied_uninsulated_Tight_envelope_HRV_Uninsulated_walls_Double_pane_lowE</t>
  </si>
  <si>
    <t>MA_MFH_GSHP_GSHP_Hot_water_insulated_HPWH</t>
  </si>
  <si>
    <t>MA_MFH_btw_1975_2003_Occupied_uninsulated_Tight_envelope_HRV_Uninsulated_walls_Triple_pane_lowE</t>
  </si>
  <si>
    <t>MA_MFH_GSHP_GSHP_Air_ducts_insulated_Electric_resistance_DHW</t>
  </si>
  <si>
    <t>MA_MFH_btw_1975_2003_Occupied_uninsulated_Tight_envelope_HRV_Some_wall_insulation_Single_pane</t>
  </si>
  <si>
    <t>MA_MFH_GSHP_GSHP_Air_ducts_insulated_NG_DHW</t>
  </si>
  <si>
    <t>MA_MFH_btw_1975_2003_Occupied_uninsulated_Tight_envelope_HRV_Some_wall_insulation_Single_pane_storm_windows</t>
  </si>
  <si>
    <t>MA_MFH_GSHP_GSHP_Air_ducts_insulated_Heating_DHW_combo_NG</t>
  </si>
  <si>
    <t>MA_MFH_btw_1975_2003_Occupied_uninsulated_Tight_envelope_HRV_Some_wall_insulation_Double_pane_lowE</t>
  </si>
  <si>
    <t>MA_MFH_GSHP_GSHP_Air_ducts_insulated_HPWH</t>
  </si>
  <si>
    <t>MA_MFH_btw_1975_2003_Occupied_uninsulated_Tight_envelope_HRV_Some_wall_insulation_Triple_pane_lowE</t>
  </si>
  <si>
    <t>MA_MFH_btw_1975_2003_Occupied_uninsulated_Tight_envelope_HRV_SIP_Single_pane</t>
  </si>
  <si>
    <t>MA_MFH_btw_1975_2003_Occupied_uninsulated_Tight_envelope_HRV_SIP_Single_pane_storm_windows</t>
  </si>
  <si>
    <t>MA_MFH_btw_1975_2003_Occupied_uninsulated_Tight_envelope_HRV_SIP_Double_pane_lowE</t>
  </si>
  <si>
    <t>MA_MFH_btw_1975_2003_Occupied_uninsulated_Tight_envelope_HRV_SIP_Triple_pane_lowE</t>
  </si>
  <si>
    <t>MA_MFH_btw_1975_2003_Occupied_uninsulated_Tight_envelope_HRV_Full_insulated_wall_cavity_Single_pane</t>
  </si>
  <si>
    <t>MA_MFH_btw_1975_2003_Occupied_uninsulated_Tight_envelope_HRV_Full_insulated_wall_cavity_Single_pane_storm_windows</t>
  </si>
  <si>
    <t>MA_MFH_btw_1975_2003_Occupied_uninsulated_Tight_envelope_HRV_Full_insulated_wall_cavity_Double_pane_lowE</t>
  </si>
  <si>
    <t>MA_MFH_btw_1975_2003_Occupied_uninsulated_Tight_envelope_HRV_Full_insulated_wall_cavity_Triple_pane_lowE</t>
  </si>
  <si>
    <t>MA_MFH_btw_1975_2003_Occupied_uninsulated_Tight_envelope_HRV_Full_insulated_wall_cavity_exterior_Single_pane</t>
  </si>
  <si>
    <t>MA_MFH_btw_1975_2003_Occupied_uninsulated_Tight_envelope_HRV_Full_insulated_wall_cavity_exterior_Single_pane_storm_windows</t>
  </si>
  <si>
    <t>MA_MFH_btw_1975_2003_Occupied_uninsulated_Tight_envelope_HRV_Full_insulated_wall_cavity_exterior_Double_pane_lowE</t>
  </si>
  <si>
    <t>MA_MFH_btw_1975_2003_Occupied_uninsulated_Tight_envelope_HRV_Full_insulated_wall_cavity_exterior_Triple_pane_lowE</t>
  </si>
  <si>
    <t>MA_MFH_btw_1975_2003_Unoccupied_uninsulated_floor_Leaky_envelope_Uninsulated_walls_Single_pane</t>
  </si>
  <si>
    <t>MA_MFH_btw_1975_2003_Unoccupied_uninsulated_floor_Leaky_envelope_Uninsulated_walls_Single_pane_storm_windows</t>
  </si>
  <si>
    <t>MA_MFH_btw_1975_2003_Unoccupied_uninsulated_floor_Leaky_envelope_Uninsulated_walls_Double_pane_lowE</t>
  </si>
  <si>
    <t>MA_MFH_btw_1975_2003_Unoccupied_uninsulated_floor_Leaky_envelope_Uninsulated_walls_Triple_pane_lowE</t>
  </si>
  <si>
    <t>MA_MFH_btw_1975_2003_Unoccupied_uninsulated_floor_Leaky_envelope_Some_wall_insulation_Single_pane</t>
  </si>
  <si>
    <t>MA_MFH_btw_1975_2003_Unoccupied_uninsulated_floor_Leaky_envelope_Some_wall_insulation_Single_pane_storm_windows</t>
  </si>
  <si>
    <t>MA_MFH_btw_1975_2003_Unoccupied_uninsulated_floor_Leaky_envelope_Some_wall_insulation_Double_pane_lowE</t>
  </si>
  <si>
    <t>MA_MFH_btw_1975_2003_Unoccupied_uninsulated_floor_Leaky_envelope_Some_wall_insulation_Triple_pane_lowE</t>
  </si>
  <si>
    <t>MA_MFH_btw_1975_2003_Unoccupied_uninsulated_floor_Leaky_envelope_SIP_Single_pane</t>
  </si>
  <si>
    <t>MA_MFH_btw_1975_2003_Unoccupied_uninsulated_floor_Leaky_envelope_SIP_Single_pane_storm_windows</t>
  </si>
  <si>
    <t>MA_MFH_btw_1975_2003_Unoccupied_uninsulated_floor_Leaky_envelope_SIP_Double_pane_lowE</t>
  </si>
  <si>
    <t>MA_MFH_btw_1975_2003_Unoccupied_uninsulated_floor_Leaky_envelope_SIP_Triple_pane_lowE</t>
  </si>
  <si>
    <t>MA_MFH_btw_1975_2003_Unoccupied_uninsulated_floor_Leaky_envelope_Full_insulated_wall_cavity_Single_pane</t>
  </si>
  <si>
    <t>MA_MFH_btw_1975_2003_Unoccupied_uninsulated_floor_Leaky_envelope_Full_insulated_wall_cavity_Single_pane_storm_windows</t>
  </si>
  <si>
    <t>MA_MFH_btw_1975_2003_Unoccupied_uninsulated_floor_Leaky_envelope_Full_insulated_wall_cavity_Double_pane_lowE</t>
  </si>
  <si>
    <t>MA_MFH_btw_1975_2003_Unoccupied_uninsulated_floor_Leaky_envelope_Full_insulated_wall_cavity_Triple_pane_lowE</t>
  </si>
  <si>
    <t>MA_MFH_btw_1975_2003_Unoccupied_uninsulated_floor_Leaky_envelope_Full_insulated_wall_cavity_exterior_Single_pane</t>
  </si>
  <si>
    <t>MA_MFH_btw_1975_2003_Unoccupied_uninsulated_floor_Leaky_envelope_Full_insulated_wall_cavity_exterior_Single_pane_storm_windows</t>
  </si>
  <si>
    <t>MA_MFH_btw_1975_2003_Unoccupied_uninsulated_floor_Leaky_envelope_Full_insulated_wall_cavity_exterior_Double_pane_lowE</t>
  </si>
  <si>
    <t>MA_MFH_btw_1975_2003_Unoccupied_uninsulated_floor_Leaky_envelope_Full_insulated_wall_cavity_exterior_Triple_pane_lowE</t>
  </si>
  <si>
    <t>MA_MFH_btw_1975_2003_Unoccupied_uninsulated_floor_Somewhat_leaky_envelope_Uninsulated_walls_Single_pane</t>
  </si>
  <si>
    <t>MA_MFH_btw_1975_2003_Unoccupied_uninsulated_floor_Somewhat_leaky_envelope_Uninsulated_walls_Single_pane_storm_windows</t>
  </si>
  <si>
    <t>MA_MFH_btw_1975_2003_Unoccupied_uninsulated_floor_Somewhat_leaky_envelope_Uninsulated_walls_Double_pane_lowE</t>
  </si>
  <si>
    <t>MA_MFH_btw_1975_2003_Unoccupied_uninsulated_floor_Somewhat_leaky_envelope_Uninsulated_walls_Triple_pane_lowE</t>
  </si>
  <si>
    <t>MA_MFH_btw_1975_2003_Unoccupied_uninsulated_floor_Somewhat_leaky_envelope_Some_wall_insulation_Single_pane</t>
  </si>
  <si>
    <t>MA_MFH_btw_1975_2003_Unoccupied_uninsulated_floor_Somewhat_leaky_envelope_Some_wall_insulation_Single_pane_storm_windows</t>
  </si>
  <si>
    <t>MA_MFH_btw_1975_2003_Unoccupied_uninsulated_floor_Somewhat_leaky_envelope_Some_wall_insulation_Double_pane_lowE</t>
  </si>
  <si>
    <t>MA_MFH_btw_1975_2003_Unoccupied_uninsulated_floor_Somewhat_leaky_envelope_Some_wall_insulation_Triple_pane_lowE</t>
  </si>
  <si>
    <t>MA_MFH_btw_1975_2003_Unoccupied_uninsulated_floor_Somewhat_leaky_envelope_SIP_Single_pane</t>
  </si>
  <si>
    <t>MA_MFH_btw_1975_2003_Unoccupied_uninsulated_floor_Somewhat_leaky_envelope_SIP_Single_pane_storm_windows</t>
  </si>
  <si>
    <t>MA_MFH_btw_1975_2003_Unoccupied_uninsulated_floor_Somewhat_leaky_envelope_SIP_Double_pane_lowE</t>
  </si>
  <si>
    <t>MA_MFH_btw_1975_2003_Unoccupied_uninsulated_floor_Somewhat_leaky_envelope_SIP_Triple_pane_lowE</t>
  </si>
  <si>
    <t>MA_MFH_btw_1975_2003_Unoccupied_uninsulated_floor_Somewhat_leaky_envelope_Full_insulated_wall_cavity_Single_pane</t>
  </si>
  <si>
    <t>MA_MFH_btw_1975_2003_Unoccupied_uninsulated_floor_Somewhat_leaky_envelope_Full_insulated_wall_cavity_Single_pane_storm_windows</t>
  </si>
  <si>
    <t>MA_MFH_btw_1975_2003_Unoccupied_uninsulated_floor_Somewhat_leaky_envelope_Full_insulated_wall_cavity_Double_pane_lowE</t>
  </si>
  <si>
    <t>MA_MFH_btw_1975_2003_Unoccupied_uninsulated_floor_Somewhat_leaky_envelope_Full_insulated_wall_cavity_Triple_pane_lowE</t>
  </si>
  <si>
    <t>MA_MFH_btw_1975_2003_Unoccupied_uninsulated_floor_Somewhat_leaky_envelope_Full_insulated_wall_cavity_exterior_Single_pane</t>
  </si>
  <si>
    <t>MA_MFH_btw_1975_2003_Unoccupied_uninsulated_floor_Somewhat_leaky_envelope_Full_insulated_wall_cavity_exterior_Single_pane_storm_windows</t>
  </si>
  <si>
    <t>MA_MFH_btw_1975_2003_Unoccupied_uninsulated_floor_Somewhat_leaky_envelope_Full_insulated_wall_cavity_exterior_Double_pane_lowE</t>
  </si>
  <si>
    <t>MA_MFH_btw_1975_2003_Unoccupied_uninsulated_floor_Somewhat_leaky_envelope_Full_insulated_wall_cavity_exterior_Triple_pane_lowE</t>
  </si>
  <si>
    <t>MA_MFH_btw_1975_2003_Unoccupied_uninsulated_floor_Tight_envelope_HRV_Uninsulated_walls_Single_pane</t>
  </si>
  <si>
    <t>MA_MFH_btw_1975_2003_Unoccupied_uninsulated_floor_Tight_envelope_HRV_Uninsulated_walls_Single_pane_storm_windows</t>
  </si>
  <si>
    <t>MA_MFH_btw_1975_2003_Unoccupied_uninsulated_floor_Tight_envelope_HRV_Uninsulated_walls_Double_pane_lowE</t>
  </si>
  <si>
    <t>MA_MFH_btw_1975_2003_Unoccupied_uninsulated_floor_Tight_envelope_HRV_Uninsulated_walls_Triple_pane_lowE</t>
  </si>
  <si>
    <t>MA_MFH_btw_1975_2003_Unoccupied_uninsulated_floor_Tight_envelope_HRV_Some_wall_insulation_Single_pane</t>
  </si>
  <si>
    <t>MA_MFH_btw_1975_2003_Unoccupied_uninsulated_floor_Tight_envelope_HRV_Some_wall_insulation_Single_pane_storm_windows</t>
  </si>
  <si>
    <t>MA_MFH_btw_1975_2003_Unoccupied_uninsulated_floor_Tight_envelope_HRV_Some_wall_insulation_Double_pane_lowE</t>
  </si>
  <si>
    <t>MA_MFH_btw_1975_2003_Unoccupied_uninsulated_floor_Tight_envelope_HRV_Some_wall_insulation_Triple_pane_lowE</t>
  </si>
  <si>
    <t>MA_MFH_btw_1975_2003_Unoccupied_uninsulated_floor_Tight_envelope_HRV_SIP_Single_pane</t>
  </si>
  <si>
    <t>MA_MFH_btw_1975_2003_Unoccupied_uninsulated_floor_Tight_envelope_HRV_SIP_Single_pane_storm_windows</t>
  </si>
  <si>
    <t>MA_MFH_btw_1975_2003_Unoccupied_uninsulated_floor_Tight_envelope_HRV_SIP_Double_pane_lowE</t>
  </si>
  <si>
    <t>MA_MFH_btw_1975_2003_Unoccupied_uninsulated_floor_Tight_envelope_HRV_SIP_Triple_pane_lowE</t>
  </si>
  <si>
    <t>MA_MFH_btw_1975_2003_Unoccupied_uninsulated_floor_Tight_envelope_HRV_Full_insulated_wall_cavity_Single_pane</t>
  </si>
  <si>
    <t>MA_MFH_btw_1975_2003_Unoccupied_uninsulated_floor_Tight_envelope_HRV_Full_insulated_wall_cavity_Single_pane_storm_windows</t>
  </si>
  <si>
    <t>MA_MFH_btw_1975_2003_Unoccupied_uninsulated_floor_Tight_envelope_HRV_Full_insulated_wall_cavity_Double_pane_lowE</t>
  </si>
  <si>
    <t>MA_MFH_btw_1975_2003_Unoccupied_uninsulated_floor_Tight_envelope_HRV_Full_insulated_wall_cavity_Triple_pane_lowE</t>
  </si>
  <si>
    <t>MA_MFH_btw_1975_2003_Unoccupied_uninsulated_floor_Tight_envelope_HRV_Full_insulated_wall_cavity_exterior_Single_pane</t>
  </si>
  <si>
    <t>MA_MFH_btw_1975_2003_Unoccupied_uninsulated_floor_Tight_envelope_HRV_Full_insulated_wall_cavity_exterior_Single_pane_storm_windows</t>
  </si>
  <si>
    <t>MA_MFH_btw_1975_2003_Unoccupied_uninsulated_floor_Tight_envelope_HRV_Full_insulated_wall_cavity_exterior_Double_pane_lowE</t>
  </si>
  <si>
    <t>MA_MFH_btw_1975_2003_Unoccupied_uninsulated_floor_Tight_envelope_HRV_Full_insulated_wall_cavity_exterior_Triple_pane_lowE</t>
  </si>
  <si>
    <t>MA_MFH_btw_1975_2003_Unoccupied_insulated_floor_Leaky_envelope_Uninsulated_walls_Single_pane</t>
  </si>
  <si>
    <t>MA_MFH_btw_1975_2003_Unoccupied_insulated_floor_Leaky_envelope_Uninsulated_walls_Single_pane_storm_windows</t>
  </si>
  <si>
    <t>MA_MFH_btw_1975_2003_Unoccupied_insulated_floor_Leaky_envelope_Uninsulated_walls_Double_pane_lowE</t>
  </si>
  <si>
    <t>MA_MFH_btw_1975_2003_Unoccupied_insulated_floor_Leaky_envelope_Uninsulated_walls_Triple_pane_lowE</t>
  </si>
  <si>
    <t>MA_MFH_btw_1975_2003_Unoccupied_insulated_floor_Leaky_envelope_Some_wall_insulation_Single_pane</t>
  </si>
  <si>
    <t>MA_MFH_btw_1975_2003_Unoccupied_insulated_floor_Leaky_envelope_Some_wall_insulation_Single_pane_storm_windows</t>
  </si>
  <si>
    <t>MA_MFH_btw_1975_2003_Unoccupied_insulated_floor_Leaky_envelope_Some_wall_insulation_Double_pane_lowE</t>
  </si>
  <si>
    <t>MA_MFH_btw_1975_2003_Unoccupied_insulated_floor_Leaky_envelope_Some_wall_insulation_Triple_pane_lowE</t>
  </si>
  <si>
    <t>MA_MFH_btw_1975_2003_Unoccupied_insulated_floor_Leaky_envelope_SIP_Single_pane</t>
  </si>
  <si>
    <t>MA_MFH_btw_1975_2003_Unoccupied_insulated_floor_Leaky_envelope_SIP_Single_pane_storm_windows</t>
  </si>
  <si>
    <t>MA_MFH_btw_1975_2003_Unoccupied_insulated_floor_Leaky_envelope_SIP_Double_pane_lowE</t>
  </si>
  <si>
    <t>MA_MFH_btw_1975_2003_Unoccupied_insulated_floor_Leaky_envelope_SIP_Triple_pane_lowE</t>
  </si>
  <si>
    <t>MA_MFH_btw_1975_2003_Unoccupied_insulated_floor_Leaky_envelope_Full_insulated_wall_cavity_Single_pane</t>
  </si>
  <si>
    <t>MA_MFH_btw_1975_2003_Unoccupied_insulated_floor_Leaky_envelope_Full_insulated_wall_cavity_Single_pane_storm_windows</t>
  </si>
  <si>
    <t>MA_MFH_btw_1975_2003_Unoccupied_insulated_floor_Leaky_envelope_Full_insulated_wall_cavity_Double_pane_lowE</t>
  </si>
  <si>
    <t>MA_MFH_btw_1975_2003_Unoccupied_insulated_floor_Leaky_envelope_Full_insulated_wall_cavity_Triple_pane_lowE</t>
  </si>
  <si>
    <t>MA_MFH_btw_1975_2003_Unoccupied_insulated_floor_Leaky_envelope_Full_insulated_wall_cavity_exterior_Single_pane</t>
  </si>
  <si>
    <t>MA_MFH_btw_1975_2003_Unoccupied_insulated_floor_Leaky_envelope_Full_insulated_wall_cavity_exterior_Single_pane_storm_windows</t>
  </si>
  <si>
    <t>MA_MFH_btw_1975_2003_Unoccupied_insulated_floor_Leaky_envelope_Full_insulated_wall_cavity_exterior_Double_pane_lowE</t>
  </si>
  <si>
    <t>MA_MFH_btw_1975_2003_Unoccupied_insulated_floor_Leaky_envelope_Full_insulated_wall_cavity_exterior_Triple_pane_lowE</t>
  </si>
  <si>
    <t>MA_MFH_btw_1975_2003_Unoccupied_insulated_floor_Somewhat_leaky_envelope_Uninsulated_walls_Single_pane</t>
  </si>
  <si>
    <t>MA_MFH_btw_1975_2003_Unoccupied_insulated_floor_Somewhat_leaky_envelope_Uninsulated_walls_Single_pane_storm_windows</t>
  </si>
  <si>
    <t>MA_MFH_btw_1975_2003_Unoccupied_insulated_floor_Somewhat_leaky_envelope_Uninsulated_walls_Double_pane_lowE</t>
  </si>
  <si>
    <t>MA_MFH_btw_1975_2003_Unoccupied_insulated_floor_Somewhat_leaky_envelope_Uninsulated_walls_Triple_pane_lowE</t>
  </si>
  <si>
    <t>MA_MFH_btw_1975_2003_Unoccupied_insulated_floor_Somewhat_leaky_envelope_Some_wall_insulation_Single_pane</t>
  </si>
  <si>
    <t>MA_MFH_btw_1975_2003_Unoccupied_insulated_floor_Somewhat_leaky_envelope_Some_wall_insulation_Single_pane_storm_windows</t>
  </si>
  <si>
    <t>MA_MFH_btw_1975_2003_Unoccupied_insulated_floor_Somewhat_leaky_envelope_Some_wall_insulation_Double_pane_lowE</t>
  </si>
  <si>
    <t>MA_MFH_btw_1975_2003_Unoccupied_insulated_floor_Somewhat_leaky_envelope_Some_wall_insulation_Triple_pane_lowE</t>
  </si>
  <si>
    <t>MA_MFH_btw_1975_2003_Unoccupied_insulated_floor_Somewhat_leaky_envelope_SIP_Single_pane</t>
  </si>
  <si>
    <t>MA_MFH_btw_1975_2003_Unoccupied_insulated_floor_Somewhat_leaky_envelope_SIP_Single_pane_storm_windows</t>
  </si>
  <si>
    <t>MA_MFH_btw_1975_2003_Unoccupied_insulated_floor_Somewhat_leaky_envelope_SIP_Double_pane_lowE</t>
  </si>
  <si>
    <t>MA_MFH_btw_1975_2003_Unoccupied_insulated_floor_Somewhat_leaky_envelope_SIP_Triple_pane_lowE</t>
  </si>
  <si>
    <t>MA_MFH_btw_1975_2003_Unoccupied_insulated_floor_Somewhat_leaky_envelope_Full_insulated_wall_cavity_Single_pane</t>
  </si>
  <si>
    <t>MA_MFH_btw_1975_2003_Unoccupied_insulated_floor_Somewhat_leaky_envelope_Full_insulated_wall_cavity_Single_pane_storm_windows</t>
  </si>
  <si>
    <t>MA_MFH_btw_1975_2003_Unoccupied_insulated_floor_Somewhat_leaky_envelope_Full_insulated_wall_cavity_Double_pane_lowE</t>
  </si>
  <si>
    <t>MA_MFH_btw_1975_2003_Unoccupied_insulated_floor_Somewhat_leaky_envelope_Full_insulated_wall_cavity_Triple_pane_lowE</t>
  </si>
  <si>
    <t>MA_MFH_btw_1975_2003_Unoccupied_insulated_floor_Somewhat_leaky_envelope_Full_insulated_wall_cavity_exterior_Single_pane</t>
  </si>
  <si>
    <t>MA_MFH_btw_1975_2003_Unoccupied_insulated_floor_Somewhat_leaky_envelope_Full_insulated_wall_cavity_exterior_Single_pane_storm_windows</t>
  </si>
  <si>
    <t>MA_MFH_btw_1975_2003_Unoccupied_insulated_floor_Somewhat_leaky_envelope_Full_insulated_wall_cavity_exterior_Double_pane_lowE</t>
  </si>
  <si>
    <t>MA_MFH_btw_1975_2003_Unoccupied_insulated_floor_Somewhat_leaky_envelope_Full_insulated_wall_cavity_exterior_Triple_pane_lowE</t>
  </si>
  <si>
    <t>MA_MFH_btw_1975_2003_Unoccupied_insulated_floor_Tight_envelope_HRV_Uninsulated_walls_Single_pane</t>
  </si>
  <si>
    <t>MA_MFH_btw_1975_2003_Unoccupied_insulated_floor_Tight_envelope_HRV_Uninsulated_walls_Single_pane_storm_windows</t>
  </si>
  <si>
    <t>MA_MFH_btw_1975_2003_Unoccupied_insulated_floor_Tight_envelope_HRV_Uninsulated_walls_Double_pane_lowE</t>
  </si>
  <si>
    <t>MA_MFH_btw_1975_2003_Unoccupied_insulated_floor_Tight_envelope_HRV_Uninsulated_walls_Triple_pane_lowE</t>
  </si>
  <si>
    <t>MA_MFH_btw_1975_2003_Unoccupied_insulated_floor_Tight_envelope_HRV_Some_wall_insulation_Single_pane</t>
  </si>
  <si>
    <t>MA_MFH_btw_1975_2003_Unoccupied_insulated_floor_Tight_envelope_HRV_Some_wall_insulation_Single_pane_storm_windows</t>
  </si>
  <si>
    <t>MA_MFH_btw_1975_2003_Unoccupied_insulated_floor_Tight_envelope_HRV_Some_wall_insulation_Double_pane_lowE</t>
  </si>
  <si>
    <t>MA_MFH_btw_1975_2003_Unoccupied_insulated_floor_Tight_envelope_HRV_Some_wall_insulation_Triple_pane_lowE</t>
  </si>
  <si>
    <t>MA_MFH_btw_1975_2003_Unoccupied_insulated_floor_Tight_envelope_HRV_SIP_Single_pane</t>
  </si>
  <si>
    <t>MA_MFH_btw_1975_2003_Unoccupied_insulated_floor_Tight_envelope_HRV_SIP_Single_pane_storm_windows</t>
  </si>
  <si>
    <t>MA_MFH_btw_1975_2003_Unoccupied_insulated_floor_Tight_envelope_HRV_SIP_Double_pane_lowE</t>
  </si>
  <si>
    <t>MA_MFH_btw_1975_2003_Unoccupied_insulated_floor_Tight_envelope_HRV_SIP_Triple_pane_lowE</t>
  </si>
  <si>
    <t>MA_MFH_btw_1975_2003_Unoccupied_insulated_floor_Tight_envelope_HRV_Full_insulated_wall_cavity_Single_pane</t>
  </si>
  <si>
    <t>MA_MFH_btw_1975_2003_Unoccupied_insulated_floor_Tight_envelope_HRV_Full_insulated_wall_cavity_Single_pane_storm_windows</t>
  </si>
  <si>
    <t>MA_MFH_btw_1975_2003_Unoccupied_insulated_floor_Tight_envelope_HRV_Full_insulated_wall_cavity_Double_pane_lowE</t>
  </si>
  <si>
    <t>MA_MFH_btw_1975_2003_Unoccupied_insulated_floor_Tight_envelope_HRV_Full_insulated_wall_cavity_Triple_pane_lowE</t>
  </si>
  <si>
    <t>MA_MFH_btw_1975_2003_Unoccupied_insulated_floor_Tight_envelope_HRV_Full_insulated_wall_cavity_exterior_Single_pane</t>
  </si>
  <si>
    <t>MA_MFH_btw_1975_2003_Unoccupied_insulated_floor_Tight_envelope_HRV_Full_insulated_wall_cavity_exterior_Single_pane_storm_windows</t>
  </si>
  <si>
    <t>MA_MFH_btw_1975_2003_Unoccupied_insulated_floor_Tight_envelope_HRV_Full_insulated_wall_cavity_exterior_Double_pane_lowE</t>
  </si>
  <si>
    <t>MA_MFH_btw_1975_2003_Unoccupied_insulated_floor_Tight_envelope_HRV_Full_insulated_wall_cavity_exterior_Triple_pane_lowE</t>
  </si>
  <si>
    <t>MA_MFH_btw_1975_2003_Limited_insulation_roof_Leaky_envelope_Uninsulated_walls_Single_pane</t>
  </si>
  <si>
    <t>MA_MFH_btw_1975_2003_Limited_insulation_roof_Leaky_envelope_Uninsulated_walls_Single_pane_storm_windows</t>
  </si>
  <si>
    <t>MA_MFH_btw_1975_2003_Limited_insulation_roof_Leaky_envelope_Uninsulated_walls_Double_pane_lowE</t>
  </si>
  <si>
    <t>MA_MFH_btw_1975_2003_Limited_insulation_roof_Leaky_envelope_Uninsulated_walls_Triple_pane_lowE</t>
  </si>
  <si>
    <t>MA_MFH_btw_1975_2003_Limited_insulation_roof_Leaky_envelope_Some_wall_insulation_Single_pane</t>
  </si>
  <si>
    <t>MA_MFH_btw_1975_2003_Limited_insulation_roof_Leaky_envelope_Some_wall_insulation_Single_pane_storm_windows</t>
  </si>
  <si>
    <t>MA_MFH_btw_1975_2003_Limited_insulation_roof_Leaky_envelope_Some_wall_insulation_Double_pane_lowE</t>
  </si>
  <si>
    <t>MA_MFH_btw_1975_2003_Limited_insulation_roof_Leaky_envelope_Some_wall_insulation_Triple_pane_lowE</t>
  </si>
  <si>
    <t>MA_MFH_btw_1975_2003_Limited_insulation_roof_Leaky_envelope_SIP_Single_pane</t>
  </si>
  <si>
    <t>MA_MFH_btw_1975_2003_Limited_insulation_roof_Leaky_envelope_SIP_Single_pane_storm_windows</t>
  </si>
  <si>
    <t>MA_MFH_btw_1975_2003_Limited_insulation_roof_Leaky_envelope_SIP_Double_pane_lowE</t>
  </si>
  <si>
    <t>MA_MFH_btw_1975_2003_Limited_insulation_roof_Leaky_envelope_SIP_Triple_pane_lowE</t>
  </si>
  <si>
    <t>MA_MFH_btw_1975_2003_Limited_insulation_roof_Leaky_envelope_Full_insulated_wall_cavity_Single_pane</t>
  </si>
  <si>
    <t>MA_MFH_btw_1975_2003_Limited_insulation_roof_Leaky_envelope_Full_insulated_wall_cavity_Single_pane_storm_windows</t>
  </si>
  <si>
    <t>MA_MFH_btw_1975_2003_Limited_insulation_roof_Leaky_envelope_Full_insulated_wall_cavity_Double_pane_lowE</t>
  </si>
  <si>
    <t>MA_MFH_btw_1975_2003_Limited_insulation_roof_Leaky_envelope_Full_insulated_wall_cavity_Triple_pane_lowE</t>
  </si>
  <si>
    <t>MA_MFH_btw_1975_2003_Limited_insulation_roof_Leaky_envelope_Full_insulated_wall_cavity_exterior_Single_pane</t>
  </si>
  <si>
    <t>MA_MFH_btw_1975_2003_Limited_insulation_roof_Leaky_envelope_Full_insulated_wall_cavity_exterior_Single_pane_storm_windows</t>
  </si>
  <si>
    <t>MA_MFH_btw_1975_2003_Limited_insulation_roof_Leaky_envelope_Full_insulated_wall_cavity_exterior_Double_pane_lowE</t>
  </si>
  <si>
    <t>MA_MFH_btw_1975_2003_Limited_insulation_roof_Leaky_envelope_Full_insulated_wall_cavity_exterior_Triple_pane_lowE</t>
  </si>
  <si>
    <t>MA_MFH_btw_1975_2003_Limited_insulation_roof_Somewhat_leaky_envelope_Uninsulated_walls_Single_pane</t>
  </si>
  <si>
    <t>MA_MFH_btw_1975_2003_Limited_insulation_roof_Somewhat_leaky_envelope_Uninsulated_walls_Single_pane_storm_windows</t>
  </si>
  <si>
    <t>MA_MFH_btw_1975_2003_Limited_insulation_roof_Somewhat_leaky_envelope_Uninsulated_walls_Double_pane_lowE</t>
  </si>
  <si>
    <t>MA_MFH_btw_1975_2003_Limited_insulation_roof_Somewhat_leaky_envelope_Uninsulated_walls_Triple_pane_lowE</t>
  </si>
  <si>
    <t>MA_MFH_btw_1975_2003_Limited_insulation_roof_Somewhat_leaky_envelope_Some_wall_insulation_Single_pane</t>
  </si>
  <si>
    <t>MA_MFH_btw_1975_2003_Limited_insulation_roof_Somewhat_leaky_envelope_Some_wall_insulation_Single_pane_storm_windows</t>
  </si>
  <si>
    <t>MA_MFH_btw_1975_2003_Limited_insulation_roof_Somewhat_leaky_envelope_Some_wall_insulation_Double_pane_lowE</t>
  </si>
  <si>
    <t>MA_MFH_btw_1975_2003_Limited_insulation_roof_Somewhat_leaky_envelope_Some_wall_insulation_Triple_pane_lowE</t>
  </si>
  <si>
    <t>MA_MFH_btw_1975_2003_Limited_insulation_roof_Somewhat_leaky_envelope_SIP_Single_pane</t>
  </si>
  <si>
    <t>MA_MFH_btw_1975_2003_Limited_insulation_roof_Somewhat_leaky_envelope_SIP_Single_pane_storm_windows</t>
  </si>
  <si>
    <t>MA_MFH_btw_1975_2003_Limited_insulation_roof_Somewhat_leaky_envelope_SIP_Double_pane_lowE</t>
  </si>
  <si>
    <t>MA_MFH_btw_1975_2003_Limited_insulation_roof_Somewhat_leaky_envelope_SIP_Triple_pane_lowE</t>
  </si>
  <si>
    <t>MA_MFH_btw_1975_2003_Limited_insulation_roof_Somewhat_leaky_envelope_Full_insulated_wall_cavity_Single_pane</t>
  </si>
  <si>
    <t>MA_MFH_btw_1975_2003_Limited_insulation_roof_Somewhat_leaky_envelope_Full_insulated_wall_cavity_Single_pane_storm_windows</t>
  </si>
  <si>
    <t>MA_MFH_btw_1975_2003_Limited_insulation_roof_Somewhat_leaky_envelope_Full_insulated_wall_cavity_Double_pane_lowE</t>
  </si>
  <si>
    <t>MA_MFH_btw_1975_2003_Limited_insulation_roof_Somewhat_leaky_envelope_Full_insulated_wall_cavity_Triple_pane_lowE</t>
  </si>
  <si>
    <t>MA_MFH_btw_1975_2003_Limited_insulation_roof_Somewhat_leaky_envelope_Full_insulated_wall_cavity_exterior_Single_pane</t>
  </si>
  <si>
    <t>MA_MFH_btw_1975_2003_Limited_insulation_roof_Somewhat_leaky_envelope_Full_insulated_wall_cavity_exterior_Single_pane_storm_windows</t>
  </si>
  <si>
    <t>MA_MFH_btw_1975_2003_Limited_insulation_roof_Somewhat_leaky_envelope_Full_insulated_wall_cavity_exterior_Double_pane_lowE</t>
  </si>
  <si>
    <t>MA_MFH_btw_1975_2003_Limited_insulation_roof_Somewhat_leaky_envelope_Full_insulated_wall_cavity_exterior_Triple_pane_lowE</t>
  </si>
  <si>
    <t>MA_MFH_btw_1975_2003_Limited_insulation_roof_Tight_envelope_HRV_Uninsulated_walls_Single_pane</t>
  </si>
  <si>
    <t>MA_MFH_btw_1975_2003_Limited_insulation_roof_Tight_envelope_HRV_Uninsulated_walls_Single_pane_storm_windows</t>
  </si>
  <si>
    <t>MA_MFH_btw_1975_2003_Limited_insulation_roof_Tight_envelope_HRV_Uninsulated_walls_Double_pane_lowE</t>
  </si>
  <si>
    <t>MA_MFH_btw_1975_2003_Limited_insulation_roof_Tight_envelope_HRV_Uninsulated_walls_Triple_pane_lowE</t>
  </si>
  <si>
    <t>MA_MFH_btw_1975_2003_Limited_insulation_roof_Tight_envelope_HRV_Some_wall_insulation_Single_pane</t>
  </si>
  <si>
    <t>MA_MFH_btw_1975_2003_Limited_insulation_roof_Tight_envelope_HRV_Some_wall_insulation_Single_pane_storm_windows</t>
  </si>
  <si>
    <t>MA_MFH_btw_1975_2003_Limited_insulation_roof_Tight_envelope_HRV_Some_wall_insulation_Double_pane_lowE</t>
  </si>
  <si>
    <t>MA_MFH_btw_1975_2003_Limited_insulation_roof_Tight_envelope_HRV_Some_wall_insulation_Triple_pane_lowE</t>
  </si>
  <si>
    <t>MA_MFH_btw_1975_2003_Limited_insulation_roof_Tight_envelope_HRV_SIP_Single_pane</t>
  </si>
  <si>
    <t>MA_MFH_btw_1975_2003_Limited_insulation_roof_Tight_envelope_HRV_SIP_Single_pane_storm_windows</t>
  </si>
  <si>
    <t>MA_MFH_btw_1975_2003_Limited_insulation_roof_Tight_envelope_HRV_SIP_Double_pane_lowE</t>
  </si>
  <si>
    <t>MA_MFH_btw_1975_2003_Limited_insulation_roof_Tight_envelope_HRV_SIP_Triple_pane_lowE</t>
  </si>
  <si>
    <t>MA_MFH_btw_1975_2003_Limited_insulation_roof_Tight_envelope_HRV_Full_insulated_wall_cavity_Single_pane</t>
  </si>
  <si>
    <t>MA_MFH_btw_1975_2003_Limited_insulation_roof_Tight_envelope_HRV_Full_insulated_wall_cavity_Single_pane_storm_windows</t>
  </si>
  <si>
    <t>MA_MFH_btw_1975_2003_Limited_insulation_roof_Tight_envelope_HRV_Full_insulated_wall_cavity_Double_pane_lowE</t>
  </si>
  <si>
    <t>MA_MFH_btw_1975_2003_Limited_insulation_roof_Tight_envelope_HRV_Full_insulated_wall_cavity_Triple_pane_lowE</t>
  </si>
  <si>
    <t>MA_MFH_btw_1975_2003_Limited_insulation_roof_Tight_envelope_HRV_Full_insulated_wall_cavity_exterior_Single_pane</t>
  </si>
  <si>
    <t>MA_MFH_btw_1975_2003_Limited_insulation_roof_Tight_envelope_HRV_Full_insulated_wall_cavity_exterior_Single_pane_storm_windows</t>
  </si>
  <si>
    <t>MA_MFH_btw_1975_2003_Limited_insulation_roof_Tight_envelope_HRV_Full_insulated_wall_cavity_exterior_Double_pane_lowE</t>
  </si>
  <si>
    <t>MA_MFH_btw_1975_2003_Limited_insulation_roof_Tight_envelope_HRV_Full_insulated_wall_cavity_exterior_Triple_pane_lowE</t>
  </si>
  <si>
    <t>MA_MFH_btw_1975_2003_Insulation_roof_Leaky_envelope_Uninsulated_walls_Single_pane</t>
  </si>
  <si>
    <t>MA_MFH_btw_1975_2003_Insulation_roof_Leaky_envelope_Uninsulated_walls_Single_pane_storm_windows</t>
  </si>
  <si>
    <t>MA_MFH_btw_1975_2003_Insulation_roof_Leaky_envelope_Uninsulated_walls_Double_pane_lowE</t>
  </si>
  <si>
    <t>MA_MFH_btw_1975_2003_Insulation_roof_Leaky_envelope_Uninsulated_walls_Triple_pane_lowE</t>
  </si>
  <si>
    <t>MA_MFH_btw_1975_2003_Insulation_roof_Leaky_envelope_Some_wall_insulation_Single_pane</t>
  </si>
  <si>
    <t>MA_MFH_btw_1975_2003_Insulation_roof_Leaky_envelope_Some_wall_insulation_Single_pane_storm_windows</t>
  </si>
  <si>
    <t>MA_MFH_btw_1975_2003_Insulation_roof_Leaky_envelope_Some_wall_insulation_Double_pane_lowE</t>
  </si>
  <si>
    <t>MA_MFH_btw_1975_2003_Insulation_roof_Leaky_envelope_Some_wall_insulation_Triple_pane_lowE</t>
  </si>
  <si>
    <t>MA_MFH_btw_1975_2003_Insulation_roof_Leaky_envelope_SIP_Single_pane</t>
  </si>
  <si>
    <t>MA_MFH_btw_1975_2003_Insulation_roof_Leaky_envelope_SIP_Single_pane_storm_windows</t>
  </si>
  <si>
    <t>MA_MFH_btw_1975_2003_Insulation_roof_Leaky_envelope_SIP_Double_pane_lowE</t>
  </si>
  <si>
    <t>MA_MFH_btw_1975_2003_Insulation_roof_Leaky_envelope_SIP_Triple_pane_lowE</t>
  </si>
  <si>
    <t>MA_MFH_btw_1975_2003_Insulation_roof_Leaky_envelope_Full_insulated_wall_cavity_Single_pane</t>
  </si>
  <si>
    <t>MA_MFH_btw_1975_2003_Insulation_roof_Leaky_envelope_Full_insulated_wall_cavity_Single_pane_storm_windows</t>
  </si>
  <si>
    <t>MA_MFH_btw_1975_2003_Insulation_roof_Leaky_envelope_Full_insulated_wall_cavity_Double_pane_lowE</t>
  </si>
  <si>
    <t>MA_MFH_btw_1975_2003_Insulation_roof_Leaky_envelope_Full_insulated_wall_cavity_Triple_pane_lowE</t>
  </si>
  <si>
    <t>MA_MFH_btw_1975_2003_Insulation_roof_Leaky_envelope_Full_insulated_wall_cavity_exterior_Single_pane</t>
  </si>
  <si>
    <t>MA_MFH_btw_1975_2003_Insulation_roof_Leaky_envelope_Full_insulated_wall_cavity_exterior_Single_pane_storm_windows</t>
  </si>
  <si>
    <t>MA_MFH_btw_1975_2003_Insulation_roof_Leaky_envelope_Full_insulated_wall_cavity_exterior_Double_pane_lowE</t>
  </si>
  <si>
    <t>MA_MFH_btw_1975_2003_Insulation_roof_Leaky_envelope_Full_insulated_wall_cavity_exterior_Triple_pane_lowE</t>
  </si>
  <si>
    <t>MA_MFH_btw_1975_2003_Insulation_roof_Somewhat_leaky_envelope_Uninsulated_walls_Single_pane</t>
  </si>
  <si>
    <t>MA_MFH_btw_1975_2003_Insulation_roof_Somewhat_leaky_envelope_Uninsulated_walls_Single_pane_storm_windows</t>
  </si>
  <si>
    <t>MA_MFH_btw_1975_2003_Insulation_roof_Somewhat_leaky_envelope_Uninsulated_walls_Double_pane_lowE</t>
  </si>
  <si>
    <t>MA_MFH_btw_1975_2003_Insulation_roof_Somewhat_leaky_envelope_Uninsulated_walls_Triple_pane_lowE</t>
  </si>
  <si>
    <t>MA_MFH_btw_1975_2003_Insulation_roof_Somewhat_leaky_envelope_Some_wall_insulation_Single_pane</t>
  </si>
  <si>
    <t>MA_MFH_btw_1975_2003_Insulation_roof_Somewhat_leaky_envelope_Some_wall_insulation_Single_pane_storm_windows</t>
  </si>
  <si>
    <t>MA_MFH_btw_1975_2003_Insulation_roof_Somewhat_leaky_envelope_Some_wall_insulation_Double_pane_lowE</t>
  </si>
  <si>
    <t>MA_MFH_btw_1975_2003_Insulation_roof_Somewhat_leaky_envelope_Some_wall_insulation_Triple_pane_lowE</t>
  </si>
  <si>
    <t>MA_MFH_btw_1975_2003_Insulation_roof_Somewhat_leaky_envelope_SIP_Single_pane</t>
  </si>
  <si>
    <t>MA_MFH_btw_1975_2003_Insulation_roof_Somewhat_leaky_envelope_SIP_Single_pane_storm_windows</t>
  </si>
  <si>
    <t>MA_MFH_btw_1975_2003_Insulation_roof_Somewhat_leaky_envelope_SIP_Double_pane_lowE</t>
  </si>
  <si>
    <t>MA_MFH_btw_1975_2003_Insulation_roof_Somewhat_leaky_envelope_SIP_Triple_pane_lowE</t>
  </si>
  <si>
    <t>MA_MFH_btw_1975_2003_Insulation_roof_Somewhat_leaky_envelope_Full_insulated_wall_cavity_Single_pane</t>
  </si>
  <si>
    <t>MA_MFH_btw_1975_2003_Insulation_roof_Somewhat_leaky_envelope_Full_insulated_wall_cavity_Single_pane_storm_windows</t>
  </si>
  <si>
    <t>MA_MFH_btw_1975_2003_Insulation_roof_Somewhat_leaky_envelope_Full_insulated_wall_cavity_Double_pane_lowE</t>
  </si>
  <si>
    <t>MA_MFH_btw_1975_2003_Insulation_roof_Somewhat_leaky_envelope_Full_insulated_wall_cavity_Triple_pane_lowE</t>
  </si>
  <si>
    <t>MA_MFH_btw_1975_2003_Insulation_roof_Somewhat_leaky_envelope_Full_insulated_wall_cavity_exterior_Single_pane</t>
  </si>
  <si>
    <t>MA_MFH_btw_1975_2003_Insulation_roof_Somewhat_leaky_envelope_Full_insulated_wall_cavity_exterior_Single_pane_storm_windows</t>
  </si>
  <si>
    <t>MA_MFH_btw_1975_2003_Insulation_roof_Somewhat_leaky_envelope_Full_insulated_wall_cavity_exterior_Double_pane_lowE</t>
  </si>
  <si>
    <t>MA_MFH_btw_1975_2003_Insulation_roof_Somewhat_leaky_envelope_Full_insulated_wall_cavity_exterior_Triple_pane_lowE</t>
  </si>
  <si>
    <t>MA_MFH_btw_1975_2003_Insulation_roof_Tight_envelope_HRV_Uninsulated_walls_Single_pane</t>
  </si>
  <si>
    <t>MA_MFH_btw_1975_2003_Insulation_roof_Tight_envelope_HRV_Uninsulated_walls_Single_pane_storm_windows</t>
  </si>
  <si>
    <t>MA_MFH_btw_1975_2003_Insulation_roof_Tight_envelope_HRV_Uninsulated_walls_Double_pane_lowE</t>
  </si>
  <si>
    <t>MA_MFH_btw_1975_2003_Insulation_roof_Tight_envelope_HRV_Uninsulated_walls_Triple_pane_lowE</t>
  </si>
  <si>
    <t>MA_MFH_btw_1975_2003_Insulation_roof_Tight_envelope_HRV_Some_wall_insulation_Single_pane</t>
  </si>
  <si>
    <t>MA_MFH_btw_1975_2003_Insulation_roof_Tight_envelope_HRV_Some_wall_insulation_Single_pane_storm_windows</t>
  </si>
  <si>
    <t>MA_MFH_btw_1975_2003_Insulation_roof_Tight_envelope_HRV_Some_wall_insulation_Double_pane_lowE</t>
  </si>
  <si>
    <t>MA_MFH_btw_1975_2003_Insulation_roof_Tight_envelope_HRV_Some_wall_insulation_Triple_pane_lowE</t>
  </si>
  <si>
    <t>MA_MFH_btw_1975_2003_Insulation_roof_Tight_envelope_HRV_SIP_Single_pane</t>
  </si>
  <si>
    <t>MA_MFH_btw_1975_2003_Insulation_roof_Tight_envelope_HRV_SIP_Single_pane_storm_windows</t>
  </si>
  <si>
    <t>MA_MFH_btw_1975_2003_Insulation_roof_Tight_envelope_HRV_SIP_Double_pane_lowE</t>
  </si>
  <si>
    <t>MA_MFH_btw_1975_2003_Insulation_roof_Tight_envelope_HRV_SIP_Triple_pane_lowE</t>
  </si>
  <si>
    <t>MA_MFH_btw_1975_2003_Insulation_roof_Tight_envelope_HRV_Full_insulated_wall_cavity_Single_pane</t>
  </si>
  <si>
    <t>MA_MFH_btw_1975_2003_Insulation_roof_Tight_envelope_HRV_Full_insulated_wall_cavity_Single_pane_storm_windows</t>
  </si>
  <si>
    <t>MA_MFH_btw_1975_2003_Insulation_roof_Tight_envelope_HRV_Full_insulated_wall_cavity_Double_pane_lowE</t>
  </si>
  <si>
    <t>MA_MFH_btw_1975_2003_Insulation_roof_Tight_envelope_HRV_Full_insulated_wall_cavity_Triple_pane_lowE</t>
  </si>
  <si>
    <t>MA_MFH_btw_1975_2003_Insulation_roof_Tight_envelope_HRV_Full_insulated_wall_cavity_exterior_Single_pane</t>
  </si>
  <si>
    <t>MA_MFH_btw_1975_2003_Insulation_roof_Tight_envelope_HRV_Full_insulated_wall_cavity_exterior_Single_pane_storm_windows</t>
  </si>
  <si>
    <t>MA_MFH_btw_1975_2003_Insulation_roof_Tight_envelope_HRV_Full_insulated_wall_cavity_exterior_Double_pane_lowE</t>
  </si>
  <si>
    <t>MA_MFH_btw_1975_2003_Insulation_roof_Tight_envelope_HRV_Full_insulated_wall_cavity_exterior_Triple_pane_lowE</t>
  </si>
  <si>
    <t>MA_MFH_btw_1975_2003_Occupied_insulated_Leaky_envelope_Uninsulated_walls_Single_pane</t>
  </si>
  <si>
    <t>MA_MFH_btw_1975_2003_Occupied_insulated_Leaky_envelope_Uninsulated_walls_Single_pane_storm_windows</t>
  </si>
  <si>
    <t>MA_MFH_btw_1975_2003_Occupied_insulated_Leaky_envelope_Uninsulated_walls_Double_pane_lowE</t>
  </si>
  <si>
    <t>MA_MFH_btw_1975_2003_Occupied_insulated_Leaky_envelope_Uninsulated_walls_Triple_pane_lowE</t>
  </si>
  <si>
    <t>MA_MFH_btw_1975_2003_Occupied_insulated_Leaky_envelope_Some_wall_insulation_Single_pane</t>
  </si>
  <si>
    <t>MA_MFH_btw_1975_2003_Occupied_insulated_Leaky_envelope_Some_wall_insulation_Single_pane_storm_windows</t>
  </si>
  <si>
    <t>MA_MFH_btw_1975_2003_Occupied_insulated_Leaky_envelope_Some_wall_insulation_Double_pane_lowE</t>
  </si>
  <si>
    <t>MA_MFH_btw_1975_2003_Occupied_insulated_Leaky_envelope_Some_wall_insulation_Triple_pane_lowE</t>
  </si>
  <si>
    <t>MA_MFH_btw_1975_2003_Occupied_insulated_Leaky_envelope_SIP_Single_pane</t>
  </si>
  <si>
    <t>MA_MFH_btw_1975_2003_Occupied_insulated_Leaky_envelope_SIP_Single_pane_storm_windows</t>
  </si>
  <si>
    <t>MA_MFH_btw_1975_2003_Occupied_insulated_Leaky_envelope_SIP_Double_pane_lowE</t>
  </si>
  <si>
    <t>MA_MFH_btw_1975_2003_Occupied_insulated_Leaky_envelope_SIP_Triple_pane_lowE</t>
  </si>
  <si>
    <t>MA_MFH_btw_1975_2003_Occupied_insulated_Leaky_envelope_Full_insulated_wall_cavity_Single_pane</t>
  </si>
  <si>
    <t>MA_MFH_btw_1975_2003_Occupied_insulated_Leaky_envelope_Full_insulated_wall_cavity_Single_pane_storm_windows</t>
  </si>
  <si>
    <t>MA_MFH_btw_1975_2003_Occupied_insulated_Leaky_envelope_Full_insulated_wall_cavity_Double_pane_lowE</t>
  </si>
  <si>
    <t>MA_MFH_btw_1975_2003_Occupied_insulated_Leaky_envelope_Full_insulated_wall_cavity_Triple_pane_lowE</t>
  </si>
  <si>
    <t>MA_MFH_btw_1975_2003_Occupied_insulated_Leaky_envelope_Full_insulated_wall_cavity_exterior_Single_pane</t>
  </si>
  <si>
    <t>MA_MFH_btw_1975_2003_Occupied_insulated_Leaky_envelope_Full_insulated_wall_cavity_exterior_Single_pane_storm_windows</t>
  </si>
  <si>
    <t>MA_MFH_btw_1975_2003_Occupied_insulated_Leaky_envelope_Full_insulated_wall_cavity_exterior_Double_pane_lowE</t>
  </si>
  <si>
    <t>MA_MFH_btw_1975_2003_Occupied_insulated_Leaky_envelope_Full_insulated_wall_cavity_exterior_Triple_pane_lowE</t>
  </si>
  <si>
    <t>MA_MFH_btw_1975_2003_Occupied_insulated_Somewhat_leaky_envelope_Uninsulated_walls_Single_pane</t>
  </si>
  <si>
    <t>MA_MFH_btw_1975_2003_Occupied_insulated_Somewhat_leaky_envelope_Uninsulated_walls_Single_pane_storm_windows</t>
  </si>
  <si>
    <t>MA_MFH_btw_1975_2003_Occupied_insulated_Somewhat_leaky_envelope_Uninsulated_walls_Double_pane_lowE</t>
  </si>
  <si>
    <t>MA_MFH_btw_1975_2003_Occupied_insulated_Somewhat_leaky_envelope_Uninsulated_walls_Triple_pane_lowE</t>
  </si>
  <si>
    <t>MA_MFH_btw_1975_2003_Occupied_insulated_Somewhat_leaky_envelope_Some_wall_insulation_Single_pane</t>
  </si>
  <si>
    <t>MA_MFH_btw_1975_2003_Occupied_insulated_Somewhat_leaky_envelope_Some_wall_insulation_Single_pane_storm_windows</t>
  </si>
  <si>
    <t>MA_MFH_btw_1975_2003_Occupied_insulated_Somewhat_leaky_envelope_Some_wall_insulation_Double_pane_lowE</t>
  </si>
  <si>
    <t>MA_MFH_btw_1975_2003_Occupied_insulated_Somewhat_leaky_envelope_Some_wall_insulation_Triple_pane_lowE</t>
  </si>
  <si>
    <t>MA_MFH_btw_1975_2003_Occupied_insulated_Somewhat_leaky_envelope_SIP_Single_pane</t>
  </si>
  <si>
    <t>MA_MFH_btw_1975_2003_Occupied_insulated_Somewhat_leaky_envelope_SIP_Single_pane_storm_windows</t>
  </si>
  <si>
    <t>MA_MFH_btw_1975_2003_Occupied_insulated_Somewhat_leaky_envelope_SIP_Double_pane_lowE</t>
  </si>
  <si>
    <t>MA_MFH_btw_1975_2003_Occupied_insulated_Somewhat_leaky_envelope_SIP_Triple_pane_lowE</t>
  </si>
  <si>
    <t>MA_MFH_btw_1975_2003_Occupied_insulated_Somewhat_leaky_envelope_Full_insulated_wall_cavity_Single_pane</t>
  </si>
  <si>
    <t>MA_MFH_btw_1975_2003_Occupied_insulated_Somewhat_leaky_envelope_Full_insulated_wall_cavity_Single_pane_storm_windows</t>
  </si>
  <si>
    <t>MA_MFH_btw_1975_2003_Occupied_insulated_Somewhat_leaky_envelope_Full_insulated_wall_cavity_Double_pane_lowE</t>
  </si>
  <si>
    <t>MA_MFH_btw_1975_2003_Occupied_insulated_Somewhat_leaky_envelope_Full_insulated_wall_cavity_Triple_pane_lowE</t>
  </si>
  <si>
    <t>MA_MFH_btw_1975_2003_Occupied_insulated_Somewhat_leaky_envelope_Full_insulated_wall_cavity_exterior_Single_pane</t>
  </si>
  <si>
    <t>MA_MFH_btw_1975_2003_Occupied_insulated_Somewhat_leaky_envelope_Full_insulated_wall_cavity_exterior_Single_pane_storm_windows</t>
  </si>
  <si>
    <t>MA_MFH_btw_1975_2003_Occupied_insulated_Somewhat_leaky_envelope_Full_insulated_wall_cavity_exterior_Double_pane_lowE</t>
  </si>
  <si>
    <t>MA_MFH_btw_1975_2003_Occupied_insulated_Somewhat_leaky_envelope_Full_insulated_wall_cavity_exterior_Triple_pane_lowE</t>
  </si>
  <si>
    <t>MA_MFH_btw_1975_2003_Occupied_insulated_Tight_envelope_HRV_Uninsulated_walls_Single_pane</t>
  </si>
  <si>
    <t>MA_MFH_btw_1975_2003_Occupied_insulated_Tight_envelope_HRV_Uninsulated_walls_Single_pane_storm_windows</t>
  </si>
  <si>
    <t>MA_MFH_btw_1975_2003_Occupied_insulated_Tight_envelope_HRV_Uninsulated_walls_Double_pane_lowE</t>
  </si>
  <si>
    <t>MA_MFH_btw_1975_2003_Occupied_insulated_Tight_envelope_HRV_Uninsulated_walls_Triple_pane_lowE</t>
  </si>
  <si>
    <t>MA_MFH_btw_1975_2003_Occupied_insulated_Tight_envelope_HRV_Some_wall_insulation_Single_pane</t>
  </si>
  <si>
    <t>MA_MFH_btw_1975_2003_Occupied_insulated_Tight_envelope_HRV_Some_wall_insulation_Single_pane_storm_windows</t>
  </si>
  <si>
    <t>MA_MFH_btw_1975_2003_Occupied_insulated_Tight_envelope_HRV_Some_wall_insulation_Double_pane_lowE</t>
  </si>
  <si>
    <t>MA_MFH_btw_1975_2003_Occupied_insulated_Tight_envelope_HRV_Some_wall_insulation_Triple_pane_lowE</t>
  </si>
  <si>
    <t>MA_MFH_btw_1975_2003_Occupied_insulated_Tight_envelope_HRV_SIP_Single_pane</t>
  </si>
  <si>
    <t>MA_MFH_btw_1975_2003_Occupied_insulated_Tight_envelope_HRV_SIP_Single_pane_storm_windows</t>
  </si>
  <si>
    <t>MA_MFH_btw_1975_2003_Occupied_insulated_Tight_envelope_HRV_SIP_Double_pane_lowE</t>
  </si>
  <si>
    <t>MA_MFH_btw_1975_2003_Occupied_insulated_Tight_envelope_HRV_SIP_Triple_pane_lowE</t>
  </si>
  <si>
    <t>MA_MFH_btw_1975_2003_Occupied_insulated_Tight_envelope_HRV_Full_insulated_wall_cavity_Single_pane</t>
  </si>
  <si>
    <t>MA_MFH_btw_1975_2003_Occupied_insulated_Tight_envelope_HRV_Full_insulated_wall_cavity_Single_pane_storm_windows</t>
  </si>
  <si>
    <t>MA_MFH_btw_1975_2003_Occupied_insulated_Tight_envelope_HRV_Full_insulated_wall_cavity_Double_pane_lowE</t>
  </si>
  <si>
    <t>MA_MFH_btw_1975_2003_Occupied_insulated_Tight_envelope_HRV_Full_insulated_wall_cavity_Triple_pane_lowE</t>
  </si>
  <si>
    <t>MA_MFH_btw_1975_2003_Occupied_insulated_Tight_envelope_HRV_Full_insulated_wall_cavity_exterior_Single_pane</t>
  </si>
  <si>
    <t>MA_MFH_btw_1975_2003_Occupied_insulated_Tight_envelope_HRV_Full_insulated_wall_cavity_exterior_Single_pane_storm_windows</t>
  </si>
  <si>
    <t>MA_MFH_btw_1975_2003_Occupied_insulated_Tight_envelope_HRV_Full_insulated_wall_cavity_exterior_Double_pane_lowE</t>
  </si>
  <si>
    <t>MA_MFH_btw_1975_2003_Occupied_insulated_Tight_envelope_HRV_Full_insulated_wall_cavity_exterior_Triple_pane_lowE</t>
  </si>
  <si>
    <t>MA_MFH_btw_1975_2003_Unoccupied_high_insulated_floor_Leaky_envelope_Uninsulated_walls_Single_pane</t>
  </si>
  <si>
    <t>MA_MFH_btw_1975_2003_Unoccupied_high_insulated_floor_Leaky_envelope_Uninsulated_walls_Single_pane_storm_windows</t>
  </si>
  <si>
    <t>MA_MFH_btw_1975_2003_Unoccupied_high_insulated_floor_Leaky_envelope_Uninsulated_walls_Double_pane_lowE</t>
  </si>
  <si>
    <t>MA_MFH_btw_1975_2003_Unoccupied_high_insulated_floor_Leaky_envelope_Uninsulated_walls_Triple_pane_lowE</t>
  </si>
  <si>
    <t>MA_MFH_btw_1975_2003_Unoccupied_high_insulated_floor_Leaky_envelope_Some_wall_insulation_Single_pane</t>
  </si>
  <si>
    <t>MA_MFH_btw_1975_2003_Unoccupied_high_insulated_floor_Leaky_envelope_Some_wall_insulation_Single_pane_storm_windows</t>
  </si>
  <si>
    <t>MA_MFH_btw_1975_2003_Unoccupied_high_insulated_floor_Leaky_envelope_Some_wall_insulation_Double_pane_lowE</t>
  </si>
  <si>
    <t>MA_MFH_btw_1975_2003_Unoccupied_high_insulated_floor_Leaky_envelope_Some_wall_insulation_Triple_pane_lowE</t>
  </si>
  <si>
    <t>MA_MFH_btw_1975_2003_Unoccupied_high_insulated_floor_Leaky_envelope_SIP_Single_pane</t>
  </si>
  <si>
    <t>MA_MFH_btw_1975_2003_Unoccupied_high_insulated_floor_Leaky_envelope_SIP_Single_pane_storm_windows</t>
  </si>
  <si>
    <t>MA_MFH_btw_1975_2003_Unoccupied_high_insulated_floor_Leaky_envelope_SIP_Double_pane_lowE</t>
  </si>
  <si>
    <t>MA_MFH_btw_1975_2003_Unoccupied_high_insulated_floor_Leaky_envelope_SIP_Triple_pane_lowE</t>
  </si>
  <si>
    <t>MA_MFH_btw_1975_2003_Unoccupied_high_insulated_floor_Leaky_envelope_Full_insulated_wall_cavity_Single_pane</t>
  </si>
  <si>
    <t>MA_MFH_btw_1975_2003_Unoccupied_high_insulated_floor_Leaky_envelope_Full_insulated_wall_cavity_Single_pane_storm_windows</t>
  </si>
  <si>
    <t>MA_MFH_btw_1975_2003_Unoccupied_high_insulated_floor_Leaky_envelope_Full_insulated_wall_cavity_Double_pane_lowE</t>
  </si>
  <si>
    <t>MA_MFH_btw_1975_2003_Unoccupied_high_insulated_floor_Leaky_envelope_Full_insulated_wall_cavity_Triple_pane_lowE</t>
  </si>
  <si>
    <t>MA_MFH_btw_1975_2003_Unoccupied_high_insulated_floor_Leaky_envelope_Full_insulated_wall_cavity_exterior_Single_pane</t>
  </si>
  <si>
    <t>MA_MFH_btw_1975_2003_Unoccupied_high_insulated_floor_Leaky_envelope_Full_insulated_wall_cavity_exterior_Single_pane_storm_windows</t>
  </si>
  <si>
    <t>MA_MFH_btw_1975_2003_Unoccupied_high_insulated_floor_Leaky_envelope_Full_insulated_wall_cavity_exterior_Double_pane_lowE</t>
  </si>
  <si>
    <t>MA_MFH_btw_1975_2003_Unoccupied_high_insulated_floor_Leaky_envelope_Full_insulated_wall_cavity_exterior_Triple_pane_lowE</t>
  </si>
  <si>
    <t>MA_MFH_btw_1975_2003_Unoccupied_high_insulated_floor_Somewhat_leaky_envelope_Uninsulated_walls_Single_pane</t>
  </si>
  <si>
    <t>MA_MFH_btw_1975_2003_Unoccupied_high_insulated_floor_Somewhat_leaky_envelope_Uninsulated_walls_Single_pane_storm_windows</t>
  </si>
  <si>
    <t>MA_MFH_btw_1975_2003_Unoccupied_high_insulated_floor_Somewhat_leaky_envelope_Uninsulated_walls_Double_pane_lowE</t>
  </si>
  <si>
    <t>MA_MFH_btw_1975_2003_Unoccupied_high_insulated_floor_Somewhat_leaky_envelope_Uninsulated_walls_Triple_pane_lowE</t>
  </si>
  <si>
    <t>MA_MFH_btw_1975_2003_Unoccupied_high_insulated_floor_Somewhat_leaky_envelope_Some_wall_insulation_Single_pane</t>
  </si>
  <si>
    <t>MA_MFH_btw_1975_2003_Unoccupied_high_insulated_floor_Somewhat_leaky_envelope_Some_wall_insulation_Single_pane_storm_windows</t>
  </si>
  <si>
    <t>MA_MFH_btw_1975_2003_Unoccupied_high_insulated_floor_Somewhat_leaky_envelope_Some_wall_insulation_Double_pane_lowE</t>
  </si>
  <si>
    <t>MA_MFH_btw_1975_2003_Unoccupied_high_insulated_floor_Somewhat_leaky_envelope_Some_wall_insulation_Triple_pane_lowE</t>
  </si>
  <si>
    <t>MA_MFH_btw_1975_2003_Unoccupied_high_insulated_floor_Somewhat_leaky_envelope_SIP_Single_pane</t>
  </si>
  <si>
    <t>MA_MFH_btw_1975_2003_Unoccupied_high_insulated_floor_Somewhat_leaky_envelope_SIP_Single_pane_storm_windows</t>
  </si>
  <si>
    <t>MA_MFH_btw_1975_2003_Unoccupied_high_insulated_floor_Somewhat_leaky_envelope_SIP_Double_pane_lowE</t>
  </si>
  <si>
    <t>MA_MFH_btw_1975_2003_Unoccupied_high_insulated_floor_Somewhat_leaky_envelope_SIP_Triple_pane_lowE</t>
  </si>
  <si>
    <t>MA_MFH_btw_1975_2003_Unoccupied_high_insulated_floor_Somewhat_leaky_envelope_Full_insulated_wall_cavity_Single_pane</t>
  </si>
  <si>
    <t>MA_MFH_btw_1975_2003_Unoccupied_high_insulated_floor_Somewhat_leaky_envelope_Full_insulated_wall_cavity_Single_pane_storm_windows</t>
  </si>
  <si>
    <t>MA_MFH_btw_1975_2003_Unoccupied_high_insulated_floor_Somewhat_leaky_envelope_Full_insulated_wall_cavity_Double_pane_lowE</t>
  </si>
  <si>
    <t>MA_MFH_btw_1975_2003_Unoccupied_high_insulated_floor_Somewhat_leaky_envelope_Full_insulated_wall_cavity_Triple_pane_lowE</t>
  </si>
  <si>
    <t>MA_MFH_btw_1975_2003_Unoccupied_high_insulated_floor_Somewhat_leaky_envelope_Full_insulated_wall_cavity_exterior_Single_pane</t>
  </si>
  <si>
    <t>MA_MFH_btw_1975_2003_Unoccupied_high_insulated_floor_Somewhat_leaky_envelope_Full_insulated_wall_cavity_exterior_Single_pane_storm_windows</t>
  </si>
  <si>
    <t>MA_MFH_btw_1975_2003_Unoccupied_high_insulated_floor_Somewhat_leaky_envelope_Full_insulated_wall_cavity_exterior_Double_pane_lowE</t>
  </si>
  <si>
    <t>MA_MFH_btw_1975_2003_Unoccupied_high_insulated_floor_Somewhat_leaky_envelope_Full_insulated_wall_cavity_exterior_Triple_pane_lowE</t>
  </si>
  <si>
    <t>MA_MFH_btw_1975_2003_Unoccupied_high_insulated_floor_Tight_envelope_HRV_Uninsulated_walls_Single_pane</t>
  </si>
  <si>
    <t>MA_MFH_btw_1975_2003_Unoccupied_high_insulated_floor_Tight_envelope_HRV_Uninsulated_walls_Single_pane_storm_windows</t>
  </si>
  <si>
    <t>MA_MFH_btw_1975_2003_Unoccupied_high_insulated_floor_Tight_envelope_HRV_Uninsulated_walls_Double_pane_lowE</t>
  </si>
  <si>
    <t>MA_MFH_btw_1975_2003_Unoccupied_high_insulated_floor_Tight_envelope_HRV_Uninsulated_walls_Triple_pane_lowE</t>
  </si>
  <si>
    <t>MA_MFH_btw_1975_2003_Unoccupied_high_insulated_floor_Tight_envelope_HRV_Some_wall_insulation_Single_pane</t>
  </si>
  <si>
    <t>MA_MFH_btw_1975_2003_Unoccupied_high_insulated_floor_Tight_envelope_HRV_Some_wall_insulation_Single_pane_storm_windows</t>
  </si>
  <si>
    <t>MA_MFH_btw_1975_2003_Unoccupied_high_insulated_floor_Tight_envelope_HRV_Some_wall_insulation_Double_pane_lowE</t>
  </si>
  <si>
    <t>MA_MFH_btw_1975_2003_Unoccupied_high_insulated_floor_Tight_envelope_HRV_Some_wall_insulation_Triple_pane_lowE</t>
  </si>
  <si>
    <t>MA_MFH_btw_1975_2003_Unoccupied_high_insulated_floor_Tight_envelope_HRV_SIP_Single_pane</t>
  </si>
  <si>
    <t>MA_MFH_btw_1975_2003_Unoccupied_high_insulated_floor_Tight_envelope_HRV_SIP_Single_pane_storm_windows</t>
  </si>
  <si>
    <t>MA_MFH_btw_1975_2003_Unoccupied_high_insulated_floor_Tight_envelope_HRV_SIP_Double_pane_lowE</t>
  </si>
  <si>
    <t>MA_MFH_btw_1975_2003_Unoccupied_high_insulated_floor_Tight_envelope_HRV_SIP_Triple_pane_lowE</t>
  </si>
  <si>
    <t>MA_MFH_btw_1975_2003_Unoccupied_high_insulated_floor_Tight_envelope_HRV_Full_insulated_wall_cavity_Single_pane</t>
  </si>
  <si>
    <t>MA_MFH_btw_1975_2003_Unoccupied_high_insulated_floor_Tight_envelope_HRV_Full_insulated_wall_cavity_Single_pane_storm_windows</t>
  </si>
  <si>
    <t>MA_MFH_btw_1975_2003_Unoccupied_high_insulated_floor_Tight_envelope_HRV_Full_insulated_wall_cavity_Double_pane_lowE</t>
  </si>
  <si>
    <t>MA_MFH_btw_1975_2003_Unoccupied_high_insulated_floor_Tight_envelope_HRV_Full_insulated_wall_cavity_Triple_pane_lowE</t>
  </si>
  <si>
    <t>MA_MFH_btw_1975_2003_Unoccupied_high_insulated_floor_Tight_envelope_HRV_Full_insulated_wall_cavity_exterior_Single_pane</t>
  </si>
  <si>
    <t>MA_MFH_btw_1975_2003_Unoccupied_high_insulated_floor_Tight_envelope_HRV_Full_insulated_wall_cavity_exterior_Single_pane_storm_windows</t>
  </si>
  <si>
    <t>MA_MFH_btw_1975_2003_Unoccupied_high_insulated_floor_Tight_envelope_HRV_Full_insulated_wall_cavity_exterior_Double_pane_lowE</t>
  </si>
  <si>
    <t>MA_MFH_btw_1975_2003_Unoccupied_high_insulated_floor_Tight_envelope_HRV_Full_insulated_wall_cavity_exterior_Triple_pane_lowE</t>
  </si>
  <si>
    <t>MA_MFH_post_2003_Occupied_uninsulated_Leaky_envelope_Uninsulated_walls_Single_pane</t>
  </si>
  <si>
    <t>MA_MFH_post_2003_Occupied_uninsulated_Leaky_envelope_Uninsulated_walls_Single_pane_storm_windows</t>
  </si>
  <si>
    <t>MA_MFH_post_2003_Occupied_uninsulated_Leaky_envelope_Uninsulated_walls_Double_pane_lowE</t>
  </si>
  <si>
    <t>MA_MFH_post_2003_Occupied_uninsulated_Leaky_envelope_Uninsulated_walls_Triple_pane_lowE</t>
  </si>
  <si>
    <t>MA_MFH_post_2003_Occupied_uninsulated_Leaky_envelope_Some_wall_insulation_Single_pane</t>
  </si>
  <si>
    <t>MA_MFH_post_2003_Occupied_uninsulated_Leaky_envelope_Some_wall_insulation_Single_pane_storm_windows</t>
  </si>
  <si>
    <t>MA_MFH_post_2003_Occupied_uninsulated_Leaky_envelope_Some_wall_insulation_Double_pane_lowE</t>
  </si>
  <si>
    <t>MA_MFH_post_2003_Occupied_uninsulated_Leaky_envelope_Some_wall_insulation_Triple_pane_lowE</t>
  </si>
  <si>
    <t>MA_MFH_post_2003_Occupied_uninsulated_Leaky_envelope_SIP_Single_pane</t>
  </si>
  <si>
    <t>MA_MFH_post_2003_Occupied_uninsulated_Leaky_envelope_SIP_Single_pane_storm_windows</t>
  </si>
  <si>
    <t>MA_MFH_post_2003_Occupied_uninsulated_Leaky_envelope_SIP_Double_pane_lowE</t>
  </si>
  <si>
    <t>MA_MFH_post_2003_Occupied_uninsulated_Leaky_envelope_SIP_Triple_pane_lowE</t>
  </si>
  <si>
    <t>MA_MFH_post_2003_Occupied_uninsulated_Leaky_envelope_Full_insulated_wall_cavity_Single_pane</t>
  </si>
  <si>
    <t>MA_MFH_post_2003_Occupied_uninsulated_Leaky_envelope_Full_insulated_wall_cavity_Single_pane_storm_windows</t>
  </si>
  <si>
    <t>MA_MFH_post_2003_Occupied_uninsulated_Leaky_envelope_Full_insulated_wall_cavity_Double_pane_lowE</t>
  </si>
  <si>
    <t>MA_MFH_post_2003_Occupied_uninsulated_Leaky_envelope_Full_insulated_wall_cavity_Triple_pane_lowE</t>
  </si>
  <si>
    <t>MA_MFH_post_2003_Occupied_uninsulated_Leaky_envelope_Full_insulated_wall_cavity_exterior_Single_pane</t>
  </si>
  <si>
    <t>MA_MFH_post_2003_Occupied_uninsulated_Leaky_envelope_Full_insulated_wall_cavity_exterior_Single_pane_storm_windows</t>
  </si>
  <si>
    <t>MA_MFH_post_2003_Occupied_uninsulated_Leaky_envelope_Full_insulated_wall_cavity_exterior_Double_pane_lowE</t>
  </si>
  <si>
    <t>MA_MFH_post_2003_Occupied_uninsulated_Leaky_envelope_Full_insulated_wall_cavity_exterior_Triple_pane_lowE</t>
  </si>
  <si>
    <t>MA_MFH_post_2003_Occupied_uninsulated_Somewhat_leaky_envelope_Uninsulated_walls_Single_pane</t>
  </si>
  <si>
    <t>MA_MFH_post_2003_Occupied_uninsulated_Somewhat_leaky_envelope_Uninsulated_walls_Single_pane_storm_windows</t>
  </si>
  <si>
    <t>MA_MFH_post_2003_Occupied_uninsulated_Somewhat_leaky_envelope_Uninsulated_walls_Double_pane_lowE</t>
  </si>
  <si>
    <t>MA_MFH_post_2003_Occupied_uninsulated_Somewhat_leaky_envelope_Uninsulated_walls_Triple_pane_lowE</t>
  </si>
  <si>
    <t>MA_MFH_post_2003_Occupied_uninsulated_Somewhat_leaky_envelope_Some_wall_insulation_Single_pane</t>
  </si>
  <si>
    <t>MA_MFH_post_2003_Occupied_uninsulated_Somewhat_leaky_envelope_Some_wall_insulation_Single_pane_storm_windows</t>
  </si>
  <si>
    <t>MA_MFH_post_2003_Occupied_uninsulated_Somewhat_leaky_envelope_Some_wall_insulation_Double_pane_lowE</t>
  </si>
  <si>
    <t>MA_MFH_post_2003_Occupied_uninsulated_Somewhat_leaky_envelope_Some_wall_insulation_Triple_pane_lowE</t>
  </si>
  <si>
    <t>MA_MFH_post_2003_Occupied_uninsulated_Somewhat_leaky_envelope_SIP_Single_pane</t>
  </si>
  <si>
    <t>MA_MFH_post_2003_Occupied_uninsulated_Somewhat_leaky_envelope_SIP_Single_pane_storm_windows</t>
  </si>
  <si>
    <t>MA_MFH_post_2003_Occupied_uninsulated_Somewhat_leaky_envelope_SIP_Double_pane_lowE</t>
  </si>
  <si>
    <t>MA_MFH_post_2003_Occupied_uninsulated_Somewhat_leaky_envelope_SIP_Triple_pane_lowE</t>
  </si>
  <si>
    <t>MA_MFH_post_2003_Occupied_uninsulated_Somewhat_leaky_envelope_Full_insulated_wall_cavity_Single_pane</t>
  </si>
  <si>
    <t>MA_MFH_post_2003_Occupied_uninsulated_Somewhat_leaky_envelope_Full_insulated_wall_cavity_Single_pane_storm_windows</t>
  </si>
  <si>
    <t>MA_MFH_post_2003_Occupied_uninsulated_Somewhat_leaky_envelope_Full_insulated_wall_cavity_Double_pane_lowE</t>
  </si>
  <si>
    <t>MA_MFH_post_2003_Occupied_uninsulated_Somewhat_leaky_envelope_Full_insulated_wall_cavity_Triple_pane_lowE</t>
  </si>
  <si>
    <t>MA_MFH_post_2003_Occupied_uninsulated_Somewhat_leaky_envelope_Full_insulated_wall_cavity_exterior_Single_pane</t>
  </si>
  <si>
    <t>MA_MFH_post_2003_Occupied_uninsulated_Somewhat_leaky_envelope_Full_insulated_wall_cavity_exterior_Single_pane_storm_windows</t>
  </si>
  <si>
    <t>MA_MFH_post_2003_Occupied_uninsulated_Somewhat_leaky_envelope_Full_insulated_wall_cavity_exterior_Double_pane_lowE</t>
  </si>
  <si>
    <t>MA_MFH_post_2003_Occupied_uninsulated_Somewhat_leaky_envelope_Full_insulated_wall_cavity_exterior_Triple_pane_lowE</t>
  </si>
  <si>
    <t>MA_MFH_post_2003_Occupied_uninsulated_Tight_envelope_HRV_Uninsulated_walls_Single_pane</t>
  </si>
  <si>
    <t>MA_MFH_post_2003_Occupied_uninsulated_Tight_envelope_HRV_Uninsulated_walls_Single_pane_storm_windows</t>
  </si>
  <si>
    <t>MA_MFH_post_2003_Occupied_uninsulated_Tight_envelope_HRV_Uninsulated_walls_Double_pane_lowE</t>
  </si>
  <si>
    <t>MA_MFH_post_2003_Occupied_uninsulated_Tight_envelope_HRV_Uninsulated_walls_Triple_pane_lowE</t>
  </si>
  <si>
    <t>MA_MFH_post_2003_Occupied_uninsulated_Tight_envelope_HRV_Some_wall_insulation_Single_pane</t>
  </si>
  <si>
    <t>MA_MFH_post_2003_Occupied_uninsulated_Tight_envelope_HRV_Some_wall_insulation_Single_pane_storm_windows</t>
  </si>
  <si>
    <t>MA_MFH_post_2003_Occupied_uninsulated_Tight_envelope_HRV_Some_wall_insulation_Double_pane_lowE</t>
  </si>
  <si>
    <t>MA_MFH_post_2003_Occupied_uninsulated_Tight_envelope_HRV_Some_wall_insulation_Triple_pane_lowE</t>
  </si>
  <si>
    <t>MA_MFH_post_2003_Occupied_uninsulated_Tight_envelope_HRV_SIP_Single_pane</t>
  </si>
  <si>
    <t>MA_MFH_post_2003_Occupied_uninsulated_Tight_envelope_HRV_SIP_Single_pane_storm_windows</t>
  </si>
  <si>
    <t>MA_MFH_post_2003_Occupied_uninsulated_Tight_envelope_HRV_SIP_Double_pane_lowE</t>
  </si>
  <si>
    <t>MA_MFH_post_2003_Occupied_uninsulated_Tight_envelope_HRV_SIP_Triple_pane_lowE</t>
  </si>
  <si>
    <t>MA_MFH_post_2003_Occupied_uninsulated_Tight_envelope_HRV_Full_insulated_wall_cavity_Single_pane</t>
  </si>
  <si>
    <t>MA_MFH_post_2003_Occupied_uninsulated_Tight_envelope_HRV_Full_insulated_wall_cavity_Single_pane_storm_windows</t>
  </si>
  <si>
    <t>MA_MFH_post_2003_Occupied_uninsulated_Tight_envelope_HRV_Full_insulated_wall_cavity_Double_pane_lowE</t>
  </si>
  <si>
    <t>MA_MFH_post_2003_Occupied_uninsulated_Tight_envelope_HRV_Full_insulated_wall_cavity_Triple_pane_lowE</t>
  </si>
  <si>
    <t>MA_MFH_post_2003_Occupied_uninsulated_Tight_envelope_HRV_Full_insulated_wall_cavity_exterior_Single_pane</t>
  </si>
  <si>
    <t>MA_MFH_post_2003_Occupied_uninsulated_Tight_envelope_HRV_Full_insulated_wall_cavity_exterior_Single_pane_storm_windows</t>
  </si>
  <si>
    <t>MA_MFH_post_2003_Occupied_uninsulated_Tight_envelope_HRV_Full_insulated_wall_cavity_exterior_Double_pane_lowE</t>
  </si>
  <si>
    <t>MA_MFH_post_2003_Occupied_uninsulated_Tight_envelope_HRV_Full_insulated_wall_cavity_exterior_Triple_pane_lowE</t>
  </si>
  <si>
    <t>MA_MFH_post_2003_Unoccupied_uninsulated_floor_Leaky_envelope_Uninsulated_walls_Single_pane</t>
  </si>
  <si>
    <t>MA_MFH_post_2003_Unoccupied_uninsulated_floor_Leaky_envelope_Uninsulated_walls_Single_pane_storm_windows</t>
  </si>
  <si>
    <t>MA_MFH_post_2003_Unoccupied_uninsulated_floor_Leaky_envelope_Uninsulated_walls_Double_pane_lowE</t>
  </si>
  <si>
    <t>MA_MFH_post_2003_Unoccupied_uninsulated_floor_Leaky_envelope_Uninsulated_walls_Triple_pane_lowE</t>
  </si>
  <si>
    <t>MA_MFH_post_2003_Unoccupied_uninsulated_floor_Leaky_envelope_Some_wall_insulation_Single_pane</t>
  </si>
  <si>
    <t>MA_MFH_post_2003_Unoccupied_uninsulated_floor_Leaky_envelope_Some_wall_insulation_Single_pane_storm_windows</t>
  </si>
  <si>
    <t>MA_MFH_post_2003_Unoccupied_uninsulated_floor_Leaky_envelope_Some_wall_insulation_Double_pane_lowE</t>
  </si>
  <si>
    <t>MA_MFH_post_2003_Unoccupied_uninsulated_floor_Leaky_envelope_Some_wall_insulation_Triple_pane_lowE</t>
  </si>
  <si>
    <t>MA_MFH_post_2003_Unoccupied_uninsulated_floor_Leaky_envelope_SIP_Single_pane</t>
  </si>
  <si>
    <t>MA_MFH_post_2003_Unoccupied_uninsulated_floor_Leaky_envelope_SIP_Single_pane_storm_windows</t>
  </si>
  <si>
    <t>MA_MFH_post_2003_Unoccupied_uninsulated_floor_Leaky_envelope_SIP_Double_pane_lowE</t>
  </si>
  <si>
    <t>MA_MFH_post_2003_Unoccupied_uninsulated_floor_Leaky_envelope_SIP_Triple_pane_lowE</t>
  </si>
  <si>
    <t>MA_MFH_post_2003_Unoccupied_uninsulated_floor_Leaky_envelope_Full_insulated_wall_cavity_Single_pane</t>
  </si>
  <si>
    <t>MA_MFH_post_2003_Unoccupied_uninsulated_floor_Leaky_envelope_Full_insulated_wall_cavity_Single_pane_storm_windows</t>
  </si>
  <si>
    <t>MA_MFH_post_2003_Unoccupied_uninsulated_floor_Leaky_envelope_Full_insulated_wall_cavity_Double_pane_lowE</t>
  </si>
  <si>
    <t>MA_MFH_post_2003_Unoccupied_uninsulated_floor_Leaky_envelope_Full_insulated_wall_cavity_Triple_pane_lowE</t>
  </si>
  <si>
    <t>MA_MFH_post_2003_Unoccupied_uninsulated_floor_Leaky_envelope_Full_insulated_wall_cavity_exterior_Single_pane</t>
  </si>
  <si>
    <t>MA_MFH_post_2003_Unoccupied_uninsulated_floor_Leaky_envelope_Full_insulated_wall_cavity_exterior_Single_pane_storm_windows</t>
  </si>
  <si>
    <t>MA_MFH_post_2003_Unoccupied_uninsulated_floor_Leaky_envelope_Full_insulated_wall_cavity_exterior_Double_pane_lowE</t>
  </si>
  <si>
    <t>MA_MFH_post_2003_Unoccupied_uninsulated_floor_Leaky_envelope_Full_insulated_wall_cavity_exterior_Triple_pane_lowE</t>
  </si>
  <si>
    <t>MA_MFH_post_2003_Unoccupied_uninsulated_floor_Somewhat_leaky_envelope_Uninsulated_walls_Single_pane</t>
  </si>
  <si>
    <t>MA_MFH_post_2003_Unoccupied_uninsulated_floor_Somewhat_leaky_envelope_Uninsulated_walls_Single_pane_storm_windows</t>
  </si>
  <si>
    <t>MA_MFH_post_2003_Unoccupied_uninsulated_floor_Somewhat_leaky_envelope_Uninsulated_walls_Double_pane_lowE</t>
  </si>
  <si>
    <t>MA_MFH_post_2003_Unoccupied_uninsulated_floor_Somewhat_leaky_envelope_Uninsulated_walls_Triple_pane_lowE</t>
  </si>
  <si>
    <t>MA_MFH_post_2003_Unoccupied_uninsulated_floor_Somewhat_leaky_envelope_Some_wall_insulation_Single_pane</t>
  </si>
  <si>
    <t>MA_MFH_post_2003_Unoccupied_uninsulated_floor_Somewhat_leaky_envelope_Some_wall_insulation_Single_pane_storm_windows</t>
  </si>
  <si>
    <t>MA_MFH_post_2003_Unoccupied_uninsulated_floor_Somewhat_leaky_envelope_Some_wall_insulation_Double_pane_lowE</t>
  </si>
  <si>
    <t>MA_MFH_post_2003_Unoccupied_uninsulated_floor_Somewhat_leaky_envelope_Some_wall_insulation_Triple_pane_lowE</t>
  </si>
  <si>
    <t>MA_MFH_post_2003_Unoccupied_uninsulated_floor_Somewhat_leaky_envelope_SIP_Single_pane</t>
  </si>
  <si>
    <t>MA_MFH_post_2003_Unoccupied_uninsulated_floor_Somewhat_leaky_envelope_SIP_Single_pane_storm_windows</t>
  </si>
  <si>
    <t>MA_MFH_post_2003_Unoccupied_uninsulated_floor_Somewhat_leaky_envelope_SIP_Double_pane_lowE</t>
  </si>
  <si>
    <t>MA_MFH_post_2003_Unoccupied_uninsulated_floor_Somewhat_leaky_envelope_SIP_Triple_pane_lowE</t>
  </si>
  <si>
    <t>MA_MFH_post_2003_Unoccupied_uninsulated_floor_Somewhat_leaky_envelope_Full_insulated_wall_cavity_Single_pane</t>
  </si>
  <si>
    <t>MA_MFH_post_2003_Unoccupied_uninsulated_floor_Somewhat_leaky_envelope_Full_insulated_wall_cavity_Single_pane_storm_windows</t>
  </si>
  <si>
    <t>MA_MFH_post_2003_Unoccupied_uninsulated_floor_Somewhat_leaky_envelope_Full_insulated_wall_cavity_Double_pane_lowE</t>
  </si>
  <si>
    <t>MA_MFH_post_2003_Unoccupied_uninsulated_floor_Somewhat_leaky_envelope_Full_insulated_wall_cavity_Triple_pane_lowE</t>
  </si>
  <si>
    <t>MA_MFH_post_2003_Unoccupied_uninsulated_floor_Somewhat_leaky_envelope_Full_insulated_wall_cavity_exterior_Single_pane</t>
  </si>
  <si>
    <t>MA_MFH_post_2003_Unoccupied_uninsulated_floor_Somewhat_leaky_envelope_Full_insulated_wall_cavity_exterior_Single_pane_storm_windows</t>
  </si>
  <si>
    <t>MA_MFH_post_2003_Unoccupied_uninsulated_floor_Somewhat_leaky_envelope_Full_insulated_wall_cavity_exterior_Double_pane_lowE</t>
  </si>
  <si>
    <t>MA_MFH_post_2003_Unoccupied_uninsulated_floor_Somewhat_leaky_envelope_Full_insulated_wall_cavity_exterior_Triple_pane_lowE</t>
  </si>
  <si>
    <t>MA_MFH_post_2003_Unoccupied_uninsulated_floor_Tight_envelope_HRV_Uninsulated_walls_Single_pane</t>
  </si>
  <si>
    <t>MA_MFH_post_2003_Unoccupied_uninsulated_floor_Tight_envelope_HRV_Uninsulated_walls_Single_pane_storm_windows</t>
  </si>
  <si>
    <t>MA_MFH_post_2003_Unoccupied_uninsulated_floor_Tight_envelope_HRV_Uninsulated_walls_Double_pane_lowE</t>
  </si>
  <si>
    <t>MA_MFH_post_2003_Unoccupied_uninsulated_floor_Tight_envelope_HRV_Uninsulated_walls_Triple_pane_lowE</t>
  </si>
  <si>
    <t>MA_MFH_post_2003_Unoccupied_uninsulated_floor_Tight_envelope_HRV_Some_wall_insulation_Single_pane</t>
  </si>
  <si>
    <t>MA_MFH_post_2003_Unoccupied_uninsulated_floor_Tight_envelope_HRV_Some_wall_insulation_Single_pane_storm_windows</t>
  </si>
  <si>
    <t>MA_MFH_post_2003_Unoccupied_uninsulated_floor_Tight_envelope_HRV_Some_wall_insulation_Double_pane_lowE</t>
  </si>
  <si>
    <t>MA_MFH_post_2003_Unoccupied_uninsulated_floor_Tight_envelope_HRV_Some_wall_insulation_Triple_pane_lowE</t>
  </si>
  <si>
    <t>MA_MFH_post_2003_Unoccupied_uninsulated_floor_Tight_envelope_HRV_SIP_Single_pane</t>
  </si>
  <si>
    <t>MA_MFH_post_2003_Unoccupied_uninsulated_floor_Tight_envelope_HRV_SIP_Single_pane_storm_windows</t>
  </si>
  <si>
    <t>MA_MFH_post_2003_Unoccupied_uninsulated_floor_Tight_envelope_HRV_SIP_Double_pane_lowE</t>
  </si>
  <si>
    <t>MA_MFH_post_2003_Unoccupied_uninsulated_floor_Tight_envelope_HRV_SIP_Triple_pane_lowE</t>
  </si>
  <si>
    <t>MA_MFH_post_2003_Unoccupied_uninsulated_floor_Tight_envelope_HRV_Full_insulated_wall_cavity_Single_pane</t>
  </si>
  <si>
    <t>MA_MFH_post_2003_Unoccupied_uninsulated_floor_Tight_envelope_HRV_Full_insulated_wall_cavity_Single_pane_storm_windows</t>
  </si>
  <si>
    <t>MA_MFH_post_2003_Unoccupied_uninsulated_floor_Tight_envelope_HRV_Full_insulated_wall_cavity_Double_pane_lowE</t>
  </si>
  <si>
    <t>MA_MFH_post_2003_Unoccupied_uninsulated_floor_Tight_envelope_HRV_Full_insulated_wall_cavity_Triple_pane_lowE</t>
  </si>
  <si>
    <t>MA_MFH_post_2003_Unoccupied_uninsulated_floor_Tight_envelope_HRV_Full_insulated_wall_cavity_exterior_Single_pane</t>
  </si>
  <si>
    <t>MA_MFH_post_2003_Unoccupied_uninsulated_floor_Tight_envelope_HRV_Full_insulated_wall_cavity_exterior_Single_pane_storm_windows</t>
  </si>
  <si>
    <t>MA_MFH_post_2003_Unoccupied_uninsulated_floor_Tight_envelope_HRV_Full_insulated_wall_cavity_exterior_Double_pane_lowE</t>
  </si>
  <si>
    <t>MA_MFH_post_2003_Unoccupied_uninsulated_floor_Tight_envelope_HRV_Full_insulated_wall_cavity_exterior_Triple_pane_lowE</t>
  </si>
  <si>
    <t>MA_MFH_post_2003_Unoccupied_insulated_floor_Leaky_envelope_Uninsulated_walls_Single_pane</t>
  </si>
  <si>
    <t>MA_MFH_post_2003_Unoccupied_insulated_floor_Leaky_envelope_Uninsulated_walls_Single_pane_storm_windows</t>
  </si>
  <si>
    <t>MA_MFH_post_2003_Unoccupied_insulated_floor_Leaky_envelope_Uninsulated_walls_Double_pane_lowE</t>
  </si>
  <si>
    <t>MA_MFH_post_2003_Unoccupied_insulated_floor_Leaky_envelope_Uninsulated_walls_Triple_pane_lowE</t>
  </si>
  <si>
    <t>MA_MFH_post_2003_Unoccupied_insulated_floor_Leaky_envelope_Some_wall_insulation_Single_pane</t>
  </si>
  <si>
    <t>MA_MFH_post_2003_Unoccupied_insulated_floor_Leaky_envelope_Some_wall_insulation_Single_pane_storm_windows</t>
  </si>
  <si>
    <t>MA_MFH_post_2003_Unoccupied_insulated_floor_Leaky_envelope_Some_wall_insulation_Double_pane_lowE</t>
  </si>
  <si>
    <t>MA_MFH_post_2003_Unoccupied_insulated_floor_Leaky_envelope_Some_wall_insulation_Triple_pane_lowE</t>
  </si>
  <si>
    <t>MA_MFH_post_2003_Unoccupied_insulated_floor_Leaky_envelope_SIP_Single_pane</t>
  </si>
  <si>
    <t>MA_MFH_post_2003_Unoccupied_insulated_floor_Leaky_envelope_SIP_Single_pane_storm_windows</t>
  </si>
  <si>
    <t>MA_MFH_post_2003_Unoccupied_insulated_floor_Leaky_envelope_SIP_Double_pane_lowE</t>
  </si>
  <si>
    <t>MA_MFH_post_2003_Unoccupied_insulated_floor_Leaky_envelope_SIP_Triple_pane_lowE</t>
  </si>
  <si>
    <t>MA_MFH_post_2003_Unoccupied_insulated_floor_Leaky_envelope_Full_insulated_wall_cavity_Single_pane</t>
  </si>
  <si>
    <t>MA_MFH_post_2003_Unoccupied_insulated_floor_Leaky_envelope_Full_insulated_wall_cavity_Single_pane_storm_windows</t>
  </si>
  <si>
    <t>MA_MFH_post_2003_Unoccupied_insulated_floor_Leaky_envelope_Full_insulated_wall_cavity_Double_pane_lowE</t>
  </si>
  <si>
    <t>MA_MFH_post_2003_Unoccupied_insulated_floor_Leaky_envelope_Full_insulated_wall_cavity_Triple_pane_lowE</t>
  </si>
  <si>
    <t>MA_MFH_post_2003_Unoccupied_insulated_floor_Leaky_envelope_Full_insulated_wall_cavity_exterior_Single_pane</t>
  </si>
  <si>
    <t>MA_MFH_post_2003_Unoccupied_insulated_floor_Leaky_envelope_Full_insulated_wall_cavity_exterior_Single_pane_storm_windows</t>
  </si>
  <si>
    <t>MA_MFH_post_2003_Unoccupied_insulated_floor_Leaky_envelope_Full_insulated_wall_cavity_exterior_Double_pane_lowE</t>
  </si>
  <si>
    <t>MA_MFH_post_2003_Unoccupied_insulated_floor_Leaky_envelope_Full_insulated_wall_cavity_exterior_Triple_pane_lowE</t>
  </si>
  <si>
    <t>MA_MFH_post_2003_Unoccupied_insulated_floor_Somewhat_leaky_envelope_Uninsulated_walls_Single_pane</t>
  </si>
  <si>
    <t>MA_MFH_post_2003_Unoccupied_insulated_floor_Somewhat_leaky_envelope_Uninsulated_walls_Single_pane_storm_windows</t>
  </si>
  <si>
    <t>MA_MFH_post_2003_Unoccupied_insulated_floor_Somewhat_leaky_envelope_Uninsulated_walls_Double_pane_lowE</t>
  </si>
  <si>
    <t>MA_MFH_post_2003_Unoccupied_insulated_floor_Somewhat_leaky_envelope_Uninsulated_walls_Triple_pane_lowE</t>
  </si>
  <si>
    <t>MA_MFH_post_2003_Unoccupied_insulated_floor_Somewhat_leaky_envelope_Some_wall_insulation_Single_pane</t>
  </si>
  <si>
    <t>MA_MFH_post_2003_Unoccupied_insulated_floor_Somewhat_leaky_envelope_Some_wall_insulation_Single_pane_storm_windows</t>
  </si>
  <si>
    <t>MA_MFH_post_2003_Unoccupied_insulated_floor_Somewhat_leaky_envelope_Some_wall_insulation_Double_pane_lowE</t>
  </si>
  <si>
    <t>MA_MFH_post_2003_Unoccupied_insulated_floor_Somewhat_leaky_envelope_Some_wall_insulation_Triple_pane_lowE</t>
  </si>
  <si>
    <t>MA_MFH_post_2003_Unoccupied_insulated_floor_Somewhat_leaky_envelope_SIP_Single_pane</t>
  </si>
  <si>
    <t>MA_MFH_post_2003_Unoccupied_insulated_floor_Somewhat_leaky_envelope_SIP_Single_pane_storm_windows</t>
  </si>
  <si>
    <t>MA_MFH_post_2003_Unoccupied_insulated_floor_Somewhat_leaky_envelope_SIP_Double_pane_lowE</t>
  </si>
  <si>
    <t>MA_MFH_post_2003_Unoccupied_insulated_floor_Somewhat_leaky_envelope_SIP_Triple_pane_lowE</t>
  </si>
  <si>
    <t>MA_MFH_post_2003_Unoccupied_insulated_floor_Somewhat_leaky_envelope_Full_insulated_wall_cavity_Single_pane</t>
  </si>
  <si>
    <t>MA_MFH_post_2003_Unoccupied_insulated_floor_Somewhat_leaky_envelope_Full_insulated_wall_cavity_Single_pane_storm_windows</t>
  </si>
  <si>
    <t>MA_MFH_post_2003_Unoccupied_insulated_floor_Somewhat_leaky_envelope_Full_insulated_wall_cavity_Double_pane_lowE</t>
  </si>
  <si>
    <t>MA_MFH_post_2003_Unoccupied_insulated_floor_Somewhat_leaky_envelope_Full_insulated_wall_cavity_Triple_pane_lowE</t>
  </si>
  <si>
    <t>MA_MFH_post_2003_Unoccupied_insulated_floor_Somewhat_leaky_envelope_Full_insulated_wall_cavity_exterior_Single_pane</t>
  </si>
  <si>
    <t>MA_MFH_post_2003_Unoccupied_insulated_floor_Somewhat_leaky_envelope_Full_insulated_wall_cavity_exterior_Single_pane_storm_windows</t>
  </si>
  <si>
    <t>MA_MFH_post_2003_Unoccupied_insulated_floor_Somewhat_leaky_envelope_Full_insulated_wall_cavity_exterior_Double_pane_lowE</t>
  </si>
  <si>
    <t>MA_MFH_post_2003_Unoccupied_insulated_floor_Somewhat_leaky_envelope_Full_insulated_wall_cavity_exterior_Triple_pane_lowE</t>
  </si>
  <si>
    <t>MA_MFH_post_2003_Unoccupied_insulated_floor_Tight_envelope_HRV_Uninsulated_walls_Single_pane</t>
  </si>
  <si>
    <t>MA_MFH_post_2003_Unoccupied_insulated_floor_Tight_envelope_HRV_Uninsulated_walls_Single_pane_storm_windows</t>
  </si>
  <si>
    <t>MA_MFH_post_2003_Unoccupied_insulated_floor_Tight_envelope_HRV_Uninsulated_walls_Double_pane_lowE</t>
  </si>
  <si>
    <t>MA_MFH_post_2003_Unoccupied_insulated_floor_Tight_envelope_HRV_Uninsulated_walls_Triple_pane_lowE</t>
  </si>
  <si>
    <t>MA_MFH_post_2003_Unoccupied_insulated_floor_Tight_envelope_HRV_Some_wall_insulation_Single_pane</t>
  </si>
  <si>
    <t>MA_MFH_post_2003_Unoccupied_insulated_floor_Tight_envelope_HRV_Some_wall_insulation_Single_pane_storm_windows</t>
  </si>
  <si>
    <t>MA_MFH_post_2003_Unoccupied_insulated_floor_Tight_envelope_HRV_Some_wall_insulation_Double_pane_lowE</t>
  </si>
  <si>
    <t>MA_MFH_post_2003_Unoccupied_insulated_floor_Tight_envelope_HRV_Some_wall_insulation_Triple_pane_lowE</t>
  </si>
  <si>
    <t>MA_MFH_post_2003_Unoccupied_insulated_floor_Tight_envelope_HRV_SIP_Single_pane</t>
  </si>
  <si>
    <t>MA_MFH_post_2003_Unoccupied_insulated_floor_Tight_envelope_HRV_SIP_Single_pane_storm_windows</t>
  </si>
  <si>
    <t>MA_MFH_post_2003_Unoccupied_insulated_floor_Tight_envelope_HRV_SIP_Double_pane_lowE</t>
  </si>
  <si>
    <t>MA_MFH_post_2003_Unoccupied_insulated_floor_Tight_envelope_HRV_SIP_Triple_pane_lowE</t>
  </si>
  <si>
    <t>MA_MFH_post_2003_Unoccupied_insulated_floor_Tight_envelope_HRV_Full_insulated_wall_cavity_Single_pane</t>
  </si>
  <si>
    <t>MA_MFH_post_2003_Unoccupied_insulated_floor_Tight_envelope_HRV_Full_insulated_wall_cavity_Single_pane_storm_windows</t>
  </si>
  <si>
    <t>MA_MFH_post_2003_Unoccupied_insulated_floor_Tight_envelope_HRV_Full_insulated_wall_cavity_Double_pane_lowE</t>
  </si>
  <si>
    <t>MA_MFH_post_2003_Unoccupied_insulated_floor_Tight_envelope_HRV_Full_insulated_wall_cavity_Triple_pane_lowE</t>
  </si>
  <si>
    <t>MA_MFH_post_2003_Unoccupied_insulated_floor_Tight_envelope_HRV_Full_insulated_wall_cavity_exterior_Single_pane</t>
  </si>
  <si>
    <t>MA_MFH_post_2003_Unoccupied_insulated_floor_Tight_envelope_HRV_Full_insulated_wall_cavity_exterior_Single_pane_storm_windows</t>
  </si>
  <si>
    <t>MA_MFH_post_2003_Unoccupied_insulated_floor_Tight_envelope_HRV_Full_insulated_wall_cavity_exterior_Double_pane_lowE</t>
  </si>
  <si>
    <t>MA_MFH_post_2003_Unoccupied_insulated_floor_Tight_envelope_HRV_Full_insulated_wall_cavity_exterior_Triple_pane_lowE</t>
  </si>
  <si>
    <t>MA_MFH_post_2003_Limited_insulation_roof_Leaky_envelope_Uninsulated_walls_Single_pane</t>
  </si>
  <si>
    <t>MA_MFH_post_2003_Limited_insulation_roof_Leaky_envelope_Uninsulated_walls_Single_pane_storm_windows</t>
  </si>
  <si>
    <t>MA_MFH_post_2003_Limited_insulation_roof_Leaky_envelope_Uninsulated_walls_Double_pane_lowE</t>
  </si>
  <si>
    <t>MA_MFH_post_2003_Limited_insulation_roof_Leaky_envelope_Uninsulated_walls_Triple_pane_lowE</t>
  </si>
  <si>
    <t>MA_MFH_post_2003_Limited_insulation_roof_Leaky_envelope_Some_wall_insulation_Single_pane</t>
  </si>
  <si>
    <t>MA_MFH_post_2003_Limited_insulation_roof_Leaky_envelope_Some_wall_insulation_Single_pane_storm_windows</t>
  </si>
  <si>
    <t>MA_MFH_post_2003_Limited_insulation_roof_Leaky_envelope_Some_wall_insulation_Double_pane_lowE</t>
  </si>
  <si>
    <t>MA_MFH_post_2003_Limited_insulation_roof_Leaky_envelope_Some_wall_insulation_Triple_pane_lowE</t>
  </si>
  <si>
    <t>MA_MFH_post_2003_Limited_insulation_roof_Leaky_envelope_SIP_Single_pane</t>
  </si>
  <si>
    <t>MA_MFH_post_2003_Limited_insulation_roof_Leaky_envelope_SIP_Single_pane_storm_windows</t>
  </si>
  <si>
    <t>MA_MFH_post_2003_Limited_insulation_roof_Leaky_envelope_SIP_Double_pane_lowE</t>
  </si>
  <si>
    <t>MA_MFH_post_2003_Limited_insulation_roof_Leaky_envelope_SIP_Triple_pane_lowE</t>
  </si>
  <si>
    <t>MA_MFH_post_2003_Limited_insulation_roof_Leaky_envelope_Full_insulated_wall_cavity_Single_pane</t>
  </si>
  <si>
    <t>MA_MFH_post_2003_Limited_insulation_roof_Leaky_envelope_Full_insulated_wall_cavity_Single_pane_storm_windows</t>
  </si>
  <si>
    <t>MA_MFH_post_2003_Limited_insulation_roof_Leaky_envelope_Full_insulated_wall_cavity_Double_pane_lowE</t>
  </si>
  <si>
    <t>MA_MFH_post_2003_Limited_insulation_roof_Leaky_envelope_Full_insulated_wall_cavity_Triple_pane_lowE</t>
  </si>
  <si>
    <t>MA_MFH_post_2003_Limited_insulation_roof_Leaky_envelope_Full_insulated_wall_cavity_exterior_Single_pane</t>
  </si>
  <si>
    <t>MA_MFH_post_2003_Limited_insulation_roof_Leaky_envelope_Full_insulated_wall_cavity_exterior_Single_pane_storm_windows</t>
  </si>
  <si>
    <t>MA_MFH_post_2003_Limited_insulation_roof_Leaky_envelope_Full_insulated_wall_cavity_exterior_Double_pane_lowE</t>
  </si>
  <si>
    <t>MA_MFH_post_2003_Limited_insulation_roof_Leaky_envelope_Full_insulated_wall_cavity_exterior_Triple_pane_lowE</t>
  </si>
  <si>
    <t>MA_MFH_post_2003_Limited_insulation_roof_Somewhat_leaky_envelope_Uninsulated_walls_Single_pane</t>
  </si>
  <si>
    <t>MA_MFH_post_2003_Limited_insulation_roof_Somewhat_leaky_envelope_Uninsulated_walls_Single_pane_storm_windows</t>
  </si>
  <si>
    <t>MA_MFH_post_2003_Limited_insulation_roof_Somewhat_leaky_envelope_Uninsulated_walls_Double_pane_lowE</t>
  </si>
  <si>
    <t>MA_MFH_post_2003_Limited_insulation_roof_Somewhat_leaky_envelope_Uninsulated_walls_Triple_pane_lowE</t>
  </si>
  <si>
    <t>MA_MFH_post_2003_Limited_insulation_roof_Somewhat_leaky_envelope_Some_wall_insulation_Single_pane</t>
  </si>
  <si>
    <t>MA_MFH_post_2003_Limited_insulation_roof_Somewhat_leaky_envelope_Some_wall_insulation_Single_pane_storm_windows</t>
  </si>
  <si>
    <t>MA_MFH_post_2003_Limited_insulation_roof_Somewhat_leaky_envelope_Some_wall_insulation_Double_pane_lowE</t>
  </si>
  <si>
    <t>MA_MFH_post_2003_Limited_insulation_roof_Somewhat_leaky_envelope_Some_wall_insulation_Triple_pane_lowE</t>
  </si>
  <si>
    <t>MA_MFH_post_2003_Limited_insulation_roof_Somewhat_leaky_envelope_SIP_Single_pane</t>
  </si>
  <si>
    <t>MA_MFH_post_2003_Limited_insulation_roof_Somewhat_leaky_envelope_SIP_Single_pane_storm_windows</t>
  </si>
  <si>
    <t>MA_MFH_post_2003_Limited_insulation_roof_Somewhat_leaky_envelope_SIP_Double_pane_lowE</t>
  </si>
  <si>
    <t>MA_MFH_post_2003_Limited_insulation_roof_Somewhat_leaky_envelope_SIP_Triple_pane_lowE</t>
  </si>
  <si>
    <t>MA_MFH_post_2003_Limited_insulation_roof_Somewhat_leaky_envelope_Full_insulated_wall_cavity_Single_pane</t>
  </si>
  <si>
    <t>MA_MFH_post_2003_Limited_insulation_roof_Somewhat_leaky_envelope_Full_insulated_wall_cavity_Single_pane_storm_windows</t>
  </si>
  <si>
    <t>MA_MFH_post_2003_Limited_insulation_roof_Somewhat_leaky_envelope_Full_insulated_wall_cavity_Double_pane_lowE</t>
  </si>
  <si>
    <t>MA_MFH_post_2003_Limited_insulation_roof_Somewhat_leaky_envelope_Full_insulated_wall_cavity_Triple_pane_lowE</t>
  </si>
  <si>
    <t>MA_MFH_post_2003_Limited_insulation_roof_Somewhat_leaky_envelope_Full_insulated_wall_cavity_exterior_Single_pane</t>
  </si>
  <si>
    <t>MA_MFH_post_2003_Limited_insulation_roof_Somewhat_leaky_envelope_Full_insulated_wall_cavity_exterior_Single_pane_storm_windows</t>
  </si>
  <si>
    <t>MA_MFH_post_2003_Limited_insulation_roof_Somewhat_leaky_envelope_Full_insulated_wall_cavity_exterior_Double_pane_lowE</t>
  </si>
  <si>
    <t>MA_MFH_post_2003_Limited_insulation_roof_Somewhat_leaky_envelope_Full_insulated_wall_cavity_exterior_Triple_pane_lowE</t>
  </si>
  <si>
    <t>MA_MFH_post_2003_Limited_insulation_roof_Tight_envelope_HRV_Uninsulated_walls_Single_pane</t>
  </si>
  <si>
    <t>MA_MFH_post_2003_Limited_insulation_roof_Tight_envelope_HRV_Uninsulated_walls_Single_pane_storm_windows</t>
  </si>
  <si>
    <t>MA_MFH_post_2003_Limited_insulation_roof_Tight_envelope_HRV_Uninsulated_walls_Double_pane_lowE</t>
  </si>
  <si>
    <t>MA_MFH_post_2003_Limited_insulation_roof_Tight_envelope_HRV_Uninsulated_walls_Triple_pane_lowE</t>
  </si>
  <si>
    <t>MA_MFH_post_2003_Limited_insulation_roof_Tight_envelope_HRV_Some_wall_insulation_Single_pane</t>
  </si>
  <si>
    <t>MA_MFH_post_2003_Limited_insulation_roof_Tight_envelope_HRV_Some_wall_insulation_Single_pane_storm_windows</t>
  </si>
  <si>
    <t>MA_MFH_post_2003_Limited_insulation_roof_Tight_envelope_HRV_Some_wall_insulation_Double_pane_lowE</t>
  </si>
  <si>
    <t>MA_MFH_post_2003_Limited_insulation_roof_Tight_envelope_HRV_Some_wall_insulation_Triple_pane_lowE</t>
  </si>
  <si>
    <t>MA_MFH_post_2003_Limited_insulation_roof_Tight_envelope_HRV_SIP_Single_pane</t>
  </si>
  <si>
    <t>MA_MFH_post_2003_Limited_insulation_roof_Tight_envelope_HRV_SIP_Single_pane_storm_windows</t>
  </si>
  <si>
    <t>MA_MFH_post_2003_Limited_insulation_roof_Tight_envelope_HRV_SIP_Double_pane_lowE</t>
  </si>
  <si>
    <t>MA_MFH_post_2003_Limited_insulation_roof_Tight_envelope_HRV_SIP_Triple_pane_lowE</t>
  </si>
  <si>
    <t>MA_MFH_post_2003_Limited_insulation_roof_Tight_envelope_HRV_Full_insulated_wall_cavity_Single_pane</t>
  </si>
  <si>
    <t>MA_MFH_post_2003_Limited_insulation_roof_Tight_envelope_HRV_Full_insulated_wall_cavity_Single_pane_storm_windows</t>
  </si>
  <si>
    <t>MA_MFH_post_2003_Limited_insulation_roof_Tight_envelope_HRV_Full_insulated_wall_cavity_Double_pane_lowE</t>
  </si>
  <si>
    <t>MA_MFH_post_2003_Limited_insulation_roof_Tight_envelope_HRV_Full_insulated_wall_cavity_Triple_pane_lowE</t>
  </si>
  <si>
    <t>MA_MFH_post_2003_Limited_insulation_roof_Tight_envelope_HRV_Full_insulated_wall_cavity_exterior_Single_pane</t>
  </si>
  <si>
    <t>MA_MFH_post_2003_Limited_insulation_roof_Tight_envelope_HRV_Full_insulated_wall_cavity_exterior_Single_pane_storm_windows</t>
  </si>
  <si>
    <t>MA_MFH_post_2003_Limited_insulation_roof_Tight_envelope_HRV_Full_insulated_wall_cavity_exterior_Double_pane_lowE</t>
  </si>
  <si>
    <t>MA_MFH_post_2003_Limited_insulation_roof_Tight_envelope_HRV_Full_insulated_wall_cavity_exterior_Triple_pane_lowE</t>
  </si>
  <si>
    <t>MA_MFH_post_2003_Insulation_roof_Leaky_envelope_Uninsulated_walls_Single_pane</t>
  </si>
  <si>
    <t>MA_MFH_post_2003_Insulation_roof_Leaky_envelope_Uninsulated_walls_Single_pane_storm_windows</t>
  </si>
  <si>
    <t>MA_MFH_post_2003_Insulation_roof_Leaky_envelope_Uninsulated_walls_Double_pane_lowE</t>
  </si>
  <si>
    <t>MA_MFH_post_2003_Insulation_roof_Leaky_envelope_Uninsulated_walls_Triple_pane_lowE</t>
  </si>
  <si>
    <t>MA_MFH_post_2003_Insulation_roof_Leaky_envelope_Some_wall_insulation_Single_pane</t>
  </si>
  <si>
    <t>MA_MFH_post_2003_Insulation_roof_Leaky_envelope_Some_wall_insulation_Single_pane_storm_windows</t>
  </si>
  <si>
    <t>MA_MFH_post_2003_Insulation_roof_Leaky_envelope_Some_wall_insulation_Double_pane_lowE</t>
  </si>
  <si>
    <t>MA_MFH_post_2003_Insulation_roof_Leaky_envelope_Some_wall_insulation_Triple_pane_lowE</t>
  </si>
  <si>
    <t>MA_MFH_post_2003_Insulation_roof_Leaky_envelope_SIP_Single_pane</t>
  </si>
  <si>
    <t>MA_MFH_post_2003_Insulation_roof_Leaky_envelope_SIP_Single_pane_storm_windows</t>
  </si>
  <si>
    <t>MA_MFH_post_2003_Insulation_roof_Leaky_envelope_SIP_Double_pane_lowE</t>
  </si>
  <si>
    <t>MA_MFH_post_2003_Insulation_roof_Leaky_envelope_SIP_Triple_pane_lowE</t>
  </si>
  <si>
    <t>MA_MFH_post_2003_Insulation_roof_Leaky_envelope_Full_insulated_wall_cavity_Single_pane</t>
  </si>
  <si>
    <t>MA_MFH_post_2003_Insulation_roof_Leaky_envelope_Full_insulated_wall_cavity_Single_pane_storm_windows</t>
  </si>
  <si>
    <t>MA_MFH_post_2003_Insulation_roof_Leaky_envelope_Full_insulated_wall_cavity_Double_pane_lowE</t>
  </si>
  <si>
    <t>MA_MFH_post_2003_Insulation_roof_Leaky_envelope_Full_insulated_wall_cavity_Triple_pane_lowE</t>
  </si>
  <si>
    <t>MA_MFH_post_2003_Insulation_roof_Leaky_envelope_Full_insulated_wall_cavity_exterior_Single_pane</t>
  </si>
  <si>
    <t>MA_MFH_post_2003_Insulation_roof_Leaky_envelope_Full_insulated_wall_cavity_exterior_Single_pane_storm_windows</t>
  </si>
  <si>
    <t>MA_MFH_post_2003_Insulation_roof_Leaky_envelope_Full_insulated_wall_cavity_exterior_Double_pane_lowE</t>
  </si>
  <si>
    <t>MA_MFH_post_2003_Insulation_roof_Leaky_envelope_Full_insulated_wall_cavity_exterior_Triple_pane_lowE</t>
  </si>
  <si>
    <t>MA_MFH_post_2003_Insulation_roof_Somewhat_leaky_envelope_Uninsulated_walls_Single_pane</t>
  </si>
  <si>
    <t>MA_MFH_post_2003_Insulation_roof_Somewhat_leaky_envelope_Uninsulated_walls_Single_pane_storm_windows</t>
  </si>
  <si>
    <t>MA_MFH_post_2003_Insulation_roof_Somewhat_leaky_envelope_Uninsulated_walls_Double_pane_lowE</t>
  </si>
  <si>
    <t>MA_MFH_post_2003_Insulation_roof_Somewhat_leaky_envelope_Uninsulated_walls_Triple_pane_lowE</t>
  </si>
  <si>
    <t>MA_MFH_post_2003_Insulation_roof_Somewhat_leaky_envelope_Some_wall_insulation_Single_pane</t>
  </si>
  <si>
    <t>MA_MFH_post_2003_Insulation_roof_Somewhat_leaky_envelope_Some_wall_insulation_Single_pane_storm_windows</t>
  </si>
  <si>
    <t>MA_MFH_post_2003_Insulation_roof_Somewhat_leaky_envelope_Some_wall_insulation_Double_pane_lowE</t>
  </si>
  <si>
    <t>MA_MFH_post_2003_Insulation_roof_Somewhat_leaky_envelope_Some_wall_insulation_Triple_pane_lowE</t>
  </si>
  <si>
    <t>MA_MFH_post_2003_Insulation_roof_Somewhat_leaky_envelope_SIP_Single_pane</t>
  </si>
  <si>
    <t>MA_MFH_post_2003_Insulation_roof_Somewhat_leaky_envelope_SIP_Single_pane_storm_windows</t>
  </si>
  <si>
    <t>MA_MFH_post_2003_Insulation_roof_Somewhat_leaky_envelope_SIP_Double_pane_lowE</t>
  </si>
  <si>
    <t>MA_MFH_post_2003_Insulation_roof_Somewhat_leaky_envelope_SIP_Triple_pane_lowE</t>
  </si>
  <si>
    <t>MA_MFH_post_2003_Insulation_roof_Somewhat_leaky_envelope_Full_insulated_wall_cavity_Single_pane</t>
  </si>
  <si>
    <t>MA_MFH_post_2003_Insulation_roof_Somewhat_leaky_envelope_Full_insulated_wall_cavity_Single_pane_storm_windows</t>
  </si>
  <si>
    <t>MA_MFH_post_2003_Insulation_roof_Somewhat_leaky_envelope_Full_insulated_wall_cavity_Double_pane_lowE</t>
  </si>
  <si>
    <t>MA_MFH_post_2003_Insulation_roof_Somewhat_leaky_envelope_Full_insulated_wall_cavity_Triple_pane_lowE</t>
  </si>
  <si>
    <t>MA_MFH_post_2003_Insulation_roof_Somewhat_leaky_envelope_Full_insulated_wall_cavity_exterior_Single_pane</t>
  </si>
  <si>
    <t>MA_MFH_post_2003_Insulation_roof_Somewhat_leaky_envelope_Full_insulated_wall_cavity_exterior_Single_pane_storm_windows</t>
  </si>
  <si>
    <t>MA_MFH_post_2003_Insulation_roof_Somewhat_leaky_envelope_Full_insulated_wall_cavity_exterior_Double_pane_lowE</t>
  </si>
  <si>
    <t>MA_MFH_post_2003_Insulation_roof_Somewhat_leaky_envelope_Full_insulated_wall_cavity_exterior_Triple_pane_lowE</t>
  </si>
  <si>
    <t>MA_MFH_post_2003_Insulation_roof_Tight_envelope_HRV_Uninsulated_walls_Single_pane</t>
  </si>
  <si>
    <t>MA_MFH_post_2003_Insulation_roof_Tight_envelope_HRV_Uninsulated_walls_Single_pane_storm_windows</t>
  </si>
  <si>
    <t>MA_MFH_post_2003_Insulation_roof_Tight_envelope_HRV_Uninsulated_walls_Double_pane_lowE</t>
  </si>
  <si>
    <t>MA_MFH_post_2003_Insulation_roof_Tight_envelope_HRV_Uninsulated_walls_Triple_pane_lowE</t>
  </si>
  <si>
    <t>MA_MFH_post_2003_Insulation_roof_Tight_envelope_HRV_Some_wall_insulation_Single_pane</t>
  </si>
  <si>
    <t>MA_MFH_post_2003_Insulation_roof_Tight_envelope_HRV_Some_wall_insulation_Single_pane_storm_windows</t>
  </si>
  <si>
    <t>MA_MFH_post_2003_Insulation_roof_Tight_envelope_HRV_Some_wall_insulation_Double_pane_lowE</t>
  </si>
  <si>
    <t>MA_MFH_post_2003_Insulation_roof_Tight_envelope_HRV_Some_wall_insulation_Triple_pane_lowE</t>
  </si>
  <si>
    <t>MA_MFH_post_2003_Insulation_roof_Tight_envelope_HRV_SIP_Single_pane</t>
  </si>
  <si>
    <t>MA_MFH_post_2003_Insulation_roof_Tight_envelope_HRV_SIP_Single_pane_storm_windows</t>
  </si>
  <si>
    <t>MA_MFH_post_2003_Insulation_roof_Tight_envelope_HRV_SIP_Double_pane_lowE</t>
  </si>
  <si>
    <t>MA_MFH_post_2003_Insulation_roof_Tight_envelope_HRV_SIP_Triple_pane_lowE</t>
  </si>
  <si>
    <t>MA_MFH_post_2003_Insulation_roof_Tight_envelope_HRV_Full_insulated_wall_cavity_Single_pane</t>
  </si>
  <si>
    <t>MA_MFH_post_2003_Insulation_roof_Tight_envelope_HRV_Full_insulated_wall_cavity_Single_pane_storm_windows</t>
  </si>
  <si>
    <t>MA_MFH_post_2003_Insulation_roof_Tight_envelope_HRV_Full_insulated_wall_cavity_Double_pane_lowE</t>
  </si>
  <si>
    <t>MA_MFH_post_2003_Insulation_roof_Tight_envelope_HRV_Full_insulated_wall_cavity_Triple_pane_lowE</t>
  </si>
  <si>
    <t>MA_MFH_post_2003_Insulation_roof_Tight_envelope_HRV_Full_insulated_wall_cavity_exterior_Single_pane</t>
  </si>
  <si>
    <t>MA_MFH_post_2003_Insulation_roof_Tight_envelope_HRV_Full_insulated_wall_cavity_exterior_Single_pane_storm_windows</t>
  </si>
  <si>
    <t>MA_MFH_post_2003_Insulation_roof_Tight_envelope_HRV_Full_insulated_wall_cavity_exterior_Double_pane_lowE</t>
  </si>
  <si>
    <t>MA_MFH_post_2003_Insulation_roof_Tight_envelope_HRV_Full_insulated_wall_cavity_exterior_Triple_pane_lowE</t>
  </si>
  <si>
    <t>MA_MFH_post_2003_Occupied_insulated_Leaky_envelope_Uninsulated_walls_Single_pane</t>
  </si>
  <si>
    <t>MA_MFH_post_2003_Occupied_insulated_Leaky_envelope_Uninsulated_walls_Single_pane_storm_windows</t>
  </si>
  <si>
    <t>MA_MFH_post_2003_Occupied_insulated_Leaky_envelope_Uninsulated_walls_Double_pane_lowE</t>
  </si>
  <si>
    <t>MA_MFH_post_2003_Occupied_insulated_Leaky_envelope_Uninsulated_walls_Triple_pane_lowE</t>
  </si>
  <si>
    <t>MA_MFH_post_2003_Occupied_insulated_Leaky_envelope_Some_wall_insulation_Single_pane</t>
  </si>
  <si>
    <t>MA_MFH_post_2003_Occupied_insulated_Leaky_envelope_Some_wall_insulation_Single_pane_storm_windows</t>
  </si>
  <si>
    <t>MA_MFH_post_2003_Occupied_insulated_Leaky_envelope_Some_wall_insulation_Double_pane_lowE</t>
  </si>
  <si>
    <t>MA_MFH_post_2003_Occupied_insulated_Leaky_envelope_Some_wall_insulation_Triple_pane_lowE</t>
  </si>
  <si>
    <t>MA_MFH_post_2003_Occupied_insulated_Leaky_envelope_SIP_Single_pane</t>
  </si>
  <si>
    <t>MA_MFH_post_2003_Occupied_insulated_Leaky_envelope_SIP_Single_pane_storm_windows</t>
  </si>
  <si>
    <t>MA_MFH_post_2003_Occupied_insulated_Leaky_envelope_SIP_Double_pane_lowE</t>
  </si>
  <si>
    <t>MA_MFH_post_2003_Occupied_insulated_Leaky_envelope_SIP_Triple_pane_lowE</t>
  </si>
  <si>
    <t>MA_MFH_post_2003_Occupied_insulated_Leaky_envelope_Full_insulated_wall_cavity_Single_pane</t>
  </si>
  <si>
    <t>MA_MFH_post_2003_Occupied_insulated_Leaky_envelope_Full_insulated_wall_cavity_Single_pane_storm_windows</t>
  </si>
  <si>
    <t>MA_MFH_post_2003_Occupied_insulated_Leaky_envelope_Full_insulated_wall_cavity_Double_pane_lowE</t>
  </si>
  <si>
    <t>MA_MFH_post_2003_Occupied_insulated_Leaky_envelope_Full_insulated_wall_cavity_Triple_pane_lowE</t>
  </si>
  <si>
    <t>MA_MFH_post_2003_Occupied_insulated_Leaky_envelope_Full_insulated_wall_cavity_exterior_Single_pane</t>
  </si>
  <si>
    <t>MA_MFH_post_2003_Occupied_insulated_Leaky_envelope_Full_insulated_wall_cavity_exterior_Single_pane_storm_windows</t>
  </si>
  <si>
    <t>MA_MFH_post_2003_Occupied_insulated_Leaky_envelope_Full_insulated_wall_cavity_exterior_Double_pane_lowE</t>
  </si>
  <si>
    <t>MA_MFH_post_2003_Occupied_insulated_Leaky_envelope_Full_insulated_wall_cavity_exterior_Triple_pane_lowE</t>
  </si>
  <si>
    <t>MA_MFH_post_2003_Occupied_insulated_Somewhat_leaky_envelope_Uninsulated_walls_Single_pane</t>
  </si>
  <si>
    <t>MA_MFH_post_2003_Occupied_insulated_Somewhat_leaky_envelope_Uninsulated_walls_Single_pane_storm_windows</t>
  </si>
  <si>
    <t>MA_MFH_post_2003_Occupied_insulated_Somewhat_leaky_envelope_Uninsulated_walls_Double_pane_lowE</t>
  </si>
  <si>
    <t>MA_MFH_post_2003_Occupied_insulated_Somewhat_leaky_envelope_Uninsulated_walls_Triple_pane_lowE</t>
  </si>
  <si>
    <t>MA_MFH_post_2003_Occupied_insulated_Somewhat_leaky_envelope_Some_wall_insulation_Single_pane</t>
  </si>
  <si>
    <t>MA_MFH_post_2003_Occupied_insulated_Somewhat_leaky_envelope_Some_wall_insulation_Single_pane_storm_windows</t>
  </si>
  <si>
    <t>MA_MFH_post_2003_Occupied_insulated_Somewhat_leaky_envelope_Some_wall_insulation_Double_pane_lowE</t>
  </si>
  <si>
    <t>MA_MFH_post_2003_Occupied_insulated_Somewhat_leaky_envelope_Some_wall_insulation_Triple_pane_lowE</t>
  </si>
  <si>
    <t>MA_MFH_post_2003_Occupied_insulated_Somewhat_leaky_envelope_SIP_Single_pane</t>
  </si>
  <si>
    <t>MA_MFH_post_2003_Occupied_insulated_Somewhat_leaky_envelope_SIP_Single_pane_storm_windows</t>
  </si>
  <si>
    <t>MA_MFH_post_2003_Occupied_insulated_Somewhat_leaky_envelope_SIP_Double_pane_lowE</t>
  </si>
  <si>
    <t>MA_MFH_post_2003_Occupied_insulated_Somewhat_leaky_envelope_SIP_Triple_pane_lowE</t>
  </si>
  <si>
    <t>MA_MFH_post_2003_Occupied_insulated_Somewhat_leaky_envelope_Full_insulated_wall_cavity_Single_pane</t>
  </si>
  <si>
    <t>MA_MFH_post_2003_Occupied_insulated_Somewhat_leaky_envelope_Full_insulated_wall_cavity_Single_pane_storm_windows</t>
  </si>
  <si>
    <t>MA_MFH_post_2003_Occupied_insulated_Somewhat_leaky_envelope_Full_insulated_wall_cavity_Double_pane_lowE</t>
  </si>
  <si>
    <t>MA_MFH_post_2003_Occupied_insulated_Somewhat_leaky_envelope_Full_insulated_wall_cavity_Triple_pane_lowE</t>
  </si>
  <si>
    <t>MA_MFH_post_2003_Occupied_insulated_Somewhat_leaky_envelope_Full_insulated_wall_cavity_exterior_Single_pane</t>
  </si>
  <si>
    <t>MA_MFH_post_2003_Occupied_insulated_Somewhat_leaky_envelope_Full_insulated_wall_cavity_exterior_Single_pane_storm_windows</t>
  </si>
  <si>
    <t>MA_MFH_post_2003_Occupied_insulated_Somewhat_leaky_envelope_Full_insulated_wall_cavity_exterior_Double_pane_lowE</t>
  </si>
  <si>
    <t>MA_MFH_post_2003_Occupied_insulated_Somewhat_leaky_envelope_Full_insulated_wall_cavity_exterior_Triple_pane_lowE</t>
  </si>
  <si>
    <t>MA_MFH_post_2003_Occupied_insulated_Tight_envelope_HRV_Uninsulated_walls_Single_pane</t>
  </si>
  <si>
    <t>MA_MFH_post_2003_Occupied_insulated_Tight_envelope_HRV_Uninsulated_walls_Single_pane_storm_windows</t>
  </si>
  <si>
    <t>MA_MFH_post_2003_Occupied_insulated_Tight_envelope_HRV_Uninsulated_walls_Double_pane_lowE</t>
  </si>
  <si>
    <t>MA_MFH_post_2003_Occupied_insulated_Tight_envelope_HRV_Uninsulated_walls_Triple_pane_lowE</t>
  </si>
  <si>
    <t>MA_MFH_post_2003_Occupied_insulated_Tight_envelope_HRV_Some_wall_insulation_Single_pane</t>
  </si>
  <si>
    <t>MA_MFH_post_2003_Occupied_insulated_Tight_envelope_HRV_Some_wall_insulation_Single_pane_storm_windows</t>
  </si>
  <si>
    <t>MA_MFH_post_2003_Occupied_insulated_Tight_envelope_HRV_Some_wall_insulation_Double_pane_lowE</t>
  </si>
  <si>
    <t>MA_MFH_post_2003_Occupied_insulated_Tight_envelope_HRV_Some_wall_insulation_Triple_pane_lowE</t>
  </si>
  <si>
    <t>MA_MFH_post_2003_Occupied_insulated_Tight_envelope_HRV_SIP_Single_pane</t>
  </si>
  <si>
    <t>MA_MFH_post_2003_Occupied_insulated_Tight_envelope_HRV_SIP_Single_pane_storm_windows</t>
  </si>
  <si>
    <t>MA_MFH_post_2003_Occupied_insulated_Tight_envelope_HRV_SIP_Double_pane_lowE</t>
  </si>
  <si>
    <t>MA_MFH_post_2003_Occupied_insulated_Tight_envelope_HRV_SIP_Triple_pane_lowE</t>
  </si>
  <si>
    <t>MA_MFH_post_2003_Occupied_insulated_Tight_envelope_HRV_Full_insulated_wall_cavity_Single_pane</t>
  </si>
  <si>
    <t>MA_MFH_post_2003_Occupied_insulated_Tight_envelope_HRV_Full_insulated_wall_cavity_Single_pane_storm_windows</t>
  </si>
  <si>
    <t>MA_MFH_post_2003_Occupied_insulated_Tight_envelope_HRV_Full_insulated_wall_cavity_Double_pane_lowE</t>
  </si>
  <si>
    <t>MA_MFH_post_2003_Occupied_insulated_Tight_envelope_HRV_Full_insulated_wall_cavity_Triple_pane_lowE</t>
  </si>
  <si>
    <t>MA_MFH_post_2003_Occupied_insulated_Tight_envelope_HRV_Full_insulated_wall_cavity_exterior_Single_pane</t>
  </si>
  <si>
    <t>MA_MFH_post_2003_Occupied_insulated_Tight_envelope_HRV_Full_insulated_wall_cavity_exterior_Single_pane_storm_windows</t>
  </si>
  <si>
    <t>MA_MFH_post_2003_Occupied_insulated_Tight_envelope_HRV_Full_insulated_wall_cavity_exterior_Double_pane_lowE</t>
  </si>
  <si>
    <t>MA_MFH_post_2003_Occupied_insulated_Tight_envelope_HRV_Full_insulated_wall_cavity_exterior_Triple_pane_lowE</t>
  </si>
  <si>
    <t>MA_MFH_post_2003_Unoccupied_high_insulated_floor_Leaky_envelope_Uninsulated_walls_Single_pane</t>
  </si>
  <si>
    <t>MA_MFH_post_2003_Unoccupied_high_insulated_floor_Leaky_envelope_Uninsulated_walls_Single_pane_storm_windows</t>
  </si>
  <si>
    <t>MA_MFH_post_2003_Unoccupied_high_insulated_floor_Leaky_envelope_Uninsulated_walls_Double_pane_lowE</t>
  </si>
  <si>
    <t>MA_MFH_post_2003_Unoccupied_high_insulated_floor_Leaky_envelope_Uninsulated_walls_Triple_pane_lowE</t>
  </si>
  <si>
    <t>MA_MFH_post_2003_Unoccupied_high_insulated_floor_Leaky_envelope_Some_wall_insulation_Single_pane</t>
  </si>
  <si>
    <t>MA_MFH_post_2003_Unoccupied_high_insulated_floor_Leaky_envelope_Some_wall_insulation_Single_pane_storm_windows</t>
  </si>
  <si>
    <t>MA_MFH_post_2003_Unoccupied_high_insulated_floor_Leaky_envelope_Some_wall_insulation_Double_pane_lowE</t>
  </si>
  <si>
    <t>MA_MFH_post_2003_Unoccupied_high_insulated_floor_Leaky_envelope_Some_wall_insulation_Triple_pane_lowE</t>
  </si>
  <si>
    <t>MA_MFH_post_2003_Unoccupied_high_insulated_floor_Leaky_envelope_SIP_Single_pane</t>
  </si>
  <si>
    <t>MA_MFH_post_2003_Unoccupied_high_insulated_floor_Leaky_envelope_SIP_Single_pane_storm_windows</t>
  </si>
  <si>
    <t>MA_MFH_post_2003_Unoccupied_high_insulated_floor_Leaky_envelope_SIP_Double_pane_lowE</t>
  </si>
  <si>
    <t>MA_MFH_post_2003_Unoccupied_high_insulated_floor_Leaky_envelope_SIP_Triple_pane_lowE</t>
  </si>
  <si>
    <t>MA_MFH_post_2003_Unoccupied_high_insulated_floor_Leaky_envelope_Full_insulated_wall_cavity_Single_pane</t>
  </si>
  <si>
    <t>MA_MFH_post_2003_Unoccupied_high_insulated_floor_Leaky_envelope_Full_insulated_wall_cavity_Single_pane_storm_windows</t>
  </si>
  <si>
    <t>MA_MFH_post_2003_Unoccupied_high_insulated_floor_Leaky_envelope_Full_insulated_wall_cavity_Double_pane_lowE</t>
  </si>
  <si>
    <t>MA_MFH_post_2003_Unoccupied_high_insulated_floor_Leaky_envelope_Full_insulated_wall_cavity_Triple_pane_lowE</t>
  </si>
  <si>
    <t>MA_MFH_post_2003_Unoccupied_high_insulated_floor_Leaky_envelope_Full_insulated_wall_cavity_exterior_Single_pane</t>
  </si>
  <si>
    <t>MA_MFH_post_2003_Unoccupied_high_insulated_floor_Leaky_envelope_Full_insulated_wall_cavity_exterior_Single_pane_storm_windows</t>
  </si>
  <si>
    <t>MA_MFH_post_2003_Unoccupied_high_insulated_floor_Leaky_envelope_Full_insulated_wall_cavity_exterior_Double_pane_lowE</t>
  </si>
  <si>
    <t>MA_MFH_post_2003_Unoccupied_high_insulated_floor_Leaky_envelope_Full_insulated_wall_cavity_exterior_Triple_pane_lowE</t>
  </si>
  <si>
    <t>MA_MFH_post_2003_Unoccupied_high_insulated_floor_Somewhat_leaky_envelope_Uninsulated_walls_Single_pane</t>
  </si>
  <si>
    <t>MA_MFH_post_2003_Unoccupied_high_insulated_floor_Somewhat_leaky_envelope_Uninsulated_walls_Single_pane_storm_windows</t>
  </si>
  <si>
    <t>MA_MFH_post_2003_Unoccupied_high_insulated_floor_Somewhat_leaky_envelope_Uninsulated_walls_Double_pane_lowE</t>
  </si>
  <si>
    <t>MA_MFH_post_2003_Unoccupied_high_insulated_floor_Somewhat_leaky_envelope_Uninsulated_walls_Triple_pane_lowE</t>
  </si>
  <si>
    <t>MA_MFH_post_2003_Unoccupied_high_insulated_floor_Somewhat_leaky_envelope_Some_wall_insulation_Single_pane</t>
  </si>
  <si>
    <t>MA_MFH_post_2003_Unoccupied_high_insulated_floor_Somewhat_leaky_envelope_Some_wall_insulation_Single_pane_storm_windows</t>
  </si>
  <si>
    <t>MA_MFH_post_2003_Unoccupied_high_insulated_floor_Somewhat_leaky_envelope_Some_wall_insulation_Double_pane_lowE</t>
  </si>
  <si>
    <t>MA_MFH_post_2003_Unoccupied_high_insulated_floor_Somewhat_leaky_envelope_Some_wall_insulation_Triple_pane_lowE</t>
  </si>
  <si>
    <t>MA_MFH_post_2003_Unoccupied_high_insulated_floor_Somewhat_leaky_envelope_SIP_Single_pane</t>
  </si>
  <si>
    <t>MA_MFH_post_2003_Unoccupied_high_insulated_floor_Somewhat_leaky_envelope_SIP_Single_pane_storm_windows</t>
  </si>
  <si>
    <t>MA_MFH_post_2003_Unoccupied_high_insulated_floor_Somewhat_leaky_envelope_SIP_Double_pane_lowE</t>
  </si>
  <si>
    <t>MA_MFH_post_2003_Unoccupied_high_insulated_floor_Somewhat_leaky_envelope_SIP_Triple_pane_lowE</t>
  </si>
  <si>
    <t>MA_MFH_post_2003_Unoccupied_high_insulated_floor_Somewhat_leaky_envelope_Full_insulated_wall_cavity_Single_pane</t>
  </si>
  <si>
    <t>MA_MFH_post_2003_Unoccupied_high_insulated_floor_Somewhat_leaky_envelope_Full_insulated_wall_cavity_Single_pane_storm_windows</t>
  </si>
  <si>
    <t>MA_MFH_post_2003_Unoccupied_high_insulated_floor_Somewhat_leaky_envelope_Full_insulated_wall_cavity_Double_pane_lowE</t>
  </si>
  <si>
    <t>MA_MFH_post_2003_Unoccupied_high_insulated_floor_Somewhat_leaky_envelope_Full_insulated_wall_cavity_Triple_pane_lowE</t>
  </si>
  <si>
    <t>MA_MFH_post_2003_Unoccupied_high_insulated_floor_Somewhat_leaky_envelope_Full_insulated_wall_cavity_exterior_Single_pane</t>
  </si>
  <si>
    <t>MA_MFH_post_2003_Unoccupied_high_insulated_floor_Somewhat_leaky_envelope_Full_insulated_wall_cavity_exterior_Single_pane_storm_windows</t>
  </si>
  <si>
    <t>MA_MFH_post_2003_Unoccupied_high_insulated_floor_Somewhat_leaky_envelope_Full_insulated_wall_cavity_exterior_Double_pane_lowE</t>
  </si>
  <si>
    <t>MA_MFH_post_2003_Unoccupied_high_insulated_floor_Somewhat_leaky_envelope_Full_insulated_wall_cavity_exterior_Triple_pane_lowE</t>
  </si>
  <si>
    <t>MA_MFH_post_2003_Unoccupied_high_insulated_floor_Tight_envelope_HRV_Uninsulated_walls_Single_pane</t>
  </si>
  <si>
    <t>MA_MFH_post_2003_Unoccupied_high_insulated_floor_Tight_envelope_HRV_Uninsulated_walls_Single_pane_storm_windows</t>
  </si>
  <si>
    <t>MA_MFH_post_2003_Unoccupied_high_insulated_floor_Tight_envelope_HRV_Uninsulated_walls_Double_pane_lowE</t>
  </si>
  <si>
    <t>MA_MFH_post_2003_Unoccupied_high_insulated_floor_Tight_envelope_HRV_Uninsulated_walls_Triple_pane_lowE</t>
  </si>
  <si>
    <t>MA_MFH_post_2003_Unoccupied_high_insulated_floor_Tight_envelope_HRV_Some_wall_insulation_Single_pane</t>
  </si>
  <si>
    <t>MA_MFH_post_2003_Unoccupied_high_insulated_floor_Tight_envelope_HRV_Some_wall_insulation_Single_pane_storm_windows</t>
  </si>
  <si>
    <t>MA_MFH_post_2003_Unoccupied_high_insulated_floor_Tight_envelope_HRV_Some_wall_insulation_Double_pane_lowE</t>
  </si>
  <si>
    <t>MA_MFH_post_2003_Unoccupied_high_insulated_floor_Tight_envelope_HRV_Some_wall_insulation_Triple_pane_lowE</t>
  </si>
  <si>
    <t>MA_MFH_post_2003_Unoccupied_high_insulated_floor_Tight_envelope_HRV_SIP_Single_pane</t>
  </si>
  <si>
    <t>MA_MFH_post_2003_Unoccupied_high_insulated_floor_Tight_envelope_HRV_SIP_Single_pane_storm_windows</t>
  </si>
  <si>
    <t>MA_MFH_post_2003_Unoccupied_high_insulated_floor_Tight_envelope_HRV_SIP_Double_pane_lowE</t>
  </si>
  <si>
    <t>MA_MFH_post_2003_Unoccupied_high_insulated_floor_Tight_envelope_HRV_SIP_Triple_pane_lowE</t>
  </si>
  <si>
    <t>MA_MFH_post_2003_Unoccupied_high_insulated_floor_Tight_envelope_HRV_Full_insulated_wall_cavity_Single_pane</t>
  </si>
  <si>
    <t>MA_MFH_post_2003_Unoccupied_high_insulated_floor_Tight_envelope_HRV_Full_insulated_wall_cavity_Single_pane_storm_windows</t>
  </si>
  <si>
    <t>MA_MFH_post_2003_Unoccupied_high_insulated_floor_Tight_envelope_HRV_Full_insulated_wall_cavity_Double_pane_lowE</t>
  </si>
  <si>
    <t>MA_MFH_post_2003_Unoccupied_high_insulated_floor_Tight_envelope_HRV_Full_insulated_wall_cavity_Triple_pane_lowE</t>
  </si>
  <si>
    <t>MA_MFH_post_2003_Unoccupied_high_insulated_floor_Tight_envelope_HRV_Full_insulated_wall_cavity_exterior_Single_pane</t>
  </si>
  <si>
    <t>MA_MFH_post_2003_Unoccupied_high_insulated_floor_Tight_envelope_HRV_Full_insulated_wall_cavity_exterior_Single_pane_storm_windows</t>
  </si>
  <si>
    <t>MA_MFH_post_2003_Unoccupied_high_insulated_floor_Tight_envelope_HRV_Full_insulated_wall_cavity_exterior_Double_pane_lowE</t>
  </si>
  <si>
    <t>MA_MFH_post_2003_Unoccupied_high_insulated_floor_Tight_envelope_HRV_Full_insulated_wall_cavity_exterior_Triple_pane_lowE</t>
  </si>
  <si>
    <t>Choose the metric you want to define from the dropdown</t>
  </si>
  <si>
    <t>Does not need to be filled in, will automatically populate</t>
  </si>
  <si>
    <t>Fill in the value for the chosen metric</t>
  </si>
  <si>
    <t>Name your variable. This should be something to recognize for the template assignment</t>
  </si>
  <si>
    <t>Variable</t>
  </si>
  <si>
    <t>Description</t>
  </si>
  <si>
    <t>Unit</t>
  </si>
  <si>
    <t>Variable_naming</t>
  </si>
  <si>
    <t>Occupant_density</t>
  </si>
  <si>
    <t>Occupancy_1</t>
  </si>
  <si>
    <t>Occupancy_2</t>
  </si>
  <si>
    <t>Power_density</t>
  </si>
  <si>
    <t>Power_1</t>
  </si>
  <si>
    <r>
      <rPr>
        <sz val="12"/>
        <color theme="1"/>
        <rFont val="Malgun Gothic"/>
        <family val="2"/>
        <charset val="129"/>
      </rPr>
      <t>Add another unit</t>
    </r>
    <r>
      <rPr>
        <b/>
        <sz val="12"/>
        <color theme="1"/>
        <rFont val="맑은 고딕"/>
        <family val="2"/>
        <charset val="129"/>
      </rPr>
      <t xml:space="preserve"> kWh per year/m2</t>
    </r>
  </si>
  <si>
    <t>Power_2</t>
  </si>
  <si>
    <t>Lighting_density</t>
  </si>
  <si>
    <t>Lighting_1</t>
  </si>
  <si>
    <t>Lighting_2</t>
  </si>
  <si>
    <t>Schedules</t>
  </si>
  <si>
    <t>Fill in this column with the occupant density per variable/type of building you choose.</t>
  </si>
  <si>
    <t>The occupancy schedule can be either self-designed in the three schedule tabs, or you can pick from the set of provided options</t>
  </si>
  <si>
    <t>Name</t>
  </si>
  <si>
    <t>MetabolicRate</t>
  </si>
  <si>
    <t>Occupant_units</t>
  </si>
  <si>
    <t>Occupant_schedule</t>
  </si>
  <si>
    <t>Source</t>
  </si>
  <si>
    <t>KR_res_sf</t>
  </si>
  <si>
    <t>person/m2</t>
  </si>
  <si>
    <t>Residential_Occupancy_Year</t>
  </si>
  <si>
    <t>건축물 에너지효율등급 인증제도 운영규정 [별표2] 주거 및 주거용 이외 건축물 용도프로필 / Operating Regulations for the Building Energy Rating System [Appendix 2]: Use Profiles for Residential and Non-Residential Buildings</t>
  </si>
  <si>
    <t>KR_res_mf_low</t>
  </si>
  <si>
    <t>KR_res_mf_high</t>
  </si>
  <si>
    <t>KR_office_small</t>
  </si>
  <si>
    <t>Office_Occupancy_Year</t>
  </si>
  <si>
    <t>KR_office_medium</t>
  </si>
  <si>
    <t>KR_office_large</t>
  </si>
  <si>
    <t>KR_retail_small</t>
  </si>
  <si>
    <t>Retail_Occupancy_Year</t>
  </si>
  <si>
    <t>KR_retail_medium</t>
  </si>
  <si>
    <t>KR_retail_large</t>
  </si>
  <si>
    <t>KR_school</t>
  </si>
  <si>
    <t>School_Occupancy_Year</t>
  </si>
  <si>
    <t>KR_hospital</t>
  </si>
  <si>
    <t>Hospital_Occupancy_Year</t>
  </si>
  <si>
    <t>KR_welfare</t>
  </si>
  <si>
    <t>KR_culture</t>
  </si>
  <si>
    <t>KR_religious</t>
  </si>
  <si>
    <t>KR_factory</t>
  </si>
  <si>
    <t>Industrial_Occupancy_Year</t>
  </si>
  <si>
    <t>KR_warehouse</t>
  </si>
  <si>
    <t>KR_hotel</t>
  </si>
  <si>
    <t>Hotel_Occupancy_Year</t>
  </si>
  <si>
    <t>KR_data</t>
  </si>
  <si>
    <t>DataCenter_Occupancy_Year</t>
  </si>
  <si>
    <t>KR_etc</t>
  </si>
  <si>
    <t>Fill in this column with the lighting density per variable/type of building you choose.</t>
  </si>
  <si>
    <t>The lighting schedule can be either self-designed in the three schedule tabs, or you can pick from the set of provided options</t>
  </si>
  <si>
    <t>Lighting_power_density</t>
  </si>
  <si>
    <t>DimmingType</t>
  </si>
  <si>
    <t>Lighting_schedule</t>
  </si>
  <si>
    <t>Lighting_power_density_unit</t>
  </si>
  <si>
    <t>KR_res_sf_LowEff</t>
  </si>
  <si>
    <t>Off</t>
  </si>
  <si>
    <t>Residential_Lighting_Year</t>
  </si>
  <si>
    <t>W/m2</t>
  </si>
  <si>
    <t>2020년 에너지총조사_공개용 마이크로데이터/ 2020 Energy Consumption Survey: Public-Use Microdata</t>
  </si>
  <si>
    <t>KR_res_sf_Standard</t>
  </si>
  <si>
    <t>KR_res_sf_HighEff</t>
  </si>
  <si>
    <t>KR_res_mf_Low_LowEff</t>
  </si>
  <si>
    <t>KR_res_mf_Low_Standard</t>
  </si>
  <si>
    <t>KR_res_mf_Low_HighEff</t>
  </si>
  <si>
    <t>KR_res_mf_High_LowEff</t>
  </si>
  <si>
    <t>KR_res_mf_High_Standard</t>
  </si>
  <si>
    <t>KR_res_mf_High_HighEff</t>
  </si>
  <si>
    <t>KR_office_small_LowEff</t>
  </si>
  <si>
    <t>Office_Lighting_Year</t>
  </si>
  <si>
    <t>KR_office_small_Standard</t>
  </si>
  <si>
    <t>KR_office_small_HighEff</t>
  </si>
  <si>
    <t>KR_office_medium_LowEff</t>
  </si>
  <si>
    <t>KR_office_medium_Standard</t>
  </si>
  <si>
    <t>KR_office_medium_HighEff</t>
  </si>
  <si>
    <t>KR_office_large_LowEff</t>
  </si>
  <si>
    <t>KR_office_large_Standard</t>
  </si>
  <si>
    <t>KR_office_large_HighEff</t>
  </si>
  <si>
    <t>KR_retail_small_LowEff</t>
  </si>
  <si>
    <t>Retail_Lighting_Year</t>
  </si>
  <si>
    <t>KR_retail_small_Standard</t>
  </si>
  <si>
    <t>KR_retail_small_HighEff</t>
  </si>
  <si>
    <t>KR_retail_medium_LowEff</t>
  </si>
  <si>
    <t>KR_retail_medium_Standard</t>
  </si>
  <si>
    <t>KR_retail_medium_HighEff</t>
  </si>
  <si>
    <t>KR_retail_large_LowEff</t>
  </si>
  <si>
    <t>KR_retail_large_Standard</t>
  </si>
  <si>
    <t>KR_retail_large_HighEff</t>
  </si>
  <si>
    <t>KR_school_LowEff</t>
  </si>
  <si>
    <t>School_Lighting_Year</t>
  </si>
  <si>
    <t>KR_school_Standard</t>
  </si>
  <si>
    <t>KR_school_HighEff</t>
  </si>
  <si>
    <t>KR_hospital_LowEff</t>
  </si>
  <si>
    <t>Hospital_Lighting_Year</t>
  </si>
  <si>
    <t>KR_hospital_Standard</t>
  </si>
  <si>
    <t>KR_hospital_HighEff</t>
  </si>
  <si>
    <t>KR_welfare_LowEff</t>
  </si>
  <si>
    <t>KR_welfare_Standard</t>
  </si>
  <si>
    <t>KR_welfare_HighEff</t>
  </si>
  <si>
    <t>KR_culture_LowEff</t>
  </si>
  <si>
    <t>KR_culture_Standard</t>
  </si>
  <si>
    <t>KR_culture_HighEff</t>
  </si>
  <si>
    <t>KR_religious_LowEff</t>
  </si>
  <si>
    <t>KR_religious_Standard</t>
  </si>
  <si>
    <t>KR_religious_HighEff</t>
  </si>
  <si>
    <t>KR_factory_LowEff</t>
  </si>
  <si>
    <t>Industrial_Lighting_Year</t>
  </si>
  <si>
    <t>KR_factory_Standard</t>
  </si>
  <si>
    <t>KR_factory_HighEff</t>
  </si>
  <si>
    <t>KR_warehouse_LowEff</t>
  </si>
  <si>
    <t>KR_warehouse_Standard</t>
  </si>
  <si>
    <t>KR_warehouse_HighEff</t>
  </si>
  <si>
    <t>KR_hotel_LowEff</t>
  </si>
  <si>
    <t>Hotel_Lighting_Year</t>
  </si>
  <si>
    <t>KR_hotel_Standard</t>
  </si>
  <si>
    <t>KR_hotel_HighEff</t>
  </si>
  <si>
    <t>KR_data_LowEff</t>
  </si>
  <si>
    <t>DataCenter_Lighting_Year</t>
  </si>
  <si>
    <t>KR_data_Standard</t>
  </si>
  <si>
    <t>KR_data_HighEff</t>
  </si>
  <si>
    <t>KR_etc_LowEff</t>
  </si>
  <si>
    <t>KR_etc_Standard</t>
  </si>
  <si>
    <t>KR_etc_HighEff</t>
  </si>
  <si>
    <t>Fill in this column with the equipment power density per variable/type of building you choose.</t>
  </si>
  <si>
    <t>The equipment schedule can be either self-designed in the three schedule tabs, or you can pick from the set of provided options</t>
  </si>
  <si>
    <t>Equipment_power_density</t>
  </si>
  <si>
    <t>Equipment_power_density_unit</t>
  </si>
  <si>
    <t>Equipment_schedule</t>
  </si>
  <si>
    <t>Sources</t>
  </si>
  <si>
    <t>Residential_Equipment_Year</t>
  </si>
  <si>
    <t>Office_Equipment_Year</t>
  </si>
  <si>
    <t>Retail_Equipment_Year</t>
  </si>
  <si>
    <t>Ashrae Standard 90.1</t>
  </si>
  <si>
    <t>School_Equipment_Year</t>
  </si>
  <si>
    <t>Hospital_Equipment_Year</t>
  </si>
  <si>
    <t>Industrial_Equipment_Year</t>
  </si>
  <si>
    <t>Hotel_Equipment_Year</t>
  </si>
  <si>
    <t>DataCenter_Equipment_Year</t>
  </si>
  <si>
    <t xml:space="preserve">Schedule+type </t>
  </si>
  <si>
    <t xml:space="preserve">View sample schedules here and alter them </t>
  </si>
  <si>
    <t>Schedule</t>
  </si>
  <si>
    <t>Heating_distribution_fluid</t>
  </si>
  <si>
    <t>Heating_setpoints</t>
  </si>
  <si>
    <t>Heating_distribution_temperature</t>
  </si>
  <si>
    <t>Heating_setpoint_schedule</t>
  </si>
  <si>
    <t>Cooling_setpoints</t>
  </si>
  <si>
    <t>Cooling_setpoint_schedule</t>
  </si>
  <si>
    <t>Cooling_distribution_temperature</t>
  </si>
  <si>
    <t>Minimum_fresh_air</t>
  </si>
  <si>
    <t>Heating_COP_penalty</t>
  </si>
  <si>
    <t>Cooling_COP_penalty</t>
  </si>
  <si>
    <t>Setpoint_type</t>
  </si>
  <si>
    <t>Heating_setpoint</t>
  </si>
  <si>
    <t>Heating_schedule</t>
  </si>
  <si>
    <t>Cooling_setpoint</t>
  </si>
  <si>
    <t>Cooling_schedule</t>
  </si>
  <si>
    <t>Setpoint_units</t>
  </si>
  <si>
    <t>KR_res_sf_NoControl</t>
  </si>
  <si>
    <t>Constant</t>
  </si>
  <si>
    <t>Residential_Heating_Year</t>
  </si>
  <si>
    <t>Residential_Cooling_Year</t>
  </si>
  <si>
    <t>Celsius</t>
  </si>
  <si>
    <t>KR_res_mf_low_NoControl</t>
  </si>
  <si>
    <t>KR_res_mf_high_NoControl</t>
  </si>
  <si>
    <t>KR_office_small_NoControl</t>
  </si>
  <si>
    <t>Office_Heating_Year</t>
  </si>
  <si>
    <t>Office_Cooling_Year</t>
  </si>
  <si>
    <t>KR_office_medium_NoControl</t>
  </si>
  <si>
    <t>KR_office_large_NoControl</t>
  </si>
  <si>
    <t>KR_retail_small_NoControl</t>
  </si>
  <si>
    <t>Retail_Heating_Year</t>
  </si>
  <si>
    <t>Retail_Cooling_Year</t>
  </si>
  <si>
    <t>KR_retail_medium_NoControl</t>
  </si>
  <si>
    <t>KR_retail_large_NoControl</t>
  </si>
  <si>
    <t>KR_school_NoControl</t>
  </si>
  <si>
    <t>School_Heating_Year</t>
  </si>
  <si>
    <t>School_Cooling_Year</t>
  </si>
  <si>
    <t>KR_hospital_NoControl</t>
  </si>
  <si>
    <t>Hospital_Heating_Year</t>
  </si>
  <si>
    <t>Hospital_Cooling_Year</t>
  </si>
  <si>
    <t>KR_welfare_NoControl</t>
  </si>
  <si>
    <t>KR_culture_NoControl</t>
  </si>
  <si>
    <t>KR_religious_NoControl</t>
  </si>
  <si>
    <t>KR_factory_NoControl</t>
  </si>
  <si>
    <t>Industrial_Heating_Year</t>
  </si>
  <si>
    <t>Industrial_Cooling_Year</t>
  </si>
  <si>
    <t>KR_warehouse_NoControl</t>
  </si>
  <si>
    <t>KR_hotel_NoControl</t>
  </si>
  <si>
    <t>Hotel_Heating_Year</t>
  </si>
  <si>
    <t>Hotel_Cooling_Year</t>
  </si>
  <si>
    <t>KR_data_NoControl</t>
  </si>
  <si>
    <t>DataCenter_Heating_Year</t>
  </si>
  <si>
    <t>DataCenter_Cooling_Year</t>
  </si>
  <si>
    <t>KR_etc_NoControl</t>
  </si>
  <si>
    <t>DHW_flow_rate</t>
  </si>
  <si>
    <t>Water_schedule</t>
  </si>
  <si>
    <t>Flow_rate_unit</t>
  </si>
  <si>
    <t>KR_res_sf_water</t>
  </si>
  <si>
    <t>m3/day/person</t>
  </si>
  <si>
    <t>KR_res_mf_low_water</t>
  </si>
  <si>
    <t>KR_res_mf_high_water</t>
  </si>
  <si>
    <t>KR_office_small_water</t>
  </si>
  <si>
    <t>KR_office_medium_water</t>
  </si>
  <si>
    <t>KR_office_large_water</t>
  </si>
  <si>
    <t>KR_retail_small_water</t>
  </si>
  <si>
    <t>KR_retail_medium_water</t>
  </si>
  <si>
    <t>KR_retail_large_water</t>
  </si>
  <si>
    <t>KR_school_water</t>
  </si>
  <si>
    <t>KR_hospital_water</t>
  </si>
  <si>
    <t>KR_welfare_water</t>
  </si>
  <si>
    <t>KR_culture_water</t>
  </si>
  <si>
    <t>KR_religious_water</t>
  </si>
  <si>
    <t>KR_factory_water</t>
  </si>
  <si>
    <t>KR_warehouse_water</t>
  </si>
  <si>
    <t>KR_hotel_water</t>
  </si>
  <si>
    <t>KR_data_water</t>
  </si>
  <si>
    <t>KR_etc_water</t>
  </si>
  <si>
    <t>건축물 에너지효율등급 인증제도 운영규정 [별표2] 주거 및 주거용 이외 건축물 용도프로필 / Operating Regulations for the Building Energy Efficiency Rating Certification System [Appendix 2]: Use Profiles for Residential and Non-Residential Buildings</t>
  </si>
  <si>
    <t>Create a package from your generated space uses. Ensure that they fit within your semantic schema</t>
  </si>
  <si>
    <t>WaterUse</t>
  </si>
  <si>
    <t>Calculated column. Please check that you agree with this value, otherwise change the COP_equipment and/or Distribution_loss</t>
  </si>
  <si>
    <t>Type</t>
  </si>
  <si>
    <t>Fuel</t>
  </si>
  <si>
    <t>Distribution_type</t>
  </si>
  <si>
    <t>COP_equipment</t>
  </si>
  <si>
    <t>Distribution_efficiency</t>
  </si>
  <si>
    <t>System_COP</t>
  </si>
  <si>
    <t>KR_CentralCooling_CAV</t>
  </si>
  <si>
    <t>Electricity</t>
  </si>
  <si>
    <t>Air</t>
  </si>
  <si>
    <t>KR_CentralCooling_VAV</t>
  </si>
  <si>
    <t>KR_CentralCooling_FCU</t>
  </si>
  <si>
    <t>Water</t>
  </si>
  <si>
    <t>KR_CentralHeating_CAV</t>
  </si>
  <si>
    <t>NaturalGas</t>
  </si>
  <si>
    <t>KR_CentralHeating_VAV</t>
  </si>
  <si>
    <t>KR_CentralHeating_FCU</t>
  </si>
  <si>
    <t>KR_CentralHeating_Radiator</t>
  </si>
  <si>
    <t>KR_Central_PackagedHVAC</t>
  </si>
  <si>
    <t>HeatingAndCooling</t>
  </si>
  <si>
    <t>KR_IndividualCooling_AC</t>
  </si>
  <si>
    <t>KR_IndividualCooling_ElectricHP</t>
  </si>
  <si>
    <t>KR_IndividualCooling_GasHP</t>
  </si>
  <si>
    <t>KR_IndividualCooling_GSHP</t>
  </si>
  <si>
    <t>KR_IndividualHeating_Radiator</t>
  </si>
  <si>
    <t>KR_IndividualHeating_ElectricHP</t>
  </si>
  <si>
    <t>KR_IndividualHeating_GasHP</t>
  </si>
  <si>
    <t>KR_IndividualHeating_GSHP</t>
  </si>
  <si>
    <t>KR_District_CentralCooling_CAV</t>
  </si>
  <si>
    <t>KR_District_CentralCooling_VAV</t>
  </si>
  <si>
    <t>KR_District_CentralCooling_FCU</t>
  </si>
  <si>
    <t>KR_District_CentralHeating_CAV</t>
  </si>
  <si>
    <t>KR_District_CentralHeating_VAV</t>
  </si>
  <si>
    <t>KR_District_CentralHeating_FCU</t>
  </si>
  <si>
    <t>KR_District_CentralHeating_Radiator</t>
  </si>
  <si>
    <t>KR_District_Central_PackagedHVAC</t>
  </si>
  <si>
    <t>KR_District_IndividualCooling_AC</t>
  </si>
  <si>
    <t>KR_District_IndividualCooling_ElectricHP</t>
  </si>
  <si>
    <t>KR_District_IndividualCooling_GasHP</t>
  </si>
  <si>
    <t>KR_District_IndividualCooling_GSHP</t>
  </si>
  <si>
    <t>KR_District_IndividualHeating_Radiator</t>
  </si>
  <si>
    <t>KR_District_IndividualHeating_ElectricHP</t>
  </si>
  <si>
    <t>KR_District_IndividualHeating_GasHP</t>
  </si>
  <si>
    <t>KR_District_IndividualHeating_GSHP</t>
  </si>
  <si>
    <t>KR_CentralHeating_etc</t>
  </si>
  <si>
    <t>KR_District_CentralHeating_etc</t>
  </si>
  <si>
    <t>KR_IndividualHeating_etc</t>
  </si>
  <si>
    <t>KR_District_IndividualHeating_etc</t>
  </si>
  <si>
    <t>KR_CentralCooling_etc</t>
  </si>
  <si>
    <t>KR_District_CentralCooling_etc</t>
  </si>
  <si>
    <t>KR_IndividualCooling_etc</t>
  </si>
  <si>
    <t>KR_District_IndividualCooling_etc</t>
  </si>
  <si>
    <t>Fresh_air_per_m2</t>
  </si>
  <si>
    <t>Fresh_air_per_unit</t>
  </si>
  <si>
    <t>Ventilation_type</t>
  </si>
  <si>
    <t>Tech_type</t>
  </si>
  <si>
    <t>Window_schedule</t>
  </si>
  <si>
    <t>Economizer</t>
  </si>
  <si>
    <t>HRV</t>
  </si>
  <si>
    <t>DCV</t>
  </si>
  <si>
    <t>KR_res_LeakyEnvelope</t>
  </si>
  <si>
    <t>m3/s/m2</t>
  </si>
  <si>
    <t>Natural</t>
  </si>
  <si>
    <t>Custom</t>
  </si>
  <si>
    <t>NoEconomizer</t>
  </si>
  <si>
    <t>NoHRV</t>
  </si>
  <si>
    <t>NoDCV</t>
  </si>
  <si>
    <t>건축물의 설비기준 등에 관한 규칙(공동주택 환기) / Rules on Building Equipment Standards (Residential Ventilation)</t>
  </si>
  <si>
    <t>KR_res_SomewhatLeakyEnvelope</t>
  </si>
  <si>
    <t>KR_res_TightEnvelope</t>
  </si>
  <si>
    <t>KR_res_TightEnvelopeHRV</t>
  </si>
  <si>
    <t>Mechanical</t>
  </si>
  <si>
    <t>Sensible</t>
  </si>
  <si>
    <t>KR_office_LeakyEnvelope</t>
  </si>
  <si>
    <t>DryBulb</t>
  </si>
  <si>
    <t>건축물의 설비기준 등에 관한 규칙(다중이용시설 기계환기) / Rules on Building Equipment Standards (Mechanical Ventilation for Public-use Buildings)</t>
  </si>
  <si>
    <t>KR_office_SomewhatLeakyEnvelope</t>
  </si>
  <si>
    <t>KR_office_TightEnvelope</t>
  </si>
  <si>
    <t>KR_office_TightEnvelopeDCV</t>
  </si>
  <si>
    <t>CO2Setpoint</t>
  </si>
  <si>
    <t>KR_retail_LeakyEnvelope</t>
  </si>
  <si>
    <t>KR_retail_SomewhatLeakyEnvelope</t>
  </si>
  <si>
    <t>KR_retail_TightEnvelope</t>
  </si>
  <si>
    <t>KR_retail_TightEnvelopeDCV</t>
  </si>
  <si>
    <t>KR_school_religious_culture_LeakyEnvelope</t>
  </si>
  <si>
    <t>KR_school_religious_culture_SomewhatLeakyEnvelope</t>
  </si>
  <si>
    <t>KR_school_religious_culture_TightEnvelope</t>
  </si>
  <si>
    <t>KR_school_religious_culture_TightEnvelopeDCV</t>
  </si>
  <si>
    <t>KR_hospital_welfare_LeakyEnvelope</t>
  </si>
  <si>
    <t>건축물의 설비기준 등에 관한 규칙(의료·복지시설 환기) / Rules on Building Equipment Standards (Healthcare and Welfare Facilities Ventilation)</t>
  </si>
  <si>
    <t>KR_hospital_welfare_SomewhatLeakyEnvelope</t>
  </si>
  <si>
    <t>KR_hospital_welfare_TightEnvelope</t>
  </si>
  <si>
    <t>KR_hospital_welfare_TightEnvelopeHRV</t>
  </si>
  <si>
    <t>KR_hospital_welfare_TightEnvelopeDCV</t>
  </si>
  <si>
    <t>KR_factory_data_etc_LeakyEnvelope</t>
  </si>
  <si>
    <t>건축물의 설비기준 등에 관한 규칙(기타시설) / Rules on Building Equipment Standards (Other Building Types)</t>
  </si>
  <si>
    <t>KR_factory_data_etc_SomewhatLeakyEnvelope</t>
  </si>
  <si>
    <t>KR_factory_data_etc_TightEnvelope</t>
  </si>
  <si>
    <t>KR_warehouse_LeakyEnvelope</t>
  </si>
  <si>
    <t>KR_warehouse_SomewhatLeakyEnvelope</t>
  </si>
  <si>
    <t>KR_warehouse_TightEnvelope</t>
  </si>
  <si>
    <t>KR_hotel_LeakyEnvelope</t>
  </si>
  <si>
    <t>KR_hotel_SomewhatLeakyEnvelope</t>
  </si>
  <si>
    <t>KR_hotel_TightEnvelope</t>
  </si>
  <si>
    <t>KR_hotel_TightEnvelopeHRV</t>
  </si>
  <si>
    <t>Latent</t>
  </si>
  <si>
    <t>m3/s/p</t>
  </si>
  <si>
    <t>Flow_rate_per_person</t>
  </si>
  <si>
    <t>DHW_temperature</t>
  </si>
  <si>
    <t>DHW_COP</t>
  </si>
  <si>
    <t>DHW_energy_source</t>
  </si>
  <si>
    <t>Water_temperature_inlet</t>
  </si>
  <si>
    <t>Water_supply_temperature</t>
  </si>
  <si>
    <t>Heat generation efficiency</t>
  </si>
  <si>
    <t>KR_Central_NaturalGas</t>
  </si>
  <si>
    <t>KR_Central_DistrictHeating</t>
  </si>
  <si>
    <t>KR_Individual_NaturalGas</t>
  </si>
  <si>
    <t>KR_Individual_DistrictHeating</t>
  </si>
  <si>
    <t>Choose the specific construction for each of these features for your overall construction from the drop downs. If you don't see your construction generated, then check the names you attributed in the previous steps</t>
  </si>
  <si>
    <t>Ventilation</t>
  </si>
  <si>
    <t>Fill in your constructions material by material. The outermost material should be Material_1 and you can build inwards from there. Materials available will appear in the dropdown menu. Enter a thickness for each material in meters (m). You do not need to fill in values for all 6 materials, but need at least 1 material and thickness.</t>
  </si>
  <si>
    <t>Concat_column</t>
  </si>
  <si>
    <t>CONSTRUCTION OPTIONS</t>
  </si>
  <si>
    <t>Material_1 (outermost material)</t>
  </si>
  <si>
    <t>Thickness_1</t>
  </si>
  <si>
    <t>Material_2</t>
  </si>
  <si>
    <t>Thickness_2</t>
  </si>
  <si>
    <t>Material_3</t>
  </si>
  <si>
    <t>Thickness_3</t>
  </si>
  <si>
    <t>Material_4</t>
  </si>
  <si>
    <t>Thickness_4</t>
  </si>
  <si>
    <t>Material_5</t>
  </si>
  <si>
    <t>Thickness_5</t>
  </si>
  <si>
    <t>Material_6</t>
  </si>
  <si>
    <t>Thickness_6</t>
  </si>
  <si>
    <t>Oriented strand board</t>
  </si>
  <si>
    <t>Shale</t>
  </si>
  <si>
    <t>Stucco</t>
  </si>
  <si>
    <t>Check the material list to determine if there is any material missing for your country. Include the materials you need here with the appropriate values in columns C - J. Please write the name in the local language in column A, and the english name in column B</t>
  </si>
  <si>
    <t>English_name</t>
  </si>
  <si>
    <t>Roughness</t>
  </si>
  <si>
    <t>ThermalAbsorptance</t>
  </si>
  <si>
    <t>VisibleAbsorptance</t>
  </si>
  <si>
    <t>SolarAbsorptance</t>
  </si>
  <si>
    <t>TemperatureCoefficientThermalConductivity</t>
  </si>
  <si>
    <t>Conductivity [W/m.K]</t>
  </si>
  <si>
    <t>Density [kg/m3]</t>
  </si>
  <si>
    <t>Hatch_pattern</t>
  </si>
  <si>
    <t>SpecificHeat [J/kg.K]</t>
  </si>
  <si>
    <t>철근콘크리트</t>
  </si>
  <si>
    <t>reinforced_concrete_korea</t>
  </si>
  <si>
    <t>Concrete</t>
  </si>
  <si>
    <t>MediumRough</t>
  </si>
  <si>
    <t>concrete</t>
  </si>
  <si>
    <t>점토벽돌</t>
  </si>
  <si>
    <t>clay_brick_korea</t>
  </si>
  <si>
    <t>Masonry</t>
  </si>
  <si>
    <t>Rough</t>
  </si>
  <si>
    <t>brick</t>
  </si>
  <si>
    <t>시멘트몰탈</t>
  </si>
  <si>
    <t>cement_mortar_korea</t>
  </si>
  <si>
    <t>MediumSmooth</t>
  </si>
  <si>
    <t>mortar</t>
  </si>
  <si>
    <t>석고보드</t>
  </si>
  <si>
    <t>gypsum_board_korea</t>
  </si>
  <si>
    <t>Smooth</t>
  </si>
  <si>
    <t>gypsum</t>
  </si>
  <si>
    <t>공기층(비통기)</t>
  </si>
  <si>
    <t>air_gap_unventilated_korea</t>
  </si>
  <si>
    <t>air</t>
  </si>
  <si>
    <t>비드법단열재(EPS)</t>
  </si>
  <si>
    <t>eps_insulation_korea</t>
  </si>
  <si>
    <t>Insulation</t>
  </si>
  <si>
    <t>insulation</t>
  </si>
  <si>
    <t>압출법단열재(XPS)</t>
  </si>
  <si>
    <t>xps_insulation_korea</t>
  </si>
  <si>
    <t>미네랄울</t>
  </si>
  <si>
    <t>mineral_wool_korea</t>
  </si>
  <si>
    <t>구조용합판</t>
  </si>
  <si>
    <t>wood_sheathing_korea</t>
  </si>
  <si>
    <t>Timber</t>
  </si>
  <si>
    <t>wood</t>
  </si>
  <si>
    <t>Vaporpermeable Felt</t>
  </si>
  <si>
    <t>Gypsum Board</t>
  </si>
  <si>
    <t>Wood joist</t>
  </si>
  <si>
    <t>Wood rafter</t>
  </si>
  <si>
    <t>Polyethylene</t>
  </si>
  <si>
    <t>Drywall</t>
  </si>
  <si>
    <t>Roof felt</t>
  </si>
  <si>
    <t>Synthetic felt</t>
  </si>
  <si>
    <t>Modified Bitumin</t>
  </si>
  <si>
    <t>Vapor Retarder</t>
  </si>
  <si>
    <t>EPDM</t>
  </si>
  <si>
    <t>SIP Panel</t>
  </si>
  <si>
    <t>Spray foam</t>
  </si>
  <si>
    <t>Vinyl siding</t>
  </si>
  <si>
    <t>Fiber cement siding</t>
  </si>
  <si>
    <t>Foam glass</t>
  </si>
  <si>
    <t>Wood stud</t>
  </si>
  <si>
    <t>Plaster</t>
  </si>
  <si>
    <t>Sheathing - Regular Density</t>
  </si>
  <si>
    <t>Sheathing Intermediate Density</t>
  </si>
  <si>
    <t>Mineral Wool</t>
  </si>
  <si>
    <t>Carpet</t>
  </si>
  <si>
    <t>XPS Board</t>
  </si>
  <si>
    <t>Asphalt Shingles</t>
  </si>
  <si>
    <t>Pine wood</t>
  </si>
  <si>
    <t>Douglas fir</t>
  </si>
  <si>
    <t>Oak EU</t>
  </si>
  <si>
    <t>Spruce</t>
  </si>
  <si>
    <t>Larch</t>
  </si>
  <si>
    <t>Medium density fiberboard</t>
  </si>
  <si>
    <t>Chipboard</t>
  </si>
  <si>
    <t>General Concrete</t>
  </si>
  <si>
    <t>Concrete reinforced 20-30 MPa</t>
  </si>
  <si>
    <t>Concrete reinforced 30-50 MPa</t>
  </si>
  <si>
    <t>Asphalt low binder content</t>
  </si>
  <si>
    <t>Asphalt high binder content</t>
  </si>
  <si>
    <t>Lightweight concrete</t>
  </si>
  <si>
    <t>Cement screed</t>
  </si>
  <si>
    <t>Basalt</t>
  </si>
  <si>
    <t>Granite</t>
  </si>
  <si>
    <t>Lime stone</t>
  </si>
  <si>
    <t>Adobe 1500 Kg/M3</t>
  </si>
  <si>
    <t>Adobe 1500 Kg/M4</t>
  </si>
  <si>
    <t>Sand stone</t>
  </si>
  <si>
    <t>Clinker brick 1400 Kg/M3</t>
  </si>
  <si>
    <t>Clinker brick 1400 Kg/M4</t>
  </si>
  <si>
    <t>Clinker brick 1600 Kg/M3</t>
  </si>
  <si>
    <t>Clinker brick 1600 Kg/M4</t>
  </si>
  <si>
    <t>Clinker brick 1800 Kg/M3</t>
  </si>
  <si>
    <t>Clinker brick 1800 Kg/M4</t>
  </si>
  <si>
    <t>Clinker brick 2000 Kg/M3</t>
  </si>
  <si>
    <t>Clinker brick 2000 Kg/M4</t>
  </si>
  <si>
    <t>Aerated concrete 350 Kg/M3</t>
  </si>
  <si>
    <t>Aerated concrete 350 Kg/M4</t>
  </si>
  <si>
    <t>Aerated concrete 500 Kg/M3</t>
  </si>
  <si>
    <t>Aerated concrete 500 Kg/M4</t>
  </si>
  <si>
    <t>Ytong block W PP 1.6-0.30</t>
  </si>
  <si>
    <t>Ytong block W PP 1.6-0.31</t>
  </si>
  <si>
    <t>Poroton Plan-T10</t>
  </si>
  <si>
    <t>Poroton Plan-T11</t>
  </si>
  <si>
    <t>Rigid foam EPS 035</t>
  </si>
  <si>
    <t>Rigid foam EPS 036</t>
  </si>
  <si>
    <t>Rigid foam PUR no coating</t>
  </si>
  <si>
    <t>Rigid foam PUR alu coating</t>
  </si>
  <si>
    <t>Rigid foam PUR fleece coating</t>
  </si>
  <si>
    <t>Wood fiber insulating board</t>
  </si>
  <si>
    <t>Styrofoam</t>
  </si>
  <si>
    <t>Vacuum insulation panel Variotec</t>
  </si>
  <si>
    <t>Cement Plaster</t>
  </si>
  <si>
    <t>Aluminium</t>
  </si>
  <si>
    <t>Aluminium Lath _ Plaster</t>
  </si>
  <si>
    <t>Steel no EE EC</t>
  </si>
  <si>
    <t>Eifs Finish</t>
  </si>
  <si>
    <t>Metal Surface</t>
  </si>
  <si>
    <t>Opaque Spandrel Glass</t>
  </si>
  <si>
    <t>Stone</t>
  </si>
  <si>
    <t>Concrete Cement/Lime - Mortar - And Stucco - 1600 Kg/M3 - 51mm</t>
  </si>
  <si>
    <t>Wood siding</t>
  </si>
  <si>
    <t>WOOD SIDING</t>
  </si>
  <si>
    <t>Acoustic Tile</t>
  </si>
  <si>
    <t>Light adobe NF 700</t>
  </si>
  <si>
    <t>Light adobe NF 1200</t>
  </si>
  <si>
    <t>Light adobe NF 1800</t>
  </si>
  <si>
    <t>Clinker brick</t>
  </si>
  <si>
    <t>Poroton T12</t>
  </si>
  <si>
    <t>Poroton T13</t>
  </si>
  <si>
    <t>Cork</t>
  </si>
  <si>
    <t>Ytong Multipor DAA ds</t>
  </si>
  <si>
    <t>Ytong Multipor WI WTR DI</t>
  </si>
  <si>
    <t>Ytong Multipor WAP</t>
  </si>
  <si>
    <t>Reed</t>
  </si>
  <si>
    <t>Vacuum insulation panel Vacupor NT-B2-S</t>
  </si>
  <si>
    <t>Stainless Steel</t>
  </si>
  <si>
    <t>Steel</t>
  </si>
  <si>
    <t>Rammed Earth</t>
  </si>
  <si>
    <t>Gypsum Board Saint-Gobain Rigips</t>
  </si>
  <si>
    <t>Cross Laminated Timber</t>
  </si>
  <si>
    <t>Sand-Lime Brick</t>
  </si>
  <si>
    <t>Bonded chippings</t>
  </si>
  <si>
    <t>Impact sound insulation</t>
  </si>
  <si>
    <t>Cellulose</t>
  </si>
  <si>
    <t>Heavyweight Concrete Block Perlite Filled</t>
  </si>
  <si>
    <t>Douglas fir no EE EC</t>
  </si>
  <si>
    <t>Concrete no EE EC</t>
  </si>
  <si>
    <t>Low Density Fiberglass batt</t>
  </si>
  <si>
    <t>Wood Stud _ Fiberglass</t>
  </si>
  <si>
    <t>Metal Stud _ Fiberglass</t>
  </si>
  <si>
    <t>Acrylic Paint</t>
  </si>
  <si>
    <t>Wood Siding</t>
  </si>
  <si>
    <t>Slate Or Tile</t>
  </si>
  <si>
    <t>VeryRough</t>
  </si>
  <si>
    <t>Wood Shingles</t>
  </si>
  <si>
    <t>Terrazzo</t>
  </si>
  <si>
    <t>Plywood</t>
  </si>
  <si>
    <t>Fiberboard Sheathing</t>
  </si>
  <si>
    <t>Wood</t>
  </si>
  <si>
    <t>Insulation Board</t>
  </si>
  <si>
    <t>Batt Insulation</t>
  </si>
  <si>
    <t>Brick</t>
  </si>
  <si>
    <t>Asbestos-Cement Board</t>
  </si>
  <si>
    <t>Gypsum Or Plaster Board</t>
  </si>
  <si>
    <t>Plywood (Douglas Fir)</t>
  </si>
  <si>
    <t>Plywood Or Wood Panels</t>
  </si>
  <si>
    <t>Nail-Base Sheathing</t>
  </si>
  <si>
    <t>Shingle Backer</t>
  </si>
  <si>
    <t>Sound Deadening Board</t>
  </si>
  <si>
    <t>Tile And Lay-In Panels - Plain Or Acoustic</t>
  </si>
  <si>
    <t>Laminated Paperboard</t>
  </si>
  <si>
    <t>Homogeneous Board From Repulped Paper</t>
  </si>
  <si>
    <t>Hardboard Medium Density</t>
  </si>
  <si>
    <t>Hardboard High Density - Service-Tempered Grade And Service Grade</t>
  </si>
  <si>
    <t>Hardboard High Density - Standard-Tempered Grade</t>
  </si>
  <si>
    <t>Particleboard Low Density</t>
  </si>
  <si>
    <t>Particleboard Medium Density</t>
  </si>
  <si>
    <t>Particleboard High Density</t>
  </si>
  <si>
    <t>Particleboard Underlayment</t>
  </si>
  <si>
    <t>Waferboard</t>
  </si>
  <si>
    <t>Wood Subfloor</t>
  </si>
  <si>
    <t>Insulation Cellular Glass</t>
  </si>
  <si>
    <t>Insulation Expanded Polystyrene - Extruded (Smooth Skin Surface) (Hcfc-142b Exp.)</t>
  </si>
  <si>
    <t>Insulation Expanded Polystyrene - Molded Beads - 16kg/M3 Density</t>
  </si>
  <si>
    <t>Insulation Expanded Polystyrene - Molded Beads - 20kg/M3 Density</t>
  </si>
  <si>
    <t>Insulation Expanded Polystyrene - Molded Beads - 24kg/M3 Density</t>
  </si>
  <si>
    <t>Insulation Expanded Polystyrene - Molded Beads - 28 K6/M3 Density</t>
  </si>
  <si>
    <t>Insulation Expanded Polystyrene - Molded Beads - 32 Kg/M3 Density</t>
  </si>
  <si>
    <t>Insulation Cellular Polyurethane Polyisocyanuratei (Cfc11 Exp.) (Unfaced)</t>
  </si>
  <si>
    <t>Insulation Cellular Polyisocyanuratei (Cfc-11 Exp.) (Gaspermeable Facers)</t>
  </si>
  <si>
    <t>Insulation Cellular Polyisocyanuratej (Cfc-11 Exp.) (Gasimpermeable Facers)</t>
  </si>
  <si>
    <t>Brick Fired Clay 2400 Kg/M3</t>
  </si>
  <si>
    <t>Brick Fired Clay 2400 Kg/M4</t>
  </si>
  <si>
    <t>Brick Fired Clay 2240 Kg/M3</t>
  </si>
  <si>
    <t>Brick Fired Clay 2240 Kg/M4</t>
  </si>
  <si>
    <t>Brick Fired Clay 2080 Kg/M3</t>
  </si>
  <si>
    <t>Brick Fired Clay 2080 Kg/M4</t>
  </si>
  <si>
    <t>Brick Fired Clay 1920 Kg/M3</t>
  </si>
  <si>
    <t>Brick Fired Clay 1920 Kg/M4</t>
  </si>
  <si>
    <t>Brick Fired Clay 1760 Kg/M3</t>
  </si>
  <si>
    <t>Brick Fired Clay 1760 Kg/M4</t>
  </si>
  <si>
    <t>Brick Fired Clay 1600 Kg/M3</t>
  </si>
  <si>
    <t>Brick Fired Clay 1600 Kg/M4</t>
  </si>
  <si>
    <t>Brick Fired Clay 1440 Kg/M3</t>
  </si>
  <si>
    <t>Brick Fired Clay 1440 Kg/M4</t>
  </si>
  <si>
    <t>Brick Fired Clay 1280 Kg/M3</t>
  </si>
  <si>
    <t>Brick Fired Clay 1280 Kg/M4</t>
  </si>
  <si>
    <t>Brick Fired Clay 1120 Kg/M3</t>
  </si>
  <si>
    <t>Brick Fired Clay 1120 Kg/M4</t>
  </si>
  <si>
    <t>Quartzitic And Sandstone - 2880 Kg/M3</t>
  </si>
  <si>
    <t>Quartzitic And Sandstone - 2880 Kg/M4</t>
  </si>
  <si>
    <t>Quartzitic And Sandstone - 2560 Kg/M3</t>
  </si>
  <si>
    <t>Quartzitic And Sandstone - 2560 Kg/M4</t>
  </si>
  <si>
    <t>Quartzitic And Sandstone - 2240 Kg/M3</t>
  </si>
  <si>
    <t>Quartzitic And Sandstone - 2240 Kg/M4</t>
  </si>
  <si>
    <t>Quartzitic And Sandstone - 1920 Kg/M3</t>
  </si>
  <si>
    <t>Quartzitic And Sandstone - 1920 Kg/M4</t>
  </si>
  <si>
    <t>Calcitic Dolomitic - Limestone - Marble - And Granite - 2880 Kg/M3 - 13mm</t>
  </si>
  <si>
    <t>Calcitic Dolomitic - Limestone - Marble - And Granite - 2560 Kg/M3 - 13mm</t>
  </si>
  <si>
    <t>Calcitic Dolomitic - Limestone - Marble - And Granite - 2240 Kg/M3 - 13mm</t>
  </si>
  <si>
    <t>Calcitic Dolomitic - Limestone - Marble - And Granite - 1920 Kg/M3 - 13mm</t>
  </si>
  <si>
    <t>Calcitic Dolomitic - Limestone - Marble - And Granite - 1600 Kg/M3 - 13mm</t>
  </si>
  <si>
    <t>Concrete Sand And Gravel Or Stone Aggregate Concretes - 2400 Kg/M3 - 51mm</t>
  </si>
  <si>
    <t>Concrete Sand And Gravel Or Stone Aggregate Concretes - 2240 Kg/M3 - 51mm</t>
  </si>
  <si>
    <t>Concrete Sand And Gravel Or Stone Aggregate Concretes - 2080 Kg/M3 - 51mm</t>
  </si>
  <si>
    <t>Concrete Limestone Concretes - 2240 Kg/M3 - 51mm</t>
  </si>
  <si>
    <t>Concrete Limestone Concretes - 1920 Kg/M3 - 51mm</t>
  </si>
  <si>
    <t>Concrete Limestone Concretes - 1600 Kg/M3 - 51mm</t>
  </si>
  <si>
    <t>Concrete Gypsum-Fiber Concrete (87.5% Gypsum - 12.5% Wood Chips) - 51mm</t>
  </si>
  <si>
    <t>Concrete Cement/Lime - Mortar - And Stucco - 1920 Kg/M3 - 51mm</t>
  </si>
  <si>
    <t>Concrete Cement/Lime - Mortar - And Stucco - 1280 Kg/M3 - 51mm</t>
  </si>
  <si>
    <t>Concrete Expanded Shale - Clay - Slate - Expanded Slags - Cinders - Pumice - 1920 Kg/M3 - 51mm</t>
  </si>
  <si>
    <t>Concrete Expanded Shale - Clay - Slate - Expanded Slags - Cinders - Pumice - 1600 Kg/M3 - 51mm</t>
  </si>
  <si>
    <t>Concrete Expanded Shale - Clay - Slate - Expanded Slags - Cinders - Pumice - 1280 Kg/M3 - 51mm</t>
  </si>
  <si>
    <t>Concrete Expanded Shale - Clay - Slate - Expanded Slags - Cinders - Pumice - 960 Kg/M3 - 51mm</t>
  </si>
  <si>
    <t>Concrete Expanded Shale - Clay - Slate - Expanded Slags - Cinders - Pumice - 640 Kg/M3 - 51mm</t>
  </si>
  <si>
    <t>Concrete Perlite - Vermiculite - And Polystyrene Beads - 800 Kg/M3 - 51mm</t>
  </si>
  <si>
    <t>Concrete Perlite - Vermiculite - And Polystyrene Beads - 640 Kg/M3 - 51mm</t>
  </si>
  <si>
    <t>Concrete Perlite - Vermiculite - And Polystyrene Beads - 480 Kg/M3 - 51mm</t>
  </si>
  <si>
    <t>Concrete Perlite - Vermiculite - And Polystyrene Beads - 320 Kg/M3 - 51mm</t>
  </si>
  <si>
    <t>Concrete Foam Concretes - 1920 Kg/M3 - 51mm</t>
  </si>
  <si>
    <t>Concrete Foam Concretes - 1600 Kg/M3 - 51mm</t>
  </si>
  <si>
    <t>Concrete Foam Concretes - 1280 Kg/M3 - 51mm</t>
  </si>
  <si>
    <t>Concrete Foam Concretes - 1120 Kg/M3 - 51mm</t>
  </si>
  <si>
    <t>Concrete Foam Concretes And Cellular Concretes - 960 Kg/M3 - 51mm</t>
  </si>
  <si>
    <t>Concrete Foam Concretes And Cellular Concretes - 640 Kg/M3 - 51mm</t>
  </si>
  <si>
    <t>Concrete Foam Concretes And Cellular Concretes - 320 Kg/M3 - 51mm</t>
  </si>
  <si>
    <t>Concrete Sand And Gravel Or Stone Aggregate Concretes - 2400 Kg/M3 - 102mm</t>
  </si>
  <si>
    <t>Concrete Sand And Gravel Or Stone Aggregate Concretes - 2240 Kg/M3 - 102mm</t>
  </si>
  <si>
    <t>Concrete Sand And Gravel Or Stone Aggregate Concretes - 2080 Kg/M3 - 102mm</t>
  </si>
  <si>
    <t>Concrete Limestone Concretes - 2240 Kg/M3 - 102mm</t>
  </si>
  <si>
    <t>Concrete Limestone Concretes - 1920 Kg/M3 - 102mm</t>
  </si>
  <si>
    <t>Concrete Limestone Concretes - 1600 Kg/M3 - 102mm</t>
  </si>
  <si>
    <t>Concrete Gypsum-Fiber Concrete (87.5% Gypsum - 12.5% Wood Chips) - 102mm</t>
  </si>
  <si>
    <t>Concrete Cement/Lime - Mortar - And Stucco - 1920 Kg/M3 - 102mm</t>
  </si>
  <si>
    <t>Concrete Cement/Lime - Mortar - And Stucco - 1600 Kg/M3 - 102mm</t>
  </si>
  <si>
    <t>Concrete Cement/Lime - Mortar - And Stucco - 1280 Kg/M3 - 102mm</t>
  </si>
  <si>
    <t>Concrete Expanded Shale - Clay - Slate - Expanded Slags - Cinders - Pumice - 1920 Kg/M3 - 102mm</t>
  </si>
  <si>
    <t>Concrete Expanded Shale - Clay - Slate - Expanded Slags - Cinders - Pumice - 1600 Kg/M3 - 102mm</t>
  </si>
  <si>
    <t>Concrete Expanded Shale - Clay - Slate - Expanded Slags - Cinders - Pumice - 1280 Kg/M3 - 102mm</t>
  </si>
  <si>
    <t>Concrete Expanded Shale - Clay - Slate - Expanded Slags - Cinders - Pumice - 960 Kg/M3 - 102mm</t>
  </si>
  <si>
    <t>Concrete Expanded Shale - Clay - Slate - Expanded Slags - Cinders - Pumice - 640 Kg/M3 - 102mm</t>
  </si>
  <si>
    <t>Concrete Perlite - Vermiculite - And Polystyrene Beads - 800 Kg/M3 - 102mm</t>
  </si>
  <si>
    <t>Concrete Perlite - Vermiculite - And Polystyrene Beads - 640 Kg/M3 - 102mm</t>
  </si>
  <si>
    <t>Concrete Perlite - Vermiculite - And Polystyrene Beads - 480 Kg/M3 - 102mm</t>
  </si>
  <si>
    <t>Concrete Perlite - Vermiculite - And Polystyrene Beads - 320 Kg/M3 - 102mm</t>
  </si>
  <si>
    <t>Concrete Foam Concretes - 1920 Kg/M3 - 102mm</t>
  </si>
  <si>
    <t>Concrete Foam Concretes - 1600 Kg/M3 - 102mm</t>
  </si>
  <si>
    <t>Concrete Foam Concretes - 1280 Kg/M3 - 102mm</t>
  </si>
  <si>
    <t>Concrete Foam Concretes - 1120 Kg/M3 - 102mm</t>
  </si>
  <si>
    <t>Concrete Foam Concretes And Cellular Concretes - 960 Kg/M3 - 102mm</t>
  </si>
  <si>
    <t>Concrete Foam Concretes And Cellular Concretes - 640 Kg/M3 - 102mm</t>
  </si>
  <si>
    <t>Concrete Foam Concretes And Cellular Concretes - 320 Kg/M3 - 102mm</t>
  </si>
  <si>
    <t>Hardwood</t>
  </si>
  <si>
    <t>Oak</t>
  </si>
  <si>
    <t>Birch</t>
  </si>
  <si>
    <t>Maple</t>
  </si>
  <si>
    <t>Ash</t>
  </si>
  <si>
    <t>Softwood</t>
  </si>
  <si>
    <t>Southern Pine</t>
  </si>
  <si>
    <t>Douglas Fir-Larch</t>
  </si>
  <si>
    <t>Southern Cypress</t>
  </si>
  <si>
    <t>Hem-Fir - Spruce-Pine-Fir</t>
  </si>
  <si>
    <t>West Coast Woods - Cedars</t>
  </si>
  <si>
    <t>California Redwood - 25mm</t>
  </si>
  <si>
    <t>Vaporseal - 2 Layers Of Mopped 0.73 Kg/M2 Felt</t>
  </si>
  <si>
    <t>Vaporseal - Plastic Film</t>
  </si>
  <si>
    <t>Carpet And Fibrous Pad</t>
  </si>
  <si>
    <t>Carpet And Rubber Pad</t>
  </si>
  <si>
    <t>Cork Tile - 3.2mm</t>
  </si>
  <si>
    <t>Terrazzo - 25mm</t>
  </si>
  <si>
    <t>Tile Asphalt - Linoleum - Vinyl - Rubber</t>
  </si>
  <si>
    <t>Tile Vinyl Asbestos</t>
  </si>
  <si>
    <t>Wood - Hardwood Finish - 19mm</t>
  </si>
  <si>
    <t>Acoustical Tile - 12.7mm</t>
  </si>
  <si>
    <t>Acoustical Tile - 19mm</t>
  </si>
  <si>
    <t>Asbestos-Cement Shingles</t>
  </si>
  <si>
    <t>Asphalt Roll Roofing</t>
  </si>
  <si>
    <t>Built-Up Roofing</t>
  </si>
  <si>
    <t>Slate</t>
  </si>
  <si>
    <t>Wood Shingles - Plain And Plastic Film Faced</t>
  </si>
  <si>
    <t>Cement Plaster Sand Aggregate - 10mm</t>
  </si>
  <si>
    <t>Cement Plaster Sand Aggregate - 20mm</t>
  </si>
  <si>
    <t>Gypsum Plaster Lightweight Aggregate - 13mm</t>
  </si>
  <si>
    <t>Gypsum Plaster Lightweight Aggregate - 16mm</t>
  </si>
  <si>
    <t>Gypsum Plaster Lightweight Aggregate On Metal Lath - 19mm</t>
  </si>
  <si>
    <t>Perlite Aggregate Plaster Sand Aggregate - 13mm</t>
  </si>
  <si>
    <t>Perlite Aggregate Plaster Sand Aggregate - 16mm</t>
  </si>
  <si>
    <t>Perlite Aggregate Plaster Sand Aggregate On Metal Lath - 19mm</t>
  </si>
  <si>
    <t>Gypsum Partition Tile 75 By 300 By 760mm - Solid</t>
  </si>
  <si>
    <t>Gypsum Partition Tile 75 By 300 By 760mm - 4 Cells</t>
  </si>
  <si>
    <t>Gypsum Partition Tile 100 By 300 By 760mm - 3 Cells</t>
  </si>
  <si>
    <t>Shingles Asbestos-Cement</t>
  </si>
  <si>
    <t>Shingles Wood 400mm - 190-Mm Exposure</t>
  </si>
  <si>
    <t>Shingles Wood -Double 400mm - 300-Mm Exposure</t>
  </si>
  <si>
    <t>Shingles Wood - Plus Insul. Backer Board</t>
  </si>
  <si>
    <t>Siding Asbestos-Cement 6.4mm</t>
  </si>
  <si>
    <t>Siding Asphalt Roll</t>
  </si>
  <si>
    <t>Siding Asphalt Insulating</t>
  </si>
  <si>
    <t>Siding Hardboard 11mm</t>
  </si>
  <si>
    <t>Siding Wood - Drop 20 By 200mm</t>
  </si>
  <si>
    <t>Siding Wood - Bevel 13 By 200mm - Lapped</t>
  </si>
  <si>
    <t>Siding Wood - Bevel 19 By 250mm - Lapped</t>
  </si>
  <si>
    <t>Siding Wood - Plywood 9.5mm - Lapped</t>
  </si>
  <si>
    <t>Siding Hollow-Backed</t>
  </si>
  <si>
    <t>Siding Insulating-Board Backed 9.5mm Nominal</t>
  </si>
  <si>
    <t>Siding Insulating-Board Backed 9.5mm Nominal - Foil Backed</t>
  </si>
  <si>
    <t>Siding Architectural (Soda-Lime Float) Glass</t>
  </si>
  <si>
    <t>Plaster Board with PCM</t>
  </si>
  <si>
    <t>Add a name for your construction - this should be recognizable to you for future assignment. Examples are provided here.</t>
  </si>
  <si>
    <t>Define what part of the envelope this construction is associated with from the drop down</t>
  </si>
  <si>
    <t>Generated value. Do not change</t>
  </si>
  <si>
    <t>Calculated value. Do not change</t>
  </si>
  <si>
    <t>Add the source for this construction</t>
  </si>
  <si>
    <t>(OPTIONAL) Add performance values for this construction</t>
  </si>
  <si>
    <t>R_value</t>
  </si>
  <si>
    <t>Base_name</t>
  </si>
  <si>
    <t>u_value_W_per_m2K</t>
  </si>
  <si>
    <t>Material_1</t>
  </si>
  <si>
    <t>Material_7</t>
  </si>
  <si>
    <t>Thickness_7</t>
  </si>
  <si>
    <t>DataSource</t>
  </si>
  <si>
    <t>EmbodiedEnergy [MJ/m¬≤]</t>
  </si>
  <si>
    <t>EmbodiedCarbon [kgCO2eq/m¬≤]</t>
  </si>
  <si>
    <t>Cost [$/m¬≤]</t>
  </si>
  <si>
    <t>Life [yr]</t>
  </si>
  <si>
    <t>외벽(외피)</t>
  </si>
  <si>
    <t>Korean Energy Saving Design Standards (derived)</t>
  </si>
  <si>
    <t>지붕(평지붕)</t>
  </si>
  <si>
    <t>다락 지붕</t>
  </si>
  <si>
    <t>지면접촉 바닥</t>
  </si>
  <si>
    <t>Partition (연식 무관)</t>
  </si>
  <si>
    <t>ExternalFloor (연식 무관)</t>
  </si>
  <si>
    <t>FloorCeiling (연식 무관)</t>
  </si>
  <si>
    <t>GroundWall (연식 무관)</t>
  </si>
  <si>
    <t>InternalMass</t>
  </si>
  <si>
    <t>InternalMass (연식 무관)</t>
  </si>
  <si>
    <t>BasementCeiling (연식 무관)</t>
  </si>
  <si>
    <t>AtticFloor (연식 무관)</t>
  </si>
  <si>
    <t>InfiltrationZone</t>
  </si>
  <si>
    <t>Infiltration_unit</t>
  </si>
  <si>
    <t>KR_res_sf_LeakyEnvelope</t>
  </si>
  <si>
    <t>KR_res_sf_LeakyEnvelope_Main</t>
  </si>
  <si>
    <t>Main</t>
  </si>
  <si>
    <t>AirChanges/Hour</t>
  </si>
  <si>
    <t>KR_res_sf_SomewhatLeakyEnvelope</t>
  </si>
  <si>
    <t>KR_res_sf_SomewhatLeakyEnvelope_Main</t>
  </si>
  <si>
    <t>KR_res_sf_TightEnvelope</t>
  </si>
  <si>
    <t>KR_res_sf_TightEnvelope_Main</t>
  </si>
  <si>
    <t>KR_res_sf_TightEnvelopeHRV</t>
  </si>
  <si>
    <t>KR_res_sf_TightEnvelopeHRV_Main</t>
  </si>
  <si>
    <t>KR_res_mf_low_LeakyEnvelope</t>
  </si>
  <si>
    <t>KR_res_mf_low_LeakyEnvelope_Main</t>
  </si>
  <si>
    <t>KR_res_mf_low_SomewhatLeakyEnvelope</t>
  </si>
  <si>
    <t>KR_res_mf_low_SomewhatLeakyEnvelope_Main</t>
  </si>
  <si>
    <t>KR_res_mf_low_TightEnvelope</t>
  </si>
  <si>
    <t>KR_res_mf_low_TightEnvelope_Main</t>
  </si>
  <si>
    <t>KR_res_mf_low_TightEnvelopeHRV</t>
  </si>
  <si>
    <t>KR_res_mf_low_TightEnvelopeHRV_Main</t>
  </si>
  <si>
    <t>KR_res_mf_high_LeakyEnvelope</t>
  </si>
  <si>
    <t>KR_res_mf_high_LeakyEnvelope_Main</t>
  </si>
  <si>
    <t>KR_res_mf_high_SomewhatLeakyEnvelope</t>
  </si>
  <si>
    <t>KR_res_mf_high_SomewhatLeakyEnvelope_Main</t>
  </si>
  <si>
    <t>KR_res_mf_high_TightEnvelope</t>
  </si>
  <si>
    <t>KR_res_mf_high_TightEnvelope_Main</t>
  </si>
  <si>
    <t>KR_res_mf_high_TightEnvelopeHRV</t>
  </si>
  <si>
    <t>KR_res_mf_high_TightEnvelopeHRV_Main</t>
  </si>
  <si>
    <t>KR_res_sf_UnventilatedAttic_LeakyEnvelope</t>
  </si>
  <si>
    <t>KR_res_sf_UnventilatedAttic_LeakyEnvelope_Attic</t>
  </si>
  <si>
    <t>Attic</t>
  </si>
  <si>
    <t>KR_res_sf_UnventilatedAttic_SomewhatLeakyEnvelope</t>
  </si>
  <si>
    <t>KR_res_sf_UnventilatedAttic_SomewhatLeakyEnvelope_Attic</t>
  </si>
  <si>
    <t>KR_res_sf_UnventilatedAttic_TightEnvelope</t>
  </si>
  <si>
    <t>KR_res_sf_UnventilatedAttic_TightEnvelope_Attic</t>
  </si>
  <si>
    <t>KR_res_sf_UnventilatedAttic_TightEnvelopeHRV</t>
  </si>
  <si>
    <t>KR_res_sf_UnventilatedAttic_TightEnvelopeHRV_Attic</t>
  </si>
  <si>
    <t>KR_res_sf_VentilatedAttic_LeakyEnvelope</t>
  </si>
  <si>
    <t>KR_res_sf_VentilatedAttic_LeakyEnvelope_Attic</t>
  </si>
  <si>
    <t>KR_res_sf_VentilatedAttic_SomewhatLeakyEnvelope</t>
  </si>
  <si>
    <t>KR_res_sf_VentilatedAttic_SomewhatLeakyEnvelope_Attic</t>
  </si>
  <si>
    <t>KR_res_sf_VentilatedAttic_TightEnvelope</t>
  </si>
  <si>
    <t>KR_res_sf_VentilatedAttic_TightEnvelope_Attic</t>
  </si>
  <si>
    <t>KR_res_sf_VentilatedAttic_TightEnvelopeHRV</t>
  </si>
  <si>
    <t>KR_res_sf_VentilatedAttic_TightEnvelopeHRV_Attic</t>
  </si>
  <si>
    <t>KR_res_sf_InsulatedWalls_LeakyEnvelope</t>
  </si>
  <si>
    <t>KR_res_sf_InsulatedWalls_LeakyEnvelope_Basement</t>
  </si>
  <si>
    <t>Basement</t>
  </si>
  <si>
    <t>KR_res_sf_InsulatedWalls_SomewhatLeakyEnvelope</t>
  </si>
  <si>
    <t>KR_res_sf_InsulatedWalls_SomewhatLeakyEnvelope_Basement</t>
  </si>
  <si>
    <t>KR_res_sf_InsulatedWalls_TightEnvelope</t>
  </si>
  <si>
    <t>KR_res_sf_InsulatedWalls_TightEnvelope_Basement</t>
  </si>
  <si>
    <t>KR_res_sf_InsulatedWalls_TightEnvelopeHRV</t>
  </si>
  <si>
    <t>KR_res_sf_InsulatedWalls_TightEnvelopeHRV_Basement</t>
  </si>
  <si>
    <t>KR_res_sf_UninsulatedWalls_LeakyEnvelope</t>
  </si>
  <si>
    <t>KR_res_sf_UninsulatedWalls_LeakyEnvelope_Basement</t>
  </si>
  <si>
    <t>KR_res_sf_UninsulatedWalls_SomewhatLeakyEnvelope</t>
  </si>
  <si>
    <t>KR_res_sf_UninsulatedWalls_SomewhatLeakyEnvelope_Basement</t>
  </si>
  <si>
    <t>KR_res_sf_UninsulatedWalls_TightEnvelope</t>
  </si>
  <si>
    <t>KR_res_sf_UninsulatedWalls_TightEnvelope_Basement</t>
  </si>
  <si>
    <t>KR_res_sf_UninsulatedWalls_TightEnvelopeHRV</t>
  </si>
  <si>
    <t>KR_res_sf_UninsulatedWalls_TightEnvelopeHRV_Basement</t>
  </si>
  <si>
    <t>KR_res_mf_low_InsulatedWalls_LeakyEnvelope</t>
  </si>
  <si>
    <t>KR_res_mf_low_InsulatedWalls_LeakyEnvelope_Basement</t>
  </si>
  <si>
    <t>KR_res_mf_low_InsulatedWalls_SomewhatLeakyEnvelope</t>
  </si>
  <si>
    <t>KR_res_mf_low_InsulatedWalls_SomewhatLeakyEnvelope_Basement</t>
  </si>
  <si>
    <t>KR_res_mf_low_InsulatedWalls_TightEnvelope</t>
  </si>
  <si>
    <t>KR_res_mf_low_InsulatedWalls_TightEnvelope_Basement</t>
  </si>
  <si>
    <t>KR_res_mf_low_InsulatedWalls_TightEnvelopeHRV</t>
  </si>
  <si>
    <t>KR_res_mf_low_InsulatedWalls_TightEnvelopeHRV_Basement</t>
  </si>
  <si>
    <t>KR_res_mf_low_UninsulatedWalls_LeakyEnvelope</t>
  </si>
  <si>
    <t>KR_res_mf_low_UninsulatedWalls_LeakyEnvelope_Basement</t>
  </si>
  <si>
    <t>KR_res_mf_low_UninsulatedWalls_SomewhatLeakyEnvelope</t>
  </si>
  <si>
    <t>KR_res_mf_low_UninsulatedWalls_SomewhatLeakyEnvelope_Basement</t>
  </si>
  <si>
    <t>KR_res_mf_low_UninsulatedWalls_TightEnvelope</t>
  </si>
  <si>
    <t>KR_res_mf_low_UninsulatedWalls_TightEnvelope_Basement</t>
  </si>
  <si>
    <t>KR_res_mf_low_UninsulatedWalls_TightEnvelopeHRV</t>
  </si>
  <si>
    <t>KR_res_mf_low_UninsulatedWalls_TightEnvelopeHRV_Basement</t>
  </si>
  <si>
    <t>KR_res_mf_high_InsulatedWalls_LeakyEnvelope</t>
  </si>
  <si>
    <t>KR_res_mf_high_InsulatedWalls_LeakyEnvelope_Basement</t>
  </si>
  <si>
    <t>KR_res_mf_high_InsulatedWalls_SomewhatLeakyEnvelope</t>
  </si>
  <si>
    <t>KR_res_mf_high_InsulatedWalls_SomewhatLeakyEnvelope_Basement</t>
  </si>
  <si>
    <t>KR_res_mf_high_InsulatedWalls_TightEnvelope</t>
  </si>
  <si>
    <t>KR_res_mf_high_InsulatedWalls_TightEnvelope_Basement</t>
  </si>
  <si>
    <t>KR_res_mf_high_InsulatedWalls_TightEnvelopeHRV</t>
  </si>
  <si>
    <t>KR_res_mf_high_InsulatedWalls_TightEnvelopeHRV_Basement</t>
  </si>
  <si>
    <t>KR_res_mf_high_UninsulatedWalls_LeakyEnvelope</t>
  </si>
  <si>
    <t>KR_res_mf_high_UninsulatedWalls_LeakyEnvelope_Basement</t>
  </si>
  <si>
    <t>KR_res_mf_high_UninsulatedWalls_SomewhatLeakyEnvelope</t>
  </si>
  <si>
    <t>KR_res_mf_high_UninsulatedWalls_SomewhatLeakyEnvelope_Basement</t>
  </si>
  <si>
    <t>KR_res_mf_high_UninsulatedWalls_TightEnvelope</t>
  </si>
  <si>
    <t>KR_res_mf_high_UninsulatedWalls_TightEnvelope_Basement</t>
  </si>
  <si>
    <t>KR_res_mf_high_UninsulatedWalls_TightEnvelopeHRV</t>
  </si>
  <si>
    <t>KR_res_mf_high_UninsulatedWalls_TightEnvelopeHRV_Basement</t>
  </si>
  <si>
    <t>KR_office_small_LeakyEnvelope</t>
  </si>
  <si>
    <t>KR_office_small_LeakyEnvelope_Main</t>
  </si>
  <si>
    <t>KR_office_small_SomewhatLeakyEnvelope</t>
  </si>
  <si>
    <t>KR_office_small_SomewhatLeakyEnvelope_Main</t>
  </si>
  <si>
    <t>KR_office_small_TightEnvelope</t>
  </si>
  <si>
    <t>KR_office_small_TightEnvelope_Main</t>
  </si>
  <si>
    <t>KR_office_small_TightEnvelopeDCV</t>
  </si>
  <si>
    <t>KR_office_small_TightEnvelopeDCV_Main</t>
  </si>
  <si>
    <t>KR_office_medium_LeakyEnvelope</t>
  </si>
  <si>
    <t>KR_office_medium_LeakyEnvelope_Main</t>
  </si>
  <si>
    <t>KR_office_medium_SomewhatLeakyEnvelope</t>
  </si>
  <si>
    <t>KR_office_medium_SomewhatLeakyEnvelope_Main</t>
  </si>
  <si>
    <t>KR_office_medium_TightEnvelope</t>
  </si>
  <si>
    <t>KR_office_medium_TightEnvelope_Main</t>
  </si>
  <si>
    <t>KR_office_medium_TightEnvelopeDCV</t>
  </si>
  <si>
    <t>KR_office_medium_TightEnvelopeDCV_Main</t>
  </si>
  <si>
    <t>KR_office_large_LeakyEnvelope</t>
  </si>
  <si>
    <t>KR_office_large_LeakyEnvelope_Main</t>
  </si>
  <si>
    <t>KR_office_large_SomewhatLeakyEnvelope</t>
  </si>
  <si>
    <t>KR_office_large_SomewhatLeakyEnvelope_Main</t>
  </si>
  <si>
    <t>KR_office_large_TightEnvelope</t>
  </si>
  <si>
    <t>KR_office_large_TightEnvelope_Main</t>
  </si>
  <si>
    <t>KR_office_large_TightEnvelopeDCV</t>
  </si>
  <si>
    <t>KR_office_large_TightEnvelopeDCV_Main</t>
  </si>
  <si>
    <t>KR_retail_small_LeakyEnvelope</t>
  </si>
  <si>
    <t>KR_retail_small_LeakyEnvelope_Main</t>
  </si>
  <si>
    <t>KR_retail_small_SomewhatLeakyEnvelope</t>
  </si>
  <si>
    <t>KR_retail_small_SomewhatLeakyEnvelope_Main</t>
  </si>
  <si>
    <t>KR_retail_small_TightEnvelope</t>
  </si>
  <si>
    <t>KR_retail_small_TightEnvelope_Main</t>
  </si>
  <si>
    <t>KR_retail_small_TightEnvelopeDCV</t>
  </si>
  <si>
    <t>KR_retail_small_TightEnvelopeDCV_Main</t>
  </si>
  <si>
    <t>KR_retail_medium_LeakyEnvelope</t>
  </si>
  <si>
    <t>KR_retail_medium_LeakyEnvelope_Main</t>
  </si>
  <si>
    <t>KR_retail_medium_SomewhatLeakyEnvelope</t>
  </si>
  <si>
    <t>KR_retail_medium_SomewhatLeakyEnvelope_Main</t>
  </si>
  <si>
    <t>KR_retail_medium_TightEnvelope</t>
  </si>
  <si>
    <t>KR_retail_medium_TightEnvelope_Main</t>
  </si>
  <si>
    <t>KR_retail_medium_TightEnvelopeDCV</t>
  </si>
  <si>
    <t>KR_retail_medium_TightEnvelopeDCV_Main</t>
  </si>
  <si>
    <t>KR_retail_large_LeakyEnvelope</t>
  </si>
  <si>
    <t>KR_retail_large_LeakyEnvelope_Main</t>
  </si>
  <si>
    <t>KR_retail_large_SomewhatLeakyEnvelope</t>
  </si>
  <si>
    <t>KR_retail_large_SomewhatLeakyEnvelope_Main</t>
  </si>
  <si>
    <t>KR_retail_large_TightEnvelope</t>
  </si>
  <si>
    <t>KR_retail_large_TightEnvelope_Main</t>
  </si>
  <si>
    <t>KR_retail_large_TightEnvelopeDCV</t>
  </si>
  <si>
    <t>KR_retail_large_TightEnvelopeDCV_Main</t>
  </si>
  <si>
    <t>KR_hotel_LeakyEnvelope_Main</t>
  </si>
  <si>
    <t>KR_hotel_SomewhatLeakyEnvelope_Main</t>
  </si>
  <si>
    <t>KR_hotel_TightEnvelope_Main</t>
  </si>
  <si>
    <t>KR_hotel_TightEnvelopeHRV_Main</t>
  </si>
  <si>
    <t>KR_hospital_LeakyEnvelope</t>
  </si>
  <si>
    <t>KR_hospital_LeakyEnvelope_Main</t>
  </si>
  <si>
    <t>KR_hospital_SomewhatLeakyEnvelope</t>
  </si>
  <si>
    <t>KR_hospital_SomewhatLeakyEnvelope_Main</t>
  </si>
  <si>
    <t>KR_hospital_TightEnvelope</t>
  </si>
  <si>
    <t>KR_hospital_TightEnvelope_Main</t>
  </si>
  <si>
    <t>KR_hospital_TightEnvelopeHRV</t>
  </si>
  <si>
    <t>KR_hospital_TightEnvelopeHRV_Main</t>
  </si>
  <si>
    <t>KR_school_LeakyEnvelope</t>
  </si>
  <si>
    <t>KR_school_LeakyEnvelope_Main</t>
  </si>
  <si>
    <t>KR_school_SomewhatLeakyEnvelope</t>
  </si>
  <si>
    <t>KR_school_SomewhatLeakyEnvelope_Main</t>
  </si>
  <si>
    <t>KR_school_TightEnvelope</t>
  </si>
  <si>
    <t>KR_school_TightEnvelope_Main</t>
  </si>
  <si>
    <t>KR_school_TightEnvelopeDCV</t>
  </si>
  <si>
    <t>KR_school_TightEnvelopeDCV_Main</t>
  </si>
  <si>
    <t>KR_welfare_LeakyEnvelope</t>
  </si>
  <si>
    <t>KR_welfare_LeakyEnvelope_Main</t>
  </si>
  <si>
    <t>KR_welfare_SomewhatLeakyEnvelope</t>
  </si>
  <si>
    <t>KR_welfare_SomewhatLeakyEnvelope_Main</t>
  </si>
  <si>
    <t>KR_welfare_TightEnvelope</t>
  </si>
  <si>
    <t>KR_welfare_TightEnvelope_Main</t>
  </si>
  <si>
    <t>KR_welfare_TightEnvelopeHRV</t>
  </si>
  <si>
    <t>KR_welfare_TightEnvelopeHRV_Main</t>
  </si>
  <si>
    <t>KR_factory_LeakyEnvelope</t>
  </si>
  <si>
    <t>KR_factory_LeakyEnvelope_Main</t>
  </si>
  <si>
    <t>KR_factory_SomewhatLeakyEnvelope</t>
  </si>
  <si>
    <t>KR_factory_SomewhatLeakyEnvelope_Main</t>
  </si>
  <si>
    <t>KR_factory_TightEnvelope</t>
  </si>
  <si>
    <t>KR_factory_TightEnvelope_Main</t>
  </si>
  <si>
    <t>KR_factory_TightEnvelopeDCV</t>
  </si>
  <si>
    <t>KR_factory_TightEnvelopeDCV_Main</t>
  </si>
  <si>
    <t>KR_warehouse_LeakyEnvelope_Main</t>
  </si>
  <si>
    <t>KR_warehouse_SomewhatLeakyEnvelope_Main</t>
  </si>
  <si>
    <t>KR_warehouse_TightEnvelope_Main</t>
  </si>
  <si>
    <t>KR_culture_LeakyEnvelope</t>
  </si>
  <si>
    <t>KR_culture_LeakyEnvelope_Main</t>
  </si>
  <si>
    <t>KR_culture_SomewhatLeakyEnvelope</t>
  </si>
  <si>
    <t>KR_culture_SomewhatLeakyEnvelope_Main</t>
  </si>
  <si>
    <t>KR_culture_TightEnvelope</t>
  </si>
  <si>
    <t>KR_culture_TightEnvelope_Main</t>
  </si>
  <si>
    <t>KR_culture_TightEnvelopeDCV</t>
  </si>
  <si>
    <t>KR_culture_TightEnvelopeDCV_Main</t>
  </si>
  <si>
    <t>KR_religious_LeakyEnvelope</t>
  </si>
  <si>
    <t>KR_religious_LeakyEnvelope_Main</t>
  </si>
  <si>
    <t>KR_religious_SomewhatLeakyEnvelope</t>
  </si>
  <si>
    <t>KR_religious_SomewhatLeakyEnvelope_Main</t>
  </si>
  <si>
    <t>KR_religious_TightEnvelope</t>
  </si>
  <si>
    <t>KR_religious_TightEnvelope_Main</t>
  </si>
  <si>
    <t>KR_data_LeakyEnvelope</t>
  </si>
  <si>
    <t>KR_data_LeakyEnvelope_Main</t>
  </si>
  <si>
    <t>KR_data_SomewhatLeakyEnvelope</t>
  </si>
  <si>
    <t>KR_data_SomewhatLeakyEnvelope_Main</t>
  </si>
  <si>
    <t>KR_data_TightEnvelope</t>
  </si>
  <si>
    <t>KR_data_TightEnvelope_Main</t>
  </si>
  <si>
    <t>KR_etc_LeakyEnvelope</t>
  </si>
  <si>
    <t>KR_etc_LeakyEnvelope_Main</t>
  </si>
  <si>
    <t>KR_etc_SomewhatLeakyEnvelope</t>
  </si>
  <si>
    <t>KR_etc_SomewhatLeakyEnvelope_Main</t>
  </si>
  <si>
    <t>KR_etc_TightEnvelope</t>
  </si>
  <si>
    <t>KR_etc_TightEnvelope_Main</t>
  </si>
  <si>
    <t>InternalMassFraction</t>
  </si>
  <si>
    <t>KR_res_sf_pre1988</t>
  </si>
  <si>
    <t>KR_res_sf_1988_2000</t>
  </si>
  <si>
    <t>KR_res_sf_2001_2010</t>
  </si>
  <si>
    <t>KR_res_sf_2011_2018</t>
  </si>
  <si>
    <t>KR_res_sf_post2019</t>
  </si>
  <si>
    <t>KR_res_mf_low_pre1988</t>
  </si>
  <si>
    <t>KR_res_mf_low_1988_2000</t>
  </si>
  <si>
    <t>KR_res_mf_low_2001_2010</t>
  </si>
  <si>
    <t>KR_res_mf_low_2011_2018</t>
  </si>
  <si>
    <t>KR_res_mf_low_post2019</t>
  </si>
  <si>
    <t>KR_res_mf_high_pre1988</t>
  </si>
  <si>
    <t>KR_res_mf_high_1988_2000</t>
  </si>
  <si>
    <t>KR_res_mf_high_2001_2010</t>
  </si>
  <si>
    <t>KR_res_mf_high_2011_2018</t>
  </si>
  <si>
    <t>KR_res_mf_high_post2019</t>
  </si>
  <si>
    <t>KR_office_small_pre1988</t>
  </si>
  <si>
    <t>KR_office_small_1988_2000</t>
  </si>
  <si>
    <t>KR_office_small_2001_2010</t>
  </si>
  <si>
    <t>KR_office_small_2011_2018</t>
  </si>
  <si>
    <t>KR_office_small_post2019</t>
  </si>
  <si>
    <t>KR_office_medium_pre1988</t>
  </si>
  <si>
    <t>KR_office_medium_1988_2000</t>
  </si>
  <si>
    <t>KR_office_medium_2001_2010</t>
  </si>
  <si>
    <t>KR_office_medium_2011_2018</t>
  </si>
  <si>
    <t>KR_office_medium_post2019</t>
  </si>
  <si>
    <t>KR_office_large_pre1988</t>
  </si>
  <si>
    <t>KR_office_large_1988_2000</t>
  </si>
  <si>
    <t>KR_office_large_2001_2010</t>
  </si>
  <si>
    <t>KR_office_large_2011_2018</t>
  </si>
  <si>
    <t>KR_office_large_post2019</t>
  </si>
  <si>
    <t>KR_retail_small_pre1988</t>
  </si>
  <si>
    <t>KR_retail_small_1988_2000</t>
  </si>
  <si>
    <t>KR_retail_small_2001_2010</t>
  </si>
  <si>
    <t>KR_retail_small_2011_2018</t>
  </si>
  <si>
    <t>KR_retail_small_post2019</t>
  </si>
  <si>
    <t>KR_retail_medium_pre1988</t>
  </si>
  <si>
    <t>KR_retail_medium_1988_2000</t>
  </si>
  <si>
    <t>KR_retail_medium_2001_2010</t>
  </si>
  <si>
    <t>KR_retail_medium_2011_2018</t>
  </si>
  <si>
    <t>KR_retail_medium_post2019</t>
  </si>
  <si>
    <t>KR_retail_large_pre1988</t>
  </si>
  <si>
    <t>KR_retail_large_1988_2000</t>
  </si>
  <si>
    <t>KR_retail_large_2001_2010</t>
  </si>
  <si>
    <t>KR_retail_large_2011_2018</t>
  </si>
  <si>
    <t>KR_retail_large_post2019</t>
  </si>
  <si>
    <t>KR_school_pre1988</t>
  </si>
  <si>
    <t>KR_school_1988_2000</t>
  </si>
  <si>
    <t>KR_school_2001_2010</t>
  </si>
  <si>
    <t>KR_school_2011_2018</t>
  </si>
  <si>
    <t>KR_school_post2019</t>
  </si>
  <si>
    <t>KR_hospital_pre1988</t>
  </si>
  <si>
    <t>KR_hospital_1988_2000</t>
  </si>
  <si>
    <t>KR_hospital_2001_2010</t>
  </si>
  <si>
    <t>KR_hospital_2011_2018</t>
  </si>
  <si>
    <t>KR_hospital_post2019</t>
  </si>
  <si>
    <t>KR_culture_pre1988</t>
  </si>
  <si>
    <t>KR_culture_1988_2000</t>
  </si>
  <si>
    <t>KR_culture_2001_2010</t>
  </si>
  <si>
    <t>KR_culture_2011_2018</t>
  </si>
  <si>
    <t>KR_culture_post2019</t>
  </si>
  <si>
    <t>KR_religious_pre1988</t>
  </si>
  <si>
    <t>KR_religious_1988_2000</t>
  </si>
  <si>
    <t>KR_religious_2001_2010</t>
  </si>
  <si>
    <t>KR_religious_2011_2018</t>
  </si>
  <si>
    <t>KR_religious_post2019</t>
  </si>
  <si>
    <t>KR_factory_pre1988</t>
  </si>
  <si>
    <t>KR_factory_1988_2000</t>
  </si>
  <si>
    <t>KR_factory_2001_2010</t>
  </si>
  <si>
    <t>KR_factory_2011_2018</t>
  </si>
  <si>
    <t>KR_factory_post2019</t>
  </si>
  <si>
    <t>KR_welfare_pre1988</t>
  </si>
  <si>
    <t>KR_welfare_1988_2000</t>
  </si>
  <si>
    <t>KR_welfare_2001_2010</t>
  </si>
  <si>
    <t>KR_welfare_2011_2018</t>
  </si>
  <si>
    <t>KR_welfare_post2019</t>
  </si>
  <si>
    <t>KR_hotel_pre1988</t>
  </si>
  <si>
    <t>KR_hotel_1988_2000</t>
  </si>
  <si>
    <t>KR_hotel_2001_2010</t>
  </si>
  <si>
    <t>KR_hotel_2011_2018</t>
  </si>
  <si>
    <t>KR_hotel_post2019</t>
  </si>
  <si>
    <t>KR_data_pre1988</t>
  </si>
  <si>
    <t>KR_data_1988_2000</t>
  </si>
  <si>
    <t>KR_data_2001_2010</t>
  </si>
  <si>
    <t>KR_data_2011_2018</t>
  </si>
  <si>
    <t>KR_data_post2019</t>
  </si>
  <si>
    <t>KR_etc_pre1988</t>
  </si>
  <si>
    <t>KR_etc_1988_2000</t>
  </si>
  <si>
    <t>KR_etc_2001_2010</t>
  </si>
  <si>
    <t>KR_etc_2011_2018</t>
  </si>
  <si>
    <t>KR_etc_post2019</t>
  </si>
  <si>
    <t>Fill in the name of your chosen construction. This can be anything, but should be recognizable to you top assign to a template</t>
  </si>
  <si>
    <t>Choose from existing window constructions or make your own in the construction_components</t>
  </si>
  <si>
    <t>Enter the ACH_natural infiltration rate for this construction</t>
  </si>
  <si>
    <t>Flow per exterior surface area</t>
  </si>
  <si>
    <t>SinglePaneClr</t>
  </si>
  <si>
    <t>DoublePaneClr</t>
  </si>
  <si>
    <t>DoublePaneLoEe2</t>
  </si>
  <si>
    <t>DoublePaneLoEe3</t>
  </si>
  <si>
    <t>TriplePaneLoE</t>
  </si>
  <si>
    <t>Enter a preferred name for the loads schedule you are building</t>
  </si>
  <si>
    <t>Include this set of 5 different load types for each component name</t>
  </si>
  <si>
    <t>Choose number of household appliances for that specific component. This needs to be a integer.</t>
  </si>
  <si>
    <t>Loads_component_name</t>
  </si>
  <si>
    <t>Equipment_type</t>
  </si>
  <si>
    <t>kWh_m2_year</t>
  </si>
  <si>
    <t>W_m2</t>
  </si>
  <si>
    <t>Sensible_load_fraction</t>
  </si>
  <si>
    <t>Latent_load_fraction</t>
  </si>
  <si>
    <t>Refrigerator</t>
  </si>
  <si>
    <t>Clothes washer</t>
  </si>
  <si>
    <t>Clothes dryer</t>
  </si>
  <si>
    <t>Dishwasher</t>
  </si>
  <si>
    <t>Range</t>
  </si>
  <si>
    <t>Misc. loads</t>
  </si>
  <si>
    <t>Enter the preferred name of the schedule. This needs to be recognizable</t>
  </si>
  <si>
    <t>Choose between a fractional (0-100%) schedule or a temperature schedule</t>
  </si>
  <si>
    <t>Assign values to each hour within a 24 hr cycle for the schedule</t>
  </si>
  <si>
    <t>Day_schedule_name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</si>
  <si>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</si>
  <si>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</si>
  <si>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</si>
  <si>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</si>
  <si>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</si>
  <si>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</si>
  <si>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</si>
  <si>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</si>
  <si>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</si>
  <si>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</si>
  <si>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</si>
  <si>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</si>
  <si>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</si>
  <si>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</si>
  <si>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</si>
  <si>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</si>
  <si>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</si>
  <si>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</si>
  <si>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</si>
  <si>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</si>
  <si>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</si>
  <si>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</si>
  <si>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</si>
  <si>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</si>
  <si>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Hour24</t>
  </si>
  <si>
    <t>Office_Occupancy</t>
  </si>
  <si>
    <t>Fraction</t>
  </si>
  <si>
    <t>Office_Occupancy_Off</t>
  </si>
  <si>
    <t>Office_Lighting</t>
  </si>
  <si>
    <t>Office_Lighting_Off</t>
  </si>
  <si>
    <t>Office_Equipment</t>
  </si>
  <si>
    <t>Office_Equipment_Off</t>
  </si>
  <si>
    <t>Retail_Occupancy</t>
  </si>
  <si>
    <t>Retail_Lighting</t>
  </si>
  <si>
    <t>Retail_Equipment</t>
  </si>
  <si>
    <t>Residential_Occupancy</t>
  </si>
  <si>
    <t>Residential_Occupancy_Weekend</t>
  </si>
  <si>
    <t>Residential_Lighting</t>
  </si>
  <si>
    <t>Residential_Lighting_Weekend</t>
  </si>
  <si>
    <t>Residential_Equipment</t>
  </si>
  <si>
    <t>Residential_Equipment_Weekend</t>
  </si>
  <si>
    <t>School_Occupancy</t>
  </si>
  <si>
    <t>School_Occupancy_Off</t>
  </si>
  <si>
    <t>School_Lighting</t>
  </si>
  <si>
    <t>School_Lighting_Off</t>
  </si>
  <si>
    <t>School_Equipment</t>
  </si>
  <si>
    <t>School_Equipment_Off</t>
  </si>
  <si>
    <t>Hospital_Occupancy</t>
  </si>
  <si>
    <t>Hospital_Lighting</t>
  </si>
  <si>
    <t>Hospital_Equipment</t>
  </si>
  <si>
    <t>Hotel_Occupancy</t>
  </si>
  <si>
    <t>Hotel_Lighting</t>
  </si>
  <si>
    <t>Hotel_Equipment</t>
  </si>
  <si>
    <t>Industrial_Occupancy</t>
  </si>
  <si>
    <t>Industrial_Occupancy_Off</t>
  </si>
  <si>
    <t>Industrial_Lighting</t>
  </si>
  <si>
    <t>Industrial_Lighting_Off</t>
  </si>
  <si>
    <t>Industrial_Equipment</t>
  </si>
  <si>
    <t>Industrial_Equipment_Off</t>
  </si>
  <si>
    <t>Office_Heating_Set</t>
  </si>
  <si>
    <t>Temperature</t>
  </si>
  <si>
    <t>Office_Heating_Set_Off</t>
  </si>
  <si>
    <t>Office_Cooling_Set</t>
  </si>
  <si>
    <t>Office_Cooling_Set_Off</t>
  </si>
  <si>
    <t>Residential_Heating_Set</t>
  </si>
  <si>
    <t>Residential_Cooling_Set</t>
  </si>
  <si>
    <t>Hospital_Heating_Set</t>
  </si>
  <si>
    <t>Hospital_Cooling_Set</t>
  </si>
  <si>
    <t>Hospital_water_week</t>
  </si>
  <si>
    <t>Hospital_water_Sat</t>
  </si>
  <si>
    <t>Hospital_water_Sun</t>
  </si>
  <si>
    <t>Office_water_week</t>
  </si>
  <si>
    <t>Office_water_Sat</t>
  </si>
  <si>
    <t>Office_water_Sun</t>
  </si>
  <si>
    <t>Retail_water_week</t>
  </si>
  <si>
    <t>Retail_water_Sat</t>
  </si>
  <si>
    <t>Retail_water_Sun</t>
  </si>
  <si>
    <t>School_water_week</t>
  </si>
  <si>
    <t>School_water_Sat</t>
  </si>
  <si>
    <t>School_water_Sun</t>
  </si>
  <si>
    <t>Res_water_weekend</t>
  </si>
  <si>
    <t>Res_water_week</t>
  </si>
  <si>
    <t>Etc_water</t>
  </si>
  <si>
    <t>ASHRAE Standard 90.1의 DOE 프로토타입 모델의 스케줄 데이터 참고</t>
  </si>
  <si>
    <r>
      <rPr>
        <u/>
        <sz val="12"/>
        <color rgb="FF1155CC"/>
        <rFont val="Malgun Gothic"/>
        <family val="2"/>
        <charset val="129"/>
      </rPr>
      <t>Standard 90.1 User's Manual based on ANSI/</t>
    </r>
    <r>
      <rPr>
        <sz val="12"/>
        <color theme="1"/>
        <rFont val="Malgun Gothic"/>
        <family val="2"/>
        <charset val="129"/>
        <scheme val="minor"/>
      </rPr>
      <t>ASHRAE/IES Standard 90.1-2016</t>
    </r>
  </si>
  <si>
    <t>GloBI 용도 (Target)</t>
  </si>
  <si>
    <t>ASHRAE 원본</t>
  </si>
  <si>
    <t>매칭 및 생성 논리 (Rationale)</t>
  </si>
  <si>
    <t>page 453</t>
  </si>
  <si>
    <t>Office Large</t>
  </si>
  <si>
    <t>Large Office</t>
  </si>
  <si>
    <t>(1:1 매칭) 표준 업무 시간(09~18) 및 중앙 냉난방 패턴 적용</t>
  </si>
  <si>
    <t>Table G-D. Acceptable occupant densities</t>
  </si>
  <si>
    <t>Office Medium</t>
  </si>
  <si>
    <t>(패턴 동일) 중형 사무실도 근무 시간 및 재실 패턴은 대형과 동일함</t>
  </si>
  <si>
    <t>Office Small</t>
  </si>
  <si>
    <t>(패턴 동일) 소형 사무실도 근무 시간은 동일함</t>
  </si>
  <si>
    <t>Retail Large</t>
  </si>
  <si>
    <t>Standalone Retail</t>
  </si>
  <si>
    <t>(1:1 매칭) 백화점/마트의 10시 오픈, 21시 마감, 주말 영업 패턴 적용</t>
  </si>
  <si>
    <t>Retail Medium</t>
  </si>
  <si>
    <t>(패턴 동일) 일반 상점도 대형 점포와 운영 시간 및 주말 영업 특성 공유</t>
  </si>
  <si>
    <t>Retail Small</t>
  </si>
  <si>
    <t>(패턴 동일) 편의점/소매점 등도 상업 시설 표준 스케줄 적용</t>
  </si>
  <si>
    <t>Residential</t>
  </si>
  <si>
    <t>Midrise Apartment</t>
  </si>
  <si>
    <t>(유사 매칭) 한국의 아파트/빌라와 가장 유사한 4~5층 규모 공동주택 모델 (M자형 패턴)</t>
  </si>
  <si>
    <t>School</t>
  </si>
  <si>
    <t>Secondary School</t>
  </si>
  <si>
    <t>(유사 매칭) 초/중/고교의 일반적인 등하교(08~16) 및 수업 패턴 반영</t>
  </si>
  <si>
    <t>Hospital</t>
  </si>
  <si>
    <t>(1:1 매칭) 24시간 365일 운영되는 종합병원 패턴 적용 (야간 부하 높음)</t>
  </si>
  <si>
    <t>Hotel</t>
  </si>
  <si>
    <t>Large Hotel</t>
  </si>
  <si>
    <t>(1:1 매칭) 24시간 투숙객 재실 및 로비/식당 등 공용부 운영 특성 반영</t>
  </si>
  <si>
    <t>Industrial</t>
  </si>
  <si>
    <t>Warehouse</t>
  </si>
  <si>
    <t>(대체 매칭) 공장 표준 모델 부재로, 층고가 높고 작업 위주인 '물류창고' 스케줄 차용</t>
  </si>
  <si>
    <t>DataCenter</t>
  </si>
  <si>
    <t>(Custom)</t>
  </si>
  <si>
    <t>[직접 생성] 24시간 서버 가동 특성 반영
• 재실/조명: Office 패턴 사용
• 기기(Equipment): 24시간 100% (1.0) 고정</t>
  </si>
  <si>
    <t>Assign a "day schedule" you defined on the previous tab to each day of the week</t>
  </si>
  <si>
    <t>Week_schedules</t>
  </si>
  <si>
    <t>Mon</t>
  </si>
  <si>
    <t>Tue</t>
  </si>
  <si>
    <t>Wed</t>
  </si>
  <si>
    <t>Thur</t>
  </si>
  <si>
    <t>Fri</t>
  </si>
  <si>
    <t>Sat</t>
  </si>
  <si>
    <t>Sun</t>
  </si>
  <si>
    <t>Office_Occupancy_Week</t>
  </si>
  <si>
    <t>Office_Lighting_Week</t>
  </si>
  <si>
    <t>Office_Equipment_Week</t>
  </si>
  <si>
    <t>Office_Heating_Week</t>
  </si>
  <si>
    <t>Office_Cooling_Week</t>
  </si>
  <si>
    <t>Retail_Occupancy_Week</t>
  </si>
  <si>
    <t>Retail_Lighting_Week</t>
  </si>
  <si>
    <t>Retail_Equipment_Week</t>
  </si>
  <si>
    <t>Retail_Heating_Week</t>
  </si>
  <si>
    <t>Retail_Cooling_Week</t>
  </si>
  <si>
    <t>Residential_Occupancy_Week</t>
  </si>
  <si>
    <t>Residential_Lighting_Week</t>
  </si>
  <si>
    <t>Residential_Equipment_Week</t>
  </si>
  <si>
    <t>Residential_Heating_Week</t>
  </si>
  <si>
    <t>Residential_Cooling_Week</t>
  </si>
  <si>
    <t>School_Occupancy_Week</t>
  </si>
  <si>
    <t>School_Lighting_Week</t>
  </si>
  <si>
    <t>School_Equipment_Week</t>
  </si>
  <si>
    <t>School_Heating_Week</t>
  </si>
  <si>
    <t>School_Cooling_Week</t>
  </si>
  <si>
    <t>Hospital_Occupancy_Week</t>
  </si>
  <si>
    <t>Hospital_Lighting_Week</t>
  </si>
  <si>
    <t>Hospital_Equipment_Week</t>
  </si>
  <si>
    <t>Hospital_Heating_Week</t>
  </si>
  <si>
    <t>Hospital_Cooling_Week</t>
  </si>
  <si>
    <t>Hotel_Occupancy_Week</t>
  </si>
  <si>
    <t>Hotel_Lighting_Week</t>
  </si>
  <si>
    <t>Hotel_Equipment_Week</t>
  </si>
  <si>
    <t>Hotel_Heating_Week</t>
  </si>
  <si>
    <t>Hotel_Cooling_Week</t>
  </si>
  <si>
    <t>DataCenter_Occupancy_Week</t>
  </si>
  <si>
    <t>DataCenter_Lighting_Week</t>
  </si>
  <si>
    <t>DataCenter_Equipment_Week</t>
  </si>
  <si>
    <t>DataCenter_Heating_Week</t>
  </si>
  <si>
    <t>DataCenter_Cooling_Week</t>
  </si>
  <si>
    <t>Industrial_Occupancy_Week</t>
  </si>
  <si>
    <t>Industrial_Lighting_Week</t>
  </si>
  <si>
    <t>Industrial_Equipment_Week</t>
  </si>
  <si>
    <t>Industrial_Heating_Week</t>
  </si>
  <si>
    <t>Industrial_Cooling_Week</t>
  </si>
  <si>
    <t>Determine the type of schedule that you are building</t>
  </si>
  <si>
    <r>
      <rPr>
        <b/>
        <i/>
        <sz val="12"/>
        <color theme="1"/>
        <rFont val="Malgun Gothic"/>
        <family val="2"/>
        <charset val="129"/>
      </rPr>
      <t>Assign a "</t>
    </r>
    <r>
      <rPr>
        <b/>
        <i/>
        <strike/>
        <sz val="12"/>
        <color theme="1"/>
        <rFont val="Malgun Gothic"/>
        <family val="2"/>
        <charset val="129"/>
      </rPr>
      <t xml:space="preserve">day </t>
    </r>
    <r>
      <rPr>
        <b/>
        <i/>
        <sz val="12"/>
        <color theme="1"/>
        <rFont val="Malgun Gothic"/>
        <family val="2"/>
        <charset val="129"/>
      </rPr>
      <t xml:space="preserve">week schedule" you defined on the previous tab to each </t>
    </r>
    <r>
      <rPr>
        <b/>
        <i/>
        <strike/>
        <sz val="12"/>
        <color theme="1"/>
        <rFont val="Malgun Gothic"/>
        <family val="2"/>
        <charset val="129"/>
      </rPr>
      <t>day</t>
    </r>
    <r>
      <rPr>
        <b/>
        <i/>
        <sz val="12"/>
        <color theme="1"/>
        <rFont val="Malgun Gothic"/>
        <family val="2"/>
        <charset val="129"/>
      </rPr>
      <t xml:space="preserve"> month of the </t>
    </r>
    <r>
      <rPr>
        <b/>
        <i/>
        <strike/>
        <sz val="12"/>
        <color theme="1"/>
        <rFont val="Malgun Gothic"/>
        <family val="2"/>
        <charset val="129"/>
      </rPr>
      <t xml:space="preserve">week </t>
    </r>
    <r>
      <rPr>
        <b/>
        <i/>
        <sz val="12"/>
        <color theme="1"/>
        <rFont val="Malgun Gothic"/>
        <family val="2"/>
        <charset val="129"/>
      </rPr>
      <t>year</t>
    </r>
  </si>
  <si>
    <t>Year_schedules</t>
  </si>
  <si>
    <t>Schedule_type</t>
  </si>
  <si>
    <t>Jan</t>
  </si>
  <si>
    <t>Feb</t>
  </si>
  <si>
    <t>Mar</t>
  </si>
  <si>
    <t>Apr</t>
  </si>
  <si>
    <t>May</t>
  </si>
  <si>
    <t>Jun</t>
  </si>
  <si>
    <t>Jul</t>
  </si>
  <si>
    <t>Aug</t>
  </si>
  <si>
    <t>Sep</t>
  </si>
  <si>
    <t>Oct</t>
  </si>
  <si>
    <t>Nov</t>
  </si>
  <si>
    <t>Dec</t>
  </si>
  <si>
    <t>Setpoint</t>
  </si>
  <si>
    <t>TAB NAMES</t>
  </si>
  <si>
    <t>DEEP RETROFITS</t>
  </si>
  <si>
    <t>SHALLOW RETROFITS</t>
  </si>
  <si>
    <t>Name the category of your retrofit (e.g., heat pump retrofit might be "heating"). This is for your tracking of naming conventions</t>
  </si>
  <si>
    <t>Identify whether this is part of a "deep" or "shallow" retrofit (e.g., energy efficiency measure vs. gut retrofits)</t>
  </si>
  <si>
    <t>Choose which component is impacted by the retrofit by the dropdown</t>
  </si>
  <si>
    <t>Read this description to ensure the retrofit option you are choosing fits into the right format</t>
  </si>
  <si>
    <t>Identify the change in value for the retrofit. 변수에 적용되는 수치 또는 선택값</t>
  </si>
  <si>
    <t>Choose a name for the retrofit package that will contain multiple actions you think would be included in this type of retrofit</t>
  </si>
  <si>
    <t xml:space="preserve">Define a description for the retrofit action. This should be provide enough information for people without a building science background to understand </t>
  </si>
  <si>
    <t>Assign the chosen retrofit to the template of your choice</t>
  </si>
  <si>
    <t>Retrofit_name</t>
  </si>
  <si>
    <t>Retrofit_package_type</t>
  </si>
  <si>
    <t>Variable_impacted</t>
  </si>
  <si>
    <t>Guide</t>
  </si>
  <si>
    <t>Change_value</t>
  </si>
  <si>
    <t>Change_unit_chosen</t>
  </si>
  <si>
    <t>Variable_unit</t>
  </si>
  <si>
    <t>Retrofit_package_name</t>
  </si>
  <si>
    <t>Retrofit_description</t>
  </si>
  <si>
    <t>Template_assigned_to</t>
  </si>
  <si>
    <t>KR_LED_controls</t>
  </si>
  <si>
    <t>Shallow_retrofit</t>
  </si>
  <si>
    <t>%</t>
  </si>
  <si>
    <t>KR_OpEff_Shallow</t>
  </si>
  <si>
    <t>조명 전면 LED화 + 점유/주광 제어로 조명밀도 절감</t>
  </si>
  <si>
    <t>KR_Smart_thermostat</t>
  </si>
  <si>
    <t>Absolute based on unit</t>
  </si>
  <si>
    <t>난방 설정온도 1°C 하향(스마트온도조절)</t>
  </si>
  <si>
    <t>KR_Plugload_mgmt</t>
  </si>
  <si>
    <t>대기전력 차단/장비 고효율화로 플러그부하 절감</t>
  </si>
  <si>
    <t>KR_Airsealing</t>
  </si>
  <si>
    <t>KR_Envelope_Mid</t>
  </si>
  <si>
    <t>기밀 보강(틈새/관통부 실링)으로 침기 저감</t>
  </si>
  <si>
    <t>KR_Window_upgrade</t>
  </si>
  <si>
    <t>mid_retrofit</t>
  </si>
  <si>
    <t>Categorical</t>
  </si>
  <si>
    <t>단창→복층 Low-E(또는 삼중)로 성능 개선</t>
  </si>
  <si>
    <t>KR_Roof_insulation</t>
  </si>
  <si>
    <t>post2019_flatroof</t>
  </si>
  <si>
    <t>지붕 단열 보강(열손실·과열 동시 저감)</t>
  </si>
  <si>
    <t>KR_Heatpump_space</t>
  </si>
  <si>
    <t>Deep_retrofit</t>
  </si>
  <si>
    <t>Heating_energy_source</t>
  </si>
  <si>
    <t>KR_Electrify_Deep</t>
  </si>
  <si>
    <t>보일러/직화 난방→히트펌프 기반 난방(전기화)</t>
  </si>
  <si>
    <t>KR_Heatpump_DHW</t>
  </si>
  <si>
    <t>급탕 열원도 히트펌프/전기화로 전환</t>
  </si>
  <si>
    <t>KR_Envelope_deep</t>
  </si>
  <si>
    <t>외피 단열을 현행 기준 이상으로 상향(지붕/벽 중심)</t>
  </si>
  <si>
    <t>KR_Infiltration_deep</t>
  </si>
  <si>
    <t xml:space="preserve"> </t>
  </si>
  <si>
    <t>기밀성 고도화(침기 추가 저감)</t>
  </si>
  <si>
    <t>HVAC_assembly</t>
  </si>
  <si>
    <t>Deep_retrofit_old_builds</t>
  </si>
  <si>
    <t>Retrofit_guidance</t>
  </si>
  <si>
    <t>MaterialThicknessList</t>
  </si>
  <si>
    <t>Construction for the inner partitions/walls of the building</t>
  </si>
  <si>
    <t>Choose a new "retrofitted" construction from your generated Construction_components. This should be a feasible retrofit for the current state of the building(e.g., don't put a 6inch stud retrofit on a 4inch stud building)</t>
  </si>
  <si>
    <t>Construction for the outer and inner roofs of the building</t>
  </si>
  <si>
    <t>Construction for the outer walls/façade of the building</t>
  </si>
  <si>
    <t>ExteriorFloor</t>
  </si>
  <si>
    <t>Construction for the exterior floor of the building</t>
  </si>
  <si>
    <t>GroundFloor</t>
  </si>
  <si>
    <t>Construction for the ground floor (including the associated material of the basement, heated or unheated)</t>
  </si>
  <si>
    <t>InteriorFloor</t>
  </si>
  <si>
    <t xml:space="preserve">Construction of the interior floor of the building </t>
  </si>
  <si>
    <t>Construction of the window including gases</t>
  </si>
  <si>
    <t>ppl/m2</t>
  </si>
  <si>
    <t>Number of people in the space per area, averaged based on the schedule choice</t>
  </si>
  <si>
    <t>Use a % change or a numerical change for the value of the retrofit</t>
  </si>
  <si>
    <t>Lighting density per area, based on the identified bulb choices and expected lighting efficiency</t>
  </si>
  <si>
    <t>Power density based on the equipment commonly found in the space, normalized for the schedule chosen</t>
  </si>
  <si>
    <t>BuildingTypeChoice</t>
  </si>
  <si>
    <t>Lighting, power and occupant schedules, based on fraction of occupant, power and lighting peak usage per hour</t>
  </si>
  <si>
    <t>Change to an updated schedule name</t>
  </si>
  <si>
    <t>ACH_natural</t>
  </si>
  <si>
    <t>Current infiltration rate of the building (between 0-1)</t>
  </si>
  <si>
    <t>ListChoice</t>
  </si>
  <si>
    <t>Fluid used to condition spaces throughout the building (e.g., hydronic vs. forced air). Choose from the provided options</t>
  </si>
  <si>
    <t xml:space="preserve">Change to a new fluid </t>
  </si>
  <si>
    <t>Cooling_distribution_fluid</t>
  </si>
  <si>
    <t>C</t>
  </si>
  <si>
    <t xml:space="preserve">Temperatures of distribution systems (e.g., pipes) to heat space to given setpoints </t>
  </si>
  <si>
    <t xml:space="preserve">Temperatures of distribution systems (e.g., pipes) to cool space to given setpoints </t>
  </si>
  <si>
    <t>Base source of fuel for heating equipment. Choose from list provided</t>
  </si>
  <si>
    <t>Change to the new heating fuel source (e.g., Electricity, Propane, NaturalGas)</t>
  </si>
  <si>
    <t>Cooling_energy_source</t>
  </si>
  <si>
    <t>Base source of fuel for cooling equipment. Choose from list provided</t>
  </si>
  <si>
    <t>Change to the new cooling fuel source (e.g., Electricity)</t>
  </si>
  <si>
    <t>Temperature of thermostat set in building to trigger heating equipment</t>
  </si>
  <si>
    <t>Temperature of thermostat set in building to trigger cooling equipment</t>
  </si>
  <si>
    <t>SB_time</t>
  </si>
  <si>
    <t>Thermostat schedule for heating</t>
  </si>
  <si>
    <t xml:space="preserve">Set a new schedule using the standard SB unit </t>
  </si>
  <si>
    <t>Thermostat schedule for cooling</t>
  </si>
  <si>
    <t>L/S/m2</t>
  </si>
  <si>
    <t xml:space="preserve">Minimum required fresh air per area. Can use the occupancy assumption to calculation this from minimum fresh air per person </t>
  </si>
  <si>
    <t>%COPDIfference</t>
  </si>
  <si>
    <t>Efficiency reductions expected from the heating equipment vs. standard equipment efficiency for the chosen fueltype. Can be larger than 100% if there is a efficiency benefit</t>
  </si>
  <si>
    <t>Efficiency reductions expected from the cooling equipment vs. standard equipment efficiency for the chosen fueltype. Can be larger than 100% if there is a efficiency benefit</t>
  </si>
  <si>
    <t>m3/h/P</t>
  </si>
  <si>
    <t xml:space="preserve">Required flowrate of hot water through the space. Can use the occupancy assumption to calculate from the flow rate per area. </t>
  </si>
  <si>
    <t xml:space="preserve">Temperature of hot water distribution </t>
  </si>
  <si>
    <t>Unitless</t>
  </si>
  <si>
    <t>Performance of the DHW equipment to heat water</t>
  </si>
  <si>
    <t>Fuel type used to heat base DHW equipment</t>
  </si>
  <si>
    <t>Add additional window types</t>
  </si>
  <si>
    <t>SHGF</t>
  </si>
  <si>
    <t>UValue</t>
  </si>
  <si>
    <t>TVis</t>
  </si>
  <si>
    <t>Double</t>
  </si>
  <si>
    <t>Number</t>
  </si>
  <si>
    <t>Peak</t>
  </si>
  <si>
    <t>Scenario_name</t>
  </si>
  <si>
    <t>Washer</t>
  </si>
  <si>
    <t>Dryer</t>
  </si>
  <si>
    <t>Conditioning</t>
  </si>
  <si>
    <t>Flow_rate_units</t>
  </si>
  <si>
    <t>Min_fresh_air</t>
  </si>
  <si>
    <t>VentilationTechType</t>
  </si>
  <si>
    <t>Air_handling_technology</t>
  </si>
  <si>
    <t>Conditioning_type</t>
  </si>
  <si>
    <t>In_use</t>
  </si>
  <si>
    <t>COP</t>
  </si>
  <si>
    <t>m3/h/person</t>
  </si>
  <si>
    <t>L/s/person</t>
  </si>
  <si>
    <t>ERV</t>
  </si>
  <si>
    <t>No</t>
  </si>
  <si>
    <t>Dynamic</t>
  </si>
  <si>
    <t>Enthalpy</t>
  </si>
  <si>
    <t>OccupancySchedule</t>
  </si>
  <si>
    <t>Propane</t>
  </si>
  <si>
    <t>m3/h/m2</t>
  </si>
  <si>
    <t>L/s/m2</t>
  </si>
  <si>
    <t>Yes</t>
  </si>
  <si>
    <t>Stepped</t>
  </si>
  <si>
    <t>All of the above</t>
  </si>
  <si>
    <t>FuelOil</t>
  </si>
  <si>
    <t>SolarThermal</t>
  </si>
  <si>
    <t>m3/s/person</t>
  </si>
  <si>
    <t>NoMechanicalVentilation</t>
  </si>
  <si>
    <t>None</t>
  </si>
  <si>
    <t>Material</t>
  </si>
  <si>
    <t>Thickness</t>
  </si>
  <si>
    <t>Wall1</t>
  </si>
  <si>
    <t>[]</t>
  </si>
  <si>
    <t>Wall2</t>
  </si>
  <si>
    <t>Construction_variables</t>
  </si>
  <si>
    <t>Internal_gains</t>
  </si>
  <si>
    <t>Types</t>
  </si>
  <si>
    <t>Water/air/heat carrier for the building</t>
  </si>
  <si>
    <t xml:space="preserve">Chosen temperature that the heating distribution system runs on </t>
  </si>
  <si>
    <t xml:space="preserve">Chosen temperature that the cooling distribution system runs on </t>
  </si>
  <si>
    <t>Residential_WFH</t>
  </si>
  <si>
    <t>Not_applicable</t>
  </si>
  <si>
    <t>Residential_busy</t>
  </si>
  <si>
    <t>Kitchen</t>
  </si>
  <si>
    <t>Office</t>
  </si>
  <si>
    <t>MeetingRoom</t>
  </si>
  <si>
    <t>HotelRoom</t>
  </si>
  <si>
    <t>ClassRoom</t>
  </si>
  <si>
    <t>Library</t>
  </si>
  <si>
    <t>LectureHall</t>
  </si>
  <si>
    <t>SuperMarket</t>
  </si>
  <si>
    <t>Shopping</t>
  </si>
  <si>
    <t>ScienceLab</t>
  </si>
  <si>
    <t>CustomFuel</t>
  </si>
  <si>
    <t>Other</t>
  </si>
  <si>
    <t>KR</t>
  </si>
  <si>
    <t>KR_warehouse_pre1988</t>
  </si>
  <si>
    <t>KR_warehouse_1988_2000</t>
  </si>
  <si>
    <t>KR_warehouse_2001_2010</t>
  </si>
  <si>
    <t>KR_warehouse_2011_2018</t>
  </si>
  <si>
    <t>KR_warehouse_post2019</t>
  </si>
  <si>
    <t>Fresh_air_per_person</t>
  </si>
  <si>
    <t>DifferentialDryBulb</t>
  </si>
  <si>
    <t>KR_None</t>
  </si>
  <si>
    <t>KR_NoneHeating</t>
  </si>
  <si>
    <t>KR_NoneCooling</t>
  </si>
  <si>
    <t>Not enough information entered</t>
  </si>
  <si>
    <t>KR_res_mf_high_ExternalFloor</t>
  </si>
  <si>
    <t>KR_office_small_pre1988_FlatRoof</t>
  </si>
  <si>
    <t>KR_office_small_1988_2000_FlatRoof</t>
  </si>
  <si>
    <t>KR_office_small_2001_2010_FlatRoof</t>
  </si>
  <si>
    <t>KR_office_small_2011_2018_FlatRoof</t>
  </si>
  <si>
    <t>KR_office_small_post2019_FlatRoof</t>
  </si>
  <si>
    <t>KR_office_medium_pre1988_FlatRoof</t>
  </si>
  <si>
    <t>KR_office_medium_1988_2000_FlatRoof</t>
  </si>
  <si>
    <t>KR_office_medium_2001_2010_FlatRoof</t>
  </si>
  <si>
    <t>KR_office_medium_2011_2018_FlatRoof</t>
  </si>
  <si>
    <t>KR_office_medium_post2019_FlatRoof</t>
  </si>
  <si>
    <t>KR_office_large_pre1988_FlatRoof</t>
  </si>
  <si>
    <t>KR_office_large_1988_2000_FlatRoof</t>
  </si>
  <si>
    <t>KR_office_large_2001_2010_FlatRoof</t>
  </si>
  <si>
    <t>KR_office_large_2011_2018_FlatRoof</t>
  </si>
  <si>
    <t>KR_office_large_post2019_FlatRoof</t>
  </si>
  <si>
    <t>KR_retail_small_pre1988_FlatRoof</t>
  </si>
  <si>
    <t>KR_retail_small_1988_2000_FlatRoof</t>
  </si>
  <si>
    <t>KR_retail_small_2001_2010_FlatRoof</t>
  </si>
  <si>
    <t>KR_retail_small_2011_2018_FlatRoof</t>
  </si>
  <si>
    <t>KR_retail_small_post2019_FlatRoof</t>
  </si>
  <si>
    <t>KR_retail_medium_pre1988_FlatRoof</t>
  </si>
  <si>
    <t>KR_retail_medium_1988_2000_FlatRoof</t>
  </si>
  <si>
    <t>KR_retail_medium_2001_2010_FlatRoof</t>
  </si>
  <si>
    <t>KR_retail_medium_2011_2018_FlatRoof</t>
  </si>
  <si>
    <t>KR_retail_medium_post2019_FlatRoof</t>
  </si>
  <si>
    <t>KR_retail_large_pre1988_FlatRoof</t>
  </si>
  <si>
    <t>KR_retail_large_1988_2000_FlatRoof</t>
  </si>
  <si>
    <t>KR_retail_large_2001_2010_FlatRoof</t>
  </si>
  <si>
    <t>KR_retail_large_2011_2018_FlatRoof</t>
  </si>
  <si>
    <t>KR_retail_large_post2019_FlatRoof</t>
  </si>
  <si>
    <t>KR_school_pre1988_FlatRoof</t>
  </si>
  <si>
    <t>KR_school_1988_2000_FlatRoof</t>
  </si>
  <si>
    <t>KR_school_2001_2010_FlatRoof</t>
  </si>
  <si>
    <t>KR_school_2011_2018_FlatRoof</t>
  </si>
  <si>
    <t>KR_school_post2019_FlatRoof</t>
  </si>
  <si>
    <t>KR_hospital_pre1988_FlatRoof</t>
  </si>
  <si>
    <t>KR_hospital_1988_2000_FlatRoof</t>
  </si>
  <si>
    <t>KR_hospital_2001_2010_FlatRoof</t>
  </si>
  <si>
    <t>KR_hospital_2011_2018_FlatRoof</t>
  </si>
  <si>
    <t>KR_hospital_post2019_FlatRoof</t>
  </si>
  <si>
    <t>KR_welfare_pre1988_FlatRoof</t>
  </si>
  <si>
    <t>KR_welfare_1988_2000_FlatRoof</t>
  </si>
  <si>
    <t>KR_welfare_2001_2010_FlatRoof</t>
  </si>
  <si>
    <t>KR_welfare_2011_2018_FlatRoof</t>
  </si>
  <si>
    <t>KR_welfare_post2019_FlatRoof</t>
  </si>
  <si>
    <t>KR_culture_pre1988_FlatRoof</t>
  </si>
  <si>
    <t>KR_culture_1988_2000_FlatRoof</t>
  </si>
  <si>
    <t>KR_culture_2001_2010_FlatRoof</t>
  </si>
  <si>
    <t>KR_culture_2011_2018_FlatRoof</t>
  </si>
  <si>
    <t>KR_culture_post2019_FlatRoof</t>
  </si>
  <si>
    <t>KR_religious_pre1988_FlatRoof</t>
  </si>
  <si>
    <t>KR_religious_1988_2000_FlatRoof</t>
  </si>
  <si>
    <t>KR_religious_2001_2010_FlatRoof</t>
  </si>
  <si>
    <t>KR_religious_2011_2018_FlatRoof</t>
  </si>
  <si>
    <t>KR_religious_post2019_FlatRoof</t>
  </si>
  <si>
    <t>KR_factory_pre1988_FlatRoof</t>
  </si>
  <si>
    <t>KR_factory_1988_2000_FlatRoof</t>
  </si>
  <si>
    <t>KR_factory_2001_2010_FlatRoof</t>
  </si>
  <si>
    <t>KR_factory_2011_2018_FlatRoof</t>
  </si>
  <si>
    <t>KR_factory_post2019_FlatRoof</t>
  </si>
  <si>
    <t>KR_warehouse_pre1988_FlatRoof</t>
  </si>
  <si>
    <t>KR_warehouse_1988_2000_FlatRoof</t>
  </si>
  <si>
    <t>KR_warehouse_2001_2010_FlatRoof</t>
  </si>
  <si>
    <t>KR_warehouse_2011_2018_FlatRoof</t>
  </si>
  <si>
    <t>KR_warehouse_post2019_FlatRoof</t>
  </si>
  <si>
    <t>KR_hotel_pre1988_FlatRoof</t>
  </si>
  <si>
    <t>KR_hotel_1988_2000_FlatRoof</t>
  </si>
  <si>
    <t>KR_hotel_2001_2010_FlatRoof</t>
  </si>
  <si>
    <t>KR_hotel_2011_2018_FlatRoof</t>
  </si>
  <si>
    <t>KR_hotel_post2019_FlatRoof</t>
  </si>
  <si>
    <t>KR_data_pre1988_FlatRoof</t>
  </si>
  <si>
    <t>KR_data_1988_2000_FlatRoof</t>
  </si>
  <si>
    <t>KR_data_2001_2010_FlatRoof</t>
  </si>
  <si>
    <t>KR_data_2011_2018_FlatRoof</t>
  </si>
  <si>
    <t>KR_data_post2019_FlatRoof</t>
  </si>
  <si>
    <t>KR_etc_pre1988_FlatRoof</t>
  </si>
  <si>
    <t>KR_etc_1988_2000_FlatRoof</t>
  </si>
  <si>
    <t>KR_etc_2001_2010_FlatRoof</t>
  </si>
  <si>
    <t>KR_etc_2011_2018_FlatRoof</t>
  </si>
  <si>
    <t>KR_etc_post2019_FlatRoof</t>
  </si>
  <si>
    <t>KR_res_sf_InternalMass</t>
  </si>
  <si>
    <t>KR_res_sf_Partition</t>
  </si>
  <si>
    <t>KR_res_sf_pre1988_FlatRoof</t>
  </si>
  <si>
    <t>KR_res_sf_pre1988_Facade</t>
  </si>
  <si>
    <t>KR_res_sf_FloorCeiling</t>
  </si>
  <si>
    <t>KR_res_sf_pre1988_GroundSlab</t>
  </si>
  <si>
    <t>KR_res_sf_GroundWall</t>
  </si>
  <si>
    <t>KR_res_sf_BasementCeiling</t>
  </si>
  <si>
    <t>KR_res_sf_pre1988_AtticRoof</t>
  </si>
  <si>
    <t>KR_res_sf_2011_2018_GroundSlab</t>
  </si>
  <si>
    <t>KR_ExternalFloor</t>
  </si>
  <si>
    <t>KR_AtticFloor</t>
  </si>
  <si>
    <t>KR_res_mf_low_InternalMass</t>
  </si>
  <si>
    <t>KR_res_mf_high_InternalMass</t>
  </si>
  <si>
    <t>KR_office_small_InternalMass</t>
  </si>
  <si>
    <t>KR_office_medium_InternalMass</t>
  </si>
  <si>
    <t>KR_office_large_InternalMass</t>
  </si>
  <si>
    <t>KR_retail_small_InternalMass</t>
  </si>
  <si>
    <t>KR_retail_medium_InternalMass</t>
  </si>
  <si>
    <t>KR_retail_large_InternalMass</t>
  </si>
  <si>
    <t>KR_school_InternalMass</t>
  </si>
  <si>
    <t>KR_hospital_InternalMass</t>
  </si>
  <si>
    <t>KR_culture_InternalMass</t>
  </si>
  <si>
    <t>KR_religious_InternalMass</t>
  </si>
  <si>
    <t>KR_factory_InternalMass</t>
  </si>
  <si>
    <t>KR_welfare_InternalMass</t>
  </si>
  <si>
    <t>KR_hotel_InternalMass</t>
  </si>
  <si>
    <t>KR_data_InternalMass</t>
  </si>
  <si>
    <t>KR_etc_InternalMass</t>
  </si>
  <si>
    <t>KR_res_mf_low_Partition</t>
  </si>
  <si>
    <t>KR_res_mf_high_Partition</t>
  </si>
  <si>
    <t>KR_office_small_Partition</t>
  </si>
  <si>
    <t>KR_office_medium_Partition</t>
  </si>
  <si>
    <t>KR_office_large_Partition</t>
  </si>
  <si>
    <t>KR_retail_small_Partition</t>
  </si>
  <si>
    <t>KR_retail_medium_Partition</t>
  </si>
  <si>
    <t>KR_retail_large_Partition</t>
  </si>
  <si>
    <t>KR_school_Partition</t>
  </si>
  <si>
    <t>KR_hospital_Partition</t>
  </si>
  <si>
    <t>KR_culture_Partition</t>
  </si>
  <si>
    <t>KR_religious_Partition</t>
  </si>
  <si>
    <t>KR_factory_Partition</t>
  </si>
  <si>
    <t>KR_welfare_Partition</t>
  </si>
  <si>
    <t>KR_hotel_Partition</t>
  </si>
  <si>
    <t>KR_data_Partition</t>
  </si>
  <si>
    <t>KR_etc_Partition</t>
  </si>
  <si>
    <t>KR_res_sf_1988_2000_FlatRoof</t>
  </si>
  <si>
    <t>KR_res_sf_2001_2010_FlatRoof</t>
  </si>
  <si>
    <t>KR_res_sf_2011_2018_FlatRoof</t>
  </si>
  <si>
    <t>KR_res_sf_post2019_FlatRoof</t>
  </si>
  <si>
    <t>KR_res_mf_low_pre1988_FlatRoof</t>
  </si>
  <si>
    <t>KR_res_mf_low_1988_2000_FlatRoof</t>
  </si>
  <si>
    <t>KR_res_mf_low_2001_2010_FlatRoof</t>
  </si>
  <si>
    <t>KR_res_mf_low_2011_2018_FlatRoof</t>
  </si>
  <si>
    <t>KR_res_mf_low_post2019_FlatRoof</t>
  </si>
  <si>
    <t>KR_res_mf_high_pre1988_FlatRoof</t>
  </si>
  <si>
    <t>KR_res_mf_high_1988_2000_FlatRoof</t>
  </si>
  <si>
    <t>KR_res_mf_high_2001_2010_FlatRoof</t>
  </si>
  <si>
    <t>KR_res_mf_high_2011_2018_FlatRoof</t>
  </si>
  <si>
    <t>KR_res_mf_high_post2019_FlatRoof</t>
  </si>
  <si>
    <t>KR_res_sf_1988_2000_Facade</t>
  </si>
  <si>
    <t>KR_res_sf_2001_2010_Facade</t>
  </si>
  <si>
    <t>KR_res_sf_2011_2018_Facade</t>
  </si>
  <si>
    <t>KR_res_sf_post2019_Facade</t>
  </si>
  <si>
    <t>KR_res_mf_low_pre1988_Facade</t>
  </si>
  <si>
    <t>KR_res_mf_low_1988_2000_Facade</t>
  </si>
  <si>
    <t>KR_res_mf_low_2001_2010_Facade</t>
  </si>
  <si>
    <t>KR_res_mf_low_2011_2018_Facade</t>
  </si>
  <si>
    <t>KR_res_mf_low_post2019_Facade</t>
  </si>
  <si>
    <t>KR_res_mf_high_pre1988_Facade</t>
  </si>
  <si>
    <t>KR_res_mf_high_1988_2000_Facade</t>
  </si>
  <si>
    <t>KR_res_mf_high_2001_2010_Facade</t>
  </si>
  <si>
    <t>KR_res_mf_high_2011_2018_Facade</t>
  </si>
  <si>
    <t>KR_res_mf_high_post2019_Facade</t>
  </si>
  <si>
    <t>KR_office_small_pre1988_Facade</t>
  </si>
  <si>
    <t>KR_office_small_1988_2000_Facade</t>
  </si>
  <si>
    <t>KR_office_small_2001_2010_Facade</t>
  </si>
  <si>
    <t>KR_office_small_2011_2018_Facade</t>
  </si>
  <si>
    <t>KR_office_small_post2019_Facade</t>
  </si>
  <si>
    <t>KR_office_medium_pre1988_Facade</t>
  </si>
  <si>
    <t>KR_office_medium_1988_2000_Facade</t>
  </si>
  <si>
    <t>KR_office_medium_2001_2010_Facade</t>
  </si>
  <si>
    <t>KR_office_medium_2011_2018_Facade</t>
  </si>
  <si>
    <t>KR_office_medium_post2019_Facade</t>
  </si>
  <si>
    <t>KR_office_large_pre1988_Facade</t>
  </si>
  <si>
    <t>KR_office_large_1988_2000_Facade</t>
  </si>
  <si>
    <t>KR_office_large_2001_2010_Facade</t>
  </si>
  <si>
    <t>KR_office_large_2011_2018_Facade</t>
  </si>
  <si>
    <t>KR_office_large_post2019_Facade</t>
  </si>
  <si>
    <t>KR_retail_small_pre1988_Facade</t>
  </si>
  <si>
    <t>KR_retail_small_1988_2000_Facade</t>
  </si>
  <si>
    <t>KR_retail_small_2001_2010_Facade</t>
  </si>
  <si>
    <t>KR_retail_small_2011_2018_Facade</t>
  </si>
  <si>
    <t>KR_retail_small_post2019_Facade</t>
  </si>
  <si>
    <t>KR_retail_medium_pre1988_Facade</t>
  </si>
  <si>
    <t>KR_retail_medium_1988_2000_Facade</t>
  </si>
  <si>
    <t>KR_retail_medium_2001_2010_Facade</t>
  </si>
  <si>
    <t>KR_retail_medium_2011_2018_Facade</t>
  </si>
  <si>
    <t>KR_retail_medium_post2019_Facade</t>
  </si>
  <si>
    <t>KR_retail_large_pre1988_Facade</t>
  </si>
  <si>
    <t>KR_retail_large_1988_2000_Facade</t>
  </si>
  <si>
    <t>KR_retail_large_2001_2010_Facade</t>
  </si>
  <si>
    <t>KR_retail_large_2011_2018_Facade</t>
  </si>
  <si>
    <t>KR_retail_large_post2019_Facade</t>
  </si>
  <si>
    <t>KR_school_pre1988_Facade</t>
  </si>
  <si>
    <t>KR_school_1988_2000_Facade</t>
  </si>
  <si>
    <t>KR_school_2001_2010_Facade</t>
  </si>
  <si>
    <t>KR_school_2011_2018_Facade</t>
  </si>
  <si>
    <t>KR_school_post2019_Facade</t>
  </si>
  <si>
    <t>KR_hospital_pre1988_Facade</t>
  </si>
  <si>
    <t>KR_hospital_1988_2000_Facade</t>
  </si>
  <si>
    <t>KR_hospital_2001_2010_Facade</t>
  </si>
  <si>
    <t>KR_hospital_2011_2018_Facade</t>
  </si>
  <si>
    <t>KR_hospital_post2019_Facade</t>
  </si>
  <si>
    <t>KR_culture_pre1988_Facade</t>
  </si>
  <si>
    <t>KR_culture_1988_2000_Facade</t>
  </si>
  <si>
    <t>KR_culture_2001_2010_Facade</t>
  </si>
  <si>
    <t>KR_culture_2011_2018_Facade</t>
  </si>
  <si>
    <t>KR_culture_post2019_Facade</t>
  </si>
  <si>
    <t>KR_religious_pre1988_Facade</t>
  </si>
  <si>
    <t>KR_religious_1988_2000_Facade</t>
  </si>
  <si>
    <t>KR_religious_2001_2010_Facade</t>
  </si>
  <si>
    <t>KR_religious_2011_2018_Facade</t>
  </si>
  <si>
    <t>KR_religious_post2019_Facade</t>
  </si>
  <si>
    <t>KR_factory_pre1988_Facade</t>
  </si>
  <si>
    <t>KR_factory_1988_2000_Facade</t>
  </si>
  <si>
    <t>KR_factory_2001_2010_Facade</t>
  </si>
  <si>
    <t>KR_factory_2011_2018_Facade</t>
  </si>
  <si>
    <t>KR_factory_post2019_Facade</t>
  </si>
  <si>
    <t>KR_welfare_pre1988_Facade</t>
  </si>
  <si>
    <t>KR_welfare_1988_2000_Facade</t>
  </si>
  <si>
    <t>KR_welfare_2001_2010_Facade</t>
  </si>
  <si>
    <t>KR_welfare_2011_2018_Facade</t>
  </si>
  <si>
    <t>KR_welfare_post2019_Facade</t>
  </si>
  <si>
    <t>KR_hotel_pre1988_Facade</t>
  </si>
  <si>
    <t>KR_hotel_1988_2000_Facade</t>
  </si>
  <si>
    <t>KR_hotel_2001_2010_Facade</t>
  </si>
  <si>
    <t>KR_hotel_2011_2018_Facade</t>
  </si>
  <si>
    <t>KR_hotel_post2019_Facade</t>
  </si>
  <si>
    <t>KR_data_pre1988_Facade</t>
  </si>
  <si>
    <t>KR_data_1988_2000_Facade</t>
  </si>
  <si>
    <t>KR_data_2001_2010_Facade</t>
  </si>
  <si>
    <t>KR_data_2011_2018_Facade</t>
  </si>
  <si>
    <t>KR_data_post2019_Facade</t>
  </si>
  <si>
    <t>KR_etc_pre1988_Facade</t>
  </si>
  <si>
    <t>KR_etc_1988_2000_Facade</t>
  </si>
  <si>
    <t>KR_etc_2001_2010_Facade</t>
  </si>
  <si>
    <t>KR_etc_2011_2018_Facade</t>
  </si>
  <si>
    <t>KR_etc_post2019_Facade</t>
  </si>
  <si>
    <t>KR_res_sf_1988_2000_AtticRoof</t>
  </si>
  <si>
    <t>KR_res_sf_2001_2010_AtticRoof</t>
  </si>
  <si>
    <t>KR_res_sf_2011_2018_AtticRoof</t>
  </si>
  <si>
    <t>KR_res_sf_post2019_AtticRoof</t>
  </si>
  <si>
    <t>KR_res_mf_low_pre1988_AtticRoof</t>
  </si>
  <si>
    <t>KR_res_mf_low_1988_2000_AtticRoof</t>
  </si>
  <si>
    <t>KR_res_mf_low_2001_2010_AtticRoof</t>
  </si>
  <si>
    <t>KR_res_mf_low_2011_2018_AtticRoof</t>
  </si>
  <si>
    <t>KR_res_mf_low_post2019_AtticRoof</t>
  </si>
  <si>
    <t>KR_res_mf_high_pre1988_AtticRoof</t>
  </si>
  <si>
    <t>KR_res_mf_high_1988_2000_AtticRoof</t>
  </si>
  <si>
    <t>KR_res_mf_high_2001_2010_AtticRoof</t>
  </si>
  <si>
    <t>KR_res_mf_high_2011_2018_AtticRoof</t>
  </si>
  <si>
    <t>KR_res_mf_high_post2019_AtticRoof</t>
  </si>
  <si>
    <t>KR_office_small_pre1988_AtticRoof</t>
  </si>
  <si>
    <t>KR_office_small_1988_2000_AtticRoof</t>
  </si>
  <si>
    <t>KR_office_small_2001_2010_AtticRoof</t>
  </si>
  <si>
    <t>KR_office_small_2011_2018_AtticRoof</t>
  </si>
  <si>
    <t>KR_office_small_post2019_AtticRoof</t>
  </si>
  <si>
    <t>KR_office_medium_pre1988_AtticRoof</t>
  </si>
  <si>
    <t>KR_office_medium_1988_2000_AtticRoof</t>
  </si>
  <si>
    <t>KR_office_medium_2001_2010_AtticRoof</t>
  </si>
  <si>
    <t>KR_office_medium_2011_2018_AtticRoof</t>
  </si>
  <si>
    <t>KR_office_medium_post2019_AtticRoof</t>
  </si>
  <si>
    <t>KR_office_large_pre1988_AtticRoof</t>
  </si>
  <si>
    <t>KR_office_large_1988_2000_AtticRoof</t>
  </si>
  <si>
    <t>KR_office_large_2001_2010_AtticRoof</t>
  </si>
  <si>
    <t>KR_office_large_2011_2018_AtticRoof</t>
  </si>
  <si>
    <t>KR_office_large_post2019_AtticRoof</t>
  </si>
  <si>
    <t>KR_retail_small_pre1988_AtticRoof</t>
  </si>
  <si>
    <t>KR_retail_small_1988_2000_AtticRoof</t>
  </si>
  <si>
    <t>KR_retail_small_2001_2010_AtticRoof</t>
  </si>
  <si>
    <t>KR_retail_small_2011_2018_AtticRoof</t>
  </si>
  <si>
    <t>KR_retail_small_post2019_AtticRoof</t>
  </si>
  <si>
    <t>KR_retail_medium_pre1988_AtticRoof</t>
  </si>
  <si>
    <t>KR_retail_medium_1988_2000_AtticRoof</t>
  </si>
  <si>
    <t>KR_retail_medium_2001_2010_AtticRoof</t>
  </si>
  <si>
    <t>KR_retail_medium_2011_2018_AtticRoof</t>
  </si>
  <si>
    <t>KR_retail_medium_post2019_AtticRoof</t>
  </si>
  <si>
    <t>KR_retail_large_pre1988_AtticRoof</t>
  </si>
  <si>
    <t>KR_retail_large_1988_2000_AtticRoof</t>
  </si>
  <si>
    <t>KR_retail_large_2001_2010_AtticRoof</t>
  </si>
  <si>
    <t>KR_retail_large_2011_2018_AtticRoof</t>
  </si>
  <si>
    <t>KR_retail_large_post2019_AtticRoof</t>
  </si>
  <si>
    <t>KR_school_pre1988_AtticRoof</t>
  </si>
  <si>
    <t>KR_school_1988_2000_AtticRoof</t>
  </si>
  <si>
    <t>KR_school_2001_2010_AtticRoof</t>
  </si>
  <si>
    <t>KR_school_2011_2018_AtticRoof</t>
  </si>
  <si>
    <t>KR_school_post2019_AtticRoof</t>
  </si>
  <si>
    <t>KR_hospital_pre1988_AtticRoof</t>
  </si>
  <si>
    <t>KR_hospital_1988_2000_AtticRoof</t>
  </si>
  <si>
    <t>KR_hospital_2001_2010_AtticRoof</t>
  </si>
  <si>
    <t>KR_hospital_2011_2018_AtticRoof</t>
  </si>
  <si>
    <t>KR_hospital_post2019_AtticRoof</t>
  </si>
  <si>
    <t>KR_culture_pre1988_AtticRoof</t>
  </si>
  <si>
    <t>KR_culture_1988_2000_AtticRoof</t>
  </si>
  <si>
    <t>KR_culture_2001_2010_AtticRoof</t>
  </si>
  <si>
    <t>KR_culture_2011_2018_AtticRoof</t>
  </si>
  <si>
    <t>KR_culture_post2019_AtticRoof</t>
  </si>
  <si>
    <t>KR_religious_pre1988_AtticRoof</t>
  </si>
  <si>
    <t>KR_religious_1988_2000_AtticRoof</t>
  </si>
  <si>
    <t>KR_religious_2001_2010_AtticRoof</t>
  </si>
  <si>
    <t>KR_religious_2011_2018_AtticRoof</t>
  </si>
  <si>
    <t>KR_religious_post2019_AtticRoof</t>
  </si>
  <si>
    <t>KR_factory_pre1988_AtticRoof</t>
  </si>
  <si>
    <t>KR_factory_1988_2000_AtticRoof</t>
  </si>
  <si>
    <t>KR_factory_2001_2010_AtticRoof</t>
  </si>
  <si>
    <t>KR_factory_2011_2018_AtticRoof</t>
  </si>
  <si>
    <t>KR_factory_post2019_AtticRoof</t>
  </si>
  <si>
    <t>KR_welfare_pre1988_AtticRoof</t>
  </si>
  <si>
    <t>KR_welfare_1988_2000_AtticRoof</t>
  </si>
  <si>
    <t>KR_welfare_2001_2010_AtticRoof</t>
  </si>
  <si>
    <t>KR_welfare_2011_2018_AtticRoof</t>
  </si>
  <si>
    <t>KR_welfare_post2019_AtticRoof</t>
  </si>
  <si>
    <t>KR_hotel_pre1988_AtticRoof</t>
  </si>
  <si>
    <t>KR_hotel_1988_2000_AtticRoof</t>
  </si>
  <si>
    <t>KR_hotel_2001_2010_AtticRoof</t>
  </si>
  <si>
    <t>KR_hotel_2011_2018_AtticRoof</t>
  </si>
  <si>
    <t>KR_hotel_post2019_AtticRoof</t>
  </si>
  <si>
    <t>KR_data_pre1988_AtticRoof</t>
  </si>
  <si>
    <t>KR_data_1988_2000_AtticRoof</t>
  </si>
  <si>
    <t>KR_data_2001_2010_AtticRoof</t>
  </si>
  <si>
    <t>KR_data_2011_2018_AtticRoof</t>
  </si>
  <si>
    <t>KR_data_post2019_AtticRoof</t>
  </si>
  <si>
    <t>KR_etc_pre1988_AtticRoof</t>
  </si>
  <si>
    <t>KR_etc_1988_2000_AtticRoof</t>
  </si>
  <si>
    <t>KR_etc_2001_2010_AtticRoof</t>
  </si>
  <si>
    <t>KR_etc_2011_2018_AtticRoof</t>
  </si>
  <si>
    <t>KR_etc_post2019_AtticRoof</t>
  </si>
  <si>
    <t>KR_res_mf_low_FloorCeiling</t>
  </si>
  <si>
    <t>KR_res_mf_high_FloorCeiling</t>
  </si>
  <si>
    <t>KR_office_small_FloorCeiling</t>
  </si>
  <si>
    <t>KR_office_medium_FloorCeiling</t>
  </si>
  <si>
    <t>KR_office_large_FloorCeiling</t>
  </si>
  <si>
    <t>KR_retail_small_FloorCeiling</t>
  </si>
  <si>
    <t>KR_retail_medium_FloorCeiling</t>
  </si>
  <si>
    <t>KR_retail_large_FloorCeiling</t>
  </si>
  <si>
    <t>KR_school_FloorCeiling</t>
  </si>
  <si>
    <t>KR_hospital_FloorCeiling</t>
  </si>
  <si>
    <t>KR_culture_FloorCeiling</t>
  </si>
  <si>
    <t>KR_religious_FloorCeiling</t>
  </si>
  <si>
    <t>KR_factory_FloorCeiling</t>
  </si>
  <si>
    <t>KR_welfare_FloorCeiling</t>
  </si>
  <si>
    <t>KR_hotel_FloorCeiling</t>
  </si>
  <si>
    <t>KR_data_FloorCeiling</t>
  </si>
  <si>
    <t>KR_etc_FloorCeiling</t>
  </si>
  <si>
    <t>KR_res_sf_1988_2000_GroundSlab</t>
  </si>
  <si>
    <t>KR_res_sf_2001_2010_GroundSlab</t>
  </si>
  <si>
    <t>KR_res_sf_post2019_GroundSlab</t>
  </si>
  <si>
    <t>KR_res_mf_low_pre1988_GroundSlab</t>
  </si>
  <si>
    <t>KR_res_mf_low_1988_2000_GroundSlab</t>
  </si>
  <si>
    <t>KR_res_mf_low_2001_2010_GroundSlab</t>
  </si>
  <si>
    <t>KR_res_mf_low_2011_2018_GroundSlab</t>
  </si>
  <si>
    <t>KR_res_mf_low_post2019_GroundSlab</t>
  </si>
  <si>
    <t>KR_res_mf_high_pre1988_GroundSlab</t>
  </si>
  <si>
    <t>KR_res_mf_high_1988_2000_GroundSlab</t>
  </si>
  <si>
    <t>KR_res_mf_high_2001_2010_GroundSlab</t>
  </si>
  <si>
    <t>KR_res_mf_high_2011_2018_GroundSlab</t>
  </si>
  <si>
    <t>KR_res_mf_high_post2019_GroundSlab</t>
  </si>
  <si>
    <t>KR_office_small_pre1988_GroundSlab</t>
  </si>
  <si>
    <t>KR_office_small_1988_2000_GroundSlab</t>
  </si>
  <si>
    <t>KR_office_small_2001_2010_GroundSlab</t>
  </si>
  <si>
    <t>KR_office_small_2011_2018_GroundSlab</t>
  </si>
  <si>
    <t>KR_office_small_post2019_GroundSlab</t>
  </si>
  <si>
    <t>KR_office_medium_pre1988_GroundSlab</t>
  </si>
  <si>
    <t>KR_office_medium_1988_2000_GroundSlab</t>
  </si>
  <si>
    <t>KR_office_medium_2001_2010_GroundSlab</t>
  </si>
  <si>
    <t>KR_office_medium_2011_2018_GroundSlab</t>
  </si>
  <si>
    <t>KR_office_medium_post2019_GroundSlab</t>
  </si>
  <si>
    <t>KR_office_large_pre1988_GroundSlab</t>
  </si>
  <si>
    <t>KR_office_large_1988_2000_GroundSlab</t>
  </si>
  <si>
    <t>KR_office_large_2001_2010_GroundSlab</t>
  </si>
  <si>
    <t>KR_office_large_2011_2018_GroundSlab</t>
  </si>
  <si>
    <t>KR_office_large_post2019_GroundSlab</t>
  </si>
  <si>
    <t>KR_retail_small_pre1988_GroundSlab</t>
  </si>
  <si>
    <t>KR_retail_small_1988_2000_GroundSlab</t>
  </si>
  <si>
    <t>KR_retail_small_2001_2010_GroundSlab</t>
  </si>
  <si>
    <t>KR_retail_small_2011_2018_GroundSlab</t>
  </si>
  <si>
    <t>KR_retail_small_post2019_GroundSlab</t>
  </si>
  <si>
    <t>KR_retail_medium_pre1988_GroundSlab</t>
  </si>
  <si>
    <t>KR_retail_medium_1988_2000_GroundSlab</t>
  </si>
  <si>
    <t>KR_retail_medium_2001_2010_GroundSlab</t>
  </si>
  <si>
    <t>KR_retail_medium_2011_2018_GroundSlab</t>
  </si>
  <si>
    <t>KR_retail_medium_post2019_GroundSlab</t>
  </si>
  <si>
    <t>KR_retail_large_pre1988_GroundSlab</t>
  </si>
  <si>
    <t>KR_retail_large_1988_2000_GroundSlab</t>
  </si>
  <si>
    <t>KR_retail_large_2001_2010_GroundSlab</t>
  </si>
  <si>
    <t>KR_retail_large_2011_2018_GroundSlab</t>
  </si>
  <si>
    <t>KR_retail_large_post2019_GroundSlab</t>
  </si>
  <si>
    <t>KR_school_pre1988_GroundSlab</t>
  </si>
  <si>
    <t>KR_school_1988_2000_GroundSlab</t>
  </si>
  <si>
    <t>KR_school_2001_2010_GroundSlab</t>
  </si>
  <si>
    <t>KR_school_2011_2018_GroundSlab</t>
  </si>
  <si>
    <t>KR_school_post2019_GroundSlab</t>
  </si>
  <si>
    <t>KR_hospital_pre1988_GroundSlab</t>
  </si>
  <si>
    <t>KR_hospital_1988_2000_GroundSlab</t>
  </si>
  <si>
    <t>KR_hospital_2001_2010_GroundSlab</t>
  </si>
  <si>
    <t>KR_hospital_2011_2018_GroundSlab</t>
  </si>
  <si>
    <t>KR_hospital_post2019_GroundSlab</t>
  </si>
  <si>
    <t>KR_culture_pre1988_GroundSlab</t>
  </si>
  <si>
    <t>KR_culture_1988_2000_GroundSlab</t>
  </si>
  <si>
    <t>KR_culture_2001_2010_GroundSlab</t>
  </si>
  <si>
    <t>KR_culture_2011_2018_GroundSlab</t>
  </si>
  <si>
    <t>KR_culture_post2019_GroundSlab</t>
  </si>
  <si>
    <t>KR_religious_pre1988_GroundSlab</t>
  </si>
  <si>
    <t>KR_religious_1988_2000_GroundSlab</t>
  </si>
  <si>
    <t>KR_religious_2001_2010_GroundSlab</t>
  </si>
  <si>
    <t>KR_religious_2011_2018_GroundSlab</t>
  </si>
  <si>
    <t>KR_religious_post2019_GroundSlab</t>
  </si>
  <si>
    <t>KR_factory_pre1988_GroundSlab</t>
  </si>
  <si>
    <t>KR_factory_1988_2000_GroundSlab</t>
  </si>
  <si>
    <t>KR_factory_2001_2010_GroundSlab</t>
  </si>
  <si>
    <t>KR_factory_2011_2018_GroundSlab</t>
  </si>
  <si>
    <t>KR_factory_post2019_GroundSlab</t>
  </si>
  <si>
    <t>KR_welfare_pre1988_GroundSlab</t>
  </si>
  <si>
    <t>KR_welfare_1988_2000_GroundSlab</t>
  </si>
  <si>
    <t>KR_welfare_2001_2010_GroundSlab</t>
  </si>
  <si>
    <t>KR_welfare_2011_2018_GroundSlab</t>
  </si>
  <si>
    <t>KR_welfare_post2019_GroundSlab</t>
  </si>
  <si>
    <t>KR_hotel_pre1988_GroundSlab</t>
  </si>
  <si>
    <t>KR_hotel_1988_2000_GroundSlab</t>
  </si>
  <si>
    <t>KR_hotel_2001_2010_GroundSlab</t>
  </si>
  <si>
    <t>KR_hotel_2011_2018_GroundSlab</t>
  </si>
  <si>
    <t>KR_hotel_post2019_GroundSlab</t>
  </si>
  <si>
    <t>KR_data_pre1988_GroundSlab</t>
  </si>
  <si>
    <t>KR_data_1988_2000_GroundSlab</t>
  </si>
  <si>
    <t>KR_data_2001_2010_GroundSlab</t>
  </si>
  <si>
    <t>KR_data_2011_2018_GroundSlab</t>
  </si>
  <si>
    <t>KR_data_post2019_GroundSlab</t>
  </si>
  <si>
    <t>KR_etc_pre1988_GroundSlab</t>
  </si>
  <si>
    <t>KR_etc_1988_2000_GroundSlab</t>
  </si>
  <si>
    <t>KR_etc_2001_2010_GroundSlab</t>
  </si>
  <si>
    <t>KR_etc_2011_2018_GroundSlab</t>
  </si>
  <si>
    <t>KR_etc_post2019_GroundSlab</t>
  </si>
  <si>
    <t>KR_res_mf_low_GroundWall</t>
  </si>
  <si>
    <t>KR_res_mf_high_GroundWall</t>
  </si>
  <si>
    <t>KR_office_small_GroundWall</t>
  </si>
  <si>
    <t>KR_office_medium_GroundWall</t>
  </si>
  <si>
    <t>KR_office_large_GroundWall</t>
  </si>
  <si>
    <t>KR_retail_small_GroundWall</t>
  </si>
  <si>
    <t>KR_retail_medium_GroundWall</t>
  </si>
  <si>
    <t>KR_retail_large_GroundWall</t>
  </si>
  <si>
    <t>KR_school_GroundWall</t>
  </si>
  <si>
    <t>KR_hospital_GroundWall</t>
  </si>
  <si>
    <t>KR_culture_GroundWall</t>
  </si>
  <si>
    <t>KR_religious_GroundWall</t>
  </si>
  <si>
    <t>KR_welfare_GroundWall</t>
  </si>
  <si>
    <t>KR_hotel_GroundWall</t>
  </si>
  <si>
    <t>KR_data_GroundWall</t>
  </si>
  <si>
    <t>KR_etc_GroundWall</t>
  </si>
  <si>
    <t>KR_res_mf_low_BasementCeiling</t>
  </si>
  <si>
    <t>KR_res_mf_high_BasementCeiling</t>
  </si>
  <si>
    <t>KR_office_small_BasementCeiling</t>
  </si>
  <si>
    <t>KR_office_medium_BasementCeiling</t>
  </si>
  <si>
    <t>KR_office_large_BasementCeiling</t>
  </si>
  <si>
    <t>KR_retail_small_BasementCeiling</t>
  </si>
  <si>
    <t>KR_retail_medium_BasementCeiling</t>
  </si>
  <si>
    <t>KR_retail_large_BasementCeiling</t>
  </si>
  <si>
    <t>KR_school_BasementCeiling</t>
  </si>
  <si>
    <t>KR_hospital_BasementCeiling</t>
  </si>
  <si>
    <t>KR_culture_BasementCeiling</t>
  </si>
  <si>
    <t>KR_religious_BasementCeiling</t>
  </si>
  <si>
    <t>KR_welfare_BasementCeiling</t>
  </si>
  <si>
    <t>KR_hotel_BasementCeiling</t>
  </si>
  <si>
    <t>KR_data_BasementCeiling</t>
  </si>
  <si>
    <t>KR_etc_BasementCeiling</t>
  </si>
  <si>
    <t>KR_warehouse_InternalMass</t>
  </si>
  <si>
    <t>KR_res_mf_low_ExternalFloor</t>
  </si>
  <si>
    <t>KR_warehouse_pre1988_Facade</t>
  </si>
  <si>
    <t>KR_warehouse_pre1988_GroundSlab</t>
  </si>
  <si>
    <t>KR_warehouse_1988_2000_Facade</t>
  </si>
  <si>
    <t>KR_warehouse_1988_2000_GroundSlab</t>
  </si>
  <si>
    <t>KR_warehouse_2001_2010_Facade</t>
  </si>
  <si>
    <t>KR_warehouse_2001_2010_GroundSlab</t>
  </si>
  <si>
    <t>KR_warehouse_2011_2018_Facade</t>
  </si>
  <si>
    <t>KR_warehouse_2011_2018_GroundSlab</t>
  </si>
  <si>
    <t>KR_warehouse_post2019_Facade</t>
  </si>
  <si>
    <t>KR_warehouse_post2019_GroundSlab</t>
  </si>
  <si>
    <t>KR_warehouse_Partition</t>
  </si>
  <si>
    <t>KR_warehouse_FloorCeiling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</si>
</sst>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Malgun Gothic"/>
      <scheme val="minor"/>
    </font>
    <font>
      <sz val="12"/>
      <color theme="1"/>
      <name val="Arial"/>
      <family val="2"/>
    </font>
    <font>
      <b/>
      <sz val="20"/>
      <color theme="1"/>
      <name val="Arial"/>
      <family val="2"/>
    </font>
    <font>
      <b/>
      <sz val="12"/>
      <color theme="1"/>
      <name val="Arial"/>
      <family val="2"/>
    </font>
    <font>
      <u/>
      <sz val="12"/>
      <color theme="10"/>
      <name val="Malgun Gothic"/>
      <family val="2"/>
      <charset val="129"/>
    </font>
    <font>
      <sz val="12"/>
      <name val="Malgun Gothic"/>
      <family val="2"/>
      <charset val="129"/>
    </font>
    <font>
      <u/>
      <sz val="12"/>
      <color theme="10"/>
      <name val="Malgun Gothic"/>
      <family val="2"/>
      <charset val="129"/>
    </font>
    <font>
      <u/>
      <sz val="12"/>
      <color theme="10"/>
      <name val="Malgun Gothic"/>
      <family val="2"/>
      <charset val="129"/>
    </font>
    <font>
      <i/>
      <sz val="12"/>
      <color theme="1"/>
      <name val="Arial"/>
      <family val="2"/>
    </font>
    <font>
      <sz val="12"/>
      <color theme="1"/>
      <name val="Malgun Gothic"/>
      <family val="2"/>
      <charset val="129"/>
    </font>
    <font>
      <b/>
      <sz val="12"/>
      <color theme="1"/>
      <name val="Malgun Gothic"/>
      <family val="2"/>
      <charset val="129"/>
    </font>
    <font>
      <sz val="12"/>
      <color theme="1"/>
      <name val="Malgun Gothic"/>
      <family val="2"/>
      <charset val="129"/>
    </font>
    <font>
      <b/>
      <i/>
      <sz val="12"/>
      <color theme="1"/>
      <name val="Malgun Gothic"/>
      <family val="2"/>
      <charset val="129"/>
    </font>
    <font>
      <sz val="10"/>
      <color rgb="FF000000"/>
      <name val="Arial"/>
      <family val="2"/>
    </font>
    <font>
      <sz val="12"/>
      <color rgb="FFFF0000"/>
      <name val="Malgun Gothic"/>
      <family val="2"/>
      <charset val="129"/>
    </font>
    <font>
      <i/>
      <sz val="12"/>
      <color theme="1"/>
      <name val="Malgun Gothic"/>
      <family val="2"/>
      <charset val="129"/>
    </font>
    <font>
      <sz val="12"/>
      <color theme="1"/>
      <name val="Malgun Gothic"/>
      <family val="2"/>
      <charset val="129"/>
      <scheme val="minor"/>
    </font>
    <font>
      <b/>
      <sz val="12"/>
      <color theme="1"/>
      <name val="Malgun Gothic"/>
      <family val="2"/>
      <charset val="129"/>
    </font>
    <font>
      <sz val="11"/>
      <color rgb="FF000000"/>
      <name val="&quot;맑은 고딕&quot;"/>
    </font>
    <font>
      <b/>
      <i/>
      <sz val="12"/>
      <color rgb="FF000000"/>
      <name val="Malgun Gothic"/>
      <family val="2"/>
      <charset val="129"/>
    </font>
    <font>
      <b/>
      <sz val="11"/>
      <color theme="1"/>
      <name val="Malgun Gothic"/>
      <family val="2"/>
      <charset val="129"/>
    </font>
    <font>
      <sz val="12"/>
      <color rgb="FFFFFFFF"/>
      <name val="Malgun Gothic"/>
      <family val="2"/>
      <charset val="129"/>
    </font>
    <font>
      <sz val="12"/>
      <color rgb="FF000000"/>
      <name val="Arial"/>
      <family val="2"/>
    </font>
    <font>
      <sz val="12"/>
      <color rgb="FF000000"/>
      <name val="&quot;Aptos Narrow&quot;"/>
    </font>
    <font>
      <sz val="12"/>
      <color rgb="FF000000"/>
      <name val="&quot;맑은 고딕&quot;"/>
    </font>
    <font>
      <sz val="12"/>
      <color rgb="FFFF0000"/>
      <name val="&quot;맑은 고딕&quot;"/>
    </font>
    <font>
      <sz val="12"/>
      <color rgb="FF000000"/>
      <name val="Malgun Gothic"/>
      <family val="2"/>
      <charset val="129"/>
    </font>
    <font>
      <sz val="11"/>
      <color theme="1"/>
      <name val="Consolas"/>
      <family val="2"/>
    </font>
    <font>
      <sz val="11"/>
      <color rgb="FF000000"/>
      <name val="&quot;\0022맑은 고딕\0022&quot;"/>
    </font>
    <font>
      <sz val="12"/>
      <color rgb="FF000000"/>
      <name val="&quot;\0022맑은 고딕\0022&quot;"/>
    </font>
    <font>
      <sz val="12"/>
      <color rgb="FF1F1F1F"/>
      <name val="Arial"/>
      <family val="2"/>
    </font>
    <font>
      <u/>
      <sz val="12"/>
      <color rgb="FF0000FF"/>
      <name val="Malgun Gothic"/>
      <family val="2"/>
      <charset val="129"/>
    </font>
    <font>
      <sz val="11"/>
      <color rgb="FF1F1F1F"/>
      <name val="Arial"/>
      <family val="2"/>
    </font>
    <font>
      <sz val="11"/>
      <color theme="1"/>
      <name val="Arial"/>
      <family val="2"/>
    </font>
    <font>
      <sz val="11"/>
      <color rgb="FF000000"/>
      <name val="Arial"/>
      <family val="2"/>
    </font>
    <font>
      <b/>
      <sz val="12"/>
      <color rgb="FF000000"/>
      <name val="Malgun Gothic"/>
      <family val="2"/>
      <charset val="129"/>
    </font>
    <font>
      <i/>
      <sz val="12"/>
      <color rgb="FF000000"/>
      <name val="Malgun Gothic"/>
      <family val="2"/>
      <charset val="129"/>
    </font>
    <font>
      <sz val="11"/>
      <color theme="1"/>
      <name val="Malgun Gothic"/>
      <family val="2"/>
      <charset val="129"/>
    </font>
    <font>
      <b/>
      <i/>
      <sz val="12"/>
      <color rgb="FFC1F0C8"/>
      <name val="Arial"/>
      <family val="2"/>
    </font>
    <font>
      <b/>
      <sz val="12"/>
      <color theme="1"/>
      <name val="맑은 고딕"/>
      <family val="2"/>
      <charset val="129"/>
    </font>
    <font>
      <u/>
      <sz val="12"/>
      <color rgb="FF1155CC"/>
      <name val="Malgun Gothic"/>
      <family val="2"/>
      <charset val="129"/>
    </font>
    <font>
      <b/>
      <i/>
      <strike/>
      <sz val="12"/>
      <color theme="1"/>
      <name val="Malgun Gothic"/>
      <family val="2"/>
      <charset val="129"/>
    </font>
    <font>
      <b/>
      <sz val="12"/>
      <color theme="1"/>
      <name val="Malgun Gothic"/>
      <family val="2"/>
      <scheme val="minor"/>
    </font>
  </fonts>
  <fills count="43">
    <fill>
      <patternFill patternType="none"/>
    </fill>
    <fill>
      <patternFill patternType="gray125"/>
    </fill>
    <fill>
      <patternFill patternType="solid">
        <fgColor theme="0"/>
        <bgColor theme="0"/>
      </patternFill>
    </fill>
    <fill>
      <patternFill patternType="solid">
        <fgColor theme="7"/>
        <bgColor theme="7"/>
      </patternFill>
    </fill>
    <fill>
      <patternFill patternType="solid">
        <fgColor rgb="FFAEAEAE"/>
        <bgColor rgb="FFAEAEAE"/>
      </patternFill>
    </fill>
    <fill>
      <patternFill patternType="solid">
        <fgColor rgb="FFD9F2D0"/>
        <bgColor rgb="FFD9F2D0"/>
      </patternFill>
    </fill>
    <fill>
      <patternFill patternType="solid">
        <fgColor rgb="FF83CAEB"/>
        <bgColor rgb="FF83CAEB"/>
      </patternFill>
    </fill>
    <fill>
      <patternFill patternType="solid">
        <fgColor rgb="FFCAEDFB"/>
        <bgColor rgb="FFCAEDFB"/>
      </patternFill>
    </fill>
    <fill>
      <patternFill patternType="solid">
        <fgColor rgb="FFFFFFFF"/>
        <bgColor rgb="FFFFFFFF"/>
      </patternFill>
    </fill>
    <fill>
      <patternFill patternType="solid">
        <fgColor rgb="FFDAF2D0"/>
        <bgColor rgb="FFDAF2D0"/>
      </patternFill>
    </fill>
    <fill>
      <patternFill patternType="solid">
        <fgColor rgb="FF95DCF7"/>
        <bgColor rgb="FF95DCF7"/>
      </patternFill>
    </fill>
    <fill>
      <patternFill patternType="solid">
        <fgColor rgb="FFFBE2D5"/>
        <bgColor rgb="FFFBE2D5"/>
      </patternFill>
    </fill>
    <fill>
      <patternFill patternType="solid">
        <fgColor rgb="FFEFEFEF"/>
        <bgColor rgb="FFEFEFEF"/>
      </patternFill>
    </fill>
    <fill>
      <patternFill patternType="solid">
        <fgColor rgb="FFC1E4F5"/>
        <bgColor rgb="FFC1E4F5"/>
      </patternFill>
    </fill>
    <fill>
      <patternFill patternType="solid">
        <fgColor rgb="FFFFFF00"/>
        <bgColor rgb="FFFFFF00"/>
      </patternFill>
    </fill>
    <fill>
      <patternFill patternType="solid">
        <fgColor rgb="FFB8E1C5"/>
        <bgColor rgb="FFB8E1C5"/>
      </patternFill>
    </fill>
    <fill>
      <patternFill patternType="solid">
        <fgColor rgb="FF7DC991"/>
        <bgColor rgb="FF7DC991"/>
      </patternFill>
    </fill>
    <fill>
      <patternFill patternType="solid">
        <fgColor rgb="FF81CA95"/>
        <bgColor rgb="FF81CA95"/>
      </patternFill>
    </fill>
    <fill>
      <patternFill patternType="solid">
        <fgColor rgb="FF78C78D"/>
        <bgColor rgb="FF78C78D"/>
      </patternFill>
    </fill>
    <fill>
      <patternFill patternType="solid">
        <fgColor rgb="FF77C68C"/>
        <bgColor rgb="FF77C68C"/>
      </patternFill>
    </fill>
    <fill>
      <patternFill patternType="solid">
        <fgColor rgb="FF6EC385"/>
        <bgColor rgb="FF6EC385"/>
      </patternFill>
    </fill>
    <fill>
      <patternFill patternType="solid">
        <fgColor rgb="FF9ED6AE"/>
        <bgColor rgb="FF9ED6AE"/>
      </patternFill>
    </fill>
    <fill>
      <patternFill patternType="solid">
        <fgColor rgb="FFA4D9B3"/>
        <bgColor rgb="FFA4D9B3"/>
      </patternFill>
    </fill>
    <fill>
      <patternFill patternType="solid">
        <fgColor rgb="FF96D3A7"/>
        <bgColor rgb="FF96D3A7"/>
      </patternFill>
    </fill>
    <fill>
      <patternFill patternType="solid">
        <fgColor rgb="FF90D0A2"/>
        <bgColor rgb="FF90D0A2"/>
      </patternFill>
    </fill>
    <fill>
      <patternFill patternType="solid">
        <fgColor rgb="FF91D1A2"/>
        <bgColor rgb="FF91D1A2"/>
      </patternFill>
    </fill>
    <fill>
      <patternFill patternType="solid">
        <fgColor rgb="FF87CD9A"/>
        <bgColor rgb="FF87CD9A"/>
      </patternFill>
    </fill>
    <fill>
      <patternFill patternType="solid">
        <fgColor rgb="FF86CC99"/>
        <bgColor rgb="FF86CC99"/>
      </patternFill>
    </fill>
    <fill>
      <patternFill patternType="solid">
        <fgColor rgb="FF82CB96"/>
        <bgColor rgb="FF82CB96"/>
      </patternFill>
    </fill>
    <fill>
      <patternFill patternType="solid">
        <fgColor rgb="FF7CC891"/>
        <bgColor rgb="FF7CC891"/>
      </patternFill>
    </fill>
    <fill>
      <patternFill patternType="solid">
        <fgColor rgb="FF73C589"/>
        <bgColor rgb="FF73C589"/>
      </patternFill>
    </fill>
    <fill>
      <patternFill patternType="solid">
        <fgColor rgb="FF72C488"/>
        <bgColor rgb="FF72C488"/>
      </patternFill>
    </fill>
    <fill>
      <patternFill patternType="solid">
        <fgColor rgb="FF69C181"/>
        <bgColor rgb="FF69C181"/>
      </patternFill>
    </fill>
    <fill>
      <patternFill patternType="solid">
        <fgColor rgb="FF8BCE9D"/>
        <bgColor rgb="FF8BCE9D"/>
      </patternFill>
    </fill>
    <fill>
      <patternFill patternType="solid">
        <fgColor rgb="FF8CCF9E"/>
        <bgColor rgb="FF8CCF9E"/>
      </patternFill>
    </fill>
    <fill>
      <patternFill patternType="solid">
        <fgColor rgb="FF6DC284"/>
        <bgColor rgb="FF6DC284"/>
      </patternFill>
    </fill>
    <fill>
      <patternFill patternType="solid">
        <fgColor rgb="FF64BF7C"/>
        <bgColor rgb="FF64BF7C"/>
      </patternFill>
    </fill>
    <fill>
      <patternFill patternType="solid">
        <fgColor rgb="FF95D2A6"/>
        <bgColor rgb="FF95D2A6"/>
      </patternFill>
    </fill>
    <fill>
      <patternFill patternType="solid">
        <fgColor rgb="FFB3DFC0"/>
        <bgColor rgb="FFB3DFC0"/>
      </patternFill>
    </fill>
    <fill>
      <patternFill patternType="solid">
        <fgColor rgb="FF9AD5AB"/>
        <bgColor rgb="FF9AD5AB"/>
      </patternFill>
    </fill>
    <fill>
      <patternFill patternType="solid">
        <fgColor rgb="FF63BE7B"/>
        <bgColor rgb="FF63BE7B"/>
      </patternFill>
    </fill>
    <fill>
      <patternFill patternType="solid">
        <fgColor rgb="FFFAE2D5"/>
        <bgColor rgb="FFFAE2D5"/>
      </patternFill>
    </fill>
    <fill>
      <patternFill patternType="solid">
        <fgColor theme="7" tint="0.79998168889431442"/>
        <bgColor indexed="64"/>
      </patternFill>
    </fill>
  </fills>
  <borders count="6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bottom/>
      <diagonal/>
    </border>
    <border>
      <left/>
      <right/>
      <top/>
      <bottom/>
      <diagonal/>
    </border>
    <border>
      <left/>
      <right/>
      <top style="thin">
        <color rgb="FF000000"/>
      </top>
      <bottom style="thin">
        <color rgb="FF000000"/>
      </bottom>
      <diagonal/>
    </border>
    <border>
      <left style="medium">
        <color rgb="FF000000"/>
      </left>
      <right/>
      <top/>
      <bottom/>
      <diagonal/>
    </border>
    <border>
      <left/>
      <right style="thin">
        <color rgb="FFD9D9D9"/>
      </right>
      <top style="thin">
        <color rgb="FFD9D9D9"/>
      </top>
      <bottom style="thin">
        <color rgb="FFD9D9D9"/>
      </bottom>
      <diagonal/>
    </border>
    <border>
      <left style="thin">
        <color rgb="FF000000"/>
      </left>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indexed="64"/>
      </top>
      <bottom style="thin">
        <color indexed="64"/>
      </bottom>
      <diagonal/>
    </border>
  </borders>
  <cellStyleXfs count="1">
    <xf numFmtId="0" fontId="0" fillId="0" borderId="0"/>
  </cellStyleXfs>
  <cellXfs count="236">
    <xf numFmtId="0" fontId="0" fillId="0" borderId="0" xfId="0"/>
    <xf numFmtId="0" fontId="1" fillId="2" borderId="1" xfId="0" applyFont="1" applyFill="1" applyBorder="1"/>
    <xf numFmtId="0" fontId="2" fillId="2" borderId="2" xfId="0" applyFont="1" applyFill="1" applyBorder="1"/>
    <xf numFmtId="0" fontId="1" fillId="2" borderId="3" xfId="0" applyFont="1" applyFill="1" applyBorder="1"/>
    <xf numFmtId="0" fontId="3" fillId="2" borderId="3" xfId="0" applyFont="1" applyFill="1" applyBorder="1"/>
    <xf numFmtId="0" fontId="1" fillId="2" borderId="4" xfId="0" applyFont="1" applyFill="1" applyBorder="1"/>
    <xf numFmtId="0" fontId="3" fillId="2" borderId="1" xfId="0" applyFont="1" applyFill="1" applyBorder="1"/>
    <xf numFmtId="0" fontId="6" fillId="2" borderId="1" xfId="0" applyFont="1" applyFill="1" applyBorder="1" applyAlignment="1">
      <alignment horizontal="left"/>
    </xf>
    <xf numFmtId="0" fontId="3" fillId="2" borderId="8" xfId="0" applyFont="1" applyFill="1" applyBorder="1"/>
    <xf numFmtId="0" fontId="1" fillId="2" borderId="8" xfId="0" applyFont="1" applyFill="1" applyBorder="1"/>
    <xf numFmtId="0" fontId="7" fillId="2" borderId="1" xfId="0" applyFont="1" applyFill="1" applyBorder="1"/>
    <xf numFmtId="0" fontId="1" fillId="2" borderId="9" xfId="0" applyFont="1" applyFill="1" applyBorder="1"/>
    <xf numFmtId="0" fontId="8" fillId="2" borderId="1" xfId="0" applyFont="1" applyFill="1" applyBorder="1"/>
    <xf numFmtId="0" fontId="1" fillId="3" borderId="1" xfId="0" applyFont="1" applyFill="1" applyBorder="1"/>
    <xf numFmtId="0" fontId="1" fillId="4" borderId="1" xfId="0" applyFont="1" applyFill="1" applyBorder="1"/>
    <xf numFmtId="0" fontId="9" fillId="0" borderId="0" xfId="0" applyFont="1"/>
    <xf numFmtId="0" fontId="1" fillId="5" borderId="1" xfId="0" applyFont="1" applyFill="1" applyBorder="1"/>
    <xf numFmtId="0" fontId="1" fillId="2" borderId="12" xfId="0" applyFont="1" applyFill="1" applyBorder="1"/>
    <xf numFmtId="0" fontId="1" fillId="2" borderId="13" xfId="0" applyFont="1" applyFill="1" applyBorder="1"/>
    <xf numFmtId="0" fontId="1" fillId="2" borderId="14" xfId="0" applyFont="1" applyFill="1" applyBorder="1"/>
    <xf numFmtId="0" fontId="11" fillId="2" borderId="1" xfId="0" applyFont="1" applyFill="1" applyBorder="1"/>
    <xf numFmtId="0" fontId="10" fillId="6" borderId="8" xfId="0" applyFont="1" applyFill="1" applyBorder="1"/>
    <xf numFmtId="0" fontId="10" fillId="6" borderId="1" xfId="0" applyFont="1" applyFill="1" applyBorder="1"/>
    <xf numFmtId="0" fontId="11" fillId="6" borderId="1" xfId="0" applyFont="1" applyFill="1" applyBorder="1"/>
    <xf numFmtId="0" fontId="11" fillId="6" borderId="9" xfId="0" applyFont="1" applyFill="1" applyBorder="1"/>
    <xf numFmtId="0" fontId="11" fillId="0" borderId="18" xfId="0" applyFont="1" applyBorder="1"/>
    <xf numFmtId="0" fontId="12" fillId="2" borderId="19" xfId="0" applyFont="1" applyFill="1" applyBorder="1"/>
    <xf numFmtId="0" fontId="11" fillId="2" borderId="20" xfId="0" applyFont="1" applyFill="1" applyBorder="1"/>
    <xf numFmtId="0" fontId="11" fillId="2" borderId="21" xfId="0" applyFont="1" applyFill="1" applyBorder="1"/>
    <xf numFmtId="0" fontId="11" fillId="2" borderId="5" xfId="0" applyFont="1" applyFill="1" applyBorder="1"/>
    <xf numFmtId="0" fontId="14" fillId="2" borderId="25" xfId="0" applyFont="1" applyFill="1" applyBorder="1"/>
    <xf numFmtId="0" fontId="11" fillId="2" borderId="25" xfId="0" applyFont="1" applyFill="1" applyBorder="1"/>
    <xf numFmtId="0" fontId="15" fillId="0" borderId="18" xfId="0" applyFont="1" applyBorder="1"/>
    <xf numFmtId="0" fontId="15" fillId="0" borderId="27" xfId="0" applyFont="1" applyBorder="1"/>
    <xf numFmtId="0" fontId="15" fillId="0" borderId="28" xfId="0" applyFont="1" applyBorder="1"/>
    <xf numFmtId="0" fontId="11" fillId="2" borderId="33" xfId="0" applyFont="1" applyFill="1" applyBorder="1"/>
    <xf numFmtId="0" fontId="10" fillId="0" borderId="0" xfId="0" applyFont="1"/>
    <xf numFmtId="0" fontId="11" fillId="0" borderId="0" xfId="0" applyFont="1"/>
    <xf numFmtId="0" fontId="12" fillId="5" borderId="13" xfId="0" applyFont="1" applyFill="1" applyBorder="1" applyAlignment="1">
      <alignment wrapText="1"/>
    </xf>
    <xf numFmtId="0" fontId="12" fillId="2" borderId="35" xfId="0" applyFont="1" applyFill="1" applyBorder="1" applyAlignment="1">
      <alignment wrapText="1"/>
    </xf>
    <xf numFmtId="0" fontId="12" fillId="5" borderId="14" xfId="0" applyFont="1" applyFill="1" applyBorder="1" applyAlignment="1">
      <alignment wrapText="1"/>
    </xf>
    <xf numFmtId="0" fontId="10" fillId="7" borderId="35" xfId="0" applyFont="1" applyFill="1" applyBorder="1"/>
    <xf numFmtId="0" fontId="10" fillId="7" borderId="35" xfId="0" applyFont="1" applyFill="1" applyBorder="1" applyAlignment="1">
      <alignment wrapText="1"/>
    </xf>
    <xf numFmtId="0" fontId="10" fillId="7" borderId="35" xfId="0" applyFont="1" applyFill="1" applyBorder="1" applyAlignment="1">
      <alignment horizontal="left"/>
    </xf>
    <xf numFmtId="0" fontId="10" fillId="7" borderId="36" xfId="0" applyFont="1" applyFill="1" applyBorder="1"/>
    <xf numFmtId="0" fontId="11" fillId="0" borderId="0" xfId="0" applyFont="1" applyAlignment="1">
      <alignment wrapText="1"/>
    </xf>
    <xf numFmtId="0" fontId="11" fillId="0" borderId="0" xfId="0" applyFont="1" applyAlignment="1">
      <alignment horizontal="left"/>
    </xf>
    <xf numFmtId="0" fontId="11" fillId="0" borderId="26" xfId="0" applyFont="1" applyBorder="1"/>
    <xf numFmtId="0" fontId="12" fillId="5" borderId="14" xfId="0" applyFont="1" applyFill="1" applyBorder="1" applyAlignment="1">
      <alignment vertical="center" wrapText="1"/>
    </xf>
    <xf numFmtId="0" fontId="12" fillId="5" borderId="37" xfId="0" applyFont="1" applyFill="1" applyBorder="1" applyAlignment="1">
      <alignment wrapText="1"/>
    </xf>
    <xf numFmtId="0" fontId="12" fillId="5" borderId="1" xfId="0" applyFont="1" applyFill="1" applyBorder="1" applyAlignment="1">
      <alignment wrapText="1"/>
    </xf>
    <xf numFmtId="0" fontId="12" fillId="5" borderId="38" xfId="0" applyFont="1" applyFill="1" applyBorder="1" applyAlignment="1">
      <alignment wrapText="1"/>
    </xf>
    <xf numFmtId="0" fontId="11" fillId="2" borderId="39" xfId="0" applyFont="1" applyFill="1" applyBorder="1"/>
    <xf numFmtId="0" fontId="10" fillId="7" borderId="38" xfId="0" applyFont="1" applyFill="1" applyBorder="1"/>
    <xf numFmtId="0" fontId="10" fillId="7" borderId="37" xfId="0" applyFont="1" applyFill="1" applyBorder="1"/>
    <xf numFmtId="0" fontId="9" fillId="8" borderId="0" xfId="0" applyFont="1" applyFill="1"/>
    <xf numFmtId="0" fontId="11" fillId="2" borderId="40" xfId="0" applyFont="1" applyFill="1" applyBorder="1"/>
    <xf numFmtId="0" fontId="16" fillId="0" borderId="0" xfId="0" applyFont="1"/>
    <xf numFmtId="0" fontId="11" fillId="2" borderId="41" xfId="0" applyFont="1" applyFill="1" applyBorder="1"/>
    <xf numFmtId="0" fontId="11" fillId="2" borderId="42" xfId="0" applyFont="1" applyFill="1" applyBorder="1"/>
    <xf numFmtId="0" fontId="10" fillId="0" borderId="1" xfId="0" applyFont="1" applyBorder="1"/>
    <xf numFmtId="0" fontId="17" fillId="0" borderId="0" xfId="0" applyFont="1"/>
    <xf numFmtId="0" fontId="11" fillId="0" borderId="38" xfId="0" applyFont="1" applyBorder="1"/>
    <xf numFmtId="0" fontId="11" fillId="9" borderId="43" xfId="0" applyFont="1" applyFill="1" applyBorder="1"/>
    <xf numFmtId="0" fontId="10" fillId="7" borderId="36" xfId="0" applyFont="1" applyFill="1" applyBorder="1" applyAlignment="1">
      <alignment horizontal="left"/>
    </xf>
    <xf numFmtId="0" fontId="11" fillId="7" borderId="37" xfId="0" applyFont="1" applyFill="1" applyBorder="1"/>
    <xf numFmtId="0" fontId="18" fillId="0" borderId="0" xfId="0" applyFont="1"/>
    <xf numFmtId="0" fontId="18" fillId="0" borderId="0" xfId="0" applyFont="1" applyAlignment="1">
      <alignment horizontal="right"/>
    </xf>
    <xf numFmtId="0" fontId="11" fillId="8" borderId="37" xfId="0" applyFont="1" applyFill="1" applyBorder="1"/>
    <xf numFmtId="0" fontId="11" fillId="2" borderId="44" xfId="0" applyFont="1" applyFill="1" applyBorder="1"/>
    <xf numFmtId="0" fontId="11" fillId="8" borderId="1" xfId="0" applyFont="1" applyFill="1" applyBorder="1"/>
    <xf numFmtId="0" fontId="19" fillId="9" borderId="37" xfId="0" applyFont="1" applyFill="1" applyBorder="1" applyAlignment="1">
      <alignment wrapText="1"/>
    </xf>
    <xf numFmtId="0" fontId="19" fillId="9" borderId="1" xfId="0" applyFont="1" applyFill="1" applyBorder="1" applyAlignment="1">
      <alignment wrapText="1"/>
    </xf>
    <xf numFmtId="0" fontId="19" fillId="9" borderId="38" xfId="0" applyFont="1" applyFill="1" applyBorder="1" applyAlignment="1">
      <alignment wrapText="1"/>
    </xf>
    <xf numFmtId="0" fontId="10" fillId="7" borderId="45" xfId="0" applyFont="1" applyFill="1" applyBorder="1"/>
    <xf numFmtId="0" fontId="10" fillId="7" borderId="41" xfId="0" applyFont="1" applyFill="1" applyBorder="1"/>
    <xf numFmtId="0" fontId="11" fillId="0" borderId="41" xfId="0" applyFont="1" applyBorder="1"/>
    <xf numFmtId="0" fontId="11" fillId="8" borderId="0" xfId="0" applyFont="1" applyFill="1"/>
    <xf numFmtId="0" fontId="12" fillId="5" borderId="12" xfId="0" applyFont="1" applyFill="1" applyBorder="1" applyAlignment="1">
      <alignment vertical="center" wrapText="1"/>
    </xf>
    <xf numFmtId="0" fontId="12" fillId="5" borderId="35" xfId="0" applyFont="1" applyFill="1" applyBorder="1" applyAlignment="1">
      <alignment wrapText="1"/>
    </xf>
    <xf numFmtId="0" fontId="12" fillId="5" borderId="36" xfId="0" applyFont="1" applyFill="1" applyBorder="1" applyAlignment="1">
      <alignment wrapText="1"/>
    </xf>
    <xf numFmtId="0" fontId="10" fillId="10" borderId="35" xfId="0" applyFont="1" applyFill="1" applyBorder="1"/>
    <xf numFmtId="0" fontId="10" fillId="10" borderId="35" xfId="0" applyFont="1" applyFill="1" applyBorder="1" applyAlignment="1">
      <alignment wrapText="1"/>
    </xf>
    <xf numFmtId="0" fontId="10" fillId="10" borderId="36" xfId="0" applyFont="1" applyFill="1" applyBorder="1"/>
    <xf numFmtId="0" fontId="12" fillId="5" borderId="13" xfId="0" applyFont="1" applyFill="1" applyBorder="1" applyAlignment="1">
      <alignment vertical="center" wrapText="1"/>
    </xf>
    <xf numFmtId="0" fontId="20" fillId="0" borderId="1" xfId="0" applyFont="1" applyBorder="1" applyAlignment="1">
      <alignment vertical="center"/>
    </xf>
    <xf numFmtId="0" fontId="20" fillId="0" borderId="46" xfId="0" applyFont="1" applyBorder="1" applyAlignment="1">
      <alignment vertical="center"/>
    </xf>
    <xf numFmtId="0" fontId="12" fillId="5" borderId="29" xfId="0" applyFont="1" applyFill="1" applyBorder="1" applyAlignment="1">
      <alignment vertical="center" wrapText="1"/>
    </xf>
    <xf numFmtId="0" fontId="11" fillId="9" borderId="39" xfId="0" applyFont="1" applyFill="1" applyBorder="1"/>
    <xf numFmtId="0" fontId="11" fillId="2" borderId="47" xfId="0" applyFont="1" applyFill="1" applyBorder="1"/>
    <xf numFmtId="0" fontId="11" fillId="0" borderId="47" xfId="0" applyFont="1" applyBorder="1"/>
    <xf numFmtId="0" fontId="11" fillId="0" borderId="40" xfId="0" applyFont="1" applyBorder="1"/>
    <xf numFmtId="0" fontId="11" fillId="8" borderId="49" xfId="0" applyFont="1" applyFill="1" applyBorder="1"/>
    <xf numFmtId="0" fontId="11" fillId="2" borderId="9" xfId="0" applyFont="1" applyFill="1" applyBorder="1"/>
    <xf numFmtId="0" fontId="21" fillId="8" borderId="49" xfId="0" applyFont="1" applyFill="1" applyBorder="1"/>
    <xf numFmtId="0" fontId="10" fillId="7" borderId="45" xfId="0" applyFont="1" applyFill="1" applyBorder="1" applyAlignment="1">
      <alignment horizontal="left"/>
    </xf>
    <xf numFmtId="0" fontId="22" fillId="0" borderId="0" xfId="0" applyFont="1"/>
    <xf numFmtId="0" fontId="23" fillId="8" borderId="0" xfId="0" applyFont="1" applyFill="1"/>
    <xf numFmtId="0" fontId="23" fillId="0" borderId="0" xfId="0" applyFont="1"/>
    <xf numFmtId="0" fontId="23" fillId="11" borderId="0" xfId="0" applyFont="1" applyFill="1"/>
    <xf numFmtId="0" fontId="9" fillId="12" borderId="0" xfId="0" applyFont="1" applyFill="1"/>
    <xf numFmtId="0" fontId="10" fillId="7" borderId="1" xfId="0" applyFont="1" applyFill="1" applyBorder="1"/>
    <xf numFmtId="0" fontId="12" fillId="2" borderId="1" xfId="0" applyFont="1" applyFill="1" applyBorder="1" applyAlignment="1">
      <alignment wrapText="1"/>
    </xf>
    <xf numFmtId="0" fontId="11" fillId="2" borderId="8" xfId="0" applyFont="1" applyFill="1" applyBorder="1"/>
    <xf numFmtId="0" fontId="18" fillId="0" borderId="0" xfId="0" applyFont="1" applyAlignment="1">
      <alignment vertical="top"/>
    </xf>
    <xf numFmtId="0" fontId="11" fillId="2" borderId="0" xfId="0" applyFont="1" applyFill="1"/>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11" fillId="2" borderId="1" xfId="0" applyFont="1" applyFill="1" applyBorder="1" applyAlignment="1">
      <alignment wrapText="1"/>
    </xf>
    <xf numFmtId="0" fontId="10" fillId="2" borderId="1" xfId="0" applyFont="1" applyFill="1" applyBorder="1" applyAlignment="1">
      <alignment wrapText="1"/>
    </xf>
    <xf numFmtId="0" fontId="10" fillId="3" borderId="35" xfId="0" applyFont="1" applyFill="1" applyBorder="1"/>
    <xf numFmtId="0" fontId="10" fillId="13" borderId="35" xfId="0" applyFont="1" applyFill="1" applyBorder="1"/>
    <xf numFmtId="0" fontId="10" fillId="13" borderId="36" xfId="0" applyFont="1" applyFill="1" applyBorder="1"/>
    <xf numFmtId="0" fontId="24" fillId="0" borderId="0" xfId="0" applyFont="1"/>
    <xf numFmtId="0" fontId="24" fillId="0" borderId="0" xfId="0" applyFont="1" applyAlignment="1">
      <alignment horizontal="right"/>
    </xf>
    <xf numFmtId="0" fontId="14" fillId="14" borderId="1" xfId="0" applyFont="1" applyFill="1" applyBorder="1"/>
    <xf numFmtId="0" fontId="25" fillId="14" borderId="0" xfId="0" applyFont="1" applyFill="1"/>
    <xf numFmtId="0" fontId="25" fillId="14" borderId="0" xfId="0" applyFont="1" applyFill="1" applyAlignment="1">
      <alignment horizontal="right"/>
    </xf>
    <xf numFmtId="0" fontId="12" fillId="2" borderId="13" xfId="0" applyFont="1" applyFill="1" applyBorder="1" applyAlignment="1">
      <alignment wrapText="1"/>
    </xf>
    <xf numFmtId="0" fontId="12" fillId="5" borderId="13" xfId="0" applyFont="1" applyFill="1" applyBorder="1"/>
    <xf numFmtId="0" fontId="12" fillId="5" borderId="14" xfId="0" applyFont="1" applyFill="1" applyBorder="1"/>
    <xf numFmtId="0" fontId="10" fillId="10" borderId="13" xfId="0" applyFont="1" applyFill="1" applyBorder="1"/>
    <xf numFmtId="0" fontId="10" fillId="13" borderId="50" xfId="0" applyFont="1" applyFill="1" applyBorder="1"/>
    <xf numFmtId="0" fontId="10" fillId="10" borderId="14" xfId="0" applyFont="1" applyFill="1" applyBorder="1"/>
    <xf numFmtId="0" fontId="26" fillId="0" borderId="0" xfId="0" applyFont="1"/>
    <xf numFmtId="0" fontId="27" fillId="8" borderId="0" xfId="0" applyFont="1" applyFill="1" applyAlignment="1">
      <alignment horizontal="left"/>
    </xf>
    <xf numFmtId="0" fontId="26" fillId="0" borderId="0" xfId="0" applyFont="1" applyAlignment="1">
      <alignment horizontal="right"/>
    </xf>
    <xf numFmtId="0" fontId="26" fillId="15" borderId="0" xfId="0" applyFont="1" applyFill="1" applyAlignment="1">
      <alignment horizontal="right"/>
    </xf>
    <xf numFmtId="0" fontId="26" fillId="5" borderId="0" xfId="0" applyFont="1" applyFill="1"/>
    <xf numFmtId="0" fontId="11" fillId="14" borderId="1" xfId="0" applyFont="1" applyFill="1" applyBorder="1"/>
    <xf numFmtId="0" fontId="28" fillId="0" borderId="0" xfId="0" applyFont="1"/>
    <xf numFmtId="0" fontId="29" fillId="0" borderId="0" xfId="0" applyFont="1"/>
    <xf numFmtId="0" fontId="29" fillId="0" borderId="18" xfId="0" applyFont="1" applyBorder="1"/>
    <xf numFmtId="0" fontId="29" fillId="0" borderId="0" xfId="0" applyFont="1" applyAlignment="1">
      <alignment horizontal="right"/>
    </xf>
    <xf numFmtId="0" fontId="29" fillId="8" borderId="0" xfId="0" applyFont="1" applyFill="1"/>
    <xf numFmtId="0" fontId="29" fillId="8" borderId="26" xfId="0" applyFont="1" applyFill="1" applyBorder="1"/>
    <xf numFmtId="0" fontId="29" fillId="16" borderId="0" xfId="0" applyFont="1" applyFill="1" applyAlignment="1">
      <alignment horizontal="right"/>
    </xf>
    <xf numFmtId="0" fontId="29" fillId="0" borderId="26" xfId="0" applyFont="1" applyBorder="1"/>
    <xf numFmtId="0" fontId="29" fillId="8" borderId="0" xfId="0" applyFont="1" applyFill="1" applyAlignment="1">
      <alignment horizontal="right"/>
    </xf>
    <xf numFmtId="0" fontId="29" fillId="17" borderId="0" xfId="0" applyFont="1" applyFill="1" applyAlignment="1">
      <alignment horizontal="right"/>
    </xf>
    <xf numFmtId="0" fontId="29" fillId="18" borderId="0" xfId="0" applyFont="1" applyFill="1" applyAlignment="1">
      <alignment horizontal="right"/>
    </xf>
    <xf numFmtId="0" fontId="29" fillId="19" borderId="0" xfId="0" applyFont="1" applyFill="1" applyAlignment="1">
      <alignment horizontal="right"/>
    </xf>
    <xf numFmtId="0" fontId="29" fillId="20" borderId="0" xfId="0" applyFont="1" applyFill="1" applyAlignment="1">
      <alignment horizontal="right"/>
    </xf>
    <xf numFmtId="0" fontId="29" fillId="21" borderId="0" xfId="0" applyFont="1" applyFill="1" applyAlignment="1">
      <alignment horizontal="right"/>
    </xf>
    <xf numFmtId="0" fontId="29" fillId="22" borderId="0" xfId="0" applyFont="1" applyFill="1" applyAlignment="1">
      <alignment horizontal="right"/>
    </xf>
    <xf numFmtId="0" fontId="29" fillId="23" borderId="0" xfId="0" applyFont="1" applyFill="1" applyAlignment="1">
      <alignment horizontal="right"/>
    </xf>
    <xf numFmtId="0" fontId="29" fillId="24" borderId="0" xfId="0" applyFont="1" applyFill="1" applyAlignment="1">
      <alignment horizontal="right"/>
    </xf>
    <xf numFmtId="0" fontId="29" fillId="25" borderId="0" xfId="0" applyFont="1" applyFill="1" applyAlignment="1">
      <alignment horizontal="right"/>
    </xf>
    <xf numFmtId="0" fontId="29" fillId="26" borderId="0" xfId="0" applyFont="1" applyFill="1" applyAlignment="1">
      <alignment horizontal="right"/>
    </xf>
    <xf numFmtId="0" fontId="29" fillId="27" borderId="0" xfId="0" applyFont="1" applyFill="1" applyAlignment="1">
      <alignment horizontal="right"/>
    </xf>
    <xf numFmtId="0" fontId="29" fillId="28" borderId="0" xfId="0" applyFont="1" applyFill="1" applyAlignment="1">
      <alignment horizontal="right"/>
    </xf>
    <xf numFmtId="0" fontId="29" fillId="29" borderId="0" xfId="0" applyFont="1" applyFill="1" applyAlignment="1">
      <alignment horizontal="right"/>
    </xf>
    <xf numFmtId="0" fontId="29" fillId="30" borderId="0" xfId="0" applyFont="1" applyFill="1" applyAlignment="1">
      <alignment horizontal="right"/>
    </xf>
    <xf numFmtId="0" fontId="29" fillId="31" borderId="0" xfId="0" applyFont="1" applyFill="1" applyAlignment="1">
      <alignment horizontal="right"/>
    </xf>
    <xf numFmtId="0" fontId="29" fillId="32" borderId="0" xfId="0" applyFont="1" applyFill="1" applyAlignment="1">
      <alignment horizontal="right"/>
    </xf>
    <xf numFmtId="0" fontId="29" fillId="33" borderId="0" xfId="0" applyFont="1" applyFill="1" applyAlignment="1">
      <alignment horizontal="right"/>
    </xf>
    <xf numFmtId="0" fontId="29" fillId="34" borderId="0" xfId="0" applyFont="1" applyFill="1" applyAlignment="1">
      <alignment horizontal="right"/>
    </xf>
    <xf numFmtId="0" fontId="29" fillId="35" borderId="0" xfId="0" applyFont="1" applyFill="1" applyAlignment="1">
      <alignment horizontal="right"/>
    </xf>
    <xf numFmtId="0" fontId="29" fillId="36" borderId="0" xfId="0" applyFont="1" applyFill="1" applyAlignment="1">
      <alignment horizontal="right"/>
    </xf>
    <xf numFmtId="0" fontId="29" fillId="37" borderId="0" xfId="0" applyFont="1" applyFill="1" applyAlignment="1">
      <alignment horizontal="right"/>
    </xf>
    <xf numFmtId="0" fontId="29" fillId="38" borderId="0" xfId="0" applyFont="1" applyFill="1" applyAlignment="1">
      <alignment horizontal="right"/>
    </xf>
    <xf numFmtId="0" fontId="29" fillId="39" borderId="0" xfId="0" applyFont="1" applyFill="1" applyAlignment="1">
      <alignment horizontal="right"/>
    </xf>
    <xf numFmtId="0" fontId="29" fillId="40" borderId="0" xfId="0" applyFont="1" applyFill="1" applyAlignment="1">
      <alignment horizontal="right"/>
    </xf>
    <xf numFmtId="0" fontId="17" fillId="0" borderId="0" xfId="0" applyFont="1" applyAlignment="1">
      <alignment horizontal="left"/>
    </xf>
    <xf numFmtId="0" fontId="17" fillId="0" borderId="0" xfId="0" applyFont="1" applyAlignment="1">
      <alignment horizontal="center"/>
    </xf>
    <xf numFmtId="0" fontId="17" fillId="0" borderId="0" xfId="0" applyFont="1" applyAlignment="1">
      <alignment horizontal="right"/>
    </xf>
    <xf numFmtId="0" fontId="9" fillId="0" borderId="0" xfId="0" applyFont="1" applyAlignment="1">
      <alignment horizontal="right"/>
    </xf>
    <xf numFmtId="2" fontId="9" fillId="0" borderId="0" xfId="0" applyNumberFormat="1" applyFont="1" applyAlignment="1">
      <alignment horizontal="right"/>
    </xf>
    <xf numFmtId="0" fontId="12" fillId="5" borderId="13" xfId="0" applyFont="1" applyFill="1" applyBorder="1" applyAlignment="1">
      <alignment horizontal="left" wrapText="1"/>
    </xf>
    <xf numFmtId="0" fontId="26" fillId="41" borderId="0" xfId="0" applyFont="1" applyFill="1"/>
    <xf numFmtId="0" fontId="10" fillId="7" borderId="36" xfId="0" applyFont="1" applyFill="1" applyBorder="1" applyAlignment="1">
      <alignment wrapText="1"/>
    </xf>
    <xf numFmtId="0" fontId="15" fillId="0" borderId="0" xfId="0" applyFont="1"/>
    <xf numFmtId="0" fontId="15" fillId="0" borderId="26" xfId="0" applyFont="1" applyBorder="1"/>
    <xf numFmtId="0" fontId="30" fillId="0" borderId="0" xfId="0" applyFont="1"/>
    <xf numFmtId="0" fontId="23" fillId="0" borderId="0" xfId="0" applyFont="1" applyAlignment="1">
      <alignment horizontal="right"/>
    </xf>
    <xf numFmtId="0" fontId="9" fillId="14" borderId="0" xfId="0" applyFont="1" applyFill="1"/>
    <xf numFmtId="0" fontId="31" fillId="0" borderId="0" xfId="0" applyFont="1"/>
    <xf numFmtId="0" fontId="32" fillId="0" borderId="51" xfId="0" applyFont="1" applyBorder="1"/>
    <xf numFmtId="0" fontId="32" fillId="0" borderId="52" xfId="0" applyFont="1" applyBorder="1"/>
    <xf numFmtId="0" fontId="32" fillId="0" borderId="53" xfId="0" applyFont="1" applyBorder="1"/>
    <xf numFmtId="0" fontId="33" fillId="0" borderId="52" xfId="0" applyFont="1" applyBorder="1"/>
    <xf numFmtId="0" fontId="33" fillId="0" borderId="53" xfId="0" applyFont="1" applyBorder="1"/>
    <xf numFmtId="0" fontId="32" fillId="0" borderId="54" xfId="0" applyFont="1" applyBorder="1"/>
    <xf numFmtId="0" fontId="34" fillId="0" borderId="0" xfId="0" applyFont="1"/>
    <xf numFmtId="0" fontId="32" fillId="0" borderId="55" xfId="0" applyFont="1" applyBorder="1"/>
    <xf numFmtId="0" fontId="33" fillId="0" borderId="0" xfId="0" applyFont="1"/>
    <xf numFmtId="0" fontId="33" fillId="0" borderId="55" xfId="0" applyFont="1" applyBorder="1"/>
    <xf numFmtId="0" fontId="32" fillId="0" borderId="56" xfId="0" applyFont="1" applyBorder="1"/>
    <xf numFmtId="0" fontId="34" fillId="0" borderId="57" xfId="0" applyFont="1" applyBorder="1"/>
    <xf numFmtId="0" fontId="32" fillId="0" borderId="58" xfId="0" applyFont="1" applyBorder="1"/>
    <xf numFmtId="0" fontId="33" fillId="0" borderId="57" xfId="0" applyFont="1" applyBorder="1"/>
    <xf numFmtId="0" fontId="33" fillId="0" borderId="58" xfId="0" applyFont="1" applyBorder="1"/>
    <xf numFmtId="0" fontId="11" fillId="0" borderId="28" xfId="0" applyFont="1" applyBorder="1" applyAlignment="1">
      <alignment wrapText="1"/>
    </xf>
    <xf numFmtId="0" fontId="35" fillId="10" borderId="13" xfId="0" applyFont="1" applyFill="1" applyBorder="1"/>
    <xf numFmtId="0" fontId="35" fillId="10" borderId="13" xfId="0" applyFont="1" applyFill="1" applyBorder="1" applyAlignment="1">
      <alignment wrapText="1"/>
    </xf>
    <xf numFmtId="0" fontId="35" fillId="10" borderId="14" xfId="0" applyFont="1" applyFill="1" applyBorder="1"/>
    <xf numFmtId="0" fontId="36" fillId="0" borderId="0" xfId="0" applyFont="1"/>
    <xf numFmtId="0" fontId="26" fillId="0" borderId="26" xfId="0" applyFont="1" applyBorder="1"/>
    <xf numFmtId="9" fontId="26" fillId="0" borderId="0" xfId="0" applyNumberFormat="1" applyFont="1"/>
    <xf numFmtId="0" fontId="10" fillId="10" borderId="50" xfId="0" applyFont="1" applyFill="1" applyBorder="1"/>
    <xf numFmtId="0" fontId="35" fillId="0" borderId="0" xfId="0" applyFont="1"/>
    <xf numFmtId="0" fontId="37" fillId="0" borderId="0" xfId="0" applyFont="1"/>
    <xf numFmtId="0" fontId="10" fillId="10" borderId="1" xfId="0" applyFont="1" applyFill="1" applyBorder="1"/>
    <xf numFmtId="0" fontId="9" fillId="2" borderId="1" xfId="0" applyFont="1" applyFill="1" applyBorder="1"/>
    <xf numFmtId="0" fontId="42" fillId="42" borderId="59" xfId="0" applyFont="1" applyFill="1" applyBorder="1"/>
    <xf numFmtId="0" fontId="12" fillId="5" borderId="5" xfId="0" applyFont="1" applyFill="1" applyBorder="1" applyAlignment="1">
      <alignment horizontal="left" vertical="center" wrapText="1"/>
    </xf>
    <xf numFmtId="0" fontId="5" fillId="0" borderId="6" xfId="0" applyFont="1" applyBorder="1"/>
    <xf numFmtId="0" fontId="4" fillId="2" borderId="5" xfId="0" applyFont="1" applyFill="1" applyBorder="1" applyAlignment="1">
      <alignment horizontal="left"/>
    </xf>
    <xf numFmtId="0" fontId="5" fillId="0" borderId="7" xfId="0" applyFont="1" applyBorder="1"/>
    <xf numFmtId="0" fontId="3" fillId="2" borderId="10" xfId="0" applyFont="1" applyFill="1" applyBorder="1" applyAlignment="1">
      <alignment horizontal="left" wrapText="1"/>
    </xf>
    <xf numFmtId="0" fontId="5" fillId="0" borderId="11" xfId="0" applyFont="1" applyBorder="1"/>
    <xf numFmtId="0" fontId="10" fillId="5" borderId="15" xfId="0" applyFont="1" applyFill="1" applyBorder="1" applyAlignment="1">
      <alignment horizontal="center"/>
    </xf>
    <xf numFmtId="0" fontId="5" fillId="0" borderId="16" xfId="0" applyFont="1" applyBorder="1"/>
    <xf numFmtId="0" fontId="5" fillId="0" borderId="17" xfId="0" applyFont="1" applyBorder="1"/>
    <xf numFmtId="0" fontId="11" fillId="5" borderId="5" xfId="0" applyFont="1" applyFill="1" applyBorder="1" applyAlignment="1">
      <alignment horizontal="left" wrapText="1"/>
    </xf>
    <xf numFmtId="0" fontId="13" fillId="0" borderId="22" xfId="0" applyFont="1" applyBorder="1" applyAlignment="1">
      <alignment horizontal="left" vertical="top" wrapText="1"/>
    </xf>
    <xf numFmtId="0" fontId="5" fillId="0" borderId="23" xfId="0" applyFont="1" applyBorder="1"/>
    <xf numFmtId="0" fontId="5" fillId="0" borderId="24" xfId="0" applyFont="1" applyBorder="1"/>
    <xf numFmtId="0" fontId="5" fillId="0" borderId="18" xfId="0" applyFont="1" applyBorder="1"/>
    <xf numFmtId="0" fontId="0" fillId="0" borderId="0" xfId="0"/>
    <xf numFmtId="0" fontId="5" fillId="0" borderId="26" xfId="0" applyFont="1" applyBorder="1"/>
    <xf numFmtId="0" fontId="5" fillId="0" borderId="27" xfId="0" applyFont="1" applyBorder="1"/>
    <xf numFmtId="0" fontId="5" fillId="0" borderId="28" xfId="0" applyFont="1" applyBorder="1"/>
    <xf numFmtId="0" fontId="5" fillId="0" borderId="32" xfId="0" applyFont="1" applyBorder="1"/>
    <xf numFmtId="0" fontId="15" fillId="5" borderId="5" xfId="0" applyFont="1" applyFill="1" applyBorder="1" applyAlignment="1">
      <alignment horizontal="left" wrapText="1"/>
    </xf>
    <xf numFmtId="0" fontId="15" fillId="5" borderId="29" xfId="0" applyFont="1" applyFill="1" applyBorder="1" applyAlignment="1">
      <alignment horizontal="left" wrapText="1"/>
    </xf>
    <xf numFmtId="0" fontId="5" fillId="0" borderId="30" xfId="0" applyFont="1" applyBorder="1"/>
    <xf numFmtId="0" fontId="5" fillId="0" borderId="31" xfId="0" applyFont="1" applyBorder="1"/>
    <xf numFmtId="0" fontId="10" fillId="5" borderId="34" xfId="0" applyFont="1" applyFill="1" applyBorder="1" applyAlignment="1">
      <alignment horizontal="left" vertical="center" wrapText="1"/>
    </xf>
    <xf numFmtId="0" fontId="12" fillId="5" borderId="48" xfId="0" applyFont="1" applyFill="1" applyBorder="1" applyAlignment="1">
      <alignment horizontal="left" vertical="center" wrapText="1"/>
    </xf>
    <xf numFmtId="0" fontId="12" fillId="5" borderId="30" xfId="0" applyFont="1" applyFill="1" applyBorder="1" applyAlignment="1">
      <alignment horizontal="left" vertical="center" wrapText="1"/>
    </xf>
    <xf numFmtId="0" fontId="12" fillId="5" borderId="48" xfId="0" applyFont="1" applyFill="1" applyBorder="1" applyAlignment="1">
      <alignment horizontal="left" wrapText="1"/>
    </xf>
    <xf numFmtId="0" fontId="12" fillId="5" borderId="29" xfId="0" applyFont="1" applyFill="1" applyBorder="1" applyAlignment="1">
      <alignment horizontal="left" vertical="center" wrapText="1"/>
    </xf>
    <xf numFmtId="0" fontId="18" fillId="0" borderId="0" xfId="0" applyFont="1"/>
    <xf numFmtId="0" fontId="12" fillId="5" borderId="48" xfId="0" applyFont="1" applyFill="1" applyBorder="1" applyAlignment="1">
      <alignment horizontal="center" vertical="center" wrapText="1"/>
    </xf>
    <xf numFmtId="0" fontId="12" fillId="5" borderId="29" xfId="0" applyFont="1" applyFill="1" applyBorder="1" applyAlignment="1">
      <alignment horizontal="left" wrapText="1"/>
    </xf>
  </cellXfs>
  <cellStyles count="1">
    <cellStyle name="Normal" xfId="0" builtinId="0"/>
  </cellStyles>
  <dxfs count="66">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theme="0"/>
          <bgColor theme="0"/>
        </patternFill>
      </fill>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bgColor theme="5" tint="0.79998168889431442"/>
        </patternFill>
      </fill>
      <border>
        <left style="thin">
          <color auto="1"/>
        </left>
        <right style="thin">
          <color auto="1"/>
        </right>
        <top style="thin">
          <color auto="1"/>
        </top>
        <bottom style="thin">
          <color auto="1"/>
        </bottom>
        <vertical/>
        <horizontal/>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8"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104775</xdr:colOff>
      <xdr:row>5</xdr:row>
      <xdr:rowOff>9525</xdr:rowOff>
    </xdr:from>
    <xdr:ext cx="4743450" cy="1790700"/>
    <xdr:sp macro="" textlink="">
      <xdr:nvSpPr>
        <xdr:cNvPr id="3" name="Shape 3">
          <a:extLst>
            <a:ext uri="{FF2B5EF4-FFF2-40B4-BE49-F238E27FC236}">
              <a16:creationId xmlns:a16="http://schemas.microsoft.com/office/drawing/2014/main" id="{00000000-0008-0000-0C00-000003000000}"/>
            </a:ext>
          </a:extLst>
        </xdr:cNvPr>
        <xdr:cNvSpPr/>
      </xdr:nvSpPr>
      <xdr:spPr>
        <a:xfrm>
          <a:off x="2983800" y="2894175"/>
          <a:ext cx="4724400" cy="177165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Schedules as options:</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1. Residential, standard</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2. Residential, WFH</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3. Residential, always in use </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4. MFH </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5. Mixed-use commercial</a:t>
          </a:r>
          <a:endParaRPr sz="1100"/>
        </a:p>
      </xdr:txBody>
    </xdr:sp>
    <xdr:clientData fLocksWithSheet="0"/>
  </xdr:oneCellAnchor>
  <xdr:oneCellAnchor>
    <xdr:from>
      <xdr:col>1</xdr:col>
      <xdr:colOff>2438400</xdr:colOff>
      <xdr:row>17</xdr:row>
      <xdr:rowOff>9525</xdr:rowOff>
    </xdr:from>
    <xdr:ext cx="5219700" cy="990600"/>
    <xdr:sp macro="" textlink="">
      <xdr:nvSpPr>
        <xdr:cNvPr id="4" name="Shape 4">
          <a:extLst>
            <a:ext uri="{FF2B5EF4-FFF2-40B4-BE49-F238E27FC236}">
              <a16:creationId xmlns:a16="http://schemas.microsoft.com/office/drawing/2014/main" id="{00000000-0008-0000-0C00-000004000000}"/>
            </a:ext>
          </a:extLst>
        </xdr:cNvPr>
        <xdr:cNvSpPr/>
      </xdr:nvSpPr>
      <xdr:spPr>
        <a:xfrm>
          <a:off x="2745675" y="3294225"/>
          <a:ext cx="5200650" cy="97155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Change options:</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  % changes (e.g., WFH but 25% less usage) </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 Mix and match schedules (half WFH and half normal) </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algun Gothic"/>
        <a:ea typeface="Malgun Gothic"/>
        <a:cs typeface="Malgun Gothic"/>
      </a:majorFont>
      <a:minorFont>
        <a:latin typeface="Malgun Gothic"/>
        <a:ea typeface="Malgun Gothic"/>
        <a:cs typeface="Malgun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3.xml.rels><?xml version="1.0" encoding="UTF-8" standalone="yes"?>
<Relationships xmlns="http://schemas.openxmlformats.org/package/2006/relationships"><Relationship Id="rId1" Type="http://schemas.openxmlformats.org/officeDocument/2006/relationships/hyperlink" Target="https://library.yonsei.ac.kr/piq/detail/17554830?briefLink=%2fpiq%2falpha%2febook%3fsearch%3dASHRAE%26searchtype%3dcontains%26searchfield%3dkeyword%26pn%3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Z1000"/>
  <sheetViews>
    <sheetView workbookViewId="0">
      <selection activeCell="F27" sqref="F27"/>
    </sheetView>
  </sheetViews>
  <sheetFormatPr baseColWidth="10" defaultColWidth="11.28515625" defaultRowHeight="15" customHeight="1"/>
  <cols>
    <col min="1" max="1" width="33.140625" customWidth="1"/>
    <col min="2" max="2" width="28.42578125" customWidth="1"/>
    <col min="3" max="5" width="10.85546875" customWidth="1"/>
    <col min="6" max="6" width="19.42578125" customWidth="1"/>
    <col min="7" max="7" width="10.85546875" customWidth="1"/>
    <col min="8" max="8" width="10.7109375" customWidth="1"/>
    <col min="9" max="9" width="10.85546875" customWidth="1"/>
    <col min="10" max="11" width="49" customWidth="1"/>
    <col min="12" max="26" width="10.85546875" customWidth="1"/>
  </cols>
  <sheetData>
    <row r="1" spans="1:26" ht="18">
      <c r="A1" s="1"/>
      <c r="B1" s="1"/>
      <c r="C1" s="1"/>
      <c r="D1" s="1"/>
      <c r="E1" s="1"/>
      <c r="F1" s="1"/>
      <c r="G1" s="1"/>
      <c r="H1" s="1"/>
      <c r="I1" s="1"/>
      <c r="J1" s="1"/>
      <c r="K1" s="1"/>
      <c r="L1" s="1"/>
      <c r="M1" s="1"/>
      <c r="N1" s="1"/>
      <c r="O1" s="1"/>
      <c r="P1" s="1"/>
      <c r="Q1" s="1"/>
      <c r="R1" s="1"/>
      <c r="S1" s="1"/>
      <c r="T1" s="1"/>
      <c r="U1" s="1"/>
      <c r="V1" s="1"/>
      <c r="W1" s="1"/>
      <c r="X1" s="1"/>
      <c r="Y1" s="1"/>
      <c r="Z1" s="1"/>
    </row>
    <row r="2" spans="1:26" ht="25">
      <c r="A2" s="2" t="s">
        <v>0</v>
      </c>
      <c r="B2" s="3"/>
      <c r="C2" s="3"/>
      <c r="D2" s="3"/>
      <c r="E2" s="3"/>
      <c r="F2" s="3"/>
      <c r="G2" s="4" t="s">
        <v>1</v>
      </c>
      <c r="H2" s="3"/>
      <c r="I2" s="3"/>
      <c r="J2" s="5"/>
      <c r="K2" s="1"/>
      <c r="L2" s="1"/>
      <c r="M2" s="1"/>
      <c r="N2" s="1"/>
      <c r="O2" s="1"/>
      <c r="P2" s="1"/>
      <c r="Q2" s="1"/>
      <c r="R2" s="1"/>
      <c r="S2" s="1"/>
      <c r="T2" s="1"/>
      <c r="U2" s="1"/>
      <c r="V2" s="1"/>
      <c r="W2" s="1"/>
      <c r="X2" s="1"/>
      <c r="Y2" s="1"/>
      <c r="Z2" s="1"/>
    </row>
    <row r="3" spans="1:26" ht="18">
      <c r="A3" s="1"/>
      <c r="B3" s="6" t="s">
        <v>2</v>
      </c>
      <c r="C3" s="6" t="s">
        <v>3</v>
      </c>
      <c r="D3" s="6"/>
      <c r="E3" s="1"/>
      <c r="F3" s="1"/>
      <c r="G3" s="207" t="s">
        <v>4</v>
      </c>
      <c r="H3" s="206"/>
      <c r="I3" s="206"/>
      <c r="J3" s="208"/>
      <c r="K3" s="7"/>
      <c r="L3" s="1"/>
      <c r="M3" s="1"/>
      <c r="N3" s="1"/>
      <c r="O3" s="1"/>
      <c r="P3" s="1"/>
      <c r="Q3" s="1"/>
      <c r="R3" s="1"/>
      <c r="S3" s="1"/>
      <c r="T3" s="1"/>
      <c r="U3" s="1"/>
      <c r="V3" s="1"/>
      <c r="W3" s="1"/>
      <c r="X3" s="1"/>
      <c r="Y3" s="1"/>
      <c r="Z3" s="1"/>
    </row>
    <row r="4" spans="1:26" ht="18">
      <c r="A4" s="8" t="s">
        <v>5</v>
      </c>
      <c r="B4" s="9" t="s">
        <v>6</v>
      </c>
      <c r="C4" s="1" t="s">
        <v>7</v>
      </c>
      <c r="D4" s="1"/>
      <c r="E4" s="1"/>
      <c r="F4" s="1"/>
      <c r="G4" s="10" t="s">
        <v>8</v>
      </c>
      <c r="H4" s="1"/>
      <c r="I4" s="1"/>
      <c r="J4" s="11"/>
      <c r="K4" s="1"/>
      <c r="L4" s="1"/>
      <c r="M4" s="1"/>
      <c r="N4" s="1"/>
      <c r="O4" s="1"/>
      <c r="P4" s="1"/>
      <c r="Q4" s="1"/>
      <c r="R4" s="1"/>
      <c r="S4" s="1"/>
      <c r="T4" s="1"/>
      <c r="U4" s="1"/>
      <c r="V4" s="1"/>
      <c r="W4" s="1"/>
      <c r="X4" s="1"/>
      <c r="Y4" s="1"/>
      <c r="Z4" s="1"/>
    </row>
    <row r="5" spans="1:26" ht="18">
      <c r="A5" s="1"/>
      <c r="B5" s="9" t="s">
        <v>9</v>
      </c>
      <c r="C5" s="1" t="s">
        <v>10</v>
      </c>
      <c r="D5" s="1"/>
      <c r="E5" s="1"/>
      <c r="F5" s="1"/>
      <c r="G5" s="10" t="s">
        <v>11</v>
      </c>
      <c r="H5" s="1"/>
      <c r="I5" s="1"/>
      <c r="J5" s="11"/>
      <c r="K5" s="1"/>
      <c r="L5" s="1"/>
      <c r="M5" s="1"/>
      <c r="N5" s="1"/>
      <c r="O5" s="1"/>
      <c r="P5" s="1"/>
      <c r="Q5" s="1"/>
      <c r="R5" s="1"/>
      <c r="S5" s="1"/>
      <c r="T5" s="1"/>
      <c r="U5" s="1"/>
      <c r="V5" s="1"/>
      <c r="W5" s="1"/>
      <c r="X5" s="1"/>
      <c r="Y5" s="1"/>
      <c r="Z5" s="1"/>
    </row>
    <row r="6" spans="1:26" ht="18">
      <c r="A6" s="1"/>
      <c r="B6" s="9" t="s">
        <v>12</v>
      </c>
      <c r="C6" s="1" t="s">
        <v>13</v>
      </c>
      <c r="D6" s="1"/>
      <c r="E6" s="1"/>
      <c r="F6" s="1"/>
      <c r="G6" s="10" t="s">
        <v>14</v>
      </c>
      <c r="H6" s="1"/>
      <c r="I6" s="1"/>
      <c r="J6" s="11"/>
      <c r="K6" s="1"/>
      <c r="L6" s="1"/>
      <c r="M6" s="1"/>
      <c r="N6" s="1"/>
      <c r="O6" s="1"/>
      <c r="P6" s="1"/>
      <c r="Q6" s="1"/>
      <c r="R6" s="1"/>
      <c r="S6" s="1"/>
      <c r="T6" s="1"/>
      <c r="U6" s="1"/>
      <c r="V6" s="1"/>
      <c r="W6" s="1"/>
      <c r="X6" s="1"/>
      <c r="Y6" s="1"/>
      <c r="Z6" s="1"/>
    </row>
    <row r="7" spans="1:26" ht="18">
      <c r="A7" s="1"/>
      <c r="B7" s="9" t="s">
        <v>15</v>
      </c>
      <c r="C7" s="1" t="s">
        <v>16</v>
      </c>
      <c r="D7" s="1"/>
      <c r="E7" s="1"/>
      <c r="F7" s="1"/>
      <c r="G7" s="10" t="s">
        <v>17</v>
      </c>
      <c r="H7" s="1"/>
      <c r="I7" s="1"/>
      <c r="J7" s="11"/>
      <c r="K7" s="1"/>
      <c r="L7" s="1"/>
      <c r="M7" s="1"/>
      <c r="N7" s="1"/>
      <c r="O7" s="1"/>
      <c r="P7" s="1"/>
      <c r="Q7" s="1"/>
      <c r="R7" s="1"/>
      <c r="S7" s="1"/>
      <c r="T7" s="1"/>
      <c r="U7" s="1"/>
      <c r="V7" s="1"/>
      <c r="W7" s="1"/>
      <c r="X7" s="1"/>
      <c r="Y7" s="1"/>
      <c r="Z7" s="1"/>
    </row>
    <row r="8" spans="1:26" ht="18">
      <c r="A8" s="1"/>
      <c r="B8" s="1"/>
      <c r="C8" s="1"/>
      <c r="D8" s="1"/>
      <c r="E8" s="1"/>
      <c r="F8" s="1"/>
      <c r="G8" s="10" t="s">
        <v>18</v>
      </c>
      <c r="H8" s="1"/>
      <c r="I8" s="1"/>
      <c r="J8" s="11"/>
      <c r="K8" s="1"/>
      <c r="L8" s="1"/>
      <c r="M8" s="1"/>
      <c r="N8" s="1"/>
      <c r="O8" s="1"/>
      <c r="P8" s="1"/>
      <c r="Q8" s="1"/>
      <c r="R8" s="1"/>
      <c r="S8" s="1"/>
      <c r="T8" s="1"/>
      <c r="U8" s="1"/>
      <c r="V8" s="1"/>
      <c r="W8" s="1"/>
      <c r="X8" s="1"/>
      <c r="Y8" s="1"/>
      <c r="Z8" s="1"/>
    </row>
    <row r="9" spans="1:26" ht="18">
      <c r="A9" s="1"/>
      <c r="B9" s="1"/>
      <c r="C9" s="1"/>
      <c r="D9" s="1"/>
      <c r="E9" s="1"/>
      <c r="F9" s="1"/>
      <c r="G9" s="10" t="s">
        <v>19</v>
      </c>
      <c r="H9" s="1"/>
      <c r="I9" s="1"/>
      <c r="J9" s="11"/>
      <c r="K9" s="1"/>
      <c r="L9" s="1"/>
      <c r="M9" s="1"/>
      <c r="N9" s="1"/>
      <c r="O9" s="1"/>
      <c r="P9" s="1"/>
      <c r="Q9" s="1"/>
      <c r="R9" s="1"/>
      <c r="S9" s="1"/>
      <c r="T9" s="1"/>
      <c r="U9" s="1"/>
      <c r="V9" s="1"/>
      <c r="W9" s="1"/>
      <c r="X9" s="1"/>
      <c r="Y9" s="1"/>
      <c r="Z9" s="1"/>
    </row>
    <row r="10" spans="1:26" ht="18">
      <c r="A10" s="1"/>
      <c r="B10" s="1"/>
      <c r="C10" s="1"/>
      <c r="D10" s="1"/>
      <c r="E10" s="1"/>
      <c r="F10" s="1"/>
      <c r="G10" s="10" t="s">
        <v>20</v>
      </c>
      <c r="H10" s="1"/>
      <c r="I10" s="1"/>
      <c r="J10" s="11"/>
      <c r="K10" s="1"/>
      <c r="L10" s="1"/>
      <c r="M10" s="1"/>
      <c r="N10" s="1"/>
      <c r="O10" s="1"/>
      <c r="P10" s="1"/>
      <c r="Q10" s="1"/>
      <c r="R10" s="1"/>
      <c r="S10" s="1"/>
      <c r="T10" s="1"/>
      <c r="U10" s="1"/>
      <c r="V10" s="1"/>
      <c r="W10" s="1"/>
      <c r="X10" s="1"/>
      <c r="Y10" s="1"/>
      <c r="Z10" s="1"/>
    </row>
    <row r="11" spans="1:26" ht="18">
      <c r="A11" s="209" t="s">
        <v>21</v>
      </c>
      <c r="B11" s="9" t="s">
        <v>22</v>
      </c>
      <c r="C11" s="1"/>
      <c r="D11" s="1"/>
      <c r="E11" s="1"/>
      <c r="F11" s="1"/>
      <c r="G11" s="10" t="s">
        <v>23</v>
      </c>
      <c r="H11" s="1"/>
      <c r="I11" s="1"/>
      <c r="J11" s="11"/>
      <c r="K11" s="1"/>
      <c r="L11" s="1"/>
      <c r="M11" s="1"/>
      <c r="N11" s="1"/>
      <c r="O11" s="1"/>
      <c r="P11" s="1"/>
      <c r="Q11" s="1"/>
      <c r="R11" s="1"/>
      <c r="S11" s="1"/>
      <c r="T11" s="1"/>
      <c r="U11" s="1"/>
      <c r="V11" s="1"/>
      <c r="W11" s="1"/>
      <c r="X11" s="1"/>
      <c r="Y11" s="1"/>
      <c r="Z11" s="1"/>
    </row>
    <row r="12" spans="1:26" ht="18">
      <c r="A12" s="210"/>
      <c r="B12" s="9" t="s">
        <v>24</v>
      </c>
      <c r="C12" s="1"/>
      <c r="D12" s="1"/>
      <c r="E12" s="1"/>
      <c r="F12" s="1"/>
      <c r="G12" s="1"/>
      <c r="H12" s="1"/>
      <c r="I12" s="1"/>
      <c r="J12" s="11"/>
      <c r="K12" s="1"/>
      <c r="L12" s="1"/>
      <c r="M12" s="1"/>
      <c r="N12" s="1"/>
      <c r="O12" s="1"/>
      <c r="P12" s="1"/>
      <c r="Q12" s="1"/>
      <c r="R12" s="1"/>
      <c r="S12" s="1"/>
      <c r="T12" s="1"/>
      <c r="U12" s="1"/>
      <c r="V12" s="1"/>
      <c r="W12" s="1"/>
      <c r="X12" s="1"/>
      <c r="Y12" s="1"/>
      <c r="Z12" s="1"/>
    </row>
    <row r="13" spans="1:26" ht="18">
      <c r="A13" s="1"/>
      <c r="B13" s="9" t="s">
        <v>25</v>
      </c>
      <c r="C13" s="1"/>
      <c r="D13" s="1"/>
      <c r="E13" s="1"/>
      <c r="F13" s="1"/>
      <c r="G13" s="1"/>
      <c r="H13" s="1"/>
      <c r="I13" s="1"/>
      <c r="J13" s="11"/>
      <c r="K13" s="1"/>
      <c r="L13" s="1"/>
      <c r="M13" s="1"/>
      <c r="N13" s="1"/>
      <c r="O13" s="1"/>
      <c r="P13" s="1"/>
      <c r="Q13" s="1"/>
      <c r="R13" s="1"/>
      <c r="S13" s="1"/>
      <c r="T13" s="1"/>
      <c r="U13" s="1"/>
      <c r="V13" s="1"/>
      <c r="W13" s="1"/>
      <c r="X13" s="1"/>
      <c r="Y13" s="1"/>
      <c r="Z13" s="1"/>
    </row>
    <row r="14" spans="1:26" ht="18">
      <c r="A14" s="1"/>
      <c r="B14" s="9" t="s">
        <v>26</v>
      </c>
      <c r="C14" s="1"/>
      <c r="D14" s="1"/>
      <c r="E14" s="1"/>
      <c r="F14" s="1"/>
      <c r="G14" s="1"/>
      <c r="H14" s="1"/>
      <c r="I14" s="1"/>
      <c r="J14" s="11"/>
      <c r="K14" s="1"/>
      <c r="L14" s="1"/>
      <c r="M14" s="1"/>
      <c r="N14" s="1"/>
      <c r="O14" s="1"/>
      <c r="P14" s="1"/>
      <c r="Q14" s="1"/>
      <c r="R14" s="1"/>
      <c r="S14" s="1"/>
      <c r="T14" s="1"/>
      <c r="U14" s="1"/>
      <c r="V14" s="1"/>
      <c r="W14" s="1"/>
      <c r="X14" s="1"/>
      <c r="Y14" s="1"/>
      <c r="Z14" s="1"/>
    </row>
    <row r="15" spans="1:26" ht="18">
      <c r="A15" s="9"/>
      <c r="B15" s="9" t="s">
        <v>27</v>
      </c>
      <c r="C15" s="1"/>
      <c r="D15" s="1"/>
      <c r="E15" s="1"/>
      <c r="F15" s="1"/>
      <c r="G15" s="6" t="s">
        <v>28</v>
      </c>
      <c r="H15" s="1"/>
      <c r="I15" s="1"/>
      <c r="J15" s="11"/>
      <c r="K15" s="1"/>
      <c r="L15" s="1"/>
      <c r="M15" s="1"/>
      <c r="N15" s="1"/>
      <c r="O15" s="1"/>
      <c r="P15" s="1"/>
      <c r="Q15" s="1"/>
      <c r="R15" s="1"/>
      <c r="S15" s="1"/>
      <c r="T15" s="1"/>
      <c r="U15" s="1"/>
      <c r="V15" s="1"/>
      <c r="W15" s="1"/>
      <c r="X15" s="1"/>
      <c r="Y15" s="1"/>
      <c r="Z15" s="1"/>
    </row>
    <row r="16" spans="1:26" ht="18">
      <c r="A16" s="9"/>
      <c r="B16" s="9" t="s">
        <v>29</v>
      </c>
      <c r="C16" s="1"/>
      <c r="D16" s="1"/>
      <c r="E16" s="1"/>
      <c r="F16" s="1"/>
      <c r="G16" s="12" t="s">
        <v>30</v>
      </c>
      <c r="H16" s="1"/>
      <c r="I16" s="1"/>
      <c r="J16" s="11"/>
      <c r="K16" s="1"/>
      <c r="L16" s="1"/>
      <c r="M16" s="1"/>
      <c r="N16" s="1"/>
      <c r="O16" s="1"/>
      <c r="P16" s="1"/>
      <c r="Q16" s="1"/>
      <c r="R16" s="1"/>
      <c r="S16" s="1"/>
      <c r="T16" s="1"/>
      <c r="U16" s="1"/>
      <c r="V16" s="1"/>
      <c r="W16" s="1"/>
      <c r="X16" s="1"/>
      <c r="Y16" s="1"/>
      <c r="Z16" s="1"/>
    </row>
    <row r="17" spans="1:26" ht="18">
      <c r="A17" s="9"/>
      <c r="B17" s="9" t="s">
        <v>31</v>
      </c>
      <c r="C17" s="1"/>
      <c r="D17" s="1"/>
      <c r="E17" s="1"/>
      <c r="F17" s="1"/>
      <c r="G17" s="6" t="s">
        <v>32</v>
      </c>
      <c r="H17" s="1"/>
      <c r="I17" s="1"/>
      <c r="J17" s="11"/>
      <c r="K17" s="1"/>
      <c r="L17" s="1"/>
      <c r="M17" s="1"/>
      <c r="N17" s="1"/>
      <c r="O17" s="1"/>
      <c r="P17" s="1"/>
      <c r="Q17" s="1"/>
      <c r="R17" s="1"/>
      <c r="S17" s="1"/>
      <c r="T17" s="1"/>
      <c r="U17" s="1"/>
      <c r="V17" s="1"/>
      <c r="W17" s="1"/>
      <c r="X17" s="1"/>
      <c r="Y17" s="1"/>
      <c r="Z17" s="1"/>
    </row>
    <row r="18" spans="1:26" ht="18">
      <c r="A18" s="9"/>
      <c r="B18" s="1"/>
      <c r="C18" s="1"/>
      <c r="D18" s="1"/>
      <c r="E18" s="1"/>
      <c r="F18" s="1"/>
      <c r="G18" s="13"/>
      <c r="H18" s="1" t="s">
        <v>33</v>
      </c>
      <c r="I18" s="1"/>
      <c r="J18" s="11"/>
      <c r="K18" s="1"/>
      <c r="L18" s="1"/>
      <c r="M18" s="1"/>
      <c r="N18" s="1"/>
      <c r="O18" s="1"/>
      <c r="P18" s="1"/>
      <c r="Q18" s="1"/>
      <c r="R18" s="1"/>
      <c r="S18" s="1"/>
      <c r="T18" s="1"/>
      <c r="U18" s="1"/>
      <c r="V18" s="1"/>
      <c r="W18" s="1"/>
      <c r="X18" s="1"/>
      <c r="Y18" s="1"/>
      <c r="Z18" s="1"/>
    </row>
    <row r="19" spans="1:26" ht="18">
      <c r="A19" s="9"/>
      <c r="B19" s="1"/>
      <c r="C19" s="1"/>
      <c r="D19" s="1"/>
      <c r="E19" s="1"/>
      <c r="F19" s="1"/>
      <c r="G19" s="14"/>
      <c r="H19" s="1" t="s">
        <v>34</v>
      </c>
      <c r="I19" s="1"/>
      <c r="J19" s="11"/>
      <c r="K19" s="1"/>
      <c r="L19" s="1"/>
      <c r="M19" s="1"/>
      <c r="N19" s="1"/>
      <c r="O19" s="1"/>
      <c r="P19" s="1"/>
      <c r="Q19" s="1"/>
      <c r="R19" s="1"/>
      <c r="S19" s="1"/>
      <c r="T19" s="1"/>
      <c r="U19" s="1"/>
      <c r="V19" s="1"/>
      <c r="W19" s="1"/>
      <c r="X19" s="1"/>
      <c r="Y19" s="1"/>
      <c r="Z19" s="1"/>
    </row>
    <row r="20" spans="1:26" ht="18">
      <c r="A20" s="8" t="s">
        <v>35</v>
      </c>
      <c r="B20" s="1" t="s">
        <v>36</v>
      </c>
      <c r="C20" s="1"/>
      <c r="D20" s="1"/>
      <c r="E20" s="1"/>
      <c r="F20" s="1"/>
      <c r="G20" s="15"/>
      <c r="H20" s="1" t="s">
        <v>37</v>
      </c>
      <c r="I20" s="1"/>
      <c r="J20" s="11"/>
      <c r="K20" s="1"/>
      <c r="L20" s="1"/>
      <c r="M20" s="1"/>
      <c r="N20" s="1"/>
      <c r="O20" s="1"/>
      <c r="P20" s="1"/>
      <c r="Q20" s="1"/>
      <c r="R20" s="1"/>
      <c r="S20" s="1"/>
      <c r="T20" s="1"/>
      <c r="U20" s="1"/>
      <c r="V20" s="1"/>
      <c r="W20" s="1"/>
      <c r="X20" s="1"/>
      <c r="Y20" s="1"/>
      <c r="Z20" s="1"/>
    </row>
    <row r="21" spans="1:26" ht="15.75" customHeight="1">
      <c r="A21" s="9"/>
      <c r="B21" s="1"/>
      <c r="C21" s="1"/>
      <c r="D21" s="1"/>
      <c r="E21" s="1"/>
      <c r="F21" s="1"/>
      <c r="G21" s="16"/>
      <c r="H21" s="1" t="s">
        <v>38</v>
      </c>
      <c r="I21" s="1"/>
      <c r="J21" s="11"/>
      <c r="K21" s="1"/>
      <c r="L21" s="1"/>
      <c r="M21" s="1"/>
      <c r="N21" s="1"/>
      <c r="O21" s="1"/>
      <c r="P21" s="1"/>
      <c r="Q21" s="1"/>
      <c r="R21" s="1"/>
      <c r="S21" s="1"/>
      <c r="T21" s="1"/>
      <c r="U21" s="1"/>
      <c r="V21" s="1"/>
      <c r="W21" s="1"/>
      <c r="X21" s="1"/>
      <c r="Y21" s="1"/>
      <c r="Z21" s="1"/>
    </row>
    <row r="22" spans="1:26" ht="15.75" customHeight="1">
      <c r="A22" s="9"/>
      <c r="B22" s="1"/>
      <c r="C22" s="1"/>
      <c r="D22" s="1"/>
      <c r="E22" s="1"/>
      <c r="F22" s="1"/>
      <c r="G22" s="1"/>
      <c r="H22" s="1"/>
      <c r="I22" s="1"/>
      <c r="J22" s="11"/>
      <c r="K22" s="1"/>
      <c r="L22" s="1"/>
      <c r="M22" s="1"/>
      <c r="N22" s="1"/>
      <c r="O22" s="1"/>
      <c r="P22" s="1"/>
      <c r="Q22" s="1"/>
      <c r="R22" s="1"/>
      <c r="S22" s="1"/>
      <c r="T22" s="1"/>
      <c r="U22" s="1"/>
      <c r="V22" s="1"/>
      <c r="W22" s="1"/>
      <c r="X22" s="1"/>
      <c r="Y22" s="1"/>
      <c r="Z22" s="1"/>
    </row>
    <row r="23" spans="1:26" ht="15.75" customHeight="1">
      <c r="A23" s="17"/>
      <c r="B23" s="18"/>
      <c r="C23" s="18"/>
      <c r="D23" s="18"/>
      <c r="E23" s="18"/>
      <c r="F23" s="18"/>
      <c r="G23" s="18"/>
      <c r="H23" s="18"/>
      <c r="I23" s="18"/>
      <c r="J23" s="19"/>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6"/>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2"/>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t="s">
        <v>39</v>
      </c>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G3:J3"/>
    <mergeCell ref="A11:A12"/>
  </mergeCells>
  <conditionalFormatting sqref="G20">
    <cfRule type="containsBlanks" dxfId="65" priority="1">
      <formula>LEN(TRIM(G20))=0</formula>
    </cfRule>
  </conditionalFormatting>
  <hyperlinks>
    <hyperlink ref="G4" location="Space_use_assembly!A1" display="2. Identify  different internal gains packages and create regonizable names." xr:uid="{00000000-0004-0000-0000-000000000000}"/>
    <hyperlink ref="G5" location="Conditioning_constructor!A1" display="3. Identify types of HVAC systems you want in the templates and fill out corresponding values." xr:uid="{00000000-0004-0000-0000-000001000000}"/>
    <hyperlink ref="G6" location="null!A1" display="4. Identify types of ventilation systems you want in the templates" xr:uid="{00000000-0004-0000-0000-000002000000}"/>
    <hyperlink ref="G7" location="DHW_Constructor!A1" display="5. Identify types of DHW systems you want in the templates and fill out corresponding values. " xr:uid="{00000000-0004-0000-0000-000003000000}"/>
    <hyperlink ref="G8" location="null!A1" display="6. Create HVAC and DHW packages from your constructions" xr:uid="{00000000-0004-0000-0000-000004000000}"/>
    <hyperlink ref="G9" location="Construction_components!A1" display="7. Generate constructions based on the provided material lists for different building components" xr:uid="{00000000-0004-0000-0000-000005000000}"/>
    <hyperlink ref="G10" location="Envelope_assembly!A1" display="8. Add together constructions to create a full envelope assembly, and assign a name to each assembly" xr:uid="{00000000-0004-0000-0000-000006000000}"/>
    <hyperlink ref="G11" location="null!A1" display="9. (OPTIONAL) Assign retrofit packages to each &quot;template&quot; for different internal components" xr:uid="{00000000-0004-0000-0000-000007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Z1000"/>
  <sheetViews>
    <sheetView workbookViewId="0">
      <selection sqref="A1:J1"/>
    </sheetView>
  </sheetViews>
  <sheetFormatPr baseColWidth="10" defaultColWidth="11.28515625" defaultRowHeight="15" customHeight="1"/>
  <cols>
    <col min="1" max="1" width="28" customWidth="1"/>
    <col min="2" max="2" width="14.28515625" customWidth="1"/>
    <col min="3" max="26" width="11.42578125" customWidth="1"/>
  </cols>
  <sheetData>
    <row r="1" spans="1:26" ht="17.25" customHeight="1">
      <c r="A1" s="211" t="s">
        <v>40</v>
      </c>
      <c r="B1" s="212"/>
      <c r="C1" s="212"/>
      <c r="D1" s="212"/>
      <c r="E1" s="212"/>
      <c r="F1" s="212"/>
      <c r="G1" s="212"/>
      <c r="H1" s="212"/>
      <c r="I1" s="212"/>
      <c r="J1" s="213"/>
      <c r="K1" s="20"/>
      <c r="L1" s="20"/>
      <c r="M1" s="20"/>
      <c r="N1" s="20"/>
      <c r="O1" s="20"/>
      <c r="P1" s="20"/>
      <c r="Q1" s="20"/>
      <c r="R1" s="20"/>
      <c r="S1" s="20"/>
      <c r="T1" s="20"/>
      <c r="U1" s="20"/>
      <c r="V1" s="20"/>
      <c r="W1" s="20"/>
      <c r="X1" s="20"/>
      <c r="Y1" s="20"/>
      <c r="Z1" s="20"/>
    </row>
    <row r="2" spans="1:26" ht="17.25" customHeight="1">
      <c r="A2" s="21" t="s">
        <v>41</v>
      </c>
      <c r="B2" s="22" t="s">
        <v>42</v>
      </c>
      <c r="C2" s="22" t="s">
        <v>43</v>
      </c>
      <c r="D2" s="23"/>
      <c r="E2" s="23"/>
      <c r="F2" s="23"/>
      <c r="G2" s="23"/>
      <c r="H2" s="23"/>
      <c r="I2" s="23"/>
      <c r="J2" s="24"/>
      <c r="K2" s="20"/>
      <c r="L2" s="20"/>
      <c r="M2" s="20"/>
      <c r="N2" s="20"/>
      <c r="O2" s="20"/>
      <c r="P2" s="20"/>
      <c r="Q2" s="20"/>
      <c r="R2" s="20"/>
      <c r="S2" s="20"/>
      <c r="T2" s="20"/>
      <c r="U2" s="20"/>
      <c r="V2" s="20"/>
      <c r="W2" s="20"/>
      <c r="X2" s="20"/>
      <c r="Y2" s="20"/>
      <c r="Z2" s="20"/>
    </row>
    <row r="3" spans="1:26" ht="16.5" customHeight="1">
      <c r="A3" s="25" t="s">
        <v>44</v>
      </c>
      <c r="B3" s="15" t="s">
        <v>45</v>
      </c>
      <c r="C3" s="214" t="s">
        <v>46</v>
      </c>
      <c r="D3" s="206"/>
      <c r="E3" s="206"/>
      <c r="F3" s="206"/>
      <c r="G3" s="206"/>
      <c r="H3" s="206"/>
      <c r="I3" s="206"/>
      <c r="J3" s="208"/>
      <c r="K3" s="20"/>
      <c r="L3" s="20"/>
      <c r="M3" s="20"/>
      <c r="N3" s="20"/>
      <c r="O3" s="26" t="s">
        <v>47</v>
      </c>
      <c r="P3" s="27"/>
      <c r="Q3" s="27"/>
      <c r="R3" s="27"/>
      <c r="S3" s="27"/>
      <c r="T3" s="27"/>
      <c r="U3" s="27"/>
      <c r="V3" s="28"/>
      <c r="W3" s="20"/>
      <c r="X3" s="20"/>
      <c r="Y3" s="20"/>
      <c r="Z3" s="20"/>
    </row>
    <row r="4" spans="1:26" ht="16.5" customHeight="1">
      <c r="A4" s="25" t="s">
        <v>48</v>
      </c>
      <c r="B4" s="15" t="s">
        <v>49</v>
      </c>
      <c r="C4" s="214" t="s">
        <v>50</v>
      </c>
      <c r="D4" s="206"/>
      <c r="E4" s="206"/>
      <c r="F4" s="206"/>
      <c r="G4" s="206"/>
      <c r="H4" s="206"/>
      <c r="I4" s="206"/>
      <c r="J4" s="208"/>
      <c r="K4" s="20"/>
      <c r="L4" s="20"/>
      <c r="M4" s="20"/>
      <c r="N4" s="29"/>
      <c r="O4" s="215" t="s">
        <v>51</v>
      </c>
      <c r="P4" s="216"/>
      <c r="Q4" s="216"/>
      <c r="R4" s="216"/>
      <c r="S4" s="216"/>
      <c r="T4" s="216"/>
      <c r="U4" s="216"/>
      <c r="V4" s="217"/>
      <c r="W4" s="30"/>
      <c r="X4" s="20"/>
      <c r="Y4" s="20"/>
      <c r="Z4" s="20"/>
    </row>
    <row r="5" spans="1:26" ht="16.5" customHeight="1">
      <c r="A5" s="25" t="s">
        <v>52</v>
      </c>
      <c r="B5" s="15" t="s">
        <v>53</v>
      </c>
      <c r="C5" s="214" t="s">
        <v>54</v>
      </c>
      <c r="D5" s="206"/>
      <c r="E5" s="206"/>
      <c r="F5" s="206"/>
      <c r="G5" s="206"/>
      <c r="H5" s="206"/>
      <c r="I5" s="206"/>
      <c r="J5" s="208"/>
      <c r="K5" s="20"/>
      <c r="L5" s="20"/>
      <c r="M5" s="20"/>
      <c r="N5" s="29"/>
      <c r="O5" s="218"/>
      <c r="P5" s="219"/>
      <c r="Q5" s="219"/>
      <c r="R5" s="219"/>
      <c r="S5" s="219"/>
      <c r="T5" s="219"/>
      <c r="U5" s="219"/>
      <c r="V5" s="220"/>
      <c r="W5" s="31"/>
      <c r="X5" s="20"/>
      <c r="Y5" s="20"/>
      <c r="Z5" s="20"/>
    </row>
    <row r="6" spans="1:26" ht="36" customHeight="1">
      <c r="A6" s="25" t="s">
        <v>55</v>
      </c>
      <c r="B6" s="15" t="s">
        <v>56</v>
      </c>
      <c r="C6" s="214" t="s">
        <v>57</v>
      </c>
      <c r="D6" s="206"/>
      <c r="E6" s="206"/>
      <c r="F6" s="206"/>
      <c r="G6" s="206"/>
      <c r="H6" s="206"/>
      <c r="I6" s="206"/>
      <c r="J6" s="208"/>
      <c r="K6" s="20"/>
      <c r="L6" s="20"/>
      <c r="M6" s="20"/>
      <c r="N6" s="29"/>
      <c r="O6" s="218"/>
      <c r="P6" s="219"/>
      <c r="Q6" s="219"/>
      <c r="R6" s="219"/>
      <c r="S6" s="219"/>
      <c r="T6" s="219"/>
      <c r="U6" s="219"/>
      <c r="V6" s="220"/>
      <c r="W6" s="31"/>
      <c r="X6" s="20"/>
      <c r="Y6" s="20"/>
      <c r="Z6" s="20"/>
    </row>
    <row r="7" spans="1:26" ht="15.75" customHeight="1">
      <c r="A7" s="25" t="s">
        <v>58</v>
      </c>
      <c r="B7" s="15" t="s">
        <v>59</v>
      </c>
      <c r="C7" s="214" t="s">
        <v>60</v>
      </c>
      <c r="D7" s="206"/>
      <c r="E7" s="206"/>
      <c r="F7" s="206"/>
      <c r="G7" s="206"/>
      <c r="H7" s="206"/>
      <c r="I7" s="206"/>
      <c r="J7" s="208"/>
      <c r="K7" s="20"/>
      <c r="L7" s="20"/>
      <c r="M7" s="20"/>
      <c r="N7" s="29"/>
      <c r="O7" s="218"/>
      <c r="P7" s="219"/>
      <c r="Q7" s="219"/>
      <c r="R7" s="219"/>
      <c r="S7" s="219"/>
      <c r="T7" s="219"/>
      <c r="U7" s="219"/>
      <c r="V7" s="220"/>
      <c r="W7" s="31"/>
      <c r="X7" s="20"/>
      <c r="Y7" s="20"/>
      <c r="Z7" s="20"/>
    </row>
    <row r="8" spans="1:26" ht="17.25" customHeight="1">
      <c r="A8" s="32" t="s">
        <v>61</v>
      </c>
      <c r="B8" s="15"/>
      <c r="C8" s="224" t="s">
        <v>62</v>
      </c>
      <c r="D8" s="206"/>
      <c r="E8" s="206"/>
      <c r="F8" s="206"/>
      <c r="G8" s="206"/>
      <c r="H8" s="206"/>
      <c r="I8" s="206"/>
      <c r="J8" s="208"/>
      <c r="K8" s="20"/>
      <c r="L8" s="20"/>
      <c r="M8" s="20"/>
      <c r="N8" s="29"/>
      <c r="O8" s="218"/>
      <c r="P8" s="219"/>
      <c r="Q8" s="219"/>
      <c r="R8" s="219"/>
      <c r="S8" s="219"/>
      <c r="T8" s="219"/>
      <c r="U8" s="219"/>
      <c r="V8" s="220"/>
      <c r="W8" s="31"/>
      <c r="X8" s="20"/>
      <c r="Y8" s="20"/>
      <c r="Z8" s="20"/>
    </row>
    <row r="9" spans="1:26" ht="17.25" customHeight="1">
      <c r="A9" s="33" t="s">
        <v>63</v>
      </c>
      <c r="B9" s="34"/>
      <c r="C9" s="225" t="s">
        <v>64</v>
      </c>
      <c r="D9" s="226"/>
      <c r="E9" s="226"/>
      <c r="F9" s="226"/>
      <c r="G9" s="226"/>
      <c r="H9" s="226"/>
      <c r="I9" s="226"/>
      <c r="J9" s="227"/>
      <c r="K9" s="20"/>
      <c r="L9" s="20"/>
      <c r="M9" s="20"/>
      <c r="N9" s="29"/>
      <c r="O9" s="218"/>
      <c r="P9" s="219"/>
      <c r="Q9" s="219"/>
      <c r="R9" s="219"/>
      <c r="S9" s="219"/>
      <c r="T9" s="219"/>
      <c r="U9" s="219"/>
      <c r="V9" s="220"/>
      <c r="W9" s="31"/>
      <c r="X9" s="20"/>
      <c r="Y9" s="20"/>
      <c r="Z9" s="20"/>
    </row>
    <row r="10" spans="1:26" ht="15.75" customHeight="1">
      <c r="A10" s="20"/>
      <c r="B10" s="20"/>
      <c r="C10" s="20"/>
      <c r="D10" s="20"/>
      <c r="E10" s="20"/>
      <c r="F10" s="20"/>
      <c r="G10" s="20"/>
      <c r="H10" s="20"/>
      <c r="I10" s="20"/>
      <c r="J10" s="20"/>
      <c r="K10" s="20"/>
      <c r="L10" s="20"/>
      <c r="M10" s="20"/>
      <c r="N10" s="29"/>
      <c r="O10" s="218"/>
      <c r="P10" s="219"/>
      <c r="Q10" s="219"/>
      <c r="R10" s="219"/>
      <c r="S10" s="219"/>
      <c r="T10" s="219"/>
      <c r="U10" s="219"/>
      <c r="V10" s="220"/>
      <c r="W10" s="31"/>
      <c r="X10" s="20"/>
      <c r="Y10" s="20"/>
      <c r="Z10" s="20"/>
    </row>
    <row r="11" spans="1:26" ht="15.75" customHeight="1">
      <c r="A11" s="20"/>
      <c r="B11" s="20"/>
      <c r="C11" s="20"/>
      <c r="D11" s="20"/>
      <c r="E11" s="20"/>
      <c r="F11" s="20"/>
      <c r="G11" s="20"/>
      <c r="H11" s="20"/>
      <c r="I11" s="20"/>
      <c r="J11" s="20"/>
      <c r="K11" s="20"/>
      <c r="L11" s="20"/>
      <c r="M11" s="20"/>
      <c r="N11" s="29"/>
      <c r="O11" s="218"/>
      <c r="P11" s="219"/>
      <c r="Q11" s="219"/>
      <c r="R11" s="219"/>
      <c r="S11" s="219"/>
      <c r="T11" s="219"/>
      <c r="U11" s="219"/>
      <c r="V11" s="220"/>
      <c r="W11" s="31"/>
      <c r="X11" s="20"/>
      <c r="Y11" s="20"/>
      <c r="Z11" s="20"/>
    </row>
    <row r="12" spans="1:26" ht="15.75" customHeight="1">
      <c r="A12" s="20"/>
      <c r="B12" s="20"/>
      <c r="C12" s="20"/>
      <c r="D12" s="20"/>
      <c r="E12" s="20"/>
      <c r="F12" s="20"/>
      <c r="G12" s="20"/>
      <c r="H12" s="20"/>
      <c r="I12" s="20"/>
      <c r="J12" s="20"/>
      <c r="K12" s="20"/>
      <c r="L12" s="20"/>
      <c r="M12" s="20"/>
      <c r="N12" s="29"/>
      <c r="O12" s="218"/>
      <c r="P12" s="219"/>
      <c r="Q12" s="219"/>
      <c r="R12" s="219"/>
      <c r="S12" s="219"/>
      <c r="T12" s="219"/>
      <c r="U12" s="219"/>
      <c r="V12" s="220"/>
      <c r="W12" s="31"/>
      <c r="X12" s="20"/>
      <c r="Y12" s="20"/>
      <c r="Z12" s="20"/>
    </row>
    <row r="13" spans="1:26" ht="17.25" customHeight="1">
      <c r="A13" s="20"/>
      <c r="B13" s="20"/>
      <c r="C13" s="20"/>
      <c r="D13" s="20"/>
      <c r="E13" s="20"/>
      <c r="F13" s="20"/>
      <c r="G13" s="20"/>
      <c r="H13" s="20"/>
      <c r="I13" s="20"/>
      <c r="J13" s="20"/>
      <c r="K13" s="20"/>
      <c r="L13" s="20"/>
      <c r="M13" s="20"/>
      <c r="N13" s="29"/>
      <c r="O13" s="218"/>
      <c r="P13" s="219"/>
      <c r="Q13" s="219"/>
      <c r="R13" s="219"/>
      <c r="S13" s="219"/>
      <c r="T13" s="219"/>
      <c r="U13" s="219"/>
      <c r="V13" s="220"/>
      <c r="W13" s="31"/>
      <c r="X13" s="20"/>
      <c r="Y13" s="20"/>
      <c r="Z13" s="20"/>
    </row>
    <row r="14" spans="1:26" ht="17.25" customHeight="1">
      <c r="A14" s="20"/>
      <c r="B14" s="20"/>
      <c r="C14" s="20"/>
      <c r="D14" s="20"/>
      <c r="E14" s="20"/>
      <c r="F14" s="20"/>
      <c r="G14" s="20"/>
      <c r="H14" s="20"/>
      <c r="I14" s="20"/>
      <c r="J14" s="20"/>
      <c r="K14" s="20"/>
      <c r="L14" s="20"/>
      <c r="M14" s="20"/>
      <c r="N14" s="29"/>
      <c r="O14" s="218"/>
      <c r="P14" s="219"/>
      <c r="Q14" s="219"/>
      <c r="R14" s="219"/>
      <c r="S14" s="219"/>
      <c r="T14" s="219"/>
      <c r="U14" s="219"/>
      <c r="V14" s="220"/>
      <c r="W14" s="31"/>
      <c r="X14" s="20"/>
      <c r="Y14" s="20"/>
      <c r="Z14" s="20"/>
    </row>
    <row r="15" spans="1:26" ht="15.75" customHeight="1">
      <c r="A15" s="20"/>
      <c r="B15" s="20"/>
      <c r="C15" s="20"/>
      <c r="D15" s="20"/>
      <c r="E15" s="20"/>
      <c r="F15" s="20"/>
      <c r="G15" s="20"/>
      <c r="H15" s="20"/>
      <c r="I15" s="20"/>
      <c r="J15" s="20"/>
      <c r="K15" s="20"/>
      <c r="L15" s="20"/>
      <c r="M15" s="20"/>
      <c r="N15" s="29"/>
      <c r="O15" s="218"/>
      <c r="P15" s="219"/>
      <c r="Q15" s="219"/>
      <c r="R15" s="219"/>
      <c r="S15" s="219"/>
      <c r="T15" s="219"/>
      <c r="U15" s="219"/>
      <c r="V15" s="220"/>
      <c r="W15" s="31"/>
      <c r="X15" s="20"/>
      <c r="Y15" s="20"/>
      <c r="Z15" s="20"/>
    </row>
    <row r="16" spans="1:26" ht="17.25" customHeight="1">
      <c r="A16" s="20"/>
      <c r="B16" s="20"/>
      <c r="C16" s="20"/>
      <c r="D16" s="20"/>
      <c r="E16" s="20"/>
      <c r="F16" s="20"/>
      <c r="G16" s="20"/>
      <c r="H16" s="20"/>
      <c r="I16" s="20"/>
      <c r="J16" s="20"/>
      <c r="K16" s="20"/>
      <c r="L16" s="20"/>
      <c r="M16" s="20"/>
      <c r="N16" s="29"/>
      <c r="O16" s="218"/>
      <c r="P16" s="219"/>
      <c r="Q16" s="219"/>
      <c r="R16" s="219"/>
      <c r="S16" s="219"/>
      <c r="T16" s="219"/>
      <c r="U16" s="219"/>
      <c r="V16" s="220"/>
      <c r="W16" s="31"/>
      <c r="X16" s="20"/>
      <c r="Y16" s="20"/>
      <c r="Z16" s="20"/>
    </row>
    <row r="17" spans="1:26" ht="17.25" customHeight="1">
      <c r="A17" s="20"/>
      <c r="B17" s="20"/>
      <c r="C17" s="20"/>
      <c r="D17" s="20"/>
      <c r="E17" s="20"/>
      <c r="F17" s="20"/>
      <c r="G17" s="20"/>
      <c r="H17" s="20"/>
      <c r="I17" s="20"/>
      <c r="J17" s="20"/>
      <c r="K17" s="20"/>
      <c r="L17" s="20"/>
      <c r="M17" s="20"/>
      <c r="N17" s="29"/>
      <c r="O17" s="218"/>
      <c r="P17" s="219"/>
      <c r="Q17" s="219"/>
      <c r="R17" s="219"/>
      <c r="S17" s="219"/>
      <c r="T17" s="219"/>
      <c r="U17" s="219"/>
      <c r="V17" s="220"/>
      <c r="W17" s="31"/>
      <c r="X17" s="20"/>
      <c r="Y17" s="20"/>
      <c r="Z17" s="20"/>
    </row>
    <row r="18" spans="1:26" ht="17.25" customHeight="1">
      <c r="A18" s="20"/>
      <c r="B18" s="20"/>
      <c r="C18" s="20"/>
      <c r="D18" s="20"/>
      <c r="E18" s="20"/>
      <c r="F18" s="20"/>
      <c r="G18" s="20"/>
      <c r="H18" s="20"/>
      <c r="I18" s="20"/>
      <c r="J18" s="20"/>
      <c r="K18" s="20"/>
      <c r="L18" s="20"/>
      <c r="M18" s="20"/>
      <c r="N18" s="29"/>
      <c r="O18" s="218"/>
      <c r="P18" s="219"/>
      <c r="Q18" s="219"/>
      <c r="R18" s="219"/>
      <c r="S18" s="219"/>
      <c r="T18" s="219"/>
      <c r="U18" s="219"/>
      <c r="V18" s="220"/>
      <c r="W18" s="31"/>
      <c r="X18" s="20"/>
      <c r="Y18" s="20"/>
      <c r="Z18" s="20"/>
    </row>
    <row r="19" spans="1:26" ht="17.25" customHeight="1">
      <c r="A19" s="20"/>
      <c r="B19" s="20"/>
      <c r="C19" s="20"/>
      <c r="D19" s="20"/>
      <c r="E19" s="20"/>
      <c r="F19" s="20"/>
      <c r="G19" s="20"/>
      <c r="H19" s="20"/>
      <c r="I19" s="20"/>
      <c r="J19" s="20"/>
      <c r="K19" s="20"/>
      <c r="L19" s="20"/>
      <c r="M19" s="20"/>
      <c r="N19" s="29"/>
      <c r="O19" s="218"/>
      <c r="P19" s="219"/>
      <c r="Q19" s="219"/>
      <c r="R19" s="219"/>
      <c r="S19" s="219"/>
      <c r="T19" s="219"/>
      <c r="U19" s="219"/>
      <c r="V19" s="220"/>
      <c r="W19" s="31"/>
      <c r="X19" s="20"/>
      <c r="Y19" s="20"/>
      <c r="Z19" s="20"/>
    </row>
    <row r="20" spans="1:26" ht="15.75" customHeight="1">
      <c r="A20" s="20"/>
      <c r="B20" s="20"/>
      <c r="C20" s="20"/>
      <c r="D20" s="20"/>
      <c r="E20" s="20"/>
      <c r="F20" s="20"/>
      <c r="G20" s="20"/>
      <c r="H20" s="20"/>
      <c r="I20" s="20"/>
      <c r="J20" s="20"/>
      <c r="K20" s="20"/>
      <c r="L20" s="20"/>
      <c r="M20" s="20"/>
      <c r="N20" s="29"/>
      <c r="O20" s="218"/>
      <c r="P20" s="219"/>
      <c r="Q20" s="219"/>
      <c r="R20" s="219"/>
      <c r="S20" s="219"/>
      <c r="T20" s="219"/>
      <c r="U20" s="219"/>
      <c r="V20" s="220"/>
      <c r="W20" s="31"/>
      <c r="X20" s="20"/>
      <c r="Y20" s="20"/>
      <c r="Z20" s="20"/>
    </row>
    <row r="21" spans="1:26" ht="17.25" customHeight="1">
      <c r="A21" s="20"/>
      <c r="B21" s="20"/>
      <c r="C21" s="20"/>
      <c r="D21" s="20"/>
      <c r="E21" s="20"/>
      <c r="F21" s="20"/>
      <c r="G21" s="20"/>
      <c r="H21" s="20"/>
      <c r="I21" s="20"/>
      <c r="J21" s="20"/>
      <c r="K21" s="20"/>
      <c r="L21" s="20"/>
      <c r="M21" s="20"/>
      <c r="N21" s="29"/>
      <c r="O21" s="218"/>
      <c r="P21" s="219"/>
      <c r="Q21" s="219"/>
      <c r="R21" s="219"/>
      <c r="S21" s="219"/>
      <c r="T21" s="219"/>
      <c r="U21" s="219"/>
      <c r="V21" s="220"/>
      <c r="W21" s="31"/>
      <c r="X21" s="20"/>
      <c r="Y21" s="20"/>
      <c r="Z21" s="20"/>
    </row>
    <row r="22" spans="1:26" ht="17.25" customHeight="1">
      <c r="A22" s="20"/>
      <c r="B22" s="20"/>
      <c r="C22" s="20"/>
      <c r="D22" s="20"/>
      <c r="E22" s="20"/>
      <c r="F22" s="20"/>
      <c r="G22" s="20"/>
      <c r="H22" s="20"/>
      <c r="I22" s="20"/>
      <c r="J22" s="20"/>
      <c r="K22" s="20"/>
      <c r="L22" s="20"/>
      <c r="M22" s="20"/>
      <c r="N22" s="29"/>
      <c r="O22" s="218"/>
      <c r="P22" s="219"/>
      <c r="Q22" s="219"/>
      <c r="R22" s="219"/>
      <c r="S22" s="219"/>
      <c r="T22" s="219"/>
      <c r="U22" s="219"/>
      <c r="V22" s="220"/>
      <c r="W22" s="31"/>
      <c r="X22" s="20"/>
      <c r="Y22" s="20"/>
      <c r="Z22" s="20"/>
    </row>
    <row r="23" spans="1:26" ht="15.75" customHeight="1">
      <c r="A23" s="20"/>
      <c r="B23" s="20"/>
      <c r="C23" s="20"/>
      <c r="D23" s="20"/>
      <c r="E23" s="20"/>
      <c r="F23" s="20"/>
      <c r="G23" s="20"/>
      <c r="H23" s="20"/>
      <c r="I23" s="20"/>
      <c r="J23" s="20"/>
      <c r="K23" s="20"/>
      <c r="L23" s="20"/>
      <c r="M23" s="20"/>
      <c r="N23" s="29"/>
      <c r="O23" s="218"/>
      <c r="P23" s="219"/>
      <c r="Q23" s="219"/>
      <c r="R23" s="219"/>
      <c r="S23" s="219"/>
      <c r="T23" s="219"/>
      <c r="U23" s="219"/>
      <c r="V23" s="220"/>
      <c r="W23" s="31"/>
      <c r="X23" s="20"/>
      <c r="Y23" s="20"/>
      <c r="Z23" s="20"/>
    </row>
    <row r="24" spans="1:26" ht="17.25" customHeight="1">
      <c r="A24" s="20"/>
      <c r="B24" s="20"/>
      <c r="C24" s="20"/>
      <c r="D24" s="20"/>
      <c r="E24" s="20"/>
      <c r="F24" s="20"/>
      <c r="G24" s="20"/>
      <c r="H24" s="20"/>
      <c r="I24" s="20"/>
      <c r="J24" s="20"/>
      <c r="K24" s="20"/>
      <c r="L24" s="20"/>
      <c r="M24" s="20"/>
      <c r="N24" s="29"/>
      <c r="O24" s="218"/>
      <c r="P24" s="219"/>
      <c r="Q24" s="219"/>
      <c r="R24" s="219"/>
      <c r="S24" s="219"/>
      <c r="T24" s="219"/>
      <c r="U24" s="219"/>
      <c r="V24" s="220"/>
      <c r="W24" s="31"/>
      <c r="X24" s="20"/>
      <c r="Y24" s="20"/>
      <c r="Z24" s="20"/>
    </row>
    <row r="25" spans="1:26" ht="17.25" customHeight="1">
      <c r="A25" s="20"/>
      <c r="B25" s="20"/>
      <c r="C25" s="20"/>
      <c r="D25" s="20"/>
      <c r="E25" s="20"/>
      <c r="F25" s="20"/>
      <c r="G25" s="20"/>
      <c r="H25" s="20"/>
      <c r="I25" s="20"/>
      <c r="J25" s="20"/>
      <c r="K25" s="20"/>
      <c r="L25" s="20"/>
      <c r="M25" s="20"/>
      <c r="N25" s="29"/>
      <c r="O25" s="218"/>
      <c r="P25" s="219"/>
      <c r="Q25" s="219"/>
      <c r="R25" s="219"/>
      <c r="S25" s="219"/>
      <c r="T25" s="219"/>
      <c r="U25" s="219"/>
      <c r="V25" s="220"/>
      <c r="W25" s="31"/>
      <c r="X25" s="20"/>
      <c r="Y25" s="20"/>
      <c r="Z25" s="20"/>
    </row>
    <row r="26" spans="1:26" ht="17.25" customHeight="1">
      <c r="A26" s="20"/>
      <c r="B26" s="20"/>
      <c r="C26" s="20"/>
      <c r="D26" s="20"/>
      <c r="E26" s="20"/>
      <c r="F26" s="20"/>
      <c r="G26" s="20"/>
      <c r="H26" s="20"/>
      <c r="I26" s="20"/>
      <c r="J26" s="20"/>
      <c r="K26" s="20"/>
      <c r="L26" s="20"/>
      <c r="M26" s="20"/>
      <c r="N26" s="29"/>
      <c r="O26" s="218"/>
      <c r="P26" s="219"/>
      <c r="Q26" s="219"/>
      <c r="R26" s="219"/>
      <c r="S26" s="219"/>
      <c r="T26" s="219"/>
      <c r="U26" s="219"/>
      <c r="V26" s="220"/>
      <c r="W26" s="31"/>
      <c r="X26" s="20"/>
      <c r="Y26" s="20"/>
      <c r="Z26" s="20"/>
    </row>
    <row r="27" spans="1:26" ht="17.25" customHeight="1">
      <c r="A27" s="20"/>
      <c r="B27" s="20"/>
      <c r="C27" s="20"/>
      <c r="D27" s="20"/>
      <c r="E27" s="20"/>
      <c r="F27" s="20"/>
      <c r="G27" s="20"/>
      <c r="H27" s="20"/>
      <c r="I27" s="20"/>
      <c r="J27" s="20"/>
      <c r="K27" s="20"/>
      <c r="L27" s="20"/>
      <c r="M27" s="20"/>
      <c r="N27" s="29"/>
      <c r="O27" s="218"/>
      <c r="P27" s="219"/>
      <c r="Q27" s="219"/>
      <c r="R27" s="219"/>
      <c r="S27" s="219"/>
      <c r="T27" s="219"/>
      <c r="U27" s="219"/>
      <c r="V27" s="220"/>
      <c r="W27" s="31"/>
      <c r="X27" s="20"/>
      <c r="Y27" s="20"/>
      <c r="Z27" s="20"/>
    </row>
    <row r="28" spans="1:26" ht="15.75" customHeight="1">
      <c r="A28" s="20"/>
      <c r="B28" s="20"/>
      <c r="C28" s="20"/>
      <c r="D28" s="20"/>
      <c r="E28" s="20"/>
      <c r="F28" s="20"/>
      <c r="G28" s="20"/>
      <c r="H28" s="20"/>
      <c r="I28" s="20"/>
      <c r="J28" s="20"/>
      <c r="K28" s="20"/>
      <c r="L28" s="20"/>
      <c r="M28" s="20"/>
      <c r="N28" s="29"/>
      <c r="O28" s="218"/>
      <c r="P28" s="219"/>
      <c r="Q28" s="219"/>
      <c r="R28" s="219"/>
      <c r="S28" s="219"/>
      <c r="T28" s="219"/>
      <c r="U28" s="219"/>
      <c r="V28" s="220"/>
      <c r="W28" s="31"/>
      <c r="X28" s="20"/>
      <c r="Y28" s="20"/>
      <c r="Z28" s="20"/>
    </row>
    <row r="29" spans="1:26" ht="17.25" customHeight="1">
      <c r="A29" s="20"/>
      <c r="B29" s="20"/>
      <c r="C29" s="20"/>
      <c r="D29" s="20"/>
      <c r="E29" s="20"/>
      <c r="F29" s="20"/>
      <c r="G29" s="20"/>
      <c r="H29" s="20"/>
      <c r="I29" s="20"/>
      <c r="J29" s="20"/>
      <c r="K29" s="20"/>
      <c r="L29" s="20"/>
      <c r="M29" s="20"/>
      <c r="N29" s="29"/>
      <c r="O29" s="218"/>
      <c r="P29" s="219"/>
      <c r="Q29" s="219"/>
      <c r="R29" s="219"/>
      <c r="S29" s="219"/>
      <c r="T29" s="219"/>
      <c r="U29" s="219"/>
      <c r="V29" s="220"/>
      <c r="W29" s="31"/>
      <c r="X29" s="20"/>
      <c r="Y29" s="20"/>
      <c r="Z29" s="20"/>
    </row>
    <row r="30" spans="1:26" ht="17.25" customHeight="1">
      <c r="A30" s="20"/>
      <c r="B30" s="20"/>
      <c r="C30" s="20"/>
      <c r="D30" s="20"/>
      <c r="E30" s="20"/>
      <c r="F30" s="20"/>
      <c r="G30" s="20"/>
      <c r="H30" s="20"/>
      <c r="I30" s="20"/>
      <c r="J30" s="20"/>
      <c r="K30" s="20"/>
      <c r="L30" s="20"/>
      <c r="M30" s="20"/>
      <c r="N30" s="29"/>
      <c r="O30" s="218"/>
      <c r="P30" s="219"/>
      <c r="Q30" s="219"/>
      <c r="R30" s="219"/>
      <c r="S30" s="219"/>
      <c r="T30" s="219"/>
      <c r="U30" s="219"/>
      <c r="V30" s="220"/>
      <c r="W30" s="31"/>
      <c r="X30" s="20"/>
      <c r="Y30" s="20"/>
      <c r="Z30" s="20"/>
    </row>
    <row r="31" spans="1:26" ht="17.25" customHeight="1">
      <c r="A31" s="20"/>
      <c r="B31" s="20"/>
      <c r="C31" s="20"/>
      <c r="D31" s="20"/>
      <c r="E31" s="20"/>
      <c r="F31" s="20"/>
      <c r="G31" s="20"/>
      <c r="H31" s="20"/>
      <c r="I31" s="20"/>
      <c r="J31" s="20"/>
      <c r="K31" s="20"/>
      <c r="L31" s="20"/>
      <c r="M31" s="20"/>
      <c r="N31" s="29"/>
      <c r="O31" s="218"/>
      <c r="P31" s="219"/>
      <c r="Q31" s="219"/>
      <c r="R31" s="219"/>
      <c r="S31" s="219"/>
      <c r="T31" s="219"/>
      <c r="U31" s="219"/>
      <c r="V31" s="220"/>
      <c r="W31" s="31"/>
      <c r="X31" s="20"/>
      <c r="Y31" s="20"/>
      <c r="Z31" s="20"/>
    </row>
    <row r="32" spans="1:26" ht="17.25" customHeight="1">
      <c r="A32" s="20"/>
      <c r="B32" s="20"/>
      <c r="C32" s="20"/>
      <c r="D32" s="20"/>
      <c r="E32" s="20"/>
      <c r="F32" s="20"/>
      <c r="G32" s="20"/>
      <c r="H32" s="20"/>
      <c r="I32" s="20"/>
      <c r="J32" s="20"/>
      <c r="K32" s="20"/>
      <c r="L32" s="20"/>
      <c r="M32" s="20"/>
      <c r="N32" s="29"/>
      <c r="O32" s="218"/>
      <c r="P32" s="219"/>
      <c r="Q32" s="219"/>
      <c r="R32" s="219"/>
      <c r="S32" s="219"/>
      <c r="T32" s="219"/>
      <c r="U32" s="219"/>
      <c r="V32" s="220"/>
      <c r="W32" s="31"/>
      <c r="X32" s="20"/>
      <c r="Y32" s="20"/>
      <c r="Z32" s="20"/>
    </row>
    <row r="33" spans="1:26" ht="17.25" customHeight="1">
      <c r="A33" s="20"/>
      <c r="B33" s="20"/>
      <c r="C33" s="20"/>
      <c r="D33" s="20"/>
      <c r="E33" s="20"/>
      <c r="F33" s="20"/>
      <c r="G33" s="20"/>
      <c r="H33" s="20"/>
      <c r="I33" s="20"/>
      <c r="J33" s="20"/>
      <c r="K33" s="20"/>
      <c r="L33" s="20"/>
      <c r="M33" s="20"/>
      <c r="N33" s="29"/>
      <c r="O33" s="218"/>
      <c r="P33" s="219"/>
      <c r="Q33" s="219"/>
      <c r="R33" s="219"/>
      <c r="S33" s="219"/>
      <c r="T33" s="219"/>
      <c r="U33" s="219"/>
      <c r="V33" s="220"/>
      <c r="W33" s="31"/>
      <c r="X33" s="20"/>
      <c r="Y33" s="20"/>
      <c r="Z33" s="20"/>
    </row>
    <row r="34" spans="1:26" ht="17.25" customHeight="1">
      <c r="A34" s="20"/>
      <c r="B34" s="20"/>
      <c r="C34" s="20"/>
      <c r="D34" s="20"/>
      <c r="E34" s="20"/>
      <c r="F34" s="20"/>
      <c r="G34" s="20"/>
      <c r="H34" s="20"/>
      <c r="I34" s="20"/>
      <c r="J34" s="20"/>
      <c r="K34" s="20"/>
      <c r="L34" s="20"/>
      <c r="M34" s="20"/>
      <c r="N34" s="29"/>
      <c r="O34" s="218"/>
      <c r="P34" s="219"/>
      <c r="Q34" s="219"/>
      <c r="R34" s="219"/>
      <c r="S34" s="219"/>
      <c r="T34" s="219"/>
      <c r="U34" s="219"/>
      <c r="V34" s="220"/>
      <c r="W34" s="31"/>
      <c r="X34" s="20"/>
      <c r="Y34" s="20"/>
      <c r="Z34" s="20"/>
    </row>
    <row r="35" spans="1:26" ht="17.25" customHeight="1">
      <c r="A35" s="20"/>
      <c r="B35" s="20"/>
      <c r="C35" s="20"/>
      <c r="D35" s="20"/>
      <c r="E35" s="20"/>
      <c r="F35" s="20"/>
      <c r="G35" s="20"/>
      <c r="H35" s="20"/>
      <c r="I35" s="20"/>
      <c r="J35" s="20"/>
      <c r="K35" s="20"/>
      <c r="L35" s="20"/>
      <c r="M35" s="20"/>
      <c r="N35" s="29"/>
      <c r="O35" s="218"/>
      <c r="P35" s="219"/>
      <c r="Q35" s="219"/>
      <c r="R35" s="219"/>
      <c r="S35" s="219"/>
      <c r="T35" s="219"/>
      <c r="U35" s="219"/>
      <c r="V35" s="220"/>
      <c r="W35" s="31"/>
      <c r="X35" s="20"/>
      <c r="Y35" s="20"/>
      <c r="Z35" s="20"/>
    </row>
    <row r="36" spans="1:26" ht="17.25" customHeight="1">
      <c r="A36" s="20"/>
      <c r="B36" s="20"/>
      <c r="C36" s="20"/>
      <c r="D36" s="20"/>
      <c r="E36" s="20"/>
      <c r="F36" s="20"/>
      <c r="G36" s="20"/>
      <c r="H36" s="20"/>
      <c r="I36" s="20"/>
      <c r="J36" s="20"/>
      <c r="K36" s="20"/>
      <c r="L36" s="20"/>
      <c r="M36" s="20"/>
      <c r="N36" s="29"/>
      <c r="O36" s="218"/>
      <c r="P36" s="219"/>
      <c r="Q36" s="219"/>
      <c r="R36" s="219"/>
      <c r="S36" s="219"/>
      <c r="T36" s="219"/>
      <c r="U36" s="219"/>
      <c r="V36" s="220"/>
      <c r="W36" s="31"/>
      <c r="X36" s="20"/>
      <c r="Y36" s="20"/>
      <c r="Z36" s="20"/>
    </row>
    <row r="37" spans="1:26" ht="17.25" customHeight="1">
      <c r="A37" s="20"/>
      <c r="B37" s="20"/>
      <c r="C37" s="20"/>
      <c r="D37" s="20"/>
      <c r="E37" s="20"/>
      <c r="F37" s="20"/>
      <c r="G37" s="20"/>
      <c r="H37" s="20"/>
      <c r="I37" s="20"/>
      <c r="J37" s="20"/>
      <c r="K37" s="20"/>
      <c r="L37" s="20"/>
      <c r="M37" s="20"/>
      <c r="N37" s="29"/>
      <c r="O37" s="218"/>
      <c r="P37" s="219"/>
      <c r="Q37" s="219"/>
      <c r="R37" s="219"/>
      <c r="S37" s="219"/>
      <c r="T37" s="219"/>
      <c r="U37" s="219"/>
      <c r="V37" s="220"/>
      <c r="W37" s="31"/>
      <c r="X37" s="20"/>
      <c r="Y37" s="20"/>
      <c r="Z37" s="20"/>
    </row>
    <row r="38" spans="1:26" ht="17.25" customHeight="1">
      <c r="A38" s="20"/>
      <c r="B38" s="20"/>
      <c r="C38" s="20"/>
      <c r="D38" s="20"/>
      <c r="E38" s="20"/>
      <c r="F38" s="20"/>
      <c r="G38" s="20"/>
      <c r="H38" s="20"/>
      <c r="I38" s="20"/>
      <c r="J38" s="20"/>
      <c r="K38" s="20"/>
      <c r="L38" s="20"/>
      <c r="M38" s="20"/>
      <c r="N38" s="29"/>
      <c r="O38" s="218"/>
      <c r="P38" s="219"/>
      <c r="Q38" s="219"/>
      <c r="R38" s="219"/>
      <c r="S38" s="219"/>
      <c r="T38" s="219"/>
      <c r="U38" s="219"/>
      <c r="V38" s="220"/>
      <c r="W38" s="31"/>
      <c r="X38" s="20"/>
      <c r="Y38" s="20"/>
      <c r="Z38" s="20"/>
    </row>
    <row r="39" spans="1:26" ht="17.25" customHeight="1">
      <c r="A39" s="20"/>
      <c r="B39" s="20"/>
      <c r="C39" s="20"/>
      <c r="D39" s="20"/>
      <c r="E39" s="20"/>
      <c r="F39" s="20"/>
      <c r="G39" s="20"/>
      <c r="H39" s="20"/>
      <c r="I39" s="20"/>
      <c r="J39" s="20"/>
      <c r="K39" s="20"/>
      <c r="L39" s="20"/>
      <c r="M39" s="20"/>
      <c r="N39" s="29"/>
      <c r="O39" s="218"/>
      <c r="P39" s="219"/>
      <c r="Q39" s="219"/>
      <c r="R39" s="219"/>
      <c r="S39" s="219"/>
      <c r="T39" s="219"/>
      <c r="U39" s="219"/>
      <c r="V39" s="220"/>
      <c r="W39" s="31"/>
      <c r="X39" s="20"/>
      <c r="Y39" s="20"/>
      <c r="Z39" s="20"/>
    </row>
    <row r="40" spans="1:26" ht="17.25" customHeight="1">
      <c r="A40" s="20"/>
      <c r="B40" s="20"/>
      <c r="C40" s="20"/>
      <c r="D40" s="20"/>
      <c r="E40" s="20"/>
      <c r="F40" s="20"/>
      <c r="G40" s="20"/>
      <c r="H40" s="20"/>
      <c r="I40" s="20"/>
      <c r="J40" s="20"/>
      <c r="K40" s="20"/>
      <c r="L40" s="20"/>
      <c r="M40" s="20"/>
      <c r="N40" s="29"/>
      <c r="O40" s="218"/>
      <c r="P40" s="219"/>
      <c r="Q40" s="219"/>
      <c r="R40" s="219"/>
      <c r="S40" s="219"/>
      <c r="T40" s="219"/>
      <c r="U40" s="219"/>
      <c r="V40" s="220"/>
      <c r="W40" s="31"/>
      <c r="X40" s="20"/>
      <c r="Y40" s="20"/>
      <c r="Z40" s="20"/>
    </row>
    <row r="41" spans="1:26" ht="17.25" customHeight="1">
      <c r="A41" s="20"/>
      <c r="B41" s="20"/>
      <c r="C41" s="20"/>
      <c r="D41" s="20"/>
      <c r="E41" s="20"/>
      <c r="F41" s="20"/>
      <c r="G41" s="20"/>
      <c r="H41" s="20"/>
      <c r="I41" s="20"/>
      <c r="J41" s="20"/>
      <c r="K41" s="20"/>
      <c r="L41" s="20"/>
      <c r="M41" s="20"/>
      <c r="N41" s="29"/>
      <c r="O41" s="218"/>
      <c r="P41" s="219"/>
      <c r="Q41" s="219"/>
      <c r="R41" s="219"/>
      <c r="S41" s="219"/>
      <c r="T41" s="219"/>
      <c r="U41" s="219"/>
      <c r="V41" s="220"/>
      <c r="W41" s="31"/>
      <c r="X41" s="20"/>
      <c r="Y41" s="20"/>
      <c r="Z41" s="20"/>
    </row>
    <row r="42" spans="1:26" ht="17.25" customHeight="1">
      <c r="A42" s="20"/>
      <c r="B42" s="20"/>
      <c r="C42" s="20"/>
      <c r="D42" s="20"/>
      <c r="E42" s="20"/>
      <c r="F42" s="20"/>
      <c r="G42" s="20"/>
      <c r="H42" s="20"/>
      <c r="I42" s="20"/>
      <c r="J42" s="20"/>
      <c r="K42" s="20"/>
      <c r="L42" s="20"/>
      <c r="M42" s="20"/>
      <c r="N42" s="29"/>
      <c r="O42" s="218"/>
      <c r="P42" s="219"/>
      <c r="Q42" s="219"/>
      <c r="R42" s="219"/>
      <c r="S42" s="219"/>
      <c r="T42" s="219"/>
      <c r="U42" s="219"/>
      <c r="V42" s="220"/>
      <c r="W42" s="31"/>
      <c r="X42" s="20"/>
      <c r="Y42" s="20"/>
      <c r="Z42" s="20"/>
    </row>
    <row r="43" spans="1:26" ht="17.25" customHeight="1">
      <c r="A43" s="20"/>
      <c r="B43" s="20"/>
      <c r="C43" s="20"/>
      <c r="D43" s="20"/>
      <c r="E43" s="20"/>
      <c r="F43" s="20"/>
      <c r="G43" s="20"/>
      <c r="H43" s="20"/>
      <c r="I43" s="20"/>
      <c r="J43" s="20"/>
      <c r="K43" s="20"/>
      <c r="L43" s="20"/>
      <c r="M43" s="20"/>
      <c r="N43" s="29"/>
      <c r="O43" s="218"/>
      <c r="P43" s="219"/>
      <c r="Q43" s="219"/>
      <c r="R43" s="219"/>
      <c r="S43" s="219"/>
      <c r="T43" s="219"/>
      <c r="U43" s="219"/>
      <c r="V43" s="220"/>
      <c r="W43" s="31"/>
      <c r="X43" s="20"/>
      <c r="Y43" s="20"/>
      <c r="Z43" s="20"/>
    </row>
    <row r="44" spans="1:26" ht="17.25" customHeight="1">
      <c r="A44" s="20"/>
      <c r="B44" s="20"/>
      <c r="C44" s="20"/>
      <c r="D44" s="20"/>
      <c r="E44" s="20"/>
      <c r="F44" s="20"/>
      <c r="G44" s="20"/>
      <c r="H44" s="20"/>
      <c r="I44" s="20"/>
      <c r="J44" s="20"/>
      <c r="K44" s="20"/>
      <c r="L44" s="20"/>
      <c r="M44" s="20"/>
      <c r="N44" s="29"/>
      <c r="O44" s="218"/>
      <c r="P44" s="219"/>
      <c r="Q44" s="219"/>
      <c r="R44" s="219"/>
      <c r="S44" s="219"/>
      <c r="T44" s="219"/>
      <c r="U44" s="219"/>
      <c r="V44" s="220"/>
      <c r="W44" s="31"/>
      <c r="X44" s="20"/>
      <c r="Y44" s="20"/>
      <c r="Z44" s="20"/>
    </row>
    <row r="45" spans="1:26" ht="17.25" customHeight="1">
      <c r="A45" s="20"/>
      <c r="B45" s="20"/>
      <c r="C45" s="20"/>
      <c r="D45" s="20"/>
      <c r="E45" s="20"/>
      <c r="F45" s="20"/>
      <c r="G45" s="20"/>
      <c r="H45" s="20"/>
      <c r="I45" s="20"/>
      <c r="J45" s="20"/>
      <c r="K45" s="20"/>
      <c r="L45" s="20"/>
      <c r="M45" s="20"/>
      <c r="N45" s="29"/>
      <c r="O45" s="218"/>
      <c r="P45" s="219"/>
      <c r="Q45" s="219"/>
      <c r="R45" s="219"/>
      <c r="S45" s="219"/>
      <c r="T45" s="219"/>
      <c r="U45" s="219"/>
      <c r="V45" s="220"/>
      <c r="W45" s="31"/>
      <c r="X45" s="20"/>
      <c r="Y45" s="20"/>
      <c r="Z45" s="20"/>
    </row>
    <row r="46" spans="1:26" ht="17.25" customHeight="1">
      <c r="A46" s="20"/>
      <c r="B46" s="20"/>
      <c r="C46" s="20"/>
      <c r="D46" s="20"/>
      <c r="E46" s="20"/>
      <c r="F46" s="20"/>
      <c r="G46" s="20"/>
      <c r="H46" s="20"/>
      <c r="I46" s="20"/>
      <c r="J46" s="20"/>
      <c r="K46" s="20"/>
      <c r="L46" s="20"/>
      <c r="M46" s="20"/>
      <c r="N46" s="29"/>
      <c r="O46" s="218"/>
      <c r="P46" s="219"/>
      <c r="Q46" s="219"/>
      <c r="R46" s="219"/>
      <c r="S46" s="219"/>
      <c r="T46" s="219"/>
      <c r="U46" s="219"/>
      <c r="V46" s="220"/>
      <c r="W46" s="31"/>
      <c r="X46" s="20"/>
      <c r="Y46" s="20"/>
      <c r="Z46" s="20"/>
    </row>
    <row r="47" spans="1:26" ht="17.25" customHeight="1">
      <c r="A47" s="20"/>
      <c r="B47" s="20"/>
      <c r="C47" s="20"/>
      <c r="D47" s="20"/>
      <c r="E47" s="20"/>
      <c r="F47" s="20"/>
      <c r="G47" s="20"/>
      <c r="H47" s="20"/>
      <c r="I47" s="20"/>
      <c r="J47" s="20"/>
      <c r="K47" s="20"/>
      <c r="L47" s="20"/>
      <c r="M47" s="20"/>
      <c r="N47" s="29"/>
      <c r="O47" s="218"/>
      <c r="P47" s="219"/>
      <c r="Q47" s="219"/>
      <c r="R47" s="219"/>
      <c r="S47" s="219"/>
      <c r="T47" s="219"/>
      <c r="U47" s="219"/>
      <c r="V47" s="220"/>
      <c r="W47" s="31"/>
      <c r="X47" s="20"/>
      <c r="Y47" s="20"/>
      <c r="Z47" s="20"/>
    </row>
    <row r="48" spans="1:26" ht="17.25" customHeight="1">
      <c r="A48" s="20"/>
      <c r="B48" s="20"/>
      <c r="C48" s="20"/>
      <c r="D48" s="20"/>
      <c r="E48" s="20"/>
      <c r="F48" s="20"/>
      <c r="G48" s="20"/>
      <c r="H48" s="20"/>
      <c r="I48" s="20"/>
      <c r="J48" s="20"/>
      <c r="K48" s="20"/>
      <c r="L48" s="20"/>
      <c r="M48" s="20"/>
      <c r="N48" s="29"/>
      <c r="O48" s="218"/>
      <c r="P48" s="219"/>
      <c r="Q48" s="219"/>
      <c r="R48" s="219"/>
      <c r="S48" s="219"/>
      <c r="T48" s="219"/>
      <c r="U48" s="219"/>
      <c r="V48" s="220"/>
      <c r="W48" s="31"/>
      <c r="X48" s="20"/>
      <c r="Y48" s="20"/>
      <c r="Z48" s="20"/>
    </row>
    <row r="49" spans="1:26" ht="17.25" customHeight="1">
      <c r="A49" s="20"/>
      <c r="B49" s="20"/>
      <c r="C49" s="20"/>
      <c r="D49" s="20"/>
      <c r="E49" s="20"/>
      <c r="F49" s="20"/>
      <c r="G49" s="20"/>
      <c r="H49" s="20"/>
      <c r="I49" s="20"/>
      <c r="J49" s="20"/>
      <c r="K49" s="20"/>
      <c r="L49" s="20"/>
      <c r="M49" s="20"/>
      <c r="N49" s="29"/>
      <c r="O49" s="218"/>
      <c r="P49" s="219"/>
      <c r="Q49" s="219"/>
      <c r="R49" s="219"/>
      <c r="S49" s="219"/>
      <c r="T49" s="219"/>
      <c r="U49" s="219"/>
      <c r="V49" s="220"/>
      <c r="W49" s="31"/>
      <c r="X49" s="20"/>
      <c r="Y49" s="20"/>
      <c r="Z49" s="20"/>
    </row>
    <row r="50" spans="1:26" ht="17.25" customHeight="1">
      <c r="A50" s="20"/>
      <c r="B50" s="20"/>
      <c r="C50" s="20"/>
      <c r="D50" s="20"/>
      <c r="E50" s="20"/>
      <c r="F50" s="20"/>
      <c r="G50" s="20"/>
      <c r="H50" s="20"/>
      <c r="I50" s="20"/>
      <c r="J50" s="20"/>
      <c r="K50" s="20"/>
      <c r="L50" s="20"/>
      <c r="M50" s="20"/>
      <c r="N50" s="29"/>
      <c r="O50" s="218"/>
      <c r="P50" s="219"/>
      <c r="Q50" s="219"/>
      <c r="R50" s="219"/>
      <c r="S50" s="219"/>
      <c r="T50" s="219"/>
      <c r="U50" s="219"/>
      <c r="V50" s="220"/>
      <c r="W50" s="31"/>
      <c r="X50" s="20"/>
      <c r="Y50" s="20"/>
      <c r="Z50" s="20"/>
    </row>
    <row r="51" spans="1:26" ht="17.25" customHeight="1">
      <c r="A51" s="20"/>
      <c r="B51" s="20"/>
      <c r="C51" s="20"/>
      <c r="D51" s="20"/>
      <c r="E51" s="20"/>
      <c r="F51" s="20"/>
      <c r="G51" s="20"/>
      <c r="H51" s="20"/>
      <c r="I51" s="20"/>
      <c r="J51" s="20"/>
      <c r="K51" s="20"/>
      <c r="L51" s="20"/>
      <c r="M51" s="20"/>
      <c r="N51" s="29"/>
      <c r="O51" s="218"/>
      <c r="P51" s="219"/>
      <c r="Q51" s="219"/>
      <c r="R51" s="219"/>
      <c r="S51" s="219"/>
      <c r="T51" s="219"/>
      <c r="U51" s="219"/>
      <c r="V51" s="220"/>
      <c r="W51" s="31"/>
      <c r="X51" s="20"/>
      <c r="Y51" s="20"/>
      <c r="Z51" s="20"/>
    </row>
    <row r="52" spans="1:26" ht="17.25" customHeight="1">
      <c r="A52" s="20"/>
      <c r="B52" s="20"/>
      <c r="C52" s="20"/>
      <c r="D52" s="20"/>
      <c r="E52" s="20"/>
      <c r="F52" s="20"/>
      <c r="G52" s="20"/>
      <c r="H52" s="20"/>
      <c r="I52" s="20"/>
      <c r="J52" s="20"/>
      <c r="K52" s="20"/>
      <c r="L52" s="20"/>
      <c r="M52" s="20"/>
      <c r="N52" s="29"/>
      <c r="O52" s="218"/>
      <c r="P52" s="219"/>
      <c r="Q52" s="219"/>
      <c r="R52" s="219"/>
      <c r="S52" s="219"/>
      <c r="T52" s="219"/>
      <c r="U52" s="219"/>
      <c r="V52" s="220"/>
      <c r="W52" s="31"/>
      <c r="X52" s="20"/>
      <c r="Y52" s="20"/>
      <c r="Z52" s="20"/>
    </row>
    <row r="53" spans="1:26" ht="17.25" customHeight="1">
      <c r="A53" s="20"/>
      <c r="B53" s="20"/>
      <c r="C53" s="20"/>
      <c r="D53" s="20"/>
      <c r="E53" s="20"/>
      <c r="F53" s="20"/>
      <c r="G53" s="20"/>
      <c r="H53" s="20"/>
      <c r="I53" s="20"/>
      <c r="J53" s="20"/>
      <c r="K53" s="20"/>
      <c r="L53" s="20"/>
      <c r="M53" s="20"/>
      <c r="N53" s="29"/>
      <c r="O53" s="218"/>
      <c r="P53" s="219"/>
      <c r="Q53" s="219"/>
      <c r="R53" s="219"/>
      <c r="S53" s="219"/>
      <c r="T53" s="219"/>
      <c r="U53" s="219"/>
      <c r="V53" s="220"/>
      <c r="W53" s="31"/>
      <c r="X53" s="20"/>
      <c r="Y53" s="20"/>
      <c r="Z53" s="20"/>
    </row>
    <row r="54" spans="1:26" ht="17.25" customHeight="1">
      <c r="A54" s="20"/>
      <c r="B54" s="20"/>
      <c r="C54" s="20"/>
      <c r="D54" s="20"/>
      <c r="E54" s="20"/>
      <c r="F54" s="20"/>
      <c r="G54" s="20"/>
      <c r="H54" s="20"/>
      <c r="I54" s="20"/>
      <c r="J54" s="20"/>
      <c r="K54" s="20"/>
      <c r="L54" s="20"/>
      <c r="M54" s="20"/>
      <c r="N54" s="29"/>
      <c r="O54" s="218"/>
      <c r="P54" s="219"/>
      <c r="Q54" s="219"/>
      <c r="R54" s="219"/>
      <c r="S54" s="219"/>
      <c r="T54" s="219"/>
      <c r="U54" s="219"/>
      <c r="V54" s="220"/>
      <c r="W54" s="31"/>
      <c r="X54" s="20"/>
      <c r="Y54" s="20"/>
      <c r="Z54" s="20"/>
    </row>
    <row r="55" spans="1:26" ht="17.25" customHeight="1">
      <c r="A55" s="20"/>
      <c r="B55" s="20"/>
      <c r="C55" s="20"/>
      <c r="D55" s="20"/>
      <c r="E55" s="20"/>
      <c r="F55" s="20"/>
      <c r="G55" s="20"/>
      <c r="H55" s="20"/>
      <c r="I55" s="20"/>
      <c r="J55" s="20"/>
      <c r="K55" s="20"/>
      <c r="L55" s="20"/>
      <c r="M55" s="20"/>
      <c r="N55" s="29"/>
      <c r="O55" s="218"/>
      <c r="P55" s="219"/>
      <c r="Q55" s="219"/>
      <c r="R55" s="219"/>
      <c r="S55" s="219"/>
      <c r="T55" s="219"/>
      <c r="U55" s="219"/>
      <c r="V55" s="220"/>
      <c r="W55" s="31"/>
      <c r="X55" s="20"/>
      <c r="Y55" s="20"/>
      <c r="Z55" s="20"/>
    </row>
    <row r="56" spans="1:26" ht="17.25" customHeight="1">
      <c r="A56" s="20"/>
      <c r="B56" s="20"/>
      <c r="C56" s="20"/>
      <c r="D56" s="20"/>
      <c r="E56" s="20"/>
      <c r="F56" s="20"/>
      <c r="G56" s="20"/>
      <c r="H56" s="20"/>
      <c r="I56" s="20"/>
      <c r="J56" s="20"/>
      <c r="K56" s="20"/>
      <c r="L56" s="20"/>
      <c r="M56" s="20"/>
      <c r="N56" s="29"/>
      <c r="O56" s="218"/>
      <c r="P56" s="219"/>
      <c r="Q56" s="219"/>
      <c r="R56" s="219"/>
      <c r="S56" s="219"/>
      <c r="T56" s="219"/>
      <c r="U56" s="219"/>
      <c r="V56" s="220"/>
      <c r="W56" s="31"/>
      <c r="X56" s="20"/>
      <c r="Y56" s="20"/>
      <c r="Z56" s="20"/>
    </row>
    <row r="57" spans="1:26" ht="17.25" customHeight="1">
      <c r="A57" s="20"/>
      <c r="B57" s="20"/>
      <c r="C57" s="20"/>
      <c r="D57" s="20"/>
      <c r="E57" s="20"/>
      <c r="F57" s="20"/>
      <c r="G57" s="20"/>
      <c r="H57" s="20"/>
      <c r="I57" s="20"/>
      <c r="J57" s="20"/>
      <c r="K57" s="20"/>
      <c r="L57" s="20"/>
      <c r="M57" s="20"/>
      <c r="N57" s="29"/>
      <c r="O57" s="218"/>
      <c r="P57" s="219"/>
      <c r="Q57" s="219"/>
      <c r="R57" s="219"/>
      <c r="S57" s="219"/>
      <c r="T57" s="219"/>
      <c r="U57" s="219"/>
      <c r="V57" s="220"/>
      <c r="W57" s="31"/>
      <c r="X57" s="20"/>
      <c r="Y57" s="20"/>
      <c r="Z57" s="20"/>
    </row>
    <row r="58" spans="1:26" ht="17.25" customHeight="1">
      <c r="A58" s="20"/>
      <c r="B58" s="20"/>
      <c r="C58" s="20"/>
      <c r="D58" s="20"/>
      <c r="E58" s="20"/>
      <c r="F58" s="20"/>
      <c r="G58" s="20"/>
      <c r="H58" s="20"/>
      <c r="I58" s="20"/>
      <c r="J58" s="20"/>
      <c r="K58" s="20"/>
      <c r="L58" s="20"/>
      <c r="M58" s="20"/>
      <c r="N58" s="29"/>
      <c r="O58" s="218"/>
      <c r="P58" s="219"/>
      <c r="Q58" s="219"/>
      <c r="R58" s="219"/>
      <c r="S58" s="219"/>
      <c r="T58" s="219"/>
      <c r="U58" s="219"/>
      <c r="V58" s="220"/>
      <c r="W58" s="31"/>
      <c r="X58" s="20"/>
      <c r="Y58" s="20"/>
      <c r="Z58" s="20"/>
    </row>
    <row r="59" spans="1:26" ht="17.25" customHeight="1">
      <c r="A59" s="20"/>
      <c r="B59" s="20"/>
      <c r="C59" s="20"/>
      <c r="D59" s="20"/>
      <c r="E59" s="20"/>
      <c r="F59" s="20"/>
      <c r="G59" s="20"/>
      <c r="H59" s="20"/>
      <c r="I59" s="20"/>
      <c r="J59" s="20"/>
      <c r="K59" s="20"/>
      <c r="L59" s="20"/>
      <c r="M59" s="20"/>
      <c r="N59" s="29"/>
      <c r="O59" s="218"/>
      <c r="P59" s="219"/>
      <c r="Q59" s="219"/>
      <c r="R59" s="219"/>
      <c r="S59" s="219"/>
      <c r="T59" s="219"/>
      <c r="U59" s="219"/>
      <c r="V59" s="220"/>
      <c r="W59" s="31"/>
      <c r="X59" s="20"/>
      <c r="Y59" s="20"/>
      <c r="Z59" s="20"/>
    </row>
    <row r="60" spans="1:26" ht="17.25" customHeight="1">
      <c r="A60" s="20"/>
      <c r="B60" s="20"/>
      <c r="C60" s="20"/>
      <c r="D60" s="20"/>
      <c r="E60" s="20"/>
      <c r="F60" s="20"/>
      <c r="G60" s="20"/>
      <c r="H60" s="20"/>
      <c r="I60" s="20"/>
      <c r="J60" s="20"/>
      <c r="K60" s="20"/>
      <c r="L60" s="20"/>
      <c r="M60" s="20"/>
      <c r="N60" s="29"/>
      <c r="O60" s="218"/>
      <c r="P60" s="219"/>
      <c r="Q60" s="219"/>
      <c r="R60" s="219"/>
      <c r="S60" s="219"/>
      <c r="T60" s="219"/>
      <c r="U60" s="219"/>
      <c r="V60" s="220"/>
      <c r="W60" s="31"/>
      <c r="X60" s="20"/>
      <c r="Y60" s="20"/>
      <c r="Z60" s="20"/>
    </row>
    <row r="61" spans="1:26" ht="17.25" customHeight="1">
      <c r="A61" s="20"/>
      <c r="B61" s="20"/>
      <c r="C61" s="20"/>
      <c r="D61" s="20"/>
      <c r="E61" s="20"/>
      <c r="F61" s="20"/>
      <c r="G61" s="20"/>
      <c r="H61" s="20"/>
      <c r="I61" s="20"/>
      <c r="J61" s="20"/>
      <c r="K61" s="20"/>
      <c r="L61" s="20"/>
      <c r="M61" s="20"/>
      <c r="N61" s="29"/>
      <c r="O61" s="218"/>
      <c r="P61" s="219"/>
      <c r="Q61" s="219"/>
      <c r="R61" s="219"/>
      <c r="S61" s="219"/>
      <c r="T61" s="219"/>
      <c r="U61" s="219"/>
      <c r="V61" s="220"/>
      <c r="W61" s="31"/>
      <c r="X61" s="20"/>
      <c r="Y61" s="20"/>
      <c r="Z61" s="20"/>
    </row>
    <row r="62" spans="1:26" ht="17.25" customHeight="1">
      <c r="A62" s="20"/>
      <c r="B62" s="20"/>
      <c r="C62" s="20"/>
      <c r="D62" s="20"/>
      <c r="E62" s="20"/>
      <c r="F62" s="20"/>
      <c r="G62" s="20"/>
      <c r="H62" s="20"/>
      <c r="I62" s="20"/>
      <c r="J62" s="20"/>
      <c r="K62" s="20"/>
      <c r="L62" s="20"/>
      <c r="M62" s="20"/>
      <c r="N62" s="29"/>
      <c r="O62" s="218"/>
      <c r="P62" s="219"/>
      <c r="Q62" s="219"/>
      <c r="R62" s="219"/>
      <c r="S62" s="219"/>
      <c r="T62" s="219"/>
      <c r="U62" s="219"/>
      <c r="V62" s="220"/>
      <c r="W62" s="31"/>
      <c r="X62" s="20"/>
      <c r="Y62" s="20"/>
      <c r="Z62" s="20"/>
    </row>
    <row r="63" spans="1:26" ht="17.25" customHeight="1">
      <c r="A63" s="20"/>
      <c r="B63" s="20"/>
      <c r="C63" s="20"/>
      <c r="D63" s="20"/>
      <c r="E63" s="20"/>
      <c r="F63" s="20"/>
      <c r="G63" s="20"/>
      <c r="H63" s="20"/>
      <c r="I63" s="20"/>
      <c r="J63" s="20"/>
      <c r="K63" s="20"/>
      <c r="L63" s="20"/>
      <c r="M63" s="20"/>
      <c r="N63" s="29"/>
      <c r="O63" s="218"/>
      <c r="P63" s="219"/>
      <c r="Q63" s="219"/>
      <c r="R63" s="219"/>
      <c r="S63" s="219"/>
      <c r="T63" s="219"/>
      <c r="U63" s="219"/>
      <c r="V63" s="220"/>
      <c r="W63" s="31"/>
      <c r="X63" s="20"/>
      <c r="Y63" s="20"/>
      <c r="Z63" s="20"/>
    </row>
    <row r="64" spans="1:26" ht="17.25" customHeight="1">
      <c r="A64" s="20"/>
      <c r="B64" s="20"/>
      <c r="C64" s="20"/>
      <c r="D64" s="20"/>
      <c r="E64" s="20"/>
      <c r="F64" s="20"/>
      <c r="G64" s="20"/>
      <c r="H64" s="20"/>
      <c r="I64" s="20"/>
      <c r="J64" s="20"/>
      <c r="K64" s="20"/>
      <c r="L64" s="20"/>
      <c r="M64" s="20"/>
      <c r="N64" s="29"/>
      <c r="O64" s="218"/>
      <c r="P64" s="219"/>
      <c r="Q64" s="219"/>
      <c r="R64" s="219"/>
      <c r="S64" s="219"/>
      <c r="T64" s="219"/>
      <c r="U64" s="219"/>
      <c r="V64" s="220"/>
      <c r="W64" s="31"/>
      <c r="X64" s="20"/>
      <c r="Y64" s="20"/>
      <c r="Z64" s="20"/>
    </row>
    <row r="65" spans="1:26" ht="17.25" customHeight="1">
      <c r="A65" s="20"/>
      <c r="B65" s="20"/>
      <c r="C65" s="20"/>
      <c r="D65" s="20"/>
      <c r="E65" s="20"/>
      <c r="F65" s="20"/>
      <c r="G65" s="20"/>
      <c r="H65" s="20"/>
      <c r="I65" s="20"/>
      <c r="J65" s="20"/>
      <c r="K65" s="20"/>
      <c r="L65" s="20"/>
      <c r="M65" s="20"/>
      <c r="N65" s="29"/>
      <c r="O65" s="218"/>
      <c r="P65" s="219"/>
      <c r="Q65" s="219"/>
      <c r="R65" s="219"/>
      <c r="S65" s="219"/>
      <c r="T65" s="219"/>
      <c r="U65" s="219"/>
      <c r="V65" s="220"/>
      <c r="W65" s="31"/>
      <c r="X65" s="20"/>
      <c r="Y65" s="20"/>
      <c r="Z65" s="20"/>
    </row>
    <row r="66" spans="1:26" ht="17.25" customHeight="1">
      <c r="A66" s="20"/>
      <c r="B66" s="20"/>
      <c r="C66" s="20"/>
      <c r="D66" s="20"/>
      <c r="E66" s="20"/>
      <c r="F66" s="20"/>
      <c r="G66" s="20"/>
      <c r="H66" s="20"/>
      <c r="I66" s="20"/>
      <c r="J66" s="20"/>
      <c r="K66" s="20"/>
      <c r="L66" s="20"/>
      <c r="M66" s="20"/>
      <c r="N66" s="29"/>
      <c r="O66" s="218"/>
      <c r="P66" s="219"/>
      <c r="Q66" s="219"/>
      <c r="R66" s="219"/>
      <c r="S66" s="219"/>
      <c r="T66" s="219"/>
      <c r="U66" s="219"/>
      <c r="V66" s="220"/>
      <c r="W66" s="31"/>
      <c r="X66" s="20"/>
      <c r="Y66" s="20"/>
      <c r="Z66" s="20"/>
    </row>
    <row r="67" spans="1:26" ht="17.25" customHeight="1">
      <c r="A67" s="20"/>
      <c r="B67" s="20"/>
      <c r="C67" s="20"/>
      <c r="D67" s="20"/>
      <c r="E67" s="20"/>
      <c r="F67" s="20"/>
      <c r="G67" s="20"/>
      <c r="H67" s="20"/>
      <c r="I67" s="20"/>
      <c r="J67" s="20"/>
      <c r="K67" s="20"/>
      <c r="L67" s="20"/>
      <c r="M67" s="20"/>
      <c r="N67" s="29"/>
      <c r="O67" s="218"/>
      <c r="P67" s="219"/>
      <c r="Q67" s="219"/>
      <c r="R67" s="219"/>
      <c r="S67" s="219"/>
      <c r="T67" s="219"/>
      <c r="U67" s="219"/>
      <c r="V67" s="220"/>
      <c r="W67" s="31"/>
      <c r="X67" s="20"/>
      <c r="Y67" s="20"/>
      <c r="Z67" s="20"/>
    </row>
    <row r="68" spans="1:26" ht="17.25" customHeight="1">
      <c r="A68" s="20"/>
      <c r="B68" s="20"/>
      <c r="C68" s="20"/>
      <c r="D68" s="20"/>
      <c r="E68" s="20"/>
      <c r="F68" s="20"/>
      <c r="G68" s="20"/>
      <c r="H68" s="20"/>
      <c r="I68" s="20"/>
      <c r="J68" s="20"/>
      <c r="K68" s="20"/>
      <c r="L68" s="20"/>
      <c r="M68" s="20"/>
      <c r="N68" s="29"/>
      <c r="O68" s="218"/>
      <c r="P68" s="219"/>
      <c r="Q68" s="219"/>
      <c r="R68" s="219"/>
      <c r="S68" s="219"/>
      <c r="T68" s="219"/>
      <c r="U68" s="219"/>
      <c r="V68" s="220"/>
      <c r="W68" s="31"/>
      <c r="X68" s="20"/>
      <c r="Y68" s="20"/>
      <c r="Z68" s="20"/>
    </row>
    <row r="69" spans="1:26" ht="17.25" customHeight="1">
      <c r="A69" s="20"/>
      <c r="B69" s="20"/>
      <c r="C69" s="20"/>
      <c r="D69" s="20"/>
      <c r="E69" s="20"/>
      <c r="F69" s="20"/>
      <c r="G69" s="20"/>
      <c r="H69" s="20"/>
      <c r="I69" s="20"/>
      <c r="J69" s="20"/>
      <c r="K69" s="20"/>
      <c r="L69" s="20"/>
      <c r="M69" s="20"/>
      <c r="N69" s="29"/>
      <c r="O69" s="218"/>
      <c r="P69" s="219"/>
      <c r="Q69" s="219"/>
      <c r="R69" s="219"/>
      <c r="S69" s="219"/>
      <c r="T69" s="219"/>
      <c r="U69" s="219"/>
      <c r="V69" s="220"/>
      <c r="W69" s="31"/>
      <c r="X69" s="20"/>
      <c r="Y69" s="20"/>
      <c r="Z69" s="20"/>
    </row>
    <row r="70" spans="1:26" ht="17.25" customHeight="1">
      <c r="A70" s="20"/>
      <c r="B70" s="20"/>
      <c r="C70" s="20"/>
      <c r="D70" s="20"/>
      <c r="E70" s="20"/>
      <c r="F70" s="20"/>
      <c r="G70" s="20"/>
      <c r="H70" s="20"/>
      <c r="I70" s="20"/>
      <c r="J70" s="20"/>
      <c r="K70" s="20"/>
      <c r="L70" s="20"/>
      <c r="M70" s="20"/>
      <c r="N70" s="29"/>
      <c r="O70" s="221"/>
      <c r="P70" s="222"/>
      <c r="Q70" s="222"/>
      <c r="R70" s="222"/>
      <c r="S70" s="222"/>
      <c r="T70" s="222"/>
      <c r="U70" s="222"/>
      <c r="V70" s="223"/>
      <c r="W70" s="31"/>
      <c r="X70" s="20"/>
      <c r="Y70" s="20"/>
      <c r="Z70" s="20"/>
    </row>
    <row r="71" spans="1:26" ht="17.25" customHeight="1">
      <c r="A71" s="20"/>
      <c r="B71" s="20"/>
      <c r="C71" s="20"/>
      <c r="D71" s="20"/>
      <c r="E71" s="20"/>
      <c r="F71" s="20"/>
      <c r="G71" s="20"/>
      <c r="H71" s="20"/>
      <c r="I71" s="20"/>
      <c r="J71" s="20"/>
      <c r="K71" s="20"/>
      <c r="L71" s="20"/>
      <c r="M71" s="20"/>
      <c r="N71" s="29"/>
      <c r="O71" s="35"/>
      <c r="P71" s="35"/>
      <c r="Q71" s="35"/>
      <c r="R71" s="35"/>
      <c r="S71" s="35"/>
      <c r="T71" s="35"/>
      <c r="U71" s="35"/>
      <c r="V71" s="35"/>
      <c r="W71" s="20"/>
      <c r="X71" s="20"/>
      <c r="Y71" s="20"/>
      <c r="Z71" s="20"/>
    </row>
    <row r="72" spans="1:26" ht="17.25" customHeight="1">
      <c r="A72" s="20"/>
      <c r="B72" s="20"/>
      <c r="C72" s="20"/>
      <c r="D72" s="20"/>
      <c r="E72" s="20"/>
      <c r="F72" s="20"/>
      <c r="G72" s="20"/>
      <c r="H72" s="20"/>
      <c r="I72" s="20"/>
      <c r="J72" s="20"/>
      <c r="K72" s="20"/>
      <c r="L72" s="20"/>
      <c r="M72" s="20"/>
      <c r="N72" s="29"/>
      <c r="O72" s="29"/>
      <c r="P72" s="29"/>
      <c r="Q72" s="29"/>
      <c r="R72" s="29"/>
      <c r="S72" s="29"/>
      <c r="T72" s="29"/>
      <c r="U72" s="29"/>
      <c r="V72" s="29"/>
      <c r="W72" s="20"/>
      <c r="X72" s="20"/>
      <c r="Y72" s="20"/>
      <c r="Z72" s="20"/>
    </row>
    <row r="73" spans="1:26" ht="17.25" customHeight="1">
      <c r="A73" s="20"/>
      <c r="B73" s="20"/>
      <c r="C73" s="20"/>
      <c r="D73" s="20"/>
      <c r="E73" s="20"/>
      <c r="F73" s="20"/>
      <c r="G73" s="20"/>
      <c r="H73" s="20"/>
      <c r="I73" s="20"/>
      <c r="J73" s="20"/>
      <c r="K73" s="20"/>
      <c r="L73" s="20"/>
      <c r="M73" s="20"/>
      <c r="N73" s="29"/>
      <c r="O73" s="29"/>
      <c r="P73" s="29"/>
      <c r="Q73" s="29"/>
      <c r="R73" s="29"/>
      <c r="S73" s="29"/>
      <c r="T73" s="29"/>
      <c r="U73" s="29"/>
      <c r="V73" s="29"/>
      <c r="W73" s="20"/>
      <c r="X73" s="20"/>
      <c r="Y73" s="20"/>
      <c r="Z73" s="20"/>
    </row>
    <row r="74" spans="1:26" ht="17.25" customHeight="1">
      <c r="A74" s="20"/>
      <c r="B74" s="20"/>
      <c r="C74" s="20"/>
      <c r="D74" s="20"/>
      <c r="E74" s="20"/>
      <c r="F74" s="20"/>
      <c r="G74" s="20"/>
      <c r="H74" s="20"/>
      <c r="I74" s="20"/>
      <c r="J74" s="20"/>
      <c r="K74" s="20"/>
      <c r="L74" s="20"/>
      <c r="M74" s="20"/>
      <c r="N74" s="29"/>
      <c r="O74" s="29"/>
      <c r="P74" s="29"/>
      <c r="Q74" s="29"/>
      <c r="R74" s="29"/>
      <c r="S74" s="29"/>
      <c r="T74" s="29"/>
      <c r="U74" s="29"/>
      <c r="V74" s="29"/>
      <c r="W74" s="20"/>
      <c r="X74" s="20"/>
      <c r="Y74" s="20"/>
      <c r="Z74" s="20"/>
    </row>
    <row r="75" spans="1:26" ht="17.25" customHeight="1">
      <c r="A75" s="20"/>
      <c r="B75" s="20"/>
      <c r="C75" s="20"/>
      <c r="D75" s="20"/>
      <c r="E75" s="20"/>
      <c r="F75" s="20"/>
      <c r="G75" s="20"/>
      <c r="H75" s="20"/>
      <c r="I75" s="20"/>
      <c r="J75" s="20"/>
      <c r="K75" s="20"/>
      <c r="L75" s="20"/>
      <c r="M75" s="20"/>
      <c r="N75" s="29"/>
      <c r="O75" s="29"/>
      <c r="P75" s="29"/>
      <c r="Q75" s="29"/>
      <c r="R75" s="29"/>
      <c r="S75" s="29"/>
      <c r="T75" s="29"/>
      <c r="U75" s="29"/>
      <c r="V75" s="29"/>
      <c r="W75" s="20"/>
      <c r="X75" s="20"/>
      <c r="Y75" s="20"/>
      <c r="Z75" s="20"/>
    </row>
    <row r="76" spans="1:26" ht="17.25" customHeight="1">
      <c r="A76" s="20"/>
      <c r="B76" s="20"/>
      <c r="C76" s="20"/>
      <c r="D76" s="20"/>
      <c r="E76" s="20"/>
      <c r="F76" s="20"/>
      <c r="G76" s="20"/>
      <c r="H76" s="20"/>
      <c r="I76" s="20"/>
      <c r="J76" s="20"/>
      <c r="K76" s="20"/>
      <c r="L76" s="20"/>
      <c r="M76" s="20"/>
      <c r="N76" s="29"/>
      <c r="O76" s="29"/>
      <c r="P76" s="29"/>
      <c r="Q76" s="29"/>
      <c r="R76" s="29"/>
      <c r="S76" s="29"/>
      <c r="T76" s="29"/>
      <c r="U76" s="29"/>
      <c r="V76" s="29"/>
      <c r="W76" s="20"/>
      <c r="X76" s="20"/>
      <c r="Y76" s="20"/>
      <c r="Z76" s="20"/>
    </row>
    <row r="77" spans="1:26" ht="17.25" customHeight="1">
      <c r="A77" s="20"/>
      <c r="B77" s="20"/>
      <c r="C77" s="20"/>
      <c r="D77" s="20"/>
      <c r="E77" s="20"/>
      <c r="F77" s="20"/>
      <c r="G77" s="20"/>
      <c r="H77" s="20"/>
      <c r="I77" s="20"/>
      <c r="J77" s="20"/>
      <c r="K77" s="20"/>
      <c r="L77" s="20"/>
      <c r="M77" s="20"/>
      <c r="N77" s="29"/>
      <c r="O77" s="29"/>
      <c r="P77" s="29"/>
      <c r="Q77" s="29"/>
      <c r="R77" s="29"/>
      <c r="S77" s="29"/>
      <c r="T77" s="29"/>
      <c r="U77" s="29"/>
      <c r="V77" s="29"/>
      <c r="W77" s="20"/>
      <c r="X77" s="20"/>
      <c r="Y77" s="20"/>
      <c r="Z77" s="20"/>
    </row>
    <row r="78" spans="1:26" ht="17.25" customHeight="1">
      <c r="A78" s="20"/>
      <c r="B78" s="20"/>
      <c r="C78" s="20"/>
      <c r="D78" s="20"/>
      <c r="E78" s="20"/>
      <c r="F78" s="20"/>
      <c r="G78" s="20"/>
      <c r="H78" s="20"/>
      <c r="I78" s="20"/>
      <c r="J78" s="20"/>
      <c r="K78" s="20"/>
      <c r="L78" s="20"/>
      <c r="M78" s="20"/>
      <c r="N78" s="29"/>
      <c r="O78" s="29"/>
      <c r="P78" s="29"/>
      <c r="Q78" s="29"/>
      <c r="R78" s="29"/>
      <c r="S78" s="29"/>
      <c r="T78" s="29"/>
      <c r="U78" s="29"/>
      <c r="V78" s="29"/>
      <c r="W78" s="20"/>
      <c r="X78" s="20"/>
      <c r="Y78" s="20"/>
      <c r="Z78" s="20"/>
    </row>
    <row r="79" spans="1:26" ht="17.25" customHeight="1">
      <c r="A79" s="20"/>
      <c r="B79" s="20"/>
      <c r="C79" s="20"/>
      <c r="D79" s="20"/>
      <c r="E79" s="20"/>
      <c r="F79" s="20"/>
      <c r="G79" s="20"/>
      <c r="H79" s="20"/>
      <c r="I79" s="20"/>
      <c r="J79" s="20"/>
      <c r="K79" s="20"/>
      <c r="L79" s="20"/>
      <c r="M79" s="20"/>
      <c r="N79" s="29"/>
      <c r="O79" s="29"/>
      <c r="P79" s="29"/>
      <c r="Q79" s="29"/>
      <c r="R79" s="29"/>
      <c r="S79" s="29"/>
      <c r="T79" s="29"/>
      <c r="U79" s="29"/>
      <c r="V79" s="29"/>
      <c r="W79" s="20"/>
      <c r="X79" s="20"/>
      <c r="Y79" s="20"/>
      <c r="Z79" s="20"/>
    </row>
    <row r="80" spans="1:26" ht="17.25" customHeight="1">
      <c r="A80" s="20"/>
      <c r="B80" s="20"/>
      <c r="C80" s="20"/>
      <c r="D80" s="20"/>
      <c r="E80" s="20"/>
      <c r="F80" s="20"/>
      <c r="G80" s="20"/>
      <c r="H80" s="20"/>
      <c r="I80" s="20"/>
      <c r="J80" s="20"/>
      <c r="K80" s="20"/>
      <c r="L80" s="20"/>
      <c r="M80" s="20"/>
      <c r="N80" s="29"/>
      <c r="O80" s="29"/>
      <c r="P80" s="29"/>
      <c r="Q80" s="29"/>
      <c r="R80" s="29"/>
      <c r="S80" s="29"/>
      <c r="T80" s="29"/>
      <c r="U80" s="29"/>
      <c r="V80" s="29"/>
      <c r="W80" s="20"/>
      <c r="X80" s="20"/>
      <c r="Y80" s="20"/>
      <c r="Z80" s="20"/>
    </row>
    <row r="81" spans="1:26" ht="17.25" customHeight="1">
      <c r="A81" s="20"/>
      <c r="B81" s="20"/>
      <c r="C81" s="20"/>
      <c r="D81" s="20"/>
      <c r="E81" s="20"/>
      <c r="F81" s="20"/>
      <c r="G81" s="20"/>
      <c r="H81" s="20"/>
      <c r="I81" s="20"/>
      <c r="J81" s="20"/>
      <c r="K81" s="20"/>
      <c r="L81" s="20"/>
      <c r="M81" s="20"/>
      <c r="N81" s="29"/>
      <c r="O81" s="29"/>
      <c r="P81" s="29"/>
      <c r="Q81" s="29"/>
      <c r="R81" s="29"/>
      <c r="S81" s="29"/>
      <c r="T81" s="29"/>
      <c r="U81" s="29"/>
      <c r="V81" s="29"/>
      <c r="W81" s="20"/>
      <c r="X81" s="20"/>
      <c r="Y81" s="20"/>
      <c r="Z81" s="20"/>
    </row>
    <row r="82" spans="1:26" ht="17.25" customHeight="1">
      <c r="A82" s="20"/>
      <c r="B82" s="20"/>
      <c r="C82" s="20"/>
      <c r="D82" s="20"/>
      <c r="E82" s="20"/>
      <c r="F82" s="20"/>
      <c r="G82" s="20"/>
      <c r="H82" s="20"/>
      <c r="I82" s="20"/>
      <c r="J82" s="20"/>
      <c r="K82" s="20"/>
      <c r="L82" s="20"/>
      <c r="M82" s="20"/>
      <c r="N82" s="29"/>
      <c r="O82" s="29"/>
      <c r="P82" s="29"/>
      <c r="Q82" s="29"/>
      <c r="R82" s="29"/>
      <c r="S82" s="29"/>
      <c r="T82" s="29"/>
      <c r="U82" s="29"/>
      <c r="V82" s="29"/>
      <c r="W82" s="20"/>
      <c r="X82" s="20"/>
      <c r="Y82" s="20"/>
      <c r="Z82" s="20"/>
    </row>
    <row r="83" spans="1:26" ht="17.25" customHeight="1">
      <c r="A83" s="20"/>
      <c r="B83" s="20"/>
      <c r="C83" s="20"/>
      <c r="D83" s="20"/>
      <c r="E83" s="20"/>
      <c r="F83" s="20"/>
      <c r="G83" s="20"/>
      <c r="H83" s="20"/>
      <c r="I83" s="20"/>
      <c r="J83" s="20"/>
      <c r="K83" s="20"/>
      <c r="L83" s="20"/>
      <c r="M83" s="20"/>
      <c r="N83" s="29"/>
      <c r="O83" s="29"/>
      <c r="P83" s="29"/>
      <c r="Q83" s="29"/>
      <c r="R83" s="29"/>
      <c r="S83" s="29"/>
      <c r="T83" s="29"/>
      <c r="U83" s="29"/>
      <c r="V83" s="29"/>
      <c r="W83" s="20"/>
      <c r="X83" s="20"/>
      <c r="Y83" s="20"/>
      <c r="Z83" s="20"/>
    </row>
    <row r="84" spans="1:26" ht="17.25" customHeight="1">
      <c r="A84" s="20"/>
      <c r="B84" s="20"/>
      <c r="C84" s="20"/>
      <c r="D84" s="20"/>
      <c r="E84" s="20"/>
      <c r="F84" s="20"/>
      <c r="G84" s="20"/>
      <c r="H84" s="20"/>
      <c r="I84" s="20"/>
      <c r="J84" s="20"/>
      <c r="K84" s="20"/>
      <c r="L84" s="20"/>
      <c r="M84" s="20"/>
      <c r="N84" s="29"/>
      <c r="O84" s="29"/>
      <c r="P84" s="29"/>
      <c r="Q84" s="29"/>
      <c r="R84" s="29"/>
      <c r="S84" s="29"/>
      <c r="T84" s="29"/>
      <c r="U84" s="29"/>
      <c r="V84" s="29"/>
      <c r="W84" s="20"/>
      <c r="X84" s="20"/>
      <c r="Y84" s="20"/>
      <c r="Z84" s="20"/>
    </row>
    <row r="85" spans="1:26" ht="17.25" customHeight="1">
      <c r="A85" s="20"/>
      <c r="B85" s="20"/>
      <c r="C85" s="20"/>
      <c r="D85" s="20"/>
      <c r="E85" s="20"/>
      <c r="F85" s="20"/>
      <c r="G85" s="20"/>
      <c r="H85" s="20"/>
      <c r="I85" s="20"/>
      <c r="J85" s="20"/>
      <c r="K85" s="20"/>
      <c r="L85" s="20"/>
      <c r="M85" s="20"/>
      <c r="N85" s="29"/>
      <c r="O85" s="29"/>
      <c r="P85" s="29"/>
      <c r="Q85" s="29"/>
      <c r="R85" s="29"/>
      <c r="S85" s="29"/>
      <c r="T85" s="29"/>
      <c r="U85" s="29"/>
      <c r="V85" s="29"/>
      <c r="W85" s="20"/>
      <c r="X85" s="20"/>
      <c r="Y85" s="20"/>
      <c r="Z85" s="20"/>
    </row>
    <row r="86" spans="1:26" ht="17.25" customHeight="1">
      <c r="A86" s="20"/>
      <c r="B86" s="20"/>
      <c r="C86" s="20"/>
      <c r="D86" s="20"/>
      <c r="E86" s="20"/>
      <c r="F86" s="20"/>
      <c r="G86" s="20"/>
      <c r="H86" s="20"/>
      <c r="I86" s="20"/>
      <c r="J86" s="20"/>
      <c r="K86" s="20"/>
      <c r="L86" s="20"/>
      <c r="M86" s="20"/>
      <c r="N86" s="29"/>
      <c r="O86" s="29"/>
      <c r="P86" s="29"/>
      <c r="Q86" s="29"/>
      <c r="R86" s="29"/>
      <c r="S86" s="29"/>
      <c r="T86" s="29"/>
      <c r="U86" s="29"/>
      <c r="V86" s="29"/>
      <c r="W86" s="20"/>
      <c r="X86" s="20"/>
      <c r="Y86" s="20"/>
      <c r="Z86" s="20"/>
    </row>
    <row r="87" spans="1:26" ht="17.25" customHeight="1">
      <c r="A87" s="20"/>
      <c r="B87" s="20"/>
      <c r="C87" s="20"/>
      <c r="D87" s="20"/>
      <c r="E87" s="20"/>
      <c r="F87" s="20"/>
      <c r="G87" s="20"/>
      <c r="H87" s="20"/>
      <c r="I87" s="20"/>
      <c r="J87" s="20"/>
      <c r="K87" s="20"/>
      <c r="L87" s="20"/>
      <c r="M87" s="20"/>
      <c r="N87" s="29"/>
      <c r="O87" s="29"/>
      <c r="P87" s="29"/>
      <c r="Q87" s="29"/>
      <c r="R87" s="29"/>
      <c r="S87" s="29"/>
      <c r="T87" s="29"/>
      <c r="U87" s="29"/>
      <c r="V87" s="29"/>
      <c r="W87" s="20"/>
      <c r="X87" s="20"/>
      <c r="Y87" s="20"/>
      <c r="Z87" s="20"/>
    </row>
    <row r="88" spans="1:26" ht="17.25" customHeight="1">
      <c r="A88" s="20"/>
      <c r="B88" s="20"/>
      <c r="C88" s="20"/>
      <c r="D88" s="20"/>
      <c r="E88" s="20"/>
      <c r="F88" s="20"/>
      <c r="G88" s="20"/>
      <c r="H88" s="20"/>
      <c r="I88" s="20"/>
      <c r="J88" s="20"/>
      <c r="K88" s="20"/>
      <c r="L88" s="20"/>
      <c r="M88" s="20"/>
      <c r="N88" s="29"/>
      <c r="O88" s="29"/>
      <c r="P88" s="29"/>
      <c r="Q88" s="29"/>
      <c r="R88" s="29"/>
      <c r="S88" s="29"/>
      <c r="T88" s="29"/>
      <c r="U88" s="29"/>
      <c r="V88" s="29"/>
      <c r="W88" s="20"/>
      <c r="X88" s="20"/>
      <c r="Y88" s="20"/>
      <c r="Z88" s="20"/>
    </row>
    <row r="89" spans="1:26" ht="17.25" customHeight="1">
      <c r="A89" s="20"/>
      <c r="B89" s="20"/>
      <c r="C89" s="20"/>
      <c r="D89" s="20"/>
      <c r="E89" s="20"/>
      <c r="F89" s="20"/>
      <c r="G89" s="20"/>
      <c r="H89" s="20"/>
      <c r="I89" s="20"/>
      <c r="J89" s="20"/>
      <c r="K89" s="20"/>
      <c r="L89" s="20"/>
      <c r="M89" s="20"/>
      <c r="N89" s="29"/>
      <c r="O89" s="29"/>
      <c r="P89" s="29"/>
      <c r="Q89" s="29"/>
      <c r="R89" s="29"/>
      <c r="S89" s="29"/>
      <c r="T89" s="29"/>
      <c r="U89" s="29"/>
      <c r="V89" s="29"/>
      <c r="W89" s="20"/>
      <c r="X89" s="20"/>
      <c r="Y89" s="20"/>
      <c r="Z89" s="20"/>
    </row>
    <row r="90" spans="1:26" ht="17.25" customHeight="1">
      <c r="A90" s="20"/>
      <c r="B90" s="20"/>
      <c r="C90" s="20"/>
      <c r="D90" s="20"/>
      <c r="E90" s="20"/>
      <c r="F90" s="20"/>
      <c r="G90" s="20"/>
      <c r="H90" s="20"/>
      <c r="I90" s="20"/>
      <c r="J90" s="20"/>
      <c r="K90" s="20"/>
      <c r="L90" s="20"/>
      <c r="M90" s="20"/>
      <c r="N90" s="29"/>
      <c r="O90" s="29"/>
      <c r="P90" s="29"/>
      <c r="Q90" s="29"/>
      <c r="R90" s="29"/>
      <c r="S90" s="29"/>
      <c r="T90" s="29"/>
      <c r="U90" s="29"/>
      <c r="V90" s="29"/>
      <c r="W90" s="20"/>
      <c r="X90" s="20"/>
      <c r="Y90" s="20"/>
      <c r="Z90" s="20"/>
    </row>
    <row r="91" spans="1:26" ht="17.25" customHeight="1">
      <c r="A91" s="20"/>
      <c r="B91" s="20"/>
      <c r="C91" s="20"/>
      <c r="D91" s="20"/>
      <c r="E91" s="20"/>
      <c r="F91" s="20"/>
      <c r="G91" s="20"/>
      <c r="H91" s="20"/>
      <c r="I91" s="20"/>
      <c r="J91" s="20"/>
      <c r="K91" s="20"/>
      <c r="L91" s="20"/>
      <c r="M91" s="20"/>
      <c r="N91" s="29"/>
      <c r="O91" s="29"/>
      <c r="P91" s="29"/>
      <c r="Q91" s="29"/>
      <c r="R91" s="29"/>
      <c r="S91" s="29"/>
      <c r="T91" s="29"/>
      <c r="U91" s="29"/>
      <c r="V91" s="29"/>
      <c r="W91" s="20"/>
      <c r="X91" s="20"/>
      <c r="Y91" s="20"/>
      <c r="Z91" s="20"/>
    </row>
    <row r="92" spans="1:26" ht="17.25" customHeight="1">
      <c r="A92" s="20"/>
      <c r="B92" s="20"/>
      <c r="C92" s="20"/>
      <c r="D92" s="20"/>
      <c r="E92" s="20"/>
      <c r="F92" s="20"/>
      <c r="G92" s="20"/>
      <c r="H92" s="20"/>
      <c r="I92" s="20"/>
      <c r="J92" s="20"/>
      <c r="K92" s="20"/>
      <c r="L92" s="20"/>
      <c r="M92" s="20"/>
      <c r="N92" s="29"/>
      <c r="O92" s="29"/>
      <c r="P92" s="29"/>
      <c r="Q92" s="29"/>
      <c r="R92" s="29"/>
      <c r="S92" s="29"/>
      <c r="T92" s="29"/>
      <c r="U92" s="29"/>
      <c r="V92" s="29"/>
      <c r="W92" s="20"/>
      <c r="X92" s="20"/>
      <c r="Y92" s="20"/>
      <c r="Z92" s="20"/>
    </row>
    <row r="93" spans="1:26" ht="17.25" customHeight="1">
      <c r="A93" s="20"/>
      <c r="B93" s="20"/>
      <c r="C93" s="20"/>
      <c r="D93" s="20"/>
      <c r="E93" s="20"/>
      <c r="F93" s="20"/>
      <c r="G93" s="20"/>
      <c r="H93" s="20"/>
      <c r="I93" s="20"/>
      <c r="J93" s="20"/>
      <c r="K93" s="20"/>
      <c r="L93" s="20"/>
      <c r="M93" s="20"/>
      <c r="N93" s="29"/>
      <c r="O93" s="29"/>
      <c r="P93" s="29"/>
      <c r="Q93" s="29"/>
      <c r="R93" s="29"/>
      <c r="S93" s="29"/>
      <c r="T93" s="29"/>
      <c r="U93" s="29"/>
      <c r="V93" s="29"/>
      <c r="W93" s="20"/>
      <c r="X93" s="20"/>
      <c r="Y93" s="20"/>
      <c r="Z93" s="20"/>
    </row>
    <row r="94" spans="1:26" ht="17.25" customHeight="1">
      <c r="A94" s="20"/>
      <c r="B94" s="20"/>
      <c r="C94" s="20"/>
      <c r="D94" s="20"/>
      <c r="E94" s="20"/>
      <c r="F94" s="20"/>
      <c r="G94" s="20"/>
      <c r="H94" s="20"/>
      <c r="I94" s="20"/>
      <c r="J94" s="20"/>
      <c r="K94" s="20"/>
      <c r="L94" s="20"/>
      <c r="M94" s="20"/>
      <c r="N94" s="29"/>
      <c r="O94" s="29"/>
      <c r="P94" s="29"/>
      <c r="Q94" s="29"/>
      <c r="R94" s="29"/>
      <c r="S94" s="29"/>
      <c r="T94" s="29"/>
      <c r="U94" s="29"/>
      <c r="V94" s="29"/>
      <c r="W94" s="20"/>
      <c r="X94" s="20"/>
      <c r="Y94" s="20"/>
      <c r="Z94" s="20"/>
    </row>
    <row r="95" spans="1:26" ht="17.25" customHeight="1">
      <c r="A95" s="20"/>
      <c r="B95" s="20"/>
      <c r="C95" s="20"/>
      <c r="D95" s="20"/>
      <c r="E95" s="20"/>
      <c r="F95" s="20"/>
      <c r="G95" s="20"/>
      <c r="H95" s="20"/>
      <c r="I95" s="20"/>
      <c r="J95" s="20"/>
      <c r="K95" s="20"/>
      <c r="L95" s="20"/>
      <c r="M95" s="20"/>
      <c r="N95" s="29"/>
      <c r="O95" s="29"/>
      <c r="P95" s="29"/>
      <c r="Q95" s="29"/>
      <c r="R95" s="29"/>
      <c r="S95" s="29"/>
      <c r="T95" s="29"/>
      <c r="U95" s="29"/>
      <c r="V95" s="29"/>
      <c r="W95" s="20"/>
      <c r="X95" s="20"/>
      <c r="Y95" s="20"/>
      <c r="Z95" s="20"/>
    </row>
    <row r="96" spans="1:26" ht="17.25" customHeight="1">
      <c r="A96" s="20"/>
      <c r="B96" s="20"/>
      <c r="C96" s="20"/>
      <c r="D96" s="20"/>
      <c r="E96" s="20"/>
      <c r="F96" s="20"/>
      <c r="G96" s="20"/>
      <c r="H96" s="20"/>
      <c r="I96" s="20"/>
      <c r="J96" s="20"/>
      <c r="K96" s="20"/>
      <c r="L96" s="20"/>
      <c r="M96" s="20"/>
      <c r="N96" s="29"/>
      <c r="O96" s="29"/>
      <c r="P96" s="29"/>
      <c r="Q96" s="29"/>
      <c r="R96" s="29"/>
      <c r="S96" s="29"/>
      <c r="T96" s="29"/>
      <c r="U96" s="29"/>
      <c r="V96" s="29"/>
      <c r="W96" s="20"/>
      <c r="X96" s="20"/>
      <c r="Y96" s="20"/>
      <c r="Z96" s="20"/>
    </row>
    <row r="97" spans="1:26" ht="17.25" customHeight="1">
      <c r="A97" s="20"/>
      <c r="B97" s="20"/>
      <c r="C97" s="20"/>
      <c r="D97" s="20"/>
      <c r="E97" s="20"/>
      <c r="F97" s="20"/>
      <c r="G97" s="20"/>
      <c r="H97" s="20"/>
      <c r="I97" s="20"/>
      <c r="J97" s="20"/>
      <c r="K97" s="20"/>
      <c r="L97" s="20"/>
      <c r="M97" s="20"/>
      <c r="N97" s="29"/>
      <c r="O97" s="29"/>
      <c r="P97" s="29"/>
      <c r="Q97" s="29"/>
      <c r="R97" s="29"/>
      <c r="S97" s="29"/>
      <c r="T97" s="29"/>
      <c r="U97" s="29"/>
      <c r="V97" s="29"/>
      <c r="W97" s="20"/>
      <c r="X97" s="20"/>
      <c r="Y97" s="20"/>
      <c r="Z97" s="20"/>
    </row>
    <row r="98" spans="1:26" ht="17.25" customHeight="1">
      <c r="A98" s="20"/>
      <c r="B98" s="20"/>
      <c r="C98" s="20"/>
      <c r="D98" s="20"/>
      <c r="E98" s="20"/>
      <c r="F98" s="20"/>
      <c r="G98" s="20"/>
      <c r="H98" s="20"/>
      <c r="I98" s="20"/>
      <c r="J98" s="20"/>
      <c r="K98" s="20"/>
      <c r="L98" s="20"/>
      <c r="M98" s="20"/>
      <c r="N98" s="29"/>
      <c r="O98" s="29"/>
      <c r="P98" s="29"/>
      <c r="Q98" s="29"/>
      <c r="R98" s="29"/>
      <c r="S98" s="29"/>
      <c r="T98" s="29"/>
      <c r="U98" s="29"/>
      <c r="V98" s="29"/>
      <c r="W98" s="20"/>
      <c r="X98" s="20"/>
      <c r="Y98" s="20"/>
      <c r="Z98" s="20"/>
    </row>
    <row r="99" spans="1:26" ht="17.25" customHeight="1">
      <c r="A99" s="20"/>
      <c r="B99" s="20"/>
      <c r="C99" s="20"/>
      <c r="D99" s="20"/>
      <c r="E99" s="20"/>
      <c r="F99" s="20"/>
      <c r="G99" s="20"/>
      <c r="H99" s="20"/>
      <c r="I99" s="20"/>
      <c r="J99" s="20"/>
      <c r="K99" s="20"/>
      <c r="L99" s="20"/>
      <c r="M99" s="20"/>
      <c r="N99" s="29"/>
      <c r="O99" s="29"/>
      <c r="P99" s="29"/>
      <c r="Q99" s="29"/>
      <c r="R99" s="29"/>
      <c r="S99" s="29"/>
      <c r="T99" s="29"/>
      <c r="U99" s="29"/>
      <c r="V99" s="29"/>
      <c r="W99" s="20"/>
      <c r="X99" s="20"/>
      <c r="Y99" s="20"/>
      <c r="Z99" s="20"/>
    </row>
    <row r="100" spans="1:26" ht="17.25" customHeight="1">
      <c r="A100" s="20"/>
      <c r="B100" s="20"/>
      <c r="C100" s="20"/>
      <c r="D100" s="20"/>
      <c r="E100" s="20"/>
      <c r="F100" s="20"/>
      <c r="G100" s="20"/>
      <c r="H100" s="20"/>
      <c r="I100" s="20"/>
      <c r="J100" s="20"/>
      <c r="K100" s="20"/>
      <c r="L100" s="20"/>
      <c r="M100" s="20"/>
      <c r="N100" s="29"/>
      <c r="O100" s="29"/>
      <c r="P100" s="29"/>
      <c r="Q100" s="29"/>
      <c r="R100" s="29"/>
      <c r="S100" s="29"/>
      <c r="T100" s="29"/>
      <c r="U100" s="29"/>
      <c r="V100" s="29"/>
      <c r="W100" s="20"/>
      <c r="X100" s="20"/>
      <c r="Y100" s="20"/>
      <c r="Z100" s="20"/>
    </row>
    <row r="101" spans="1:26" ht="17.25" customHeight="1">
      <c r="A101" s="20"/>
      <c r="B101" s="20"/>
      <c r="C101" s="20"/>
      <c r="D101" s="20"/>
      <c r="E101" s="20"/>
      <c r="F101" s="20"/>
      <c r="G101" s="20"/>
      <c r="H101" s="20"/>
      <c r="I101" s="20"/>
      <c r="J101" s="20"/>
      <c r="K101" s="20"/>
      <c r="L101" s="20"/>
      <c r="M101" s="20"/>
      <c r="N101" s="29"/>
      <c r="O101" s="29"/>
      <c r="P101" s="29"/>
      <c r="Q101" s="29"/>
      <c r="R101" s="29"/>
      <c r="S101" s="29"/>
      <c r="T101" s="29"/>
      <c r="U101" s="29"/>
      <c r="V101" s="29"/>
      <c r="W101" s="20"/>
      <c r="X101" s="20"/>
      <c r="Y101" s="20"/>
      <c r="Z101" s="20"/>
    </row>
    <row r="102" spans="1:26" ht="17.25" customHeight="1">
      <c r="A102" s="20"/>
      <c r="B102" s="20"/>
      <c r="C102" s="20"/>
      <c r="D102" s="20"/>
      <c r="E102" s="20"/>
      <c r="F102" s="20"/>
      <c r="G102" s="20"/>
      <c r="H102" s="20"/>
      <c r="I102" s="20"/>
      <c r="J102" s="20"/>
      <c r="K102" s="20"/>
      <c r="L102" s="20"/>
      <c r="M102" s="20"/>
      <c r="N102" s="29"/>
      <c r="O102" s="29"/>
      <c r="P102" s="29"/>
      <c r="Q102" s="29"/>
      <c r="R102" s="29"/>
      <c r="S102" s="29"/>
      <c r="T102" s="29"/>
      <c r="U102" s="29"/>
      <c r="V102" s="29"/>
      <c r="W102" s="20"/>
      <c r="X102" s="20"/>
      <c r="Y102" s="20"/>
      <c r="Z102" s="20"/>
    </row>
    <row r="103" spans="1:26" ht="17.25" customHeight="1">
      <c r="A103" s="20"/>
      <c r="B103" s="20"/>
      <c r="C103" s="20"/>
      <c r="D103" s="20"/>
      <c r="E103" s="20"/>
      <c r="F103" s="20"/>
      <c r="G103" s="20"/>
      <c r="H103" s="20"/>
      <c r="I103" s="20"/>
      <c r="J103" s="20"/>
      <c r="K103" s="20"/>
      <c r="L103" s="20"/>
      <c r="M103" s="20"/>
      <c r="N103" s="29"/>
      <c r="O103" s="29"/>
      <c r="P103" s="29"/>
      <c r="Q103" s="29"/>
      <c r="R103" s="29"/>
      <c r="S103" s="29"/>
      <c r="T103" s="29"/>
      <c r="U103" s="29"/>
      <c r="V103" s="29"/>
      <c r="W103" s="20"/>
      <c r="X103" s="20"/>
      <c r="Y103" s="20"/>
      <c r="Z103" s="20"/>
    </row>
    <row r="104" spans="1:26" ht="17.25" customHeight="1">
      <c r="A104" s="20"/>
      <c r="B104" s="20"/>
      <c r="C104" s="20"/>
      <c r="D104" s="20"/>
      <c r="E104" s="20"/>
      <c r="F104" s="20"/>
      <c r="G104" s="20"/>
      <c r="H104" s="20"/>
      <c r="I104" s="20"/>
      <c r="J104" s="20"/>
      <c r="K104" s="20"/>
      <c r="L104" s="20"/>
      <c r="M104" s="20"/>
      <c r="N104" s="29"/>
      <c r="O104" s="29"/>
      <c r="P104" s="29"/>
      <c r="Q104" s="29"/>
      <c r="R104" s="29"/>
      <c r="S104" s="29"/>
      <c r="T104" s="29"/>
      <c r="U104" s="29"/>
      <c r="V104" s="29"/>
      <c r="W104" s="20"/>
      <c r="X104" s="20"/>
      <c r="Y104" s="20"/>
      <c r="Z104" s="20"/>
    </row>
    <row r="105" spans="1:26" ht="17.25" customHeight="1">
      <c r="A105" s="20"/>
      <c r="B105" s="20"/>
      <c r="C105" s="20"/>
      <c r="D105" s="20"/>
      <c r="E105" s="20"/>
      <c r="F105" s="20"/>
      <c r="G105" s="20"/>
      <c r="H105" s="20"/>
      <c r="I105" s="20"/>
      <c r="J105" s="20"/>
      <c r="K105" s="20"/>
      <c r="L105" s="20"/>
      <c r="M105" s="20"/>
      <c r="N105" s="29"/>
      <c r="O105" s="29"/>
      <c r="P105" s="29"/>
      <c r="Q105" s="29"/>
      <c r="R105" s="29"/>
      <c r="S105" s="29"/>
      <c r="T105" s="29"/>
      <c r="U105" s="29"/>
      <c r="V105" s="29"/>
      <c r="W105" s="20"/>
      <c r="X105" s="20"/>
      <c r="Y105" s="20"/>
      <c r="Z105" s="20"/>
    </row>
    <row r="106" spans="1:26" ht="17.25" customHeight="1">
      <c r="A106" s="20"/>
      <c r="B106" s="20"/>
      <c r="C106" s="20"/>
      <c r="D106" s="20"/>
      <c r="E106" s="20"/>
      <c r="F106" s="20"/>
      <c r="G106" s="20"/>
      <c r="H106" s="20"/>
      <c r="I106" s="20"/>
      <c r="J106" s="20"/>
      <c r="K106" s="20"/>
      <c r="L106" s="20"/>
      <c r="M106" s="20"/>
      <c r="N106" s="29"/>
      <c r="O106" s="29"/>
      <c r="P106" s="29"/>
      <c r="Q106" s="29"/>
      <c r="R106" s="29"/>
      <c r="S106" s="29"/>
      <c r="T106" s="29"/>
      <c r="U106" s="29"/>
      <c r="V106" s="29"/>
      <c r="W106" s="20"/>
      <c r="X106" s="20"/>
      <c r="Y106" s="20"/>
      <c r="Z106" s="20"/>
    </row>
    <row r="107" spans="1:26" ht="17.25" customHeight="1">
      <c r="A107" s="20"/>
      <c r="B107" s="20"/>
      <c r="C107" s="20"/>
      <c r="D107" s="20"/>
      <c r="E107" s="20"/>
      <c r="F107" s="20"/>
      <c r="G107" s="20"/>
      <c r="H107" s="20"/>
      <c r="I107" s="20"/>
      <c r="J107" s="20"/>
      <c r="K107" s="20"/>
      <c r="L107" s="20"/>
      <c r="M107" s="20"/>
      <c r="N107" s="29"/>
      <c r="O107" s="29"/>
      <c r="P107" s="29"/>
      <c r="Q107" s="29"/>
      <c r="R107" s="29"/>
      <c r="S107" s="29"/>
      <c r="T107" s="29"/>
      <c r="U107" s="29"/>
      <c r="V107" s="29"/>
      <c r="W107" s="20"/>
      <c r="X107" s="20"/>
      <c r="Y107" s="20"/>
      <c r="Z107" s="20"/>
    </row>
    <row r="108" spans="1:26" ht="17.25" customHeight="1">
      <c r="A108" s="20"/>
      <c r="B108" s="20"/>
      <c r="C108" s="20"/>
      <c r="D108" s="20"/>
      <c r="E108" s="20"/>
      <c r="F108" s="20"/>
      <c r="G108" s="20"/>
      <c r="H108" s="20"/>
      <c r="I108" s="20"/>
      <c r="J108" s="20"/>
      <c r="K108" s="20"/>
      <c r="L108" s="20"/>
      <c r="M108" s="20"/>
      <c r="N108" s="29"/>
      <c r="O108" s="29"/>
      <c r="P108" s="29"/>
      <c r="Q108" s="29"/>
      <c r="R108" s="29"/>
      <c r="S108" s="29"/>
      <c r="T108" s="29"/>
      <c r="U108" s="29"/>
      <c r="V108" s="29"/>
      <c r="W108" s="20"/>
      <c r="X108" s="20"/>
      <c r="Y108" s="20"/>
      <c r="Z108" s="20"/>
    </row>
    <row r="109" spans="1:26" ht="17.25" customHeight="1">
      <c r="A109" s="20"/>
      <c r="B109" s="20"/>
      <c r="C109" s="20"/>
      <c r="D109" s="20"/>
      <c r="E109" s="20"/>
      <c r="F109" s="20"/>
      <c r="G109" s="20"/>
      <c r="H109" s="20"/>
      <c r="I109" s="20"/>
      <c r="J109" s="20"/>
      <c r="K109" s="20"/>
      <c r="L109" s="20"/>
      <c r="M109" s="20"/>
      <c r="N109" s="29"/>
      <c r="O109" s="29"/>
      <c r="P109" s="29"/>
      <c r="Q109" s="29"/>
      <c r="R109" s="29"/>
      <c r="S109" s="29"/>
      <c r="T109" s="29"/>
      <c r="U109" s="29"/>
      <c r="V109" s="29"/>
      <c r="W109" s="20"/>
      <c r="X109" s="20"/>
      <c r="Y109" s="20"/>
      <c r="Z109" s="20"/>
    </row>
    <row r="110" spans="1:26" ht="17.25" customHeight="1">
      <c r="A110" s="20"/>
      <c r="B110" s="20"/>
      <c r="C110" s="20"/>
      <c r="D110" s="20"/>
      <c r="E110" s="20"/>
      <c r="F110" s="20"/>
      <c r="G110" s="20"/>
      <c r="H110" s="20"/>
      <c r="I110" s="20"/>
      <c r="J110" s="20"/>
      <c r="K110" s="20"/>
      <c r="L110" s="20"/>
      <c r="M110" s="20"/>
      <c r="N110" s="29"/>
      <c r="O110" s="29"/>
      <c r="P110" s="29"/>
      <c r="Q110" s="29"/>
      <c r="R110" s="29"/>
      <c r="S110" s="29"/>
      <c r="T110" s="29"/>
      <c r="U110" s="29"/>
      <c r="V110" s="29"/>
      <c r="W110" s="20"/>
      <c r="X110" s="20"/>
      <c r="Y110" s="20"/>
      <c r="Z110" s="20"/>
    </row>
    <row r="111" spans="1:26" ht="17.25" customHeight="1">
      <c r="A111" s="20"/>
      <c r="B111" s="20"/>
      <c r="C111" s="20"/>
      <c r="D111" s="20"/>
      <c r="E111" s="20"/>
      <c r="F111" s="20"/>
      <c r="G111" s="20"/>
      <c r="H111" s="20"/>
      <c r="I111" s="20"/>
      <c r="J111" s="20"/>
      <c r="K111" s="20"/>
      <c r="L111" s="20"/>
      <c r="M111" s="20"/>
      <c r="N111" s="29"/>
      <c r="O111" s="29"/>
      <c r="P111" s="29"/>
      <c r="Q111" s="29"/>
      <c r="R111" s="29"/>
      <c r="S111" s="29"/>
      <c r="T111" s="29"/>
      <c r="U111" s="29"/>
      <c r="V111" s="29"/>
      <c r="W111" s="20"/>
      <c r="X111" s="20"/>
      <c r="Y111" s="20"/>
      <c r="Z111" s="20"/>
    </row>
    <row r="112" spans="1:26" ht="17.25" customHeight="1">
      <c r="A112" s="20"/>
      <c r="B112" s="20"/>
      <c r="C112" s="20"/>
      <c r="D112" s="20"/>
      <c r="E112" s="20"/>
      <c r="F112" s="20"/>
      <c r="G112" s="20"/>
      <c r="H112" s="20"/>
      <c r="I112" s="20"/>
      <c r="J112" s="20"/>
      <c r="K112" s="20"/>
      <c r="L112" s="20"/>
      <c r="M112" s="20"/>
      <c r="N112" s="29"/>
      <c r="O112" s="29"/>
      <c r="P112" s="29"/>
      <c r="Q112" s="29"/>
      <c r="R112" s="29"/>
      <c r="S112" s="29"/>
      <c r="T112" s="29"/>
      <c r="U112" s="29"/>
      <c r="V112" s="29"/>
      <c r="W112" s="20"/>
      <c r="X112" s="20"/>
      <c r="Y112" s="20"/>
      <c r="Z112" s="20"/>
    </row>
    <row r="113" spans="1:26" ht="17.25" customHeight="1">
      <c r="A113" s="20"/>
      <c r="B113" s="20"/>
      <c r="C113" s="20"/>
      <c r="D113" s="20"/>
      <c r="E113" s="20"/>
      <c r="F113" s="20"/>
      <c r="G113" s="20"/>
      <c r="H113" s="20"/>
      <c r="I113" s="20"/>
      <c r="J113" s="20"/>
      <c r="K113" s="20"/>
      <c r="L113" s="20"/>
      <c r="M113" s="20"/>
      <c r="N113" s="29"/>
      <c r="O113" s="29"/>
      <c r="P113" s="29"/>
      <c r="Q113" s="29"/>
      <c r="R113" s="29"/>
      <c r="S113" s="29"/>
      <c r="T113" s="29"/>
      <c r="U113" s="29"/>
      <c r="V113" s="29"/>
      <c r="W113" s="20"/>
      <c r="X113" s="20"/>
      <c r="Y113" s="20"/>
      <c r="Z113" s="20"/>
    </row>
    <row r="114" spans="1:26" ht="17.25" customHeight="1">
      <c r="A114" s="20"/>
      <c r="B114" s="20"/>
      <c r="C114" s="20"/>
      <c r="D114" s="20"/>
      <c r="E114" s="20"/>
      <c r="F114" s="20"/>
      <c r="G114" s="20"/>
      <c r="H114" s="20"/>
      <c r="I114" s="20"/>
      <c r="J114" s="20"/>
      <c r="K114" s="20"/>
      <c r="L114" s="20"/>
      <c r="M114" s="20"/>
      <c r="N114" s="29"/>
      <c r="O114" s="29"/>
      <c r="P114" s="29"/>
      <c r="Q114" s="29"/>
      <c r="R114" s="29"/>
      <c r="S114" s="29"/>
      <c r="T114" s="29"/>
      <c r="U114" s="29"/>
      <c r="V114" s="29"/>
      <c r="W114" s="20"/>
      <c r="X114" s="20"/>
      <c r="Y114" s="20"/>
      <c r="Z114" s="20"/>
    </row>
    <row r="115" spans="1:26" ht="17.25" customHeight="1">
      <c r="A115" s="20"/>
      <c r="B115" s="20"/>
      <c r="C115" s="20"/>
      <c r="D115" s="20"/>
      <c r="E115" s="20"/>
      <c r="F115" s="20"/>
      <c r="G115" s="20"/>
      <c r="H115" s="20"/>
      <c r="I115" s="20"/>
      <c r="J115" s="20"/>
      <c r="K115" s="20"/>
      <c r="L115" s="20"/>
      <c r="M115" s="20"/>
      <c r="N115" s="29"/>
      <c r="O115" s="29"/>
      <c r="P115" s="29"/>
      <c r="Q115" s="29"/>
      <c r="R115" s="29"/>
      <c r="S115" s="29"/>
      <c r="T115" s="29"/>
      <c r="U115" s="29"/>
      <c r="V115" s="29"/>
      <c r="W115" s="20"/>
      <c r="X115" s="20"/>
      <c r="Y115" s="20"/>
      <c r="Z115" s="20"/>
    </row>
    <row r="116" spans="1:26" ht="17.25" customHeight="1">
      <c r="A116" s="20"/>
      <c r="B116" s="20"/>
      <c r="C116" s="20"/>
      <c r="D116" s="20"/>
      <c r="E116" s="20"/>
      <c r="F116" s="20"/>
      <c r="G116" s="20"/>
      <c r="H116" s="20"/>
      <c r="I116" s="20"/>
      <c r="J116" s="20"/>
      <c r="K116" s="20"/>
      <c r="L116" s="20"/>
      <c r="M116" s="20"/>
      <c r="N116" s="29"/>
      <c r="O116" s="29"/>
      <c r="P116" s="29"/>
      <c r="Q116" s="29"/>
      <c r="R116" s="29"/>
      <c r="S116" s="29"/>
      <c r="T116" s="29"/>
      <c r="U116" s="29"/>
      <c r="V116" s="29"/>
      <c r="W116" s="20"/>
      <c r="X116" s="20"/>
      <c r="Y116" s="20"/>
      <c r="Z116" s="20"/>
    </row>
    <row r="117" spans="1:26" ht="17.25" customHeight="1">
      <c r="A117" s="20"/>
      <c r="B117" s="20"/>
      <c r="C117" s="20"/>
      <c r="D117" s="20"/>
      <c r="E117" s="20"/>
      <c r="F117" s="20"/>
      <c r="G117" s="20"/>
      <c r="H117" s="20"/>
      <c r="I117" s="20"/>
      <c r="J117" s="20"/>
      <c r="K117" s="20"/>
      <c r="L117" s="20"/>
      <c r="M117" s="20"/>
      <c r="N117" s="29"/>
      <c r="O117" s="29"/>
      <c r="P117" s="29"/>
      <c r="Q117" s="29"/>
      <c r="R117" s="29"/>
      <c r="S117" s="29"/>
      <c r="T117" s="29"/>
      <c r="U117" s="29"/>
      <c r="V117" s="29"/>
      <c r="W117" s="20"/>
      <c r="X117" s="20"/>
      <c r="Y117" s="20"/>
      <c r="Z117" s="20"/>
    </row>
    <row r="118" spans="1:26" ht="17.25" customHeight="1">
      <c r="A118" s="20"/>
      <c r="B118" s="20"/>
      <c r="C118" s="20"/>
      <c r="D118" s="20"/>
      <c r="E118" s="20"/>
      <c r="F118" s="20"/>
      <c r="G118" s="20"/>
      <c r="H118" s="20"/>
      <c r="I118" s="20"/>
      <c r="J118" s="20"/>
      <c r="K118" s="20"/>
      <c r="L118" s="20"/>
      <c r="M118" s="20"/>
      <c r="N118" s="29"/>
      <c r="O118" s="29"/>
      <c r="P118" s="29"/>
      <c r="Q118" s="29"/>
      <c r="R118" s="29"/>
      <c r="S118" s="29"/>
      <c r="T118" s="29"/>
      <c r="U118" s="29"/>
      <c r="V118" s="29"/>
      <c r="W118" s="20"/>
      <c r="X118" s="20"/>
      <c r="Y118" s="20"/>
      <c r="Z118" s="20"/>
    </row>
    <row r="119" spans="1:26" ht="17.25" customHeight="1">
      <c r="A119" s="20"/>
      <c r="B119" s="20"/>
      <c r="C119" s="20"/>
      <c r="D119" s="20"/>
      <c r="E119" s="20"/>
      <c r="F119" s="20"/>
      <c r="G119" s="20"/>
      <c r="H119" s="20"/>
      <c r="I119" s="20"/>
      <c r="J119" s="20"/>
      <c r="K119" s="20"/>
      <c r="L119" s="20"/>
      <c r="M119" s="20"/>
      <c r="N119" s="29"/>
      <c r="O119" s="29"/>
      <c r="P119" s="29"/>
      <c r="Q119" s="29"/>
      <c r="R119" s="29"/>
      <c r="S119" s="29"/>
      <c r="T119" s="29"/>
      <c r="U119" s="29"/>
      <c r="V119" s="29"/>
      <c r="W119" s="20"/>
      <c r="X119" s="20"/>
      <c r="Y119" s="20"/>
      <c r="Z119" s="20"/>
    </row>
    <row r="120" spans="1:26" ht="17.25" customHeight="1">
      <c r="A120" s="20"/>
      <c r="B120" s="20"/>
      <c r="C120" s="20"/>
      <c r="D120" s="20"/>
      <c r="E120" s="20"/>
      <c r="F120" s="20"/>
      <c r="G120" s="20"/>
      <c r="H120" s="20"/>
      <c r="I120" s="20"/>
      <c r="J120" s="20"/>
      <c r="K120" s="20"/>
      <c r="L120" s="20"/>
      <c r="M120" s="20"/>
      <c r="N120" s="29"/>
      <c r="O120" s="29"/>
      <c r="P120" s="29"/>
      <c r="Q120" s="29"/>
      <c r="R120" s="29"/>
      <c r="S120" s="29"/>
      <c r="T120" s="29"/>
      <c r="U120" s="29"/>
      <c r="V120" s="29"/>
      <c r="W120" s="20"/>
      <c r="X120" s="20"/>
      <c r="Y120" s="20"/>
      <c r="Z120" s="20"/>
    </row>
    <row r="121" spans="1:26" ht="17.25" customHeight="1">
      <c r="A121" s="20"/>
      <c r="B121" s="20"/>
      <c r="C121" s="20"/>
      <c r="D121" s="20"/>
      <c r="E121" s="20"/>
      <c r="F121" s="20"/>
      <c r="G121" s="20"/>
      <c r="H121" s="20"/>
      <c r="I121" s="20"/>
      <c r="J121" s="20"/>
      <c r="K121" s="20"/>
      <c r="L121" s="20"/>
      <c r="M121" s="20"/>
      <c r="N121" s="29"/>
      <c r="O121" s="29"/>
      <c r="P121" s="29"/>
      <c r="Q121" s="29"/>
      <c r="R121" s="29"/>
      <c r="S121" s="29"/>
      <c r="T121" s="29"/>
      <c r="U121" s="29"/>
      <c r="V121" s="29"/>
      <c r="W121" s="20"/>
      <c r="X121" s="20"/>
      <c r="Y121" s="20"/>
      <c r="Z121" s="20"/>
    </row>
    <row r="122" spans="1:26" ht="17.25" customHeight="1">
      <c r="A122" s="20"/>
      <c r="B122" s="20"/>
      <c r="C122" s="20"/>
      <c r="D122" s="20"/>
      <c r="E122" s="20"/>
      <c r="F122" s="20"/>
      <c r="G122" s="20"/>
      <c r="H122" s="20"/>
      <c r="I122" s="20"/>
      <c r="J122" s="20"/>
      <c r="K122" s="20"/>
      <c r="L122" s="20"/>
      <c r="M122" s="20"/>
      <c r="N122" s="29"/>
      <c r="O122" s="29"/>
      <c r="P122" s="29"/>
      <c r="Q122" s="29"/>
      <c r="R122" s="29"/>
      <c r="S122" s="29"/>
      <c r="T122" s="29"/>
      <c r="U122" s="29"/>
      <c r="V122" s="29"/>
      <c r="W122" s="20"/>
      <c r="X122" s="20"/>
      <c r="Y122" s="20"/>
      <c r="Z122" s="20"/>
    </row>
    <row r="123" spans="1:26" ht="17.25" customHeight="1">
      <c r="A123" s="20"/>
      <c r="B123" s="20"/>
      <c r="C123" s="20"/>
      <c r="D123" s="20"/>
      <c r="E123" s="20"/>
      <c r="F123" s="20"/>
      <c r="G123" s="20"/>
      <c r="H123" s="20"/>
      <c r="I123" s="20"/>
      <c r="J123" s="20"/>
      <c r="K123" s="20"/>
      <c r="L123" s="20"/>
      <c r="M123" s="20"/>
      <c r="N123" s="29"/>
      <c r="O123" s="29"/>
      <c r="P123" s="29"/>
      <c r="Q123" s="29"/>
      <c r="R123" s="29"/>
      <c r="S123" s="29"/>
      <c r="T123" s="29"/>
      <c r="U123" s="29"/>
      <c r="V123" s="29"/>
      <c r="W123" s="20"/>
      <c r="X123" s="20"/>
      <c r="Y123" s="20"/>
      <c r="Z123" s="20"/>
    </row>
    <row r="124" spans="1:26" ht="17.25" customHeight="1">
      <c r="A124" s="20"/>
      <c r="B124" s="20"/>
      <c r="C124" s="20"/>
      <c r="D124" s="20"/>
      <c r="E124" s="20"/>
      <c r="F124" s="20"/>
      <c r="G124" s="20"/>
      <c r="H124" s="20"/>
      <c r="I124" s="20"/>
      <c r="J124" s="20"/>
      <c r="K124" s="20"/>
      <c r="L124" s="20"/>
      <c r="M124" s="20"/>
      <c r="N124" s="29"/>
      <c r="O124" s="29"/>
      <c r="P124" s="29"/>
      <c r="Q124" s="29"/>
      <c r="R124" s="29"/>
      <c r="S124" s="29"/>
      <c r="T124" s="29"/>
      <c r="U124" s="29"/>
      <c r="V124" s="29"/>
      <c r="W124" s="20"/>
      <c r="X124" s="20"/>
      <c r="Y124" s="20"/>
      <c r="Z124" s="20"/>
    </row>
    <row r="125" spans="1:26" ht="17.25" customHeight="1">
      <c r="A125" s="20"/>
      <c r="B125" s="20"/>
      <c r="C125" s="20"/>
      <c r="D125" s="20"/>
      <c r="E125" s="20"/>
      <c r="F125" s="20"/>
      <c r="G125" s="20"/>
      <c r="H125" s="20"/>
      <c r="I125" s="20"/>
      <c r="J125" s="20"/>
      <c r="K125" s="20"/>
      <c r="L125" s="20"/>
      <c r="M125" s="20"/>
      <c r="N125" s="29"/>
      <c r="O125" s="29"/>
      <c r="P125" s="29"/>
      <c r="Q125" s="29"/>
      <c r="R125" s="29"/>
      <c r="S125" s="29"/>
      <c r="T125" s="29"/>
      <c r="U125" s="29"/>
      <c r="V125" s="29"/>
      <c r="W125" s="20"/>
      <c r="X125" s="20"/>
      <c r="Y125" s="20"/>
      <c r="Z125" s="20"/>
    </row>
    <row r="126" spans="1:26" ht="17.25" customHeight="1">
      <c r="A126" s="20"/>
      <c r="B126" s="20"/>
      <c r="C126" s="20"/>
      <c r="D126" s="20"/>
      <c r="E126" s="20"/>
      <c r="F126" s="20"/>
      <c r="G126" s="20"/>
      <c r="H126" s="20"/>
      <c r="I126" s="20"/>
      <c r="J126" s="20"/>
      <c r="K126" s="20"/>
      <c r="L126" s="20"/>
      <c r="M126" s="20"/>
      <c r="N126" s="29"/>
      <c r="O126" s="29"/>
      <c r="P126" s="29"/>
      <c r="Q126" s="29"/>
      <c r="R126" s="29"/>
      <c r="S126" s="29"/>
      <c r="T126" s="29"/>
      <c r="U126" s="29"/>
      <c r="V126" s="29"/>
      <c r="W126" s="20"/>
      <c r="X126" s="20"/>
      <c r="Y126" s="20"/>
      <c r="Z126" s="20"/>
    </row>
    <row r="127" spans="1:26" ht="17.25" customHeight="1">
      <c r="A127" s="20"/>
      <c r="B127" s="20"/>
      <c r="C127" s="20"/>
      <c r="D127" s="20"/>
      <c r="E127" s="20"/>
      <c r="F127" s="20"/>
      <c r="G127" s="20"/>
      <c r="H127" s="20"/>
      <c r="I127" s="20"/>
      <c r="J127" s="20"/>
      <c r="K127" s="20"/>
      <c r="L127" s="20"/>
      <c r="M127" s="20"/>
      <c r="N127" s="29"/>
      <c r="O127" s="29"/>
      <c r="P127" s="29"/>
      <c r="Q127" s="29"/>
      <c r="R127" s="29"/>
      <c r="S127" s="29"/>
      <c r="T127" s="29"/>
      <c r="U127" s="29"/>
      <c r="V127" s="29"/>
      <c r="W127" s="20"/>
      <c r="X127" s="20"/>
      <c r="Y127" s="20"/>
      <c r="Z127" s="20"/>
    </row>
    <row r="128" spans="1:26" ht="17.25" customHeight="1">
      <c r="A128" s="20"/>
      <c r="B128" s="20"/>
      <c r="C128" s="20"/>
      <c r="D128" s="20"/>
      <c r="E128" s="20"/>
      <c r="F128" s="20"/>
      <c r="G128" s="20"/>
      <c r="H128" s="20"/>
      <c r="I128" s="20"/>
      <c r="J128" s="20"/>
      <c r="K128" s="20"/>
      <c r="L128" s="20"/>
      <c r="M128" s="20"/>
      <c r="N128" s="29"/>
      <c r="O128" s="29"/>
      <c r="P128" s="29"/>
      <c r="Q128" s="29"/>
      <c r="R128" s="29"/>
      <c r="S128" s="29"/>
      <c r="T128" s="29"/>
      <c r="U128" s="29"/>
      <c r="V128" s="29"/>
      <c r="W128" s="20"/>
      <c r="X128" s="20"/>
      <c r="Y128" s="20"/>
      <c r="Z128" s="20"/>
    </row>
    <row r="129" spans="1:26" ht="17.25" customHeight="1">
      <c r="A129" s="20"/>
      <c r="B129" s="20"/>
      <c r="C129" s="20"/>
      <c r="D129" s="20"/>
      <c r="E129" s="20"/>
      <c r="F129" s="20"/>
      <c r="G129" s="20"/>
      <c r="H129" s="20"/>
      <c r="I129" s="20"/>
      <c r="J129" s="20"/>
      <c r="K129" s="20"/>
      <c r="L129" s="20"/>
      <c r="M129" s="20"/>
      <c r="N129" s="29"/>
      <c r="O129" s="29"/>
      <c r="P129" s="29"/>
      <c r="Q129" s="29"/>
      <c r="R129" s="29"/>
      <c r="S129" s="29"/>
      <c r="T129" s="29"/>
      <c r="U129" s="29"/>
      <c r="V129" s="29"/>
      <c r="W129" s="20"/>
      <c r="X129" s="20"/>
      <c r="Y129" s="20"/>
      <c r="Z129" s="20"/>
    </row>
    <row r="130" spans="1:26" ht="17.25" customHeight="1">
      <c r="A130" s="20"/>
      <c r="B130" s="20"/>
      <c r="C130" s="20"/>
      <c r="D130" s="20"/>
      <c r="E130" s="20"/>
      <c r="F130" s="20"/>
      <c r="G130" s="20"/>
      <c r="H130" s="20"/>
      <c r="I130" s="20"/>
      <c r="J130" s="20"/>
      <c r="K130" s="20"/>
      <c r="L130" s="20"/>
      <c r="M130" s="20"/>
      <c r="N130" s="29"/>
      <c r="O130" s="29"/>
      <c r="P130" s="29"/>
      <c r="Q130" s="29"/>
      <c r="R130" s="29"/>
      <c r="S130" s="29"/>
      <c r="T130" s="29"/>
      <c r="U130" s="29"/>
      <c r="V130" s="29"/>
      <c r="W130" s="20"/>
      <c r="X130" s="20"/>
      <c r="Y130" s="20"/>
      <c r="Z130" s="20"/>
    </row>
    <row r="131" spans="1:26" ht="17.25" customHeight="1">
      <c r="A131" s="20"/>
      <c r="B131" s="20"/>
      <c r="C131" s="20"/>
      <c r="D131" s="20"/>
      <c r="E131" s="20"/>
      <c r="F131" s="20"/>
      <c r="G131" s="20"/>
      <c r="H131" s="20"/>
      <c r="I131" s="20"/>
      <c r="J131" s="20"/>
      <c r="K131" s="20"/>
      <c r="L131" s="20"/>
      <c r="M131" s="20"/>
      <c r="N131" s="29"/>
      <c r="O131" s="29"/>
      <c r="P131" s="29"/>
      <c r="Q131" s="29"/>
      <c r="R131" s="29"/>
      <c r="S131" s="29"/>
      <c r="T131" s="29"/>
      <c r="U131" s="29"/>
      <c r="V131" s="29"/>
      <c r="W131" s="20"/>
      <c r="X131" s="20"/>
      <c r="Y131" s="20"/>
      <c r="Z131" s="20"/>
    </row>
    <row r="132" spans="1:26" ht="17.25" customHeight="1">
      <c r="A132" s="20"/>
      <c r="B132" s="20"/>
      <c r="C132" s="20"/>
      <c r="D132" s="20"/>
      <c r="E132" s="20"/>
      <c r="F132" s="20"/>
      <c r="G132" s="20"/>
      <c r="H132" s="20"/>
      <c r="I132" s="20"/>
      <c r="J132" s="20"/>
      <c r="K132" s="20"/>
      <c r="L132" s="20"/>
      <c r="M132" s="20"/>
      <c r="N132" s="29"/>
      <c r="O132" s="29"/>
      <c r="P132" s="29"/>
      <c r="Q132" s="29"/>
      <c r="R132" s="29"/>
      <c r="S132" s="29"/>
      <c r="T132" s="29"/>
      <c r="U132" s="29"/>
      <c r="V132" s="29"/>
      <c r="W132" s="20"/>
      <c r="X132" s="20"/>
      <c r="Y132" s="20"/>
      <c r="Z132" s="20"/>
    </row>
    <row r="133" spans="1:26" ht="17.25" customHeight="1">
      <c r="A133" s="20"/>
      <c r="B133" s="20"/>
      <c r="C133" s="20"/>
      <c r="D133" s="20"/>
      <c r="E133" s="20"/>
      <c r="F133" s="20"/>
      <c r="G133" s="20"/>
      <c r="H133" s="20"/>
      <c r="I133" s="20"/>
      <c r="J133" s="20"/>
      <c r="K133" s="20"/>
      <c r="L133" s="20"/>
      <c r="M133" s="20"/>
      <c r="N133" s="29"/>
      <c r="O133" s="29"/>
      <c r="P133" s="29"/>
      <c r="Q133" s="29"/>
      <c r="R133" s="29"/>
      <c r="S133" s="29"/>
      <c r="T133" s="29"/>
      <c r="U133" s="29"/>
      <c r="V133" s="29"/>
      <c r="W133" s="20"/>
      <c r="X133" s="20"/>
      <c r="Y133" s="20"/>
      <c r="Z133" s="20"/>
    </row>
    <row r="134" spans="1:26" ht="17.25" customHeight="1">
      <c r="A134" s="20"/>
      <c r="B134" s="20"/>
      <c r="C134" s="20"/>
      <c r="D134" s="20"/>
      <c r="E134" s="20"/>
      <c r="F134" s="20"/>
      <c r="G134" s="20"/>
      <c r="H134" s="20"/>
      <c r="I134" s="20"/>
      <c r="J134" s="20"/>
      <c r="K134" s="20"/>
      <c r="L134" s="20"/>
      <c r="M134" s="20"/>
      <c r="N134" s="29"/>
      <c r="O134" s="29"/>
      <c r="P134" s="29"/>
      <c r="Q134" s="29"/>
      <c r="R134" s="29"/>
      <c r="S134" s="29"/>
      <c r="T134" s="29"/>
      <c r="U134" s="29"/>
      <c r="V134" s="29"/>
      <c r="W134" s="20"/>
      <c r="X134" s="20"/>
      <c r="Y134" s="20"/>
      <c r="Z134" s="20"/>
    </row>
    <row r="135" spans="1:26" ht="17.25" customHeight="1">
      <c r="A135" s="20"/>
      <c r="B135" s="20"/>
      <c r="C135" s="20"/>
      <c r="D135" s="20"/>
      <c r="E135" s="20"/>
      <c r="F135" s="20"/>
      <c r="G135" s="20"/>
      <c r="H135" s="20"/>
      <c r="I135" s="20"/>
      <c r="J135" s="20"/>
      <c r="K135" s="20"/>
      <c r="L135" s="20"/>
      <c r="M135" s="20"/>
      <c r="N135" s="29"/>
      <c r="O135" s="29"/>
      <c r="P135" s="29"/>
      <c r="Q135" s="29"/>
      <c r="R135" s="29"/>
      <c r="S135" s="29"/>
      <c r="T135" s="29"/>
      <c r="U135" s="29"/>
      <c r="V135" s="29"/>
      <c r="W135" s="20"/>
      <c r="X135" s="20"/>
      <c r="Y135" s="20"/>
      <c r="Z135" s="20"/>
    </row>
    <row r="136" spans="1:26" ht="17.25" customHeight="1">
      <c r="A136" s="20"/>
      <c r="B136" s="20"/>
      <c r="C136" s="20"/>
      <c r="D136" s="20"/>
      <c r="E136" s="20"/>
      <c r="F136" s="20"/>
      <c r="G136" s="20"/>
      <c r="H136" s="20"/>
      <c r="I136" s="20"/>
      <c r="J136" s="20"/>
      <c r="K136" s="20"/>
      <c r="L136" s="20"/>
      <c r="M136" s="20"/>
      <c r="N136" s="29"/>
      <c r="O136" s="29"/>
      <c r="P136" s="29"/>
      <c r="Q136" s="29"/>
      <c r="R136" s="29"/>
      <c r="S136" s="29"/>
      <c r="T136" s="29"/>
      <c r="U136" s="29"/>
      <c r="V136" s="29"/>
      <c r="W136" s="20"/>
      <c r="X136" s="20"/>
      <c r="Y136" s="20"/>
      <c r="Z136" s="20"/>
    </row>
    <row r="137" spans="1:26" ht="17.25" customHeight="1">
      <c r="A137" s="20"/>
      <c r="B137" s="20"/>
      <c r="C137" s="20"/>
      <c r="D137" s="20"/>
      <c r="E137" s="20"/>
      <c r="F137" s="20"/>
      <c r="G137" s="20"/>
      <c r="H137" s="20"/>
      <c r="I137" s="20"/>
      <c r="J137" s="20"/>
      <c r="K137" s="20"/>
      <c r="L137" s="20"/>
      <c r="M137" s="20"/>
      <c r="N137" s="20"/>
      <c r="O137" s="29"/>
      <c r="P137" s="29"/>
      <c r="Q137" s="29"/>
      <c r="R137" s="29"/>
      <c r="S137" s="29"/>
      <c r="T137" s="29"/>
      <c r="U137" s="29"/>
      <c r="V137" s="29"/>
      <c r="W137" s="20"/>
      <c r="X137" s="20"/>
      <c r="Y137" s="20"/>
      <c r="Z137" s="20"/>
    </row>
    <row r="138" spans="1:26" ht="17.25" customHeight="1">
      <c r="A138" s="20"/>
      <c r="B138" s="20"/>
      <c r="C138" s="20"/>
      <c r="D138" s="20"/>
      <c r="E138" s="20"/>
      <c r="F138" s="20"/>
      <c r="G138" s="20"/>
      <c r="H138" s="20"/>
      <c r="I138" s="20"/>
      <c r="J138" s="20"/>
      <c r="K138" s="20"/>
      <c r="L138" s="20"/>
      <c r="M138" s="20"/>
      <c r="N138" s="20"/>
      <c r="O138" s="29"/>
      <c r="P138" s="29"/>
      <c r="Q138" s="29"/>
      <c r="R138" s="29"/>
      <c r="S138" s="29"/>
      <c r="T138" s="29"/>
      <c r="U138" s="29"/>
      <c r="V138" s="29"/>
      <c r="W138" s="20"/>
      <c r="X138" s="20"/>
      <c r="Y138" s="20"/>
      <c r="Z138" s="20"/>
    </row>
    <row r="139" spans="1:26" ht="17.25" customHeight="1">
      <c r="A139" s="20"/>
      <c r="B139" s="20"/>
      <c r="C139" s="20"/>
      <c r="D139" s="20"/>
      <c r="E139" s="20"/>
      <c r="F139" s="20"/>
      <c r="G139" s="20"/>
      <c r="H139" s="20"/>
      <c r="I139" s="20"/>
      <c r="J139" s="20"/>
      <c r="K139" s="20"/>
      <c r="L139" s="20"/>
      <c r="M139" s="20"/>
      <c r="N139" s="20"/>
      <c r="O139" s="29"/>
      <c r="P139" s="29"/>
      <c r="Q139" s="29"/>
      <c r="R139" s="29"/>
      <c r="S139" s="29"/>
      <c r="T139" s="29"/>
      <c r="U139" s="29"/>
      <c r="V139" s="29"/>
      <c r="W139" s="20"/>
      <c r="X139" s="20"/>
      <c r="Y139" s="20"/>
      <c r="Z139" s="20"/>
    </row>
    <row r="140" spans="1:26" ht="17.25" customHeight="1">
      <c r="A140" s="20"/>
      <c r="B140" s="20"/>
      <c r="C140" s="20"/>
      <c r="D140" s="20"/>
      <c r="E140" s="20"/>
      <c r="F140" s="20"/>
      <c r="G140" s="20"/>
      <c r="H140" s="20"/>
      <c r="I140" s="20"/>
      <c r="J140" s="20"/>
      <c r="K140" s="20"/>
      <c r="L140" s="20"/>
      <c r="M140" s="20"/>
      <c r="N140" s="20"/>
      <c r="O140" s="29"/>
      <c r="P140" s="29"/>
      <c r="Q140" s="29"/>
      <c r="R140" s="29"/>
      <c r="S140" s="29"/>
      <c r="T140" s="29"/>
      <c r="U140" s="29"/>
      <c r="V140" s="29"/>
      <c r="W140" s="20"/>
      <c r="X140" s="20"/>
      <c r="Y140" s="20"/>
      <c r="Z140" s="20"/>
    </row>
    <row r="141" spans="1:26" ht="17.25" customHeight="1">
      <c r="A141" s="20"/>
      <c r="B141" s="20"/>
      <c r="C141" s="20"/>
      <c r="D141" s="20"/>
      <c r="E141" s="20"/>
      <c r="F141" s="20"/>
      <c r="G141" s="20"/>
      <c r="H141" s="20"/>
      <c r="I141" s="20"/>
      <c r="J141" s="20"/>
      <c r="K141" s="20"/>
      <c r="L141" s="20"/>
      <c r="M141" s="20"/>
      <c r="N141" s="20"/>
      <c r="O141" s="29"/>
      <c r="P141" s="29"/>
      <c r="Q141" s="29"/>
      <c r="R141" s="29"/>
      <c r="S141" s="29"/>
      <c r="T141" s="29"/>
      <c r="U141" s="29"/>
      <c r="V141" s="29"/>
      <c r="W141" s="20"/>
      <c r="X141" s="20"/>
      <c r="Y141" s="20"/>
      <c r="Z141" s="20"/>
    </row>
    <row r="142" spans="1:26" ht="17.25" customHeight="1">
      <c r="A142" s="20"/>
      <c r="B142" s="20"/>
      <c r="C142" s="20"/>
      <c r="D142" s="20"/>
      <c r="E142" s="20"/>
      <c r="F142" s="20"/>
      <c r="G142" s="20"/>
      <c r="H142" s="20"/>
      <c r="I142" s="20"/>
      <c r="J142" s="20"/>
      <c r="K142" s="20"/>
      <c r="L142" s="20"/>
      <c r="M142" s="20"/>
      <c r="N142" s="20"/>
      <c r="O142" s="29"/>
      <c r="P142" s="29"/>
      <c r="Q142" s="29"/>
      <c r="R142" s="29"/>
      <c r="S142" s="29"/>
      <c r="T142" s="29"/>
      <c r="U142" s="29"/>
      <c r="V142" s="29"/>
      <c r="W142" s="20"/>
      <c r="X142" s="20"/>
      <c r="Y142" s="20"/>
      <c r="Z142" s="20"/>
    </row>
    <row r="143" spans="1:26" ht="17.25" customHeight="1">
      <c r="A143" s="20"/>
      <c r="B143" s="20"/>
      <c r="C143" s="20"/>
      <c r="D143" s="20"/>
      <c r="E143" s="20"/>
      <c r="F143" s="20"/>
      <c r="G143" s="20"/>
      <c r="H143" s="20"/>
      <c r="I143" s="20"/>
      <c r="J143" s="20"/>
      <c r="K143" s="20"/>
      <c r="L143" s="20"/>
      <c r="M143" s="20"/>
      <c r="N143" s="20"/>
      <c r="O143" s="29"/>
      <c r="P143" s="29"/>
      <c r="Q143" s="29"/>
      <c r="R143" s="29"/>
      <c r="S143" s="29"/>
      <c r="T143" s="29"/>
      <c r="U143" s="29"/>
      <c r="V143" s="29"/>
      <c r="W143" s="20"/>
      <c r="X143" s="20"/>
      <c r="Y143" s="20"/>
      <c r="Z143" s="20"/>
    </row>
    <row r="144" spans="1:26" ht="17.25" customHeight="1">
      <c r="A144" s="20"/>
      <c r="B144" s="20"/>
      <c r="C144" s="20"/>
      <c r="D144" s="20"/>
      <c r="E144" s="20"/>
      <c r="F144" s="20"/>
      <c r="G144" s="20"/>
      <c r="H144" s="20"/>
      <c r="I144" s="20"/>
      <c r="J144" s="20"/>
      <c r="K144" s="20"/>
      <c r="L144" s="20"/>
      <c r="M144" s="20"/>
      <c r="N144" s="20"/>
      <c r="O144" s="29"/>
      <c r="P144" s="29"/>
      <c r="Q144" s="29"/>
      <c r="R144" s="29"/>
      <c r="S144" s="29"/>
      <c r="T144" s="29"/>
      <c r="U144" s="29"/>
      <c r="V144" s="29"/>
      <c r="W144" s="20"/>
      <c r="X144" s="20"/>
      <c r="Y144" s="20"/>
      <c r="Z144" s="20"/>
    </row>
    <row r="145" spans="1:26" ht="17.25" customHeight="1">
      <c r="A145" s="20"/>
      <c r="B145" s="20"/>
      <c r="C145" s="20"/>
      <c r="D145" s="20"/>
      <c r="E145" s="20"/>
      <c r="F145" s="20"/>
      <c r="G145" s="20"/>
      <c r="H145" s="20"/>
      <c r="I145" s="20"/>
      <c r="J145" s="20"/>
      <c r="K145" s="20"/>
      <c r="L145" s="20"/>
      <c r="M145" s="20"/>
      <c r="N145" s="20"/>
      <c r="O145" s="29"/>
      <c r="P145" s="29"/>
      <c r="Q145" s="29"/>
      <c r="R145" s="29"/>
      <c r="S145" s="29"/>
      <c r="T145" s="29"/>
      <c r="U145" s="29"/>
      <c r="V145" s="29"/>
      <c r="W145" s="20"/>
      <c r="X145" s="20"/>
      <c r="Y145" s="20"/>
      <c r="Z145" s="20"/>
    </row>
    <row r="146" spans="1:26" ht="17.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A1:J1"/>
    <mergeCell ref="C3:J3"/>
    <mergeCell ref="C4:J4"/>
    <mergeCell ref="O4:V70"/>
    <mergeCell ref="C5:J5"/>
    <mergeCell ref="C6:J6"/>
    <mergeCell ref="C7:J7"/>
    <mergeCell ref="C8:J8"/>
    <mergeCell ref="C9:J9"/>
  </mergeCells>
  <conditionalFormatting sqref="B3:B9">
    <cfRule type="containsBlanks" dxfId="64" priority="1">
      <formula>LEN(TRIM(B3))=0</formula>
    </cfRule>
  </conditionalFormatting>
  <dataValidations count="1">
    <dataValidation type="list" allowBlank="1" showErrorMessage="1" sqref="B3" xr:uid="{00000000-0002-0000-0100-000000000000}">
      <formula1>"City,State,Country,Region"</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sheetViews>
  <sheetFormatPr baseColWidth="10" defaultColWidth="11.28515625" defaultRowHeight="15" customHeight="1"/>
  <cols>
    <col min="1" max="2" width="11.42578125" customWidth="1"/>
    <col min="3" max="5" width="16.140625" customWidth="1"/>
    <col min="6" max="10" width="32" customWidth="1"/>
    <col min="11" max="11" width="24.85546875" customWidth="1"/>
    <col min="12" max="12" width="29.7109375" customWidth="1"/>
    <col min="13" max="13" width="32.28515625" customWidth="1"/>
    <col min="14" max="14" width="19.85546875" customWidth="1"/>
    <col min="15" max="15" width="14.42578125" customWidth="1"/>
    <col min="16" max="16" width="32.7109375" customWidth="1"/>
    <col min="17" max="17" width="29.7109375" customWidth="1"/>
    <col min="18" max="18" width="22.7109375" customWidth="1"/>
    <col min="19" max="26" width="11.42578125" customWidth="1"/>
  </cols>
  <sheetData>
    <row r="1" spans="1:20" ht="17.25" customHeight="1">
      <c r="A1" s="36" t="s">
        <v>65</v>
      </c>
      <c r="B1" s="36" t="s">
        <v>66</v>
      </c>
      <c r="C1" s="36" t="s">
        <v>67</v>
      </c>
      <c r="D1" s="36" t="s">
        <v>68</v>
      </c>
      <c r="E1" s="36"/>
      <c r="F1" s="36" t="s">
        <v>69</v>
      </c>
      <c r="G1" s="36" t="s">
        <v>70</v>
      </c>
      <c r="H1" s="36" t="s">
        <v>71</v>
      </c>
      <c r="I1" s="36" t="s">
        <v>72</v>
      </c>
      <c r="J1" s="36" t="s">
        <v>73</v>
      </c>
      <c r="K1" s="36" t="s">
        <v>74</v>
      </c>
      <c r="L1" s="36" t="s">
        <v>75</v>
      </c>
      <c r="M1" s="36" t="s">
        <v>76</v>
      </c>
      <c r="N1" s="36" t="s">
        <v>77</v>
      </c>
      <c r="O1" s="36" t="s">
        <v>78</v>
      </c>
      <c r="P1" s="36" t="s">
        <v>79</v>
      </c>
      <c r="Q1" s="36" t="s">
        <v>80</v>
      </c>
      <c r="R1" s="36" t="s">
        <v>81</v>
      </c>
      <c r="S1" s="36" t="s">
        <v>82</v>
      </c>
      <c r="T1" s="36" t="s">
        <v>83</v>
      </c>
    </row>
    <row r="2" spans="1:20" ht="17.25" customHeight="1">
      <c r="A2" s="15" t="s">
        <v>84</v>
      </c>
      <c r="B2" s="15" t="s">
        <v>85</v>
      </c>
      <c r="C2" s="15" t="s">
        <v>86</v>
      </c>
      <c r="D2" s="15" t="s">
        <v>87</v>
      </c>
      <c r="F2" s="15" t="s">
        <v>88</v>
      </c>
      <c r="G2" s="15" t="s">
        <v>89</v>
      </c>
      <c r="H2" s="15" t="s">
        <v>90</v>
      </c>
      <c r="I2" s="15" t="s">
        <v>91</v>
      </c>
      <c r="J2" s="15" t="s">
        <v>92</v>
      </c>
      <c r="K2" s="15" t="s">
        <v>93</v>
      </c>
      <c r="L2" s="15" t="s">
        <v>91</v>
      </c>
      <c r="M2" s="15" t="s">
        <v>94</v>
      </c>
      <c r="N2" s="15" t="s">
        <v>95</v>
      </c>
      <c r="O2" s="15" t="s">
        <v>96</v>
      </c>
      <c r="P2" s="15" t="s">
        <v>97</v>
      </c>
      <c r="Q2" s="15" t="s">
        <v>98</v>
      </c>
      <c r="R2" s="15" t="s">
        <v>99</v>
      </c>
      <c r="S2" s="15" t="s">
        <v>100</v>
      </c>
      <c r="T2" s="15" t="s">
        <v>101</v>
      </c>
    </row>
    <row r="3" spans="1:20" ht="17.25" customHeight="1">
      <c r="B3" s="15" t="s">
        <v>102</v>
      </c>
      <c r="C3" s="15" t="s">
        <v>103</v>
      </c>
      <c r="D3" s="15" t="s">
        <v>104</v>
      </c>
      <c r="F3" s="15" t="s">
        <v>105</v>
      </c>
      <c r="G3" s="15" t="s">
        <v>106</v>
      </c>
      <c r="H3" s="15" t="s">
        <v>107</v>
      </c>
      <c r="I3" s="15" t="s">
        <v>108</v>
      </c>
      <c r="J3" s="15" t="s">
        <v>109</v>
      </c>
      <c r="K3" s="15" t="s">
        <v>110</v>
      </c>
      <c r="L3" s="15" t="s">
        <v>111</v>
      </c>
      <c r="M3" s="15" t="s">
        <v>112</v>
      </c>
      <c r="N3" s="15" t="s">
        <v>113</v>
      </c>
      <c r="O3" s="15" t="s">
        <v>114</v>
      </c>
      <c r="P3" s="15" t="s">
        <v>115</v>
      </c>
      <c r="Q3" s="15" t="s">
        <v>116</v>
      </c>
      <c r="R3" s="15" t="s">
        <v>117</v>
      </c>
      <c r="S3" s="15" t="s">
        <v>118</v>
      </c>
      <c r="T3" s="15" t="s">
        <v>119</v>
      </c>
    </row>
    <row r="4" spans="1:20" ht="17.25" customHeight="1">
      <c r="C4" s="15" t="s">
        <v>120</v>
      </c>
      <c r="F4" s="15" t="s">
        <v>121</v>
      </c>
      <c r="G4" s="15" t="s">
        <v>122</v>
      </c>
      <c r="K4" s="15" t="s">
        <v>123</v>
      </c>
      <c r="L4" s="15" t="s">
        <v>124</v>
      </c>
      <c r="M4" s="15" t="s">
        <v>125</v>
      </c>
      <c r="N4" s="15" t="s">
        <v>126</v>
      </c>
      <c r="O4" s="15" t="s">
        <v>127</v>
      </c>
      <c r="P4" s="15" t="s">
        <v>128</v>
      </c>
      <c r="Q4" s="15" t="s">
        <v>129</v>
      </c>
    </row>
    <row r="5" spans="1:20" ht="17.25" customHeight="1">
      <c r="L5" s="15" t="s">
        <v>130</v>
      </c>
      <c r="M5" s="15" t="s">
        <v>131</v>
      </c>
      <c r="N5" s="15" t="s">
        <v>132</v>
      </c>
      <c r="O5" s="15" t="s">
        <v>133</v>
      </c>
      <c r="P5" s="15" t="s">
        <v>134</v>
      </c>
      <c r="Q5" s="15" t="s">
        <v>135</v>
      </c>
    </row>
    <row r="6" spans="1:20" ht="17.25" customHeight="1">
      <c r="L6" s="15" t="s">
        <v>136</v>
      </c>
      <c r="N6" s="15" t="s">
        <v>137</v>
      </c>
      <c r="O6" s="15" t="s">
        <v>138</v>
      </c>
      <c r="P6" s="15" t="s">
        <v>139</v>
      </c>
    </row>
    <row r="7" spans="1:20" ht="17.25" customHeight="1">
      <c r="N7" s="15" t="s">
        <v>140</v>
      </c>
      <c r="P7" s="15" t="s">
        <v>141</v>
      </c>
    </row>
    <row r="8" spans="1:20" ht="17.25" customHeight="1"/>
    <row r="9" spans="1:20" ht="17.25" customHeight="1"/>
    <row r="10" spans="1:20" ht="17.25" customHeight="1"/>
    <row r="11" spans="1:20" ht="17.25" customHeight="1"/>
    <row r="12" spans="1:20" ht="17.25" customHeight="1"/>
    <row r="13" spans="1:20" ht="17.25" customHeight="1"/>
    <row r="14" spans="1:20" ht="17.25" customHeight="1"/>
    <row r="15" spans="1:20" ht="17.25" customHeight="1"/>
    <row r="16" spans="1:20"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00"/>
  <sheetViews>
    <sheetView workbookViewId="0"/>
  </sheetViews>
  <sheetFormatPr baseColWidth="10" defaultColWidth="11.28515625" defaultRowHeight="15" customHeight="1"/>
  <cols>
    <col min="1" max="1" width="23.28515625" customWidth="1"/>
    <col min="2" max="3" width="11.42578125" customWidth="1"/>
    <col min="4" max="5" width="13.42578125" customWidth="1"/>
    <col min="6" max="6" width="12.85546875" customWidth="1"/>
    <col min="7" max="7" width="11.42578125" customWidth="1"/>
    <col min="8" max="8" width="15" customWidth="1"/>
    <col min="9" max="9" width="18.140625" customWidth="1"/>
    <col min="10" max="10" width="21" customWidth="1"/>
    <col min="11" max="26" width="11.42578125" customWidth="1"/>
  </cols>
  <sheetData>
    <row r="1" spans="1:20" ht="17.25" customHeight="1">
      <c r="A1" s="36" t="s">
        <v>142</v>
      </c>
      <c r="B1" s="36" t="s">
        <v>65</v>
      </c>
      <c r="C1" s="36" t="s">
        <v>66</v>
      </c>
      <c r="D1" s="36" t="s">
        <v>67</v>
      </c>
      <c r="E1" s="36" t="s">
        <v>68</v>
      </c>
      <c r="F1" s="36" t="s">
        <v>69</v>
      </c>
      <c r="G1" s="36" t="s">
        <v>70</v>
      </c>
      <c r="H1" s="36" t="s">
        <v>71</v>
      </c>
      <c r="I1" s="36" t="s">
        <v>72</v>
      </c>
      <c r="J1" s="36" t="s">
        <v>73</v>
      </c>
      <c r="K1" s="36" t="s">
        <v>74</v>
      </c>
      <c r="L1" s="36" t="s">
        <v>75</v>
      </c>
      <c r="M1" s="36" t="s">
        <v>76</v>
      </c>
      <c r="N1" s="36" t="s">
        <v>77</v>
      </c>
      <c r="O1" s="36" t="s">
        <v>78</v>
      </c>
      <c r="P1" s="36" t="s">
        <v>79</v>
      </c>
      <c r="Q1" s="36" t="s">
        <v>80</v>
      </c>
      <c r="R1" s="36" t="s">
        <v>81</v>
      </c>
      <c r="S1" s="36" t="s">
        <v>83</v>
      </c>
      <c r="T1" s="36" t="s">
        <v>82</v>
      </c>
    </row>
    <row r="2" spans="1:20" ht="17.25" customHeight="1">
      <c r="A2" s="36" t="s">
        <v>143</v>
      </c>
    </row>
    <row r="3" spans="1:20" ht="17.25" customHeight="1">
      <c r="A3" s="15" t="s">
        <v>144</v>
      </c>
      <c r="B3" s="15" t="s">
        <v>145</v>
      </c>
      <c r="C3" s="15" t="s">
        <v>145</v>
      </c>
    </row>
    <row r="4" spans="1:20" ht="17.25" customHeight="1">
      <c r="A4" s="15" t="s">
        <v>82</v>
      </c>
      <c r="B4" s="15" t="s">
        <v>145</v>
      </c>
      <c r="C4" s="15" t="s">
        <v>145</v>
      </c>
      <c r="T4" s="15" t="s">
        <v>145</v>
      </c>
    </row>
    <row r="5" spans="1:20" ht="17.25" customHeight="1">
      <c r="A5" s="15" t="s">
        <v>146</v>
      </c>
      <c r="B5" s="15" t="s">
        <v>145</v>
      </c>
      <c r="C5" s="15" t="s">
        <v>145</v>
      </c>
      <c r="R5" s="15" t="s">
        <v>145</v>
      </c>
    </row>
    <row r="6" spans="1:20" ht="17.25" customHeight="1">
      <c r="A6" s="15" t="s">
        <v>83</v>
      </c>
      <c r="B6" s="15" t="s">
        <v>145</v>
      </c>
      <c r="S6" s="15" t="s">
        <v>145</v>
      </c>
    </row>
    <row r="7" spans="1:20" ht="17.25" customHeight="1">
      <c r="A7" s="15" t="s">
        <v>147</v>
      </c>
      <c r="B7" s="15" t="s">
        <v>145</v>
      </c>
      <c r="C7" s="15" t="s">
        <v>145</v>
      </c>
    </row>
    <row r="8" spans="1:20" ht="17.25" customHeight="1">
      <c r="A8" s="36" t="s">
        <v>148</v>
      </c>
      <c r="B8" s="15" t="s">
        <v>145</v>
      </c>
      <c r="C8" s="15" t="s">
        <v>145</v>
      </c>
      <c r="N8" s="15" t="s">
        <v>145</v>
      </c>
      <c r="O8" s="15" t="s">
        <v>145</v>
      </c>
      <c r="P8" s="15" t="s">
        <v>145</v>
      </c>
      <c r="Q8" s="15" t="s">
        <v>145</v>
      </c>
    </row>
    <row r="9" spans="1:20" ht="17.25" customHeight="1">
      <c r="A9" s="15" t="s">
        <v>149</v>
      </c>
      <c r="B9" s="15" t="s">
        <v>145</v>
      </c>
      <c r="N9" s="15" t="s">
        <v>145</v>
      </c>
      <c r="O9" s="15" t="s">
        <v>145</v>
      </c>
      <c r="P9" s="15" t="s">
        <v>145</v>
      </c>
    </row>
    <row r="10" spans="1:20" ht="17.25" customHeight="1">
      <c r="A10" s="15" t="s">
        <v>77</v>
      </c>
      <c r="B10" s="15" t="s">
        <v>145</v>
      </c>
      <c r="N10" s="15" t="s">
        <v>145</v>
      </c>
      <c r="P10" s="15" t="s">
        <v>145</v>
      </c>
    </row>
    <row r="11" spans="1:20" ht="17.25" customHeight="1">
      <c r="A11" s="15" t="s">
        <v>78</v>
      </c>
      <c r="B11" s="15" t="s">
        <v>145</v>
      </c>
      <c r="O11" s="15" t="s">
        <v>145</v>
      </c>
      <c r="P11" s="15" t="s">
        <v>145</v>
      </c>
    </row>
    <row r="12" spans="1:20" ht="17.25" customHeight="1">
      <c r="A12" s="15" t="s">
        <v>150</v>
      </c>
      <c r="B12" s="15" t="s">
        <v>145</v>
      </c>
      <c r="C12" s="15" t="s">
        <v>145</v>
      </c>
      <c r="K12" s="15" t="s">
        <v>145</v>
      </c>
    </row>
    <row r="13" spans="1:20" ht="17.25" customHeight="1">
      <c r="A13" s="15" t="s">
        <v>151</v>
      </c>
      <c r="B13" s="15" t="s">
        <v>145</v>
      </c>
      <c r="C13" s="15" t="s">
        <v>145</v>
      </c>
      <c r="Q13" s="15" t="s">
        <v>145</v>
      </c>
    </row>
    <row r="14" spans="1:20" ht="17.25" customHeight="1">
      <c r="A14" s="36" t="s">
        <v>152</v>
      </c>
    </row>
    <row r="15" spans="1:20" ht="17.25" customHeight="1">
      <c r="A15" s="37" t="s">
        <v>153</v>
      </c>
    </row>
    <row r="16" spans="1:20" ht="16.5" customHeight="1">
      <c r="A16" s="37" t="s">
        <v>154</v>
      </c>
      <c r="B16" s="15" t="s">
        <v>145</v>
      </c>
      <c r="C16" s="15" t="s">
        <v>145</v>
      </c>
      <c r="D16" s="15" t="s">
        <v>145</v>
      </c>
      <c r="F16" s="15" t="s">
        <v>145</v>
      </c>
    </row>
    <row r="17" spans="1:13" ht="16.5" customHeight="1">
      <c r="A17" s="37" t="s">
        <v>155</v>
      </c>
      <c r="B17" s="15" t="s">
        <v>145</v>
      </c>
      <c r="C17" s="15" t="s">
        <v>145</v>
      </c>
      <c r="D17" s="15" t="s">
        <v>145</v>
      </c>
      <c r="F17" s="15" t="s">
        <v>145</v>
      </c>
    </row>
    <row r="18" spans="1:13" ht="16.5" customHeight="1">
      <c r="A18" s="37" t="s">
        <v>156</v>
      </c>
      <c r="B18" s="15" t="s">
        <v>145</v>
      </c>
      <c r="C18" s="15" t="s">
        <v>145</v>
      </c>
      <c r="G18" s="15" t="s">
        <v>145</v>
      </c>
    </row>
    <row r="19" spans="1:13" ht="17.25" customHeight="1">
      <c r="A19" s="37" t="s">
        <v>157</v>
      </c>
      <c r="B19" s="15" t="s">
        <v>145</v>
      </c>
      <c r="C19" s="15" t="s">
        <v>145</v>
      </c>
      <c r="D19" s="15" t="s">
        <v>145</v>
      </c>
      <c r="L19" s="15" t="s">
        <v>145</v>
      </c>
    </row>
    <row r="20" spans="1:13" ht="17.25" customHeight="1">
      <c r="A20" s="37" t="s">
        <v>158</v>
      </c>
      <c r="B20" s="15" t="s">
        <v>145</v>
      </c>
      <c r="C20" s="15" t="s">
        <v>145</v>
      </c>
    </row>
    <row r="21" spans="1:13" ht="17.25" customHeight="1">
      <c r="A21" s="37" t="s">
        <v>159</v>
      </c>
      <c r="B21" s="15" t="s">
        <v>145</v>
      </c>
      <c r="C21" s="15" t="s">
        <v>145</v>
      </c>
      <c r="I21" s="15" t="s">
        <v>145</v>
      </c>
    </row>
    <row r="22" spans="1:13" ht="17.25" customHeight="1">
      <c r="A22" s="37" t="s">
        <v>160</v>
      </c>
      <c r="B22" s="15" t="s">
        <v>145</v>
      </c>
      <c r="C22" s="15" t="s">
        <v>145</v>
      </c>
      <c r="J22" s="15" t="s">
        <v>145</v>
      </c>
    </row>
    <row r="23" spans="1:13" ht="17.25" customHeight="1">
      <c r="A23" s="37" t="s">
        <v>161</v>
      </c>
      <c r="B23" s="15" t="s">
        <v>145</v>
      </c>
      <c r="C23" s="15" t="s">
        <v>145</v>
      </c>
      <c r="H23" s="15" t="s">
        <v>145</v>
      </c>
    </row>
    <row r="24" spans="1:13" ht="17.25" customHeight="1">
      <c r="A24" s="37" t="s">
        <v>162</v>
      </c>
      <c r="B24" s="15" t="s">
        <v>145</v>
      </c>
      <c r="C24" s="15" t="s">
        <v>145</v>
      </c>
    </row>
    <row r="25" spans="1:13" ht="17.25" customHeight="1">
      <c r="A25" s="37" t="s">
        <v>163</v>
      </c>
      <c r="B25" s="15" t="s">
        <v>145</v>
      </c>
      <c r="C25" s="15" t="s">
        <v>145</v>
      </c>
      <c r="M25" s="15" t="s">
        <v>145</v>
      </c>
    </row>
    <row r="26" spans="1:13" ht="17.25" customHeight="1">
      <c r="A26" s="37" t="s">
        <v>164</v>
      </c>
      <c r="B26" s="15" t="s">
        <v>145</v>
      </c>
      <c r="C26" s="15" t="s">
        <v>145</v>
      </c>
      <c r="K26" s="15" t="s">
        <v>145</v>
      </c>
    </row>
    <row r="27" spans="1:13" ht="17.25" customHeight="1">
      <c r="A27" s="37" t="s">
        <v>165</v>
      </c>
      <c r="B27" s="15" t="s">
        <v>145</v>
      </c>
      <c r="C27" s="15" t="s">
        <v>145</v>
      </c>
      <c r="E27" s="15" t="s">
        <v>145</v>
      </c>
      <c r="K27" s="15" t="s">
        <v>145</v>
      </c>
    </row>
    <row r="28" spans="1:13" ht="17.25" customHeight="1">
      <c r="A28" s="37" t="s">
        <v>166</v>
      </c>
      <c r="B28" s="15" t="s">
        <v>145</v>
      </c>
      <c r="C28" s="15" t="s">
        <v>145</v>
      </c>
    </row>
    <row r="29" spans="1:13" ht="17.25" customHeight="1"/>
    <row r="30" spans="1:13" ht="17.25" customHeight="1"/>
    <row r="31" spans="1:13" ht="17.25" customHeight="1"/>
    <row r="32" spans="1:13"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522"/>
  <sheetViews>
    <sheetView workbookViewId="0"/>
  </sheetViews>
  <sheetFormatPr baseColWidth="10" defaultColWidth="11.28515625" defaultRowHeight="15" customHeight="1"/>
  <cols>
    <col min="1" max="1" width="27.42578125" customWidth="1"/>
    <col min="2" max="13" width="11.42578125" customWidth="1"/>
    <col min="14" max="14" width="83" customWidth="1"/>
    <col min="15" max="21" width="11.42578125" customWidth="1"/>
  </cols>
  <sheetData>
    <row r="1" spans="1:21" ht="19.5" customHeight="1">
      <c r="A1" s="228" t="s">
        <v>167</v>
      </c>
      <c r="B1" s="206"/>
      <c r="C1" s="206"/>
      <c r="D1" s="206"/>
      <c r="E1" s="206"/>
      <c r="F1" s="206"/>
      <c r="G1" s="206"/>
      <c r="H1" s="206"/>
      <c r="I1" s="206"/>
      <c r="J1" s="206"/>
      <c r="K1" s="206"/>
      <c r="L1" s="206"/>
      <c r="M1" s="206"/>
      <c r="N1" s="206"/>
      <c r="O1" s="206"/>
      <c r="P1" s="206"/>
    </row>
    <row r="2" spans="1:21" ht="17.25" customHeight="1">
      <c r="A2" s="36" t="s">
        <v>143</v>
      </c>
      <c r="B2" s="36" t="s">
        <v>144</v>
      </c>
      <c r="C2" s="36" t="s">
        <v>82</v>
      </c>
      <c r="D2" s="36" t="s">
        <v>146</v>
      </c>
      <c r="E2" s="36" t="s">
        <v>168</v>
      </c>
      <c r="F2" s="36" t="s">
        <v>147</v>
      </c>
      <c r="G2" s="36" t="s">
        <v>148</v>
      </c>
      <c r="H2" s="36" t="s">
        <v>149</v>
      </c>
      <c r="I2" s="36" t="s">
        <v>77</v>
      </c>
      <c r="J2" s="36" t="s">
        <v>78</v>
      </c>
      <c r="K2" s="36" t="s">
        <v>150</v>
      </c>
      <c r="L2" s="36" t="s">
        <v>151</v>
      </c>
      <c r="M2" s="36" t="s">
        <v>152</v>
      </c>
      <c r="N2" s="36" t="s">
        <v>169</v>
      </c>
      <c r="O2" s="36" t="s">
        <v>170</v>
      </c>
      <c r="P2" s="36" t="s">
        <v>171</v>
      </c>
      <c r="Q2" s="36" t="s">
        <v>158</v>
      </c>
      <c r="R2" s="36" t="s">
        <v>172</v>
      </c>
      <c r="S2" s="36" t="s">
        <v>173</v>
      </c>
      <c r="T2" s="36" t="s">
        <v>163</v>
      </c>
      <c r="U2" s="36" t="s">
        <v>164</v>
      </c>
    </row>
    <row r="3" spans="1:21" ht="17.25" customHeight="1">
      <c r="A3" s="15" t="s">
        <v>174</v>
      </c>
      <c r="B3" s="15" t="s">
        <v>175</v>
      </c>
      <c r="C3" s="15" t="s">
        <v>176</v>
      </c>
      <c r="D3" s="15" t="s">
        <v>177</v>
      </c>
      <c r="E3" s="15" t="s">
        <v>178</v>
      </c>
      <c r="F3" s="15" t="s">
        <v>175</v>
      </c>
      <c r="G3" s="15" t="s">
        <v>179</v>
      </c>
      <c r="H3" s="15" t="s">
        <v>180</v>
      </c>
      <c r="I3" s="15" t="s">
        <v>181</v>
      </c>
      <c r="J3" s="15" t="s">
        <v>182</v>
      </c>
      <c r="K3" s="15" t="s">
        <v>175</v>
      </c>
      <c r="L3" s="15" t="s">
        <v>183</v>
      </c>
      <c r="M3" s="15" t="s">
        <v>184</v>
      </c>
      <c r="N3" s="15" t="s">
        <v>185</v>
      </c>
      <c r="O3" s="15" t="s">
        <v>186</v>
      </c>
      <c r="P3" s="15" t="s">
        <v>187</v>
      </c>
      <c r="Q3" s="15" t="s">
        <v>188</v>
      </c>
      <c r="R3" s="15" t="s">
        <v>188</v>
      </c>
      <c r="S3" s="15" t="s">
        <v>188</v>
      </c>
      <c r="T3" s="15" t="s">
        <v>189</v>
      </c>
      <c r="U3" s="15" t="s">
        <v>190</v>
      </c>
    </row>
    <row r="4" spans="1:21" ht="17.25" customHeight="1">
      <c r="A4" s="15" t="s">
        <v>191</v>
      </c>
      <c r="B4" s="15" t="s">
        <v>192</v>
      </c>
      <c r="C4" s="15" t="s">
        <v>193</v>
      </c>
      <c r="D4" s="15" t="s">
        <v>194</v>
      </c>
      <c r="E4" s="15" t="s">
        <v>195</v>
      </c>
      <c r="F4" s="15" t="s">
        <v>192</v>
      </c>
      <c r="G4" s="15" t="s">
        <v>196</v>
      </c>
      <c r="H4" s="15" t="s">
        <v>197</v>
      </c>
      <c r="I4" s="15" t="s">
        <v>198</v>
      </c>
      <c r="J4" s="15" t="s">
        <v>199</v>
      </c>
      <c r="K4" s="15" t="s">
        <v>192</v>
      </c>
      <c r="L4" s="15" t="s">
        <v>200</v>
      </c>
      <c r="M4" s="15" t="s">
        <v>201</v>
      </c>
      <c r="N4" s="15" t="s">
        <v>202</v>
      </c>
      <c r="O4" s="15" t="s">
        <v>203</v>
      </c>
      <c r="P4" s="15" t="s">
        <v>204</v>
      </c>
      <c r="Q4" s="15" t="s">
        <v>205</v>
      </c>
      <c r="R4" s="15" t="s">
        <v>205</v>
      </c>
      <c r="S4" s="15" t="s">
        <v>205</v>
      </c>
      <c r="T4" s="15" t="s">
        <v>206</v>
      </c>
      <c r="U4" s="15" t="s">
        <v>207</v>
      </c>
    </row>
    <row r="5" spans="1:21" ht="17.25" customHeight="1">
      <c r="A5" s="15" t="s">
        <v>208</v>
      </c>
      <c r="C5" s="15" t="s">
        <v>209</v>
      </c>
      <c r="D5" s="15" t="s">
        <v>210</v>
      </c>
      <c r="G5" s="15" t="s">
        <v>211</v>
      </c>
      <c r="H5" s="15" t="s">
        <v>212</v>
      </c>
      <c r="I5" s="15" t="s">
        <v>213</v>
      </c>
      <c r="J5" s="15" t="s">
        <v>214</v>
      </c>
      <c r="L5" s="15" t="s">
        <v>215</v>
      </c>
      <c r="M5" s="15" t="s">
        <v>216</v>
      </c>
      <c r="N5" s="15" t="s">
        <v>217</v>
      </c>
      <c r="O5" s="15" t="s">
        <v>218</v>
      </c>
      <c r="P5" s="15" t="s">
        <v>219</v>
      </c>
      <c r="Q5" s="15" t="s">
        <v>220</v>
      </c>
      <c r="R5" s="15" t="s">
        <v>220</v>
      </c>
      <c r="S5" s="15" t="s">
        <v>220</v>
      </c>
      <c r="T5" s="15" t="s">
        <v>221</v>
      </c>
      <c r="U5" s="15" t="s">
        <v>222</v>
      </c>
    </row>
    <row r="6" spans="1:21" ht="17.25" customHeight="1">
      <c r="A6" s="15" t="s">
        <v>223</v>
      </c>
      <c r="C6" s="15" t="s">
        <v>224</v>
      </c>
      <c r="D6" s="15" t="s">
        <v>225</v>
      </c>
      <c r="G6" s="15" t="s">
        <v>226</v>
      </c>
      <c r="H6" s="15" t="s">
        <v>227</v>
      </c>
      <c r="I6" s="15" t="s">
        <v>228</v>
      </c>
      <c r="J6" s="15" t="s">
        <v>229</v>
      </c>
      <c r="L6" s="15" t="s">
        <v>230</v>
      </c>
      <c r="M6" s="15" t="s">
        <v>231</v>
      </c>
      <c r="N6" s="15" t="s">
        <v>232</v>
      </c>
      <c r="O6" s="15" t="s">
        <v>233</v>
      </c>
      <c r="P6" s="15" t="s">
        <v>234</v>
      </c>
      <c r="T6" s="15" t="s">
        <v>235</v>
      </c>
    </row>
    <row r="7" spans="1:21" ht="17.25" customHeight="1">
      <c r="A7" s="15" t="s">
        <v>236</v>
      </c>
      <c r="G7" s="15" t="s">
        <v>237</v>
      </c>
      <c r="H7" s="15" t="s">
        <v>238</v>
      </c>
      <c r="I7" s="15" t="s">
        <v>239</v>
      </c>
      <c r="J7" s="15" t="s">
        <v>240</v>
      </c>
      <c r="M7" s="15" t="s">
        <v>241</v>
      </c>
      <c r="N7" s="15" t="s">
        <v>242</v>
      </c>
      <c r="O7" s="15" t="s">
        <v>243</v>
      </c>
      <c r="P7" s="15" t="s">
        <v>244</v>
      </c>
    </row>
    <row r="8" spans="1:21" ht="17.25" customHeight="1">
      <c r="A8" s="15" t="s">
        <v>245</v>
      </c>
      <c r="G8" s="15" t="s">
        <v>246</v>
      </c>
      <c r="H8" s="15" t="s">
        <v>247</v>
      </c>
      <c r="I8" s="15" t="s">
        <v>248</v>
      </c>
      <c r="J8" s="15" t="s">
        <v>249</v>
      </c>
      <c r="M8" s="15" t="s">
        <v>250</v>
      </c>
      <c r="N8" s="15" t="s">
        <v>251</v>
      </c>
      <c r="O8" s="15" t="s">
        <v>252</v>
      </c>
      <c r="P8" s="15" t="s">
        <v>253</v>
      </c>
    </row>
    <row r="9" spans="1:21" ht="17.25" customHeight="1">
      <c r="A9" s="15" t="s">
        <v>254</v>
      </c>
      <c r="G9" s="15" t="s">
        <v>255</v>
      </c>
      <c r="H9" s="15" t="s">
        <v>256</v>
      </c>
      <c r="I9" s="15" t="s">
        <v>257</v>
      </c>
      <c r="J9" s="15" t="s">
        <v>258</v>
      </c>
      <c r="M9" s="15" t="s">
        <v>259</v>
      </c>
      <c r="N9" s="15" t="s">
        <v>260</v>
      </c>
      <c r="O9" s="15" t="s">
        <v>261</v>
      </c>
      <c r="P9" s="15" t="s">
        <v>262</v>
      </c>
    </row>
    <row r="10" spans="1:21" ht="17.25" customHeight="1">
      <c r="A10" s="15" t="s">
        <v>263</v>
      </c>
      <c r="G10" s="15" t="s">
        <v>264</v>
      </c>
      <c r="H10" s="15" t="s">
        <v>265</v>
      </c>
      <c r="I10" s="15" t="s">
        <v>266</v>
      </c>
      <c r="J10" s="15" t="s">
        <v>267</v>
      </c>
      <c r="M10" s="15" t="s">
        <v>268</v>
      </c>
      <c r="N10" s="15" t="s">
        <v>269</v>
      </c>
      <c r="O10" s="15" t="s">
        <v>270</v>
      </c>
      <c r="P10" s="15" t="s">
        <v>271</v>
      </c>
    </row>
    <row r="11" spans="1:21" ht="17.25" customHeight="1">
      <c r="A11" s="15" t="s">
        <v>272</v>
      </c>
      <c r="G11" s="15" t="s">
        <v>273</v>
      </c>
      <c r="H11" s="15" t="s">
        <v>274</v>
      </c>
      <c r="I11" s="15" t="s">
        <v>275</v>
      </c>
      <c r="J11" s="15" t="s">
        <v>276</v>
      </c>
      <c r="M11" s="15" t="s">
        <v>277</v>
      </c>
      <c r="N11" s="15" t="s">
        <v>278</v>
      </c>
      <c r="O11" s="15" t="s">
        <v>279</v>
      </c>
      <c r="P11" s="15" t="s">
        <v>280</v>
      </c>
    </row>
    <row r="12" spans="1:21" ht="17.25" customHeight="1">
      <c r="A12" s="15" t="s">
        <v>281</v>
      </c>
      <c r="G12" s="15" t="s">
        <v>282</v>
      </c>
      <c r="H12" s="15" t="s">
        <v>283</v>
      </c>
      <c r="I12" s="15" t="s">
        <v>284</v>
      </c>
      <c r="J12" s="15" t="s">
        <v>285</v>
      </c>
      <c r="M12" s="15" t="s">
        <v>286</v>
      </c>
      <c r="N12" s="15" t="s">
        <v>287</v>
      </c>
      <c r="O12" s="15" t="s">
        <v>288</v>
      </c>
      <c r="P12" s="15" t="s">
        <v>289</v>
      </c>
    </row>
    <row r="13" spans="1:21" ht="17.25" customHeight="1">
      <c r="A13" s="15" t="s">
        <v>290</v>
      </c>
      <c r="G13" s="15" t="s">
        <v>291</v>
      </c>
      <c r="H13" s="15" t="s">
        <v>292</v>
      </c>
      <c r="I13" s="15" t="s">
        <v>293</v>
      </c>
      <c r="J13" s="15" t="s">
        <v>294</v>
      </c>
      <c r="M13" s="15" t="s">
        <v>295</v>
      </c>
      <c r="N13" s="15" t="s">
        <v>296</v>
      </c>
      <c r="O13" s="15" t="s">
        <v>297</v>
      </c>
      <c r="P13" s="15" t="s">
        <v>298</v>
      </c>
    </row>
    <row r="14" spans="1:21" ht="17.25" customHeight="1">
      <c r="A14" s="15" t="s">
        <v>299</v>
      </c>
      <c r="G14" s="15" t="s">
        <v>300</v>
      </c>
      <c r="H14" s="15" t="s">
        <v>301</v>
      </c>
      <c r="I14" s="15" t="s">
        <v>302</v>
      </c>
      <c r="J14" s="15" t="s">
        <v>303</v>
      </c>
      <c r="M14" s="15" t="s">
        <v>304</v>
      </c>
      <c r="N14" s="15" t="s">
        <v>305</v>
      </c>
      <c r="O14" s="15" t="s">
        <v>306</v>
      </c>
      <c r="P14" s="15" t="s">
        <v>307</v>
      </c>
    </row>
    <row r="15" spans="1:21" ht="17.25" customHeight="1">
      <c r="A15" s="15" t="s">
        <v>308</v>
      </c>
      <c r="G15" s="15" t="s">
        <v>309</v>
      </c>
      <c r="H15" s="15" t="s">
        <v>310</v>
      </c>
      <c r="I15" s="15" t="s">
        <v>311</v>
      </c>
      <c r="J15" s="15" t="s">
        <v>312</v>
      </c>
      <c r="M15" s="15" t="s">
        <v>313</v>
      </c>
      <c r="N15" s="15" t="s">
        <v>314</v>
      </c>
      <c r="O15" s="15" t="s">
        <v>315</v>
      </c>
      <c r="P15" s="15" t="s">
        <v>316</v>
      </c>
    </row>
    <row r="16" spans="1:21" ht="17.25" customHeight="1">
      <c r="A16" s="15" t="s">
        <v>317</v>
      </c>
      <c r="G16" s="15" t="s">
        <v>318</v>
      </c>
      <c r="H16" s="15" t="s">
        <v>319</v>
      </c>
      <c r="I16" s="15" t="s">
        <v>320</v>
      </c>
      <c r="J16" s="15" t="s">
        <v>321</v>
      </c>
      <c r="M16" s="15" t="s">
        <v>322</v>
      </c>
      <c r="N16" s="15" t="s">
        <v>323</v>
      </c>
      <c r="O16" s="15" t="s">
        <v>324</v>
      </c>
      <c r="P16" s="15" t="s">
        <v>325</v>
      </c>
    </row>
    <row r="17" spans="1:16" ht="17.25" customHeight="1">
      <c r="A17" s="15" t="s">
        <v>326</v>
      </c>
      <c r="G17" s="15" t="s">
        <v>327</v>
      </c>
      <c r="H17" s="15" t="s">
        <v>328</v>
      </c>
      <c r="I17" s="15" t="s">
        <v>329</v>
      </c>
      <c r="J17" s="15" t="s">
        <v>330</v>
      </c>
      <c r="M17" s="15" t="s">
        <v>331</v>
      </c>
      <c r="N17" s="15" t="s">
        <v>332</v>
      </c>
      <c r="P17" s="15" t="s">
        <v>333</v>
      </c>
    </row>
    <row r="18" spans="1:16" ht="17.25" customHeight="1">
      <c r="A18" s="15" t="s">
        <v>334</v>
      </c>
      <c r="G18" s="15" t="s">
        <v>335</v>
      </c>
      <c r="H18" s="15" t="s">
        <v>336</v>
      </c>
      <c r="I18" s="15" t="s">
        <v>337</v>
      </c>
      <c r="J18" s="15" t="s">
        <v>338</v>
      </c>
      <c r="M18" s="15" t="s">
        <v>339</v>
      </c>
      <c r="N18" s="15" t="s">
        <v>340</v>
      </c>
    </row>
    <row r="19" spans="1:16" ht="17.25" customHeight="1">
      <c r="G19" s="15" t="s">
        <v>341</v>
      </c>
      <c r="H19" s="15" t="s">
        <v>342</v>
      </c>
      <c r="I19" s="15" t="s">
        <v>343</v>
      </c>
      <c r="J19" s="15" t="s">
        <v>344</v>
      </c>
      <c r="M19" s="15" t="s">
        <v>345</v>
      </c>
      <c r="N19" s="15" t="s">
        <v>346</v>
      </c>
    </row>
    <row r="20" spans="1:16" ht="17.25" customHeight="1">
      <c r="G20" s="15" t="s">
        <v>347</v>
      </c>
      <c r="H20" s="15" t="s">
        <v>348</v>
      </c>
      <c r="I20" s="15" t="s">
        <v>349</v>
      </c>
      <c r="J20" s="15" t="s">
        <v>350</v>
      </c>
      <c r="M20" s="15" t="s">
        <v>351</v>
      </c>
      <c r="N20" s="15" t="s">
        <v>352</v>
      </c>
    </row>
    <row r="21" spans="1:16" ht="17.25" customHeight="1">
      <c r="G21" s="15" t="s">
        <v>353</v>
      </c>
      <c r="H21" s="15" t="s">
        <v>354</v>
      </c>
      <c r="I21" s="15" t="s">
        <v>355</v>
      </c>
      <c r="J21" s="15" t="s">
        <v>356</v>
      </c>
      <c r="M21" s="15" t="s">
        <v>357</v>
      </c>
      <c r="N21" s="15" t="s">
        <v>358</v>
      </c>
    </row>
    <row r="22" spans="1:16" ht="17.25" customHeight="1">
      <c r="G22" s="15" t="s">
        <v>359</v>
      </c>
      <c r="H22" s="15" t="s">
        <v>360</v>
      </c>
      <c r="I22" s="15" t="s">
        <v>361</v>
      </c>
      <c r="J22" s="15" t="s">
        <v>362</v>
      </c>
      <c r="M22" s="15" t="s">
        <v>363</v>
      </c>
      <c r="N22" s="15" t="s">
        <v>364</v>
      </c>
    </row>
    <row r="23" spans="1:16" ht="17.25" customHeight="1">
      <c r="G23" s="15" t="s">
        <v>365</v>
      </c>
      <c r="H23" s="15" t="s">
        <v>366</v>
      </c>
      <c r="I23" s="15" t="s">
        <v>367</v>
      </c>
      <c r="J23" s="15" t="s">
        <v>368</v>
      </c>
      <c r="M23" s="15" t="s">
        <v>369</v>
      </c>
      <c r="N23" s="15" t="s">
        <v>370</v>
      </c>
    </row>
    <row r="24" spans="1:16" ht="17.25" customHeight="1">
      <c r="G24" s="15" t="s">
        <v>371</v>
      </c>
      <c r="H24" s="15" t="s">
        <v>372</v>
      </c>
      <c r="I24" s="15" t="s">
        <v>373</v>
      </c>
      <c r="J24" s="15" t="s">
        <v>374</v>
      </c>
      <c r="M24" s="15" t="s">
        <v>375</v>
      </c>
      <c r="N24" s="15" t="s">
        <v>376</v>
      </c>
    </row>
    <row r="25" spans="1:16" ht="17.25" customHeight="1">
      <c r="G25" s="15" t="s">
        <v>377</v>
      </c>
      <c r="H25" s="15" t="s">
        <v>378</v>
      </c>
      <c r="I25" s="15" t="s">
        <v>379</v>
      </c>
      <c r="J25" s="15" t="s">
        <v>380</v>
      </c>
      <c r="M25" s="15" t="s">
        <v>381</v>
      </c>
      <c r="N25" s="15" t="s">
        <v>382</v>
      </c>
    </row>
    <row r="26" spans="1:16" ht="17.25" customHeight="1">
      <c r="G26" s="15" t="s">
        <v>383</v>
      </c>
      <c r="H26" s="15" t="s">
        <v>384</v>
      </c>
      <c r="I26" s="15" t="s">
        <v>385</v>
      </c>
      <c r="J26" s="15" t="s">
        <v>386</v>
      </c>
      <c r="M26" s="15" t="s">
        <v>387</v>
      </c>
      <c r="N26" s="15" t="s">
        <v>388</v>
      </c>
    </row>
    <row r="27" spans="1:16" ht="17.25" customHeight="1">
      <c r="G27" s="15" t="s">
        <v>389</v>
      </c>
      <c r="H27" s="15" t="s">
        <v>390</v>
      </c>
      <c r="I27" s="15" t="s">
        <v>391</v>
      </c>
      <c r="J27" s="15" t="s">
        <v>391</v>
      </c>
      <c r="M27" s="15" t="s">
        <v>392</v>
      </c>
      <c r="N27" s="15" t="s">
        <v>393</v>
      </c>
    </row>
    <row r="28" spans="1:16" ht="17.25" customHeight="1">
      <c r="G28" s="15" t="s">
        <v>394</v>
      </c>
      <c r="H28" s="15" t="s">
        <v>395</v>
      </c>
      <c r="I28" s="15" t="s">
        <v>396</v>
      </c>
      <c r="J28" s="15" t="s">
        <v>396</v>
      </c>
      <c r="M28" s="15" t="s">
        <v>397</v>
      </c>
      <c r="N28" s="15" t="s">
        <v>398</v>
      </c>
    </row>
    <row r="29" spans="1:16" ht="17.25" customHeight="1">
      <c r="G29" s="15" t="s">
        <v>399</v>
      </c>
      <c r="H29" s="15" t="s">
        <v>400</v>
      </c>
      <c r="I29" s="15" t="s">
        <v>401</v>
      </c>
      <c r="J29" s="15" t="s">
        <v>401</v>
      </c>
      <c r="M29" s="15" t="s">
        <v>402</v>
      </c>
      <c r="N29" s="15" t="s">
        <v>403</v>
      </c>
    </row>
    <row r="30" spans="1:16" ht="17.25" customHeight="1">
      <c r="G30" s="15" t="s">
        <v>404</v>
      </c>
      <c r="H30" s="15" t="s">
        <v>405</v>
      </c>
      <c r="I30" s="15" t="s">
        <v>406</v>
      </c>
      <c r="J30" s="15" t="s">
        <v>406</v>
      </c>
      <c r="M30" s="15" t="s">
        <v>407</v>
      </c>
      <c r="N30" s="15" t="s">
        <v>408</v>
      </c>
    </row>
    <row r="31" spans="1:16" ht="17.25" customHeight="1">
      <c r="G31" s="15" t="s">
        <v>409</v>
      </c>
      <c r="H31" s="15" t="s">
        <v>410</v>
      </c>
      <c r="I31" s="15" t="s">
        <v>411</v>
      </c>
      <c r="J31" s="15" t="s">
        <v>411</v>
      </c>
      <c r="M31" s="15" t="s">
        <v>412</v>
      </c>
      <c r="N31" s="15" t="s">
        <v>413</v>
      </c>
    </row>
    <row r="32" spans="1:16" ht="17.25" customHeight="1">
      <c r="G32" s="15" t="s">
        <v>414</v>
      </c>
      <c r="H32" s="15" t="s">
        <v>415</v>
      </c>
      <c r="I32" s="15" t="s">
        <v>416</v>
      </c>
      <c r="J32" s="15" t="s">
        <v>416</v>
      </c>
      <c r="M32" s="15" t="s">
        <v>417</v>
      </c>
      <c r="N32" s="15" t="s">
        <v>418</v>
      </c>
    </row>
    <row r="33" spans="7:14" ht="17.25" customHeight="1">
      <c r="G33" s="15" t="s">
        <v>419</v>
      </c>
      <c r="H33" s="15" t="s">
        <v>420</v>
      </c>
      <c r="I33" s="15" t="s">
        <v>421</v>
      </c>
      <c r="J33" s="15" t="s">
        <v>421</v>
      </c>
      <c r="M33" s="15" t="s">
        <v>422</v>
      </c>
      <c r="N33" s="15" t="s">
        <v>423</v>
      </c>
    </row>
    <row r="34" spans="7:14" ht="17.25" customHeight="1">
      <c r="G34" s="15" t="s">
        <v>424</v>
      </c>
      <c r="H34" s="15" t="s">
        <v>425</v>
      </c>
      <c r="I34" s="15" t="s">
        <v>426</v>
      </c>
      <c r="J34" s="15" t="s">
        <v>426</v>
      </c>
      <c r="M34" s="15" t="s">
        <v>427</v>
      </c>
      <c r="N34" s="15" t="s">
        <v>428</v>
      </c>
    </row>
    <row r="35" spans="7:14" ht="17.25" customHeight="1">
      <c r="G35" s="15" t="s">
        <v>429</v>
      </c>
      <c r="H35" s="15" t="s">
        <v>430</v>
      </c>
      <c r="I35" s="15" t="s">
        <v>431</v>
      </c>
      <c r="J35" s="15" t="s">
        <v>431</v>
      </c>
      <c r="M35" s="15" t="s">
        <v>432</v>
      </c>
      <c r="N35" s="15" t="s">
        <v>433</v>
      </c>
    </row>
    <row r="36" spans="7:14" ht="17.25" customHeight="1">
      <c r="G36" s="15" t="s">
        <v>434</v>
      </c>
      <c r="H36" s="15" t="s">
        <v>435</v>
      </c>
      <c r="I36" s="15" t="s">
        <v>436</v>
      </c>
      <c r="J36" s="15" t="s">
        <v>436</v>
      </c>
      <c r="M36" s="15" t="s">
        <v>437</v>
      </c>
      <c r="N36" s="15" t="s">
        <v>438</v>
      </c>
    </row>
    <row r="37" spans="7:14" ht="17.25" customHeight="1">
      <c r="G37" s="15" t="s">
        <v>439</v>
      </c>
      <c r="H37" s="15" t="s">
        <v>440</v>
      </c>
      <c r="I37" s="15" t="s">
        <v>441</v>
      </c>
      <c r="J37" s="15" t="s">
        <v>441</v>
      </c>
      <c r="M37" s="15" t="s">
        <v>442</v>
      </c>
      <c r="N37" s="15" t="s">
        <v>443</v>
      </c>
    </row>
    <row r="38" spans="7:14" ht="17.25" customHeight="1">
      <c r="G38" s="15" t="s">
        <v>444</v>
      </c>
      <c r="H38" s="15" t="s">
        <v>445</v>
      </c>
      <c r="I38" s="15" t="s">
        <v>446</v>
      </c>
      <c r="J38" s="15" t="s">
        <v>446</v>
      </c>
      <c r="M38" s="15" t="s">
        <v>447</v>
      </c>
      <c r="N38" s="15" t="s">
        <v>448</v>
      </c>
    </row>
    <row r="39" spans="7:14" ht="17.25" customHeight="1">
      <c r="G39" s="15" t="s">
        <v>449</v>
      </c>
      <c r="H39" s="15" t="s">
        <v>450</v>
      </c>
      <c r="M39" s="15" t="s">
        <v>451</v>
      </c>
      <c r="N39" s="15" t="s">
        <v>452</v>
      </c>
    </row>
    <row r="40" spans="7:14" ht="17.25" customHeight="1">
      <c r="G40" s="15" t="s">
        <v>453</v>
      </c>
      <c r="H40" s="15" t="s">
        <v>454</v>
      </c>
      <c r="M40" s="15" t="s">
        <v>455</v>
      </c>
      <c r="N40" s="15" t="s">
        <v>456</v>
      </c>
    </row>
    <row r="41" spans="7:14" ht="17.25" customHeight="1">
      <c r="G41" s="15" t="s">
        <v>457</v>
      </c>
      <c r="H41" s="15" t="s">
        <v>458</v>
      </c>
      <c r="M41" s="15" t="s">
        <v>459</v>
      </c>
      <c r="N41" s="15" t="s">
        <v>460</v>
      </c>
    </row>
    <row r="42" spans="7:14" ht="17.25" customHeight="1">
      <c r="G42" s="15" t="s">
        <v>461</v>
      </c>
      <c r="H42" s="15" t="s">
        <v>462</v>
      </c>
      <c r="M42" s="15" t="s">
        <v>463</v>
      </c>
      <c r="N42" s="15" t="s">
        <v>464</v>
      </c>
    </row>
    <row r="43" spans="7:14" ht="17.25" customHeight="1">
      <c r="G43" s="15" t="s">
        <v>465</v>
      </c>
      <c r="H43" s="15" t="s">
        <v>466</v>
      </c>
      <c r="M43" s="15" t="s">
        <v>467</v>
      </c>
      <c r="N43" s="15" t="s">
        <v>468</v>
      </c>
    </row>
    <row r="44" spans="7:14" ht="17.25" customHeight="1">
      <c r="G44" s="15" t="s">
        <v>469</v>
      </c>
      <c r="H44" s="15" t="s">
        <v>470</v>
      </c>
      <c r="M44" s="15" t="s">
        <v>471</v>
      </c>
      <c r="N44" s="15" t="s">
        <v>472</v>
      </c>
    </row>
    <row r="45" spans="7:14" ht="17.25" customHeight="1">
      <c r="G45" s="15" t="s">
        <v>473</v>
      </c>
      <c r="H45" s="15" t="s">
        <v>474</v>
      </c>
      <c r="M45" s="15" t="s">
        <v>475</v>
      </c>
    </row>
    <row r="46" spans="7:14" ht="17.25" customHeight="1">
      <c r="G46" s="15" t="s">
        <v>476</v>
      </c>
      <c r="H46" s="15" t="s">
        <v>477</v>
      </c>
      <c r="M46" s="15" t="s">
        <v>478</v>
      </c>
    </row>
    <row r="47" spans="7:14" ht="17.25" customHeight="1">
      <c r="G47" s="15" t="s">
        <v>479</v>
      </c>
      <c r="H47" s="15" t="s">
        <v>480</v>
      </c>
      <c r="M47" s="15" t="s">
        <v>481</v>
      </c>
    </row>
    <row r="48" spans="7:14" ht="17.25" customHeight="1">
      <c r="G48" s="15" t="s">
        <v>482</v>
      </c>
      <c r="H48" s="15" t="s">
        <v>483</v>
      </c>
      <c r="M48" s="15" t="s">
        <v>484</v>
      </c>
    </row>
    <row r="49" spans="7:13" ht="17.25" customHeight="1">
      <c r="G49" s="15" t="s">
        <v>485</v>
      </c>
      <c r="H49" s="15" t="s">
        <v>486</v>
      </c>
      <c r="M49" s="15" t="s">
        <v>487</v>
      </c>
    </row>
    <row r="50" spans="7:13" ht="17.25" customHeight="1">
      <c r="G50" s="15" t="s">
        <v>488</v>
      </c>
      <c r="H50" s="15" t="s">
        <v>489</v>
      </c>
      <c r="M50" s="15" t="s">
        <v>490</v>
      </c>
    </row>
    <row r="51" spans="7:13" ht="17.25" customHeight="1">
      <c r="G51" s="15" t="s">
        <v>491</v>
      </c>
      <c r="H51" s="15" t="s">
        <v>492</v>
      </c>
      <c r="M51" s="15" t="s">
        <v>493</v>
      </c>
    </row>
    <row r="52" spans="7:13" ht="17.25" customHeight="1">
      <c r="G52" s="15" t="s">
        <v>494</v>
      </c>
      <c r="H52" s="15" t="s">
        <v>495</v>
      </c>
      <c r="M52" s="15" t="s">
        <v>496</v>
      </c>
    </row>
    <row r="53" spans="7:13" ht="17.25" customHeight="1">
      <c r="G53" s="15" t="s">
        <v>497</v>
      </c>
      <c r="H53" s="15" t="s">
        <v>498</v>
      </c>
      <c r="M53" s="15" t="s">
        <v>499</v>
      </c>
    </row>
    <row r="54" spans="7:13" ht="17.25" customHeight="1">
      <c r="G54" s="15" t="s">
        <v>500</v>
      </c>
      <c r="H54" s="15" t="s">
        <v>501</v>
      </c>
      <c r="M54" s="15" t="s">
        <v>502</v>
      </c>
    </row>
    <row r="55" spans="7:13" ht="17.25" customHeight="1">
      <c r="G55" s="15" t="s">
        <v>503</v>
      </c>
      <c r="H55" s="15" t="s">
        <v>504</v>
      </c>
      <c r="M55" s="15" t="s">
        <v>505</v>
      </c>
    </row>
    <row r="56" spans="7:13" ht="17.25" customHeight="1">
      <c r="G56" s="15" t="s">
        <v>506</v>
      </c>
      <c r="H56" s="15" t="s">
        <v>507</v>
      </c>
      <c r="M56" s="15" t="s">
        <v>508</v>
      </c>
    </row>
    <row r="57" spans="7:13" ht="17.25" customHeight="1">
      <c r="G57" s="15" t="s">
        <v>509</v>
      </c>
      <c r="H57" s="15" t="s">
        <v>510</v>
      </c>
      <c r="M57" s="15" t="s">
        <v>511</v>
      </c>
    </row>
    <row r="58" spans="7:13" ht="17.25" customHeight="1">
      <c r="G58" s="15" t="s">
        <v>512</v>
      </c>
      <c r="H58" s="15" t="s">
        <v>513</v>
      </c>
      <c r="M58" s="15" t="s">
        <v>514</v>
      </c>
    </row>
    <row r="59" spans="7:13" ht="17.25" customHeight="1">
      <c r="G59" s="15" t="s">
        <v>515</v>
      </c>
      <c r="H59" s="15" t="s">
        <v>516</v>
      </c>
      <c r="M59" s="15" t="s">
        <v>517</v>
      </c>
    </row>
    <row r="60" spans="7:13" ht="17.25" customHeight="1">
      <c r="G60" s="15" t="s">
        <v>518</v>
      </c>
      <c r="H60" s="15" t="s">
        <v>519</v>
      </c>
      <c r="M60" s="15" t="s">
        <v>520</v>
      </c>
    </row>
    <row r="61" spans="7:13" ht="17.25" customHeight="1">
      <c r="G61" s="15" t="s">
        <v>521</v>
      </c>
      <c r="H61" s="15" t="s">
        <v>522</v>
      </c>
      <c r="M61" s="15" t="s">
        <v>523</v>
      </c>
    </row>
    <row r="62" spans="7:13" ht="17.25" customHeight="1">
      <c r="G62" s="15" t="s">
        <v>524</v>
      </c>
      <c r="H62" s="15" t="s">
        <v>525</v>
      </c>
      <c r="M62" s="15" t="s">
        <v>526</v>
      </c>
    </row>
    <row r="63" spans="7:13" ht="17.25" customHeight="1">
      <c r="G63" s="15" t="s">
        <v>527</v>
      </c>
      <c r="H63" s="15" t="s">
        <v>528</v>
      </c>
      <c r="M63" s="15" t="s">
        <v>529</v>
      </c>
    </row>
    <row r="64" spans="7:13" ht="17.25" customHeight="1">
      <c r="G64" s="15" t="s">
        <v>530</v>
      </c>
      <c r="H64" s="15" t="s">
        <v>531</v>
      </c>
      <c r="M64" s="15" t="s">
        <v>532</v>
      </c>
    </row>
    <row r="65" spans="7:13" ht="17.25" customHeight="1">
      <c r="G65" s="15" t="s">
        <v>533</v>
      </c>
      <c r="H65" s="15" t="s">
        <v>534</v>
      </c>
      <c r="M65" s="15" t="s">
        <v>535</v>
      </c>
    </row>
    <row r="66" spans="7:13" ht="17.25" customHeight="1">
      <c r="G66" s="15" t="s">
        <v>536</v>
      </c>
      <c r="H66" s="15" t="s">
        <v>537</v>
      </c>
      <c r="M66" s="15" t="s">
        <v>538</v>
      </c>
    </row>
    <row r="67" spans="7:13" ht="17.25" customHeight="1">
      <c r="G67" s="15" t="s">
        <v>539</v>
      </c>
      <c r="H67" s="15" t="s">
        <v>540</v>
      </c>
      <c r="M67" s="15" t="s">
        <v>541</v>
      </c>
    </row>
    <row r="68" spans="7:13" ht="17.25" customHeight="1">
      <c r="G68" s="15" t="s">
        <v>542</v>
      </c>
      <c r="H68" s="15" t="s">
        <v>543</v>
      </c>
      <c r="M68" s="15" t="s">
        <v>544</v>
      </c>
    </row>
    <row r="69" spans="7:13" ht="17.25" customHeight="1">
      <c r="G69" s="15" t="s">
        <v>545</v>
      </c>
      <c r="H69" s="15" t="s">
        <v>546</v>
      </c>
      <c r="M69" s="15" t="s">
        <v>547</v>
      </c>
    </row>
    <row r="70" spans="7:13" ht="17.25" customHeight="1">
      <c r="G70" s="15" t="s">
        <v>548</v>
      </c>
      <c r="H70" s="15" t="s">
        <v>549</v>
      </c>
      <c r="M70" s="15" t="s">
        <v>550</v>
      </c>
    </row>
    <row r="71" spans="7:13" ht="17.25" customHeight="1">
      <c r="G71" s="15" t="s">
        <v>551</v>
      </c>
      <c r="H71" s="15" t="s">
        <v>552</v>
      </c>
      <c r="M71" s="15" t="s">
        <v>553</v>
      </c>
    </row>
    <row r="72" spans="7:13" ht="17.25" customHeight="1">
      <c r="G72" s="15" t="s">
        <v>554</v>
      </c>
      <c r="H72" s="15" t="s">
        <v>555</v>
      </c>
      <c r="M72" s="15" t="s">
        <v>556</v>
      </c>
    </row>
    <row r="73" spans="7:13" ht="17.25" customHeight="1">
      <c r="G73" s="15" t="s">
        <v>557</v>
      </c>
      <c r="H73" s="15" t="s">
        <v>558</v>
      </c>
      <c r="M73" s="15" t="s">
        <v>559</v>
      </c>
    </row>
    <row r="74" spans="7:13" ht="17.25" customHeight="1">
      <c r="G74" s="15" t="s">
        <v>560</v>
      </c>
      <c r="H74" s="15" t="s">
        <v>561</v>
      </c>
      <c r="M74" s="15" t="s">
        <v>562</v>
      </c>
    </row>
    <row r="75" spans="7:13" ht="17.25" customHeight="1">
      <c r="G75" s="15" t="s">
        <v>563</v>
      </c>
      <c r="H75" s="15" t="s">
        <v>564</v>
      </c>
      <c r="M75" s="15" t="s">
        <v>565</v>
      </c>
    </row>
    <row r="76" spans="7:13" ht="17.25" customHeight="1">
      <c r="G76" s="15" t="s">
        <v>566</v>
      </c>
      <c r="H76" s="15" t="s">
        <v>567</v>
      </c>
      <c r="M76" s="15" t="s">
        <v>568</v>
      </c>
    </row>
    <row r="77" spans="7:13" ht="17.25" customHeight="1">
      <c r="G77" s="15" t="s">
        <v>569</v>
      </c>
      <c r="H77" s="15" t="s">
        <v>570</v>
      </c>
      <c r="M77" s="15" t="s">
        <v>571</v>
      </c>
    </row>
    <row r="78" spans="7:13" ht="17.25" customHeight="1">
      <c r="G78" s="15" t="s">
        <v>572</v>
      </c>
      <c r="H78" s="15" t="s">
        <v>573</v>
      </c>
      <c r="M78" s="15" t="s">
        <v>574</v>
      </c>
    </row>
    <row r="79" spans="7:13" ht="17.25" customHeight="1">
      <c r="G79" s="15" t="s">
        <v>575</v>
      </c>
      <c r="H79" s="15" t="s">
        <v>576</v>
      </c>
      <c r="M79" s="15" t="s">
        <v>577</v>
      </c>
    </row>
    <row r="80" spans="7:13" ht="17.25" customHeight="1">
      <c r="G80" s="15" t="s">
        <v>578</v>
      </c>
      <c r="H80" s="15" t="s">
        <v>579</v>
      </c>
      <c r="M80" s="15" t="s">
        <v>580</v>
      </c>
    </row>
    <row r="81" spans="7:13" ht="17.25" customHeight="1">
      <c r="G81" s="15" t="s">
        <v>581</v>
      </c>
      <c r="H81" s="15" t="s">
        <v>582</v>
      </c>
      <c r="M81" s="15" t="s">
        <v>583</v>
      </c>
    </row>
    <row r="82" spans="7:13" ht="17.25" customHeight="1">
      <c r="G82" s="15" t="s">
        <v>584</v>
      </c>
      <c r="H82" s="15" t="s">
        <v>585</v>
      </c>
      <c r="M82" s="15" t="s">
        <v>586</v>
      </c>
    </row>
    <row r="83" spans="7:13" ht="17.25" customHeight="1">
      <c r="G83" s="15" t="s">
        <v>587</v>
      </c>
      <c r="H83" s="15" t="s">
        <v>588</v>
      </c>
      <c r="M83" s="15" t="s">
        <v>589</v>
      </c>
    </row>
    <row r="84" spans="7:13" ht="17.25" customHeight="1">
      <c r="G84" s="15" t="s">
        <v>590</v>
      </c>
      <c r="H84" s="15" t="s">
        <v>591</v>
      </c>
      <c r="M84" s="15" t="s">
        <v>592</v>
      </c>
    </row>
    <row r="85" spans="7:13" ht="17.25" customHeight="1">
      <c r="G85" s="15" t="s">
        <v>593</v>
      </c>
      <c r="H85" s="15" t="s">
        <v>594</v>
      </c>
      <c r="M85" s="15" t="s">
        <v>595</v>
      </c>
    </row>
    <row r="86" spans="7:13" ht="17.25" customHeight="1">
      <c r="G86" s="15" t="s">
        <v>596</v>
      </c>
      <c r="H86" s="15" t="s">
        <v>597</v>
      </c>
      <c r="M86" s="15" t="s">
        <v>598</v>
      </c>
    </row>
    <row r="87" spans="7:13" ht="17.25" customHeight="1">
      <c r="G87" s="15" t="s">
        <v>599</v>
      </c>
      <c r="H87" s="15" t="s">
        <v>600</v>
      </c>
      <c r="M87" s="15" t="s">
        <v>601</v>
      </c>
    </row>
    <row r="88" spans="7:13" ht="17.25" customHeight="1">
      <c r="G88" s="15" t="s">
        <v>602</v>
      </c>
      <c r="H88" s="15" t="s">
        <v>603</v>
      </c>
      <c r="M88" s="15" t="s">
        <v>604</v>
      </c>
    </row>
    <row r="89" spans="7:13" ht="17.25" customHeight="1">
      <c r="G89" s="15" t="s">
        <v>605</v>
      </c>
      <c r="H89" s="15" t="s">
        <v>606</v>
      </c>
      <c r="M89" s="15" t="s">
        <v>607</v>
      </c>
    </row>
    <row r="90" spans="7:13" ht="17.25" customHeight="1">
      <c r="G90" s="15" t="s">
        <v>608</v>
      </c>
      <c r="H90" s="15" t="s">
        <v>609</v>
      </c>
      <c r="M90" s="15" t="s">
        <v>610</v>
      </c>
    </row>
    <row r="91" spans="7:13" ht="17.25" customHeight="1">
      <c r="G91" s="15" t="s">
        <v>611</v>
      </c>
      <c r="H91" s="15" t="s">
        <v>612</v>
      </c>
      <c r="M91" s="15" t="s">
        <v>613</v>
      </c>
    </row>
    <row r="92" spans="7:13" ht="17.25" customHeight="1">
      <c r="G92" s="15" t="s">
        <v>614</v>
      </c>
      <c r="H92" s="15" t="s">
        <v>615</v>
      </c>
      <c r="M92" s="15" t="s">
        <v>616</v>
      </c>
    </row>
    <row r="93" spans="7:13" ht="17.25" customHeight="1">
      <c r="G93" s="15" t="s">
        <v>617</v>
      </c>
      <c r="H93" s="15" t="s">
        <v>618</v>
      </c>
      <c r="M93" s="15" t="s">
        <v>619</v>
      </c>
    </row>
    <row r="94" spans="7:13" ht="17.25" customHeight="1">
      <c r="G94" s="15" t="s">
        <v>620</v>
      </c>
      <c r="H94" s="15" t="s">
        <v>621</v>
      </c>
      <c r="M94" s="15" t="s">
        <v>622</v>
      </c>
    </row>
    <row r="95" spans="7:13" ht="17.25" customHeight="1">
      <c r="G95" s="15" t="s">
        <v>623</v>
      </c>
      <c r="H95" s="15" t="s">
        <v>624</v>
      </c>
      <c r="M95" s="15" t="s">
        <v>625</v>
      </c>
    </row>
    <row r="96" spans="7:13" ht="17.25" customHeight="1">
      <c r="G96" s="15" t="s">
        <v>626</v>
      </c>
      <c r="H96" s="15" t="s">
        <v>627</v>
      </c>
      <c r="M96" s="15" t="s">
        <v>628</v>
      </c>
    </row>
    <row r="97" spans="7:13" ht="17.25" customHeight="1">
      <c r="G97" s="15" t="s">
        <v>629</v>
      </c>
      <c r="H97" s="15" t="s">
        <v>630</v>
      </c>
      <c r="M97" s="15" t="s">
        <v>631</v>
      </c>
    </row>
    <row r="98" spans="7:13" ht="17.25" customHeight="1">
      <c r="G98" s="15" t="s">
        <v>632</v>
      </c>
      <c r="H98" s="15" t="s">
        <v>633</v>
      </c>
      <c r="M98" s="15" t="s">
        <v>634</v>
      </c>
    </row>
    <row r="99" spans="7:13" ht="17.25" customHeight="1">
      <c r="G99" s="15" t="s">
        <v>635</v>
      </c>
      <c r="H99" s="15" t="s">
        <v>636</v>
      </c>
      <c r="M99" s="15" t="s">
        <v>637</v>
      </c>
    </row>
    <row r="100" spans="7:13" ht="17.25" customHeight="1">
      <c r="G100" s="15" t="s">
        <v>638</v>
      </c>
      <c r="H100" s="15" t="s">
        <v>639</v>
      </c>
      <c r="M100" s="15" t="s">
        <v>640</v>
      </c>
    </row>
    <row r="101" spans="7:13" ht="17.25" customHeight="1">
      <c r="G101" s="15" t="s">
        <v>641</v>
      </c>
      <c r="H101" s="15" t="s">
        <v>642</v>
      </c>
      <c r="M101" s="15" t="s">
        <v>643</v>
      </c>
    </row>
    <row r="102" spans="7:13" ht="17.25" customHeight="1">
      <c r="G102" s="15" t="s">
        <v>644</v>
      </c>
      <c r="H102" s="15" t="s">
        <v>645</v>
      </c>
      <c r="M102" s="15" t="s">
        <v>646</v>
      </c>
    </row>
    <row r="103" spans="7:13" ht="17.25" customHeight="1">
      <c r="G103" s="15" t="s">
        <v>647</v>
      </c>
      <c r="H103" s="15" t="s">
        <v>648</v>
      </c>
      <c r="M103" s="15" t="s">
        <v>649</v>
      </c>
    </row>
    <row r="104" spans="7:13" ht="17.25" customHeight="1">
      <c r="G104" s="15" t="s">
        <v>650</v>
      </c>
      <c r="H104" s="15" t="s">
        <v>651</v>
      </c>
      <c r="M104" s="15" t="s">
        <v>652</v>
      </c>
    </row>
    <row r="105" spans="7:13" ht="17.25" customHeight="1">
      <c r="G105" s="15" t="s">
        <v>653</v>
      </c>
      <c r="H105" s="15" t="s">
        <v>654</v>
      </c>
      <c r="M105" s="15" t="s">
        <v>655</v>
      </c>
    </row>
    <row r="106" spans="7:13" ht="17.25" customHeight="1">
      <c r="G106" s="15" t="s">
        <v>656</v>
      </c>
      <c r="H106" s="15" t="s">
        <v>657</v>
      </c>
      <c r="M106" s="15" t="s">
        <v>658</v>
      </c>
    </row>
    <row r="107" spans="7:13" ht="17.25" customHeight="1">
      <c r="G107" s="15" t="s">
        <v>659</v>
      </c>
      <c r="H107" s="15" t="s">
        <v>660</v>
      </c>
      <c r="M107" s="15" t="s">
        <v>661</v>
      </c>
    </row>
    <row r="108" spans="7:13" ht="17.25" customHeight="1">
      <c r="G108" s="15" t="s">
        <v>662</v>
      </c>
      <c r="H108" s="15" t="s">
        <v>663</v>
      </c>
      <c r="M108" s="15" t="s">
        <v>664</v>
      </c>
    </row>
    <row r="109" spans="7:13" ht="17.25" customHeight="1">
      <c r="G109" s="15" t="s">
        <v>665</v>
      </c>
      <c r="H109" s="15" t="s">
        <v>666</v>
      </c>
      <c r="M109" s="15" t="s">
        <v>667</v>
      </c>
    </row>
    <row r="110" spans="7:13" ht="17.25" customHeight="1">
      <c r="G110" s="15" t="s">
        <v>668</v>
      </c>
      <c r="H110" s="15" t="s">
        <v>669</v>
      </c>
      <c r="M110" s="15" t="s">
        <v>670</v>
      </c>
    </row>
    <row r="111" spans="7:13" ht="17.25" customHeight="1">
      <c r="G111" s="15" t="s">
        <v>671</v>
      </c>
      <c r="H111" s="15" t="s">
        <v>672</v>
      </c>
      <c r="M111" s="15" t="s">
        <v>673</v>
      </c>
    </row>
    <row r="112" spans="7:13" ht="17.25" customHeight="1">
      <c r="G112" s="15" t="s">
        <v>674</v>
      </c>
      <c r="H112" s="15" t="s">
        <v>675</v>
      </c>
      <c r="M112" s="15" t="s">
        <v>676</v>
      </c>
    </row>
    <row r="113" spans="7:13" ht="17.25" customHeight="1">
      <c r="G113" s="15" t="s">
        <v>677</v>
      </c>
      <c r="H113" s="15" t="s">
        <v>678</v>
      </c>
      <c r="M113" s="15" t="s">
        <v>679</v>
      </c>
    </row>
    <row r="114" spans="7:13" ht="17.25" customHeight="1">
      <c r="G114" s="15" t="s">
        <v>680</v>
      </c>
      <c r="H114" s="15" t="s">
        <v>681</v>
      </c>
      <c r="M114" s="15" t="s">
        <v>682</v>
      </c>
    </row>
    <row r="115" spans="7:13" ht="17.25" customHeight="1">
      <c r="G115" s="15" t="s">
        <v>683</v>
      </c>
      <c r="H115" s="15" t="s">
        <v>684</v>
      </c>
      <c r="M115" s="15" t="s">
        <v>685</v>
      </c>
    </row>
    <row r="116" spans="7:13" ht="17.25" customHeight="1">
      <c r="G116" s="15" t="s">
        <v>686</v>
      </c>
      <c r="H116" s="15" t="s">
        <v>687</v>
      </c>
      <c r="M116" s="15" t="s">
        <v>688</v>
      </c>
    </row>
    <row r="117" spans="7:13" ht="17.25" customHeight="1">
      <c r="G117" s="15" t="s">
        <v>689</v>
      </c>
      <c r="H117" s="15" t="s">
        <v>690</v>
      </c>
      <c r="M117" s="15" t="s">
        <v>691</v>
      </c>
    </row>
    <row r="118" spans="7:13" ht="17.25" customHeight="1">
      <c r="G118" s="15" t="s">
        <v>692</v>
      </c>
      <c r="H118" s="15" t="s">
        <v>693</v>
      </c>
      <c r="M118" s="15" t="s">
        <v>694</v>
      </c>
    </row>
    <row r="119" spans="7:13" ht="17.25" customHeight="1">
      <c r="G119" s="15" t="s">
        <v>695</v>
      </c>
      <c r="H119" s="15" t="s">
        <v>696</v>
      </c>
      <c r="M119" s="15" t="s">
        <v>697</v>
      </c>
    </row>
    <row r="120" spans="7:13" ht="17.25" customHeight="1">
      <c r="G120" s="15" t="s">
        <v>698</v>
      </c>
      <c r="H120" s="15" t="s">
        <v>699</v>
      </c>
      <c r="M120" s="15" t="s">
        <v>700</v>
      </c>
    </row>
    <row r="121" spans="7:13" ht="17.25" customHeight="1">
      <c r="G121" s="15" t="s">
        <v>701</v>
      </c>
      <c r="H121" s="15" t="s">
        <v>702</v>
      </c>
      <c r="M121" s="15" t="s">
        <v>703</v>
      </c>
    </row>
    <row r="122" spans="7:13" ht="17.25" customHeight="1">
      <c r="G122" s="15" t="s">
        <v>704</v>
      </c>
      <c r="H122" s="15" t="s">
        <v>705</v>
      </c>
      <c r="M122" s="15" t="s">
        <v>706</v>
      </c>
    </row>
    <row r="123" spans="7:13" ht="17.25" customHeight="1">
      <c r="G123" s="15" t="s">
        <v>707</v>
      </c>
      <c r="H123" s="15" t="s">
        <v>708</v>
      </c>
      <c r="M123" s="15" t="s">
        <v>709</v>
      </c>
    </row>
    <row r="124" spans="7:13" ht="17.25" customHeight="1">
      <c r="G124" s="15" t="s">
        <v>710</v>
      </c>
      <c r="H124" s="15" t="s">
        <v>711</v>
      </c>
      <c r="M124" s="15" t="s">
        <v>712</v>
      </c>
    </row>
    <row r="125" spans="7:13" ht="17.25" customHeight="1">
      <c r="G125" s="15" t="s">
        <v>713</v>
      </c>
      <c r="H125" s="15" t="s">
        <v>714</v>
      </c>
      <c r="M125" s="15" t="s">
        <v>715</v>
      </c>
    </row>
    <row r="126" spans="7:13" ht="17.25" customHeight="1">
      <c r="G126" s="15" t="s">
        <v>716</v>
      </c>
      <c r="H126" s="15" t="s">
        <v>717</v>
      </c>
      <c r="M126" s="15" t="s">
        <v>718</v>
      </c>
    </row>
    <row r="127" spans="7:13" ht="17.25" customHeight="1">
      <c r="G127" s="15" t="s">
        <v>719</v>
      </c>
      <c r="H127" s="15" t="s">
        <v>720</v>
      </c>
      <c r="M127" s="15" t="s">
        <v>721</v>
      </c>
    </row>
    <row r="128" spans="7:13" ht="17.25" customHeight="1">
      <c r="G128" s="15" t="s">
        <v>722</v>
      </c>
      <c r="H128" s="15" t="s">
        <v>723</v>
      </c>
      <c r="M128" s="15" t="s">
        <v>724</v>
      </c>
    </row>
    <row r="129" spans="7:13" ht="17.25" customHeight="1">
      <c r="G129" s="15" t="s">
        <v>725</v>
      </c>
      <c r="H129" s="15" t="s">
        <v>726</v>
      </c>
      <c r="M129" s="15" t="s">
        <v>727</v>
      </c>
    </row>
    <row r="130" spans="7:13" ht="17.25" customHeight="1">
      <c r="G130" s="15" t="s">
        <v>728</v>
      </c>
      <c r="H130" s="15" t="s">
        <v>729</v>
      </c>
      <c r="M130" s="15" t="s">
        <v>730</v>
      </c>
    </row>
    <row r="131" spans="7:13" ht="17.25" customHeight="1">
      <c r="G131" s="15" t="s">
        <v>731</v>
      </c>
      <c r="H131" s="15" t="s">
        <v>732</v>
      </c>
      <c r="M131" s="15" t="s">
        <v>733</v>
      </c>
    </row>
    <row r="132" spans="7:13" ht="17.25" customHeight="1">
      <c r="G132" s="15" t="s">
        <v>734</v>
      </c>
      <c r="H132" s="15" t="s">
        <v>735</v>
      </c>
      <c r="M132" s="15" t="s">
        <v>736</v>
      </c>
    </row>
    <row r="133" spans="7:13" ht="17.25" customHeight="1">
      <c r="G133" s="15" t="s">
        <v>737</v>
      </c>
      <c r="H133" s="15" t="s">
        <v>738</v>
      </c>
      <c r="M133" s="15" t="s">
        <v>739</v>
      </c>
    </row>
    <row r="134" spans="7:13" ht="17.25" customHeight="1">
      <c r="G134" s="15" t="s">
        <v>740</v>
      </c>
      <c r="H134" s="15" t="s">
        <v>741</v>
      </c>
      <c r="M134" s="15" t="s">
        <v>742</v>
      </c>
    </row>
    <row r="135" spans="7:13" ht="17.25" customHeight="1">
      <c r="G135" s="15" t="s">
        <v>743</v>
      </c>
      <c r="H135" s="15" t="s">
        <v>744</v>
      </c>
      <c r="M135" s="15" t="s">
        <v>745</v>
      </c>
    </row>
    <row r="136" spans="7:13" ht="17.25" customHeight="1">
      <c r="G136" s="15" t="s">
        <v>746</v>
      </c>
      <c r="H136" s="15" t="s">
        <v>747</v>
      </c>
      <c r="M136" s="15" t="s">
        <v>748</v>
      </c>
    </row>
    <row r="137" spans="7:13" ht="17.25" customHeight="1">
      <c r="G137" s="15" t="s">
        <v>749</v>
      </c>
      <c r="H137" s="15" t="s">
        <v>750</v>
      </c>
      <c r="M137" s="15" t="s">
        <v>751</v>
      </c>
    </row>
    <row r="138" spans="7:13" ht="17.25" customHeight="1">
      <c r="G138" s="15" t="s">
        <v>752</v>
      </c>
      <c r="H138" s="15" t="s">
        <v>753</v>
      </c>
      <c r="M138" s="15" t="s">
        <v>754</v>
      </c>
    </row>
    <row r="139" spans="7:13" ht="17.25" customHeight="1">
      <c r="G139" s="15" t="s">
        <v>755</v>
      </c>
      <c r="H139" s="15" t="s">
        <v>756</v>
      </c>
      <c r="M139" s="15" t="s">
        <v>757</v>
      </c>
    </row>
    <row r="140" spans="7:13" ht="17.25" customHeight="1">
      <c r="G140" s="15" t="s">
        <v>758</v>
      </c>
      <c r="H140" s="15" t="s">
        <v>759</v>
      </c>
      <c r="M140" s="15" t="s">
        <v>760</v>
      </c>
    </row>
    <row r="141" spans="7:13" ht="17.25" customHeight="1">
      <c r="G141" s="15" t="s">
        <v>761</v>
      </c>
      <c r="H141" s="15" t="s">
        <v>762</v>
      </c>
      <c r="M141" s="15" t="s">
        <v>763</v>
      </c>
    </row>
    <row r="142" spans="7:13" ht="17.25" customHeight="1">
      <c r="G142" s="15" t="s">
        <v>764</v>
      </c>
      <c r="H142" s="15" t="s">
        <v>765</v>
      </c>
      <c r="M142" s="15" t="s">
        <v>766</v>
      </c>
    </row>
    <row r="143" spans="7:13" ht="17.25" customHeight="1">
      <c r="G143" s="15" t="s">
        <v>767</v>
      </c>
      <c r="H143" s="15" t="s">
        <v>768</v>
      </c>
      <c r="M143" s="15" t="s">
        <v>769</v>
      </c>
    </row>
    <row r="144" spans="7:13" ht="17.25" customHeight="1">
      <c r="G144" s="15" t="s">
        <v>770</v>
      </c>
      <c r="H144" s="15" t="s">
        <v>771</v>
      </c>
      <c r="M144" s="15" t="s">
        <v>772</v>
      </c>
    </row>
    <row r="145" spans="7:13" ht="17.25" customHeight="1">
      <c r="G145" s="15" t="s">
        <v>773</v>
      </c>
      <c r="H145" s="15" t="s">
        <v>774</v>
      </c>
      <c r="M145" s="15" t="s">
        <v>775</v>
      </c>
    </row>
    <row r="146" spans="7:13" ht="17.25" customHeight="1">
      <c r="G146" s="15" t="s">
        <v>776</v>
      </c>
      <c r="H146" s="15" t="s">
        <v>777</v>
      </c>
      <c r="M146" s="15" t="s">
        <v>778</v>
      </c>
    </row>
    <row r="147" spans="7:13" ht="17.25" customHeight="1">
      <c r="G147" s="15" t="s">
        <v>779</v>
      </c>
      <c r="H147" s="15" t="s">
        <v>780</v>
      </c>
      <c r="M147" s="15" t="s">
        <v>781</v>
      </c>
    </row>
    <row r="148" spans="7:13" ht="17.25" customHeight="1">
      <c r="G148" s="15" t="s">
        <v>782</v>
      </c>
      <c r="H148" s="15" t="s">
        <v>783</v>
      </c>
      <c r="M148" s="15" t="s">
        <v>784</v>
      </c>
    </row>
    <row r="149" spans="7:13" ht="17.25" customHeight="1">
      <c r="G149" s="15" t="s">
        <v>785</v>
      </c>
      <c r="H149" s="15" t="s">
        <v>786</v>
      </c>
      <c r="M149" s="15" t="s">
        <v>787</v>
      </c>
    </row>
    <row r="150" spans="7:13" ht="17.25" customHeight="1">
      <c r="G150" s="15" t="s">
        <v>788</v>
      </c>
      <c r="H150" s="15" t="s">
        <v>789</v>
      </c>
      <c r="M150" s="15" t="s">
        <v>790</v>
      </c>
    </row>
    <row r="151" spans="7:13" ht="17.25" customHeight="1">
      <c r="G151" s="15" t="s">
        <v>791</v>
      </c>
      <c r="H151" s="15" t="s">
        <v>792</v>
      </c>
      <c r="M151" s="15" t="s">
        <v>793</v>
      </c>
    </row>
    <row r="152" spans="7:13" ht="17.25" customHeight="1">
      <c r="G152" s="15" t="s">
        <v>794</v>
      </c>
      <c r="H152" s="15" t="s">
        <v>795</v>
      </c>
      <c r="M152" s="15" t="s">
        <v>796</v>
      </c>
    </row>
    <row r="153" spans="7:13" ht="17.25" customHeight="1">
      <c r="G153" s="15" t="s">
        <v>797</v>
      </c>
      <c r="H153" s="15" t="s">
        <v>798</v>
      </c>
      <c r="M153" s="15" t="s">
        <v>799</v>
      </c>
    </row>
    <row r="154" spans="7:13" ht="17.25" customHeight="1">
      <c r="G154" s="15" t="s">
        <v>800</v>
      </c>
      <c r="H154" s="15" t="s">
        <v>801</v>
      </c>
      <c r="M154" s="15" t="s">
        <v>802</v>
      </c>
    </row>
    <row r="155" spans="7:13" ht="17.25" customHeight="1">
      <c r="G155" s="15" t="s">
        <v>803</v>
      </c>
      <c r="H155" s="15" t="s">
        <v>804</v>
      </c>
      <c r="M155" s="15" t="s">
        <v>805</v>
      </c>
    </row>
    <row r="156" spans="7:13" ht="17.25" customHeight="1">
      <c r="G156" s="15" t="s">
        <v>806</v>
      </c>
      <c r="H156" s="15" t="s">
        <v>807</v>
      </c>
      <c r="M156" s="15" t="s">
        <v>808</v>
      </c>
    </row>
    <row r="157" spans="7:13" ht="17.25" customHeight="1">
      <c r="G157" s="15" t="s">
        <v>809</v>
      </c>
      <c r="H157" s="15" t="s">
        <v>810</v>
      </c>
      <c r="M157" s="15" t="s">
        <v>811</v>
      </c>
    </row>
    <row r="158" spans="7:13" ht="17.25" customHeight="1">
      <c r="G158" s="15" t="s">
        <v>812</v>
      </c>
      <c r="H158" s="15" t="s">
        <v>813</v>
      </c>
      <c r="M158" s="15" t="s">
        <v>814</v>
      </c>
    </row>
    <row r="159" spans="7:13" ht="17.25" customHeight="1">
      <c r="G159" s="15" t="s">
        <v>815</v>
      </c>
      <c r="H159" s="15" t="s">
        <v>816</v>
      </c>
      <c r="M159" s="15" t="s">
        <v>817</v>
      </c>
    </row>
    <row r="160" spans="7:13" ht="17.25" customHeight="1">
      <c r="G160" s="15" t="s">
        <v>818</v>
      </c>
      <c r="H160" s="15" t="s">
        <v>819</v>
      </c>
      <c r="M160" s="15" t="s">
        <v>820</v>
      </c>
    </row>
    <row r="161" spans="7:13" ht="17.25" customHeight="1">
      <c r="G161" s="15" t="s">
        <v>821</v>
      </c>
      <c r="H161" s="15" t="s">
        <v>822</v>
      </c>
      <c r="M161" s="15" t="s">
        <v>823</v>
      </c>
    </row>
    <row r="162" spans="7:13" ht="17.25" customHeight="1">
      <c r="G162" s="15" t="s">
        <v>824</v>
      </c>
      <c r="H162" s="15" t="s">
        <v>825</v>
      </c>
      <c r="M162" s="15" t="s">
        <v>826</v>
      </c>
    </row>
    <row r="163" spans="7:13" ht="17.25" customHeight="1">
      <c r="G163" s="15" t="s">
        <v>827</v>
      </c>
      <c r="H163" s="15" t="s">
        <v>828</v>
      </c>
      <c r="M163" s="15" t="s">
        <v>829</v>
      </c>
    </row>
    <row r="164" spans="7:13" ht="17.25" customHeight="1">
      <c r="G164" s="15" t="s">
        <v>830</v>
      </c>
      <c r="H164" s="15" t="s">
        <v>831</v>
      </c>
      <c r="M164" s="15" t="s">
        <v>832</v>
      </c>
    </row>
    <row r="165" spans="7:13" ht="17.25" customHeight="1">
      <c r="G165" s="15" t="s">
        <v>833</v>
      </c>
      <c r="H165" s="15" t="s">
        <v>834</v>
      </c>
      <c r="M165" s="15" t="s">
        <v>835</v>
      </c>
    </row>
    <row r="166" spans="7:13" ht="17.25" customHeight="1">
      <c r="G166" s="15" t="s">
        <v>836</v>
      </c>
      <c r="H166" s="15" t="s">
        <v>837</v>
      </c>
      <c r="M166" s="15" t="s">
        <v>838</v>
      </c>
    </row>
    <row r="167" spans="7:13" ht="17.25" customHeight="1">
      <c r="G167" s="15" t="s">
        <v>839</v>
      </c>
      <c r="H167" s="15" t="s">
        <v>840</v>
      </c>
      <c r="M167" s="15" t="s">
        <v>841</v>
      </c>
    </row>
    <row r="168" spans="7:13" ht="17.25" customHeight="1">
      <c r="G168" s="15" t="s">
        <v>842</v>
      </c>
      <c r="H168" s="15" t="s">
        <v>843</v>
      </c>
      <c r="M168" s="15" t="s">
        <v>844</v>
      </c>
    </row>
    <row r="169" spans="7:13" ht="17.25" customHeight="1">
      <c r="G169" s="15" t="s">
        <v>845</v>
      </c>
      <c r="H169" s="15" t="s">
        <v>846</v>
      </c>
      <c r="M169" s="15" t="s">
        <v>847</v>
      </c>
    </row>
    <row r="170" spans="7:13" ht="17.25" customHeight="1">
      <c r="G170" s="15" t="s">
        <v>848</v>
      </c>
      <c r="H170" s="15" t="s">
        <v>849</v>
      </c>
      <c r="M170" s="15" t="s">
        <v>850</v>
      </c>
    </row>
    <row r="171" spans="7:13" ht="17.25" customHeight="1">
      <c r="G171" s="15" t="s">
        <v>851</v>
      </c>
      <c r="H171" s="15" t="s">
        <v>852</v>
      </c>
      <c r="M171" s="15" t="s">
        <v>853</v>
      </c>
    </row>
    <row r="172" spans="7:13" ht="17.25" customHeight="1">
      <c r="G172" s="15" t="s">
        <v>854</v>
      </c>
      <c r="H172" s="15" t="s">
        <v>855</v>
      </c>
      <c r="M172" s="15" t="s">
        <v>856</v>
      </c>
    </row>
    <row r="173" spans="7:13" ht="17.25" customHeight="1">
      <c r="G173" s="15" t="s">
        <v>857</v>
      </c>
      <c r="H173" s="15" t="s">
        <v>858</v>
      </c>
      <c r="M173" s="15" t="s">
        <v>859</v>
      </c>
    </row>
    <row r="174" spans="7:13" ht="17.25" customHeight="1">
      <c r="G174" s="15" t="s">
        <v>860</v>
      </c>
      <c r="H174" s="15" t="s">
        <v>861</v>
      </c>
      <c r="M174" s="15" t="s">
        <v>862</v>
      </c>
    </row>
    <row r="175" spans="7:13" ht="17.25" customHeight="1">
      <c r="G175" s="15" t="s">
        <v>863</v>
      </c>
      <c r="H175" s="15" t="s">
        <v>864</v>
      </c>
      <c r="M175" s="15" t="s">
        <v>865</v>
      </c>
    </row>
    <row r="176" spans="7:13" ht="17.25" customHeight="1">
      <c r="G176" s="15" t="s">
        <v>866</v>
      </c>
      <c r="H176" s="15" t="s">
        <v>867</v>
      </c>
      <c r="M176" s="15" t="s">
        <v>868</v>
      </c>
    </row>
    <row r="177" spans="7:13" ht="17.25" customHeight="1">
      <c r="G177" s="15" t="s">
        <v>869</v>
      </c>
      <c r="H177" s="15" t="s">
        <v>870</v>
      </c>
      <c r="M177" s="15" t="s">
        <v>871</v>
      </c>
    </row>
    <row r="178" spans="7:13" ht="17.25" customHeight="1">
      <c r="G178" s="15" t="s">
        <v>872</v>
      </c>
      <c r="H178" s="15" t="s">
        <v>873</v>
      </c>
      <c r="M178" s="15" t="s">
        <v>874</v>
      </c>
    </row>
    <row r="179" spans="7:13" ht="17.25" customHeight="1">
      <c r="G179" s="15" t="s">
        <v>875</v>
      </c>
      <c r="H179" s="15" t="s">
        <v>876</v>
      </c>
      <c r="M179" s="15" t="s">
        <v>877</v>
      </c>
    </row>
    <row r="180" spans="7:13" ht="17.25" customHeight="1">
      <c r="G180" s="15" t="s">
        <v>878</v>
      </c>
      <c r="H180" s="15" t="s">
        <v>879</v>
      </c>
      <c r="M180" s="15" t="s">
        <v>880</v>
      </c>
    </row>
    <row r="181" spans="7:13" ht="17.25" customHeight="1">
      <c r="G181" s="15" t="s">
        <v>881</v>
      </c>
      <c r="H181" s="15" t="s">
        <v>882</v>
      </c>
      <c r="M181" s="15" t="s">
        <v>883</v>
      </c>
    </row>
    <row r="182" spans="7:13" ht="17.25" customHeight="1">
      <c r="G182" s="15" t="s">
        <v>884</v>
      </c>
      <c r="H182" s="15" t="s">
        <v>885</v>
      </c>
      <c r="M182" s="15" t="s">
        <v>886</v>
      </c>
    </row>
    <row r="183" spans="7:13" ht="17.25" customHeight="1">
      <c r="G183" s="15" t="s">
        <v>887</v>
      </c>
      <c r="H183" s="15" t="s">
        <v>888</v>
      </c>
      <c r="M183" s="15" t="s">
        <v>889</v>
      </c>
    </row>
    <row r="184" spans="7:13" ht="17.25" customHeight="1">
      <c r="G184" s="15" t="s">
        <v>890</v>
      </c>
      <c r="H184" s="15" t="s">
        <v>891</v>
      </c>
      <c r="M184" s="15" t="s">
        <v>892</v>
      </c>
    </row>
    <row r="185" spans="7:13" ht="17.25" customHeight="1">
      <c r="G185" s="15" t="s">
        <v>893</v>
      </c>
      <c r="H185" s="15" t="s">
        <v>894</v>
      </c>
      <c r="M185" s="15" t="s">
        <v>895</v>
      </c>
    </row>
    <row r="186" spans="7:13" ht="17.25" customHeight="1">
      <c r="G186" s="15" t="s">
        <v>896</v>
      </c>
      <c r="H186" s="15" t="s">
        <v>897</v>
      </c>
      <c r="M186" s="15" t="s">
        <v>898</v>
      </c>
    </row>
    <row r="187" spans="7:13" ht="17.25" customHeight="1">
      <c r="G187" s="15" t="s">
        <v>899</v>
      </c>
      <c r="H187" s="15" t="s">
        <v>900</v>
      </c>
      <c r="M187" s="15" t="s">
        <v>901</v>
      </c>
    </row>
    <row r="188" spans="7:13" ht="17.25" customHeight="1">
      <c r="G188" s="15" t="s">
        <v>902</v>
      </c>
      <c r="H188" s="15" t="s">
        <v>903</v>
      </c>
      <c r="M188" s="15" t="s">
        <v>904</v>
      </c>
    </row>
    <row r="189" spans="7:13" ht="17.25" customHeight="1">
      <c r="G189" s="15" t="s">
        <v>905</v>
      </c>
      <c r="H189" s="15" t="s">
        <v>906</v>
      </c>
      <c r="M189" s="15" t="s">
        <v>907</v>
      </c>
    </row>
    <row r="190" spans="7:13" ht="17.25" customHeight="1">
      <c r="G190" s="15" t="s">
        <v>908</v>
      </c>
      <c r="H190" s="15" t="s">
        <v>909</v>
      </c>
      <c r="M190" s="15" t="s">
        <v>910</v>
      </c>
    </row>
    <row r="191" spans="7:13" ht="17.25" customHeight="1">
      <c r="G191" s="15" t="s">
        <v>911</v>
      </c>
      <c r="H191" s="15" t="s">
        <v>912</v>
      </c>
      <c r="M191" s="15" t="s">
        <v>913</v>
      </c>
    </row>
    <row r="192" spans="7:13" ht="17.25" customHeight="1">
      <c r="G192" s="15" t="s">
        <v>914</v>
      </c>
      <c r="H192" s="15" t="s">
        <v>915</v>
      </c>
      <c r="M192" s="15" t="s">
        <v>916</v>
      </c>
    </row>
    <row r="193" spans="7:13" ht="17.25" customHeight="1">
      <c r="G193" s="15" t="s">
        <v>917</v>
      </c>
      <c r="H193" s="15" t="s">
        <v>918</v>
      </c>
      <c r="M193" s="15" t="s">
        <v>919</v>
      </c>
    </row>
    <row r="194" spans="7:13" ht="17.25" customHeight="1">
      <c r="G194" s="15" t="s">
        <v>920</v>
      </c>
      <c r="H194" s="15" t="s">
        <v>921</v>
      </c>
      <c r="M194" s="15" t="s">
        <v>922</v>
      </c>
    </row>
    <row r="195" spans="7:13" ht="17.25" customHeight="1">
      <c r="G195" s="15" t="s">
        <v>923</v>
      </c>
      <c r="H195" s="15" t="s">
        <v>924</v>
      </c>
      <c r="M195" s="15" t="s">
        <v>925</v>
      </c>
    </row>
    <row r="196" spans="7:13" ht="17.25" customHeight="1">
      <c r="G196" s="15" t="s">
        <v>926</v>
      </c>
      <c r="H196" s="15" t="s">
        <v>927</v>
      </c>
      <c r="M196" s="15" t="s">
        <v>928</v>
      </c>
    </row>
    <row r="197" spans="7:13" ht="17.25" customHeight="1">
      <c r="G197" s="15" t="s">
        <v>929</v>
      </c>
      <c r="H197" s="15" t="s">
        <v>930</v>
      </c>
      <c r="M197" s="15" t="s">
        <v>931</v>
      </c>
    </row>
    <row r="198" spans="7:13" ht="17.25" customHeight="1">
      <c r="G198" s="15" t="s">
        <v>932</v>
      </c>
      <c r="H198" s="15" t="s">
        <v>933</v>
      </c>
      <c r="M198" s="15" t="s">
        <v>934</v>
      </c>
    </row>
    <row r="199" spans="7:13" ht="17.25" customHeight="1">
      <c r="G199" s="15" t="s">
        <v>935</v>
      </c>
      <c r="H199" s="15" t="s">
        <v>936</v>
      </c>
      <c r="M199" s="15" t="s">
        <v>937</v>
      </c>
    </row>
    <row r="200" spans="7:13" ht="17.25" customHeight="1">
      <c r="G200" s="15" t="s">
        <v>938</v>
      </c>
      <c r="H200" s="15" t="s">
        <v>939</v>
      </c>
      <c r="M200" s="15" t="s">
        <v>940</v>
      </c>
    </row>
    <row r="201" spans="7:13" ht="17.25" customHeight="1">
      <c r="G201" s="15" t="s">
        <v>941</v>
      </c>
      <c r="H201" s="15" t="s">
        <v>942</v>
      </c>
      <c r="M201" s="15" t="s">
        <v>943</v>
      </c>
    </row>
    <row r="202" spans="7:13" ht="17.25" customHeight="1">
      <c r="G202" s="15" t="s">
        <v>944</v>
      </c>
      <c r="H202" s="15" t="s">
        <v>945</v>
      </c>
      <c r="M202" s="15" t="s">
        <v>946</v>
      </c>
    </row>
    <row r="203" spans="7:13" ht="17.25" customHeight="1">
      <c r="G203" s="15" t="s">
        <v>947</v>
      </c>
      <c r="H203" s="15" t="s">
        <v>948</v>
      </c>
      <c r="M203" s="15" t="s">
        <v>949</v>
      </c>
    </row>
    <row r="204" spans="7:13" ht="17.25" customHeight="1">
      <c r="G204" s="15" t="s">
        <v>950</v>
      </c>
      <c r="H204" s="15" t="s">
        <v>951</v>
      </c>
      <c r="M204" s="15" t="s">
        <v>952</v>
      </c>
    </row>
    <row r="205" spans="7:13" ht="17.25" customHeight="1">
      <c r="G205" s="15" t="s">
        <v>953</v>
      </c>
      <c r="H205" s="15" t="s">
        <v>954</v>
      </c>
      <c r="M205" s="15" t="s">
        <v>955</v>
      </c>
    </row>
    <row r="206" spans="7:13" ht="17.25" customHeight="1">
      <c r="G206" s="15" t="s">
        <v>956</v>
      </c>
      <c r="H206" s="15" t="s">
        <v>957</v>
      </c>
      <c r="M206" s="15" t="s">
        <v>958</v>
      </c>
    </row>
    <row r="207" spans="7:13" ht="17.25" customHeight="1">
      <c r="G207" s="15" t="s">
        <v>959</v>
      </c>
      <c r="H207" s="15" t="s">
        <v>960</v>
      </c>
      <c r="M207" s="15" t="s">
        <v>961</v>
      </c>
    </row>
    <row r="208" spans="7:13" ht="17.25" customHeight="1">
      <c r="G208" s="15" t="s">
        <v>962</v>
      </c>
      <c r="H208" s="15" t="s">
        <v>963</v>
      </c>
      <c r="M208" s="15" t="s">
        <v>964</v>
      </c>
    </row>
    <row r="209" spans="7:13" ht="17.25" customHeight="1">
      <c r="G209" s="15" t="s">
        <v>965</v>
      </c>
      <c r="H209" s="15" t="s">
        <v>966</v>
      </c>
      <c r="M209" s="15" t="s">
        <v>967</v>
      </c>
    </row>
    <row r="210" spans="7:13" ht="17.25" customHeight="1">
      <c r="G210" s="15" t="s">
        <v>968</v>
      </c>
      <c r="H210" s="15" t="s">
        <v>969</v>
      </c>
      <c r="M210" s="15" t="s">
        <v>970</v>
      </c>
    </row>
    <row r="211" spans="7:13" ht="17.25" customHeight="1">
      <c r="G211" s="15" t="s">
        <v>971</v>
      </c>
      <c r="H211" s="15" t="s">
        <v>972</v>
      </c>
      <c r="M211" s="15" t="s">
        <v>973</v>
      </c>
    </row>
    <row r="212" spans="7:13" ht="17.25" customHeight="1">
      <c r="G212" s="15" t="s">
        <v>974</v>
      </c>
      <c r="H212" s="15" t="s">
        <v>975</v>
      </c>
      <c r="M212" s="15" t="s">
        <v>976</v>
      </c>
    </row>
    <row r="213" spans="7:13" ht="17.25" customHeight="1">
      <c r="G213" s="15" t="s">
        <v>977</v>
      </c>
      <c r="H213" s="15" t="s">
        <v>978</v>
      </c>
      <c r="M213" s="15" t="s">
        <v>979</v>
      </c>
    </row>
    <row r="214" spans="7:13" ht="17.25" customHeight="1">
      <c r="G214" s="15" t="s">
        <v>980</v>
      </c>
      <c r="H214" s="15" t="s">
        <v>981</v>
      </c>
      <c r="M214" s="15" t="s">
        <v>982</v>
      </c>
    </row>
    <row r="215" spans="7:13" ht="17.25" customHeight="1">
      <c r="G215" s="15" t="s">
        <v>983</v>
      </c>
      <c r="H215" s="15" t="s">
        <v>984</v>
      </c>
      <c r="M215" s="15" t="s">
        <v>985</v>
      </c>
    </row>
    <row r="216" spans="7:13" ht="17.25" customHeight="1">
      <c r="G216" s="15" t="s">
        <v>986</v>
      </c>
      <c r="H216" s="15" t="s">
        <v>987</v>
      </c>
      <c r="M216" s="15" t="s">
        <v>988</v>
      </c>
    </row>
    <row r="217" spans="7:13" ht="17.25" customHeight="1">
      <c r="G217" s="15" t="s">
        <v>989</v>
      </c>
      <c r="H217" s="15" t="s">
        <v>990</v>
      </c>
      <c r="M217" s="15" t="s">
        <v>991</v>
      </c>
    </row>
    <row r="218" spans="7:13" ht="17.25" customHeight="1">
      <c r="G218" s="15" t="s">
        <v>992</v>
      </c>
      <c r="H218" s="15" t="s">
        <v>993</v>
      </c>
      <c r="M218" s="15" t="s">
        <v>994</v>
      </c>
    </row>
    <row r="219" spans="7:13" ht="17.25" customHeight="1">
      <c r="G219" s="15" t="s">
        <v>995</v>
      </c>
      <c r="M219" s="15" t="s">
        <v>996</v>
      </c>
    </row>
    <row r="220" spans="7:13" ht="17.25" customHeight="1">
      <c r="G220" s="15" t="s">
        <v>997</v>
      </c>
      <c r="M220" s="15" t="s">
        <v>998</v>
      </c>
    </row>
    <row r="221" spans="7:13" ht="17.25" customHeight="1">
      <c r="G221" s="15" t="s">
        <v>999</v>
      </c>
      <c r="M221" s="15" t="s">
        <v>1000</v>
      </c>
    </row>
    <row r="222" spans="7:13" ht="17.25" customHeight="1">
      <c r="G222" s="15" t="s">
        <v>1001</v>
      </c>
      <c r="M222" s="15" t="s">
        <v>1002</v>
      </c>
    </row>
    <row r="223" spans="7:13" ht="17.25" customHeight="1">
      <c r="G223" s="15" t="s">
        <v>1003</v>
      </c>
      <c r="M223" s="15" t="s">
        <v>1004</v>
      </c>
    </row>
    <row r="224" spans="7:13" ht="17.25" customHeight="1">
      <c r="G224" s="15" t="s">
        <v>1005</v>
      </c>
      <c r="M224" s="15" t="s">
        <v>1006</v>
      </c>
    </row>
    <row r="225" spans="7:13" ht="17.25" customHeight="1">
      <c r="G225" s="15" t="s">
        <v>1007</v>
      </c>
      <c r="M225" s="15" t="s">
        <v>1008</v>
      </c>
    </row>
    <row r="226" spans="7:13" ht="17.25" customHeight="1">
      <c r="G226" s="15" t="s">
        <v>1009</v>
      </c>
      <c r="M226" s="15" t="s">
        <v>1010</v>
      </c>
    </row>
    <row r="227" spans="7:13" ht="17.25" customHeight="1">
      <c r="G227" s="15" t="s">
        <v>1011</v>
      </c>
      <c r="M227" s="15" t="s">
        <v>1012</v>
      </c>
    </row>
    <row r="228" spans="7:13" ht="17.25" customHeight="1">
      <c r="G228" s="15" t="s">
        <v>1013</v>
      </c>
      <c r="M228" s="15" t="s">
        <v>1014</v>
      </c>
    </row>
    <row r="229" spans="7:13" ht="17.25" customHeight="1">
      <c r="G229" s="15" t="s">
        <v>1015</v>
      </c>
      <c r="M229" s="15" t="s">
        <v>1016</v>
      </c>
    </row>
    <row r="230" spans="7:13" ht="17.25" customHeight="1">
      <c r="G230" s="15" t="s">
        <v>1017</v>
      </c>
      <c r="M230" s="15" t="s">
        <v>1018</v>
      </c>
    </row>
    <row r="231" spans="7:13" ht="17.25" customHeight="1">
      <c r="G231" s="15" t="s">
        <v>1019</v>
      </c>
      <c r="M231" s="15" t="s">
        <v>1020</v>
      </c>
    </row>
    <row r="232" spans="7:13" ht="17.25" customHeight="1">
      <c r="G232" s="15" t="s">
        <v>1021</v>
      </c>
      <c r="M232" s="15" t="s">
        <v>1022</v>
      </c>
    </row>
    <row r="233" spans="7:13" ht="17.25" customHeight="1">
      <c r="G233" s="15" t="s">
        <v>1023</v>
      </c>
      <c r="M233" s="15" t="s">
        <v>1024</v>
      </c>
    </row>
    <row r="234" spans="7:13" ht="17.25" customHeight="1">
      <c r="G234" s="15" t="s">
        <v>1025</v>
      </c>
      <c r="M234" s="15" t="s">
        <v>1026</v>
      </c>
    </row>
    <row r="235" spans="7:13" ht="17.25" customHeight="1">
      <c r="G235" s="15" t="s">
        <v>1027</v>
      </c>
      <c r="M235" s="15" t="s">
        <v>1028</v>
      </c>
    </row>
    <row r="236" spans="7:13" ht="17.25" customHeight="1">
      <c r="G236" s="15" t="s">
        <v>1029</v>
      </c>
      <c r="M236" s="15" t="s">
        <v>1030</v>
      </c>
    </row>
    <row r="237" spans="7:13" ht="17.25" customHeight="1">
      <c r="G237" s="15" t="s">
        <v>1031</v>
      </c>
      <c r="M237" s="15" t="s">
        <v>1032</v>
      </c>
    </row>
    <row r="238" spans="7:13" ht="17.25" customHeight="1">
      <c r="G238" s="15" t="s">
        <v>1033</v>
      </c>
      <c r="M238" s="15" t="s">
        <v>1034</v>
      </c>
    </row>
    <row r="239" spans="7:13" ht="17.25" customHeight="1">
      <c r="G239" s="15" t="s">
        <v>1035</v>
      </c>
      <c r="M239" s="15" t="s">
        <v>1036</v>
      </c>
    </row>
    <row r="240" spans="7:13" ht="17.25" customHeight="1">
      <c r="G240" s="15" t="s">
        <v>1037</v>
      </c>
      <c r="M240" s="15" t="s">
        <v>1038</v>
      </c>
    </row>
    <row r="241" spans="7:13" ht="17.25" customHeight="1">
      <c r="G241" s="15" t="s">
        <v>1039</v>
      </c>
      <c r="M241" s="15" t="s">
        <v>1040</v>
      </c>
    </row>
    <row r="242" spans="7:13" ht="17.25" customHeight="1">
      <c r="G242" s="15" t="s">
        <v>1041</v>
      </c>
      <c r="M242" s="15" t="s">
        <v>1042</v>
      </c>
    </row>
    <row r="243" spans="7:13" ht="17.25" customHeight="1">
      <c r="G243" s="15" t="s">
        <v>1043</v>
      </c>
      <c r="M243" s="15" t="s">
        <v>1044</v>
      </c>
    </row>
    <row r="244" spans="7:13" ht="17.25" customHeight="1">
      <c r="G244" s="15" t="s">
        <v>1045</v>
      </c>
      <c r="M244" s="15" t="s">
        <v>1046</v>
      </c>
    </row>
    <row r="245" spans="7:13" ht="17.25" customHeight="1">
      <c r="G245" s="15" t="s">
        <v>1047</v>
      </c>
      <c r="M245" s="15" t="s">
        <v>1048</v>
      </c>
    </row>
    <row r="246" spans="7:13" ht="17.25" customHeight="1">
      <c r="G246" s="15" t="s">
        <v>1049</v>
      </c>
      <c r="M246" s="15" t="s">
        <v>1050</v>
      </c>
    </row>
    <row r="247" spans="7:13" ht="17.25" customHeight="1">
      <c r="G247" s="15" t="s">
        <v>1051</v>
      </c>
      <c r="M247" s="15" t="s">
        <v>1052</v>
      </c>
    </row>
    <row r="248" spans="7:13" ht="17.25" customHeight="1">
      <c r="G248" s="15" t="s">
        <v>1053</v>
      </c>
      <c r="M248" s="15" t="s">
        <v>1054</v>
      </c>
    </row>
    <row r="249" spans="7:13" ht="17.25" customHeight="1">
      <c r="G249" s="15" t="s">
        <v>1055</v>
      </c>
      <c r="M249" s="15" t="s">
        <v>1056</v>
      </c>
    </row>
    <row r="250" spans="7:13" ht="17.25" customHeight="1">
      <c r="G250" s="15" t="s">
        <v>1057</v>
      </c>
      <c r="M250" s="15" t="s">
        <v>1058</v>
      </c>
    </row>
    <row r="251" spans="7:13" ht="17.25" customHeight="1">
      <c r="G251" s="15" t="s">
        <v>1059</v>
      </c>
      <c r="M251" s="15" t="s">
        <v>1060</v>
      </c>
    </row>
    <row r="252" spans="7:13" ht="17.25" customHeight="1">
      <c r="G252" s="15" t="s">
        <v>1061</v>
      </c>
      <c r="M252" s="15" t="s">
        <v>1062</v>
      </c>
    </row>
    <row r="253" spans="7:13" ht="17.25" customHeight="1">
      <c r="G253" s="15" t="s">
        <v>1063</v>
      </c>
      <c r="M253" s="15" t="s">
        <v>1064</v>
      </c>
    </row>
    <row r="254" spans="7:13" ht="17.25" customHeight="1">
      <c r="G254" s="15" t="s">
        <v>1065</v>
      </c>
      <c r="M254" s="15" t="s">
        <v>1066</v>
      </c>
    </row>
    <row r="255" spans="7:13" ht="17.25" customHeight="1">
      <c r="G255" s="15" t="s">
        <v>1067</v>
      </c>
      <c r="M255" s="15" t="s">
        <v>1068</v>
      </c>
    </row>
    <row r="256" spans="7:13" ht="17.25" customHeight="1">
      <c r="G256" s="15" t="s">
        <v>1069</v>
      </c>
      <c r="M256" s="15" t="s">
        <v>1070</v>
      </c>
    </row>
    <row r="257" spans="7:13" ht="17.25" customHeight="1">
      <c r="G257" s="15" t="s">
        <v>1071</v>
      </c>
      <c r="M257" s="15" t="s">
        <v>1072</v>
      </c>
    </row>
    <row r="258" spans="7:13" ht="17.25" customHeight="1">
      <c r="G258" s="15" t="s">
        <v>1073</v>
      </c>
      <c r="M258" s="15" t="s">
        <v>1074</v>
      </c>
    </row>
    <row r="259" spans="7:13" ht="17.25" customHeight="1">
      <c r="G259" s="15" t="s">
        <v>1075</v>
      </c>
      <c r="M259" s="15" t="s">
        <v>1076</v>
      </c>
    </row>
    <row r="260" spans="7:13" ht="17.25" customHeight="1">
      <c r="G260" s="15" t="s">
        <v>1077</v>
      </c>
      <c r="M260" s="15" t="s">
        <v>1078</v>
      </c>
    </row>
    <row r="261" spans="7:13" ht="17.25" customHeight="1">
      <c r="G261" s="15" t="s">
        <v>1079</v>
      </c>
      <c r="M261" s="15" t="s">
        <v>1080</v>
      </c>
    </row>
    <row r="262" spans="7:13" ht="17.25" customHeight="1">
      <c r="G262" s="15" t="s">
        <v>1081</v>
      </c>
      <c r="M262" s="15" t="s">
        <v>1082</v>
      </c>
    </row>
    <row r="263" spans="7:13" ht="17.25" customHeight="1">
      <c r="G263" s="15" t="s">
        <v>1083</v>
      </c>
      <c r="M263" s="15" t="s">
        <v>1084</v>
      </c>
    </row>
    <row r="264" spans="7:13" ht="17.25" customHeight="1">
      <c r="G264" s="15" t="s">
        <v>1085</v>
      </c>
      <c r="M264" s="15" t="s">
        <v>1086</v>
      </c>
    </row>
    <row r="265" spans="7:13" ht="17.25" customHeight="1">
      <c r="G265" s="15" t="s">
        <v>1087</v>
      </c>
      <c r="M265" s="15" t="s">
        <v>1088</v>
      </c>
    </row>
    <row r="266" spans="7:13" ht="17.25" customHeight="1">
      <c r="G266" s="15" t="s">
        <v>1089</v>
      </c>
      <c r="M266" s="15" t="s">
        <v>1090</v>
      </c>
    </row>
    <row r="267" spans="7:13" ht="17.25" customHeight="1">
      <c r="G267" s="15" t="s">
        <v>1091</v>
      </c>
      <c r="M267" s="15" t="s">
        <v>1092</v>
      </c>
    </row>
    <row r="268" spans="7:13" ht="17.25" customHeight="1">
      <c r="G268" s="15" t="s">
        <v>1093</v>
      </c>
      <c r="M268" s="15" t="s">
        <v>1094</v>
      </c>
    </row>
    <row r="269" spans="7:13" ht="17.25" customHeight="1">
      <c r="G269" s="15" t="s">
        <v>1095</v>
      </c>
      <c r="M269" s="15" t="s">
        <v>1096</v>
      </c>
    </row>
    <row r="270" spans="7:13" ht="17.25" customHeight="1">
      <c r="G270" s="15" t="s">
        <v>1097</v>
      </c>
      <c r="M270" s="15" t="s">
        <v>1098</v>
      </c>
    </row>
    <row r="271" spans="7:13" ht="17.25" customHeight="1">
      <c r="G271" s="15" t="s">
        <v>1099</v>
      </c>
      <c r="M271" s="15" t="s">
        <v>1100</v>
      </c>
    </row>
    <row r="272" spans="7:13" ht="17.25" customHeight="1">
      <c r="G272" s="15" t="s">
        <v>1101</v>
      </c>
      <c r="M272" s="15" t="s">
        <v>1102</v>
      </c>
    </row>
    <row r="273" spans="7:13" ht="17.25" customHeight="1">
      <c r="G273" s="15" t="s">
        <v>1103</v>
      </c>
      <c r="M273" s="15" t="s">
        <v>1104</v>
      </c>
    </row>
    <row r="274" spans="7:13" ht="17.25" customHeight="1">
      <c r="G274" s="15" t="s">
        <v>1105</v>
      </c>
      <c r="M274" s="15" t="s">
        <v>1106</v>
      </c>
    </row>
    <row r="275" spans="7:13" ht="17.25" customHeight="1">
      <c r="G275" s="15" t="s">
        <v>1107</v>
      </c>
      <c r="M275" s="15" t="s">
        <v>1108</v>
      </c>
    </row>
    <row r="276" spans="7:13" ht="17.25" customHeight="1">
      <c r="G276" s="15" t="s">
        <v>1109</v>
      </c>
      <c r="M276" s="15" t="s">
        <v>1110</v>
      </c>
    </row>
    <row r="277" spans="7:13" ht="17.25" customHeight="1">
      <c r="G277" s="15" t="s">
        <v>1111</v>
      </c>
      <c r="M277" s="15" t="s">
        <v>1112</v>
      </c>
    </row>
    <row r="278" spans="7:13" ht="17.25" customHeight="1">
      <c r="G278" s="15" t="s">
        <v>1113</v>
      </c>
      <c r="M278" s="15" t="s">
        <v>1114</v>
      </c>
    </row>
    <row r="279" spans="7:13" ht="17.25" customHeight="1">
      <c r="G279" s="15" t="s">
        <v>1115</v>
      </c>
      <c r="M279" s="15" t="s">
        <v>1116</v>
      </c>
    </row>
    <row r="280" spans="7:13" ht="17.25" customHeight="1">
      <c r="G280" s="15" t="s">
        <v>1117</v>
      </c>
      <c r="M280" s="15" t="s">
        <v>1118</v>
      </c>
    </row>
    <row r="281" spans="7:13" ht="17.25" customHeight="1">
      <c r="G281" s="15" t="s">
        <v>1119</v>
      </c>
      <c r="M281" s="15" t="s">
        <v>1120</v>
      </c>
    </row>
    <row r="282" spans="7:13" ht="17.25" customHeight="1">
      <c r="G282" s="15" t="s">
        <v>1121</v>
      </c>
      <c r="M282" s="15" t="s">
        <v>1122</v>
      </c>
    </row>
    <row r="283" spans="7:13" ht="17.25" customHeight="1">
      <c r="G283" s="15" t="s">
        <v>1123</v>
      </c>
      <c r="M283" s="15" t="s">
        <v>1124</v>
      </c>
    </row>
    <row r="284" spans="7:13" ht="17.25" customHeight="1">
      <c r="G284" s="15" t="s">
        <v>1125</v>
      </c>
      <c r="M284" s="15" t="s">
        <v>1126</v>
      </c>
    </row>
    <row r="285" spans="7:13" ht="17.25" customHeight="1">
      <c r="G285" s="15" t="s">
        <v>1127</v>
      </c>
      <c r="M285" s="15" t="s">
        <v>1128</v>
      </c>
    </row>
    <row r="286" spans="7:13" ht="17.25" customHeight="1">
      <c r="G286" s="15" t="s">
        <v>1129</v>
      </c>
      <c r="M286" s="15" t="s">
        <v>1130</v>
      </c>
    </row>
    <row r="287" spans="7:13" ht="17.25" customHeight="1">
      <c r="G287" s="15" t="s">
        <v>1131</v>
      </c>
      <c r="M287" s="15" t="s">
        <v>1132</v>
      </c>
    </row>
    <row r="288" spans="7:13" ht="17.25" customHeight="1">
      <c r="G288" s="15" t="s">
        <v>1133</v>
      </c>
      <c r="M288" s="15" t="s">
        <v>1134</v>
      </c>
    </row>
    <row r="289" spans="7:13" ht="17.25" customHeight="1">
      <c r="G289" s="15" t="s">
        <v>1135</v>
      </c>
      <c r="M289" s="15" t="s">
        <v>1136</v>
      </c>
    </row>
    <row r="290" spans="7:13" ht="17.25" customHeight="1">
      <c r="G290" s="15" t="s">
        <v>1137</v>
      </c>
      <c r="M290" s="15" t="s">
        <v>1138</v>
      </c>
    </row>
    <row r="291" spans="7:13" ht="17.25" customHeight="1">
      <c r="G291" s="15" t="s">
        <v>1139</v>
      </c>
      <c r="M291" s="15" t="s">
        <v>1140</v>
      </c>
    </row>
    <row r="292" spans="7:13" ht="17.25" customHeight="1">
      <c r="G292" s="15" t="s">
        <v>1141</v>
      </c>
      <c r="M292" s="15" t="s">
        <v>1142</v>
      </c>
    </row>
    <row r="293" spans="7:13" ht="17.25" customHeight="1">
      <c r="G293" s="15" t="s">
        <v>1143</v>
      </c>
      <c r="M293" s="15" t="s">
        <v>1144</v>
      </c>
    </row>
    <row r="294" spans="7:13" ht="17.25" customHeight="1">
      <c r="G294" s="15" t="s">
        <v>1145</v>
      </c>
      <c r="M294" s="15" t="s">
        <v>1146</v>
      </c>
    </row>
    <row r="295" spans="7:13" ht="17.25" customHeight="1">
      <c r="G295" s="15" t="s">
        <v>1147</v>
      </c>
      <c r="M295" s="15" t="s">
        <v>1148</v>
      </c>
    </row>
    <row r="296" spans="7:13" ht="17.25" customHeight="1">
      <c r="G296" s="15" t="s">
        <v>1149</v>
      </c>
      <c r="M296" s="15" t="s">
        <v>1150</v>
      </c>
    </row>
    <row r="297" spans="7:13" ht="17.25" customHeight="1">
      <c r="G297" s="15" t="s">
        <v>1151</v>
      </c>
      <c r="M297" s="15" t="s">
        <v>1152</v>
      </c>
    </row>
    <row r="298" spans="7:13" ht="17.25" customHeight="1">
      <c r="G298" s="15" t="s">
        <v>1153</v>
      </c>
      <c r="M298" s="15" t="s">
        <v>1154</v>
      </c>
    </row>
    <row r="299" spans="7:13" ht="17.25" customHeight="1">
      <c r="G299" s="15" t="s">
        <v>1155</v>
      </c>
      <c r="M299" s="15" t="s">
        <v>1156</v>
      </c>
    </row>
    <row r="300" spans="7:13" ht="17.25" customHeight="1">
      <c r="G300" s="15" t="s">
        <v>1157</v>
      </c>
      <c r="M300" s="15" t="s">
        <v>1158</v>
      </c>
    </row>
    <row r="301" spans="7:13" ht="17.25" customHeight="1">
      <c r="G301" s="15" t="s">
        <v>1159</v>
      </c>
      <c r="M301" s="15" t="s">
        <v>1160</v>
      </c>
    </row>
    <row r="302" spans="7:13" ht="17.25" customHeight="1">
      <c r="G302" s="15" t="s">
        <v>1161</v>
      </c>
      <c r="M302" s="15" t="s">
        <v>1162</v>
      </c>
    </row>
    <row r="303" spans="7:13" ht="17.25" customHeight="1">
      <c r="G303" s="15" t="s">
        <v>1163</v>
      </c>
      <c r="M303" s="15" t="s">
        <v>1164</v>
      </c>
    </row>
    <row r="304" spans="7:13" ht="17.25" customHeight="1">
      <c r="G304" s="15" t="s">
        <v>1165</v>
      </c>
      <c r="M304" s="15" t="s">
        <v>1166</v>
      </c>
    </row>
    <row r="305" spans="7:13" ht="17.25" customHeight="1">
      <c r="G305" s="15" t="s">
        <v>1167</v>
      </c>
      <c r="M305" s="15" t="s">
        <v>1168</v>
      </c>
    </row>
    <row r="306" spans="7:13" ht="17.25" customHeight="1">
      <c r="G306" s="15" t="s">
        <v>1169</v>
      </c>
      <c r="M306" s="15" t="s">
        <v>1170</v>
      </c>
    </row>
    <row r="307" spans="7:13" ht="17.25" customHeight="1">
      <c r="G307" s="15" t="s">
        <v>1171</v>
      </c>
      <c r="M307" s="15" t="s">
        <v>1172</v>
      </c>
    </row>
    <row r="308" spans="7:13" ht="17.25" customHeight="1">
      <c r="G308" s="15" t="s">
        <v>1173</v>
      </c>
      <c r="M308" s="15" t="s">
        <v>1174</v>
      </c>
    </row>
    <row r="309" spans="7:13" ht="17.25" customHeight="1">
      <c r="G309" s="15" t="s">
        <v>1175</v>
      </c>
      <c r="M309" s="15" t="s">
        <v>1176</v>
      </c>
    </row>
    <row r="310" spans="7:13" ht="17.25" customHeight="1">
      <c r="G310" s="15" t="s">
        <v>1177</v>
      </c>
      <c r="M310" s="15" t="s">
        <v>1178</v>
      </c>
    </row>
    <row r="311" spans="7:13" ht="17.25" customHeight="1">
      <c r="G311" s="15" t="s">
        <v>1179</v>
      </c>
      <c r="M311" s="15" t="s">
        <v>1180</v>
      </c>
    </row>
    <row r="312" spans="7:13" ht="17.25" customHeight="1">
      <c r="G312" s="15" t="s">
        <v>1181</v>
      </c>
      <c r="M312" s="15" t="s">
        <v>1182</v>
      </c>
    </row>
    <row r="313" spans="7:13" ht="17.25" customHeight="1">
      <c r="G313" s="15" t="s">
        <v>1183</v>
      </c>
      <c r="M313" s="15" t="s">
        <v>1184</v>
      </c>
    </row>
    <row r="314" spans="7:13" ht="17.25" customHeight="1">
      <c r="G314" s="15" t="s">
        <v>1185</v>
      </c>
      <c r="M314" s="15" t="s">
        <v>1186</v>
      </c>
    </row>
    <row r="315" spans="7:13" ht="17.25" customHeight="1">
      <c r="G315" s="15" t="s">
        <v>1187</v>
      </c>
      <c r="M315" s="15" t="s">
        <v>1188</v>
      </c>
    </row>
    <row r="316" spans="7:13" ht="17.25" customHeight="1">
      <c r="G316" s="15" t="s">
        <v>1189</v>
      </c>
      <c r="M316" s="15" t="s">
        <v>1190</v>
      </c>
    </row>
    <row r="317" spans="7:13" ht="17.25" customHeight="1">
      <c r="G317" s="15" t="s">
        <v>1191</v>
      </c>
      <c r="M317" s="15" t="s">
        <v>1192</v>
      </c>
    </row>
    <row r="318" spans="7:13" ht="17.25" customHeight="1">
      <c r="G318" s="15" t="s">
        <v>1193</v>
      </c>
      <c r="M318" s="15" t="s">
        <v>1194</v>
      </c>
    </row>
    <row r="319" spans="7:13" ht="17.25" customHeight="1">
      <c r="G319" s="15" t="s">
        <v>1195</v>
      </c>
      <c r="M319" s="15" t="s">
        <v>1196</v>
      </c>
    </row>
    <row r="320" spans="7:13" ht="17.25" customHeight="1">
      <c r="G320" s="15" t="s">
        <v>1197</v>
      </c>
      <c r="M320" s="15" t="s">
        <v>1198</v>
      </c>
    </row>
    <row r="321" spans="7:13" ht="17.25" customHeight="1">
      <c r="G321" s="15" t="s">
        <v>1199</v>
      </c>
      <c r="M321" s="15" t="s">
        <v>1200</v>
      </c>
    </row>
    <row r="322" spans="7:13" ht="17.25" customHeight="1">
      <c r="G322" s="15" t="s">
        <v>1201</v>
      </c>
      <c r="M322" s="15" t="s">
        <v>1202</v>
      </c>
    </row>
    <row r="323" spans="7:13" ht="17.25" customHeight="1">
      <c r="G323" s="15" t="s">
        <v>1203</v>
      </c>
      <c r="M323" s="15" t="s">
        <v>1204</v>
      </c>
    </row>
    <row r="324" spans="7:13" ht="17.25" customHeight="1">
      <c r="G324" s="15" t="s">
        <v>1205</v>
      </c>
      <c r="M324" s="15" t="s">
        <v>1206</v>
      </c>
    </row>
    <row r="325" spans="7:13" ht="17.25" customHeight="1">
      <c r="G325" s="15" t="s">
        <v>1207</v>
      </c>
      <c r="M325" s="15" t="s">
        <v>1208</v>
      </c>
    </row>
    <row r="326" spans="7:13" ht="17.25" customHeight="1">
      <c r="G326" s="15" t="s">
        <v>1209</v>
      </c>
      <c r="M326" s="15" t="s">
        <v>1210</v>
      </c>
    </row>
    <row r="327" spans="7:13" ht="17.25" customHeight="1">
      <c r="G327" s="15" t="s">
        <v>1211</v>
      </c>
      <c r="M327" s="15" t="s">
        <v>1212</v>
      </c>
    </row>
    <row r="328" spans="7:13" ht="17.25" customHeight="1">
      <c r="G328" s="15" t="s">
        <v>1213</v>
      </c>
      <c r="M328" s="15" t="s">
        <v>1214</v>
      </c>
    </row>
    <row r="329" spans="7:13" ht="17.25" customHeight="1">
      <c r="G329" s="15" t="s">
        <v>1215</v>
      </c>
      <c r="M329" s="15" t="s">
        <v>1216</v>
      </c>
    </row>
    <row r="330" spans="7:13" ht="17.25" customHeight="1">
      <c r="G330" s="15" t="s">
        <v>1217</v>
      </c>
      <c r="M330" s="15" t="s">
        <v>1218</v>
      </c>
    </row>
    <row r="331" spans="7:13" ht="17.25" customHeight="1">
      <c r="G331" s="15" t="s">
        <v>1219</v>
      </c>
      <c r="M331" s="15" t="s">
        <v>1220</v>
      </c>
    </row>
    <row r="332" spans="7:13" ht="17.25" customHeight="1">
      <c r="G332" s="15" t="s">
        <v>1221</v>
      </c>
      <c r="M332" s="15" t="s">
        <v>1222</v>
      </c>
    </row>
    <row r="333" spans="7:13" ht="17.25" customHeight="1">
      <c r="G333" s="15" t="s">
        <v>1223</v>
      </c>
      <c r="M333" s="15" t="s">
        <v>1224</v>
      </c>
    </row>
    <row r="334" spans="7:13" ht="17.25" customHeight="1">
      <c r="G334" s="15" t="s">
        <v>1225</v>
      </c>
      <c r="M334" s="15" t="s">
        <v>1226</v>
      </c>
    </row>
    <row r="335" spans="7:13" ht="17.25" customHeight="1">
      <c r="G335" s="15" t="s">
        <v>1227</v>
      </c>
      <c r="M335" s="15" t="s">
        <v>1228</v>
      </c>
    </row>
    <row r="336" spans="7:13" ht="17.25" customHeight="1">
      <c r="G336" s="15" t="s">
        <v>1229</v>
      </c>
      <c r="M336" s="15" t="s">
        <v>1230</v>
      </c>
    </row>
    <row r="337" spans="7:13" ht="17.25" customHeight="1">
      <c r="G337" s="15" t="s">
        <v>1231</v>
      </c>
      <c r="M337" s="15" t="s">
        <v>1232</v>
      </c>
    </row>
    <row r="338" spans="7:13" ht="17.25" customHeight="1">
      <c r="G338" s="15" t="s">
        <v>1233</v>
      </c>
      <c r="M338" s="15" t="s">
        <v>1234</v>
      </c>
    </row>
    <row r="339" spans="7:13" ht="17.25" customHeight="1">
      <c r="G339" s="15" t="s">
        <v>1235</v>
      </c>
      <c r="M339" s="15" t="s">
        <v>1236</v>
      </c>
    </row>
    <row r="340" spans="7:13" ht="17.25" customHeight="1">
      <c r="G340" s="15" t="s">
        <v>1237</v>
      </c>
      <c r="M340" s="15" t="s">
        <v>1238</v>
      </c>
    </row>
    <row r="341" spans="7:13" ht="17.25" customHeight="1">
      <c r="G341" s="15" t="s">
        <v>1239</v>
      </c>
      <c r="M341" s="15" t="s">
        <v>1240</v>
      </c>
    </row>
    <row r="342" spans="7:13" ht="17.25" customHeight="1">
      <c r="G342" s="15" t="s">
        <v>1241</v>
      </c>
      <c r="M342" s="15" t="s">
        <v>1242</v>
      </c>
    </row>
    <row r="343" spans="7:13" ht="17.25" customHeight="1">
      <c r="G343" s="15" t="s">
        <v>1243</v>
      </c>
      <c r="M343" s="15" t="s">
        <v>1244</v>
      </c>
    </row>
    <row r="344" spans="7:13" ht="17.25" customHeight="1">
      <c r="G344" s="15" t="s">
        <v>1245</v>
      </c>
      <c r="M344" s="15" t="s">
        <v>1246</v>
      </c>
    </row>
    <row r="345" spans="7:13" ht="17.25" customHeight="1">
      <c r="G345" s="15" t="s">
        <v>1247</v>
      </c>
      <c r="M345" s="15" t="s">
        <v>1248</v>
      </c>
    </row>
    <row r="346" spans="7:13" ht="17.25" customHeight="1">
      <c r="G346" s="15" t="s">
        <v>1249</v>
      </c>
      <c r="M346" s="15" t="s">
        <v>1250</v>
      </c>
    </row>
    <row r="347" spans="7:13" ht="17.25" customHeight="1">
      <c r="G347" s="15" t="s">
        <v>1251</v>
      </c>
      <c r="M347" s="15" t="s">
        <v>1252</v>
      </c>
    </row>
    <row r="348" spans="7:13" ht="17.25" customHeight="1">
      <c r="G348" s="15" t="s">
        <v>1253</v>
      </c>
      <c r="M348" s="15" t="s">
        <v>1254</v>
      </c>
    </row>
    <row r="349" spans="7:13" ht="17.25" customHeight="1">
      <c r="G349" s="15" t="s">
        <v>1255</v>
      </c>
      <c r="M349" s="15" t="s">
        <v>1256</v>
      </c>
    </row>
    <row r="350" spans="7:13" ht="17.25" customHeight="1">
      <c r="G350" s="15" t="s">
        <v>1257</v>
      </c>
      <c r="M350" s="15" t="s">
        <v>1258</v>
      </c>
    </row>
    <row r="351" spans="7:13" ht="17.25" customHeight="1">
      <c r="G351" s="15" t="s">
        <v>1259</v>
      </c>
      <c r="M351" s="15" t="s">
        <v>1260</v>
      </c>
    </row>
    <row r="352" spans="7:13" ht="17.25" customHeight="1">
      <c r="G352" s="15" t="s">
        <v>1261</v>
      </c>
      <c r="M352" s="15" t="s">
        <v>1262</v>
      </c>
    </row>
    <row r="353" spans="7:13" ht="17.25" customHeight="1">
      <c r="G353" s="15" t="s">
        <v>1263</v>
      </c>
      <c r="M353" s="15" t="s">
        <v>1264</v>
      </c>
    </row>
    <row r="354" spans="7:13" ht="17.25" customHeight="1">
      <c r="G354" s="15" t="s">
        <v>1265</v>
      </c>
      <c r="M354" s="15" t="s">
        <v>1266</v>
      </c>
    </row>
    <row r="355" spans="7:13" ht="17.25" customHeight="1">
      <c r="G355" s="15" t="s">
        <v>1267</v>
      </c>
      <c r="M355" s="15" t="s">
        <v>1268</v>
      </c>
    </row>
    <row r="356" spans="7:13" ht="17.25" customHeight="1">
      <c r="G356" s="15" t="s">
        <v>1269</v>
      </c>
      <c r="M356" s="15" t="s">
        <v>1270</v>
      </c>
    </row>
    <row r="357" spans="7:13" ht="17.25" customHeight="1">
      <c r="G357" s="15" t="s">
        <v>1271</v>
      </c>
      <c r="M357" s="15" t="s">
        <v>1272</v>
      </c>
    </row>
    <row r="358" spans="7:13" ht="17.25" customHeight="1">
      <c r="G358" s="15" t="s">
        <v>1273</v>
      </c>
      <c r="M358" s="15" t="s">
        <v>1274</v>
      </c>
    </row>
    <row r="359" spans="7:13" ht="17.25" customHeight="1">
      <c r="G359" s="15" t="s">
        <v>1275</v>
      </c>
      <c r="M359" s="15" t="s">
        <v>1276</v>
      </c>
    </row>
    <row r="360" spans="7:13" ht="17.25" customHeight="1">
      <c r="G360" s="15" t="s">
        <v>1277</v>
      </c>
      <c r="M360" s="15" t="s">
        <v>1278</v>
      </c>
    </row>
    <row r="361" spans="7:13" ht="17.25" customHeight="1">
      <c r="G361" s="15" t="s">
        <v>1279</v>
      </c>
      <c r="M361" s="15" t="s">
        <v>1280</v>
      </c>
    </row>
    <row r="362" spans="7:13" ht="17.25" customHeight="1">
      <c r="G362" s="15" t="s">
        <v>1281</v>
      </c>
      <c r="M362" s="15" t="s">
        <v>1282</v>
      </c>
    </row>
    <row r="363" spans="7:13" ht="17.25" customHeight="1">
      <c r="G363" s="15" t="s">
        <v>1283</v>
      </c>
      <c r="M363" s="15" t="s">
        <v>1284</v>
      </c>
    </row>
    <row r="364" spans="7:13" ht="17.25" customHeight="1">
      <c r="G364" s="15" t="s">
        <v>1285</v>
      </c>
      <c r="M364" s="15" t="s">
        <v>1286</v>
      </c>
    </row>
    <row r="365" spans="7:13" ht="17.25" customHeight="1">
      <c r="G365" s="15" t="s">
        <v>1287</v>
      </c>
      <c r="M365" s="15" t="s">
        <v>1288</v>
      </c>
    </row>
    <row r="366" spans="7:13" ht="17.25" customHeight="1">
      <c r="G366" s="15" t="s">
        <v>1289</v>
      </c>
      <c r="M366" s="15" t="s">
        <v>1290</v>
      </c>
    </row>
    <row r="367" spans="7:13" ht="17.25" customHeight="1">
      <c r="G367" s="15" t="s">
        <v>1291</v>
      </c>
      <c r="M367" s="15" t="s">
        <v>1292</v>
      </c>
    </row>
    <row r="368" spans="7:13" ht="17.25" customHeight="1">
      <c r="G368" s="15" t="s">
        <v>1293</v>
      </c>
      <c r="M368" s="15" t="s">
        <v>1294</v>
      </c>
    </row>
    <row r="369" spans="7:13" ht="17.25" customHeight="1">
      <c r="G369" s="15" t="s">
        <v>1295</v>
      </c>
      <c r="M369" s="15" t="s">
        <v>1296</v>
      </c>
    </row>
    <row r="370" spans="7:13" ht="17.25" customHeight="1">
      <c r="G370" s="15" t="s">
        <v>1297</v>
      </c>
      <c r="M370" s="15" t="s">
        <v>1298</v>
      </c>
    </row>
    <row r="371" spans="7:13" ht="17.25" customHeight="1">
      <c r="G371" s="15" t="s">
        <v>1299</v>
      </c>
      <c r="M371" s="15" t="s">
        <v>1300</v>
      </c>
    </row>
    <row r="372" spans="7:13" ht="17.25" customHeight="1">
      <c r="G372" s="15" t="s">
        <v>1301</v>
      </c>
      <c r="M372" s="15" t="s">
        <v>1302</v>
      </c>
    </row>
    <row r="373" spans="7:13" ht="17.25" customHeight="1">
      <c r="G373" s="15" t="s">
        <v>1303</v>
      </c>
      <c r="M373" s="15" t="s">
        <v>1304</v>
      </c>
    </row>
    <row r="374" spans="7:13" ht="17.25" customHeight="1">
      <c r="G374" s="15" t="s">
        <v>1305</v>
      </c>
      <c r="M374" s="15" t="s">
        <v>1306</v>
      </c>
    </row>
    <row r="375" spans="7:13" ht="17.25" customHeight="1">
      <c r="G375" s="15" t="s">
        <v>1307</v>
      </c>
      <c r="M375" s="15" t="s">
        <v>1308</v>
      </c>
    </row>
    <row r="376" spans="7:13" ht="17.25" customHeight="1">
      <c r="G376" s="15" t="s">
        <v>1309</v>
      </c>
      <c r="M376" s="15" t="s">
        <v>1310</v>
      </c>
    </row>
    <row r="377" spans="7:13" ht="17.25" customHeight="1">
      <c r="G377" s="15" t="s">
        <v>1311</v>
      </c>
      <c r="M377" s="15" t="s">
        <v>1312</v>
      </c>
    </row>
    <row r="378" spans="7:13" ht="17.25" customHeight="1">
      <c r="G378" s="15" t="s">
        <v>1313</v>
      </c>
      <c r="M378" s="15" t="s">
        <v>1314</v>
      </c>
    </row>
    <row r="379" spans="7:13" ht="17.25" customHeight="1">
      <c r="G379" s="15" t="s">
        <v>1315</v>
      </c>
      <c r="M379" s="15" t="s">
        <v>1316</v>
      </c>
    </row>
    <row r="380" spans="7:13" ht="17.25" customHeight="1">
      <c r="G380" s="15" t="s">
        <v>1317</v>
      </c>
      <c r="M380" s="15" t="s">
        <v>1318</v>
      </c>
    </row>
    <row r="381" spans="7:13" ht="17.25" customHeight="1">
      <c r="G381" s="15" t="s">
        <v>1319</v>
      </c>
      <c r="M381" s="15" t="s">
        <v>1320</v>
      </c>
    </row>
    <row r="382" spans="7:13" ht="17.25" customHeight="1">
      <c r="G382" s="15" t="s">
        <v>1321</v>
      </c>
      <c r="M382" s="15" t="s">
        <v>1322</v>
      </c>
    </row>
    <row r="383" spans="7:13" ht="17.25" customHeight="1">
      <c r="G383" s="15" t="s">
        <v>1323</v>
      </c>
      <c r="M383" s="15" t="s">
        <v>1324</v>
      </c>
    </row>
    <row r="384" spans="7:13" ht="17.25" customHeight="1">
      <c r="G384" s="15" t="s">
        <v>1325</v>
      </c>
      <c r="M384" s="15" t="s">
        <v>1326</v>
      </c>
    </row>
    <row r="385" spans="7:13" ht="17.25" customHeight="1">
      <c r="G385" s="15" t="s">
        <v>1327</v>
      </c>
      <c r="M385" s="15" t="s">
        <v>1328</v>
      </c>
    </row>
    <row r="386" spans="7:13" ht="17.25" customHeight="1">
      <c r="G386" s="15" t="s">
        <v>1329</v>
      </c>
      <c r="M386" s="15" t="s">
        <v>1330</v>
      </c>
    </row>
    <row r="387" spans="7:13" ht="17.25" customHeight="1">
      <c r="G387" s="15" t="s">
        <v>1331</v>
      </c>
      <c r="M387" s="15" t="s">
        <v>1332</v>
      </c>
    </row>
    <row r="388" spans="7:13" ht="17.25" customHeight="1">
      <c r="G388" s="15" t="s">
        <v>1333</v>
      </c>
      <c r="M388" s="15" t="s">
        <v>1334</v>
      </c>
    </row>
    <row r="389" spans="7:13" ht="17.25" customHeight="1">
      <c r="G389" s="15" t="s">
        <v>1335</v>
      </c>
      <c r="M389" s="15" t="s">
        <v>1336</v>
      </c>
    </row>
    <row r="390" spans="7:13" ht="17.25" customHeight="1">
      <c r="G390" s="15" t="s">
        <v>1337</v>
      </c>
      <c r="M390" s="15" t="s">
        <v>1338</v>
      </c>
    </row>
    <row r="391" spans="7:13" ht="17.25" customHeight="1">
      <c r="G391" s="15" t="s">
        <v>1339</v>
      </c>
      <c r="M391" s="15" t="s">
        <v>1340</v>
      </c>
    </row>
    <row r="392" spans="7:13" ht="17.25" customHeight="1">
      <c r="G392" s="15" t="s">
        <v>1341</v>
      </c>
      <c r="M392" s="15" t="s">
        <v>1342</v>
      </c>
    </row>
    <row r="393" spans="7:13" ht="17.25" customHeight="1">
      <c r="G393" s="15" t="s">
        <v>1343</v>
      </c>
      <c r="M393" s="15" t="s">
        <v>1344</v>
      </c>
    </row>
    <row r="394" spans="7:13" ht="17.25" customHeight="1">
      <c r="G394" s="15" t="s">
        <v>1345</v>
      </c>
      <c r="M394" s="15" t="s">
        <v>1346</v>
      </c>
    </row>
    <row r="395" spans="7:13" ht="17.25" customHeight="1">
      <c r="G395" s="15" t="s">
        <v>1347</v>
      </c>
      <c r="M395" s="15" t="s">
        <v>1348</v>
      </c>
    </row>
    <row r="396" spans="7:13" ht="17.25" customHeight="1">
      <c r="G396" s="15" t="s">
        <v>1349</v>
      </c>
      <c r="M396" s="15" t="s">
        <v>1350</v>
      </c>
    </row>
    <row r="397" spans="7:13" ht="17.25" customHeight="1">
      <c r="G397" s="15" t="s">
        <v>1351</v>
      </c>
      <c r="M397" s="15" t="s">
        <v>1352</v>
      </c>
    </row>
    <row r="398" spans="7:13" ht="17.25" customHeight="1">
      <c r="G398" s="15" t="s">
        <v>1353</v>
      </c>
      <c r="M398" s="15" t="s">
        <v>1354</v>
      </c>
    </row>
    <row r="399" spans="7:13" ht="17.25" customHeight="1">
      <c r="G399" s="15" t="s">
        <v>1355</v>
      </c>
      <c r="M399" s="15" t="s">
        <v>1356</v>
      </c>
    </row>
    <row r="400" spans="7:13" ht="17.25" customHeight="1">
      <c r="G400" s="15" t="s">
        <v>1357</v>
      </c>
      <c r="M400" s="15" t="s">
        <v>1358</v>
      </c>
    </row>
    <row r="401" spans="7:13" ht="17.25" customHeight="1">
      <c r="G401" s="15" t="s">
        <v>1359</v>
      </c>
      <c r="M401" s="15" t="s">
        <v>1360</v>
      </c>
    </row>
    <row r="402" spans="7:13" ht="17.25" customHeight="1">
      <c r="G402" s="15" t="s">
        <v>1361</v>
      </c>
      <c r="M402" s="15" t="s">
        <v>1362</v>
      </c>
    </row>
    <row r="403" spans="7:13" ht="17.25" customHeight="1">
      <c r="G403" s="15" t="s">
        <v>1363</v>
      </c>
      <c r="M403" s="15" t="s">
        <v>1364</v>
      </c>
    </row>
    <row r="404" spans="7:13" ht="17.25" customHeight="1">
      <c r="G404" s="15" t="s">
        <v>1365</v>
      </c>
      <c r="M404" s="15" t="s">
        <v>1366</v>
      </c>
    </row>
    <row r="405" spans="7:13" ht="17.25" customHeight="1">
      <c r="G405" s="15" t="s">
        <v>1367</v>
      </c>
      <c r="M405" s="15" t="s">
        <v>1368</v>
      </c>
    </row>
    <row r="406" spans="7:13" ht="17.25" customHeight="1">
      <c r="G406" s="15" t="s">
        <v>1369</v>
      </c>
      <c r="M406" s="15" t="s">
        <v>1370</v>
      </c>
    </row>
    <row r="407" spans="7:13" ht="17.25" customHeight="1">
      <c r="G407" s="15" t="s">
        <v>1371</v>
      </c>
      <c r="M407" s="15" t="s">
        <v>1372</v>
      </c>
    </row>
    <row r="408" spans="7:13" ht="17.25" customHeight="1">
      <c r="G408" s="15" t="s">
        <v>1373</v>
      </c>
      <c r="M408" s="15" t="s">
        <v>1374</v>
      </c>
    </row>
    <row r="409" spans="7:13" ht="17.25" customHeight="1">
      <c r="G409" s="15" t="s">
        <v>1375</v>
      </c>
      <c r="M409" s="15" t="s">
        <v>1376</v>
      </c>
    </row>
    <row r="410" spans="7:13" ht="17.25" customHeight="1">
      <c r="G410" s="15" t="s">
        <v>1377</v>
      </c>
      <c r="M410" s="15" t="s">
        <v>1378</v>
      </c>
    </row>
    <row r="411" spans="7:13" ht="17.25" customHeight="1">
      <c r="G411" s="15" t="s">
        <v>1379</v>
      </c>
      <c r="M411" s="15" t="s">
        <v>1380</v>
      </c>
    </row>
    <row r="412" spans="7:13" ht="17.25" customHeight="1">
      <c r="G412" s="15" t="s">
        <v>1381</v>
      </c>
      <c r="M412" s="15" t="s">
        <v>1382</v>
      </c>
    </row>
    <row r="413" spans="7:13" ht="17.25" customHeight="1">
      <c r="G413" s="15" t="s">
        <v>1383</v>
      </c>
      <c r="M413" s="15" t="s">
        <v>1384</v>
      </c>
    </row>
    <row r="414" spans="7:13" ht="17.25" customHeight="1">
      <c r="G414" s="15" t="s">
        <v>1385</v>
      </c>
      <c r="M414" s="15" t="s">
        <v>1386</v>
      </c>
    </row>
    <row r="415" spans="7:13" ht="17.25" customHeight="1">
      <c r="G415" s="15" t="s">
        <v>1387</v>
      </c>
      <c r="M415" s="15" t="s">
        <v>1388</v>
      </c>
    </row>
    <row r="416" spans="7:13" ht="17.25" customHeight="1">
      <c r="G416" s="15" t="s">
        <v>1389</v>
      </c>
      <c r="M416" s="15" t="s">
        <v>1390</v>
      </c>
    </row>
    <row r="417" spans="7:13" ht="17.25" customHeight="1">
      <c r="G417" s="15" t="s">
        <v>1391</v>
      </c>
      <c r="M417" s="15" t="s">
        <v>1392</v>
      </c>
    </row>
    <row r="418" spans="7:13" ht="17.25" customHeight="1">
      <c r="G418" s="15" t="s">
        <v>1393</v>
      </c>
      <c r="M418" s="15" t="s">
        <v>1394</v>
      </c>
    </row>
    <row r="419" spans="7:13" ht="17.25" customHeight="1">
      <c r="G419" s="15" t="s">
        <v>1395</v>
      </c>
      <c r="M419" s="15" t="s">
        <v>1396</v>
      </c>
    </row>
    <row r="420" spans="7:13" ht="17.25" customHeight="1">
      <c r="G420" s="15" t="s">
        <v>1397</v>
      </c>
      <c r="M420" s="15" t="s">
        <v>1398</v>
      </c>
    </row>
    <row r="421" spans="7:13" ht="17.25" customHeight="1">
      <c r="G421" s="15" t="s">
        <v>1399</v>
      </c>
      <c r="M421" s="15" t="s">
        <v>1400</v>
      </c>
    </row>
    <row r="422" spans="7:13" ht="17.25" customHeight="1">
      <c r="G422" s="15" t="s">
        <v>1401</v>
      </c>
      <c r="M422" s="15" t="s">
        <v>1402</v>
      </c>
    </row>
    <row r="423" spans="7:13" ht="17.25" customHeight="1">
      <c r="G423" s="15" t="s">
        <v>1403</v>
      </c>
      <c r="M423" s="15" t="s">
        <v>1404</v>
      </c>
    </row>
    <row r="424" spans="7:13" ht="17.25" customHeight="1">
      <c r="G424" s="15" t="s">
        <v>1405</v>
      </c>
      <c r="M424" s="15" t="s">
        <v>1406</v>
      </c>
    </row>
    <row r="425" spans="7:13" ht="17.25" customHeight="1">
      <c r="G425" s="15" t="s">
        <v>1407</v>
      </c>
      <c r="M425" s="15" t="s">
        <v>1408</v>
      </c>
    </row>
    <row r="426" spans="7:13" ht="17.25" customHeight="1">
      <c r="G426" s="15" t="s">
        <v>1409</v>
      </c>
      <c r="M426" s="15" t="s">
        <v>1410</v>
      </c>
    </row>
    <row r="427" spans="7:13" ht="17.25" customHeight="1">
      <c r="G427" s="15" t="s">
        <v>1411</v>
      </c>
      <c r="M427" s="15" t="s">
        <v>1412</v>
      </c>
    </row>
    <row r="428" spans="7:13" ht="17.25" customHeight="1">
      <c r="G428" s="15" t="s">
        <v>1413</v>
      </c>
      <c r="M428" s="15" t="s">
        <v>1414</v>
      </c>
    </row>
    <row r="429" spans="7:13" ht="17.25" customHeight="1">
      <c r="G429" s="15" t="s">
        <v>1415</v>
      </c>
      <c r="M429" s="15" t="s">
        <v>1416</v>
      </c>
    </row>
    <row r="430" spans="7:13" ht="17.25" customHeight="1">
      <c r="G430" s="15" t="s">
        <v>1417</v>
      </c>
      <c r="M430" s="15" t="s">
        <v>1418</v>
      </c>
    </row>
    <row r="431" spans="7:13" ht="17.25" customHeight="1">
      <c r="G431" s="15" t="s">
        <v>1419</v>
      </c>
      <c r="M431" s="15" t="s">
        <v>1420</v>
      </c>
    </row>
    <row r="432" spans="7:13" ht="17.25" customHeight="1">
      <c r="G432" s="15" t="s">
        <v>1421</v>
      </c>
      <c r="M432" s="15" t="s">
        <v>1422</v>
      </c>
    </row>
    <row r="433" spans="7:13" ht="17.25" customHeight="1">
      <c r="G433" s="15" t="s">
        <v>1423</v>
      </c>
      <c r="M433" s="15" t="s">
        <v>1424</v>
      </c>
    </row>
    <row r="434" spans="7:13" ht="17.25" customHeight="1">
      <c r="G434" s="15" t="s">
        <v>1425</v>
      </c>
      <c r="M434" s="15" t="s">
        <v>1426</v>
      </c>
    </row>
    <row r="435" spans="7:13" ht="17.25" customHeight="1">
      <c r="G435" s="15" t="s">
        <v>1427</v>
      </c>
      <c r="M435" s="15" t="s">
        <v>1428</v>
      </c>
    </row>
    <row r="436" spans="7:13" ht="17.25" customHeight="1">
      <c r="G436" s="15" t="s">
        <v>1429</v>
      </c>
      <c r="M436" s="15" t="s">
        <v>1430</v>
      </c>
    </row>
    <row r="437" spans="7:13" ht="17.25" customHeight="1">
      <c r="G437" s="15" t="s">
        <v>1431</v>
      </c>
      <c r="M437" s="15" t="s">
        <v>1432</v>
      </c>
    </row>
    <row r="438" spans="7:13" ht="17.25" customHeight="1">
      <c r="G438" s="15" t="s">
        <v>1433</v>
      </c>
      <c r="M438" s="15" t="s">
        <v>1434</v>
      </c>
    </row>
    <row r="439" spans="7:13" ht="17.25" customHeight="1">
      <c r="G439" s="15" t="s">
        <v>1435</v>
      </c>
      <c r="M439" s="15" t="s">
        <v>1436</v>
      </c>
    </row>
    <row r="440" spans="7:13" ht="17.25" customHeight="1">
      <c r="G440" s="15" t="s">
        <v>1437</v>
      </c>
      <c r="M440" s="15" t="s">
        <v>1438</v>
      </c>
    </row>
    <row r="441" spans="7:13" ht="17.25" customHeight="1">
      <c r="G441" s="15" t="s">
        <v>1439</v>
      </c>
      <c r="M441" s="15" t="s">
        <v>1440</v>
      </c>
    </row>
    <row r="442" spans="7:13" ht="17.25" customHeight="1">
      <c r="G442" s="15" t="s">
        <v>1441</v>
      </c>
      <c r="M442" s="15" t="s">
        <v>1442</v>
      </c>
    </row>
    <row r="443" spans="7:13" ht="17.25" customHeight="1">
      <c r="G443" s="15" t="s">
        <v>1443</v>
      </c>
      <c r="M443" s="15" t="s">
        <v>1444</v>
      </c>
    </row>
    <row r="444" spans="7:13" ht="17.25" customHeight="1">
      <c r="G444" s="15" t="s">
        <v>1445</v>
      </c>
      <c r="M444" s="15" t="s">
        <v>1446</v>
      </c>
    </row>
    <row r="445" spans="7:13" ht="17.25" customHeight="1">
      <c r="G445" s="15" t="s">
        <v>1447</v>
      </c>
      <c r="M445" s="15" t="s">
        <v>1448</v>
      </c>
    </row>
    <row r="446" spans="7:13" ht="17.25" customHeight="1">
      <c r="G446" s="15" t="s">
        <v>1449</v>
      </c>
      <c r="M446" s="15" t="s">
        <v>1450</v>
      </c>
    </row>
    <row r="447" spans="7:13" ht="17.25" customHeight="1">
      <c r="G447" s="15" t="s">
        <v>1451</v>
      </c>
      <c r="M447" s="15" t="s">
        <v>1452</v>
      </c>
    </row>
    <row r="448" spans="7:13" ht="17.25" customHeight="1">
      <c r="G448" s="15" t="s">
        <v>1453</v>
      </c>
      <c r="M448" s="15" t="s">
        <v>1454</v>
      </c>
    </row>
    <row r="449" spans="7:13" ht="17.25" customHeight="1">
      <c r="G449" s="15" t="s">
        <v>1455</v>
      </c>
      <c r="M449" s="15" t="s">
        <v>1456</v>
      </c>
    </row>
    <row r="450" spans="7:13" ht="17.25" customHeight="1">
      <c r="G450" s="15" t="s">
        <v>1457</v>
      </c>
      <c r="M450" s="15" t="s">
        <v>1458</v>
      </c>
    </row>
    <row r="451" spans="7:13" ht="17.25" customHeight="1">
      <c r="G451" s="15" t="s">
        <v>1459</v>
      </c>
      <c r="M451" s="15" t="s">
        <v>1460</v>
      </c>
    </row>
    <row r="452" spans="7:13" ht="17.25" customHeight="1">
      <c r="G452" s="15" t="s">
        <v>1461</v>
      </c>
      <c r="M452" s="15" t="s">
        <v>1462</v>
      </c>
    </row>
    <row r="453" spans="7:13" ht="17.25" customHeight="1">
      <c r="G453" s="15" t="s">
        <v>1463</v>
      </c>
      <c r="M453" s="15" t="s">
        <v>1464</v>
      </c>
    </row>
    <row r="454" spans="7:13" ht="17.25" customHeight="1">
      <c r="G454" s="15" t="s">
        <v>1465</v>
      </c>
      <c r="M454" s="15" t="s">
        <v>1466</v>
      </c>
    </row>
    <row r="455" spans="7:13" ht="17.25" customHeight="1">
      <c r="G455" s="15" t="s">
        <v>1467</v>
      </c>
      <c r="M455" s="15" t="s">
        <v>1468</v>
      </c>
    </row>
    <row r="456" spans="7:13" ht="17.25" customHeight="1">
      <c r="G456" s="15" t="s">
        <v>1469</v>
      </c>
      <c r="M456" s="15" t="s">
        <v>1470</v>
      </c>
    </row>
    <row r="457" spans="7:13" ht="17.25" customHeight="1">
      <c r="G457" s="15" t="s">
        <v>1471</v>
      </c>
      <c r="M457" s="15" t="s">
        <v>1472</v>
      </c>
    </row>
    <row r="458" spans="7:13" ht="17.25" customHeight="1">
      <c r="G458" s="15" t="s">
        <v>1473</v>
      </c>
      <c r="M458" s="15" t="s">
        <v>1474</v>
      </c>
    </row>
    <row r="459" spans="7:13" ht="17.25" customHeight="1">
      <c r="G459" s="15" t="s">
        <v>1475</v>
      </c>
      <c r="M459" s="15" t="s">
        <v>1476</v>
      </c>
    </row>
    <row r="460" spans="7:13" ht="17.25" customHeight="1">
      <c r="G460" s="15" t="s">
        <v>1477</v>
      </c>
      <c r="M460" s="15" t="s">
        <v>1478</v>
      </c>
    </row>
    <row r="461" spans="7:13" ht="17.25" customHeight="1">
      <c r="G461" s="15" t="s">
        <v>1479</v>
      </c>
      <c r="M461" s="15" t="s">
        <v>1480</v>
      </c>
    </row>
    <row r="462" spans="7:13" ht="17.25" customHeight="1">
      <c r="G462" s="15" t="s">
        <v>1481</v>
      </c>
      <c r="M462" s="15" t="s">
        <v>1482</v>
      </c>
    </row>
    <row r="463" spans="7:13" ht="17.25" customHeight="1">
      <c r="G463" s="15" t="s">
        <v>1483</v>
      </c>
      <c r="M463" s="15" t="s">
        <v>1484</v>
      </c>
    </row>
    <row r="464" spans="7:13" ht="17.25" customHeight="1">
      <c r="G464" s="15" t="s">
        <v>1485</v>
      </c>
      <c r="M464" s="15" t="s">
        <v>1486</v>
      </c>
    </row>
    <row r="465" spans="7:13" ht="17.25" customHeight="1">
      <c r="G465" s="15" t="s">
        <v>1487</v>
      </c>
      <c r="M465" s="15" t="s">
        <v>1488</v>
      </c>
    </row>
    <row r="466" spans="7:13" ht="17.25" customHeight="1">
      <c r="G466" s="15" t="s">
        <v>1489</v>
      </c>
      <c r="M466" s="15" t="s">
        <v>1490</v>
      </c>
    </row>
    <row r="467" spans="7:13" ht="17.25" customHeight="1">
      <c r="G467" s="15" t="s">
        <v>1491</v>
      </c>
      <c r="M467" s="15" t="s">
        <v>1492</v>
      </c>
    </row>
    <row r="468" spans="7:13" ht="17.25" customHeight="1">
      <c r="G468" s="15" t="s">
        <v>1493</v>
      </c>
      <c r="M468" s="15" t="s">
        <v>1494</v>
      </c>
    </row>
    <row r="469" spans="7:13" ht="17.25" customHeight="1">
      <c r="G469" s="15" t="s">
        <v>1495</v>
      </c>
      <c r="M469" s="15" t="s">
        <v>1496</v>
      </c>
    </row>
    <row r="470" spans="7:13" ht="17.25" customHeight="1">
      <c r="G470" s="15" t="s">
        <v>1497</v>
      </c>
      <c r="M470" s="15" t="s">
        <v>1498</v>
      </c>
    </row>
    <row r="471" spans="7:13" ht="17.25" customHeight="1">
      <c r="G471" s="15" t="s">
        <v>1499</v>
      </c>
      <c r="M471" s="15" t="s">
        <v>1500</v>
      </c>
    </row>
    <row r="472" spans="7:13" ht="17.25" customHeight="1">
      <c r="G472" s="15" t="s">
        <v>1501</v>
      </c>
      <c r="M472" s="15" t="s">
        <v>1502</v>
      </c>
    </row>
    <row r="473" spans="7:13" ht="17.25" customHeight="1">
      <c r="G473" s="15" t="s">
        <v>1503</v>
      </c>
      <c r="M473" s="15" t="s">
        <v>1504</v>
      </c>
    </row>
    <row r="474" spans="7:13" ht="17.25" customHeight="1">
      <c r="G474" s="15" t="s">
        <v>1505</v>
      </c>
      <c r="M474" s="15" t="s">
        <v>1506</v>
      </c>
    </row>
    <row r="475" spans="7:13" ht="17.25" customHeight="1">
      <c r="G475" s="15" t="s">
        <v>1507</v>
      </c>
      <c r="M475" s="15" t="s">
        <v>1508</v>
      </c>
    </row>
    <row r="476" spans="7:13" ht="17.25" customHeight="1">
      <c r="G476" s="15" t="s">
        <v>1509</v>
      </c>
      <c r="M476" s="15" t="s">
        <v>1510</v>
      </c>
    </row>
    <row r="477" spans="7:13" ht="17.25" customHeight="1">
      <c r="G477" s="15" t="s">
        <v>1511</v>
      </c>
      <c r="M477" s="15" t="s">
        <v>1512</v>
      </c>
    </row>
    <row r="478" spans="7:13" ht="17.25" customHeight="1">
      <c r="G478" s="15" t="s">
        <v>1513</v>
      </c>
      <c r="M478" s="15" t="s">
        <v>1514</v>
      </c>
    </row>
    <row r="479" spans="7:13" ht="17.25" customHeight="1">
      <c r="G479" s="15" t="s">
        <v>1515</v>
      </c>
      <c r="M479" s="15" t="s">
        <v>1516</v>
      </c>
    </row>
    <row r="480" spans="7:13" ht="17.25" customHeight="1">
      <c r="G480" s="15" t="s">
        <v>1517</v>
      </c>
      <c r="M480" s="15" t="s">
        <v>1518</v>
      </c>
    </row>
    <row r="481" spans="7:13" ht="17.25" customHeight="1">
      <c r="G481" s="15" t="s">
        <v>1519</v>
      </c>
      <c r="M481" s="15" t="s">
        <v>1520</v>
      </c>
    </row>
    <row r="482" spans="7:13" ht="17.25" customHeight="1">
      <c r="G482" s="15" t="s">
        <v>1521</v>
      </c>
      <c r="M482" s="15" t="s">
        <v>1522</v>
      </c>
    </row>
    <row r="483" spans="7:13" ht="17.25" customHeight="1">
      <c r="G483" s="15" t="s">
        <v>1523</v>
      </c>
      <c r="M483" s="15" t="s">
        <v>1524</v>
      </c>
    </row>
    <row r="484" spans="7:13" ht="17.25" customHeight="1">
      <c r="G484" s="15" t="s">
        <v>1525</v>
      </c>
      <c r="M484" s="15" t="s">
        <v>1526</v>
      </c>
    </row>
    <row r="485" spans="7:13" ht="17.25" customHeight="1">
      <c r="G485" s="15" t="s">
        <v>1527</v>
      </c>
      <c r="M485" s="15" t="s">
        <v>1528</v>
      </c>
    </row>
    <row r="486" spans="7:13" ht="17.25" customHeight="1">
      <c r="G486" s="15" t="s">
        <v>1529</v>
      </c>
      <c r="M486" s="15" t="s">
        <v>1530</v>
      </c>
    </row>
    <row r="487" spans="7:13" ht="17.25" customHeight="1">
      <c r="G487" s="15" t="s">
        <v>1531</v>
      </c>
      <c r="M487" s="15" t="s">
        <v>1532</v>
      </c>
    </row>
    <row r="488" spans="7:13" ht="17.25" customHeight="1">
      <c r="G488" s="15" t="s">
        <v>1533</v>
      </c>
      <c r="M488" s="15" t="s">
        <v>1534</v>
      </c>
    </row>
    <row r="489" spans="7:13" ht="17.25" customHeight="1">
      <c r="G489" s="15" t="s">
        <v>1535</v>
      </c>
      <c r="M489" s="15" t="s">
        <v>1536</v>
      </c>
    </row>
    <row r="490" spans="7:13" ht="17.25" customHeight="1">
      <c r="G490" s="15" t="s">
        <v>1537</v>
      </c>
      <c r="M490" s="15" t="s">
        <v>1538</v>
      </c>
    </row>
    <row r="491" spans="7:13" ht="17.25" customHeight="1">
      <c r="G491" s="15" t="s">
        <v>1539</v>
      </c>
      <c r="M491" s="15" t="s">
        <v>1540</v>
      </c>
    </row>
    <row r="492" spans="7:13" ht="17.25" customHeight="1">
      <c r="G492" s="15" t="s">
        <v>1541</v>
      </c>
      <c r="M492" s="15" t="s">
        <v>1542</v>
      </c>
    </row>
    <row r="493" spans="7:13" ht="17.25" customHeight="1">
      <c r="G493" s="15" t="s">
        <v>1543</v>
      </c>
      <c r="M493" s="15" t="s">
        <v>1544</v>
      </c>
    </row>
    <row r="494" spans="7:13" ht="17.25" customHeight="1">
      <c r="G494" s="15" t="s">
        <v>1545</v>
      </c>
      <c r="M494" s="15" t="s">
        <v>1546</v>
      </c>
    </row>
    <row r="495" spans="7:13" ht="17.25" customHeight="1">
      <c r="G495" s="15" t="s">
        <v>1547</v>
      </c>
      <c r="M495" s="15" t="s">
        <v>1548</v>
      </c>
    </row>
    <row r="496" spans="7:13" ht="17.25" customHeight="1">
      <c r="G496" s="15" t="s">
        <v>1549</v>
      </c>
      <c r="M496" s="15" t="s">
        <v>1550</v>
      </c>
    </row>
    <row r="497" spans="7:13" ht="17.25" customHeight="1">
      <c r="G497" s="15" t="s">
        <v>1551</v>
      </c>
      <c r="M497" s="15" t="s">
        <v>1552</v>
      </c>
    </row>
    <row r="498" spans="7:13" ht="17.25" customHeight="1">
      <c r="G498" s="15" t="s">
        <v>1553</v>
      </c>
      <c r="M498" s="15" t="s">
        <v>1554</v>
      </c>
    </row>
    <row r="499" spans="7:13" ht="17.25" customHeight="1">
      <c r="G499" s="15" t="s">
        <v>1555</v>
      </c>
      <c r="M499" s="15" t="s">
        <v>1556</v>
      </c>
    </row>
    <row r="500" spans="7:13" ht="17.25" customHeight="1">
      <c r="G500" s="15" t="s">
        <v>1557</v>
      </c>
      <c r="M500" s="15" t="s">
        <v>1558</v>
      </c>
    </row>
    <row r="501" spans="7:13" ht="17.25" customHeight="1">
      <c r="G501" s="15" t="s">
        <v>1559</v>
      </c>
      <c r="M501" s="15" t="s">
        <v>1560</v>
      </c>
    </row>
    <row r="502" spans="7:13" ht="17.25" customHeight="1">
      <c r="G502" s="15" t="s">
        <v>1561</v>
      </c>
      <c r="M502" s="15" t="s">
        <v>1562</v>
      </c>
    </row>
    <row r="503" spans="7:13" ht="17.25" customHeight="1">
      <c r="G503" s="15" t="s">
        <v>1563</v>
      </c>
      <c r="M503" s="15" t="s">
        <v>1564</v>
      </c>
    </row>
    <row r="504" spans="7:13" ht="17.25" customHeight="1">
      <c r="G504" s="15" t="s">
        <v>1565</v>
      </c>
      <c r="M504" s="15" t="s">
        <v>1566</v>
      </c>
    </row>
    <row r="505" spans="7:13" ht="17.25" customHeight="1">
      <c r="G505" s="15" t="s">
        <v>1567</v>
      </c>
      <c r="M505" s="15" t="s">
        <v>1568</v>
      </c>
    </row>
    <row r="506" spans="7:13" ht="17.25" customHeight="1">
      <c r="G506" s="15" t="s">
        <v>1569</v>
      </c>
      <c r="M506" s="15" t="s">
        <v>1570</v>
      </c>
    </row>
    <row r="507" spans="7:13" ht="17.25" customHeight="1">
      <c r="G507" s="15" t="s">
        <v>1571</v>
      </c>
      <c r="M507" s="15" t="s">
        <v>1572</v>
      </c>
    </row>
    <row r="508" spans="7:13" ht="17.25" customHeight="1">
      <c r="G508" s="15" t="s">
        <v>1573</v>
      </c>
      <c r="M508" s="15" t="s">
        <v>1574</v>
      </c>
    </row>
    <row r="509" spans="7:13" ht="17.25" customHeight="1">
      <c r="G509" s="15" t="s">
        <v>1575</v>
      </c>
      <c r="M509" s="15" t="s">
        <v>1576</v>
      </c>
    </row>
    <row r="510" spans="7:13" ht="17.25" customHeight="1">
      <c r="G510" s="15" t="s">
        <v>1577</v>
      </c>
      <c r="M510" s="15" t="s">
        <v>1578</v>
      </c>
    </row>
    <row r="511" spans="7:13" ht="17.25" customHeight="1">
      <c r="G511" s="15" t="s">
        <v>1579</v>
      </c>
      <c r="M511" s="15" t="s">
        <v>1580</v>
      </c>
    </row>
    <row r="512" spans="7:13" ht="17.25" customHeight="1">
      <c r="G512" s="15" t="s">
        <v>1581</v>
      </c>
      <c r="M512" s="15" t="s">
        <v>1582</v>
      </c>
    </row>
    <row r="513" spans="7:13" ht="17.25" customHeight="1">
      <c r="G513" s="15" t="s">
        <v>1583</v>
      </c>
      <c r="M513" s="15" t="s">
        <v>1584</v>
      </c>
    </row>
    <row r="514" spans="7:13" ht="17.25" customHeight="1">
      <c r="G514" s="15" t="s">
        <v>1585</v>
      </c>
      <c r="M514" s="15" t="s">
        <v>1586</v>
      </c>
    </row>
    <row r="515" spans="7:13" ht="17.25" customHeight="1">
      <c r="G515" s="15" t="s">
        <v>1587</v>
      </c>
      <c r="M515" s="15" t="s">
        <v>1588</v>
      </c>
    </row>
    <row r="516" spans="7:13" ht="17.25" customHeight="1">
      <c r="G516" s="15" t="s">
        <v>1589</v>
      </c>
      <c r="M516" s="15" t="s">
        <v>1590</v>
      </c>
    </row>
    <row r="517" spans="7:13" ht="17.25" customHeight="1">
      <c r="G517" s="15" t="s">
        <v>1591</v>
      </c>
      <c r="M517" s="15" t="s">
        <v>1592</v>
      </c>
    </row>
    <row r="518" spans="7:13" ht="17.25" customHeight="1">
      <c r="G518" s="15" t="s">
        <v>1593</v>
      </c>
      <c r="M518" s="15" t="s">
        <v>1594</v>
      </c>
    </row>
    <row r="519" spans="7:13" ht="17.25" customHeight="1">
      <c r="G519" s="15" t="s">
        <v>1595</v>
      </c>
      <c r="M519" s="15" t="s">
        <v>1596</v>
      </c>
    </row>
    <row r="520" spans="7:13" ht="17.25" customHeight="1">
      <c r="G520" s="15" t="s">
        <v>1597</v>
      </c>
      <c r="M520" s="15" t="s">
        <v>1598</v>
      </c>
    </row>
    <row r="521" spans="7:13" ht="17.25" customHeight="1">
      <c r="G521" s="15" t="s">
        <v>1599</v>
      </c>
      <c r="M521" s="15" t="s">
        <v>1600</v>
      </c>
    </row>
    <row r="522" spans="7:13" ht="17.25" customHeight="1">
      <c r="G522" s="15" t="s">
        <v>1601</v>
      </c>
      <c r="M522" s="15" t="s">
        <v>1602</v>
      </c>
    </row>
    <row r="523" spans="7:13" ht="17.25" customHeight="1">
      <c r="G523" s="15" t="s">
        <v>1603</v>
      </c>
      <c r="M523" s="15" t="s">
        <v>1604</v>
      </c>
    </row>
    <row r="524" spans="7:13" ht="17.25" customHeight="1">
      <c r="G524" s="15" t="s">
        <v>1605</v>
      </c>
      <c r="M524" s="15" t="s">
        <v>1606</v>
      </c>
    </row>
    <row r="525" spans="7:13" ht="17.25" customHeight="1">
      <c r="G525" s="15" t="s">
        <v>1607</v>
      </c>
      <c r="M525" s="15" t="s">
        <v>1608</v>
      </c>
    </row>
    <row r="526" spans="7:13" ht="17.25" customHeight="1">
      <c r="G526" s="15" t="s">
        <v>1609</v>
      </c>
      <c r="M526" s="15" t="s">
        <v>1610</v>
      </c>
    </row>
    <row r="527" spans="7:13" ht="17.25" customHeight="1">
      <c r="G527" s="15" t="s">
        <v>1611</v>
      </c>
      <c r="M527" s="15" t="s">
        <v>1612</v>
      </c>
    </row>
    <row r="528" spans="7:13" ht="17.25" customHeight="1">
      <c r="G528" s="15" t="s">
        <v>1613</v>
      </c>
      <c r="M528" s="15" t="s">
        <v>1614</v>
      </c>
    </row>
    <row r="529" spans="7:13" ht="17.25" customHeight="1">
      <c r="G529" s="15" t="s">
        <v>1615</v>
      </c>
      <c r="M529" s="15" t="s">
        <v>1616</v>
      </c>
    </row>
    <row r="530" spans="7:13" ht="17.25" customHeight="1">
      <c r="G530" s="15" t="s">
        <v>1617</v>
      </c>
      <c r="M530" s="15" t="s">
        <v>1618</v>
      </c>
    </row>
    <row r="531" spans="7:13" ht="17.25" customHeight="1">
      <c r="G531" s="15" t="s">
        <v>1619</v>
      </c>
      <c r="M531" s="15" t="s">
        <v>1620</v>
      </c>
    </row>
    <row r="532" spans="7:13" ht="17.25" customHeight="1">
      <c r="G532" s="15" t="s">
        <v>1621</v>
      </c>
      <c r="M532" s="15" t="s">
        <v>1622</v>
      </c>
    </row>
    <row r="533" spans="7:13" ht="17.25" customHeight="1">
      <c r="G533" s="15" t="s">
        <v>1623</v>
      </c>
      <c r="M533" s="15" t="s">
        <v>1624</v>
      </c>
    </row>
    <row r="534" spans="7:13" ht="17.25" customHeight="1">
      <c r="G534" s="15" t="s">
        <v>1625</v>
      </c>
      <c r="M534" s="15" t="s">
        <v>1626</v>
      </c>
    </row>
    <row r="535" spans="7:13" ht="17.25" customHeight="1">
      <c r="G535" s="15" t="s">
        <v>1627</v>
      </c>
      <c r="M535" s="15" t="s">
        <v>1628</v>
      </c>
    </row>
    <row r="536" spans="7:13" ht="17.25" customHeight="1">
      <c r="G536" s="15" t="s">
        <v>1629</v>
      </c>
      <c r="M536" s="15" t="s">
        <v>1630</v>
      </c>
    </row>
    <row r="537" spans="7:13" ht="17.25" customHeight="1">
      <c r="G537" s="15" t="s">
        <v>1631</v>
      </c>
      <c r="M537" s="15" t="s">
        <v>1632</v>
      </c>
    </row>
    <row r="538" spans="7:13" ht="17.25" customHeight="1">
      <c r="G538" s="15" t="s">
        <v>1633</v>
      </c>
      <c r="M538" s="15" t="s">
        <v>1634</v>
      </c>
    </row>
    <row r="539" spans="7:13" ht="17.25" customHeight="1">
      <c r="G539" s="15" t="s">
        <v>1635</v>
      </c>
      <c r="M539" s="15" t="s">
        <v>1636</v>
      </c>
    </row>
    <row r="540" spans="7:13" ht="17.25" customHeight="1">
      <c r="G540" s="15" t="s">
        <v>1637</v>
      </c>
      <c r="M540" s="15" t="s">
        <v>1638</v>
      </c>
    </row>
    <row r="541" spans="7:13" ht="17.25" customHeight="1">
      <c r="G541" s="15" t="s">
        <v>1639</v>
      </c>
      <c r="M541" s="15" t="s">
        <v>1640</v>
      </c>
    </row>
    <row r="542" spans="7:13" ht="17.25" customHeight="1">
      <c r="G542" s="15" t="s">
        <v>1641</v>
      </c>
      <c r="M542" s="15" t="s">
        <v>1642</v>
      </c>
    </row>
    <row r="543" spans="7:13" ht="17.25" customHeight="1">
      <c r="G543" s="15" t="s">
        <v>1643</v>
      </c>
      <c r="M543" s="15" t="s">
        <v>1644</v>
      </c>
    </row>
    <row r="544" spans="7:13" ht="17.25" customHeight="1">
      <c r="G544" s="15" t="s">
        <v>1645</v>
      </c>
      <c r="M544" s="15" t="s">
        <v>1646</v>
      </c>
    </row>
    <row r="545" spans="7:13" ht="17.25" customHeight="1">
      <c r="G545" s="15" t="s">
        <v>1647</v>
      </c>
      <c r="M545" s="15" t="s">
        <v>1648</v>
      </c>
    </row>
    <row r="546" spans="7:13" ht="17.25" customHeight="1">
      <c r="G546" s="15" t="s">
        <v>1649</v>
      </c>
      <c r="M546" s="15" t="s">
        <v>1650</v>
      </c>
    </row>
    <row r="547" spans="7:13" ht="17.25" customHeight="1">
      <c r="G547" s="15" t="s">
        <v>1651</v>
      </c>
      <c r="M547" s="15" t="s">
        <v>1652</v>
      </c>
    </row>
    <row r="548" spans="7:13" ht="17.25" customHeight="1">
      <c r="G548" s="15" t="s">
        <v>1653</v>
      </c>
      <c r="M548" s="15" t="s">
        <v>1654</v>
      </c>
    </row>
    <row r="549" spans="7:13" ht="17.25" customHeight="1">
      <c r="G549" s="15" t="s">
        <v>1655</v>
      </c>
      <c r="M549" s="15" t="s">
        <v>1656</v>
      </c>
    </row>
    <row r="550" spans="7:13" ht="17.25" customHeight="1">
      <c r="G550" s="15" t="s">
        <v>1657</v>
      </c>
      <c r="M550" s="15" t="s">
        <v>1658</v>
      </c>
    </row>
    <row r="551" spans="7:13" ht="17.25" customHeight="1">
      <c r="G551" s="15" t="s">
        <v>1659</v>
      </c>
      <c r="M551" s="15" t="s">
        <v>1660</v>
      </c>
    </row>
    <row r="552" spans="7:13" ht="17.25" customHeight="1">
      <c r="G552" s="15" t="s">
        <v>1661</v>
      </c>
      <c r="M552" s="15" t="s">
        <v>1662</v>
      </c>
    </row>
    <row r="553" spans="7:13" ht="17.25" customHeight="1">
      <c r="G553" s="15" t="s">
        <v>1663</v>
      </c>
      <c r="M553" s="15" t="s">
        <v>1664</v>
      </c>
    </row>
    <row r="554" spans="7:13" ht="17.25" customHeight="1">
      <c r="G554" s="15" t="s">
        <v>1665</v>
      </c>
      <c r="M554" s="15" t="s">
        <v>1666</v>
      </c>
    </row>
    <row r="555" spans="7:13" ht="17.25" customHeight="1">
      <c r="G555" s="15" t="s">
        <v>1667</v>
      </c>
      <c r="M555" s="15" t="s">
        <v>1668</v>
      </c>
    </row>
    <row r="556" spans="7:13" ht="17.25" customHeight="1">
      <c r="G556" s="15" t="s">
        <v>1669</v>
      </c>
      <c r="M556" s="15" t="s">
        <v>1670</v>
      </c>
    </row>
    <row r="557" spans="7:13" ht="17.25" customHeight="1">
      <c r="G557" s="15" t="s">
        <v>1671</v>
      </c>
      <c r="M557" s="15" t="s">
        <v>1672</v>
      </c>
    </row>
    <row r="558" spans="7:13" ht="17.25" customHeight="1">
      <c r="G558" s="15" t="s">
        <v>1673</v>
      </c>
      <c r="M558" s="15" t="s">
        <v>1674</v>
      </c>
    </row>
    <row r="559" spans="7:13" ht="17.25" customHeight="1">
      <c r="G559" s="15" t="s">
        <v>1675</v>
      </c>
      <c r="M559" s="15" t="s">
        <v>1676</v>
      </c>
    </row>
    <row r="560" spans="7:13" ht="17.25" customHeight="1">
      <c r="G560" s="15" t="s">
        <v>1677</v>
      </c>
      <c r="M560" s="15" t="s">
        <v>1678</v>
      </c>
    </row>
    <row r="561" spans="7:13" ht="17.25" customHeight="1">
      <c r="G561" s="15" t="s">
        <v>1679</v>
      </c>
      <c r="M561" s="15" t="s">
        <v>1680</v>
      </c>
    </row>
    <row r="562" spans="7:13" ht="17.25" customHeight="1">
      <c r="G562" s="15" t="s">
        <v>1681</v>
      </c>
      <c r="M562" s="15" t="s">
        <v>1682</v>
      </c>
    </row>
    <row r="563" spans="7:13" ht="17.25" customHeight="1">
      <c r="G563" s="15" t="s">
        <v>1683</v>
      </c>
      <c r="M563" s="15" t="s">
        <v>1684</v>
      </c>
    </row>
    <row r="564" spans="7:13" ht="17.25" customHeight="1">
      <c r="G564" s="15" t="s">
        <v>1685</v>
      </c>
      <c r="M564" s="15" t="s">
        <v>1686</v>
      </c>
    </row>
    <row r="565" spans="7:13" ht="17.25" customHeight="1">
      <c r="G565" s="15" t="s">
        <v>1687</v>
      </c>
      <c r="M565" s="15" t="s">
        <v>1688</v>
      </c>
    </row>
    <row r="566" spans="7:13" ht="17.25" customHeight="1">
      <c r="G566" s="15" t="s">
        <v>1689</v>
      </c>
      <c r="M566" s="15" t="s">
        <v>1690</v>
      </c>
    </row>
    <row r="567" spans="7:13" ht="17.25" customHeight="1">
      <c r="G567" s="15" t="s">
        <v>1691</v>
      </c>
      <c r="M567" s="15" t="s">
        <v>1692</v>
      </c>
    </row>
    <row r="568" spans="7:13" ht="17.25" customHeight="1">
      <c r="G568" s="15" t="s">
        <v>1693</v>
      </c>
      <c r="M568" s="15" t="s">
        <v>1694</v>
      </c>
    </row>
    <row r="569" spans="7:13" ht="17.25" customHeight="1">
      <c r="G569" s="15" t="s">
        <v>1695</v>
      </c>
      <c r="M569" s="15" t="s">
        <v>1696</v>
      </c>
    </row>
    <row r="570" spans="7:13" ht="17.25" customHeight="1">
      <c r="G570" s="15" t="s">
        <v>1697</v>
      </c>
      <c r="M570" s="15" t="s">
        <v>1698</v>
      </c>
    </row>
    <row r="571" spans="7:13" ht="17.25" customHeight="1">
      <c r="G571" s="15" t="s">
        <v>1699</v>
      </c>
      <c r="M571" s="15" t="s">
        <v>1700</v>
      </c>
    </row>
    <row r="572" spans="7:13" ht="17.25" customHeight="1">
      <c r="G572" s="15" t="s">
        <v>1701</v>
      </c>
      <c r="M572" s="15" t="s">
        <v>1702</v>
      </c>
    </row>
    <row r="573" spans="7:13" ht="17.25" customHeight="1">
      <c r="G573" s="15" t="s">
        <v>1703</v>
      </c>
      <c r="M573" s="15" t="s">
        <v>1704</v>
      </c>
    </row>
    <row r="574" spans="7:13" ht="17.25" customHeight="1">
      <c r="G574" s="15" t="s">
        <v>1705</v>
      </c>
      <c r="M574" s="15" t="s">
        <v>1706</v>
      </c>
    </row>
    <row r="575" spans="7:13" ht="17.25" customHeight="1">
      <c r="G575" s="15" t="s">
        <v>1707</v>
      </c>
      <c r="M575" s="15" t="s">
        <v>1708</v>
      </c>
    </row>
    <row r="576" spans="7:13" ht="17.25" customHeight="1">
      <c r="G576" s="15" t="s">
        <v>1709</v>
      </c>
      <c r="M576" s="15" t="s">
        <v>1710</v>
      </c>
    </row>
    <row r="577" spans="7:13" ht="17.25" customHeight="1">
      <c r="G577" s="15" t="s">
        <v>1711</v>
      </c>
      <c r="M577" s="15" t="s">
        <v>1712</v>
      </c>
    </row>
    <row r="578" spans="7:13" ht="17.25" customHeight="1">
      <c r="G578" s="15" t="s">
        <v>1713</v>
      </c>
      <c r="M578" s="15" t="s">
        <v>1714</v>
      </c>
    </row>
    <row r="579" spans="7:13" ht="17.25" customHeight="1">
      <c r="G579" s="15" t="s">
        <v>1715</v>
      </c>
      <c r="M579" s="15" t="s">
        <v>1716</v>
      </c>
    </row>
    <row r="580" spans="7:13" ht="17.25" customHeight="1">
      <c r="G580" s="15" t="s">
        <v>1717</v>
      </c>
      <c r="M580" s="15" t="s">
        <v>1718</v>
      </c>
    </row>
    <row r="581" spans="7:13" ht="17.25" customHeight="1">
      <c r="G581" s="15" t="s">
        <v>1719</v>
      </c>
      <c r="M581" s="15" t="s">
        <v>1720</v>
      </c>
    </row>
    <row r="582" spans="7:13" ht="17.25" customHeight="1">
      <c r="G582" s="15" t="s">
        <v>1721</v>
      </c>
      <c r="M582" s="15" t="s">
        <v>1722</v>
      </c>
    </row>
    <row r="583" spans="7:13" ht="17.25" customHeight="1">
      <c r="G583" s="15" t="s">
        <v>1723</v>
      </c>
      <c r="M583" s="15" t="s">
        <v>1724</v>
      </c>
    </row>
    <row r="584" spans="7:13" ht="17.25" customHeight="1">
      <c r="G584" s="15" t="s">
        <v>1725</v>
      </c>
      <c r="M584" s="15" t="s">
        <v>1726</v>
      </c>
    </row>
    <row r="585" spans="7:13" ht="17.25" customHeight="1">
      <c r="G585" s="15" t="s">
        <v>1727</v>
      </c>
      <c r="M585" s="15" t="s">
        <v>1728</v>
      </c>
    </row>
    <row r="586" spans="7:13" ht="17.25" customHeight="1">
      <c r="G586" s="15" t="s">
        <v>1729</v>
      </c>
      <c r="M586" s="15" t="s">
        <v>1730</v>
      </c>
    </row>
    <row r="587" spans="7:13" ht="17.25" customHeight="1">
      <c r="G587" s="15" t="s">
        <v>1731</v>
      </c>
      <c r="M587" s="15" t="s">
        <v>1732</v>
      </c>
    </row>
    <row r="588" spans="7:13" ht="17.25" customHeight="1">
      <c r="G588" s="15" t="s">
        <v>1733</v>
      </c>
      <c r="M588" s="15" t="s">
        <v>1734</v>
      </c>
    </row>
    <row r="589" spans="7:13" ht="17.25" customHeight="1">
      <c r="G589" s="15" t="s">
        <v>1735</v>
      </c>
      <c r="M589" s="15" t="s">
        <v>1736</v>
      </c>
    </row>
    <row r="590" spans="7:13" ht="17.25" customHeight="1">
      <c r="G590" s="15" t="s">
        <v>1737</v>
      </c>
      <c r="M590" s="15" t="s">
        <v>1738</v>
      </c>
    </row>
    <row r="591" spans="7:13" ht="17.25" customHeight="1">
      <c r="G591" s="15" t="s">
        <v>1739</v>
      </c>
      <c r="M591" s="15" t="s">
        <v>1740</v>
      </c>
    </row>
    <row r="592" spans="7:13" ht="17.25" customHeight="1">
      <c r="G592" s="15" t="s">
        <v>1741</v>
      </c>
      <c r="M592" s="15" t="s">
        <v>1742</v>
      </c>
    </row>
    <row r="593" spans="7:13" ht="17.25" customHeight="1">
      <c r="G593" s="15" t="s">
        <v>1743</v>
      </c>
      <c r="M593" s="15" t="s">
        <v>1744</v>
      </c>
    </row>
    <row r="594" spans="7:13" ht="17.25" customHeight="1">
      <c r="G594" s="15" t="s">
        <v>1745</v>
      </c>
      <c r="M594" s="15" t="s">
        <v>1746</v>
      </c>
    </row>
    <row r="595" spans="7:13" ht="17.25" customHeight="1">
      <c r="G595" s="15" t="s">
        <v>1747</v>
      </c>
      <c r="M595" s="15" t="s">
        <v>1748</v>
      </c>
    </row>
    <row r="596" spans="7:13" ht="17.25" customHeight="1">
      <c r="G596" s="15" t="s">
        <v>1749</v>
      </c>
      <c r="M596" s="15" t="s">
        <v>1750</v>
      </c>
    </row>
    <row r="597" spans="7:13" ht="17.25" customHeight="1">
      <c r="G597" s="15" t="s">
        <v>1751</v>
      </c>
      <c r="M597" s="15" t="s">
        <v>1752</v>
      </c>
    </row>
    <row r="598" spans="7:13" ht="17.25" customHeight="1">
      <c r="G598" s="15" t="s">
        <v>1753</v>
      </c>
      <c r="M598" s="15" t="s">
        <v>1754</v>
      </c>
    </row>
    <row r="599" spans="7:13" ht="17.25" customHeight="1">
      <c r="G599" s="15" t="s">
        <v>1755</v>
      </c>
      <c r="M599" s="15" t="s">
        <v>1756</v>
      </c>
    </row>
    <row r="600" spans="7:13" ht="17.25" customHeight="1">
      <c r="G600" s="15" t="s">
        <v>1757</v>
      </c>
      <c r="M600" s="15" t="s">
        <v>1758</v>
      </c>
    </row>
    <row r="601" spans="7:13" ht="17.25" customHeight="1">
      <c r="G601" s="15" t="s">
        <v>1759</v>
      </c>
      <c r="M601" s="15" t="s">
        <v>1760</v>
      </c>
    </row>
    <row r="602" spans="7:13" ht="17.25" customHeight="1">
      <c r="G602" s="15" t="s">
        <v>1761</v>
      </c>
      <c r="M602" s="15" t="s">
        <v>1762</v>
      </c>
    </row>
    <row r="603" spans="7:13" ht="17.25" customHeight="1">
      <c r="G603" s="15" t="s">
        <v>1763</v>
      </c>
      <c r="M603" s="15" t="s">
        <v>1764</v>
      </c>
    </row>
    <row r="604" spans="7:13" ht="17.25" customHeight="1">
      <c r="G604" s="15" t="s">
        <v>1765</v>
      </c>
      <c r="M604" s="15" t="s">
        <v>1766</v>
      </c>
    </row>
    <row r="605" spans="7:13" ht="17.25" customHeight="1">
      <c r="G605" s="15" t="s">
        <v>1767</v>
      </c>
      <c r="M605" s="15" t="s">
        <v>1768</v>
      </c>
    </row>
    <row r="606" spans="7:13" ht="17.25" customHeight="1">
      <c r="G606" s="15" t="s">
        <v>1769</v>
      </c>
      <c r="M606" s="15" t="s">
        <v>1770</v>
      </c>
    </row>
    <row r="607" spans="7:13" ht="17.25" customHeight="1">
      <c r="G607" s="15" t="s">
        <v>1771</v>
      </c>
      <c r="M607" s="15" t="s">
        <v>1772</v>
      </c>
    </row>
    <row r="608" spans="7:13" ht="17.25" customHeight="1">
      <c r="G608" s="15" t="s">
        <v>1773</v>
      </c>
      <c r="M608" s="15" t="s">
        <v>1774</v>
      </c>
    </row>
    <row r="609" spans="7:13" ht="17.25" customHeight="1">
      <c r="G609" s="15" t="s">
        <v>1775</v>
      </c>
      <c r="M609" s="15" t="s">
        <v>1776</v>
      </c>
    </row>
    <row r="610" spans="7:13" ht="17.25" customHeight="1">
      <c r="G610" s="15" t="s">
        <v>1777</v>
      </c>
      <c r="M610" s="15" t="s">
        <v>1778</v>
      </c>
    </row>
    <row r="611" spans="7:13" ht="17.25" customHeight="1">
      <c r="G611" s="15" t="s">
        <v>1779</v>
      </c>
      <c r="M611" s="15" t="s">
        <v>1780</v>
      </c>
    </row>
    <row r="612" spans="7:13" ht="17.25" customHeight="1">
      <c r="G612" s="15" t="s">
        <v>1781</v>
      </c>
      <c r="M612" s="15" t="s">
        <v>1782</v>
      </c>
    </row>
    <row r="613" spans="7:13" ht="17.25" customHeight="1">
      <c r="G613" s="15" t="s">
        <v>1783</v>
      </c>
      <c r="M613" s="15" t="s">
        <v>1784</v>
      </c>
    </row>
    <row r="614" spans="7:13" ht="17.25" customHeight="1">
      <c r="G614" s="15" t="s">
        <v>1785</v>
      </c>
      <c r="M614" s="15" t="s">
        <v>1786</v>
      </c>
    </row>
    <row r="615" spans="7:13" ht="17.25" customHeight="1">
      <c r="G615" s="15" t="s">
        <v>1787</v>
      </c>
      <c r="M615" s="15" t="s">
        <v>1788</v>
      </c>
    </row>
    <row r="616" spans="7:13" ht="17.25" customHeight="1">
      <c r="G616" s="15" t="s">
        <v>1789</v>
      </c>
      <c r="M616" s="15" t="s">
        <v>1790</v>
      </c>
    </row>
    <row r="617" spans="7:13" ht="17.25" customHeight="1">
      <c r="G617" s="15" t="s">
        <v>1791</v>
      </c>
      <c r="M617" s="15" t="s">
        <v>1792</v>
      </c>
    </row>
    <row r="618" spans="7:13" ht="17.25" customHeight="1">
      <c r="G618" s="15" t="s">
        <v>1793</v>
      </c>
      <c r="M618" s="15" t="s">
        <v>1794</v>
      </c>
    </row>
    <row r="619" spans="7:13" ht="17.25" customHeight="1">
      <c r="G619" s="15" t="s">
        <v>1795</v>
      </c>
      <c r="M619" s="15" t="s">
        <v>1796</v>
      </c>
    </row>
    <row r="620" spans="7:13" ht="17.25" customHeight="1">
      <c r="G620" s="15" t="s">
        <v>1797</v>
      </c>
      <c r="M620" s="15" t="s">
        <v>1798</v>
      </c>
    </row>
    <row r="621" spans="7:13" ht="17.25" customHeight="1">
      <c r="G621" s="15" t="s">
        <v>1799</v>
      </c>
      <c r="M621" s="15" t="s">
        <v>1800</v>
      </c>
    </row>
    <row r="622" spans="7:13" ht="17.25" customHeight="1">
      <c r="G622" s="15" t="s">
        <v>1801</v>
      </c>
      <c r="M622" s="15" t="s">
        <v>1802</v>
      </c>
    </row>
    <row r="623" spans="7:13" ht="17.25" customHeight="1">
      <c r="G623" s="15" t="s">
        <v>1803</v>
      </c>
      <c r="M623" s="15" t="s">
        <v>1804</v>
      </c>
    </row>
    <row r="624" spans="7:13" ht="17.25" customHeight="1">
      <c r="G624" s="15" t="s">
        <v>1805</v>
      </c>
      <c r="M624" s="15" t="s">
        <v>1806</v>
      </c>
    </row>
    <row r="625" spans="7:13" ht="17.25" customHeight="1">
      <c r="G625" s="15" t="s">
        <v>1807</v>
      </c>
      <c r="M625" s="15" t="s">
        <v>1808</v>
      </c>
    </row>
    <row r="626" spans="7:13" ht="17.25" customHeight="1">
      <c r="G626" s="15" t="s">
        <v>1809</v>
      </c>
      <c r="M626" s="15" t="s">
        <v>1810</v>
      </c>
    </row>
    <row r="627" spans="7:13" ht="17.25" customHeight="1">
      <c r="G627" s="15" t="s">
        <v>1811</v>
      </c>
      <c r="M627" s="15" t="s">
        <v>1812</v>
      </c>
    </row>
    <row r="628" spans="7:13" ht="17.25" customHeight="1">
      <c r="G628" s="15" t="s">
        <v>1813</v>
      </c>
      <c r="M628" s="15" t="s">
        <v>1814</v>
      </c>
    </row>
    <row r="629" spans="7:13" ht="17.25" customHeight="1">
      <c r="G629" s="15" t="s">
        <v>1815</v>
      </c>
      <c r="M629" s="15" t="s">
        <v>1816</v>
      </c>
    </row>
    <row r="630" spans="7:13" ht="17.25" customHeight="1">
      <c r="G630" s="15" t="s">
        <v>1817</v>
      </c>
      <c r="M630" s="15" t="s">
        <v>1818</v>
      </c>
    </row>
    <row r="631" spans="7:13" ht="17.25" customHeight="1">
      <c r="G631" s="15" t="s">
        <v>1819</v>
      </c>
      <c r="M631" s="15" t="s">
        <v>1820</v>
      </c>
    </row>
    <row r="632" spans="7:13" ht="17.25" customHeight="1">
      <c r="G632" s="15" t="s">
        <v>1821</v>
      </c>
      <c r="M632" s="15" t="s">
        <v>1822</v>
      </c>
    </row>
    <row r="633" spans="7:13" ht="17.25" customHeight="1">
      <c r="G633" s="15" t="s">
        <v>1823</v>
      </c>
      <c r="M633" s="15" t="s">
        <v>1824</v>
      </c>
    </row>
    <row r="634" spans="7:13" ht="17.25" customHeight="1">
      <c r="G634" s="15" t="s">
        <v>1825</v>
      </c>
      <c r="M634" s="15" t="s">
        <v>1826</v>
      </c>
    </row>
    <row r="635" spans="7:13" ht="17.25" customHeight="1">
      <c r="G635" s="15" t="s">
        <v>1827</v>
      </c>
      <c r="M635" s="15" t="s">
        <v>1828</v>
      </c>
    </row>
    <row r="636" spans="7:13" ht="17.25" customHeight="1">
      <c r="G636" s="15" t="s">
        <v>1829</v>
      </c>
      <c r="M636" s="15" t="s">
        <v>1830</v>
      </c>
    </row>
    <row r="637" spans="7:13" ht="17.25" customHeight="1">
      <c r="G637" s="15" t="s">
        <v>1831</v>
      </c>
      <c r="M637" s="15" t="s">
        <v>1832</v>
      </c>
    </row>
    <row r="638" spans="7:13" ht="17.25" customHeight="1">
      <c r="G638" s="15" t="s">
        <v>1833</v>
      </c>
      <c r="M638" s="15" t="s">
        <v>1834</v>
      </c>
    </row>
    <row r="639" spans="7:13" ht="17.25" customHeight="1">
      <c r="G639" s="15" t="s">
        <v>1835</v>
      </c>
      <c r="M639" s="15" t="s">
        <v>1836</v>
      </c>
    </row>
    <row r="640" spans="7:13" ht="17.25" customHeight="1">
      <c r="G640" s="15" t="s">
        <v>1837</v>
      </c>
      <c r="M640" s="15" t="s">
        <v>1838</v>
      </c>
    </row>
    <row r="641" spans="7:13" ht="17.25" customHeight="1">
      <c r="G641" s="15" t="s">
        <v>1839</v>
      </c>
      <c r="M641" s="15" t="s">
        <v>1840</v>
      </c>
    </row>
    <row r="642" spans="7:13" ht="17.25" customHeight="1">
      <c r="G642" s="15" t="s">
        <v>1841</v>
      </c>
      <c r="M642" s="15" t="s">
        <v>1842</v>
      </c>
    </row>
    <row r="643" spans="7:13" ht="17.25" customHeight="1">
      <c r="G643" s="15" t="s">
        <v>1843</v>
      </c>
      <c r="M643" s="15" t="s">
        <v>1844</v>
      </c>
    </row>
    <row r="644" spans="7:13" ht="17.25" customHeight="1">
      <c r="G644" s="15" t="s">
        <v>1845</v>
      </c>
      <c r="M644" s="15" t="s">
        <v>1846</v>
      </c>
    </row>
    <row r="645" spans="7:13" ht="17.25" customHeight="1">
      <c r="G645" s="15" t="s">
        <v>1847</v>
      </c>
      <c r="M645" s="15" t="s">
        <v>1848</v>
      </c>
    </row>
    <row r="646" spans="7:13" ht="17.25" customHeight="1">
      <c r="G646" s="15" t="s">
        <v>1849</v>
      </c>
      <c r="M646" s="15" t="s">
        <v>1850</v>
      </c>
    </row>
    <row r="647" spans="7:13" ht="17.25" customHeight="1">
      <c r="G647" s="15" t="s">
        <v>1851</v>
      </c>
      <c r="M647" s="15" t="s">
        <v>1852</v>
      </c>
    </row>
    <row r="648" spans="7:13" ht="17.25" customHeight="1">
      <c r="G648" s="15" t="s">
        <v>1853</v>
      </c>
      <c r="M648" s="15" t="s">
        <v>1854</v>
      </c>
    </row>
    <row r="649" spans="7:13" ht="17.25" customHeight="1">
      <c r="G649" s="15" t="s">
        <v>1855</v>
      </c>
      <c r="M649" s="15" t="s">
        <v>1856</v>
      </c>
    </row>
    <row r="650" spans="7:13" ht="17.25" customHeight="1">
      <c r="G650" s="15" t="s">
        <v>1857</v>
      </c>
      <c r="M650" s="15" t="s">
        <v>1858</v>
      </c>
    </row>
    <row r="651" spans="7:13" ht="17.25" customHeight="1">
      <c r="G651" s="15" t="s">
        <v>1859</v>
      </c>
      <c r="M651" s="15" t="s">
        <v>1860</v>
      </c>
    </row>
    <row r="652" spans="7:13" ht="17.25" customHeight="1">
      <c r="G652" s="15" t="s">
        <v>1861</v>
      </c>
      <c r="M652" s="15" t="s">
        <v>1862</v>
      </c>
    </row>
    <row r="653" spans="7:13" ht="17.25" customHeight="1">
      <c r="G653" s="15" t="s">
        <v>1863</v>
      </c>
      <c r="M653" s="15" t="s">
        <v>1864</v>
      </c>
    </row>
    <row r="654" spans="7:13" ht="17.25" customHeight="1">
      <c r="G654" s="15" t="s">
        <v>1865</v>
      </c>
      <c r="M654" s="15" t="s">
        <v>1866</v>
      </c>
    </row>
    <row r="655" spans="7:13" ht="17.25" customHeight="1">
      <c r="G655" s="15" t="s">
        <v>1867</v>
      </c>
      <c r="M655" s="15" t="s">
        <v>1868</v>
      </c>
    </row>
    <row r="656" spans="7:13" ht="17.25" customHeight="1">
      <c r="G656" s="15" t="s">
        <v>1869</v>
      </c>
      <c r="M656" s="15" t="s">
        <v>1870</v>
      </c>
    </row>
    <row r="657" spans="7:13" ht="17.25" customHeight="1">
      <c r="G657" s="15" t="s">
        <v>1871</v>
      </c>
      <c r="M657" s="15" t="s">
        <v>1872</v>
      </c>
    </row>
    <row r="658" spans="7:13" ht="17.25" customHeight="1">
      <c r="G658" s="15" t="s">
        <v>1873</v>
      </c>
      <c r="M658" s="15" t="s">
        <v>1874</v>
      </c>
    </row>
    <row r="659" spans="7:13" ht="17.25" customHeight="1">
      <c r="G659" s="15" t="s">
        <v>1875</v>
      </c>
      <c r="M659" s="15" t="s">
        <v>1876</v>
      </c>
    </row>
    <row r="660" spans="7:13" ht="17.25" customHeight="1">
      <c r="G660" s="15" t="s">
        <v>1877</v>
      </c>
      <c r="M660" s="15" t="s">
        <v>1878</v>
      </c>
    </row>
    <row r="661" spans="7:13" ht="17.25" customHeight="1">
      <c r="G661" s="15" t="s">
        <v>1879</v>
      </c>
      <c r="M661" s="15" t="s">
        <v>1880</v>
      </c>
    </row>
    <row r="662" spans="7:13" ht="17.25" customHeight="1">
      <c r="G662" s="15" t="s">
        <v>1881</v>
      </c>
      <c r="M662" s="15" t="s">
        <v>1882</v>
      </c>
    </row>
    <row r="663" spans="7:13" ht="17.25" customHeight="1">
      <c r="G663" s="15" t="s">
        <v>1883</v>
      </c>
      <c r="M663" s="15" t="s">
        <v>1884</v>
      </c>
    </row>
    <row r="664" spans="7:13" ht="17.25" customHeight="1">
      <c r="G664" s="15" t="s">
        <v>1885</v>
      </c>
      <c r="M664" s="15" t="s">
        <v>1886</v>
      </c>
    </row>
    <row r="665" spans="7:13" ht="17.25" customHeight="1">
      <c r="G665" s="15" t="s">
        <v>1887</v>
      </c>
      <c r="M665" s="15" t="s">
        <v>1888</v>
      </c>
    </row>
    <row r="666" spans="7:13" ht="17.25" customHeight="1">
      <c r="G666" s="15" t="s">
        <v>1889</v>
      </c>
      <c r="M666" s="15" t="s">
        <v>1890</v>
      </c>
    </row>
    <row r="667" spans="7:13" ht="17.25" customHeight="1">
      <c r="G667" s="15" t="s">
        <v>1891</v>
      </c>
      <c r="M667" s="15" t="s">
        <v>1892</v>
      </c>
    </row>
    <row r="668" spans="7:13" ht="17.25" customHeight="1">
      <c r="G668" s="15" t="s">
        <v>1893</v>
      </c>
      <c r="M668" s="15" t="s">
        <v>1894</v>
      </c>
    </row>
    <row r="669" spans="7:13" ht="17.25" customHeight="1">
      <c r="G669" s="15" t="s">
        <v>1895</v>
      </c>
      <c r="M669" s="15" t="s">
        <v>1896</v>
      </c>
    </row>
    <row r="670" spans="7:13" ht="17.25" customHeight="1">
      <c r="G670" s="15" t="s">
        <v>1897</v>
      </c>
      <c r="M670" s="15" t="s">
        <v>1898</v>
      </c>
    </row>
    <row r="671" spans="7:13" ht="17.25" customHeight="1">
      <c r="G671" s="15" t="s">
        <v>1899</v>
      </c>
      <c r="M671" s="15" t="s">
        <v>1900</v>
      </c>
    </row>
    <row r="672" spans="7:13" ht="17.25" customHeight="1">
      <c r="G672" s="15" t="s">
        <v>1901</v>
      </c>
      <c r="M672" s="15" t="s">
        <v>1902</v>
      </c>
    </row>
    <row r="673" spans="7:13" ht="17.25" customHeight="1">
      <c r="G673" s="15" t="s">
        <v>1903</v>
      </c>
      <c r="M673" s="15" t="s">
        <v>1904</v>
      </c>
    </row>
    <row r="674" spans="7:13" ht="17.25" customHeight="1">
      <c r="G674" s="15" t="s">
        <v>1905</v>
      </c>
      <c r="M674" s="15" t="s">
        <v>1906</v>
      </c>
    </row>
    <row r="675" spans="7:13" ht="17.25" customHeight="1">
      <c r="G675" s="15" t="s">
        <v>1907</v>
      </c>
      <c r="M675" s="15" t="s">
        <v>1908</v>
      </c>
    </row>
    <row r="676" spans="7:13" ht="17.25" customHeight="1">
      <c r="G676" s="15" t="s">
        <v>1909</v>
      </c>
      <c r="M676" s="15" t="s">
        <v>1910</v>
      </c>
    </row>
    <row r="677" spans="7:13" ht="17.25" customHeight="1">
      <c r="G677" s="15" t="s">
        <v>1911</v>
      </c>
      <c r="M677" s="15" t="s">
        <v>1912</v>
      </c>
    </row>
    <row r="678" spans="7:13" ht="17.25" customHeight="1">
      <c r="G678" s="15" t="s">
        <v>1913</v>
      </c>
      <c r="M678" s="15" t="s">
        <v>1914</v>
      </c>
    </row>
    <row r="679" spans="7:13" ht="17.25" customHeight="1">
      <c r="G679" s="15" t="s">
        <v>1915</v>
      </c>
      <c r="M679" s="15" t="s">
        <v>1916</v>
      </c>
    </row>
    <row r="680" spans="7:13" ht="17.25" customHeight="1">
      <c r="G680" s="15" t="s">
        <v>1917</v>
      </c>
      <c r="M680" s="15" t="s">
        <v>1918</v>
      </c>
    </row>
    <row r="681" spans="7:13" ht="17.25" customHeight="1">
      <c r="G681" s="15" t="s">
        <v>1919</v>
      </c>
      <c r="M681" s="15" t="s">
        <v>1920</v>
      </c>
    </row>
    <row r="682" spans="7:13" ht="17.25" customHeight="1">
      <c r="G682" s="15" t="s">
        <v>1921</v>
      </c>
      <c r="M682" s="15" t="s">
        <v>1922</v>
      </c>
    </row>
    <row r="683" spans="7:13" ht="17.25" customHeight="1">
      <c r="G683" s="15" t="s">
        <v>1923</v>
      </c>
      <c r="M683" s="15" t="s">
        <v>1924</v>
      </c>
    </row>
    <row r="684" spans="7:13" ht="17.25" customHeight="1">
      <c r="G684" s="15" t="s">
        <v>1925</v>
      </c>
      <c r="M684" s="15" t="s">
        <v>1926</v>
      </c>
    </row>
    <row r="685" spans="7:13" ht="17.25" customHeight="1">
      <c r="G685" s="15" t="s">
        <v>1927</v>
      </c>
      <c r="M685" s="15" t="s">
        <v>1928</v>
      </c>
    </row>
    <row r="686" spans="7:13" ht="17.25" customHeight="1">
      <c r="G686" s="15" t="s">
        <v>1929</v>
      </c>
      <c r="M686" s="15" t="s">
        <v>1930</v>
      </c>
    </row>
    <row r="687" spans="7:13" ht="17.25" customHeight="1">
      <c r="G687" s="15" t="s">
        <v>1931</v>
      </c>
      <c r="M687" s="15" t="s">
        <v>1932</v>
      </c>
    </row>
    <row r="688" spans="7:13" ht="17.25" customHeight="1">
      <c r="G688" s="15" t="s">
        <v>1933</v>
      </c>
      <c r="M688" s="15" t="s">
        <v>1934</v>
      </c>
    </row>
    <row r="689" spans="7:13" ht="17.25" customHeight="1">
      <c r="G689" s="15" t="s">
        <v>1935</v>
      </c>
      <c r="M689" s="15" t="s">
        <v>1936</v>
      </c>
    </row>
    <row r="690" spans="7:13" ht="17.25" customHeight="1">
      <c r="G690" s="15" t="s">
        <v>1937</v>
      </c>
      <c r="M690" s="15" t="s">
        <v>1938</v>
      </c>
    </row>
    <row r="691" spans="7:13" ht="17.25" customHeight="1">
      <c r="G691" s="15" t="s">
        <v>1939</v>
      </c>
      <c r="M691" s="15" t="s">
        <v>1940</v>
      </c>
    </row>
    <row r="692" spans="7:13" ht="17.25" customHeight="1">
      <c r="G692" s="15" t="s">
        <v>1941</v>
      </c>
      <c r="M692" s="15" t="s">
        <v>1942</v>
      </c>
    </row>
    <row r="693" spans="7:13" ht="17.25" customHeight="1">
      <c r="G693" s="15" t="s">
        <v>1943</v>
      </c>
      <c r="M693" s="15" t="s">
        <v>1944</v>
      </c>
    </row>
    <row r="694" spans="7:13" ht="17.25" customHeight="1">
      <c r="G694" s="15" t="s">
        <v>1945</v>
      </c>
      <c r="M694" s="15" t="s">
        <v>1946</v>
      </c>
    </row>
    <row r="695" spans="7:13" ht="17.25" customHeight="1">
      <c r="G695" s="15" t="s">
        <v>1947</v>
      </c>
      <c r="M695" s="15" t="s">
        <v>1948</v>
      </c>
    </row>
    <row r="696" spans="7:13" ht="17.25" customHeight="1">
      <c r="G696" s="15" t="s">
        <v>1949</v>
      </c>
      <c r="M696" s="15" t="s">
        <v>1950</v>
      </c>
    </row>
    <row r="697" spans="7:13" ht="17.25" customHeight="1">
      <c r="G697" s="15" t="s">
        <v>1951</v>
      </c>
      <c r="M697" s="15" t="s">
        <v>1952</v>
      </c>
    </row>
    <row r="698" spans="7:13" ht="17.25" customHeight="1">
      <c r="G698" s="15" t="s">
        <v>1953</v>
      </c>
      <c r="M698" s="15" t="s">
        <v>1954</v>
      </c>
    </row>
    <row r="699" spans="7:13" ht="17.25" customHeight="1">
      <c r="G699" s="15" t="s">
        <v>1955</v>
      </c>
      <c r="M699" s="15" t="s">
        <v>1956</v>
      </c>
    </row>
    <row r="700" spans="7:13" ht="17.25" customHeight="1">
      <c r="G700" s="15" t="s">
        <v>1957</v>
      </c>
      <c r="M700" s="15" t="s">
        <v>1958</v>
      </c>
    </row>
    <row r="701" spans="7:13" ht="17.25" customHeight="1">
      <c r="G701" s="15" t="s">
        <v>1959</v>
      </c>
      <c r="M701" s="15" t="s">
        <v>1960</v>
      </c>
    </row>
    <row r="702" spans="7:13" ht="17.25" customHeight="1">
      <c r="G702" s="15" t="s">
        <v>1961</v>
      </c>
      <c r="M702" s="15" t="s">
        <v>1962</v>
      </c>
    </row>
    <row r="703" spans="7:13" ht="17.25" customHeight="1">
      <c r="G703" s="15" t="s">
        <v>1963</v>
      </c>
      <c r="M703" s="15" t="s">
        <v>1964</v>
      </c>
    </row>
    <row r="704" spans="7:13" ht="17.25" customHeight="1">
      <c r="G704" s="15" t="s">
        <v>1965</v>
      </c>
      <c r="M704" s="15" t="s">
        <v>1966</v>
      </c>
    </row>
    <row r="705" spans="7:13" ht="17.25" customHeight="1">
      <c r="G705" s="15" t="s">
        <v>1967</v>
      </c>
      <c r="M705" s="15" t="s">
        <v>1968</v>
      </c>
    </row>
    <row r="706" spans="7:13" ht="17.25" customHeight="1">
      <c r="G706" s="15" t="s">
        <v>1969</v>
      </c>
      <c r="M706" s="15" t="s">
        <v>1970</v>
      </c>
    </row>
    <row r="707" spans="7:13" ht="17.25" customHeight="1">
      <c r="G707" s="15" t="s">
        <v>1971</v>
      </c>
      <c r="M707" s="15" t="s">
        <v>1972</v>
      </c>
    </row>
    <row r="708" spans="7:13" ht="17.25" customHeight="1">
      <c r="G708" s="15" t="s">
        <v>1973</v>
      </c>
      <c r="M708" s="15" t="s">
        <v>1974</v>
      </c>
    </row>
    <row r="709" spans="7:13" ht="17.25" customHeight="1">
      <c r="G709" s="15" t="s">
        <v>1975</v>
      </c>
      <c r="M709" s="15" t="s">
        <v>1976</v>
      </c>
    </row>
    <row r="710" spans="7:13" ht="17.25" customHeight="1">
      <c r="G710" s="15" t="s">
        <v>1977</v>
      </c>
      <c r="M710" s="15" t="s">
        <v>1978</v>
      </c>
    </row>
    <row r="711" spans="7:13" ht="17.25" customHeight="1">
      <c r="G711" s="15" t="s">
        <v>1979</v>
      </c>
      <c r="M711" s="15" t="s">
        <v>1980</v>
      </c>
    </row>
    <row r="712" spans="7:13" ht="17.25" customHeight="1">
      <c r="G712" s="15" t="s">
        <v>1981</v>
      </c>
      <c r="M712" s="15" t="s">
        <v>1982</v>
      </c>
    </row>
    <row r="713" spans="7:13" ht="17.25" customHeight="1">
      <c r="G713" s="15" t="s">
        <v>1983</v>
      </c>
      <c r="M713" s="15" t="s">
        <v>1984</v>
      </c>
    </row>
    <row r="714" spans="7:13" ht="17.25" customHeight="1">
      <c r="G714" s="15" t="s">
        <v>1985</v>
      </c>
      <c r="M714" s="15" t="s">
        <v>1986</v>
      </c>
    </row>
    <row r="715" spans="7:13" ht="17.25" customHeight="1">
      <c r="G715" s="15" t="s">
        <v>1987</v>
      </c>
      <c r="M715" s="15" t="s">
        <v>1988</v>
      </c>
    </row>
    <row r="716" spans="7:13" ht="17.25" customHeight="1">
      <c r="G716" s="15" t="s">
        <v>1989</v>
      </c>
      <c r="M716" s="15" t="s">
        <v>1990</v>
      </c>
    </row>
    <row r="717" spans="7:13" ht="17.25" customHeight="1">
      <c r="G717" s="15" t="s">
        <v>1991</v>
      </c>
      <c r="M717" s="15" t="s">
        <v>1992</v>
      </c>
    </row>
    <row r="718" spans="7:13" ht="17.25" customHeight="1">
      <c r="G718" s="15" t="s">
        <v>1993</v>
      </c>
      <c r="M718" s="15" t="s">
        <v>1994</v>
      </c>
    </row>
    <row r="719" spans="7:13" ht="17.25" customHeight="1">
      <c r="G719" s="15" t="s">
        <v>1995</v>
      </c>
      <c r="M719" s="15" t="s">
        <v>1996</v>
      </c>
    </row>
    <row r="720" spans="7:13" ht="17.25" customHeight="1">
      <c r="G720" s="15" t="s">
        <v>1997</v>
      </c>
      <c r="M720" s="15" t="s">
        <v>1998</v>
      </c>
    </row>
    <row r="721" spans="7:13" ht="17.25" customHeight="1">
      <c r="G721" s="15" t="s">
        <v>1999</v>
      </c>
      <c r="M721" s="15" t="s">
        <v>2000</v>
      </c>
    </row>
    <row r="722" spans="7:13" ht="17.25" customHeight="1">
      <c r="G722" s="15" t="s">
        <v>2001</v>
      </c>
      <c r="M722" s="15" t="s">
        <v>2002</v>
      </c>
    </row>
    <row r="723" spans="7:13" ht="17.25" customHeight="1">
      <c r="G723" s="15" t="s">
        <v>2003</v>
      </c>
      <c r="M723" s="15" t="s">
        <v>2004</v>
      </c>
    </row>
    <row r="724" spans="7:13" ht="17.25" customHeight="1">
      <c r="G724" s="15" t="s">
        <v>2005</v>
      </c>
      <c r="M724" s="15" t="s">
        <v>2006</v>
      </c>
    </row>
    <row r="725" spans="7:13" ht="17.25" customHeight="1">
      <c r="G725" s="15" t="s">
        <v>2007</v>
      </c>
      <c r="M725" s="15" t="s">
        <v>2008</v>
      </c>
    </row>
    <row r="726" spans="7:13" ht="17.25" customHeight="1">
      <c r="G726" s="15" t="s">
        <v>2009</v>
      </c>
      <c r="M726" s="15" t="s">
        <v>2010</v>
      </c>
    </row>
    <row r="727" spans="7:13" ht="17.25" customHeight="1">
      <c r="G727" s="15" t="s">
        <v>2011</v>
      </c>
      <c r="M727" s="15" t="s">
        <v>2012</v>
      </c>
    </row>
    <row r="728" spans="7:13" ht="17.25" customHeight="1">
      <c r="G728" s="15" t="s">
        <v>2013</v>
      </c>
      <c r="M728" s="15" t="s">
        <v>2014</v>
      </c>
    </row>
    <row r="729" spans="7:13" ht="17.25" customHeight="1">
      <c r="G729" s="15" t="s">
        <v>2015</v>
      </c>
      <c r="M729" s="15" t="s">
        <v>2016</v>
      </c>
    </row>
    <row r="730" spans="7:13" ht="17.25" customHeight="1">
      <c r="G730" s="15" t="s">
        <v>2017</v>
      </c>
      <c r="M730" s="15" t="s">
        <v>2018</v>
      </c>
    </row>
    <row r="731" spans="7:13" ht="17.25" customHeight="1">
      <c r="G731" s="15" t="s">
        <v>2019</v>
      </c>
      <c r="M731" s="15" t="s">
        <v>2020</v>
      </c>
    </row>
    <row r="732" spans="7:13" ht="17.25" customHeight="1">
      <c r="G732" s="15" t="s">
        <v>2021</v>
      </c>
      <c r="M732" s="15" t="s">
        <v>2022</v>
      </c>
    </row>
    <row r="733" spans="7:13" ht="17.25" customHeight="1">
      <c r="G733" s="15" t="s">
        <v>2023</v>
      </c>
      <c r="M733" s="15" t="s">
        <v>2024</v>
      </c>
    </row>
    <row r="734" spans="7:13" ht="17.25" customHeight="1">
      <c r="G734" s="15" t="s">
        <v>2025</v>
      </c>
      <c r="M734" s="15" t="s">
        <v>2026</v>
      </c>
    </row>
    <row r="735" spans="7:13" ht="17.25" customHeight="1">
      <c r="G735" s="15" t="s">
        <v>2027</v>
      </c>
      <c r="M735" s="15" t="s">
        <v>2028</v>
      </c>
    </row>
    <row r="736" spans="7:13" ht="17.25" customHeight="1">
      <c r="G736" s="15" t="s">
        <v>2029</v>
      </c>
      <c r="M736" s="15" t="s">
        <v>2030</v>
      </c>
    </row>
    <row r="737" spans="7:13" ht="17.25" customHeight="1">
      <c r="G737" s="15" t="s">
        <v>2031</v>
      </c>
      <c r="M737" s="15" t="s">
        <v>2032</v>
      </c>
    </row>
    <row r="738" spans="7:13" ht="17.25" customHeight="1">
      <c r="G738" s="15" t="s">
        <v>2033</v>
      </c>
      <c r="M738" s="15" t="s">
        <v>2034</v>
      </c>
    </row>
    <row r="739" spans="7:13" ht="17.25" customHeight="1">
      <c r="G739" s="15" t="s">
        <v>2035</v>
      </c>
      <c r="M739" s="15" t="s">
        <v>2036</v>
      </c>
    </row>
    <row r="740" spans="7:13" ht="17.25" customHeight="1">
      <c r="G740" s="15" t="s">
        <v>2037</v>
      </c>
      <c r="M740" s="15" t="s">
        <v>2038</v>
      </c>
    </row>
    <row r="741" spans="7:13" ht="17.25" customHeight="1">
      <c r="G741" s="15" t="s">
        <v>2039</v>
      </c>
      <c r="M741" s="15" t="s">
        <v>2040</v>
      </c>
    </row>
    <row r="742" spans="7:13" ht="17.25" customHeight="1">
      <c r="G742" s="15" t="s">
        <v>2041</v>
      </c>
      <c r="M742" s="15" t="s">
        <v>2042</v>
      </c>
    </row>
    <row r="743" spans="7:13" ht="17.25" customHeight="1">
      <c r="G743" s="15" t="s">
        <v>2043</v>
      </c>
      <c r="M743" s="15" t="s">
        <v>2044</v>
      </c>
    </row>
    <row r="744" spans="7:13" ht="17.25" customHeight="1">
      <c r="G744" s="15" t="s">
        <v>2045</v>
      </c>
      <c r="M744" s="15" t="s">
        <v>2046</v>
      </c>
    </row>
    <row r="745" spans="7:13" ht="17.25" customHeight="1">
      <c r="G745" s="15" t="s">
        <v>2047</v>
      </c>
      <c r="M745" s="15" t="s">
        <v>2048</v>
      </c>
    </row>
    <row r="746" spans="7:13" ht="17.25" customHeight="1">
      <c r="G746" s="15" t="s">
        <v>2049</v>
      </c>
      <c r="M746" s="15" t="s">
        <v>2050</v>
      </c>
    </row>
    <row r="747" spans="7:13" ht="17.25" customHeight="1">
      <c r="G747" s="15" t="s">
        <v>2051</v>
      </c>
      <c r="M747" s="15" t="s">
        <v>2052</v>
      </c>
    </row>
    <row r="748" spans="7:13" ht="17.25" customHeight="1">
      <c r="G748" s="15" t="s">
        <v>2053</v>
      </c>
      <c r="M748" s="15" t="s">
        <v>2054</v>
      </c>
    </row>
    <row r="749" spans="7:13" ht="17.25" customHeight="1">
      <c r="G749" s="15" t="s">
        <v>2055</v>
      </c>
      <c r="M749" s="15" t="s">
        <v>2056</v>
      </c>
    </row>
    <row r="750" spans="7:13" ht="17.25" customHeight="1">
      <c r="G750" s="15" t="s">
        <v>2057</v>
      </c>
      <c r="M750" s="15" t="s">
        <v>2058</v>
      </c>
    </row>
    <row r="751" spans="7:13" ht="17.25" customHeight="1">
      <c r="G751" s="15" t="s">
        <v>2059</v>
      </c>
      <c r="M751" s="15" t="s">
        <v>2060</v>
      </c>
    </row>
    <row r="752" spans="7:13" ht="17.25" customHeight="1">
      <c r="G752" s="15" t="s">
        <v>2061</v>
      </c>
      <c r="M752" s="15" t="s">
        <v>2062</v>
      </c>
    </row>
    <row r="753" spans="7:13" ht="17.25" customHeight="1">
      <c r="G753" s="15" t="s">
        <v>2063</v>
      </c>
      <c r="M753" s="15" t="s">
        <v>2064</v>
      </c>
    </row>
    <row r="754" spans="7:13" ht="17.25" customHeight="1">
      <c r="G754" s="15" t="s">
        <v>2065</v>
      </c>
      <c r="M754" s="15" t="s">
        <v>2066</v>
      </c>
    </row>
    <row r="755" spans="7:13" ht="17.25" customHeight="1">
      <c r="G755" s="15" t="s">
        <v>2067</v>
      </c>
      <c r="M755" s="15" t="s">
        <v>2068</v>
      </c>
    </row>
    <row r="756" spans="7:13" ht="17.25" customHeight="1">
      <c r="G756" s="15" t="s">
        <v>2069</v>
      </c>
      <c r="M756" s="15" t="s">
        <v>2070</v>
      </c>
    </row>
    <row r="757" spans="7:13" ht="17.25" customHeight="1">
      <c r="G757" s="15" t="s">
        <v>2071</v>
      </c>
      <c r="M757" s="15" t="s">
        <v>2072</v>
      </c>
    </row>
    <row r="758" spans="7:13" ht="17.25" customHeight="1">
      <c r="G758" s="15" t="s">
        <v>2073</v>
      </c>
      <c r="M758" s="15" t="s">
        <v>2074</v>
      </c>
    </row>
    <row r="759" spans="7:13" ht="17.25" customHeight="1">
      <c r="G759" s="15" t="s">
        <v>2075</v>
      </c>
      <c r="M759" s="15" t="s">
        <v>2076</v>
      </c>
    </row>
    <row r="760" spans="7:13" ht="17.25" customHeight="1">
      <c r="G760" s="15" t="s">
        <v>2077</v>
      </c>
      <c r="M760" s="15" t="s">
        <v>2078</v>
      </c>
    </row>
    <row r="761" spans="7:13" ht="17.25" customHeight="1">
      <c r="G761" s="15" t="s">
        <v>2079</v>
      </c>
      <c r="M761" s="15" t="s">
        <v>2080</v>
      </c>
    </row>
    <row r="762" spans="7:13" ht="17.25" customHeight="1">
      <c r="G762" s="15" t="s">
        <v>2081</v>
      </c>
      <c r="M762" s="15" t="s">
        <v>2082</v>
      </c>
    </row>
    <row r="763" spans="7:13" ht="17.25" customHeight="1">
      <c r="G763" s="15" t="s">
        <v>2083</v>
      </c>
      <c r="M763" s="15" t="s">
        <v>2084</v>
      </c>
    </row>
    <row r="764" spans="7:13" ht="17.25" customHeight="1">
      <c r="G764" s="15" t="s">
        <v>2085</v>
      </c>
      <c r="M764" s="15" t="s">
        <v>2086</v>
      </c>
    </row>
    <row r="765" spans="7:13" ht="17.25" customHeight="1">
      <c r="G765" s="15" t="s">
        <v>2087</v>
      </c>
      <c r="M765" s="15" t="s">
        <v>2088</v>
      </c>
    </row>
    <row r="766" spans="7:13" ht="17.25" customHeight="1">
      <c r="G766" s="15" t="s">
        <v>2089</v>
      </c>
      <c r="M766" s="15" t="s">
        <v>2090</v>
      </c>
    </row>
    <row r="767" spans="7:13" ht="17.25" customHeight="1">
      <c r="G767" s="15" t="s">
        <v>2091</v>
      </c>
      <c r="M767" s="15" t="s">
        <v>2092</v>
      </c>
    </row>
    <row r="768" spans="7:13" ht="17.25" customHeight="1">
      <c r="G768" s="15" t="s">
        <v>2093</v>
      </c>
      <c r="M768" s="15" t="s">
        <v>2094</v>
      </c>
    </row>
    <row r="769" spans="7:13" ht="17.25" customHeight="1">
      <c r="G769" s="15" t="s">
        <v>2095</v>
      </c>
      <c r="M769" s="15" t="s">
        <v>2096</v>
      </c>
    </row>
    <row r="770" spans="7:13" ht="17.25" customHeight="1">
      <c r="G770" s="15" t="s">
        <v>2097</v>
      </c>
      <c r="M770" s="15" t="s">
        <v>2098</v>
      </c>
    </row>
    <row r="771" spans="7:13" ht="17.25" customHeight="1">
      <c r="G771" s="15" t="s">
        <v>2099</v>
      </c>
      <c r="M771" s="15" t="s">
        <v>2100</v>
      </c>
    </row>
    <row r="772" spans="7:13" ht="17.25" customHeight="1">
      <c r="G772" s="15" t="s">
        <v>2101</v>
      </c>
      <c r="M772" s="15" t="s">
        <v>2102</v>
      </c>
    </row>
    <row r="773" spans="7:13" ht="17.25" customHeight="1">
      <c r="G773" s="15" t="s">
        <v>2103</v>
      </c>
      <c r="M773" s="15" t="s">
        <v>2104</v>
      </c>
    </row>
    <row r="774" spans="7:13" ht="17.25" customHeight="1">
      <c r="G774" s="15" t="s">
        <v>2105</v>
      </c>
      <c r="M774" s="15" t="s">
        <v>2106</v>
      </c>
    </row>
    <row r="775" spans="7:13" ht="17.25" customHeight="1">
      <c r="G775" s="15" t="s">
        <v>2107</v>
      </c>
      <c r="M775" s="15" t="s">
        <v>2108</v>
      </c>
    </row>
    <row r="776" spans="7:13" ht="17.25" customHeight="1">
      <c r="G776" s="15" t="s">
        <v>2109</v>
      </c>
      <c r="M776" s="15" t="s">
        <v>2110</v>
      </c>
    </row>
    <row r="777" spans="7:13" ht="17.25" customHeight="1">
      <c r="G777" s="15" t="s">
        <v>2111</v>
      </c>
      <c r="M777" s="15" t="s">
        <v>2112</v>
      </c>
    </row>
    <row r="778" spans="7:13" ht="17.25" customHeight="1">
      <c r="G778" s="15" t="s">
        <v>2113</v>
      </c>
      <c r="M778" s="15" t="s">
        <v>2114</v>
      </c>
    </row>
    <row r="779" spans="7:13" ht="17.25" customHeight="1">
      <c r="G779" s="15" t="s">
        <v>2115</v>
      </c>
      <c r="M779" s="15" t="s">
        <v>2116</v>
      </c>
    </row>
    <row r="780" spans="7:13" ht="17.25" customHeight="1">
      <c r="G780" s="15" t="s">
        <v>2117</v>
      </c>
      <c r="M780" s="15" t="s">
        <v>2118</v>
      </c>
    </row>
    <row r="781" spans="7:13" ht="17.25" customHeight="1">
      <c r="G781" s="15" t="s">
        <v>2119</v>
      </c>
      <c r="M781" s="15" t="s">
        <v>2120</v>
      </c>
    </row>
    <row r="782" spans="7:13" ht="17.25" customHeight="1">
      <c r="G782" s="15" t="s">
        <v>2121</v>
      </c>
      <c r="M782" s="15" t="s">
        <v>2122</v>
      </c>
    </row>
    <row r="783" spans="7:13" ht="17.25" customHeight="1">
      <c r="G783" s="15" t="s">
        <v>2123</v>
      </c>
      <c r="M783" s="15" t="s">
        <v>2124</v>
      </c>
    </row>
    <row r="784" spans="7:13" ht="17.25" customHeight="1">
      <c r="G784" s="15" t="s">
        <v>2125</v>
      </c>
      <c r="M784" s="15" t="s">
        <v>2126</v>
      </c>
    </row>
    <row r="785" spans="7:13" ht="17.25" customHeight="1">
      <c r="G785" s="15" t="s">
        <v>2127</v>
      </c>
      <c r="M785" s="15" t="s">
        <v>2128</v>
      </c>
    </row>
    <row r="786" spans="7:13" ht="17.25" customHeight="1">
      <c r="G786" s="15" t="s">
        <v>2129</v>
      </c>
      <c r="M786" s="15" t="s">
        <v>2130</v>
      </c>
    </row>
    <row r="787" spans="7:13" ht="17.25" customHeight="1">
      <c r="G787" s="15" t="s">
        <v>2131</v>
      </c>
      <c r="M787" s="15" t="s">
        <v>2132</v>
      </c>
    </row>
    <row r="788" spans="7:13" ht="17.25" customHeight="1">
      <c r="G788" s="15" t="s">
        <v>2133</v>
      </c>
      <c r="M788" s="15" t="s">
        <v>2134</v>
      </c>
    </row>
    <row r="789" spans="7:13" ht="17.25" customHeight="1">
      <c r="G789" s="15" t="s">
        <v>2135</v>
      </c>
      <c r="M789" s="15" t="s">
        <v>2136</v>
      </c>
    </row>
    <row r="790" spans="7:13" ht="17.25" customHeight="1">
      <c r="G790" s="15" t="s">
        <v>2137</v>
      </c>
      <c r="M790" s="15" t="s">
        <v>2138</v>
      </c>
    </row>
    <row r="791" spans="7:13" ht="17.25" customHeight="1">
      <c r="G791" s="15" t="s">
        <v>2139</v>
      </c>
      <c r="M791" s="15" t="s">
        <v>2140</v>
      </c>
    </row>
    <row r="792" spans="7:13" ht="17.25" customHeight="1">
      <c r="G792" s="15" t="s">
        <v>2141</v>
      </c>
      <c r="M792" s="15" t="s">
        <v>2142</v>
      </c>
    </row>
    <row r="793" spans="7:13" ht="17.25" customHeight="1">
      <c r="G793" s="15" t="s">
        <v>2143</v>
      </c>
      <c r="M793" s="15" t="s">
        <v>2144</v>
      </c>
    </row>
    <row r="794" spans="7:13" ht="17.25" customHeight="1">
      <c r="G794" s="15" t="s">
        <v>2145</v>
      </c>
      <c r="M794" s="15" t="s">
        <v>2146</v>
      </c>
    </row>
    <row r="795" spans="7:13" ht="17.25" customHeight="1">
      <c r="G795" s="15" t="s">
        <v>2147</v>
      </c>
      <c r="M795" s="15" t="s">
        <v>2148</v>
      </c>
    </row>
    <row r="796" spans="7:13" ht="17.25" customHeight="1">
      <c r="G796" s="15" t="s">
        <v>2149</v>
      </c>
      <c r="M796" s="15" t="s">
        <v>2150</v>
      </c>
    </row>
    <row r="797" spans="7:13" ht="17.25" customHeight="1">
      <c r="G797" s="15" t="s">
        <v>2151</v>
      </c>
      <c r="M797" s="15" t="s">
        <v>2152</v>
      </c>
    </row>
    <row r="798" spans="7:13" ht="17.25" customHeight="1">
      <c r="G798" s="15" t="s">
        <v>2153</v>
      </c>
      <c r="M798" s="15" t="s">
        <v>2154</v>
      </c>
    </row>
    <row r="799" spans="7:13" ht="17.25" customHeight="1">
      <c r="G799" s="15" t="s">
        <v>2155</v>
      </c>
      <c r="M799" s="15" t="s">
        <v>2156</v>
      </c>
    </row>
    <row r="800" spans="7:13" ht="17.25" customHeight="1">
      <c r="G800" s="15" t="s">
        <v>2157</v>
      </c>
      <c r="M800" s="15" t="s">
        <v>2158</v>
      </c>
    </row>
    <row r="801" spans="7:13" ht="17.25" customHeight="1">
      <c r="G801" s="15" t="s">
        <v>2159</v>
      </c>
      <c r="M801" s="15" t="s">
        <v>2160</v>
      </c>
    </row>
    <row r="802" spans="7:13" ht="17.25" customHeight="1">
      <c r="G802" s="15" t="s">
        <v>2161</v>
      </c>
      <c r="M802" s="15" t="s">
        <v>2162</v>
      </c>
    </row>
    <row r="803" spans="7:13" ht="17.25" customHeight="1">
      <c r="G803" s="15" t="s">
        <v>2163</v>
      </c>
      <c r="M803" s="15" t="s">
        <v>2164</v>
      </c>
    </row>
    <row r="804" spans="7:13" ht="17.25" customHeight="1">
      <c r="G804" s="15" t="s">
        <v>2165</v>
      </c>
      <c r="M804" s="15" t="s">
        <v>2166</v>
      </c>
    </row>
    <row r="805" spans="7:13" ht="17.25" customHeight="1">
      <c r="G805" s="15" t="s">
        <v>2167</v>
      </c>
      <c r="M805" s="15" t="s">
        <v>2168</v>
      </c>
    </row>
    <row r="806" spans="7:13" ht="17.25" customHeight="1">
      <c r="G806" s="15" t="s">
        <v>2169</v>
      </c>
      <c r="M806" s="15" t="s">
        <v>2170</v>
      </c>
    </row>
    <row r="807" spans="7:13" ht="17.25" customHeight="1">
      <c r="G807" s="15" t="s">
        <v>2171</v>
      </c>
      <c r="M807" s="15" t="s">
        <v>2172</v>
      </c>
    </row>
    <row r="808" spans="7:13" ht="17.25" customHeight="1">
      <c r="G808" s="15" t="s">
        <v>2173</v>
      </c>
      <c r="M808" s="15" t="s">
        <v>2174</v>
      </c>
    </row>
    <row r="809" spans="7:13" ht="17.25" customHeight="1">
      <c r="G809" s="15" t="s">
        <v>2175</v>
      </c>
      <c r="M809" s="15" t="s">
        <v>2176</v>
      </c>
    </row>
    <row r="810" spans="7:13" ht="17.25" customHeight="1">
      <c r="G810" s="15" t="s">
        <v>2177</v>
      </c>
      <c r="M810" s="15" t="s">
        <v>2178</v>
      </c>
    </row>
    <row r="811" spans="7:13" ht="17.25" customHeight="1">
      <c r="G811" s="15" t="s">
        <v>2179</v>
      </c>
      <c r="M811" s="15" t="s">
        <v>2180</v>
      </c>
    </row>
    <row r="812" spans="7:13" ht="17.25" customHeight="1">
      <c r="G812" s="15" t="s">
        <v>2181</v>
      </c>
      <c r="M812" s="15" t="s">
        <v>2182</v>
      </c>
    </row>
    <row r="813" spans="7:13" ht="17.25" customHeight="1">
      <c r="G813" s="15" t="s">
        <v>2183</v>
      </c>
      <c r="M813" s="15" t="s">
        <v>2184</v>
      </c>
    </row>
    <row r="814" spans="7:13" ht="17.25" customHeight="1">
      <c r="G814" s="15" t="s">
        <v>2185</v>
      </c>
      <c r="M814" s="15" t="s">
        <v>2186</v>
      </c>
    </row>
    <row r="815" spans="7:13" ht="17.25" customHeight="1">
      <c r="G815" s="15" t="s">
        <v>2187</v>
      </c>
      <c r="M815" s="15" t="s">
        <v>2188</v>
      </c>
    </row>
    <row r="816" spans="7:13" ht="17.25" customHeight="1">
      <c r="G816" s="15" t="s">
        <v>2189</v>
      </c>
      <c r="M816" s="15" t="s">
        <v>2190</v>
      </c>
    </row>
    <row r="817" spans="7:13" ht="17.25" customHeight="1">
      <c r="G817" s="15" t="s">
        <v>2191</v>
      </c>
      <c r="M817" s="15" t="s">
        <v>2192</v>
      </c>
    </row>
    <row r="818" spans="7:13" ht="17.25" customHeight="1">
      <c r="G818" s="15" t="s">
        <v>2193</v>
      </c>
      <c r="M818" s="15" t="s">
        <v>2194</v>
      </c>
    </row>
    <row r="819" spans="7:13" ht="17.25" customHeight="1">
      <c r="G819" s="15" t="s">
        <v>2195</v>
      </c>
      <c r="M819" s="15" t="s">
        <v>2196</v>
      </c>
    </row>
    <row r="820" spans="7:13" ht="17.25" customHeight="1">
      <c r="G820" s="15" t="s">
        <v>2197</v>
      </c>
      <c r="M820" s="15" t="s">
        <v>2198</v>
      </c>
    </row>
    <row r="821" spans="7:13" ht="17.25" customHeight="1">
      <c r="G821" s="15" t="s">
        <v>2199</v>
      </c>
      <c r="M821" s="15" t="s">
        <v>2200</v>
      </c>
    </row>
    <row r="822" spans="7:13" ht="17.25" customHeight="1">
      <c r="G822" s="15" t="s">
        <v>2201</v>
      </c>
      <c r="M822" s="15" t="s">
        <v>2202</v>
      </c>
    </row>
    <row r="823" spans="7:13" ht="17.25" customHeight="1">
      <c r="G823" s="15" t="s">
        <v>2203</v>
      </c>
      <c r="M823" s="15" t="s">
        <v>2204</v>
      </c>
    </row>
    <row r="824" spans="7:13" ht="17.25" customHeight="1">
      <c r="G824" s="15" t="s">
        <v>2205</v>
      </c>
      <c r="M824" s="15" t="s">
        <v>2206</v>
      </c>
    </row>
    <row r="825" spans="7:13" ht="17.25" customHeight="1">
      <c r="G825" s="15" t="s">
        <v>2207</v>
      </c>
      <c r="M825" s="15" t="s">
        <v>2208</v>
      </c>
    </row>
    <row r="826" spans="7:13" ht="17.25" customHeight="1">
      <c r="G826" s="15" t="s">
        <v>2209</v>
      </c>
      <c r="M826" s="15" t="s">
        <v>2210</v>
      </c>
    </row>
    <row r="827" spans="7:13" ht="17.25" customHeight="1">
      <c r="G827" s="15" t="s">
        <v>2211</v>
      </c>
      <c r="M827" s="15" t="s">
        <v>2212</v>
      </c>
    </row>
    <row r="828" spans="7:13" ht="17.25" customHeight="1">
      <c r="G828" s="15" t="s">
        <v>2213</v>
      </c>
      <c r="M828" s="15" t="s">
        <v>2214</v>
      </c>
    </row>
    <row r="829" spans="7:13" ht="17.25" customHeight="1">
      <c r="G829" s="15" t="s">
        <v>2215</v>
      </c>
      <c r="M829" s="15" t="s">
        <v>2216</v>
      </c>
    </row>
    <row r="830" spans="7:13" ht="17.25" customHeight="1">
      <c r="G830" s="15" t="s">
        <v>2217</v>
      </c>
      <c r="M830" s="15" t="s">
        <v>2218</v>
      </c>
    </row>
    <row r="831" spans="7:13" ht="17.25" customHeight="1">
      <c r="G831" s="15" t="s">
        <v>2219</v>
      </c>
      <c r="M831" s="15" t="s">
        <v>2220</v>
      </c>
    </row>
    <row r="832" spans="7:13" ht="17.25" customHeight="1">
      <c r="G832" s="15" t="s">
        <v>2221</v>
      </c>
      <c r="M832" s="15" t="s">
        <v>2222</v>
      </c>
    </row>
    <row r="833" spans="7:13" ht="17.25" customHeight="1">
      <c r="G833" s="15" t="s">
        <v>2223</v>
      </c>
      <c r="M833" s="15" t="s">
        <v>2224</v>
      </c>
    </row>
    <row r="834" spans="7:13" ht="17.25" customHeight="1">
      <c r="G834" s="15" t="s">
        <v>2225</v>
      </c>
      <c r="M834" s="15" t="s">
        <v>2226</v>
      </c>
    </row>
    <row r="835" spans="7:13" ht="17.25" customHeight="1">
      <c r="G835" s="15" t="s">
        <v>2227</v>
      </c>
      <c r="M835" s="15" t="s">
        <v>2228</v>
      </c>
    </row>
    <row r="836" spans="7:13" ht="17.25" customHeight="1">
      <c r="G836" s="15" t="s">
        <v>2229</v>
      </c>
      <c r="M836" s="15" t="s">
        <v>2230</v>
      </c>
    </row>
    <row r="837" spans="7:13" ht="17.25" customHeight="1">
      <c r="G837" s="15" t="s">
        <v>2231</v>
      </c>
      <c r="M837" s="15" t="s">
        <v>2232</v>
      </c>
    </row>
    <row r="838" spans="7:13" ht="17.25" customHeight="1">
      <c r="G838" s="15" t="s">
        <v>2233</v>
      </c>
      <c r="M838" s="15" t="s">
        <v>2234</v>
      </c>
    </row>
    <row r="839" spans="7:13" ht="17.25" customHeight="1">
      <c r="G839" s="15" t="s">
        <v>2235</v>
      </c>
      <c r="M839" s="15" t="s">
        <v>2236</v>
      </c>
    </row>
    <row r="840" spans="7:13" ht="17.25" customHeight="1">
      <c r="G840" s="15" t="s">
        <v>2237</v>
      </c>
      <c r="M840" s="15" t="s">
        <v>2238</v>
      </c>
    </row>
    <row r="841" spans="7:13" ht="17.25" customHeight="1">
      <c r="G841" s="15" t="s">
        <v>2239</v>
      </c>
      <c r="M841" s="15" t="s">
        <v>2240</v>
      </c>
    </row>
    <row r="842" spans="7:13" ht="17.25" customHeight="1">
      <c r="G842" s="15" t="s">
        <v>2241</v>
      </c>
      <c r="M842" s="15" t="s">
        <v>2242</v>
      </c>
    </row>
    <row r="843" spans="7:13" ht="17.25" customHeight="1">
      <c r="G843" s="15" t="s">
        <v>2243</v>
      </c>
      <c r="M843" s="15" t="s">
        <v>2244</v>
      </c>
    </row>
    <row r="844" spans="7:13" ht="17.25" customHeight="1">
      <c r="G844" s="15" t="s">
        <v>2245</v>
      </c>
      <c r="M844" s="15" t="s">
        <v>2246</v>
      </c>
    </row>
    <row r="845" spans="7:13" ht="17.25" customHeight="1">
      <c r="G845" s="15" t="s">
        <v>2247</v>
      </c>
      <c r="M845" s="15" t="s">
        <v>2248</v>
      </c>
    </row>
    <row r="846" spans="7:13" ht="17.25" customHeight="1">
      <c r="G846" s="15" t="s">
        <v>2249</v>
      </c>
      <c r="M846" s="15" t="s">
        <v>2250</v>
      </c>
    </row>
    <row r="847" spans="7:13" ht="17.25" customHeight="1">
      <c r="G847" s="15" t="s">
        <v>2251</v>
      </c>
      <c r="M847" s="15" t="s">
        <v>2252</v>
      </c>
    </row>
    <row r="848" spans="7:13" ht="17.25" customHeight="1">
      <c r="G848" s="15" t="s">
        <v>2253</v>
      </c>
      <c r="M848" s="15" t="s">
        <v>2254</v>
      </c>
    </row>
    <row r="849" spans="7:13" ht="17.25" customHeight="1">
      <c r="G849" s="15" t="s">
        <v>2255</v>
      </c>
      <c r="M849" s="15" t="s">
        <v>2256</v>
      </c>
    </row>
    <row r="850" spans="7:13" ht="17.25" customHeight="1">
      <c r="G850" s="15" t="s">
        <v>2257</v>
      </c>
      <c r="M850" s="15" t="s">
        <v>2258</v>
      </c>
    </row>
    <row r="851" spans="7:13" ht="17.25" customHeight="1">
      <c r="G851" s="15" t="s">
        <v>2259</v>
      </c>
      <c r="M851" s="15" t="s">
        <v>2260</v>
      </c>
    </row>
    <row r="852" spans="7:13" ht="17.25" customHeight="1">
      <c r="G852" s="15" t="s">
        <v>2261</v>
      </c>
      <c r="M852" s="15" t="s">
        <v>2262</v>
      </c>
    </row>
    <row r="853" spans="7:13" ht="17.25" customHeight="1">
      <c r="G853" s="15" t="s">
        <v>2263</v>
      </c>
      <c r="M853" s="15" t="s">
        <v>2264</v>
      </c>
    </row>
    <row r="854" spans="7:13" ht="17.25" customHeight="1">
      <c r="G854" s="15" t="s">
        <v>2265</v>
      </c>
      <c r="M854" s="15" t="s">
        <v>2266</v>
      </c>
    </row>
    <row r="855" spans="7:13" ht="17.25" customHeight="1">
      <c r="G855" s="15" t="s">
        <v>2267</v>
      </c>
      <c r="M855" s="15" t="s">
        <v>2268</v>
      </c>
    </row>
    <row r="856" spans="7:13" ht="17.25" customHeight="1">
      <c r="G856" s="15" t="s">
        <v>2269</v>
      </c>
      <c r="M856" s="15" t="s">
        <v>2270</v>
      </c>
    </row>
    <row r="857" spans="7:13" ht="17.25" customHeight="1">
      <c r="G857" s="15" t="s">
        <v>2271</v>
      </c>
      <c r="M857" s="15" t="s">
        <v>2272</v>
      </c>
    </row>
    <row r="858" spans="7:13" ht="17.25" customHeight="1">
      <c r="G858" s="15" t="s">
        <v>2273</v>
      </c>
      <c r="M858" s="15" t="s">
        <v>2274</v>
      </c>
    </row>
    <row r="859" spans="7:13" ht="17.25" customHeight="1">
      <c r="G859" s="15" t="s">
        <v>2275</v>
      </c>
      <c r="M859" s="15" t="s">
        <v>2276</v>
      </c>
    </row>
    <row r="860" spans="7:13" ht="17.25" customHeight="1">
      <c r="G860" s="15" t="s">
        <v>2277</v>
      </c>
      <c r="M860" s="15" t="s">
        <v>2278</v>
      </c>
    </row>
    <row r="861" spans="7:13" ht="17.25" customHeight="1">
      <c r="G861" s="15" t="s">
        <v>2279</v>
      </c>
      <c r="M861" s="15" t="s">
        <v>2280</v>
      </c>
    </row>
    <row r="862" spans="7:13" ht="17.25" customHeight="1">
      <c r="G862" s="15" t="s">
        <v>2281</v>
      </c>
      <c r="M862" s="15" t="s">
        <v>2282</v>
      </c>
    </row>
    <row r="863" spans="7:13" ht="17.25" customHeight="1">
      <c r="G863" s="15" t="s">
        <v>2283</v>
      </c>
      <c r="M863" s="15" t="s">
        <v>2284</v>
      </c>
    </row>
    <row r="864" spans="7:13" ht="17.25" customHeight="1">
      <c r="G864" s="15" t="s">
        <v>2285</v>
      </c>
      <c r="M864" s="15" t="s">
        <v>2286</v>
      </c>
    </row>
    <row r="865" spans="7:13" ht="17.25" customHeight="1">
      <c r="G865" s="15" t="s">
        <v>2287</v>
      </c>
      <c r="M865" s="15" t="s">
        <v>2288</v>
      </c>
    </row>
    <row r="866" spans="7:13" ht="17.25" customHeight="1">
      <c r="G866" s="15" t="s">
        <v>2289</v>
      </c>
      <c r="M866" s="15" t="s">
        <v>2290</v>
      </c>
    </row>
    <row r="867" spans="7:13" ht="17.25" customHeight="1">
      <c r="G867" s="15" t="s">
        <v>2291</v>
      </c>
      <c r="M867" s="15" t="s">
        <v>2292</v>
      </c>
    </row>
    <row r="868" spans="7:13" ht="17.25" customHeight="1">
      <c r="G868" s="15" t="s">
        <v>2293</v>
      </c>
      <c r="M868" s="15" t="s">
        <v>2294</v>
      </c>
    </row>
    <row r="869" spans="7:13" ht="17.25" customHeight="1">
      <c r="G869" s="15" t="s">
        <v>2295</v>
      </c>
      <c r="M869" s="15" t="s">
        <v>2296</v>
      </c>
    </row>
    <row r="870" spans="7:13" ht="17.25" customHeight="1">
      <c r="G870" s="15" t="s">
        <v>2297</v>
      </c>
      <c r="M870" s="15" t="s">
        <v>2298</v>
      </c>
    </row>
    <row r="871" spans="7:13" ht="17.25" customHeight="1">
      <c r="G871" s="15" t="s">
        <v>2299</v>
      </c>
      <c r="M871" s="15" t="s">
        <v>2300</v>
      </c>
    </row>
    <row r="872" spans="7:13" ht="17.25" customHeight="1">
      <c r="G872" s="15" t="s">
        <v>2301</v>
      </c>
      <c r="M872" s="15" t="s">
        <v>2302</v>
      </c>
    </row>
    <row r="873" spans="7:13" ht="17.25" customHeight="1">
      <c r="G873" s="15" t="s">
        <v>2303</v>
      </c>
      <c r="M873" s="15" t="s">
        <v>2304</v>
      </c>
    </row>
    <row r="874" spans="7:13" ht="17.25" customHeight="1">
      <c r="G874" s="15" t="s">
        <v>2305</v>
      </c>
      <c r="M874" s="15" t="s">
        <v>2306</v>
      </c>
    </row>
    <row r="875" spans="7:13" ht="17.25" customHeight="1">
      <c r="G875" s="15" t="s">
        <v>2307</v>
      </c>
      <c r="M875" s="15" t="s">
        <v>2308</v>
      </c>
    </row>
    <row r="876" spans="7:13" ht="17.25" customHeight="1">
      <c r="G876" s="15" t="s">
        <v>2309</v>
      </c>
      <c r="M876" s="15" t="s">
        <v>2310</v>
      </c>
    </row>
    <row r="877" spans="7:13" ht="17.25" customHeight="1">
      <c r="G877" s="15" t="s">
        <v>2311</v>
      </c>
      <c r="M877" s="15" t="s">
        <v>2312</v>
      </c>
    </row>
    <row r="878" spans="7:13" ht="17.25" customHeight="1">
      <c r="G878" s="15" t="s">
        <v>2313</v>
      </c>
      <c r="M878" s="15" t="s">
        <v>2314</v>
      </c>
    </row>
    <row r="879" spans="7:13" ht="17.25" customHeight="1">
      <c r="G879" s="15" t="s">
        <v>2315</v>
      </c>
      <c r="M879" s="15" t="s">
        <v>2316</v>
      </c>
    </row>
    <row r="880" spans="7:13" ht="17.25" customHeight="1">
      <c r="G880" s="15" t="s">
        <v>2317</v>
      </c>
      <c r="M880" s="15" t="s">
        <v>2318</v>
      </c>
    </row>
    <row r="881" spans="7:13" ht="17.25" customHeight="1">
      <c r="G881" s="15" t="s">
        <v>2319</v>
      </c>
      <c r="M881" s="15" t="s">
        <v>2320</v>
      </c>
    </row>
    <row r="882" spans="7:13" ht="17.25" customHeight="1">
      <c r="G882" s="15" t="s">
        <v>2321</v>
      </c>
      <c r="M882" s="15" t="s">
        <v>2322</v>
      </c>
    </row>
    <row r="883" spans="7:13" ht="17.25" customHeight="1">
      <c r="G883" s="15" t="s">
        <v>2323</v>
      </c>
      <c r="M883" s="15" t="s">
        <v>2324</v>
      </c>
    </row>
    <row r="884" spans="7:13" ht="17.25" customHeight="1">
      <c r="G884" s="15" t="s">
        <v>2325</v>
      </c>
      <c r="M884" s="15" t="s">
        <v>2326</v>
      </c>
    </row>
    <row r="885" spans="7:13" ht="17.25" customHeight="1">
      <c r="G885" s="15" t="s">
        <v>2327</v>
      </c>
      <c r="M885" s="15" t="s">
        <v>2328</v>
      </c>
    </row>
    <row r="886" spans="7:13" ht="17.25" customHeight="1">
      <c r="G886" s="15" t="s">
        <v>2329</v>
      </c>
      <c r="M886" s="15" t="s">
        <v>2330</v>
      </c>
    </row>
    <row r="887" spans="7:13" ht="17.25" customHeight="1">
      <c r="G887" s="15" t="s">
        <v>2331</v>
      </c>
      <c r="M887" s="15" t="s">
        <v>2332</v>
      </c>
    </row>
    <row r="888" spans="7:13" ht="17.25" customHeight="1">
      <c r="G888" s="15" t="s">
        <v>2333</v>
      </c>
      <c r="M888" s="15" t="s">
        <v>2334</v>
      </c>
    </row>
    <row r="889" spans="7:13" ht="17.25" customHeight="1">
      <c r="G889" s="15" t="s">
        <v>2335</v>
      </c>
      <c r="M889" s="15" t="s">
        <v>2336</v>
      </c>
    </row>
    <row r="890" spans="7:13" ht="17.25" customHeight="1">
      <c r="G890" s="15" t="s">
        <v>2337</v>
      </c>
      <c r="M890" s="15" t="s">
        <v>2338</v>
      </c>
    </row>
    <row r="891" spans="7:13" ht="17.25" customHeight="1">
      <c r="G891" s="15" t="s">
        <v>2339</v>
      </c>
      <c r="M891" s="15" t="s">
        <v>2340</v>
      </c>
    </row>
    <row r="892" spans="7:13" ht="17.25" customHeight="1">
      <c r="G892" s="15" t="s">
        <v>2341</v>
      </c>
      <c r="M892" s="15" t="s">
        <v>2342</v>
      </c>
    </row>
    <row r="893" spans="7:13" ht="17.25" customHeight="1">
      <c r="G893" s="15" t="s">
        <v>2343</v>
      </c>
      <c r="M893" s="15" t="s">
        <v>2344</v>
      </c>
    </row>
    <row r="894" spans="7:13" ht="17.25" customHeight="1">
      <c r="G894" s="15" t="s">
        <v>2345</v>
      </c>
      <c r="M894" s="15" t="s">
        <v>2346</v>
      </c>
    </row>
    <row r="895" spans="7:13" ht="17.25" customHeight="1">
      <c r="G895" s="15" t="s">
        <v>2347</v>
      </c>
      <c r="M895" s="15" t="s">
        <v>2348</v>
      </c>
    </row>
    <row r="896" spans="7:13" ht="17.25" customHeight="1">
      <c r="G896" s="15" t="s">
        <v>2349</v>
      </c>
      <c r="M896" s="15" t="s">
        <v>2350</v>
      </c>
    </row>
    <row r="897" spans="7:13" ht="17.25" customHeight="1">
      <c r="G897" s="15" t="s">
        <v>2351</v>
      </c>
      <c r="M897" s="15" t="s">
        <v>2352</v>
      </c>
    </row>
    <row r="898" spans="7:13" ht="17.25" customHeight="1">
      <c r="G898" s="15" t="s">
        <v>2353</v>
      </c>
      <c r="M898" s="15" t="s">
        <v>2354</v>
      </c>
    </row>
    <row r="899" spans="7:13" ht="17.25" customHeight="1">
      <c r="G899" s="15" t="s">
        <v>2355</v>
      </c>
      <c r="M899" s="15" t="s">
        <v>2356</v>
      </c>
    </row>
    <row r="900" spans="7:13" ht="17.25" customHeight="1">
      <c r="G900" s="15" t="s">
        <v>2357</v>
      </c>
      <c r="M900" s="15" t="s">
        <v>2358</v>
      </c>
    </row>
    <row r="901" spans="7:13" ht="17.25" customHeight="1">
      <c r="G901" s="15" t="s">
        <v>2359</v>
      </c>
      <c r="M901" s="15" t="s">
        <v>2360</v>
      </c>
    </row>
    <row r="902" spans="7:13" ht="17.25" customHeight="1">
      <c r="G902" s="15" t="s">
        <v>2361</v>
      </c>
      <c r="M902" s="15" t="s">
        <v>2362</v>
      </c>
    </row>
    <row r="903" spans="7:13" ht="17.25" customHeight="1">
      <c r="G903" s="15" t="s">
        <v>2363</v>
      </c>
      <c r="M903" s="15" t="s">
        <v>2364</v>
      </c>
    </row>
    <row r="904" spans="7:13" ht="17.25" customHeight="1">
      <c r="G904" s="15" t="s">
        <v>2365</v>
      </c>
      <c r="M904" s="15" t="s">
        <v>2366</v>
      </c>
    </row>
    <row r="905" spans="7:13" ht="17.25" customHeight="1">
      <c r="G905" s="15" t="s">
        <v>2367</v>
      </c>
      <c r="M905" s="15" t="s">
        <v>2368</v>
      </c>
    </row>
    <row r="906" spans="7:13" ht="17.25" customHeight="1">
      <c r="G906" s="15" t="s">
        <v>2369</v>
      </c>
      <c r="M906" s="15" t="s">
        <v>2370</v>
      </c>
    </row>
    <row r="907" spans="7:13" ht="17.25" customHeight="1">
      <c r="G907" s="15" t="s">
        <v>2371</v>
      </c>
      <c r="M907" s="15" t="s">
        <v>2372</v>
      </c>
    </row>
    <row r="908" spans="7:13" ht="17.25" customHeight="1">
      <c r="G908" s="15" t="s">
        <v>2373</v>
      </c>
      <c r="M908" s="15" t="s">
        <v>2374</v>
      </c>
    </row>
    <row r="909" spans="7:13" ht="17.25" customHeight="1">
      <c r="G909" s="15" t="s">
        <v>2375</v>
      </c>
      <c r="M909" s="15" t="s">
        <v>2376</v>
      </c>
    </row>
    <row r="910" spans="7:13" ht="17.25" customHeight="1">
      <c r="G910" s="15" t="s">
        <v>2377</v>
      </c>
      <c r="M910" s="15" t="s">
        <v>2378</v>
      </c>
    </row>
    <row r="911" spans="7:13" ht="17.25" customHeight="1">
      <c r="G911" s="15" t="s">
        <v>2379</v>
      </c>
      <c r="M911" s="15" t="s">
        <v>2380</v>
      </c>
    </row>
    <row r="912" spans="7:13" ht="17.25" customHeight="1">
      <c r="G912" s="15" t="s">
        <v>2381</v>
      </c>
      <c r="M912" s="15" t="s">
        <v>2382</v>
      </c>
    </row>
    <row r="913" spans="7:13" ht="17.25" customHeight="1">
      <c r="G913" s="15" t="s">
        <v>2383</v>
      </c>
      <c r="M913" s="15" t="s">
        <v>2384</v>
      </c>
    </row>
    <row r="914" spans="7:13" ht="17.25" customHeight="1">
      <c r="G914" s="15" t="s">
        <v>2385</v>
      </c>
      <c r="M914" s="15" t="s">
        <v>2386</v>
      </c>
    </row>
    <row r="915" spans="7:13" ht="17.25" customHeight="1">
      <c r="G915" s="15" t="s">
        <v>2387</v>
      </c>
      <c r="M915" s="15" t="s">
        <v>2388</v>
      </c>
    </row>
    <row r="916" spans="7:13" ht="17.25" customHeight="1">
      <c r="G916" s="15" t="s">
        <v>2389</v>
      </c>
      <c r="M916" s="15" t="s">
        <v>2390</v>
      </c>
    </row>
    <row r="917" spans="7:13" ht="17.25" customHeight="1">
      <c r="G917" s="15" t="s">
        <v>2391</v>
      </c>
      <c r="M917" s="15" t="s">
        <v>2392</v>
      </c>
    </row>
    <row r="918" spans="7:13" ht="17.25" customHeight="1">
      <c r="G918" s="15" t="s">
        <v>2393</v>
      </c>
      <c r="M918" s="15" t="s">
        <v>2394</v>
      </c>
    </row>
    <row r="919" spans="7:13" ht="17.25" customHeight="1">
      <c r="G919" s="15" t="s">
        <v>2395</v>
      </c>
      <c r="M919" s="15" t="s">
        <v>2396</v>
      </c>
    </row>
    <row r="920" spans="7:13" ht="17.25" customHeight="1">
      <c r="G920" s="15" t="s">
        <v>2397</v>
      </c>
      <c r="M920" s="15" t="s">
        <v>2398</v>
      </c>
    </row>
    <row r="921" spans="7:13" ht="17.25" customHeight="1">
      <c r="G921" s="15" t="s">
        <v>2399</v>
      </c>
      <c r="M921" s="15" t="s">
        <v>2400</v>
      </c>
    </row>
    <row r="922" spans="7:13" ht="17.25" customHeight="1">
      <c r="G922" s="15" t="s">
        <v>2401</v>
      </c>
      <c r="M922" s="15" t="s">
        <v>2402</v>
      </c>
    </row>
    <row r="923" spans="7:13" ht="17.25" customHeight="1">
      <c r="G923" s="15" t="s">
        <v>2403</v>
      </c>
      <c r="M923" s="15" t="s">
        <v>2404</v>
      </c>
    </row>
    <row r="924" spans="7:13" ht="17.25" customHeight="1">
      <c r="G924" s="15" t="s">
        <v>2405</v>
      </c>
      <c r="M924" s="15" t="s">
        <v>2406</v>
      </c>
    </row>
    <row r="925" spans="7:13" ht="17.25" customHeight="1">
      <c r="G925" s="15" t="s">
        <v>2407</v>
      </c>
      <c r="M925" s="15" t="s">
        <v>2408</v>
      </c>
    </row>
    <row r="926" spans="7:13" ht="17.25" customHeight="1">
      <c r="G926" s="15" t="s">
        <v>2409</v>
      </c>
      <c r="M926" s="15" t="s">
        <v>2410</v>
      </c>
    </row>
    <row r="927" spans="7:13" ht="17.25" customHeight="1">
      <c r="G927" s="15" t="s">
        <v>2411</v>
      </c>
      <c r="M927" s="15" t="s">
        <v>2412</v>
      </c>
    </row>
    <row r="928" spans="7:13" ht="17.25" customHeight="1">
      <c r="G928" s="15" t="s">
        <v>2413</v>
      </c>
      <c r="M928" s="15" t="s">
        <v>2414</v>
      </c>
    </row>
    <row r="929" spans="7:13" ht="17.25" customHeight="1">
      <c r="G929" s="15" t="s">
        <v>2415</v>
      </c>
      <c r="M929" s="15" t="s">
        <v>2416</v>
      </c>
    </row>
    <row r="930" spans="7:13" ht="17.25" customHeight="1">
      <c r="G930" s="15" t="s">
        <v>2417</v>
      </c>
      <c r="M930" s="15" t="s">
        <v>2418</v>
      </c>
    </row>
    <row r="931" spans="7:13" ht="17.25" customHeight="1">
      <c r="G931" s="15" t="s">
        <v>2419</v>
      </c>
      <c r="M931" s="15" t="s">
        <v>2420</v>
      </c>
    </row>
    <row r="932" spans="7:13" ht="17.25" customHeight="1">
      <c r="G932" s="15" t="s">
        <v>2421</v>
      </c>
      <c r="M932" s="15" t="s">
        <v>2422</v>
      </c>
    </row>
    <row r="933" spans="7:13" ht="17.25" customHeight="1">
      <c r="G933" s="15" t="s">
        <v>2423</v>
      </c>
      <c r="M933" s="15" t="s">
        <v>2424</v>
      </c>
    </row>
    <row r="934" spans="7:13" ht="17.25" customHeight="1">
      <c r="G934" s="15" t="s">
        <v>2425</v>
      </c>
      <c r="M934" s="15" t="s">
        <v>2426</v>
      </c>
    </row>
    <row r="935" spans="7:13" ht="17.25" customHeight="1">
      <c r="G935" s="15" t="s">
        <v>2427</v>
      </c>
      <c r="M935" s="15" t="s">
        <v>2428</v>
      </c>
    </row>
    <row r="936" spans="7:13" ht="17.25" customHeight="1">
      <c r="G936" s="15" t="s">
        <v>2429</v>
      </c>
      <c r="M936" s="15" t="s">
        <v>2430</v>
      </c>
    </row>
    <row r="937" spans="7:13" ht="17.25" customHeight="1">
      <c r="G937" s="15" t="s">
        <v>2431</v>
      </c>
      <c r="M937" s="15" t="s">
        <v>2432</v>
      </c>
    </row>
    <row r="938" spans="7:13" ht="17.25" customHeight="1">
      <c r="G938" s="15" t="s">
        <v>2433</v>
      </c>
      <c r="M938" s="15" t="s">
        <v>2434</v>
      </c>
    </row>
    <row r="939" spans="7:13" ht="17.25" customHeight="1">
      <c r="G939" s="15" t="s">
        <v>2435</v>
      </c>
      <c r="M939" s="15" t="s">
        <v>2436</v>
      </c>
    </row>
    <row r="940" spans="7:13" ht="17.25" customHeight="1">
      <c r="G940" s="15" t="s">
        <v>2437</v>
      </c>
      <c r="M940" s="15" t="s">
        <v>2438</v>
      </c>
    </row>
    <row r="941" spans="7:13" ht="17.25" customHeight="1">
      <c r="G941" s="15" t="s">
        <v>2439</v>
      </c>
      <c r="M941" s="15" t="s">
        <v>2440</v>
      </c>
    </row>
    <row r="942" spans="7:13" ht="17.25" customHeight="1">
      <c r="G942" s="15" t="s">
        <v>2441</v>
      </c>
      <c r="M942" s="15" t="s">
        <v>2442</v>
      </c>
    </row>
    <row r="943" spans="7:13" ht="17.25" customHeight="1">
      <c r="G943" s="15" t="s">
        <v>2443</v>
      </c>
      <c r="M943" s="15" t="s">
        <v>2444</v>
      </c>
    </row>
    <row r="944" spans="7:13" ht="17.25" customHeight="1">
      <c r="G944" s="15" t="s">
        <v>2445</v>
      </c>
      <c r="M944" s="15" t="s">
        <v>2446</v>
      </c>
    </row>
    <row r="945" spans="7:13" ht="17.25" customHeight="1">
      <c r="G945" s="15" t="s">
        <v>2447</v>
      </c>
      <c r="M945" s="15" t="s">
        <v>2448</v>
      </c>
    </row>
    <row r="946" spans="7:13" ht="17.25" customHeight="1">
      <c r="G946" s="15" t="s">
        <v>2449</v>
      </c>
      <c r="M946" s="15" t="s">
        <v>2450</v>
      </c>
    </row>
    <row r="947" spans="7:13" ht="17.25" customHeight="1">
      <c r="G947" s="15" t="s">
        <v>2451</v>
      </c>
      <c r="M947" s="15" t="s">
        <v>2452</v>
      </c>
    </row>
    <row r="948" spans="7:13" ht="17.25" customHeight="1">
      <c r="G948" s="15" t="s">
        <v>2453</v>
      </c>
      <c r="M948" s="15" t="s">
        <v>2454</v>
      </c>
    </row>
    <row r="949" spans="7:13" ht="17.25" customHeight="1">
      <c r="G949" s="15" t="s">
        <v>2455</v>
      </c>
      <c r="M949" s="15" t="s">
        <v>2456</v>
      </c>
    </row>
    <row r="950" spans="7:13" ht="17.25" customHeight="1">
      <c r="G950" s="15" t="s">
        <v>2457</v>
      </c>
      <c r="M950" s="15" t="s">
        <v>2458</v>
      </c>
    </row>
    <row r="951" spans="7:13" ht="17.25" customHeight="1">
      <c r="G951" s="15" t="s">
        <v>2459</v>
      </c>
      <c r="M951" s="15" t="s">
        <v>2460</v>
      </c>
    </row>
    <row r="952" spans="7:13" ht="17.25" customHeight="1">
      <c r="G952" s="15" t="s">
        <v>2461</v>
      </c>
      <c r="M952" s="15" t="s">
        <v>2462</v>
      </c>
    </row>
    <row r="953" spans="7:13" ht="17.25" customHeight="1">
      <c r="G953" s="15" t="s">
        <v>2463</v>
      </c>
      <c r="M953" s="15" t="s">
        <v>2464</v>
      </c>
    </row>
    <row r="954" spans="7:13" ht="17.25" customHeight="1">
      <c r="G954" s="15" t="s">
        <v>2465</v>
      </c>
      <c r="M954" s="15" t="s">
        <v>2466</v>
      </c>
    </row>
    <row r="955" spans="7:13" ht="17.25" customHeight="1">
      <c r="G955" s="15" t="s">
        <v>2467</v>
      </c>
      <c r="M955" s="15" t="s">
        <v>2468</v>
      </c>
    </row>
    <row r="956" spans="7:13" ht="17.25" customHeight="1">
      <c r="G956" s="15" t="s">
        <v>2469</v>
      </c>
      <c r="M956" s="15" t="s">
        <v>2470</v>
      </c>
    </row>
    <row r="957" spans="7:13" ht="17.25" customHeight="1">
      <c r="G957" s="15" t="s">
        <v>2471</v>
      </c>
      <c r="M957" s="15" t="s">
        <v>2472</v>
      </c>
    </row>
    <row r="958" spans="7:13" ht="17.25" customHeight="1">
      <c r="G958" s="15" t="s">
        <v>2473</v>
      </c>
      <c r="M958" s="15" t="s">
        <v>2474</v>
      </c>
    </row>
    <row r="959" spans="7:13" ht="17.25" customHeight="1">
      <c r="G959" s="15" t="s">
        <v>2475</v>
      </c>
      <c r="M959" s="15" t="s">
        <v>2476</v>
      </c>
    </row>
    <row r="960" spans="7:13" ht="17.25" customHeight="1">
      <c r="G960" s="15" t="s">
        <v>2477</v>
      </c>
      <c r="M960" s="15" t="s">
        <v>2478</v>
      </c>
    </row>
    <row r="961" spans="7:13" ht="17.25" customHeight="1">
      <c r="G961" s="15" t="s">
        <v>2479</v>
      </c>
      <c r="M961" s="15" t="s">
        <v>2480</v>
      </c>
    </row>
    <row r="962" spans="7:13" ht="17.25" customHeight="1">
      <c r="G962" s="15" t="s">
        <v>2481</v>
      </c>
      <c r="M962" s="15" t="s">
        <v>2482</v>
      </c>
    </row>
    <row r="963" spans="7:13" ht="17.25" customHeight="1">
      <c r="G963" s="15" t="s">
        <v>2483</v>
      </c>
      <c r="M963" s="15" t="s">
        <v>2484</v>
      </c>
    </row>
    <row r="964" spans="7:13" ht="17.25" customHeight="1">
      <c r="G964" s="15" t="s">
        <v>2485</v>
      </c>
      <c r="M964" s="15" t="s">
        <v>2486</v>
      </c>
    </row>
    <row r="965" spans="7:13" ht="17.25" customHeight="1">
      <c r="G965" s="15" t="s">
        <v>2487</v>
      </c>
      <c r="M965" s="15" t="s">
        <v>2488</v>
      </c>
    </row>
    <row r="966" spans="7:13" ht="17.25" customHeight="1">
      <c r="G966" s="15" t="s">
        <v>2489</v>
      </c>
      <c r="M966" s="15" t="s">
        <v>2490</v>
      </c>
    </row>
    <row r="967" spans="7:13" ht="17.25" customHeight="1">
      <c r="G967" s="15" t="s">
        <v>2491</v>
      </c>
      <c r="M967" s="15" t="s">
        <v>2492</v>
      </c>
    </row>
    <row r="968" spans="7:13" ht="17.25" customHeight="1">
      <c r="G968" s="15" t="s">
        <v>2493</v>
      </c>
      <c r="M968" s="15" t="s">
        <v>2494</v>
      </c>
    </row>
    <row r="969" spans="7:13" ht="17.25" customHeight="1">
      <c r="G969" s="15" t="s">
        <v>2495</v>
      </c>
      <c r="M969" s="15" t="s">
        <v>2496</v>
      </c>
    </row>
    <row r="970" spans="7:13" ht="17.25" customHeight="1">
      <c r="G970" s="15" t="s">
        <v>2497</v>
      </c>
      <c r="M970" s="15" t="s">
        <v>2498</v>
      </c>
    </row>
    <row r="971" spans="7:13" ht="17.25" customHeight="1">
      <c r="G971" s="15" t="s">
        <v>2499</v>
      </c>
      <c r="M971" s="15" t="s">
        <v>2500</v>
      </c>
    </row>
    <row r="972" spans="7:13" ht="17.25" customHeight="1">
      <c r="G972" s="15" t="s">
        <v>2501</v>
      </c>
      <c r="M972" s="15" t="s">
        <v>2502</v>
      </c>
    </row>
    <row r="973" spans="7:13" ht="17.25" customHeight="1">
      <c r="G973" s="15" t="s">
        <v>2503</v>
      </c>
      <c r="M973" s="15" t="s">
        <v>2504</v>
      </c>
    </row>
    <row r="974" spans="7:13" ht="17.25" customHeight="1">
      <c r="G974" s="15" t="s">
        <v>2505</v>
      </c>
      <c r="M974" s="15" t="s">
        <v>2506</v>
      </c>
    </row>
    <row r="975" spans="7:13" ht="17.25" customHeight="1">
      <c r="G975" s="15" t="s">
        <v>2507</v>
      </c>
      <c r="M975" s="15" t="s">
        <v>2508</v>
      </c>
    </row>
    <row r="976" spans="7:13" ht="17.25" customHeight="1">
      <c r="G976" s="15" t="s">
        <v>2509</v>
      </c>
      <c r="M976" s="15" t="s">
        <v>2510</v>
      </c>
    </row>
    <row r="977" spans="7:13" ht="17.25" customHeight="1">
      <c r="G977" s="15" t="s">
        <v>2511</v>
      </c>
      <c r="M977" s="15" t="s">
        <v>2512</v>
      </c>
    </row>
    <row r="978" spans="7:13" ht="17.25" customHeight="1">
      <c r="G978" s="15" t="s">
        <v>2513</v>
      </c>
      <c r="M978" s="15" t="s">
        <v>2514</v>
      </c>
    </row>
    <row r="979" spans="7:13" ht="17.25" customHeight="1">
      <c r="G979" s="15" t="s">
        <v>2515</v>
      </c>
      <c r="M979" s="15" t="s">
        <v>2516</v>
      </c>
    </row>
    <row r="980" spans="7:13" ht="17.25" customHeight="1">
      <c r="G980" s="15" t="s">
        <v>2517</v>
      </c>
      <c r="M980" s="15" t="s">
        <v>2518</v>
      </c>
    </row>
    <row r="981" spans="7:13" ht="17.25" customHeight="1">
      <c r="G981" s="15" t="s">
        <v>2519</v>
      </c>
      <c r="M981" s="15" t="s">
        <v>2520</v>
      </c>
    </row>
    <row r="982" spans="7:13" ht="17.25" customHeight="1">
      <c r="G982" s="15" t="s">
        <v>2521</v>
      </c>
      <c r="M982" s="15" t="s">
        <v>2522</v>
      </c>
    </row>
    <row r="983" spans="7:13" ht="17.25" customHeight="1">
      <c r="G983" s="15" t="s">
        <v>2523</v>
      </c>
      <c r="M983" s="15" t="s">
        <v>2524</v>
      </c>
    </row>
    <row r="984" spans="7:13" ht="17.25" customHeight="1">
      <c r="G984" s="15" t="s">
        <v>2525</v>
      </c>
      <c r="M984" s="15" t="s">
        <v>2526</v>
      </c>
    </row>
    <row r="985" spans="7:13" ht="17.25" customHeight="1">
      <c r="G985" s="15" t="s">
        <v>2527</v>
      </c>
      <c r="M985" s="15" t="s">
        <v>2528</v>
      </c>
    </row>
    <row r="986" spans="7:13" ht="17.25" customHeight="1">
      <c r="G986" s="15" t="s">
        <v>2529</v>
      </c>
      <c r="M986" s="15" t="s">
        <v>2530</v>
      </c>
    </row>
    <row r="987" spans="7:13" ht="17.25" customHeight="1">
      <c r="G987" s="15" t="s">
        <v>2531</v>
      </c>
      <c r="M987" s="15" t="s">
        <v>2532</v>
      </c>
    </row>
    <row r="988" spans="7:13" ht="17.25" customHeight="1">
      <c r="G988" s="15" t="s">
        <v>2533</v>
      </c>
      <c r="M988" s="15" t="s">
        <v>2534</v>
      </c>
    </row>
    <row r="989" spans="7:13" ht="17.25" customHeight="1">
      <c r="G989" s="15" t="s">
        <v>2535</v>
      </c>
      <c r="M989" s="15" t="s">
        <v>2536</v>
      </c>
    </row>
    <row r="990" spans="7:13" ht="17.25" customHeight="1">
      <c r="G990" s="15" t="s">
        <v>2537</v>
      </c>
      <c r="M990" s="15" t="s">
        <v>2538</v>
      </c>
    </row>
    <row r="991" spans="7:13" ht="17.25" customHeight="1">
      <c r="G991" s="15" t="s">
        <v>2539</v>
      </c>
      <c r="M991" s="15" t="s">
        <v>2540</v>
      </c>
    </row>
    <row r="992" spans="7:13" ht="17.25" customHeight="1">
      <c r="G992" s="15" t="s">
        <v>2541</v>
      </c>
      <c r="M992" s="15" t="s">
        <v>2542</v>
      </c>
    </row>
    <row r="993" spans="7:13" ht="17.25" customHeight="1">
      <c r="G993" s="15" t="s">
        <v>2543</v>
      </c>
      <c r="M993" s="15" t="s">
        <v>2544</v>
      </c>
    </row>
    <row r="994" spans="7:13" ht="17.25" customHeight="1">
      <c r="G994" s="15" t="s">
        <v>2545</v>
      </c>
      <c r="M994" s="15" t="s">
        <v>2546</v>
      </c>
    </row>
    <row r="995" spans="7:13" ht="17.25" customHeight="1">
      <c r="G995" s="15" t="s">
        <v>2547</v>
      </c>
      <c r="M995" s="15" t="s">
        <v>2548</v>
      </c>
    </row>
    <row r="996" spans="7:13" ht="17.25" customHeight="1">
      <c r="G996" s="15" t="s">
        <v>2549</v>
      </c>
      <c r="M996" s="15" t="s">
        <v>2550</v>
      </c>
    </row>
    <row r="997" spans="7:13" ht="17.25" customHeight="1">
      <c r="G997" s="15" t="s">
        <v>2551</v>
      </c>
      <c r="M997" s="15" t="s">
        <v>2552</v>
      </c>
    </row>
    <row r="998" spans="7:13" ht="17.25" customHeight="1">
      <c r="G998" s="15" t="s">
        <v>2553</v>
      </c>
      <c r="M998" s="15" t="s">
        <v>2554</v>
      </c>
    </row>
    <row r="999" spans="7:13" ht="17.25" customHeight="1">
      <c r="G999" s="15" t="s">
        <v>2555</v>
      </c>
      <c r="M999" s="15" t="s">
        <v>2556</v>
      </c>
    </row>
    <row r="1000" spans="7:13" ht="17.25" customHeight="1">
      <c r="G1000" s="15" t="s">
        <v>2557</v>
      </c>
      <c r="M1000" s="15" t="s">
        <v>2558</v>
      </c>
    </row>
    <row r="1001" spans="7:13" ht="17.25" customHeight="1">
      <c r="G1001" s="15" t="s">
        <v>2559</v>
      </c>
      <c r="M1001" s="15" t="s">
        <v>2560</v>
      </c>
    </row>
    <row r="1002" spans="7:13" ht="17.25" customHeight="1">
      <c r="G1002" s="15" t="s">
        <v>2561</v>
      </c>
      <c r="M1002" s="15" t="s">
        <v>2562</v>
      </c>
    </row>
    <row r="1003" spans="7:13" ht="17.25" customHeight="1">
      <c r="G1003" s="15" t="s">
        <v>2563</v>
      </c>
      <c r="M1003" s="15" t="s">
        <v>2564</v>
      </c>
    </row>
    <row r="1004" spans="7:13" ht="17.25" customHeight="1">
      <c r="G1004" s="15" t="s">
        <v>2565</v>
      </c>
      <c r="M1004" s="15" t="s">
        <v>2566</v>
      </c>
    </row>
    <row r="1005" spans="7:13" ht="17.25" customHeight="1">
      <c r="G1005" s="15" t="s">
        <v>2567</v>
      </c>
      <c r="M1005" s="15" t="s">
        <v>2568</v>
      </c>
    </row>
    <row r="1006" spans="7:13" ht="17.25" customHeight="1">
      <c r="G1006" s="15" t="s">
        <v>2569</v>
      </c>
      <c r="M1006" s="15" t="s">
        <v>2570</v>
      </c>
    </row>
    <row r="1007" spans="7:13" ht="17.25" customHeight="1">
      <c r="G1007" s="15" t="s">
        <v>2571</v>
      </c>
      <c r="M1007" s="15" t="s">
        <v>2572</v>
      </c>
    </row>
    <row r="1008" spans="7:13" ht="17.25" customHeight="1">
      <c r="G1008" s="15" t="s">
        <v>2573</v>
      </c>
      <c r="M1008" s="15" t="s">
        <v>2574</v>
      </c>
    </row>
    <row r="1009" spans="7:13" ht="17.25" customHeight="1">
      <c r="G1009" s="15" t="s">
        <v>2575</v>
      </c>
      <c r="M1009" s="15" t="s">
        <v>2576</v>
      </c>
    </row>
    <row r="1010" spans="7:13" ht="17.25" customHeight="1">
      <c r="G1010" s="15" t="s">
        <v>2577</v>
      </c>
      <c r="M1010" s="15" t="s">
        <v>2578</v>
      </c>
    </row>
    <row r="1011" spans="7:13" ht="17.25" customHeight="1">
      <c r="G1011" s="15" t="s">
        <v>2579</v>
      </c>
      <c r="M1011" s="15" t="s">
        <v>2580</v>
      </c>
    </row>
    <row r="1012" spans="7:13" ht="17.25" customHeight="1">
      <c r="G1012" s="15" t="s">
        <v>2581</v>
      </c>
      <c r="M1012" s="15" t="s">
        <v>2582</v>
      </c>
    </row>
    <row r="1013" spans="7:13" ht="17.25" customHeight="1">
      <c r="G1013" s="15" t="s">
        <v>2583</v>
      </c>
      <c r="M1013" s="15" t="s">
        <v>2584</v>
      </c>
    </row>
    <row r="1014" spans="7:13" ht="17.25" customHeight="1">
      <c r="G1014" s="15" t="s">
        <v>2585</v>
      </c>
      <c r="M1014" s="15" t="s">
        <v>2586</v>
      </c>
    </row>
    <row r="1015" spans="7:13" ht="17.25" customHeight="1">
      <c r="G1015" s="15" t="s">
        <v>2587</v>
      </c>
      <c r="M1015" s="15" t="s">
        <v>2588</v>
      </c>
    </row>
    <row r="1016" spans="7:13" ht="17.25" customHeight="1">
      <c r="G1016" s="15" t="s">
        <v>2589</v>
      </c>
      <c r="M1016" s="15" t="s">
        <v>2590</v>
      </c>
    </row>
    <row r="1017" spans="7:13" ht="17.25" customHeight="1">
      <c r="G1017" s="15" t="s">
        <v>2591</v>
      </c>
      <c r="M1017" s="15" t="s">
        <v>2592</v>
      </c>
    </row>
    <row r="1018" spans="7:13" ht="17.25" customHeight="1">
      <c r="G1018" s="15" t="s">
        <v>2593</v>
      </c>
      <c r="M1018" s="15" t="s">
        <v>2594</v>
      </c>
    </row>
    <row r="1019" spans="7:13" ht="17.25" customHeight="1">
      <c r="G1019" s="15" t="s">
        <v>2595</v>
      </c>
      <c r="M1019" s="15" t="s">
        <v>2596</v>
      </c>
    </row>
    <row r="1020" spans="7:13" ht="17.25" customHeight="1">
      <c r="G1020" s="15" t="s">
        <v>2597</v>
      </c>
      <c r="M1020" s="15" t="s">
        <v>2598</v>
      </c>
    </row>
    <row r="1021" spans="7:13" ht="17.25" customHeight="1">
      <c r="G1021" s="15" t="s">
        <v>2599</v>
      </c>
      <c r="M1021" s="15" t="s">
        <v>2600</v>
      </c>
    </row>
    <row r="1022" spans="7:13" ht="17.25" customHeight="1">
      <c r="G1022" s="15" t="s">
        <v>2601</v>
      </c>
      <c r="M1022" s="15" t="s">
        <v>2602</v>
      </c>
    </row>
    <row r="1023" spans="7:13" ht="17.25" customHeight="1">
      <c r="G1023" s="15" t="s">
        <v>2603</v>
      </c>
      <c r="M1023" s="15" t="s">
        <v>2604</v>
      </c>
    </row>
    <row r="1024" spans="7:13" ht="17.25" customHeight="1">
      <c r="G1024" s="15" t="s">
        <v>2605</v>
      </c>
      <c r="M1024" s="15" t="s">
        <v>2606</v>
      </c>
    </row>
    <row r="1025" spans="7:13" ht="17.25" customHeight="1">
      <c r="G1025" s="15" t="s">
        <v>2607</v>
      </c>
      <c r="M1025" s="15" t="s">
        <v>2608</v>
      </c>
    </row>
    <row r="1026" spans="7:13" ht="17.25" customHeight="1">
      <c r="G1026" s="15" t="s">
        <v>2609</v>
      </c>
      <c r="M1026" s="15" t="s">
        <v>2610</v>
      </c>
    </row>
    <row r="1027" spans="7:13" ht="17.25" customHeight="1">
      <c r="G1027" s="15" t="s">
        <v>2611</v>
      </c>
      <c r="M1027" s="15" t="s">
        <v>2612</v>
      </c>
    </row>
    <row r="1028" spans="7:13" ht="17.25" customHeight="1">
      <c r="G1028" s="15" t="s">
        <v>2613</v>
      </c>
      <c r="M1028" s="15" t="s">
        <v>2614</v>
      </c>
    </row>
    <row r="1029" spans="7:13" ht="17.25" customHeight="1">
      <c r="G1029" s="15" t="s">
        <v>2615</v>
      </c>
      <c r="M1029" s="15" t="s">
        <v>2616</v>
      </c>
    </row>
    <row r="1030" spans="7:13" ht="17.25" customHeight="1">
      <c r="G1030" s="15" t="s">
        <v>2617</v>
      </c>
      <c r="M1030" s="15" t="s">
        <v>2618</v>
      </c>
    </row>
    <row r="1031" spans="7:13" ht="17.25" customHeight="1">
      <c r="G1031" s="15" t="s">
        <v>2619</v>
      </c>
      <c r="M1031" s="15" t="s">
        <v>2620</v>
      </c>
    </row>
    <row r="1032" spans="7:13" ht="17.25" customHeight="1">
      <c r="G1032" s="15" t="s">
        <v>2621</v>
      </c>
      <c r="M1032" s="15" t="s">
        <v>2622</v>
      </c>
    </row>
    <row r="1033" spans="7:13" ht="17.25" customHeight="1">
      <c r="G1033" s="15" t="s">
        <v>2623</v>
      </c>
      <c r="M1033" s="15" t="s">
        <v>2624</v>
      </c>
    </row>
    <row r="1034" spans="7:13" ht="17.25" customHeight="1">
      <c r="G1034" s="15" t="s">
        <v>2625</v>
      </c>
      <c r="M1034" s="15" t="s">
        <v>2626</v>
      </c>
    </row>
    <row r="1035" spans="7:13" ht="17.25" customHeight="1">
      <c r="G1035" s="15" t="s">
        <v>2627</v>
      </c>
      <c r="M1035" s="15" t="s">
        <v>2628</v>
      </c>
    </row>
    <row r="1036" spans="7:13" ht="17.25" customHeight="1">
      <c r="G1036" s="15" t="s">
        <v>2629</v>
      </c>
      <c r="M1036" s="15" t="s">
        <v>2630</v>
      </c>
    </row>
    <row r="1037" spans="7:13" ht="17.25" customHeight="1">
      <c r="G1037" s="15" t="s">
        <v>2631</v>
      </c>
      <c r="M1037" s="15" t="s">
        <v>2632</v>
      </c>
    </row>
    <row r="1038" spans="7:13" ht="17.25" customHeight="1">
      <c r="G1038" s="15" t="s">
        <v>2633</v>
      </c>
      <c r="M1038" s="15" t="s">
        <v>2634</v>
      </c>
    </row>
    <row r="1039" spans="7:13" ht="17.25" customHeight="1">
      <c r="G1039" s="15" t="s">
        <v>2635</v>
      </c>
      <c r="M1039" s="15" t="s">
        <v>2636</v>
      </c>
    </row>
    <row r="1040" spans="7:13" ht="17.25" customHeight="1">
      <c r="G1040" s="15" t="s">
        <v>2637</v>
      </c>
      <c r="M1040" s="15" t="s">
        <v>2638</v>
      </c>
    </row>
    <row r="1041" spans="7:13" ht="17.25" customHeight="1">
      <c r="G1041" s="15" t="s">
        <v>2639</v>
      </c>
      <c r="M1041" s="15" t="s">
        <v>2640</v>
      </c>
    </row>
    <row r="1042" spans="7:13" ht="17.25" customHeight="1">
      <c r="G1042" s="15" t="s">
        <v>2641</v>
      </c>
      <c r="M1042" s="15" t="s">
        <v>2642</v>
      </c>
    </row>
    <row r="1043" spans="7:13" ht="17.25" customHeight="1">
      <c r="G1043" s="15" t="s">
        <v>2643</v>
      </c>
      <c r="M1043" s="15" t="s">
        <v>2644</v>
      </c>
    </row>
    <row r="1044" spans="7:13" ht="17.25" customHeight="1">
      <c r="G1044" s="15" t="s">
        <v>2645</v>
      </c>
      <c r="M1044" s="15" t="s">
        <v>2646</v>
      </c>
    </row>
    <row r="1045" spans="7:13" ht="17.25" customHeight="1">
      <c r="G1045" s="15" t="s">
        <v>2647</v>
      </c>
      <c r="M1045" s="15" t="s">
        <v>2648</v>
      </c>
    </row>
    <row r="1046" spans="7:13" ht="17.25" customHeight="1">
      <c r="G1046" s="15" t="s">
        <v>2649</v>
      </c>
      <c r="M1046" s="15" t="s">
        <v>2650</v>
      </c>
    </row>
    <row r="1047" spans="7:13" ht="17.25" customHeight="1">
      <c r="G1047" s="15" t="s">
        <v>2651</v>
      </c>
      <c r="M1047" s="15" t="s">
        <v>2652</v>
      </c>
    </row>
    <row r="1048" spans="7:13" ht="17.25" customHeight="1">
      <c r="G1048" s="15" t="s">
        <v>2653</v>
      </c>
      <c r="M1048" s="15" t="s">
        <v>2654</v>
      </c>
    </row>
    <row r="1049" spans="7:13" ht="17.25" customHeight="1">
      <c r="G1049" s="15" t="s">
        <v>2655</v>
      </c>
      <c r="M1049" s="15" t="s">
        <v>2656</v>
      </c>
    </row>
    <row r="1050" spans="7:13" ht="17.25" customHeight="1">
      <c r="G1050" s="15" t="s">
        <v>2657</v>
      </c>
      <c r="M1050" s="15" t="s">
        <v>2658</v>
      </c>
    </row>
    <row r="1051" spans="7:13" ht="17.25" customHeight="1">
      <c r="G1051" s="15" t="s">
        <v>2659</v>
      </c>
      <c r="M1051" s="15" t="s">
        <v>2660</v>
      </c>
    </row>
    <row r="1052" spans="7:13" ht="17.25" customHeight="1">
      <c r="G1052" s="15" t="s">
        <v>2661</v>
      </c>
      <c r="M1052" s="15" t="s">
        <v>2662</v>
      </c>
    </row>
    <row r="1053" spans="7:13" ht="17.25" customHeight="1">
      <c r="G1053" s="15" t="s">
        <v>2663</v>
      </c>
      <c r="M1053" s="15" t="s">
        <v>2664</v>
      </c>
    </row>
    <row r="1054" spans="7:13" ht="17.25" customHeight="1">
      <c r="G1054" s="15" t="s">
        <v>2665</v>
      </c>
      <c r="M1054" s="15" t="s">
        <v>2666</v>
      </c>
    </row>
    <row r="1055" spans="7:13" ht="17.25" customHeight="1">
      <c r="G1055" s="15" t="s">
        <v>2667</v>
      </c>
      <c r="M1055" s="15" t="s">
        <v>2668</v>
      </c>
    </row>
    <row r="1056" spans="7:13" ht="17.25" customHeight="1">
      <c r="G1056" s="15" t="s">
        <v>2669</v>
      </c>
      <c r="M1056" s="15" t="s">
        <v>2670</v>
      </c>
    </row>
    <row r="1057" spans="7:13" ht="17.25" customHeight="1">
      <c r="G1057" s="15" t="s">
        <v>2671</v>
      </c>
      <c r="M1057" s="15" t="s">
        <v>2672</v>
      </c>
    </row>
    <row r="1058" spans="7:13" ht="17.25" customHeight="1">
      <c r="G1058" s="15" t="s">
        <v>2673</v>
      </c>
      <c r="M1058" s="15" t="s">
        <v>2674</v>
      </c>
    </row>
    <row r="1059" spans="7:13" ht="17.25" customHeight="1">
      <c r="G1059" s="15" t="s">
        <v>2675</v>
      </c>
      <c r="M1059" s="15" t="s">
        <v>2676</v>
      </c>
    </row>
    <row r="1060" spans="7:13" ht="17.25" customHeight="1">
      <c r="G1060" s="15" t="s">
        <v>2677</v>
      </c>
      <c r="M1060" s="15" t="s">
        <v>2678</v>
      </c>
    </row>
    <row r="1061" spans="7:13" ht="17.25" customHeight="1">
      <c r="G1061" s="15" t="s">
        <v>2679</v>
      </c>
      <c r="M1061" s="15" t="s">
        <v>2680</v>
      </c>
    </row>
    <row r="1062" spans="7:13" ht="17.25" customHeight="1">
      <c r="G1062" s="15" t="s">
        <v>2681</v>
      </c>
      <c r="M1062" s="15" t="s">
        <v>2682</v>
      </c>
    </row>
    <row r="1063" spans="7:13" ht="17.25" customHeight="1">
      <c r="G1063" s="15" t="s">
        <v>2683</v>
      </c>
      <c r="M1063" s="15" t="s">
        <v>2684</v>
      </c>
    </row>
    <row r="1064" spans="7:13" ht="17.25" customHeight="1">
      <c r="G1064" s="15" t="s">
        <v>2685</v>
      </c>
      <c r="M1064" s="15" t="s">
        <v>2686</v>
      </c>
    </row>
    <row r="1065" spans="7:13" ht="17.25" customHeight="1">
      <c r="G1065" s="15" t="s">
        <v>2687</v>
      </c>
      <c r="M1065" s="15" t="s">
        <v>2688</v>
      </c>
    </row>
    <row r="1066" spans="7:13" ht="17.25" customHeight="1">
      <c r="G1066" s="15" t="s">
        <v>2689</v>
      </c>
      <c r="M1066" s="15" t="s">
        <v>2690</v>
      </c>
    </row>
    <row r="1067" spans="7:13" ht="17.25" customHeight="1">
      <c r="G1067" s="15" t="s">
        <v>2691</v>
      </c>
      <c r="M1067" s="15" t="s">
        <v>2692</v>
      </c>
    </row>
    <row r="1068" spans="7:13" ht="17.25" customHeight="1">
      <c r="G1068" s="15" t="s">
        <v>2693</v>
      </c>
      <c r="M1068" s="15" t="s">
        <v>2694</v>
      </c>
    </row>
    <row r="1069" spans="7:13" ht="17.25" customHeight="1">
      <c r="G1069" s="15" t="s">
        <v>2695</v>
      </c>
      <c r="M1069" s="15" t="s">
        <v>2696</v>
      </c>
    </row>
    <row r="1070" spans="7:13" ht="17.25" customHeight="1">
      <c r="G1070" s="15" t="s">
        <v>2697</v>
      </c>
      <c r="M1070" s="15" t="s">
        <v>2698</v>
      </c>
    </row>
    <row r="1071" spans="7:13" ht="17.25" customHeight="1">
      <c r="G1071" s="15" t="s">
        <v>2699</v>
      </c>
      <c r="M1071" s="15" t="s">
        <v>2700</v>
      </c>
    </row>
    <row r="1072" spans="7:13" ht="17.25" customHeight="1">
      <c r="G1072" s="15" t="s">
        <v>2701</v>
      </c>
      <c r="M1072" s="15" t="s">
        <v>2702</v>
      </c>
    </row>
    <row r="1073" spans="7:13" ht="17.25" customHeight="1">
      <c r="G1073" s="15" t="s">
        <v>2703</v>
      </c>
      <c r="M1073" s="15" t="s">
        <v>2704</v>
      </c>
    </row>
    <row r="1074" spans="7:13" ht="17.25" customHeight="1">
      <c r="G1074" s="15" t="s">
        <v>2705</v>
      </c>
      <c r="M1074" s="15" t="s">
        <v>2706</v>
      </c>
    </row>
    <row r="1075" spans="7:13" ht="17.25" customHeight="1">
      <c r="G1075" s="15" t="s">
        <v>2707</v>
      </c>
      <c r="M1075" s="15" t="s">
        <v>2708</v>
      </c>
    </row>
    <row r="1076" spans="7:13" ht="17.25" customHeight="1">
      <c r="G1076" s="15" t="s">
        <v>2709</v>
      </c>
      <c r="M1076" s="15" t="s">
        <v>2710</v>
      </c>
    </row>
    <row r="1077" spans="7:13" ht="17.25" customHeight="1">
      <c r="G1077" s="15" t="s">
        <v>2711</v>
      </c>
      <c r="M1077" s="15" t="s">
        <v>2712</v>
      </c>
    </row>
    <row r="1078" spans="7:13" ht="17.25" customHeight="1">
      <c r="G1078" s="15" t="s">
        <v>2713</v>
      </c>
      <c r="M1078" s="15" t="s">
        <v>2714</v>
      </c>
    </row>
    <row r="1079" spans="7:13" ht="17.25" customHeight="1">
      <c r="G1079" s="15" t="s">
        <v>2715</v>
      </c>
      <c r="M1079" s="15" t="s">
        <v>2716</v>
      </c>
    </row>
    <row r="1080" spans="7:13" ht="17.25" customHeight="1">
      <c r="G1080" s="15" t="s">
        <v>2717</v>
      </c>
      <c r="M1080" s="15" t="s">
        <v>2718</v>
      </c>
    </row>
    <row r="1081" spans="7:13" ht="17.25" customHeight="1">
      <c r="G1081" s="15" t="s">
        <v>2719</v>
      </c>
      <c r="M1081" s="15" t="s">
        <v>2720</v>
      </c>
    </row>
    <row r="1082" spans="7:13" ht="17.25" customHeight="1">
      <c r="G1082" s="15" t="s">
        <v>2721</v>
      </c>
      <c r="M1082" s="15" t="s">
        <v>2722</v>
      </c>
    </row>
    <row r="1083" spans="7:13" ht="17.25" customHeight="1">
      <c r="G1083" s="15" t="s">
        <v>2723</v>
      </c>
      <c r="M1083" s="15" t="s">
        <v>2724</v>
      </c>
    </row>
    <row r="1084" spans="7:13" ht="17.25" customHeight="1">
      <c r="G1084" s="15" t="s">
        <v>2725</v>
      </c>
      <c r="M1084" s="15" t="s">
        <v>2726</v>
      </c>
    </row>
    <row r="1085" spans="7:13" ht="17.25" customHeight="1">
      <c r="G1085" s="15" t="s">
        <v>2727</v>
      </c>
      <c r="M1085" s="15" t="s">
        <v>2728</v>
      </c>
    </row>
    <row r="1086" spans="7:13" ht="17.25" customHeight="1">
      <c r="G1086" s="15" t="s">
        <v>2729</v>
      </c>
      <c r="M1086" s="15" t="s">
        <v>2730</v>
      </c>
    </row>
    <row r="1087" spans="7:13" ht="17.25" customHeight="1">
      <c r="G1087" s="15" t="s">
        <v>2731</v>
      </c>
      <c r="M1087" s="15" t="s">
        <v>2732</v>
      </c>
    </row>
    <row r="1088" spans="7:13" ht="17.25" customHeight="1">
      <c r="G1088" s="15" t="s">
        <v>2733</v>
      </c>
      <c r="M1088" s="15" t="s">
        <v>2734</v>
      </c>
    </row>
    <row r="1089" spans="7:13" ht="17.25" customHeight="1">
      <c r="G1089" s="15" t="s">
        <v>2735</v>
      </c>
      <c r="M1089" s="15" t="s">
        <v>2736</v>
      </c>
    </row>
    <row r="1090" spans="7:13" ht="17.25" customHeight="1">
      <c r="G1090" s="15" t="s">
        <v>2737</v>
      </c>
      <c r="M1090" s="15" t="s">
        <v>2738</v>
      </c>
    </row>
    <row r="1091" spans="7:13" ht="17.25" customHeight="1">
      <c r="G1091" s="15" t="s">
        <v>2739</v>
      </c>
      <c r="M1091" s="15" t="s">
        <v>2740</v>
      </c>
    </row>
    <row r="1092" spans="7:13" ht="17.25" customHeight="1">
      <c r="G1092" s="15" t="s">
        <v>2741</v>
      </c>
      <c r="M1092" s="15" t="s">
        <v>2742</v>
      </c>
    </row>
    <row r="1093" spans="7:13" ht="17.25" customHeight="1">
      <c r="G1093" s="15" t="s">
        <v>2743</v>
      </c>
      <c r="M1093" s="15" t="s">
        <v>2744</v>
      </c>
    </row>
    <row r="1094" spans="7:13" ht="17.25" customHeight="1">
      <c r="G1094" s="15" t="s">
        <v>2745</v>
      </c>
      <c r="M1094" s="15" t="s">
        <v>2746</v>
      </c>
    </row>
    <row r="1095" spans="7:13" ht="17.25" customHeight="1">
      <c r="G1095" s="15" t="s">
        <v>2747</v>
      </c>
      <c r="M1095" s="15" t="s">
        <v>2748</v>
      </c>
    </row>
    <row r="1096" spans="7:13" ht="17.25" customHeight="1">
      <c r="G1096" s="15" t="s">
        <v>2749</v>
      </c>
      <c r="M1096" s="15" t="s">
        <v>2750</v>
      </c>
    </row>
    <row r="1097" spans="7:13" ht="17.25" customHeight="1">
      <c r="G1097" s="15" t="s">
        <v>2751</v>
      </c>
      <c r="M1097" s="15" t="s">
        <v>2752</v>
      </c>
    </row>
    <row r="1098" spans="7:13" ht="17.25" customHeight="1">
      <c r="G1098" s="15" t="s">
        <v>2753</v>
      </c>
      <c r="M1098" s="15" t="s">
        <v>2754</v>
      </c>
    </row>
    <row r="1099" spans="7:13" ht="17.25" customHeight="1">
      <c r="G1099" s="15" t="s">
        <v>2755</v>
      </c>
      <c r="M1099" s="15" t="s">
        <v>2756</v>
      </c>
    </row>
    <row r="1100" spans="7:13" ht="17.25" customHeight="1">
      <c r="G1100" s="15" t="s">
        <v>2757</v>
      </c>
      <c r="M1100" s="15" t="s">
        <v>2758</v>
      </c>
    </row>
    <row r="1101" spans="7:13" ht="17.25" customHeight="1">
      <c r="G1101" s="15" t="s">
        <v>2759</v>
      </c>
      <c r="M1101" s="15" t="s">
        <v>2760</v>
      </c>
    </row>
    <row r="1102" spans="7:13" ht="17.25" customHeight="1">
      <c r="G1102" s="15" t="s">
        <v>2761</v>
      </c>
      <c r="M1102" s="15" t="s">
        <v>2762</v>
      </c>
    </row>
    <row r="1103" spans="7:13" ht="17.25" customHeight="1">
      <c r="G1103" s="15" t="s">
        <v>2763</v>
      </c>
      <c r="M1103" s="15" t="s">
        <v>2764</v>
      </c>
    </row>
    <row r="1104" spans="7:13" ht="17.25" customHeight="1">
      <c r="G1104" s="15" t="s">
        <v>2765</v>
      </c>
      <c r="M1104" s="15" t="s">
        <v>2766</v>
      </c>
    </row>
    <row r="1105" spans="7:13" ht="17.25" customHeight="1">
      <c r="G1105" s="15" t="s">
        <v>2767</v>
      </c>
      <c r="M1105" s="15" t="s">
        <v>2768</v>
      </c>
    </row>
    <row r="1106" spans="7:13" ht="17.25" customHeight="1">
      <c r="G1106" s="15" t="s">
        <v>2769</v>
      </c>
      <c r="M1106" s="15" t="s">
        <v>2770</v>
      </c>
    </row>
    <row r="1107" spans="7:13" ht="17.25" customHeight="1">
      <c r="G1107" s="15" t="s">
        <v>2771</v>
      </c>
      <c r="M1107" s="15" t="s">
        <v>2772</v>
      </c>
    </row>
    <row r="1108" spans="7:13" ht="17.25" customHeight="1">
      <c r="G1108" s="15" t="s">
        <v>2773</v>
      </c>
      <c r="M1108" s="15" t="s">
        <v>2774</v>
      </c>
    </row>
    <row r="1109" spans="7:13" ht="17.25" customHeight="1">
      <c r="G1109" s="15" t="s">
        <v>2775</v>
      </c>
      <c r="M1109" s="15" t="s">
        <v>2776</v>
      </c>
    </row>
    <row r="1110" spans="7:13" ht="17.25" customHeight="1">
      <c r="G1110" s="15" t="s">
        <v>2777</v>
      </c>
      <c r="M1110" s="15" t="s">
        <v>2778</v>
      </c>
    </row>
    <row r="1111" spans="7:13" ht="17.25" customHeight="1">
      <c r="G1111" s="15" t="s">
        <v>2779</v>
      </c>
      <c r="M1111" s="15" t="s">
        <v>2780</v>
      </c>
    </row>
    <row r="1112" spans="7:13" ht="17.25" customHeight="1">
      <c r="G1112" s="15" t="s">
        <v>2781</v>
      </c>
      <c r="M1112" s="15" t="s">
        <v>2782</v>
      </c>
    </row>
    <row r="1113" spans="7:13" ht="17.25" customHeight="1">
      <c r="G1113" s="15" t="s">
        <v>2783</v>
      </c>
      <c r="M1113" s="15" t="s">
        <v>2784</v>
      </c>
    </row>
    <row r="1114" spans="7:13" ht="17.25" customHeight="1">
      <c r="G1114" s="15" t="s">
        <v>2785</v>
      </c>
      <c r="M1114" s="15" t="s">
        <v>2786</v>
      </c>
    </row>
    <row r="1115" spans="7:13" ht="17.25" customHeight="1">
      <c r="G1115" s="15" t="s">
        <v>2787</v>
      </c>
      <c r="M1115" s="15" t="s">
        <v>2788</v>
      </c>
    </row>
    <row r="1116" spans="7:13" ht="17.25" customHeight="1">
      <c r="G1116" s="15" t="s">
        <v>2789</v>
      </c>
      <c r="M1116" s="15" t="s">
        <v>2790</v>
      </c>
    </row>
    <row r="1117" spans="7:13" ht="17.25" customHeight="1">
      <c r="G1117" s="15" t="s">
        <v>2791</v>
      </c>
      <c r="M1117" s="15" t="s">
        <v>2792</v>
      </c>
    </row>
    <row r="1118" spans="7:13" ht="17.25" customHeight="1">
      <c r="G1118" s="15" t="s">
        <v>2793</v>
      </c>
      <c r="M1118" s="15" t="s">
        <v>2794</v>
      </c>
    </row>
    <row r="1119" spans="7:13" ht="17.25" customHeight="1">
      <c r="G1119" s="15" t="s">
        <v>2795</v>
      </c>
      <c r="M1119" s="15" t="s">
        <v>2796</v>
      </c>
    </row>
    <row r="1120" spans="7:13" ht="17.25" customHeight="1">
      <c r="G1120" s="15" t="s">
        <v>2797</v>
      </c>
      <c r="M1120" s="15" t="s">
        <v>2798</v>
      </c>
    </row>
    <row r="1121" spans="7:13" ht="17.25" customHeight="1">
      <c r="G1121" s="15" t="s">
        <v>2799</v>
      </c>
      <c r="M1121" s="15" t="s">
        <v>2800</v>
      </c>
    </row>
    <row r="1122" spans="7:13" ht="17.25" customHeight="1">
      <c r="G1122" s="15" t="s">
        <v>2801</v>
      </c>
      <c r="M1122" s="15" t="s">
        <v>2802</v>
      </c>
    </row>
    <row r="1123" spans="7:13" ht="17.25" customHeight="1">
      <c r="G1123" s="15" t="s">
        <v>2803</v>
      </c>
      <c r="M1123" s="15" t="s">
        <v>2804</v>
      </c>
    </row>
    <row r="1124" spans="7:13" ht="17.25" customHeight="1">
      <c r="G1124" s="15" t="s">
        <v>2805</v>
      </c>
      <c r="M1124" s="15" t="s">
        <v>2806</v>
      </c>
    </row>
    <row r="1125" spans="7:13" ht="17.25" customHeight="1">
      <c r="G1125" s="15" t="s">
        <v>2807</v>
      </c>
      <c r="M1125" s="15" t="s">
        <v>2808</v>
      </c>
    </row>
    <row r="1126" spans="7:13" ht="17.25" customHeight="1">
      <c r="G1126" s="15" t="s">
        <v>2809</v>
      </c>
      <c r="M1126" s="15" t="s">
        <v>2810</v>
      </c>
    </row>
    <row r="1127" spans="7:13" ht="17.25" customHeight="1">
      <c r="G1127" s="15" t="s">
        <v>2811</v>
      </c>
      <c r="M1127" s="15" t="s">
        <v>2812</v>
      </c>
    </row>
    <row r="1128" spans="7:13" ht="17.25" customHeight="1">
      <c r="G1128" s="15" t="s">
        <v>2813</v>
      </c>
      <c r="M1128" s="15" t="s">
        <v>2814</v>
      </c>
    </row>
    <row r="1129" spans="7:13" ht="17.25" customHeight="1">
      <c r="G1129" s="15" t="s">
        <v>2815</v>
      </c>
      <c r="M1129" s="15" t="s">
        <v>2816</v>
      </c>
    </row>
    <row r="1130" spans="7:13" ht="17.25" customHeight="1">
      <c r="G1130" s="15" t="s">
        <v>2817</v>
      </c>
      <c r="M1130" s="15" t="s">
        <v>2818</v>
      </c>
    </row>
    <row r="1131" spans="7:13" ht="17.25" customHeight="1">
      <c r="G1131" s="15" t="s">
        <v>2819</v>
      </c>
      <c r="M1131" s="15" t="s">
        <v>2820</v>
      </c>
    </row>
    <row r="1132" spans="7:13" ht="17.25" customHeight="1">
      <c r="G1132" s="15" t="s">
        <v>2821</v>
      </c>
      <c r="M1132" s="15" t="s">
        <v>2822</v>
      </c>
    </row>
    <row r="1133" spans="7:13" ht="17.25" customHeight="1">
      <c r="G1133" s="15" t="s">
        <v>2823</v>
      </c>
      <c r="M1133" s="15" t="s">
        <v>2824</v>
      </c>
    </row>
    <row r="1134" spans="7:13" ht="17.25" customHeight="1">
      <c r="G1134" s="15" t="s">
        <v>2825</v>
      </c>
      <c r="M1134" s="15" t="s">
        <v>2826</v>
      </c>
    </row>
    <row r="1135" spans="7:13" ht="17.25" customHeight="1">
      <c r="G1135" s="15" t="s">
        <v>2827</v>
      </c>
      <c r="M1135" s="15" t="s">
        <v>2828</v>
      </c>
    </row>
    <row r="1136" spans="7:13" ht="17.25" customHeight="1">
      <c r="G1136" s="15" t="s">
        <v>2829</v>
      </c>
      <c r="M1136" s="15" t="s">
        <v>2830</v>
      </c>
    </row>
    <row r="1137" spans="7:13" ht="17.25" customHeight="1">
      <c r="G1137" s="15" t="s">
        <v>2831</v>
      </c>
      <c r="M1137" s="15" t="s">
        <v>2832</v>
      </c>
    </row>
    <row r="1138" spans="7:13" ht="17.25" customHeight="1">
      <c r="G1138" s="15" t="s">
        <v>2833</v>
      </c>
      <c r="M1138" s="15" t="s">
        <v>2834</v>
      </c>
    </row>
    <row r="1139" spans="7:13" ht="17.25" customHeight="1">
      <c r="G1139" s="15" t="s">
        <v>2835</v>
      </c>
      <c r="M1139" s="15" t="s">
        <v>2836</v>
      </c>
    </row>
    <row r="1140" spans="7:13" ht="17.25" customHeight="1">
      <c r="G1140" s="15" t="s">
        <v>2837</v>
      </c>
      <c r="M1140" s="15" t="s">
        <v>2838</v>
      </c>
    </row>
    <row r="1141" spans="7:13" ht="17.25" customHeight="1">
      <c r="G1141" s="15" t="s">
        <v>2839</v>
      </c>
      <c r="M1141" s="15" t="s">
        <v>2840</v>
      </c>
    </row>
    <row r="1142" spans="7:13" ht="17.25" customHeight="1">
      <c r="G1142" s="15" t="s">
        <v>2841</v>
      </c>
      <c r="M1142" s="15" t="s">
        <v>2842</v>
      </c>
    </row>
    <row r="1143" spans="7:13" ht="17.25" customHeight="1">
      <c r="G1143" s="15" t="s">
        <v>2843</v>
      </c>
      <c r="M1143" s="15" t="s">
        <v>2844</v>
      </c>
    </row>
    <row r="1144" spans="7:13" ht="17.25" customHeight="1">
      <c r="G1144" s="15" t="s">
        <v>2845</v>
      </c>
      <c r="M1144" s="15" t="s">
        <v>2846</v>
      </c>
    </row>
    <row r="1145" spans="7:13" ht="17.25" customHeight="1">
      <c r="G1145" s="15" t="s">
        <v>2847</v>
      </c>
      <c r="M1145" s="15" t="s">
        <v>2848</v>
      </c>
    </row>
    <row r="1146" spans="7:13" ht="17.25" customHeight="1">
      <c r="G1146" s="15" t="s">
        <v>2849</v>
      </c>
      <c r="M1146" s="15" t="s">
        <v>2850</v>
      </c>
    </row>
    <row r="1147" spans="7:13" ht="17.25" customHeight="1">
      <c r="G1147" s="15" t="s">
        <v>2851</v>
      </c>
      <c r="M1147" s="15" t="s">
        <v>2852</v>
      </c>
    </row>
    <row r="1148" spans="7:13" ht="17.25" customHeight="1">
      <c r="G1148" s="15" t="s">
        <v>2853</v>
      </c>
      <c r="M1148" s="15" t="s">
        <v>2854</v>
      </c>
    </row>
    <row r="1149" spans="7:13" ht="17.25" customHeight="1">
      <c r="G1149" s="15" t="s">
        <v>2855</v>
      </c>
      <c r="M1149" s="15" t="s">
        <v>2856</v>
      </c>
    </row>
    <row r="1150" spans="7:13" ht="17.25" customHeight="1">
      <c r="G1150" s="15" t="s">
        <v>2857</v>
      </c>
      <c r="M1150" s="15" t="s">
        <v>2858</v>
      </c>
    </row>
    <row r="1151" spans="7:13" ht="17.25" customHeight="1">
      <c r="G1151" s="15" t="s">
        <v>2859</v>
      </c>
      <c r="M1151" s="15" t="s">
        <v>2860</v>
      </c>
    </row>
    <row r="1152" spans="7:13" ht="17.25" customHeight="1">
      <c r="G1152" s="15" t="s">
        <v>2861</v>
      </c>
      <c r="M1152" s="15" t="s">
        <v>2862</v>
      </c>
    </row>
    <row r="1153" spans="7:13" ht="17.25" customHeight="1">
      <c r="G1153" s="15" t="s">
        <v>2863</v>
      </c>
      <c r="M1153" s="15" t="s">
        <v>2864</v>
      </c>
    </row>
    <row r="1154" spans="7:13" ht="17.25" customHeight="1">
      <c r="G1154" s="15" t="s">
        <v>2865</v>
      </c>
      <c r="M1154" s="15" t="s">
        <v>2866</v>
      </c>
    </row>
    <row r="1155" spans="7:13" ht="17.25" customHeight="1">
      <c r="G1155" s="15" t="s">
        <v>2867</v>
      </c>
      <c r="M1155" s="15" t="s">
        <v>2868</v>
      </c>
    </row>
    <row r="1156" spans="7:13" ht="17.25" customHeight="1">
      <c r="G1156" s="15" t="s">
        <v>2869</v>
      </c>
      <c r="M1156" s="15" t="s">
        <v>2870</v>
      </c>
    </row>
    <row r="1157" spans="7:13" ht="17.25" customHeight="1">
      <c r="G1157" s="15" t="s">
        <v>2871</v>
      </c>
      <c r="M1157" s="15" t="s">
        <v>2872</v>
      </c>
    </row>
    <row r="1158" spans="7:13" ht="17.25" customHeight="1">
      <c r="G1158" s="15" t="s">
        <v>2873</v>
      </c>
      <c r="M1158" s="15" t="s">
        <v>2874</v>
      </c>
    </row>
    <row r="1159" spans="7:13" ht="17.25" customHeight="1">
      <c r="G1159" s="15" t="s">
        <v>2875</v>
      </c>
      <c r="M1159" s="15" t="s">
        <v>2876</v>
      </c>
    </row>
    <row r="1160" spans="7:13" ht="17.25" customHeight="1">
      <c r="G1160" s="15" t="s">
        <v>2877</v>
      </c>
      <c r="M1160" s="15" t="s">
        <v>2878</v>
      </c>
    </row>
    <row r="1161" spans="7:13" ht="17.25" customHeight="1">
      <c r="G1161" s="15" t="s">
        <v>2879</v>
      </c>
      <c r="M1161" s="15" t="s">
        <v>2880</v>
      </c>
    </row>
    <row r="1162" spans="7:13" ht="17.25" customHeight="1">
      <c r="G1162" s="15" t="s">
        <v>2881</v>
      </c>
      <c r="M1162" s="15" t="s">
        <v>2882</v>
      </c>
    </row>
    <row r="1163" spans="7:13" ht="17.25" customHeight="1">
      <c r="G1163" s="15" t="s">
        <v>2883</v>
      </c>
      <c r="M1163" s="15" t="s">
        <v>2884</v>
      </c>
    </row>
    <row r="1164" spans="7:13" ht="17.25" customHeight="1">
      <c r="G1164" s="15" t="s">
        <v>2885</v>
      </c>
      <c r="M1164" s="15" t="s">
        <v>2886</v>
      </c>
    </row>
    <row r="1165" spans="7:13" ht="17.25" customHeight="1">
      <c r="G1165" s="15" t="s">
        <v>2887</v>
      </c>
      <c r="M1165" s="15" t="s">
        <v>2888</v>
      </c>
    </row>
    <row r="1166" spans="7:13" ht="17.25" customHeight="1">
      <c r="G1166" s="15" t="s">
        <v>2889</v>
      </c>
      <c r="M1166" s="15" t="s">
        <v>2890</v>
      </c>
    </row>
    <row r="1167" spans="7:13" ht="17.25" customHeight="1">
      <c r="G1167" s="15" t="s">
        <v>2891</v>
      </c>
      <c r="M1167" s="15" t="s">
        <v>2892</v>
      </c>
    </row>
    <row r="1168" spans="7:13" ht="17.25" customHeight="1">
      <c r="G1168" s="15" t="s">
        <v>2893</v>
      </c>
      <c r="M1168" s="15" t="s">
        <v>2894</v>
      </c>
    </row>
    <row r="1169" spans="7:13" ht="17.25" customHeight="1">
      <c r="G1169" s="15" t="s">
        <v>2895</v>
      </c>
      <c r="M1169" s="15" t="s">
        <v>2896</v>
      </c>
    </row>
    <row r="1170" spans="7:13" ht="17.25" customHeight="1">
      <c r="G1170" s="15" t="s">
        <v>2897</v>
      </c>
      <c r="M1170" s="15" t="s">
        <v>2898</v>
      </c>
    </row>
    <row r="1171" spans="7:13" ht="17.25" customHeight="1">
      <c r="G1171" s="15" t="s">
        <v>2899</v>
      </c>
      <c r="M1171" s="15" t="s">
        <v>2900</v>
      </c>
    </row>
    <row r="1172" spans="7:13" ht="17.25" customHeight="1">
      <c r="G1172" s="15" t="s">
        <v>2901</v>
      </c>
      <c r="M1172" s="15" t="s">
        <v>2902</v>
      </c>
    </row>
    <row r="1173" spans="7:13" ht="17.25" customHeight="1">
      <c r="G1173" s="15" t="s">
        <v>2903</v>
      </c>
      <c r="M1173" s="15" t="s">
        <v>2904</v>
      </c>
    </row>
    <row r="1174" spans="7:13" ht="17.25" customHeight="1">
      <c r="G1174" s="15" t="s">
        <v>2905</v>
      </c>
      <c r="M1174" s="15" t="s">
        <v>2906</v>
      </c>
    </row>
    <row r="1175" spans="7:13" ht="17.25" customHeight="1">
      <c r="G1175" s="15" t="s">
        <v>2907</v>
      </c>
      <c r="M1175" s="15" t="s">
        <v>2908</v>
      </c>
    </row>
    <row r="1176" spans="7:13" ht="17.25" customHeight="1">
      <c r="G1176" s="15" t="s">
        <v>2909</v>
      </c>
      <c r="M1176" s="15" t="s">
        <v>2910</v>
      </c>
    </row>
    <row r="1177" spans="7:13" ht="17.25" customHeight="1">
      <c r="G1177" s="15" t="s">
        <v>2911</v>
      </c>
      <c r="M1177" s="15" t="s">
        <v>2912</v>
      </c>
    </row>
    <row r="1178" spans="7:13" ht="17.25" customHeight="1">
      <c r="G1178" s="15" t="s">
        <v>2913</v>
      </c>
      <c r="M1178" s="15" t="s">
        <v>2914</v>
      </c>
    </row>
    <row r="1179" spans="7:13" ht="17.25" customHeight="1">
      <c r="G1179" s="15" t="s">
        <v>2915</v>
      </c>
      <c r="M1179" s="15" t="s">
        <v>2916</v>
      </c>
    </row>
    <row r="1180" spans="7:13" ht="17.25" customHeight="1">
      <c r="G1180" s="15" t="s">
        <v>2917</v>
      </c>
      <c r="M1180" s="15" t="s">
        <v>2918</v>
      </c>
    </row>
    <row r="1181" spans="7:13" ht="17.25" customHeight="1">
      <c r="G1181" s="15" t="s">
        <v>2919</v>
      </c>
      <c r="M1181" s="15" t="s">
        <v>2920</v>
      </c>
    </row>
    <row r="1182" spans="7:13" ht="17.25" customHeight="1">
      <c r="G1182" s="15" t="s">
        <v>2921</v>
      </c>
      <c r="M1182" s="15" t="s">
        <v>2922</v>
      </c>
    </row>
    <row r="1183" spans="7:13" ht="17.25" customHeight="1">
      <c r="G1183" s="15" t="s">
        <v>2923</v>
      </c>
      <c r="M1183" s="15" t="s">
        <v>2924</v>
      </c>
    </row>
    <row r="1184" spans="7:13" ht="17.25" customHeight="1">
      <c r="G1184" s="15" t="s">
        <v>2925</v>
      </c>
      <c r="M1184" s="15" t="s">
        <v>2926</v>
      </c>
    </row>
    <row r="1185" spans="7:13" ht="17.25" customHeight="1">
      <c r="G1185" s="15" t="s">
        <v>2927</v>
      </c>
      <c r="M1185" s="15" t="s">
        <v>2928</v>
      </c>
    </row>
    <row r="1186" spans="7:13" ht="17.25" customHeight="1">
      <c r="G1186" s="15" t="s">
        <v>2929</v>
      </c>
      <c r="M1186" s="15" t="s">
        <v>2930</v>
      </c>
    </row>
    <row r="1187" spans="7:13" ht="17.25" customHeight="1">
      <c r="G1187" s="15" t="s">
        <v>2931</v>
      </c>
      <c r="M1187" s="15" t="s">
        <v>2932</v>
      </c>
    </row>
    <row r="1188" spans="7:13" ht="17.25" customHeight="1">
      <c r="G1188" s="15" t="s">
        <v>2933</v>
      </c>
      <c r="M1188" s="15" t="s">
        <v>2934</v>
      </c>
    </row>
    <row r="1189" spans="7:13" ht="17.25" customHeight="1">
      <c r="G1189" s="15" t="s">
        <v>2935</v>
      </c>
      <c r="M1189" s="15" t="s">
        <v>2936</v>
      </c>
    </row>
    <row r="1190" spans="7:13" ht="17.25" customHeight="1">
      <c r="G1190" s="15" t="s">
        <v>2937</v>
      </c>
      <c r="M1190" s="15" t="s">
        <v>2938</v>
      </c>
    </row>
    <row r="1191" spans="7:13" ht="17.25" customHeight="1">
      <c r="G1191" s="15" t="s">
        <v>2939</v>
      </c>
      <c r="M1191" s="15" t="s">
        <v>2940</v>
      </c>
    </row>
    <row r="1192" spans="7:13" ht="17.25" customHeight="1">
      <c r="G1192" s="15" t="s">
        <v>2941</v>
      </c>
      <c r="M1192" s="15" t="s">
        <v>2942</v>
      </c>
    </row>
    <row r="1193" spans="7:13" ht="17.25" customHeight="1">
      <c r="G1193" s="15" t="s">
        <v>2943</v>
      </c>
      <c r="M1193" s="15" t="s">
        <v>2944</v>
      </c>
    </row>
    <row r="1194" spans="7:13" ht="17.25" customHeight="1">
      <c r="G1194" s="15" t="s">
        <v>2945</v>
      </c>
      <c r="M1194" s="15" t="s">
        <v>2946</v>
      </c>
    </row>
    <row r="1195" spans="7:13" ht="17.25" customHeight="1">
      <c r="G1195" s="15" t="s">
        <v>2947</v>
      </c>
      <c r="M1195" s="15" t="s">
        <v>2948</v>
      </c>
    </row>
    <row r="1196" spans="7:13" ht="17.25" customHeight="1">
      <c r="G1196" s="15" t="s">
        <v>2949</v>
      </c>
      <c r="M1196" s="15" t="s">
        <v>2950</v>
      </c>
    </row>
    <row r="1197" spans="7:13" ht="17.25" customHeight="1">
      <c r="G1197" s="15" t="s">
        <v>2951</v>
      </c>
      <c r="M1197" s="15" t="s">
        <v>2952</v>
      </c>
    </row>
    <row r="1198" spans="7:13" ht="17.25" customHeight="1">
      <c r="G1198" s="15" t="s">
        <v>2953</v>
      </c>
      <c r="M1198" s="15" t="s">
        <v>2954</v>
      </c>
    </row>
    <row r="1199" spans="7:13" ht="17.25" customHeight="1">
      <c r="G1199" s="15" t="s">
        <v>2955</v>
      </c>
      <c r="M1199" s="15" t="s">
        <v>2956</v>
      </c>
    </row>
    <row r="1200" spans="7:13" ht="17.25" customHeight="1">
      <c r="G1200" s="15" t="s">
        <v>2957</v>
      </c>
      <c r="M1200" s="15" t="s">
        <v>2958</v>
      </c>
    </row>
    <row r="1201" spans="7:13" ht="17.25" customHeight="1">
      <c r="G1201" s="15" t="s">
        <v>2959</v>
      </c>
      <c r="M1201" s="15" t="s">
        <v>2960</v>
      </c>
    </row>
    <row r="1202" spans="7:13" ht="17.25" customHeight="1">
      <c r="G1202" s="15" t="s">
        <v>2961</v>
      </c>
      <c r="M1202" s="15" t="s">
        <v>2962</v>
      </c>
    </row>
    <row r="1203" spans="7:13" ht="17.25" customHeight="1">
      <c r="G1203" s="15" t="s">
        <v>2963</v>
      </c>
      <c r="M1203" s="15" t="s">
        <v>2964</v>
      </c>
    </row>
    <row r="1204" spans="7:13" ht="17.25" customHeight="1">
      <c r="G1204" s="15" t="s">
        <v>2965</v>
      </c>
      <c r="M1204" s="15" t="s">
        <v>2966</v>
      </c>
    </row>
    <row r="1205" spans="7:13" ht="17.25" customHeight="1">
      <c r="G1205" s="15" t="s">
        <v>2967</v>
      </c>
      <c r="M1205" s="15" t="s">
        <v>2968</v>
      </c>
    </row>
    <row r="1206" spans="7:13" ht="17.25" customHeight="1">
      <c r="G1206" s="15" t="s">
        <v>2969</v>
      </c>
      <c r="M1206" s="15" t="s">
        <v>2970</v>
      </c>
    </row>
    <row r="1207" spans="7:13" ht="17.25" customHeight="1">
      <c r="G1207" s="15" t="s">
        <v>2971</v>
      </c>
      <c r="M1207" s="15" t="s">
        <v>2972</v>
      </c>
    </row>
    <row r="1208" spans="7:13" ht="17.25" customHeight="1">
      <c r="G1208" s="15" t="s">
        <v>2973</v>
      </c>
      <c r="M1208" s="15" t="s">
        <v>2974</v>
      </c>
    </row>
    <row r="1209" spans="7:13" ht="17.25" customHeight="1">
      <c r="G1209" s="15" t="s">
        <v>2975</v>
      </c>
      <c r="M1209" s="15" t="s">
        <v>2976</v>
      </c>
    </row>
    <row r="1210" spans="7:13" ht="17.25" customHeight="1">
      <c r="G1210" s="15" t="s">
        <v>2977</v>
      </c>
      <c r="M1210" s="15" t="s">
        <v>2978</v>
      </c>
    </row>
    <row r="1211" spans="7:13" ht="17.25" customHeight="1">
      <c r="G1211" s="15" t="s">
        <v>2979</v>
      </c>
      <c r="M1211" s="15" t="s">
        <v>2980</v>
      </c>
    </row>
    <row r="1212" spans="7:13" ht="17.25" customHeight="1">
      <c r="G1212" s="15" t="s">
        <v>2981</v>
      </c>
      <c r="M1212" s="15" t="s">
        <v>2982</v>
      </c>
    </row>
    <row r="1213" spans="7:13" ht="17.25" customHeight="1">
      <c r="G1213" s="15" t="s">
        <v>2983</v>
      </c>
      <c r="M1213" s="15" t="s">
        <v>2984</v>
      </c>
    </row>
    <row r="1214" spans="7:13" ht="17.25" customHeight="1">
      <c r="G1214" s="15" t="s">
        <v>2985</v>
      </c>
      <c r="M1214" s="15" t="s">
        <v>2986</v>
      </c>
    </row>
    <row r="1215" spans="7:13" ht="17.25" customHeight="1">
      <c r="G1215" s="15" t="s">
        <v>2987</v>
      </c>
      <c r="M1215" s="15" t="s">
        <v>2988</v>
      </c>
    </row>
    <row r="1216" spans="7:13" ht="17.25" customHeight="1">
      <c r="G1216" s="15" t="s">
        <v>2989</v>
      </c>
      <c r="M1216" s="15" t="s">
        <v>2990</v>
      </c>
    </row>
    <row r="1217" spans="7:13" ht="17.25" customHeight="1">
      <c r="G1217" s="15" t="s">
        <v>2991</v>
      </c>
      <c r="M1217" s="15" t="s">
        <v>2992</v>
      </c>
    </row>
    <row r="1218" spans="7:13" ht="17.25" customHeight="1">
      <c r="G1218" s="15" t="s">
        <v>2993</v>
      </c>
      <c r="M1218" s="15" t="s">
        <v>2994</v>
      </c>
    </row>
    <row r="1219" spans="7:13" ht="17.25" customHeight="1">
      <c r="G1219" s="15" t="s">
        <v>2995</v>
      </c>
      <c r="M1219" s="15" t="s">
        <v>2996</v>
      </c>
    </row>
    <row r="1220" spans="7:13" ht="17.25" customHeight="1">
      <c r="G1220" s="15" t="s">
        <v>2997</v>
      </c>
      <c r="M1220" s="15" t="s">
        <v>2998</v>
      </c>
    </row>
    <row r="1221" spans="7:13" ht="17.25" customHeight="1">
      <c r="G1221" s="15" t="s">
        <v>2999</v>
      </c>
      <c r="M1221" s="15" t="s">
        <v>3000</v>
      </c>
    </row>
    <row r="1222" spans="7:13" ht="17.25" customHeight="1">
      <c r="G1222" s="15" t="s">
        <v>3001</v>
      </c>
      <c r="M1222" s="15" t="s">
        <v>3002</v>
      </c>
    </row>
    <row r="1223" spans="7:13" ht="17.25" customHeight="1">
      <c r="G1223" s="15" t="s">
        <v>3003</v>
      </c>
      <c r="M1223" s="15" t="s">
        <v>3004</v>
      </c>
    </row>
    <row r="1224" spans="7:13" ht="17.25" customHeight="1">
      <c r="G1224" s="15" t="s">
        <v>3005</v>
      </c>
      <c r="M1224" s="15" t="s">
        <v>3006</v>
      </c>
    </row>
    <row r="1225" spans="7:13" ht="17.25" customHeight="1">
      <c r="G1225" s="15" t="s">
        <v>3007</v>
      </c>
      <c r="M1225" s="15" t="s">
        <v>3008</v>
      </c>
    </row>
    <row r="1226" spans="7:13" ht="17.25" customHeight="1">
      <c r="G1226" s="15" t="s">
        <v>3009</v>
      </c>
      <c r="M1226" s="15" t="s">
        <v>3010</v>
      </c>
    </row>
    <row r="1227" spans="7:13" ht="17.25" customHeight="1">
      <c r="G1227" s="15" t="s">
        <v>3011</v>
      </c>
      <c r="M1227" s="15" t="s">
        <v>3012</v>
      </c>
    </row>
    <row r="1228" spans="7:13" ht="17.25" customHeight="1">
      <c r="G1228" s="15" t="s">
        <v>3013</v>
      </c>
      <c r="M1228" s="15" t="s">
        <v>3014</v>
      </c>
    </row>
    <row r="1229" spans="7:13" ht="17.25" customHeight="1">
      <c r="G1229" s="15" t="s">
        <v>3015</v>
      </c>
      <c r="M1229" s="15" t="s">
        <v>3016</v>
      </c>
    </row>
    <row r="1230" spans="7:13" ht="17.25" customHeight="1">
      <c r="G1230" s="15" t="s">
        <v>3017</v>
      </c>
      <c r="M1230" s="15" t="s">
        <v>3018</v>
      </c>
    </row>
    <row r="1231" spans="7:13" ht="17.25" customHeight="1">
      <c r="G1231" s="15" t="s">
        <v>3019</v>
      </c>
      <c r="M1231" s="15" t="s">
        <v>3020</v>
      </c>
    </row>
    <row r="1232" spans="7:13" ht="17.25" customHeight="1">
      <c r="G1232" s="15" t="s">
        <v>3021</v>
      </c>
      <c r="M1232" s="15" t="s">
        <v>3022</v>
      </c>
    </row>
    <row r="1233" spans="7:13" ht="17.25" customHeight="1">
      <c r="G1233" s="15" t="s">
        <v>3023</v>
      </c>
      <c r="M1233" s="15" t="s">
        <v>3024</v>
      </c>
    </row>
    <row r="1234" spans="7:13" ht="17.25" customHeight="1">
      <c r="G1234" s="15" t="s">
        <v>3025</v>
      </c>
      <c r="M1234" s="15" t="s">
        <v>3026</v>
      </c>
    </row>
    <row r="1235" spans="7:13" ht="17.25" customHeight="1">
      <c r="G1235" s="15" t="s">
        <v>3027</v>
      </c>
      <c r="M1235" s="15" t="s">
        <v>3028</v>
      </c>
    </row>
    <row r="1236" spans="7:13" ht="17.25" customHeight="1">
      <c r="G1236" s="15" t="s">
        <v>3029</v>
      </c>
      <c r="M1236" s="15" t="s">
        <v>3030</v>
      </c>
    </row>
    <row r="1237" spans="7:13" ht="17.25" customHeight="1">
      <c r="G1237" s="15" t="s">
        <v>3031</v>
      </c>
      <c r="M1237" s="15" t="s">
        <v>3032</v>
      </c>
    </row>
    <row r="1238" spans="7:13" ht="17.25" customHeight="1">
      <c r="G1238" s="15" t="s">
        <v>3033</v>
      </c>
      <c r="M1238" s="15" t="s">
        <v>3034</v>
      </c>
    </row>
    <row r="1239" spans="7:13" ht="17.25" customHeight="1">
      <c r="G1239" s="15" t="s">
        <v>3035</v>
      </c>
      <c r="M1239" s="15" t="s">
        <v>3036</v>
      </c>
    </row>
    <row r="1240" spans="7:13" ht="17.25" customHeight="1">
      <c r="G1240" s="15" t="s">
        <v>3037</v>
      </c>
      <c r="M1240" s="15" t="s">
        <v>3038</v>
      </c>
    </row>
    <row r="1241" spans="7:13" ht="17.25" customHeight="1">
      <c r="G1241" s="15" t="s">
        <v>3039</v>
      </c>
      <c r="M1241" s="15" t="s">
        <v>3040</v>
      </c>
    </row>
    <row r="1242" spans="7:13" ht="17.25" customHeight="1">
      <c r="G1242" s="15" t="s">
        <v>3041</v>
      </c>
      <c r="M1242" s="15" t="s">
        <v>3042</v>
      </c>
    </row>
    <row r="1243" spans="7:13" ht="17.25" customHeight="1">
      <c r="G1243" s="15" t="s">
        <v>3043</v>
      </c>
      <c r="M1243" s="15" t="s">
        <v>3044</v>
      </c>
    </row>
    <row r="1244" spans="7:13" ht="17.25" customHeight="1">
      <c r="G1244" s="15" t="s">
        <v>3045</v>
      </c>
      <c r="M1244" s="15" t="s">
        <v>3046</v>
      </c>
    </row>
    <row r="1245" spans="7:13" ht="17.25" customHeight="1">
      <c r="G1245" s="15" t="s">
        <v>3047</v>
      </c>
      <c r="M1245" s="15" t="s">
        <v>3048</v>
      </c>
    </row>
    <row r="1246" spans="7:13" ht="17.25" customHeight="1">
      <c r="G1246" s="15" t="s">
        <v>3049</v>
      </c>
      <c r="M1246" s="15" t="s">
        <v>3050</v>
      </c>
    </row>
    <row r="1247" spans="7:13" ht="17.25" customHeight="1">
      <c r="G1247" s="15" t="s">
        <v>3051</v>
      </c>
      <c r="M1247" s="15" t="s">
        <v>3052</v>
      </c>
    </row>
    <row r="1248" spans="7:13" ht="17.25" customHeight="1">
      <c r="G1248" s="15" t="s">
        <v>3053</v>
      </c>
      <c r="M1248" s="15" t="s">
        <v>3054</v>
      </c>
    </row>
    <row r="1249" spans="7:13" ht="17.25" customHeight="1">
      <c r="G1249" s="15" t="s">
        <v>3055</v>
      </c>
      <c r="M1249" s="15" t="s">
        <v>3056</v>
      </c>
    </row>
    <row r="1250" spans="7:13" ht="17.25" customHeight="1">
      <c r="G1250" s="15" t="s">
        <v>3057</v>
      </c>
      <c r="M1250" s="15" t="s">
        <v>3058</v>
      </c>
    </row>
    <row r="1251" spans="7:13" ht="17.25" customHeight="1">
      <c r="G1251" s="15" t="s">
        <v>3059</v>
      </c>
      <c r="M1251" s="15" t="s">
        <v>3060</v>
      </c>
    </row>
    <row r="1252" spans="7:13" ht="17.25" customHeight="1">
      <c r="G1252" s="15" t="s">
        <v>3061</v>
      </c>
      <c r="M1252" s="15" t="s">
        <v>3062</v>
      </c>
    </row>
    <row r="1253" spans="7:13" ht="17.25" customHeight="1">
      <c r="G1253" s="15" t="s">
        <v>3063</v>
      </c>
      <c r="M1253" s="15" t="s">
        <v>3064</v>
      </c>
    </row>
    <row r="1254" spans="7:13" ht="17.25" customHeight="1">
      <c r="G1254" s="15" t="s">
        <v>3065</v>
      </c>
      <c r="M1254" s="15" t="s">
        <v>3066</v>
      </c>
    </row>
    <row r="1255" spans="7:13" ht="17.25" customHeight="1">
      <c r="G1255" s="15" t="s">
        <v>3067</v>
      </c>
      <c r="M1255" s="15" t="s">
        <v>3068</v>
      </c>
    </row>
    <row r="1256" spans="7:13" ht="17.25" customHeight="1">
      <c r="G1256" s="15" t="s">
        <v>3069</v>
      </c>
      <c r="M1256" s="15" t="s">
        <v>3070</v>
      </c>
    </row>
    <row r="1257" spans="7:13" ht="17.25" customHeight="1">
      <c r="G1257" s="15" t="s">
        <v>3071</v>
      </c>
      <c r="M1257" s="15" t="s">
        <v>3072</v>
      </c>
    </row>
    <row r="1258" spans="7:13" ht="17.25" customHeight="1">
      <c r="G1258" s="15" t="s">
        <v>3073</v>
      </c>
      <c r="M1258" s="15" t="s">
        <v>3074</v>
      </c>
    </row>
    <row r="1259" spans="7:13" ht="17.25" customHeight="1">
      <c r="G1259" s="15" t="s">
        <v>3075</v>
      </c>
      <c r="M1259" s="15" t="s">
        <v>3076</v>
      </c>
    </row>
    <row r="1260" spans="7:13" ht="17.25" customHeight="1">
      <c r="G1260" s="15" t="s">
        <v>3077</v>
      </c>
      <c r="M1260" s="15" t="s">
        <v>3078</v>
      </c>
    </row>
    <row r="1261" spans="7:13" ht="17.25" customHeight="1">
      <c r="G1261" s="15" t="s">
        <v>3079</v>
      </c>
      <c r="M1261" s="15" t="s">
        <v>3080</v>
      </c>
    </row>
    <row r="1262" spans="7:13" ht="17.25" customHeight="1">
      <c r="G1262" s="15" t="s">
        <v>3081</v>
      </c>
      <c r="M1262" s="15" t="s">
        <v>3082</v>
      </c>
    </row>
    <row r="1263" spans="7:13" ht="17.25" customHeight="1">
      <c r="G1263" s="15" t="s">
        <v>3083</v>
      </c>
      <c r="M1263" s="15" t="s">
        <v>3084</v>
      </c>
    </row>
    <row r="1264" spans="7:13" ht="17.25" customHeight="1">
      <c r="G1264" s="15" t="s">
        <v>3085</v>
      </c>
      <c r="M1264" s="15" t="s">
        <v>3086</v>
      </c>
    </row>
    <row r="1265" spans="7:13" ht="17.25" customHeight="1">
      <c r="G1265" s="15" t="s">
        <v>3087</v>
      </c>
      <c r="M1265" s="15" t="s">
        <v>3088</v>
      </c>
    </row>
    <row r="1266" spans="7:13" ht="17.25" customHeight="1">
      <c r="G1266" s="15" t="s">
        <v>3089</v>
      </c>
      <c r="M1266" s="15" t="s">
        <v>3090</v>
      </c>
    </row>
    <row r="1267" spans="7:13" ht="17.25" customHeight="1">
      <c r="G1267" s="15" t="s">
        <v>3091</v>
      </c>
      <c r="M1267" s="15" t="s">
        <v>3092</v>
      </c>
    </row>
    <row r="1268" spans="7:13" ht="17.25" customHeight="1">
      <c r="G1268" s="15" t="s">
        <v>3093</v>
      </c>
      <c r="M1268" s="15" t="s">
        <v>3094</v>
      </c>
    </row>
    <row r="1269" spans="7:13" ht="17.25" customHeight="1">
      <c r="G1269" s="15" t="s">
        <v>3095</v>
      </c>
      <c r="M1269" s="15" t="s">
        <v>3096</v>
      </c>
    </row>
    <row r="1270" spans="7:13" ht="17.25" customHeight="1">
      <c r="G1270" s="15" t="s">
        <v>3097</v>
      </c>
      <c r="M1270" s="15" t="s">
        <v>3098</v>
      </c>
    </row>
    <row r="1271" spans="7:13" ht="17.25" customHeight="1">
      <c r="G1271" s="15" t="s">
        <v>3099</v>
      </c>
      <c r="M1271" s="15" t="s">
        <v>3100</v>
      </c>
    </row>
    <row r="1272" spans="7:13" ht="17.25" customHeight="1">
      <c r="G1272" s="15" t="s">
        <v>3101</v>
      </c>
      <c r="M1272" s="15" t="s">
        <v>3102</v>
      </c>
    </row>
    <row r="1273" spans="7:13" ht="17.25" customHeight="1">
      <c r="G1273" s="15" t="s">
        <v>3103</v>
      </c>
      <c r="M1273" s="15" t="s">
        <v>3104</v>
      </c>
    </row>
    <row r="1274" spans="7:13" ht="17.25" customHeight="1">
      <c r="G1274" s="15" t="s">
        <v>3105</v>
      </c>
      <c r="M1274" s="15" t="s">
        <v>3106</v>
      </c>
    </row>
    <row r="1275" spans="7:13" ht="17.25" customHeight="1">
      <c r="G1275" s="15" t="s">
        <v>3107</v>
      </c>
      <c r="M1275" s="15" t="s">
        <v>3108</v>
      </c>
    </row>
    <row r="1276" spans="7:13" ht="17.25" customHeight="1">
      <c r="G1276" s="15" t="s">
        <v>3109</v>
      </c>
      <c r="M1276" s="15" t="s">
        <v>3110</v>
      </c>
    </row>
    <row r="1277" spans="7:13" ht="17.25" customHeight="1">
      <c r="G1277" s="15" t="s">
        <v>3111</v>
      </c>
      <c r="M1277" s="15" t="s">
        <v>3112</v>
      </c>
    </row>
    <row r="1278" spans="7:13" ht="17.25" customHeight="1">
      <c r="G1278" s="15" t="s">
        <v>3113</v>
      </c>
      <c r="M1278" s="15" t="s">
        <v>3114</v>
      </c>
    </row>
    <row r="1279" spans="7:13" ht="17.25" customHeight="1">
      <c r="G1279" s="15" t="s">
        <v>3115</v>
      </c>
      <c r="M1279" s="15" t="s">
        <v>3116</v>
      </c>
    </row>
    <row r="1280" spans="7:13" ht="17.25" customHeight="1">
      <c r="G1280" s="15" t="s">
        <v>3117</v>
      </c>
      <c r="M1280" s="15" t="s">
        <v>3118</v>
      </c>
    </row>
    <row r="1281" spans="7:13" ht="17.25" customHeight="1">
      <c r="G1281" s="15" t="s">
        <v>3119</v>
      </c>
      <c r="M1281" s="15" t="s">
        <v>3120</v>
      </c>
    </row>
    <row r="1282" spans="7:13" ht="17.25" customHeight="1">
      <c r="G1282" s="15" t="s">
        <v>3121</v>
      </c>
      <c r="M1282" s="15" t="s">
        <v>3122</v>
      </c>
    </row>
    <row r="1283" spans="7:13" ht="17.25" customHeight="1">
      <c r="G1283" s="15" t="s">
        <v>3123</v>
      </c>
      <c r="M1283" s="15" t="s">
        <v>3124</v>
      </c>
    </row>
    <row r="1284" spans="7:13" ht="17.25" customHeight="1">
      <c r="G1284" s="15" t="s">
        <v>3125</v>
      </c>
      <c r="M1284" s="15" t="s">
        <v>3126</v>
      </c>
    </row>
    <row r="1285" spans="7:13" ht="17.25" customHeight="1">
      <c r="G1285" s="15" t="s">
        <v>3127</v>
      </c>
      <c r="M1285" s="15" t="s">
        <v>3128</v>
      </c>
    </row>
    <row r="1286" spans="7:13" ht="17.25" customHeight="1">
      <c r="G1286" s="15" t="s">
        <v>3129</v>
      </c>
      <c r="M1286" s="15" t="s">
        <v>3130</v>
      </c>
    </row>
    <row r="1287" spans="7:13" ht="17.25" customHeight="1">
      <c r="G1287" s="15" t="s">
        <v>3131</v>
      </c>
      <c r="M1287" s="15" t="s">
        <v>3132</v>
      </c>
    </row>
    <row r="1288" spans="7:13" ht="17.25" customHeight="1">
      <c r="G1288" s="15" t="s">
        <v>3133</v>
      </c>
      <c r="M1288" s="15" t="s">
        <v>3134</v>
      </c>
    </row>
    <row r="1289" spans="7:13" ht="17.25" customHeight="1">
      <c r="G1289" s="15" t="s">
        <v>3135</v>
      </c>
      <c r="M1289" s="15" t="s">
        <v>3136</v>
      </c>
    </row>
    <row r="1290" spans="7:13" ht="17.25" customHeight="1">
      <c r="G1290" s="15" t="s">
        <v>3137</v>
      </c>
      <c r="M1290" s="15" t="s">
        <v>3138</v>
      </c>
    </row>
    <row r="1291" spans="7:13" ht="17.25" customHeight="1">
      <c r="G1291" s="15" t="s">
        <v>3139</v>
      </c>
      <c r="M1291" s="15" t="s">
        <v>3140</v>
      </c>
    </row>
    <row r="1292" spans="7:13" ht="17.25" customHeight="1">
      <c r="G1292" s="15" t="s">
        <v>3141</v>
      </c>
      <c r="M1292" s="15" t="s">
        <v>3142</v>
      </c>
    </row>
    <row r="1293" spans="7:13" ht="17.25" customHeight="1">
      <c r="G1293" s="15" t="s">
        <v>3143</v>
      </c>
      <c r="M1293" s="15" t="s">
        <v>3144</v>
      </c>
    </row>
    <row r="1294" spans="7:13" ht="17.25" customHeight="1">
      <c r="G1294" s="15" t="s">
        <v>3145</v>
      </c>
      <c r="M1294" s="15" t="s">
        <v>3146</v>
      </c>
    </row>
    <row r="1295" spans="7:13" ht="17.25" customHeight="1">
      <c r="G1295" s="15" t="s">
        <v>3147</v>
      </c>
      <c r="M1295" s="15" t="s">
        <v>3148</v>
      </c>
    </row>
    <row r="1296" spans="7:13" ht="17.25" customHeight="1">
      <c r="G1296" s="15" t="s">
        <v>3149</v>
      </c>
      <c r="M1296" s="15" t="s">
        <v>3150</v>
      </c>
    </row>
    <row r="1297" spans="7:13" ht="17.25" customHeight="1">
      <c r="G1297" s="15" t="s">
        <v>3151</v>
      </c>
      <c r="M1297" s="15" t="s">
        <v>3152</v>
      </c>
    </row>
    <row r="1298" spans="7:13" ht="17.25" customHeight="1">
      <c r="G1298" s="15" t="s">
        <v>3153</v>
      </c>
      <c r="M1298" s="15" t="s">
        <v>3154</v>
      </c>
    </row>
    <row r="1299" spans="7:13" ht="17.25" customHeight="1">
      <c r="G1299" s="15" t="s">
        <v>3155</v>
      </c>
      <c r="M1299" s="15" t="s">
        <v>3156</v>
      </c>
    </row>
    <row r="1300" spans="7:13" ht="17.25" customHeight="1">
      <c r="G1300" s="15" t="s">
        <v>3157</v>
      </c>
      <c r="M1300" s="15" t="s">
        <v>3158</v>
      </c>
    </row>
    <row r="1301" spans="7:13" ht="17.25" customHeight="1">
      <c r="G1301" s="15" t="s">
        <v>3159</v>
      </c>
      <c r="M1301" s="15" t="s">
        <v>3160</v>
      </c>
    </row>
    <row r="1302" spans="7:13" ht="17.25" customHeight="1">
      <c r="G1302" s="15" t="s">
        <v>3161</v>
      </c>
      <c r="M1302" s="15" t="s">
        <v>3162</v>
      </c>
    </row>
    <row r="1303" spans="7:13" ht="17.25" customHeight="1">
      <c r="G1303" s="15" t="s">
        <v>3163</v>
      </c>
      <c r="M1303" s="15" t="s">
        <v>3164</v>
      </c>
    </row>
    <row r="1304" spans="7:13" ht="17.25" customHeight="1">
      <c r="G1304" s="15" t="s">
        <v>3165</v>
      </c>
      <c r="M1304" s="15" t="s">
        <v>3166</v>
      </c>
    </row>
    <row r="1305" spans="7:13" ht="17.25" customHeight="1">
      <c r="G1305" s="15" t="s">
        <v>3167</v>
      </c>
      <c r="M1305" s="15" t="s">
        <v>3168</v>
      </c>
    </row>
    <row r="1306" spans="7:13" ht="17.25" customHeight="1">
      <c r="G1306" s="15" t="s">
        <v>3169</v>
      </c>
      <c r="M1306" s="15" t="s">
        <v>3170</v>
      </c>
    </row>
    <row r="1307" spans="7:13" ht="17.25" customHeight="1">
      <c r="G1307" s="15" t="s">
        <v>3171</v>
      </c>
      <c r="M1307" s="15" t="s">
        <v>3172</v>
      </c>
    </row>
    <row r="1308" spans="7:13" ht="17.25" customHeight="1">
      <c r="G1308" s="15" t="s">
        <v>3173</v>
      </c>
      <c r="M1308" s="15" t="s">
        <v>3174</v>
      </c>
    </row>
    <row r="1309" spans="7:13" ht="17.25" customHeight="1">
      <c r="G1309" s="15" t="s">
        <v>3175</v>
      </c>
      <c r="M1309" s="15" t="s">
        <v>3176</v>
      </c>
    </row>
    <row r="1310" spans="7:13" ht="17.25" customHeight="1">
      <c r="G1310" s="15" t="s">
        <v>3177</v>
      </c>
      <c r="M1310" s="15" t="s">
        <v>3178</v>
      </c>
    </row>
    <row r="1311" spans="7:13" ht="17.25" customHeight="1">
      <c r="G1311" s="15" t="s">
        <v>3179</v>
      </c>
      <c r="M1311" s="15" t="s">
        <v>3180</v>
      </c>
    </row>
    <row r="1312" spans="7:13" ht="17.25" customHeight="1">
      <c r="G1312" s="15" t="s">
        <v>3181</v>
      </c>
      <c r="M1312" s="15" t="s">
        <v>3182</v>
      </c>
    </row>
    <row r="1313" spans="7:13" ht="17.25" customHeight="1">
      <c r="G1313" s="15" t="s">
        <v>3183</v>
      </c>
      <c r="M1313" s="15" t="s">
        <v>3184</v>
      </c>
    </row>
    <row r="1314" spans="7:13" ht="17.25" customHeight="1">
      <c r="G1314" s="15" t="s">
        <v>3185</v>
      </c>
      <c r="M1314" s="15" t="s">
        <v>3186</v>
      </c>
    </row>
    <row r="1315" spans="7:13" ht="17.25" customHeight="1">
      <c r="G1315" s="15" t="s">
        <v>3187</v>
      </c>
      <c r="M1315" s="15" t="s">
        <v>3188</v>
      </c>
    </row>
    <row r="1316" spans="7:13" ht="17.25" customHeight="1">
      <c r="G1316" s="15" t="s">
        <v>3189</v>
      </c>
      <c r="M1316" s="15" t="s">
        <v>3190</v>
      </c>
    </row>
    <row r="1317" spans="7:13" ht="17.25" customHeight="1">
      <c r="G1317" s="15" t="s">
        <v>3191</v>
      </c>
      <c r="M1317" s="15" t="s">
        <v>3192</v>
      </c>
    </row>
    <row r="1318" spans="7:13" ht="17.25" customHeight="1">
      <c r="G1318" s="15" t="s">
        <v>3193</v>
      </c>
      <c r="M1318" s="15" t="s">
        <v>3194</v>
      </c>
    </row>
    <row r="1319" spans="7:13" ht="17.25" customHeight="1">
      <c r="G1319" s="15" t="s">
        <v>3195</v>
      </c>
      <c r="M1319" s="15" t="s">
        <v>3196</v>
      </c>
    </row>
    <row r="1320" spans="7:13" ht="17.25" customHeight="1">
      <c r="G1320" s="15" t="s">
        <v>3197</v>
      </c>
      <c r="M1320" s="15" t="s">
        <v>3198</v>
      </c>
    </row>
    <row r="1321" spans="7:13" ht="17.25" customHeight="1">
      <c r="G1321" s="15" t="s">
        <v>3199</v>
      </c>
      <c r="M1321" s="15" t="s">
        <v>3200</v>
      </c>
    </row>
    <row r="1322" spans="7:13" ht="17.25" customHeight="1">
      <c r="G1322" s="15" t="s">
        <v>3201</v>
      </c>
      <c r="M1322" s="15" t="s">
        <v>3202</v>
      </c>
    </row>
    <row r="1323" spans="7:13" ht="17.25" customHeight="1">
      <c r="G1323" s="15" t="s">
        <v>3203</v>
      </c>
      <c r="M1323" s="15" t="s">
        <v>3204</v>
      </c>
    </row>
    <row r="1324" spans="7:13" ht="17.25" customHeight="1">
      <c r="G1324" s="15" t="s">
        <v>3205</v>
      </c>
      <c r="M1324" s="15" t="s">
        <v>3206</v>
      </c>
    </row>
    <row r="1325" spans="7:13" ht="17.25" customHeight="1">
      <c r="G1325" s="15" t="s">
        <v>3207</v>
      </c>
      <c r="M1325" s="15" t="s">
        <v>3208</v>
      </c>
    </row>
    <row r="1326" spans="7:13" ht="17.25" customHeight="1">
      <c r="G1326" s="15" t="s">
        <v>3209</v>
      </c>
      <c r="M1326" s="15" t="s">
        <v>3210</v>
      </c>
    </row>
    <row r="1327" spans="7:13" ht="17.25" customHeight="1">
      <c r="G1327" s="15" t="s">
        <v>3211</v>
      </c>
      <c r="M1327" s="15" t="s">
        <v>3212</v>
      </c>
    </row>
    <row r="1328" spans="7:13" ht="17.25" customHeight="1">
      <c r="G1328" s="15" t="s">
        <v>3213</v>
      </c>
      <c r="M1328" s="15" t="s">
        <v>3214</v>
      </c>
    </row>
    <row r="1329" spans="7:13" ht="17.25" customHeight="1">
      <c r="G1329" s="15" t="s">
        <v>3215</v>
      </c>
      <c r="M1329" s="15" t="s">
        <v>3216</v>
      </c>
    </row>
    <row r="1330" spans="7:13" ht="17.25" customHeight="1">
      <c r="G1330" s="15" t="s">
        <v>3217</v>
      </c>
      <c r="M1330" s="15" t="s">
        <v>3218</v>
      </c>
    </row>
    <row r="1331" spans="7:13" ht="17.25" customHeight="1">
      <c r="G1331" s="15" t="s">
        <v>3219</v>
      </c>
      <c r="M1331" s="15" t="s">
        <v>3220</v>
      </c>
    </row>
    <row r="1332" spans="7:13" ht="17.25" customHeight="1">
      <c r="G1332" s="15" t="s">
        <v>3221</v>
      </c>
      <c r="M1332" s="15" t="s">
        <v>3222</v>
      </c>
    </row>
    <row r="1333" spans="7:13" ht="17.25" customHeight="1">
      <c r="G1333" s="15" t="s">
        <v>3223</v>
      </c>
      <c r="M1333" s="15" t="s">
        <v>3224</v>
      </c>
    </row>
    <row r="1334" spans="7:13" ht="17.25" customHeight="1">
      <c r="G1334" s="15" t="s">
        <v>3225</v>
      </c>
      <c r="M1334" s="15" t="s">
        <v>3226</v>
      </c>
    </row>
    <row r="1335" spans="7:13" ht="17.25" customHeight="1">
      <c r="G1335" s="15" t="s">
        <v>3227</v>
      </c>
      <c r="M1335" s="15" t="s">
        <v>3228</v>
      </c>
    </row>
    <row r="1336" spans="7:13" ht="17.25" customHeight="1">
      <c r="G1336" s="15" t="s">
        <v>3229</v>
      </c>
      <c r="M1336" s="15" t="s">
        <v>3230</v>
      </c>
    </row>
    <row r="1337" spans="7:13" ht="17.25" customHeight="1">
      <c r="G1337" s="15" t="s">
        <v>3231</v>
      </c>
      <c r="M1337" s="15" t="s">
        <v>3232</v>
      </c>
    </row>
    <row r="1338" spans="7:13" ht="17.25" customHeight="1">
      <c r="G1338" s="15" t="s">
        <v>3233</v>
      </c>
      <c r="M1338" s="15" t="s">
        <v>3234</v>
      </c>
    </row>
    <row r="1339" spans="7:13" ht="17.25" customHeight="1">
      <c r="G1339" s="15" t="s">
        <v>3235</v>
      </c>
      <c r="M1339" s="15" t="s">
        <v>3236</v>
      </c>
    </row>
    <row r="1340" spans="7:13" ht="17.25" customHeight="1">
      <c r="G1340" s="15" t="s">
        <v>3237</v>
      </c>
      <c r="M1340" s="15" t="s">
        <v>3238</v>
      </c>
    </row>
    <row r="1341" spans="7:13" ht="17.25" customHeight="1">
      <c r="G1341" s="15" t="s">
        <v>3239</v>
      </c>
      <c r="M1341" s="15" t="s">
        <v>3240</v>
      </c>
    </row>
    <row r="1342" spans="7:13" ht="17.25" customHeight="1">
      <c r="G1342" s="15" t="s">
        <v>3241</v>
      </c>
      <c r="M1342" s="15" t="s">
        <v>3242</v>
      </c>
    </row>
    <row r="1343" spans="7:13" ht="17.25" customHeight="1">
      <c r="G1343" s="15" t="s">
        <v>3243</v>
      </c>
      <c r="M1343" s="15" t="s">
        <v>3244</v>
      </c>
    </row>
    <row r="1344" spans="7:13" ht="17.25" customHeight="1">
      <c r="G1344" s="15" t="s">
        <v>3245</v>
      </c>
      <c r="M1344" s="15" t="s">
        <v>3246</v>
      </c>
    </row>
    <row r="1345" spans="7:13" ht="17.25" customHeight="1">
      <c r="G1345" s="15" t="s">
        <v>3247</v>
      </c>
      <c r="M1345" s="15" t="s">
        <v>3248</v>
      </c>
    </row>
    <row r="1346" spans="7:13" ht="17.25" customHeight="1">
      <c r="G1346" s="15" t="s">
        <v>3249</v>
      </c>
      <c r="M1346" s="15" t="s">
        <v>3250</v>
      </c>
    </row>
    <row r="1347" spans="7:13" ht="17.25" customHeight="1">
      <c r="G1347" s="15" t="s">
        <v>3251</v>
      </c>
      <c r="M1347" s="15" t="s">
        <v>3252</v>
      </c>
    </row>
    <row r="1348" spans="7:13" ht="17.25" customHeight="1">
      <c r="G1348" s="15" t="s">
        <v>3253</v>
      </c>
      <c r="M1348" s="15" t="s">
        <v>3254</v>
      </c>
    </row>
    <row r="1349" spans="7:13" ht="17.25" customHeight="1">
      <c r="G1349" s="15" t="s">
        <v>3255</v>
      </c>
      <c r="M1349" s="15" t="s">
        <v>3256</v>
      </c>
    </row>
    <row r="1350" spans="7:13" ht="17.25" customHeight="1">
      <c r="G1350" s="15" t="s">
        <v>3257</v>
      </c>
      <c r="M1350" s="15" t="s">
        <v>3258</v>
      </c>
    </row>
    <row r="1351" spans="7:13" ht="17.25" customHeight="1">
      <c r="G1351" s="15" t="s">
        <v>3259</v>
      </c>
      <c r="M1351" s="15" t="s">
        <v>3260</v>
      </c>
    </row>
    <row r="1352" spans="7:13" ht="17.25" customHeight="1">
      <c r="G1352" s="15" t="s">
        <v>3261</v>
      </c>
      <c r="M1352" s="15" t="s">
        <v>3262</v>
      </c>
    </row>
    <row r="1353" spans="7:13" ht="17.25" customHeight="1">
      <c r="G1353" s="15" t="s">
        <v>3263</v>
      </c>
      <c r="M1353" s="15" t="s">
        <v>3264</v>
      </c>
    </row>
    <row r="1354" spans="7:13" ht="17.25" customHeight="1">
      <c r="G1354" s="15" t="s">
        <v>3265</v>
      </c>
      <c r="M1354" s="15" t="s">
        <v>3266</v>
      </c>
    </row>
    <row r="1355" spans="7:13" ht="17.25" customHeight="1">
      <c r="G1355" s="15" t="s">
        <v>3267</v>
      </c>
      <c r="M1355" s="15" t="s">
        <v>3268</v>
      </c>
    </row>
    <row r="1356" spans="7:13" ht="17.25" customHeight="1">
      <c r="G1356" s="15" t="s">
        <v>3269</v>
      </c>
      <c r="M1356" s="15" t="s">
        <v>3270</v>
      </c>
    </row>
    <row r="1357" spans="7:13" ht="17.25" customHeight="1">
      <c r="G1357" s="15" t="s">
        <v>3271</v>
      </c>
      <c r="M1357" s="15" t="s">
        <v>3272</v>
      </c>
    </row>
    <row r="1358" spans="7:13" ht="17.25" customHeight="1">
      <c r="G1358" s="15" t="s">
        <v>3273</v>
      </c>
      <c r="M1358" s="15" t="s">
        <v>3274</v>
      </c>
    </row>
    <row r="1359" spans="7:13" ht="17.25" customHeight="1">
      <c r="G1359" s="15" t="s">
        <v>3275</v>
      </c>
      <c r="M1359" s="15" t="s">
        <v>3276</v>
      </c>
    </row>
    <row r="1360" spans="7:13" ht="17.25" customHeight="1">
      <c r="G1360" s="15" t="s">
        <v>3277</v>
      </c>
      <c r="M1360" s="15" t="s">
        <v>3278</v>
      </c>
    </row>
    <row r="1361" spans="7:13" ht="17.25" customHeight="1">
      <c r="G1361" s="15" t="s">
        <v>3279</v>
      </c>
      <c r="M1361" s="15" t="s">
        <v>3280</v>
      </c>
    </row>
    <row r="1362" spans="7:13" ht="17.25" customHeight="1">
      <c r="G1362" s="15" t="s">
        <v>3281</v>
      </c>
      <c r="M1362" s="15" t="s">
        <v>3282</v>
      </c>
    </row>
    <row r="1363" spans="7:13" ht="17.25" customHeight="1">
      <c r="G1363" s="15" t="s">
        <v>3283</v>
      </c>
      <c r="M1363" s="15" t="s">
        <v>3284</v>
      </c>
    </row>
    <row r="1364" spans="7:13" ht="17.25" customHeight="1">
      <c r="G1364" s="15" t="s">
        <v>3285</v>
      </c>
      <c r="M1364" s="15" t="s">
        <v>3286</v>
      </c>
    </row>
    <row r="1365" spans="7:13" ht="17.25" customHeight="1">
      <c r="G1365" s="15" t="s">
        <v>3287</v>
      </c>
      <c r="M1365" s="15" t="s">
        <v>3288</v>
      </c>
    </row>
    <row r="1366" spans="7:13" ht="17.25" customHeight="1">
      <c r="G1366" s="15" t="s">
        <v>3289</v>
      </c>
      <c r="M1366" s="15" t="s">
        <v>3290</v>
      </c>
    </row>
    <row r="1367" spans="7:13" ht="17.25" customHeight="1">
      <c r="G1367" s="15" t="s">
        <v>3291</v>
      </c>
      <c r="M1367" s="15" t="s">
        <v>3292</v>
      </c>
    </row>
    <row r="1368" spans="7:13" ht="17.25" customHeight="1">
      <c r="G1368" s="15" t="s">
        <v>3293</v>
      </c>
      <c r="M1368" s="15" t="s">
        <v>3294</v>
      </c>
    </row>
    <row r="1369" spans="7:13" ht="17.25" customHeight="1">
      <c r="G1369" s="15" t="s">
        <v>3295</v>
      </c>
      <c r="M1369" s="15" t="s">
        <v>3296</v>
      </c>
    </row>
    <row r="1370" spans="7:13" ht="17.25" customHeight="1">
      <c r="G1370" s="15" t="s">
        <v>3297</v>
      </c>
      <c r="M1370" s="15" t="s">
        <v>3298</v>
      </c>
    </row>
    <row r="1371" spans="7:13" ht="17.25" customHeight="1">
      <c r="G1371" s="15" t="s">
        <v>3299</v>
      </c>
      <c r="M1371" s="15" t="s">
        <v>3300</v>
      </c>
    </row>
    <row r="1372" spans="7:13" ht="17.25" customHeight="1">
      <c r="G1372" s="15" t="s">
        <v>3301</v>
      </c>
      <c r="M1372" s="15" t="s">
        <v>3302</v>
      </c>
    </row>
    <row r="1373" spans="7:13" ht="17.25" customHeight="1">
      <c r="G1373" s="15" t="s">
        <v>3303</v>
      </c>
      <c r="M1373" s="15" t="s">
        <v>3304</v>
      </c>
    </row>
    <row r="1374" spans="7:13" ht="17.25" customHeight="1">
      <c r="G1374" s="15" t="s">
        <v>3305</v>
      </c>
      <c r="M1374" s="15" t="s">
        <v>3306</v>
      </c>
    </row>
    <row r="1375" spans="7:13" ht="17.25" customHeight="1">
      <c r="G1375" s="15" t="s">
        <v>3307</v>
      </c>
      <c r="M1375" s="15" t="s">
        <v>3308</v>
      </c>
    </row>
    <row r="1376" spans="7:13" ht="17.25" customHeight="1">
      <c r="G1376" s="15" t="s">
        <v>3309</v>
      </c>
      <c r="M1376" s="15" t="s">
        <v>3310</v>
      </c>
    </row>
    <row r="1377" spans="7:13" ht="17.25" customHeight="1">
      <c r="G1377" s="15" t="s">
        <v>3311</v>
      </c>
      <c r="M1377" s="15" t="s">
        <v>3312</v>
      </c>
    </row>
    <row r="1378" spans="7:13" ht="17.25" customHeight="1">
      <c r="G1378" s="15" t="s">
        <v>3313</v>
      </c>
      <c r="M1378" s="15" t="s">
        <v>3314</v>
      </c>
    </row>
    <row r="1379" spans="7:13" ht="17.25" customHeight="1">
      <c r="G1379" s="15" t="s">
        <v>3315</v>
      </c>
      <c r="M1379" s="15" t="s">
        <v>3316</v>
      </c>
    </row>
    <row r="1380" spans="7:13" ht="17.25" customHeight="1">
      <c r="G1380" s="15" t="s">
        <v>3317</v>
      </c>
      <c r="M1380" s="15" t="s">
        <v>3318</v>
      </c>
    </row>
    <row r="1381" spans="7:13" ht="17.25" customHeight="1">
      <c r="G1381" s="15" t="s">
        <v>3319</v>
      </c>
      <c r="M1381" s="15" t="s">
        <v>3320</v>
      </c>
    </row>
    <row r="1382" spans="7:13" ht="17.25" customHeight="1">
      <c r="G1382" s="15" t="s">
        <v>3321</v>
      </c>
      <c r="M1382" s="15" t="s">
        <v>3322</v>
      </c>
    </row>
    <row r="1383" spans="7:13" ht="17.25" customHeight="1">
      <c r="G1383" s="15" t="s">
        <v>3323</v>
      </c>
      <c r="M1383" s="15" t="s">
        <v>3324</v>
      </c>
    </row>
    <row r="1384" spans="7:13" ht="17.25" customHeight="1">
      <c r="G1384" s="15" t="s">
        <v>3325</v>
      </c>
      <c r="M1384" s="15" t="s">
        <v>3326</v>
      </c>
    </row>
    <row r="1385" spans="7:13" ht="17.25" customHeight="1">
      <c r="G1385" s="15" t="s">
        <v>3327</v>
      </c>
      <c r="M1385" s="15" t="s">
        <v>3328</v>
      </c>
    </row>
    <row r="1386" spans="7:13" ht="17.25" customHeight="1">
      <c r="G1386" s="15" t="s">
        <v>3329</v>
      </c>
      <c r="M1386" s="15" t="s">
        <v>3330</v>
      </c>
    </row>
    <row r="1387" spans="7:13" ht="17.25" customHeight="1">
      <c r="G1387" s="15" t="s">
        <v>3331</v>
      </c>
      <c r="M1387" s="15" t="s">
        <v>3332</v>
      </c>
    </row>
    <row r="1388" spans="7:13" ht="17.25" customHeight="1">
      <c r="G1388" s="15" t="s">
        <v>3333</v>
      </c>
      <c r="M1388" s="15" t="s">
        <v>3334</v>
      </c>
    </row>
    <row r="1389" spans="7:13" ht="17.25" customHeight="1">
      <c r="G1389" s="15" t="s">
        <v>3335</v>
      </c>
      <c r="M1389" s="15" t="s">
        <v>3336</v>
      </c>
    </row>
    <row r="1390" spans="7:13" ht="17.25" customHeight="1">
      <c r="G1390" s="15" t="s">
        <v>3337</v>
      </c>
      <c r="M1390" s="15" t="s">
        <v>3338</v>
      </c>
    </row>
    <row r="1391" spans="7:13" ht="17.25" customHeight="1">
      <c r="G1391" s="15" t="s">
        <v>3339</v>
      </c>
      <c r="M1391" s="15" t="s">
        <v>3340</v>
      </c>
    </row>
    <row r="1392" spans="7:13" ht="17.25" customHeight="1">
      <c r="G1392" s="15" t="s">
        <v>3341</v>
      </c>
      <c r="M1392" s="15" t="s">
        <v>3342</v>
      </c>
    </row>
    <row r="1393" spans="7:13" ht="17.25" customHeight="1">
      <c r="G1393" s="15" t="s">
        <v>3343</v>
      </c>
      <c r="M1393" s="15" t="s">
        <v>3344</v>
      </c>
    </row>
    <row r="1394" spans="7:13" ht="17.25" customHeight="1">
      <c r="G1394" s="15" t="s">
        <v>3345</v>
      </c>
      <c r="M1394" s="15" t="s">
        <v>3346</v>
      </c>
    </row>
    <row r="1395" spans="7:13" ht="17.25" customHeight="1">
      <c r="G1395" s="15" t="s">
        <v>3347</v>
      </c>
      <c r="M1395" s="15" t="s">
        <v>3348</v>
      </c>
    </row>
    <row r="1396" spans="7:13" ht="17.25" customHeight="1">
      <c r="G1396" s="15" t="s">
        <v>3349</v>
      </c>
      <c r="M1396" s="15" t="s">
        <v>3350</v>
      </c>
    </row>
    <row r="1397" spans="7:13" ht="17.25" customHeight="1">
      <c r="G1397" s="15" t="s">
        <v>3351</v>
      </c>
      <c r="M1397" s="15" t="s">
        <v>3352</v>
      </c>
    </row>
    <row r="1398" spans="7:13" ht="17.25" customHeight="1">
      <c r="G1398" s="15" t="s">
        <v>3353</v>
      </c>
      <c r="M1398" s="15" t="s">
        <v>3354</v>
      </c>
    </row>
    <row r="1399" spans="7:13" ht="17.25" customHeight="1">
      <c r="G1399" s="15" t="s">
        <v>3355</v>
      </c>
      <c r="M1399" s="15" t="s">
        <v>3356</v>
      </c>
    </row>
    <row r="1400" spans="7:13" ht="17.25" customHeight="1">
      <c r="G1400" s="15" t="s">
        <v>3357</v>
      </c>
      <c r="M1400" s="15" t="s">
        <v>3358</v>
      </c>
    </row>
    <row r="1401" spans="7:13" ht="17.25" customHeight="1">
      <c r="G1401" s="15" t="s">
        <v>3359</v>
      </c>
      <c r="M1401" s="15" t="s">
        <v>3360</v>
      </c>
    </row>
    <row r="1402" spans="7:13" ht="17.25" customHeight="1">
      <c r="G1402" s="15" t="s">
        <v>3361</v>
      </c>
      <c r="M1402" s="15" t="s">
        <v>3362</v>
      </c>
    </row>
    <row r="1403" spans="7:13" ht="17.25" customHeight="1">
      <c r="G1403" s="15" t="s">
        <v>3363</v>
      </c>
      <c r="M1403" s="15" t="s">
        <v>3364</v>
      </c>
    </row>
    <row r="1404" spans="7:13" ht="17.25" customHeight="1">
      <c r="G1404" s="15" t="s">
        <v>3365</v>
      </c>
      <c r="M1404" s="15" t="s">
        <v>3366</v>
      </c>
    </row>
    <row r="1405" spans="7:13" ht="17.25" customHeight="1">
      <c r="G1405" s="15" t="s">
        <v>3367</v>
      </c>
      <c r="M1405" s="15" t="s">
        <v>3368</v>
      </c>
    </row>
    <row r="1406" spans="7:13" ht="17.25" customHeight="1">
      <c r="G1406" s="15" t="s">
        <v>3369</v>
      </c>
      <c r="M1406" s="15" t="s">
        <v>3370</v>
      </c>
    </row>
    <row r="1407" spans="7:13" ht="17.25" customHeight="1">
      <c r="G1407" s="15" t="s">
        <v>3371</v>
      </c>
      <c r="M1407" s="15" t="s">
        <v>3372</v>
      </c>
    </row>
    <row r="1408" spans="7:13" ht="17.25" customHeight="1">
      <c r="G1408" s="15" t="s">
        <v>3373</v>
      </c>
      <c r="M1408" s="15" t="s">
        <v>3374</v>
      </c>
    </row>
    <row r="1409" spans="7:13" ht="17.25" customHeight="1">
      <c r="G1409" s="15" t="s">
        <v>3375</v>
      </c>
      <c r="M1409" s="15" t="s">
        <v>3376</v>
      </c>
    </row>
    <row r="1410" spans="7:13" ht="17.25" customHeight="1">
      <c r="G1410" s="15" t="s">
        <v>3377</v>
      </c>
      <c r="M1410" s="15" t="s">
        <v>3378</v>
      </c>
    </row>
    <row r="1411" spans="7:13" ht="17.25" customHeight="1">
      <c r="G1411" s="15" t="s">
        <v>3379</v>
      </c>
      <c r="M1411" s="15" t="s">
        <v>3380</v>
      </c>
    </row>
    <row r="1412" spans="7:13" ht="17.25" customHeight="1">
      <c r="G1412" s="15" t="s">
        <v>3381</v>
      </c>
      <c r="M1412" s="15" t="s">
        <v>3382</v>
      </c>
    </row>
    <row r="1413" spans="7:13" ht="17.25" customHeight="1">
      <c r="G1413" s="15" t="s">
        <v>3383</v>
      </c>
      <c r="M1413" s="15" t="s">
        <v>3384</v>
      </c>
    </row>
    <row r="1414" spans="7:13" ht="17.25" customHeight="1">
      <c r="G1414" s="15" t="s">
        <v>3385</v>
      </c>
      <c r="M1414" s="15" t="s">
        <v>3386</v>
      </c>
    </row>
    <row r="1415" spans="7:13" ht="17.25" customHeight="1">
      <c r="G1415" s="15" t="s">
        <v>3387</v>
      </c>
      <c r="M1415" s="15" t="s">
        <v>3388</v>
      </c>
    </row>
    <row r="1416" spans="7:13" ht="17.25" customHeight="1">
      <c r="G1416" s="15" t="s">
        <v>3389</v>
      </c>
      <c r="M1416" s="15" t="s">
        <v>3390</v>
      </c>
    </row>
    <row r="1417" spans="7:13" ht="17.25" customHeight="1">
      <c r="G1417" s="15" t="s">
        <v>3391</v>
      </c>
      <c r="M1417" s="15" t="s">
        <v>3392</v>
      </c>
    </row>
    <row r="1418" spans="7:13" ht="17.25" customHeight="1">
      <c r="G1418" s="15" t="s">
        <v>3393</v>
      </c>
      <c r="M1418" s="15" t="s">
        <v>3394</v>
      </c>
    </row>
    <row r="1419" spans="7:13" ht="17.25" customHeight="1">
      <c r="G1419" s="15" t="s">
        <v>3395</v>
      </c>
      <c r="M1419" s="15" t="s">
        <v>3396</v>
      </c>
    </row>
    <row r="1420" spans="7:13" ht="17.25" customHeight="1">
      <c r="G1420" s="15" t="s">
        <v>3397</v>
      </c>
      <c r="M1420" s="15" t="s">
        <v>3398</v>
      </c>
    </row>
    <row r="1421" spans="7:13" ht="17.25" customHeight="1">
      <c r="G1421" s="15" t="s">
        <v>3399</v>
      </c>
      <c r="M1421" s="15" t="s">
        <v>3400</v>
      </c>
    </row>
    <row r="1422" spans="7:13" ht="17.25" customHeight="1">
      <c r="G1422" s="15" t="s">
        <v>3401</v>
      </c>
      <c r="M1422" s="15" t="s">
        <v>3402</v>
      </c>
    </row>
    <row r="1423" spans="7:13" ht="17.25" customHeight="1">
      <c r="G1423" s="15" t="s">
        <v>3403</v>
      </c>
      <c r="M1423" s="15" t="s">
        <v>3404</v>
      </c>
    </row>
    <row r="1424" spans="7:13" ht="17.25" customHeight="1">
      <c r="G1424" s="15" t="s">
        <v>3405</v>
      </c>
      <c r="M1424" s="15" t="s">
        <v>3406</v>
      </c>
    </row>
    <row r="1425" spans="7:13" ht="17.25" customHeight="1">
      <c r="G1425" s="15" t="s">
        <v>3407</v>
      </c>
      <c r="M1425" s="15" t="s">
        <v>3408</v>
      </c>
    </row>
    <row r="1426" spans="7:13" ht="17.25" customHeight="1">
      <c r="G1426" s="15" t="s">
        <v>3409</v>
      </c>
      <c r="M1426" s="15" t="s">
        <v>3410</v>
      </c>
    </row>
    <row r="1427" spans="7:13" ht="17.25" customHeight="1">
      <c r="G1427" s="15" t="s">
        <v>3411</v>
      </c>
      <c r="M1427" s="15" t="s">
        <v>3412</v>
      </c>
    </row>
    <row r="1428" spans="7:13" ht="17.25" customHeight="1">
      <c r="G1428" s="15" t="s">
        <v>3413</v>
      </c>
      <c r="M1428" s="15" t="s">
        <v>3414</v>
      </c>
    </row>
    <row r="1429" spans="7:13" ht="17.25" customHeight="1">
      <c r="G1429" s="15" t="s">
        <v>3415</v>
      </c>
      <c r="M1429" s="15" t="s">
        <v>3416</v>
      </c>
    </row>
    <row r="1430" spans="7:13" ht="17.25" customHeight="1">
      <c r="G1430" s="15" t="s">
        <v>3417</v>
      </c>
      <c r="M1430" s="15" t="s">
        <v>3418</v>
      </c>
    </row>
    <row r="1431" spans="7:13" ht="17.25" customHeight="1">
      <c r="G1431" s="15" t="s">
        <v>3419</v>
      </c>
      <c r="M1431" s="15" t="s">
        <v>3420</v>
      </c>
    </row>
    <row r="1432" spans="7:13" ht="17.25" customHeight="1">
      <c r="G1432" s="15" t="s">
        <v>3421</v>
      </c>
      <c r="M1432" s="15" t="s">
        <v>3422</v>
      </c>
    </row>
    <row r="1433" spans="7:13" ht="17.25" customHeight="1">
      <c r="G1433" s="15" t="s">
        <v>3423</v>
      </c>
      <c r="M1433" s="15" t="s">
        <v>3424</v>
      </c>
    </row>
    <row r="1434" spans="7:13" ht="17.25" customHeight="1">
      <c r="G1434" s="15" t="s">
        <v>3425</v>
      </c>
      <c r="M1434" s="15" t="s">
        <v>3426</v>
      </c>
    </row>
    <row r="1435" spans="7:13" ht="17.25" customHeight="1">
      <c r="G1435" s="15" t="s">
        <v>3427</v>
      </c>
      <c r="M1435" s="15" t="s">
        <v>3428</v>
      </c>
    </row>
    <row r="1436" spans="7:13" ht="17.25" customHeight="1">
      <c r="G1436" s="15" t="s">
        <v>3429</v>
      </c>
      <c r="M1436" s="15" t="s">
        <v>3430</v>
      </c>
    </row>
    <row r="1437" spans="7:13" ht="17.25" customHeight="1">
      <c r="G1437" s="15" t="s">
        <v>3431</v>
      </c>
      <c r="M1437" s="15" t="s">
        <v>3432</v>
      </c>
    </row>
    <row r="1438" spans="7:13" ht="17.25" customHeight="1">
      <c r="G1438" s="15" t="s">
        <v>3433</v>
      </c>
      <c r="M1438" s="15" t="s">
        <v>3434</v>
      </c>
    </row>
    <row r="1439" spans="7:13" ht="17.25" customHeight="1">
      <c r="G1439" s="15" t="s">
        <v>3435</v>
      </c>
      <c r="M1439" s="15" t="s">
        <v>3436</v>
      </c>
    </row>
    <row r="1440" spans="7:13" ht="17.25" customHeight="1">
      <c r="G1440" s="15" t="s">
        <v>3437</v>
      </c>
      <c r="M1440" s="15" t="s">
        <v>3438</v>
      </c>
    </row>
    <row r="1441" spans="7:13" ht="17.25" customHeight="1">
      <c r="G1441" s="15" t="s">
        <v>3439</v>
      </c>
      <c r="M1441" s="15" t="s">
        <v>3440</v>
      </c>
    </row>
    <row r="1442" spans="7:13" ht="17.25" customHeight="1">
      <c r="G1442" s="15" t="s">
        <v>3441</v>
      </c>
      <c r="M1442" s="15" t="s">
        <v>3442</v>
      </c>
    </row>
    <row r="1443" spans="7:13" ht="17.25" customHeight="1">
      <c r="G1443" s="15" t="s">
        <v>3443</v>
      </c>
      <c r="M1443" s="15" t="s">
        <v>3444</v>
      </c>
    </row>
    <row r="1444" spans="7:13" ht="17.25" customHeight="1">
      <c r="G1444" s="15" t="s">
        <v>3445</v>
      </c>
      <c r="M1444" s="15" t="s">
        <v>3446</v>
      </c>
    </row>
    <row r="1445" spans="7:13" ht="17.25" customHeight="1">
      <c r="G1445" s="15" t="s">
        <v>3447</v>
      </c>
      <c r="M1445" s="15" t="s">
        <v>3448</v>
      </c>
    </row>
    <row r="1446" spans="7:13" ht="17.25" customHeight="1">
      <c r="G1446" s="15" t="s">
        <v>3449</v>
      </c>
      <c r="M1446" s="15" t="s">
        <v>3450</v>
      </c>
    </row>
    <row r="1447" spans="7:13" ht="17.25" customHeight="1">
      <c r="G1447" s="15" t="s">
        <v>3451</v>
      </c>
      <c r="M1447" s="15" t="s">
        <v>3452</v>
      </c>
    </row>
    <row r="1448" spans="7:13" ht="17.25" customHeight="1">
      <c r="G1448" s="15" t="s">
        <v>3453</v>
      </c>
      <c r="M1448" s="15" t="s">
        <v>3454</v>
      </c>
    </row>
    <row r="1449" spans="7:13" ht="17.25" customHeight="1">
      <c r="G1449" s="15" t="s">
        <v>3455</v>
      </c>
      <c r="M1449" s="15" t="s">
        <v>3456</v>
      </c>
    </row>
    <row r="1450" spans="7:13" ht="17.25" customHeight="1">
      <c r="G1450" s="15" t="s">
        <v>3457</v>
      </c>
      <c r="M1450" s="15" t="s">
        <v>3458</v>
      </c>
    </row>
    <row r="1451" spans="7:13" ht="17.25" customHeight="1">
      <c r="G1451" s="15" t="s">
        <v>3459</v>
      </c>
      <c r="M1451" s="15" t="s">
        <v>3460</v>
      </c>
    </row>
    <row r="1452" spans="7:13" ht="17.25" customHeight="1">
      <c r="G1452" s="15" t="s">
        <v>3461</v>
      </c>
      <c r="M1452" s="15" t="s">
        <v>3462</v>
      </c>
    </row>
    <row r="1453" spans="7:13" ht="17.25" customHeight="1">
      <c r="G1453" s="15" t="s">
        <v>3463</v>
      </c>
      <c r="M1453" s="15" t="s">
        <v>3464</v>
      </c>
    </row>
    <row r="1454" spans="7:13" ht="17.25" customHeight="1">
      <c r="G1454" s="15" t="s">
        <v>3465</v>
      </c>
      <c r="M1454" s="15" t="s">
        <v>3466</v>
      </c>
    </row>
    <row r="1455" spans="7:13" ht="17.25" customHeight="1">
      <c r="G1455" s="15" t="s">
        <v>3467</v>
      </c>
      <c r="M1455" s="15" t="s">
        <v>3468</v>
      </c>
    </row>
    <row r="1456" spans="7:13" ht="17.25" customHeight="1">
      <c r="G1456" s="15" t="s">
        <v>3469</v>
      </c>
      <c r="M1456" s="15" t="s">
        <v>3470</v>
      </c>
    </row>
    <row r="1457" spans="7:13" ht="17.25" customHeight="1">
      <c r="G1457" s="15" t="s">
        <v>3471</v>
      </c>
      <c r="M1457" s="15" t="s">
        <v>3472</v>
      </c>
    </row>
    <row r="1458" spans="7:13" ht="17.25" customHeight="1">
      <c r="G1458" s="15" t="s">
        <v>3473</v>
      </c>
      <c r="M1458" s="15" t="s">
        <v>3474</v>
      </c>
    </row>
    <row r="1459" spans="7:13" ht="17.25" customHeight="1">
      <c r="G1459" s="15" t="s">
        <v>3475</v>
      </c>
      <c r="M1459" s="15" t="s">
        <v>3476</v>
      </c>
    </row>
    <row r="1460" spans="7:13" ht="17.25" customHeight="1">
      <c r="G1460" s="15" t="s">
        <v>3477</v>
      </c>
      <c r="M1460" s="15" t="s">
        <v>3478</v>
      </c>
    </row>
    <row r="1461" spans="7:13" ht="17.25" customHeight="1">
      <c r="G1461" s="15" t="s">
        <v>3479</v>
      </c>
      <c r="M1461" s="15" t="s">
        <v>3480</v>
      </c>
    </row>
    <row r="1462" spans="7:13" ht="17.25" customHeight="1">
      <c r="G1462" s="15" t="s">
        <v>3481</v>
      </c>
      <c r="M1462" s="15" t="s">
        <v>3482</v>
      </c>
    </row>
    <row r="1463" spans="7:13" ht="17.25" customHeight="1">
      <c r="G1463" s="15" t="s">
        <v>3483</v>
      </c>
      <c r="M1463" s="15" t="s">
        <v>3484</v>
      </c>
    </row>
    <row r="1464" spans="7:13" ht="17.25" customHeight="1">
      <c r="G1464" s="15" t="s">
        <v>3485</v>
      </c>
      <c r="M1464" s="15" t="s">
        <v>3486</v>
      </c>
    </row>
    <row r="1465" spans="7:13" ht="17.25" customHeight="1">
      <c r="G1465" s="15" t="s">
        <v>3487</v>
      </c>
      <c r="M1465" s="15" t="s">
        <v>3488</v>
      </c>
    </row>
    <row r="1466" spans="7:13" ht="17.25" customHeight="1">
      <c r="G1466" s="15" t="s">
        <v>3489</v>
      </c>
      <c r="M1466" s="15" t="s">
        <v>3490</v>
      </c>
    </row>
    <row r="1467" spans="7:13" ht="17.25" customHeight="1">
      <c r="G1467" s="15" t="s">
        <v>3491</v>
      </c>
      <c r="M1467" s="15" t="s">
        <v>3492</v>
      </c>
    </row>
    <row r="1468" spans="7:13" ht="17.25" customHeight="1">
      <c r="G1468" s="15" t="s">
        <v>3493</v>
      </c>
      <c r="M1468" s="15" t="s">
        <v>3494</v>
      </c>
    </row>
    <row r="1469" spans="7:13" ht="17.25" customHeight="1">
      <c r="G1469" s="15" t="s">
        <v>3495</v>
      </c>
      <c r="M1469" s="15" t="s">
        <v>3496</v>
      </c>
    </row>
    <row r="1470" spans="7:13" ht="17.25" customHeight="1">
      <c r="G1470" s="15" t="s">
        <v>3497</v>
      </c>
      <c r="M1470" s="15" t="s">
        <v>3498</v>
      </c>
    </row>
    <row r="1471" spans="7:13" ht="17.25" customHeight="1">
      <c r="G1471" s="15" t="s">
        <v>3499</v>
      </c>
      <c r="M1471" s="15" t="s">
        <v>3500</v>
      </c>
    </row>
    <row r="1472" spans="7:13" ht="17.25" customHeight="1">
      <c r="G1472" s="15" t="s">
        <v>3501</v>
      </c>
      <c r="M1472" s="15" t="s">
        <v>3502</v>
      </c>
    </row>
    <row r="1473" spans="7:13" ht="17.25" customHeight="1">
      <c r="G1473" s="15" t="s">
        <v>3503</v>
      </c>
      <c r="M1473" s="15" t="s">
        <v>3504</v>
      </c>
    </row>
    <row r="1474" spans="7:13" ht="17.25" customHeight="1">
      <c r="G1474" s="15" t="s">
        <v>3505</v>
      </c>
      <c r="M1474" s="15" t="s">
        <v>3506</v>
      </c>
    </row>
    <row r="1475" spans="7:13" ht="17.25" customHeight="1">
      <c r="G1475" s="15" t="s">
        <v>3507</v>
      </c>
      <c r="M1475" s="15" t="s">
        <v>3508</v>
      </c>
    </row>
    <row r="1476" spans="7:13" ht="17.25" customHeight="1">
      <c r="G1476" s="15" t="s">
        <v>3509</v>
      </c>
      <c r="M1476" s="15" t="s">
        <v>3510</v>
      </c>
    </row>
    <row r="1477" spans="7:13" ht="17.25" customHeight="1">
      <c r="G1477" s="15" t="s">
        <v>3511</v>
      </c>
      <c r="M1477" s="15" t="s">
        <v>3512</v>
      </c>
    </row>
    <row r="1478" spans="7:13" ht="17.25" customHeight="1">
      <c r="G1478" s="15" t="s">
        <v>3513</v>
      </c>
      <c r="M1478" s="15" t="s">
        <v>3514</v>
      </c>
    </row>
    <row r="1479" spans="7:13" ht="17.25" customHeight="1">
      <c r="G1479" s="15" t="s">
        <v>3515</v>
      </c>
      <c r="M1479" s="15" t="s">
        <v>3516</v>
      </c>
    </row>
    <row r="1480" spans="7:13" ht="17.25" customHeight="1">
      <c r="G1480" s="15" t="s">
        <v>3517</v>
      </c>
      <c r="M1480" s="15" t="s">
        <v>3518</v>
      </c>
    </row>
    <row r="1481" spans="7:13" ht="17.25" customHeight="1">
      <c r="G1481" s="15" t="s">
        <v>3519</v>
      </c>
      <c r="M1481" s="15" t="s">
        <v>3520</v>
      </c>
    </row>
    <row r="1482" spans="7:13" ht="17.25" customHeight="1">
      <c r="G1482" s="15" t="s">
        <v>3521</v>
      </c>
      <c r="M1482" s="15" t="s">
        <v>3522</v>
      </c>
    </row>
    <row r="1483" spans="7:13" ht="17.25" customHeight="1">
      <c r="G1483" s="15" t="s">
        <v>3523</v>
      </c>
      <c r="M1483" s="15" t="s">
        <v>3524</v>
      </c>
    </row>
    <row r="1484" spans="7:13" ht="17.25" customHeight="1">
      <c r="G1484" s="15" t="s">
        <v>3525</v>
      </c>
      <c r="M1484" s="15" t="s">
        <v>3526</v>
      </c>
    </row>
    <row r="1485" spans="7:13" ht="17.25" customHeight="1">
      <c r="G1485" s="15" t="s">
        <v>3527</v>
      </c>
      <c r="M1485" s="15" t="s">
        <v>3528</v>
      </c>
    </row>
    <row r="1486" spans="7:13" ht="17.25" customHeight="1">
      <c r="G1486" s="15" t="s">
        <v>3529</v>
      </c>
      <c r="M1486" s="15" t="s">
        <v>3530</v>
      </c>
    </row>
    <row r="1487" spans="7:13" ht="17.25" customHeight="1">
      <c r="G1487" s="15" t="s">
        <v>3531</v>
      </c>
      <c r="M1487" s="15" t="s">
        <v>3532</v>
      </c>
    </row>
    <row r="1488" spans="7:13" ht="17.25" customHeight="1">
      <c r="G1488" s="15" t="s">
        <v>3533</v>
      </c>
      <c r="M1488" s="15" t="s">
        <v>3534</v>
      </c>
    </row>
    <row r="1489" spans="7:13" ht="17.25" customHeight="1">
      <c r="G1489" s="15" t="s">
        <v>3535</v>
      </c>
      <c r="M1489" s="15" t="s">
        <v>3536</v>
      </c>
    </row>
    <row r="1490" spans="7:13" ht="17.25" customHeight="1">
      <c r="G1490" s="15" t="s">
        <v>3537</v>
      </c>
      <c r="M1490" s="15" t="s">
        <v>3538</v>
      </c>
    </row>
    <row r="1491" spans="7:13" ht="17.25" customHeight="1">
      <c r="G1491" s="15" t="s">
        <v>3539</v>
      </c>
      <c r="M1491" s="15" t="s">
        <v>3540</v>
      </c>
    </row>
    <row r="1492" spans="7:13" ht="17.25" customHeight="1">
      <c r="G1492" s="15" t="s">
        <v>3541</v>
      </c>
      <c r="M1492" s="15" t="s">
        <v>3542</v>
      </c>
    </row>
    <row r="1493" spans="7:13" ht="17.25" customHeight="1">
      <c r="G1493" s="15" t="s">
        <v>3543</v>
      </c>
      <c r="M1493" s="15" t="s">
        <v>3544</v>
      </c>
    </row>
    <row r="1494" spans="7:13" ht="17.25" customHeight="1">
      <c r="G1494" s="15" t="s">
        <v>3545</v>
      </c>
      <c r="M1494" s="15" t="s">
        <v>3546</v>
      </c>
    </row>
    <row r="1495" spans="7:13" ht="17.25" customHeight="1">
      <c r="G1495" s="15" t="s">
        <v>3547</v>
      </c>
      <c r="M1495" s="15" t="s">
        <v>3548</v>
      </c>
    </row>
    <row r="1496" spans="7:13" ht="17.25" customHeight="1">
      <c r="G1496" s="15" t="s">
        <v>3549</v>
      </c>
      <c r="M1496" s="15" t="s">
        <v>3550</v>
      </c>
    </row>
    <row r="1497" spans="7:13" ht="17.25" customHeight="1">
      <c r="G1497" s="15" t="s">
        <v>3551</v>
      </c>
      <c r="M1497" s="15" t="s">
        <v>3552</v>
      </c>
    </row>
    <row r="1498" spans="7:13" ht="17.25" customHeight="1">
      <c r="G1498" s="15" t="s">
        <v>3553</v>
      </c>
      <c r="M1498" s="15" t="s">
        <v>3554</v>
      </c>
    </row>
    <row r="1499" spans="7:13" ht="17.25" customHeight="1">
      <c r="G1499" s="15" t="s">
        <v>3555</v>
      </c>
      <c r="M1499" s="15" t="s">
        <v>3556</v>
      </c>
    </row>
    <row r="1500" spans="7:13" ht="17.25" customHeight="1">
      <c r="G1500" s="15" t="s">
        <v>3557</v>
      </c>
      <c r="M1500" s="15" t="s">
        <v>3558</v>
      </c>
    </row>
    <row r="1501" spans="7:13" ht="17.25" customHeight="1">
      <c r="G1501" s="15" t="s">
        <v>3559</v>
      </c>
      <c r="M1501" s="15" t="s">
        <v>3560</v>
      </c>
    </row>
    <row r="1502" spans="7:13" ht="17.25" customHeight="1">
      <c r="G1502" s="15" t="s">
        <v>3561</v>
      </c>
      <c r="M1502" s="15" t="s">
        <v>3562</v>
      </c>
    </row>
    <row r="1503" spans="7:13" ht="17.25" customHeight="1">
      <c r="G1503" s="15" t="s">
        <v>3563</v>
      </c>
      <c r="M1503" s="15" t="s">
        <v>3564</v>
      </c>
    </row>
    <row r="1504" spans="7:13" ht="17.25" customHeight="1">
      <c r="G1504" s="15" t="s">
        <v>3565</v>
      </c>
      <c r="M1504" s="15" t="s">
        <v>3566</v>
      </c>
    </row>
    <row r="1505" spans="7:13" ht="17.25" customHeight="1">
      <c r="G1505" s="15" t="s">
        <v>3567</v>
      </c>
      <c r="M1505" s="15" t="s">
        <v>3568</v>
      </c>
    </row>
    <row r="1506" spans="7:13" ht="17.25" customHeight="1">
      <c r="G1506" s="15" t="s">
        <v>3569</v>
      </c>
      <c r="M1506" s="15" t="s">
        <v>3570</v>
      </c>
    </row>
    <row r="1507" spans="7:13" ht="17.25" customHeight="1">
      <c r="G1507" s="15" t="s">
        <v>3571</v>
      </c>
      <c r="M1507" s="15" t="s">
        <v>3572</v>
      </c>
    </row>
    <row r="1508" spans="7:13" ht="17.25" customHeight="1">
      <c r="G1508" s="15" t="s">
        <v>3573</v>
      </c>
      <c r="M1508" s="15" t="s">
        <v>3574</v>
      </c>
    </row>
    <row r="1509" spans="7:13" ht="17.25" customHeight="1">
      <c r="G1509" s="15" t="s">
        <v>3575</v>
      </c>
      <c r="M1509" s="15" t="s">
        <v>3576</v>
      </c>
    </row>
    <row r="1510" spans="7:13" ht="17.25" customHeight="1">
      <c r="G1510" s="15" t="s">
        <v>3577</v>
      </c>
      <c r="M1510" s="15" t="s">
        <v>3578</v>
      </c>
    </row>
    <row r="1511" spans="7:13" ht="17.25" customHeight="1">
      <c r="G1511" s="15" t="s">
        <v>3579</v>
      </c>
      <c r="M1511" s="15" t="s">
        <v>3580</v>
      </c>
    </row>
    <row r="1512" spans="7:13" ht="17.25" customHeight="1">
      <c r="G1512" s="15" t="s">
        <v>3581</v>
      </c>
      <c r="M1512" s="15" t="s">
        <v>3582</v>
      </c>
    </row>
    <row r="1513" spans="7:13" ht="17.25" customHeight="1">
      <c r="G1513" s="15" t="s">
        <v>3583</v>
      </c>
      <c r="M1513" s="15" t="s">
        <v>3584</v>
      </c>
    </row>
    <row r="1514" spans="7:13" ht="17.25" customHeight="1">
      <c r="G1514" s="15" t="s">
        <v>3585</v>
      </c>
      <c r="M1514" s="15" t="s">
        <v>3586</v>
      </c>
    </row>
    <row r="1515" spans="7:13" ht="17.25" customHeight="1">
      <c r="G1515" s="15" t="s">
        <v>3587</v>
      </c>
      <c r="M1515" s="15" t="s">
        <v>3588</v>
      </c>
    </row>
    <row r="1516" spans="7:13" ht="17.25" customHeight="1">
      <c r="G1516" s="15" t="s">
        <v>3589</v>
      </c>
      <c r="M1516" s="15" t="s">
        <v>3590</v>
      </c>
    </row>
    <row r="1517" spans="7:13" ht="17.25" customHeight="1">
      <c r="G1517" s="15" t="s">
        <v>3591</v>
      </c>
      <c r="M1517" s="15" t="s">
        <v>3592</v>
      </c>
    </row>
    <row r="1518" spans="7:13" ht="17.25" customHeight="1">
      <c r="G1518" s="15" t="s">
        <v>3593</v>
      </c>
      <c r="M1518" s="15" t="s">
        <v>3594</v>
      </c>
    </row>
    <row r="1519" spans="7:13" ht="17.25" customHeight="1">
      <c r="G1519" s="15" t="s">
        <v>3595</v>
      </c>
      <c r="M1519" s="15" t="s">
        <v>3596</v>
      </c>
    </row>
    <row r="1520" spans="7:13" ht="17.25" customHeight="1">
      <c r="G1520" s="15" t="s">
        <v>3597</v>
      </c>
      <c r="M1520" s="15" t="s">
        <v>3598</v>
      </c>
    </row>
    <row r="1521" spans="7:13" ht="17.25" customHeight="1">
      <c r="G1521" s="15" t="s">
        <v>3599</v>
      </c>
      <c r="M1521" s="15" t="s">
        <v>3600</v>
      </c>
    </row>
    <row r="1522" spans="7:13" ht="17.25" customHeight="1">
      <c r="G1522" s="15" t="s">
        <v>3601</v>
      </c>
      <c r="M1522" s="15" t="s">
        <v>3602</v>
      </c>
    </row>
    <row r="1523" spans="7:13" ht="17.25" customHeight="1">
      <c r="G1523" s="15" t="s">
        <v>3603</v>
      </c>
      <c r="M1523" s="15" t="s">
        <v>3604</v>
      </c>
    </row>
    <row r="1524" spans="7:13" ht="17.25" customHeight="1">
      <c r="G1524" s="15" t="s">
        <v>3605</v>
      </c>
      <c r="M1524" s="15" t="s">
        <v>3606</v>
      </c>
    </row>
    <row r="1525" spans="7:13" ht="17.25" customHeight="1">
      <c r="G1525" s="15" t="s">
        <v>3607</v>
      </c>
      <c r="M1525" s="15" t="s">
        <v>3608</v>
      </c>
    </row>
    <row r="1526" spans="7:13" ht="17.25" customHeight="1">
      <c r="G1526" s="15" t="s">
        <v>3609</v>
      </c>
      <c r="M1526" s="15" t="s">
        <v>3610</v>
      </c>
    </row>
    <row r="1527" spans="7:13" ht="17.25" customHeight="1">
      <c r="G1527" s="15" t="s">
        <v>3611</v>
      </c>
      <c r="M1527" s="15" t="s">
        <v>3612</v>
      </c>
    </row>
    <row r="1528" spans="7:13" ht="17.25" customHeight="1">
      <c r="G1528" s="15" t="s">
        <v>3613</v>
      </c>
      <c r="M1528" s="15" t="s">
        <v>3614</v>
      </c>
    </row>
    <row r="1529" spans="7:13" ht="17.25" customHeight="1">
      <c r="G1529" s="15" t="s">
        <v>3615</v>
      </c>
      <c r="M1529" s="15" t="s">
        <v>3616</v>
      </c>
    </row>
    <row r="1530" spans="7:13" ht="17.25" customHeight="1">
      <c r="G1530" s="15" t="s">
        <v>3617</v>
      </c>
      <c r="M1530" s="15" t="s">
        <v>3618</v>
      </c>
    </row>
    <row r="1531" spans="7:13" ht="17.25" customHeight="1">
      <c r="G1531" s="15" t="s">
        <v>3619</v>
      </c>
      <c r="M1531" s="15" t="s">
        <v>3620</v>
      </c>
    </row>
    <row r="1532" spans="7:13" ht="17.25" customHeight="1">
      <c r="G1532" s="15" t="s">
        <v>3621</v>
      </c>
      <c r="M1532" s="15" t="s">
        <v>3622</v>
      </c>
    </row>
    <row r="1533" spans="7:13" ht="17.25" customHeight="1">
      <c r="G1533" s="15" t="s">
        <v>3623</v>
      </c>
      <c r="M1533" s="15" t="s">
        <v>3624</v>
      </c>
    </row>
    <row r="1534" spans="7:13" ht="17.25" customHeight="1">
      <c r="G1534" s="15" t="s">
        <v>3625</v>
      </c>
      <c r="M1534" s="15" t="s">
        <v>3626</v>
      </c>
    </row>
    <row r="1535" spans="7:13" ht="17.25" customHeight="1">
      <c r="G1535" s="15" t="s">
        <v>3627</v>
      </c>
      <c r="M1535" s="15" t="s">
        <v>3628</v>
      </c>
    </row>
    <row r="1536" spans="7:13" ht="17.25" customHeight="1">
      <c r="G1536" s="15" t="s">
        <v>3629</v>
      </c>
      <c r="M1536" s="15" t="s">
        <v>3630</v>
      </c>
    </row>
    <row r="1537" spans="7:13" ht="17.25" customHeight="1">
      <c r="G1537" s="15" t="s">
        <v>3631</v>
      </c>
      <c r="M1537" s="15" t="s">
        <v>3632</v>
      </c>
    </row>
    <row r="1538" spans="7:13" ht="17.25" customHeight="1">
      <c r="G1538" s="15" t="s">
        <v>3633</v>
      </c>
      <c r="M1538" s="15" t="s">
        <v>3634</v>
      </c>
    </row>
    <row r="1539" spans="7:13" ht="17.25" customHeight="1">
      <c r="G1539" s="15" t="s">
        <v>3635</v>
      </c>
      <c r="M1539" s="15" t="s">
        <v>3636</v>
      </c>
    </row>
    <row r="1540" spans="7:13" ht="17.25" customHeight="1">
      <c r="G1540" s="15" t="s">
        <v>3637</v>
      </c>
      <c r="M1540" s="15" t="s">
        <v>3638</v>
      </c>
    </row>
    <row r="1541" spans="7:13" ht="17.25" customHeight="1">
      <c r="G1541" s="15" t="s">
        <v>3639</v>
      </c>
      <c r="M1541" s="15" t="s">
        <v>3640</v>
      </c>
    </row>
    <row r="1542" spans="7:13" ht="17.25" customHeight="1">
      <c r="G1542" s="15" t="s">
        <v>3641</v>
      </c>
      <c r="M1542" s="15" t="s">
        <v>3642</v>
      </c>
    </row>
    <row r="1543" spans="7:13" ht="17.25" customHeight="1">
      <c r="G1543" s="15" t="s">
        <v>3643</v>
      </c>
      <c r="M1543" s="15" t="s">
        <v>3644</v>
      </c>
    </row>
    <row r="1544" spans="7:13" ht="17.25" customHeight="1">
      <c r="G1544" s="15" t="s">
        <v>3645</v>
      </c>
      <c r="M1544" s="15" t="s">
        <v>3646</v>
      </c>
    </row>
    <row r="1545" spans="7:13" ht="17.25" customHeight="1">
      <c r="G1545" s="15" t="s">
        <v>3647</v>
      </c>
      <c r="M1545" s="15" t="s">
        <v>3648</v>
      </c>
    </row>
    <row r="1546" spans="7:13" ht="17.25" customHeight="1">
      <c r="G1546" s="15" t="s">
        <v>3649</v>
      </c>
      <c r="M1546" s="15" t="s">
        <v>3650</v>
      </c>
    </row>
    <row r="1547" spans="7:13" ht="17.25" customHeight="1">
      <c r="G1547" s="15" t="s">
        <v>3651</v>
      </c>
      <c r="M1547" s="15" t="s">
        <v>3652</v>
      </c>
    </row>
    <row r="1548" spans="7:13" ht="17.25" customHeight="1">
      <c r="G1548" s="15" t="s">
        <v>3653</v>
      </c>
      <c r="M1548" s="15" t="s">
        <v>3654</v>
      </c>
    </row>
    <row r="1549" spans="7:13" ht="17.25" customHeight="1">
      <c r="G1549" s="15" t="s">
        <v>3655</v>
      </c>
      <c r="M1549" s="15" t="s">
        <v>3656</v>
      </c>
    </row>
    <row r="1550" spans="7:13" ht="17.25" customHeight="1">
      <c r="G1550" s="15" t="s">
        <v>3657</v>
      </c>
      <c r="M1550" s="15" t="s">
        <v>3658</v>
      </c>
    </row>
    <row r="1551" spans="7:13" ht="17.25" customHeight="1">
      <c r="G1551" s="15" t="s">
        <v>3659</v>
      </c>
      <c r="M1551" s="15" t="s">
        <v>3660</v>
      </c>
    </row>
    <row r="1552" spans="7:13" ht="17.25" customHeight="1">
      <c r="G1552" s="15" t="s">
        <v>3661</v>
      </c>
      <c r="M1552" s="15" t="s">
        <v>3662</v>
      </c>
    </row>
    <row r="1553" spans="7:13" ht="17.25" customHeight="1">
      <c r="G1553" s="15" t="s">
        <v>3663</v>
      </c>
      <c r="M1553" s="15" t="s">
        <v>3664</v>
      </c>
    </row>
    <row r="1554" spans="7:13" ht="17.25" customHeight="1">
      <c r="G1554" s="15" t="s">
        <v>3665</v>
      </c>
      <c r="M1554" s="15" t="s">
        <v>3666</v>
      </c>
    </row>
    <row r="1555" spans="7:13" ht="17.25" customHeight="1">
      <c r="G1555" s="15" t="s">
        <v>3667</v>
      </c>
      <c r="M1555" s="15" t="s">
        <v>3668</v>
      </c>
    </row>
    <row r="1556" spans="7:13" ht="17.25" customHeight="1">
      <c r="G1556" s="15" t="s">
        <v>3669</v>
      </c>
      <c r="M1556" s="15" t="s">
        <v>3670</v>
      </c>
    </row>
    <row r="1557" spans="7:13" ht="17.25" customHeight="1">
      <c r="G1557" s="15" t="s">
        <v>3671</v>
      </c>
      <c r="M1557" s="15" t="s">
        <v>3672</v>
      </c>
    </row>
    <row r="1558" spans="7:13" ht="17.25" customHeight="1">
      <c r="G1558" s="15" t="s">
        <v>3673</v>
      </c>
      <c r="M1558" s="15" t="s">
        <v>3674</v>
      </c>
    </row>
    <row r="1559" spans="7:13" ht="17.25" customHeight="1">
      <c r="G1559" s="15" t="s">
        <v>3675</v>
      </c>
      <c r="M1559" s="15" t="s">
        <v>3676</v>
      </c>
    </row>
    <row r="1560" spans="7:13" ht="17.25" customHeight="1">
      <c r="G1560" s="15" t="s">
        <v>3677</v>
      </c>
      <c r="M1560" s="15" t="s">
        <v>3678</v>
      </c>
    </row>
    <row r="1561" spans="7:13" ht="17.25" customHeight="1">
      <c r="G1561" s="15" t="s">
        <v>3679</v>
      </c>
      <c r="M1561" s="15" t="s">
        <v>3680</v>
      </c>
    </row>
    <row r="1562" spans="7:13" ht="17.25" customHeight="1">
      <c r="G1562" s="15" t="s">
        <v>3681</v>
      </c>
      <c r="M1562" s="15" t="s">
        <v>3682</v>
      </c>
    </row>
    <row r="1563" spans="7:13" ht="17.25" customHeight="1">
      <c r="G1563" s="15" t="s">
        <v>3683</v>
      </c>
      <c r="M1563" s="15" t="s">
        <v>3684</v>
      </c>
    </row>
    <row r="1564" spans="7:13" ht="17.25" customHeight="1">
      <c r="G1564" s="15" t="s">
        <v>3685</v>
      </c>
      <c r="M1564" s="15" t="s">
        <v>3686</v>
      </c>
    </row>
    <row r="1565" spans="7:13" ht="17.25" customHeight="1">
      <c r="G1565" s="15" t="s">
        <v>3687</v>
      </c>
      <c r="M1565" s="15" t="s">
        <v>3688</v>
      </c>
    </row>
    <row r="1566" spans="7:13" ht="17.25" customHeight="1">
      <c r="G1566" s="15" t="s">
        <v>3689</v>
      </c>
      <c r="M1566" s="15" t="s">
        <v>3690</v>
      </c>
    </row>
    <row r="1567" spans="7:13" ht="17.25" customHeight="1">
      <c r="G1567" s="15" t="s">
        <v>3691</v>
      </c>
      <c r="M1567" s="15" t="s">
        <v>3692</v>
      </c>
    </row>
    <row r="1568" spans="7:13" ht="17.25" customHeight="1">
      <c r="G1568" s="15" t="s">
        <v>3693</v>
      </c>
      <c r="M1568" s="15" t="s">
        <v>3694</v>
      </c>
    </row>
    <row r="1569" spans="7:13" ht="17.25" customHeight="1">
      <c r="G1569" s="15" t="s">
        <v>3695</v>
      </c>
      <c r="M1569" s="15" t="s">
        <v>3696</v>
      </c>
    </row>
    <row r="1570" spans="7:13" ht="17.25" customHeight="1">
      <c r="G1570" s="15" t="s">
        <v>3697</v>
      </c>
      <c r="M1570" s="15" t="s">
        <v>3698</v>
      </c>
    </row>
    <row r="1571" spans="7:13" ht="17.25" customHeight="1">
      <c r="G1571" s="15" t="s">
        <v>3699</v>
      </c>
      <c r="M1571" s="15" t="s">
        <v>3700</v>
      </c>
    </row>
    <row r="1572" spans="7:13" ht="17.25" customHeight="1">
      <c r="G1572" s="15" t="s">
        <v>3701</v>
      </c>
      <c r="M1572" s="15" t="s">
        <v>3702</v>
      </c>
    </row>
    <row r="1573" spans="7:13" ht="17.25" customHeight="1">
      <c r="G1573" s="15" t="s">
        <v>3703</v>
      </c>
      <c r="M1573" s="15" t="s">
        <v>3704</v>
      </c>
    </row>
    <row r="1574" spans="7:13" ht="17.25" customHeight="1">
      <c r="G1574" s="15" t="s">
        <v>3705</v>
      </c>
      <c r="M1574" s="15" t="s">
        <v>3706</v>
      </c>
    </row>
    <row r="1575" spans="7:13" ht="17.25" customHeight="1">
      <c r="G1575" s="15" t="s">
        <v>3707</v>
      </c>
      <c r="M1575" s="15" t="s">
        <v>3708</v>
      </c>
    </row>
    <row r="1576" spans="7:13" ht="17.25" customHeight="1">
      <c r="G1576" s="15" t="s">
        <v>3709</v>
      </c>
      <c r="M1576" s="15" t="s">
        <v>3710</v>
      </c>
    </row>
    <row r="1577" spans="7:13" ht="17.25" customHeight="1">
      <c r="G1577" s="15" t="s">
        <v>3711</v>
      </c>
      <c r="M1577" s="15" t="s">
        <v>3712</v>
      </c>
    </row>
    <row r="1578" spans="7:13" ht="17.25" customHeight="1">
      <c r="G1578" s="15" t="s">
        <v>3713</v>
      </c>
      <c r="M1578" s="15" t="s">
        <v>3714</v>
      </c>
    </row>
    <row r="1579" spans="7:13" ht="17.25" customHeight="1">
      <c r="G1579" s="15" t="s">
        <v>3715</v>
      </c>
      <c r="M1579" s="15" t="s">
        <v>3716</v>
      </c>
    </row>
    <row r="1580" spans="7:13" ht="17.25" customHeight="1">
      <c r="G1580" s="15" t="s">
        <v>3717</v>
      </c>
      <c r="M1580" s="15" t="s">
        <v>3718</v>
      </c>
    </row>
    <row r="1581" spans="7:13" ht="17.25" customHeight="1">
      <c r="G1581" s="15" t="s">
        <v>3719</v>
      </c>
      <c r="M1581" s="15" t="s">
        <v>3720</v>
      </c>
    </row>
    <row r="1582" spans="7:13" ht="17.25" customHeight="1">
      <c r="G1582" s="15" t="s">
        <v>3721</v>
      </c>
      <c r="M1582" s="15" t="s">
        <v>3722</v>
      </c>
    </row>
    <row r="1583" spans="7:13" ht="17.25" customHeight="1">
      <c r="G1583" s="15" t="s">
        <v>3723</v>
      </c>
      <c r="M1583" s="15" t="s">
        <v>3724</v>
      </c>
    </row>
    <row r="1584" spans="7:13" ht="17.25" customHeight="1">
      <c r="G1584" s="15" t="s">
        <v>3725</v>
      </c>
      <c r="M1584" s="15" t="s">
        <v>3726</v>
      </c>
    </row>
    <row r="1585" spans="7:13" ht="17.25" customHeight="1">
      <c r="G1585" s="15" t="s">
        <v>3727</v>
      </c>
      <c r="M1585" s="15" t="s">
        <v>3728</v>
      </c>
    </row>
    <row r="1586" spans="7:13" ht="17.25" customHeight="1">
      <c r="G1586" s="15" t="s">
        <v>3729</v>
      </c>
      <c r="M1586" s="15" t="s">
        <v>3730</v>
      </c>
    </row>
    <row r="1587" spans="7:13" ht="17.25" customHeight="1">
      <c r="G1587" s="15" t="s">
        <v>3731</v>
      </c>
      <c r="M1587" s="15" t="s">
        <v>3732</v>
      </c>
    </row>
    <row r="1588" spans="7:13" ht="17.25" customHeight="1">
      <c r="G1588" s="15" t="s">
        <v>3733</v>
      </c>
      <c r="M1588" s="15" t="s">
        <v>3734</v>
      </c>
    </row>
    <row r="1589" spans="7:13" ht="17.25" customHeight="1">
      <c r="G1589" s="15" t="s">
        <v>3735</v>
      </c>
      <c r="M1589" s="15" t="s">
        <v>3736</v>
      </c>
    </row>
    <row r="1590" spans="7:13" ht="17.25" customHeight="1">
      <c r="G1590" s="15" t="s">
        <v>3737</v>
      </c>
      <c r="M1590" s="15" t="s">
        <v>3738</v>
      </c>
    </row>
    <row r="1591" spans="7:13" ht="17.25" customHeight="1">
      <c r="G1591" s="15" t="s">
        <v>3739</v>
      </c>
      <c r="M1591" s="15" t="s">
        <v>3740</v>
      </c>
    </row>
    <row r="1592" spans="7:13" ht="17.25" customHeight="1">
      <c r="G1592" s="15" t="s">
        <v>3741</v>
      </c>
      <c r="M1592" s="15" t="s">
        <v>3742</v>
      </c>
    </row>
    <row r="1593" spans="7:13" ht="17.25" customHeight="1">
      <c r="G1593" s="15" t="s">
        <v>3743</v>
      </c>
      <c r="M1593" s="15" t="s">
        <v>3744</v>
      </c>
    </row>
    <row r="1594" spans="7:13" ht="17.25" customHeight="1">
      <c r="G1594" s="15" t="s">
        <v>3745</v>
      </c>
      <c r="M1594" s="15" t="s">
        <v>3746</v>
      </c>
    </row>
    <row r="1595" spans="7:13" ht="17.25" customHeight="1">
      <c r="G1595" s="15" t="s">
        <v>3747</v>
      </c>
      <c r="M1595" s="15" t="s">
        <v>3748</v>
      </c>
    </row>
    <row r="1596" spans="7:13" ht="17.25" customHeight="1">
      <c r="G1596" s="15" t="s">
        <v>3749</v>
      </c>
      <c r="M1596" s="15" t="s">
        <v>3750</v>
      </c>
    </row>
    <row r="1597" spans="7:13" ht="17.25" customHeight="1">
      <c r="G1597" s="15" t="s">
        <v>3751</v>
      </c>
      <c r="M1597" s="15" t="s">
        <v>3752</v>
      </c>
    </row>
    <row r="1598" spans="7:13" ht="17.25" customHeight="1">
      <c r="G1598" s="15" t="s">
        <v>3753</v>
      </c>
      <c r="M1598" s="15" t="s">
        <v>3754</v>
      </c>
    </row>
    <row r="1599" spans="7:13" ht="17.25" customHeight="1">
      <c r="G1599" s="15" t="s">
        <v>3755</v>
      </c>
      <c r="M1599" s="15" t="s">
        <v>3756</v>
      </c>
    </row>
    <row r="1600" spans="7:13" ht="17.25" customHeight="1">
      <c r="G1600" s="15" t="s">
        <v>3757</v>
      </c>
      <c r="M1600" s="15" t="s">
        <v>3758</v>
      </c>
    </row>
    <row r="1601" spans="7:13" ht="17.25" customHeight="1">
      <c r="G1601" s="15" t="s">
        <v>3759</v>
      </c>
      <c r="M1601" s="15" t="s">
        <v>3760</v>
      </c>
    </row>
    <row r="1602" spans="7:13" ht="17.25" customHeight="1">
      <c r="G1602" s="15" t="s">
        <v>3761</v>
      </c>
      <c r="M1602" s="15" t="s">
        <v>3762</v>
      </c>
    </row>
    <row r="1603" spans="7:13" ht="17.25" customHeight="1">
      <c r="G1603" s="15" t="s">
        <v>3763</v>
      </c>
      <c r="M1603" s="15" t="s">
        <v>3764</v>
      </c>
    </row>
    <row r="1604" spans="7:13" ht="17.25" customHeight="1">
      <c r="G1604" s="15" t="s">
        <v>3765</v>
      </c>
      <c r="M1604" s="15" t="s">
        <v>3766</v>
      </c>
    </row>
    <row r="1605" spans="7:13" ht="17.25" customHeight="1">
      <c r="G1605" s="15" t="s">
        <v>3767</v>
      </c>
      <c r="M1605" s="15" t="s">
        <v>3768</v>
      </c>
    </row>
    <row r="1606" spans="7:13" ht="17.25" customHeight="1">
      <c r="G1606" s="15" t="s">
        <v>3769</v>
      </c>
      <c r="M1606" s="15" t="s">
        <v>3770</v>
      </c>
    </row>
    <row r="1607" spans="7:13" ht="17.25" customHeight="1">
      <c r="G1607" s="15" t="s">
        <v>3771</v>
      </c>
      <c r="M1607" s="15" t="s">
        <v>3772</v>
      </c>
    </row>
    <row r="1608" spans="7:13" ht="17.25" customHeight="1">
      <c r="G1608" s="15" t="s">
        <v>3773</v>
      </c>
      <c r="M1608" s="15" t="s">
        <v>3774</v>
      </c>
    </row>
    <row r="1609" spans="7:13" ht="17.25" customHeight="1">
      <c r="G1609" s="15" t="s">
        <v>3775</v>
      </c>
      <c r="M1609" s="15" t="s">
        <v>3776</v>
      </c>
    </row>
    <row r="1610" spans="7:13" ht="17.25" customHeight="1">
      <c r="G1610" s="15" t="s">
        <v>3777</v>
      </c>
      <c r="M1610" s="15" t="s">
        <v>3778</v>
      </c>
    </row>
    <row r="1611" spans="7:13" ht="17.25" customHeight="1">
      <c r="G1611" s="15" t="s">
        <v>3779</v>
      </c>
      <c r="M1611" s="15" t="s">
        <v>3780</v>
      </c>
    </row>
    <row r="1612" spans="7:13" ht="17.25" customHeight="1">
      <c r="G1612" s="15" t="s">
        <v>3781</v>
      </c>
      <c r="M1612" s="15" t="s">
        <v>3782</v>
      </c>
    </row>
    <row r="1613" spans="7:13" ht="17.25" customHeight="1">
      <c r="G1613" s="15" t="s">
        <v>3783</v>
      </c>
      <c r="M1613" s="15" t="s">
        <v>3784</v>
      </c>
    </row>
    <row r="1614" spans="7:13" ht="17.25" customHeight="1">
      <c r="G1614" s="15" t="s">
        <v>3785</v>
      </c>
      <c r="M1614" s="15" t="s">
        <v>3786</v>
      </c>
    </row>
    <row r="1615" spans="7:13" ht="17.25" customHeight="1">
      <c r="G1615" s="15" t="s">
        <v>3787</v>
      </c>
      <c r="M1615" s="15" t="s">
        <v>3788</v>
      </c>
    </row>
    <row r="1616" spans="7:13" ht="17.25" customHeight="1">
      <c r="G1616" s="15" t="s">
        <v>3789</v>
      </c>
      <c r="M1616" s="15" t="s">
        <v>3790</v>
      </c>
    </row>
    <row r="1617" spans="7:13" ht="17.25" customHeight="1">
      <c r="G1617" s="15" t="s">
        <v>3791</v>
      </c>
      <c r="M1617" s="15" t="s">
        <v>3792</v>
      </c>
    </row>
    <row r="1618" spans="7:13" ht="17.25" customHeight="1">
      <c r="G1618" s="15" t="s">
        <v>3793</v>
      </c>
      <c r="M1618" s="15" t="s">
        <v>3794</v>
      </c>
    </row>
    <row r="1619" spans="7:13" ht="17.25" customHeight="1">
      <c r="G1619" s="15" t="s">
        <v>3795</v>
      </c>
      <c r="M1619" s="15" t="s">
        <v>3796</v>
      </c>
    </row>
    <row r="1620" spans="7:13" ht="17.25" customHeight="1">
      <c r="G1620" s="15" t="s">
        <v>3797</v>
      </c>
      <c r="M1620" s="15" t="s">
        <v>3798</v>
      </c>
    </row>
    <row r="1621" spans="7:13" ht="17.25" customHeight="1">
      <c r="G1621" s="15" t="s">
        <v>3799</v>
      </c>
      <c r="M1621" s="15" t="s">
        <v>3800</v>
      </c>
    </row>
    <row r="1622" spans="7:13" ht="17.25" customHeight="1">
      <c r="G1622" s="15" t="s">
        <v>3801</v>
      </c>
      <c r="M1622" s="15" t="s">
        <v>3802</v>
      </c>
    </row>
    <row r="1623" spans="7:13" ht="17.25" customHeight="1">
      <c r="G1623" s="15" t="s">
        <v>3803</v>
      </c>
      <c r="M1623" s="15" t="s">
        <v>3804</v>
      </c>
    </row>
    <row r="1624" spans="7:13" ht="17.25" customHeight="1">
      <c r="G1624" s="15" t="s">
        <v>3805</v>
      </c>
      <c r="M1624" s="15" t="s">
        <v>3806</v>
      </c>
    </row>
    <row r="1625" spans="7:13" ht="17.25" customHeight="1">
      <c r="G1625" s="15" t="s">
        <v>3807</v>
      </c>
      <c r="M1625" s="15" t="s">
        <v>3808</v>
      </c>
    </row>
    <row r="1626" spans="7:13" ht="17.25" customHeight="1">
      <c r="G1626" s="15" t="s">
        <v>3809</v>
      </c>
      <c r="M1626" s="15" t="s">
        <v>3810</v>
      </c>
    </row>
    <row r="1627" spans="7:13" ht="17.25" customHeight="1">
      <c r="G1627" s="15" t="s">
        <v>3811</v>
      </c>
      <c r="M1627" s="15" t="s">
        <v>3812</v>
      </c>
    </row>
    <row r="1628" spans="7:13" ht="17.25" customHeight="1">
      <c r="G1628" s="15" t="s">
        <v>3813</v>
      </c>
      <c r="M1628" s="15" t="s">
        <v>3814</v>
      </c>
    </row>
    <row r="1629" spans="7:13" ht="17.25" customHeight="1">
      <c r="G1629" s="15" t="s">
        <v>3815</v>
      </c>
      <c r="M1629" s="15" t="s">
        <v>3816</v>
      </c>
    </row>
    <row r="1630" spans="7:13" ht="17.25" customHeight="1">
      <c r="G1630" s="15" t="s">
        <v>3817</v>
      </c>
      <c r="M1630" s="15" t="s">
        <v>3818</v>
      </c>
    </row>
    <row r="1631" spans="7:13" ht="17.25" customHeight="1">
      <c r="G1631" s="15" t="s">
        <v>3819</v>
      </c>
      <c r="M1631" s="15" t="s">
        <v>3820</v>
      </c>
    </row>
    <row r="1632" spans="7:13" ht="17.25" customHeight="1">
      <c r="G1632" s="15" t="s">
        <v>3821</v>
      </c>
      <c r="M1632" s="15" t="s">
        <v>3822</v>
      </c>
    </row>
    <row r="1633" spans="7:13" ht="17.25" customHeight="1">
      <c r="G1633" s="15" t="s">
        <v>3823</v>
      </c>
      <c r="M1633" s="15" t="s">
        <v>3824</v>
      </c>
    </row>
    <row r="1634" spans="7:13" ht="17.25" customHeight="1">
      <c r="G1634" s="15" t="s">
        <v>3825</v>
      </c>
      <c r="M1634" s="15" t="s">
        <v>3826</v>
      </c>
    </row>
    <row r="1635" spans="7:13" ht="17.25" customHeight="1">
      <c r="G1635" s="15" t="s">
        <v>3827</v>
      </c>
      <c r="M1635" s="15" t="s">
        <v>3828</v>
      </c>
    </row>
    <row r="1636" spans="7:13" ht="17.25" customHeight="1">
      <c r="G1636" s="15" t="s">
        <v>3829</v>
      </c>
      <c r="M1636" s="15" t="s">
        <v>3830</v>
      </c>
    </row>
    <row r="1637" spans="7:13" ht="17.25" customHeight="1">
      <c r="G1637" s="15" t="s">
        <v>3831</v>
      </c>
      <c r="M1637" s="15" t="s">
        <v>3832</v>
      </c>
    </row>
    <row r="1638" spans="7:13" ht="17.25" customHeight="1">
      <c r="G1638" s="15" t="s">
        <v>3833</v>
      </c>
      <c r="M1638" s="15" t="s">
        <v>3834</v>
      </c>
    </row>
    <row r="1639" spans="7:13" ht="17.25" customHeight="1">
      <c r="G1639" s="15" t="s">
        <v>3835</v>
      </c>
      <c r="M1639" s="15" t="s">
        <v>3836</v>
      </c>
    </row>
    <row r="1640" spans="7:13" ht="17.25" customHeight="1">
      <c r="G1640" s="15" t="s">
        <v>3837</v>
      </c>
      <c r="M1640" s="15" t="s">
        <v>3838</v>
      </c>
    </row>
    <row r="1641" spans="7:13" ht="17.25" customHeight="1">
      <c r="G1641" s="15" t="s">
        <v>3839</v>
      </c>
      <c r="M1641" s="15" t="s">
        <v>3840</v>
      </c>
    </row>
    <row r="1642" spans="7:13" ht="17.25" customHeight="1">
      <c r="G1642" s="15" t="s">
        <v>3841</v>
      </c>
      <c r="M1642" s="15" t="s">
        <v>3842</v>
      </c>
    </row>
    <row r="1643" spans="7:13" ht="17.25" customHeight="1">
      <c r="G1643" s="15" t="s">
        <v>3843</v>
      </c>
      <c r="M1643" s="15" t="s">
        <v>3844</v>
      </c>
    </row>
    <row r="1644" spans="7:13" ht="17.25" customHeight="1">
      <c r="G1644" s="15" t="s">
        <v>3845</v>
      </c>
      <c r="M1644" s="15" t="s">
        <v>3846</v>
      </c>
    </row>
    <row r="1645" spans="7:13" ht="17.25" customHeight="1">
      <c r="G1645" s="15" t="s">
        <v>3847</v>
      </c>
      <c r="M1645" s="15" t="s">
        <v>3848</v>
      </c>
    </row>
    <row r="1646" spans="7:13" ht="17.25" customHeight="1">
      <c r="G1646" s="15" t="s">
        <v>3849</v>
      </c>
      <c r="M1646" s="15" t="s">
        <v>3850</v>
      </c>
    </row>
    <row r="1647" spans="7:13" ht="17.25" customHeight="1">
      <c r="G1647" s="15" t="s">
        <v>3851</v>
      </c>
      <c r="M1647" s="15" t="s">
        <v>3852</v>
      </c>
    </row>
    <row r="1648" spans="7:13" ht="17.25" customHeight="1">
      <c r="G1648" s="15" t="s">
        <v>3853</v>
      </c>
      <c r="M1648" s="15" t="s">
        <v>3854</v>
      </c>
    </row>
    <row r="1649" spans="7:13" ht="17.25" customHeight="1">
      <c r="G1649" s="15" t="s">
        <v>3855</v>
      </c>
      <c r="M1649" s="15" t="s">
        <v>3856</v>
      </c>
    </row>
    <row r="1650" spans="7:13" ht="17.25" customHeight="1">
      <c r="G1650" s="15" t="s">
        <v>3857</v>
      </c>
      <c r="M1650" s="15" t="s">
        <v>3858</v>
      </c>
    </row>
    <row r="1651" spans="7:13" ht="17.25" customHeight="1">
      <c r="G1651" s="15" t="s">
        <v>3859</v>
      </c>
      <c r="M1651" s="15" t="s">
        <v>3860</v>
      </c>
    </row>
    <row r="1652" spans="7:13" ht="17.25" customHeight="1">
      <c r="G1652" s="15" t="s">
        <v>3861</v>
      </c>
      <c r="M1652" s="15" t="s">
        <v>3862</v>
      </c>
    </row>
    <row r="1653" spans="7:13" ht="17.25" customHeight="1">
      <c r="G1653" s="15" t="s">
        <v>3863</v>
      </c>
      <c r="M1653" s="15" t="s">
        <v>3864</v>
      </c>
    </row>
    <row r="1654" spans="7:13" ht="17.25" customHeight="1">
      <c r="G1654" s="15" t="s">
        <v>3865</v>
      </c>
      <c r="M1654" s="15" t="s">
        <v>3866</v>
      </c>
    </row>
    <row r="1655" spans="7:13" ht="17.25" customHeight="1">
      <c r="G1655" s="15" t="s">
        <v>3867</v>
      </c>
      <c r="M1655" s="15" t="s">
        <v>3868</v>
      </c>
    </row>
    <row r="1656" spans="7:13" ht="17.25" customHeight="1">
      <c r="G1656" s="15" t="s">
        <v>3869</v>
      </c>
      <c r="M1656" s="15" t="s">
        <v>3870</v>
      </c>
    </row>
    <row r="1657" spans="7:13" ht="17.25" customHeight="1">
      <c r="G1657" s="15" t="s">
        <v>3871</v>
      </c>
      <c r="M1657" s="15" t="s">
        <v>3872</v>
      </c>
    </row>
    <row r="1658" spans="7:13" ht="17.25" customHeight="1">
      <c r="G1658" s="15" t="s">
        <v>3873</v>
      </c>
      <c r="M1658" s="15" t="s">
        <v>3874</v>
      </c>
    </row>
    <row r="1659" spans="7:13" ht="17.25" customHeight="1">
      <c r="G1659" s="15" t="s">
        <v>3875</v>
      </c>
      <c r="M1659" s="15" t="s">
        <v>3876</v>
      </c>
    </row>
    <row r="1660" spans="7:13" ht="17.25" customHeight="1">
      <c r="G1660" s="15" t="s">
        <v>3877</v>
      </c>
      <c r="M1660" s="15" t="s">
        <v>3878</v>
      </c>
    </row>
    <row r="1661" spans="7:13" ht="17.25" customHeight="1">
      <c r="G1661" s="15" t="s">
        <v>3879</v>
      </c>
      <c r="M1661" s="15" t="s">
        <v>3880</v>
      </c>
    </row>
    <row r="1662" spans="7:13" ht="17.25" customHeight="1">
      <c r="G1662" s="15" t="s">
        <v>3881</v>
      </c>
      <c r="M1662" s="15" t="s">
        <v>3882</v>
      </c>
    </row>
    <row r="1663" spans="7:13" ht="17.25" customHeight="1">
      <c r="G1663" s="15" t="s">
        <v>3883</v>
      </c>
      <c r="M1663" s="15" t="s">
        <v>3884</v>
      </c>
    </row>
    <row r="1664" spans="7:13" ht="17.25" customHeight="1">
      <c r="G1664" s="15" t="s">
        <v>3885</v>
      </c>
      <c r="M1664" s="15" t="s">
        <v>3886</v>
      </c>
    </row>
    <row r="1665" spans="7:13" ht="17.25" customHeight="1">
      <c r="G1665" s="15" t="s">
        <v>3887</v>
      </c>
      <c r="M1665" s="15" t="s">
        <v>3888</v>
      </c>
    </row>
    <row r="1666" spans="7:13" ht="17.25" customHeight="1">
      <c r="G1666" s="15" t="s">
        <v>3889</v>
      </c>
      <c r="M1666" s="15" t="s">
        <v>3890</v>
      </c>
    </row>
    <row r="1667" spans="7:13" ht="17.25" customHeight="1">
      <c r="G1667" s="15" t="s">
        <v>3891</v>
      </c>
      <c r="M1667" s="15" t="s">
        <v>3892</v>
      </c>
    </row>
    <row r="1668" spans="7:13" ht="17.25" customHeight="1">
      <c r="G1668" s="15" t="s">
        <v>3893</v>
      </c>
      <c r="M1668" s="15" t="s">
        <v>3894</v>
      </c>
    </row>
    <row r="1669" spans="7:13" ht="17.25" customHeight="1">
      <c r="G1669" s="15" t="s">
        <v>3895</v>
      </c>
      <c r="M1669" s="15" t="s">
        <v>3896</v>
      </c>
    </row>
    <row r="1670" spans="7:13" ht="17.25" customHeight="1">
      <c r="G1670" s="15" t="s">
        <v>3897</v>
      </c>
      <c r="M1670" s="15" t="s">
        <v>3898</v>
      </c>
    </row>
    <row r="1671" spans="7:13" ht="17.25" customHeight="1">
      <c r="G1671" s="15" t="s">
        <v>3899</v>
      </c>
      <c r="M1671" s="15" t="s">
        <v>3900</v>
      </c>
    </row>
    <row r="1672" spans="7:13" ht="17.25" customHeight="1">
      <c r="G1672" s="15" t="s">
        <v>3901</v>
      </c>
      <c r="M1672" s="15" t="s">
        <v>3902</v>
      </c>
    </row>
    <row r="1673" spans="7:13" ht="17.25" customHeight="1">
      <c r="G1673" s="15" t="s">
        <v>3903</v>
      </c>
      <c r="M1673" s="15" t="s">
        <v>3904</v>
      </c>
    </row>
    <row r="1674" spans="7:13" ht="17.25" customHeight="1">
      <c r="G1674" s="15" t="s">
        <v>3905</v>
      </c>
      <c r="M1674" s="15" t="s">
        <v>3906</v>
      </c>
    </row>
    <row r="1675" spans="7:13" ht="17.25" customHeight="1">
      <c r="G1675" s="15" t="s">
        <v>3907</v>
      </c>
      <c r="M1675" s="15" t="s">
        <v>3908</v>
      </c>
    </row>
    <row r="1676" spans="7:13" ht="17.25" customHeight="1">
      <c r="G1676" s="15" t="s">
        <v>3909</v>
      </c>
      <c r="M1676" s="15" t="s">
        <v>3910</v>
      </c>
    </row>
    <row r="1677" spans="7:13" ht="17.25" customHeight="1">
      <c r="G1677" s="15" t="s">
        <v>3911</v>
      </c>
      <c r="M1677" s="15" t="s">
        <v>3912</v>
      </c>
    </row>
    <row r="1678" spans="7:13" ht="17.25" customHeight="1">
      <c r="G1678" s="15" t="s">
        <v>3913</v>
      </c>
      <c r="M1678" s="15" t="s">
        <v>3914</v>
      </c>
    </row>
    <row r="1679" spans="7:13" ht="17.25" customHeight="1">
      <c r="G1679" s="15" t="s">
        <v>3915</v>
      </c>
      <c r="M1679" s="15" t="s">
        <v>3916</v>
      </c>
    </row>
    <row r="1680" spans="7:13" ht="17.25" customHeight="1">
      <c r="G1680" s="15" t="s">
        <v>3917</v>
      </c>
      <c r="M1680" s="15" t="s">
        <v>3918</v>
      </c>
    </row>
    <row r="1681" spans="7:13" ht="17.25" customHeight="1">
      <c r="G1681" s="15" t="s">
        <v>3919</v>
      </c>
      <c r="M1681" s="15" t="s">
        <v>3920</v>
      </c>
    </row>
    <row r="1682" spans="7:13" ht="17.25" customHeight="1">
      <c r="G1682" s="15" t="s">
        <v>3921</v>
      </c>
      <c r="M1682" s="15" t="s">
        <v>3922</v>
      </c>
    </row>
    <row r="1683" spans="7:13" ht="17.25" customHeight="1">
      <c r="G1683" s="15" t="s">
        <v>3923</v>
      </c>
      <c r="M1683" s="15" t="s">
        <v>3924</v>
      </c>
    </row>
    <row r="1684" spans="7:13" ht="17.25" customHeight="1">
      <c r="G1684" s="15" t="s">
        <v>3925</v>
      </c>
      <c r="M1684" s="15" t="s">
        <v>3926</v>
      </c>
    </row>
    <row r="1685" spans="7:13" ht="17.25" customHeight="1">
      <c r="G1685" s="15" t="s">
        <v>3927</v>
      </c>
      <c r="M1685" s="15" t="s">
        <v>3928</v>
      </c>
    </row>
    <row r="1686" spans="7:13" ht="17.25" customHeight="1">
      <c r="G1686" s="15" t="s">
        <v>3929</v>
      </c>
      <c r="M1686" s="15" t="s">
        <v>3930</v>
      </c>
    </row>
    <row r="1687" spans="7:13" ht="17.25" customHeight="1">
      <c r="G1687" s="15" t="s">
        <v>3931</v>
      </c>
      <c r="M1687" s="15" t="s">
        <v>3932</v>
      </c>
    </row>
    <row r="1688" spans="7:13" ht="17.25" customHeight="1">
      <c r="G1688" s="15" t="s">
        <v>3933</v>
      </c>
      <c r="M1688" s="15" t="s">
        <v>3934</v>
      </c>
    </row>
    <row r="1689" spans="7:13" ht="17.25" customHeight="1">
      <c r="G1689" s="15" t="s">
        <v>3935</v>
      </c>
      <c r="M1689" s="15" t="s">
        <v>3936</v>
      </c>
    </row>
    <row r="1690" spans="7:13" ht="17.25" customHeight="1">
      <c r="G1690" s="15" t="s">
        <v>3937</v>
      </c>
      <c r="M1690" s="15" t="s">
        <v>3938</v>
      </c>
    </row>
    <row r="1691" spans="7:13" ht="17.25" customHeight="1">
      <c r="G1691" s="15" t="s">
        <v>3939</v>
      </c>
      <c r="M1691" s="15" t="s">
        <v>3940</v>
      </c>
    </row>
    <row r="1692" spans="7:13" ht="17.25" customHeight="1">
      <c r="G1692" s="15" t="s">
        <v>3941</v>
      </c>
      <c r="M1692" s="15" t="s">
        <v>3942</v>
      </c>
    </row>
    <row r="1693" spans="7:13" ht="17.25" customHeight="1">
      <c r="G1693" s="15" t="s">
        <v>3943</v>
      </c>
      <c r="M1693" s="15" t="s">
        <v>3944</v>
      </c>
    </row>
    <row r="1694" spans="7:13" ht="17.25" customHeight="1">
      <c r="G1694" s="15" t="s">
        <v>3945</v>
      </c>
      <c r="M1694" s="15" t="s">
        <v>3946</v>
      </c>
    </row>
    <row r="1695" spans="7:13" ht="17.25" customHeight="1">
      <c r="G1695" s="15" t="s">
        <v>3947</v>
      </c>
      <c r="M1695" s="15" t="s">
        <v>3948</v>
      </c>
    </row>
    <row r="1696" spans="7:13" ht="17.25" customHeight="1">
      <c r="G1696" s="15" t="s">
        <v>3949</v>
      </c>
      <c r="M1696" s="15" t="s">
        <v>3950</v>
      </c>
    </row>
    <row r="1697" spans="7:13" ht="17.25" customHeight="1">
      <c r="G1697" s="15" t="s">
        <v>3951</v>
      </c>
      <c r="M1697" s="15" t="s">
        <v>3952</v>
      </c>
    </row>
    <row r="1698" spans="7:13" ht="17.25" customHeight="1">
      <c r="G1698" s="15" t="s">
        <v>3953</v>
      </c>
      <c r="M1698" s="15" t="s">
        <v>3954</v>
      </c>
    </row>
    <row r="1699" spans="7:13" ht="17.25" customHeight="1">
      <c r="G1699" s="15" t="s">
        <v>3955</v>
      </c>
      <c r="M1699" s="15" t="s">
        <v>3956</v>
      </c>
    </row>
    <row r="1700" spans="7:13" ht="17.25" customHeight="1">
      <c r="G1700" s="15" t="s">
        <v>3957</v>
      </c>
      <c r="M1700" s="15" t="s">
        <v>3958</v>
      </c>
    </row>
    <row r="1701" spans="7:13" ht="17.25" customHeight="1">
      <c r="G1701" s="15" t="s">
        <v>3959</v>
      </c>
      <c r="M1701" s="15" t="s">
        <v>3960</v>
      </c>
    </row>
    <row r="1702" spans="7:13" ht="17.25" customHeight="1">
      <c r="G1702" s="15" t="s">
        <v>3961</v>
      </c>
      <c r="M1702" s="15" t="s">
        <v>3962</v>
      </c>
    </row>
    <row r="1703" spans="7:13" ht="17.25" customHeight="1">
      <c r="G1703" s="15" t="s">
        <v>3963</v>
      </c>
      <c r="M1703" s="15" t="s">
        <v>3964</v>
      </c>
    </row>
    <row r="1704" spans="7:13" ht="17.25" customHeight="1">
      <c r="G1704" s="15" t="s">
        <v>3965</v>
      </c>
      <c r="M1704" s="15" t="s">
        <v>3966</v>
      </c>
    </row>
    <row r="1705" spans="7:13" ht="17.25" customHeight="1">
      <c r="G1705" s="15" t="s">
        <v>3967</v>
      </c>
      <c r="M1705" s="15" t="s">
        <v>3968</v>
      </c>
    </row>
    <row r="1706" spans="7:13" ht="17.25" customHeight="1">
      <c r="G1706" s="15" t="s">
        <v>3969</v>
      </c>
      <c r="M1706" s="15" t="s">
        <v>3970</v>
      </c>
    </row>
    <row r="1707" spans="7:13" ht="17.25" customHeight="1">
      <c r="G1707" s="15" t="s">
        <v>3971</v>
      </c>
      <c r="M1707" s="15" t="s">
        <v>3972</v>
      </c>
    </row>
    <row r="1708" spans="7:13" ht="17.25" customHeight="1">
      <c r="G1708" s="15" t="s">
        <v>3973</v>
      </c>
      <c r="M1708" s="15" t="s">
        <v>3974</v>
      </c>
    </row>
    <row r="1709" spans="7:13" ht="17.25" customHeight="1">
      <c r="G1709" s="15" t="s">
        <v>3975</v>
      </c>
      <c r="M1709" s="15" t="s">
        <v>3976</v>
      </c>
    </row>
    <row r="1710" spans="7:13" ht="17.25" customHeight="1">
      <c r="G1710" s="15" t="s">
        <v>3977</v>
      </c>
      <c r="M1710" s="15" t="s">
        <v>3978</v>
      </c>
    </row>
    <row r="1711" spans="7:13" ht="17.25" customHeight="1">
      <c r="G1711" s="15" t="s">
        <v>3979</v>
      </c>
      <c r="M1711" s="15" t="s">
        <v>3980</v>
      </c>
    </row>
    <row r="1712" spans="7:13" ht="17.25" customHeight="1">
      <c r="G1712" s="15" t="s">
        <v>3981</v>
      </c>
      <c r="M1712" s="15" t="s">
        <v>3982</v>
      </c>
    </row>
    <row r="1713" spans="7:13" ht="17.25" customHeight="1">
      <c r="G1713" s="15" t="s">
        <v>3983</v>
      </c>
      <c r="M1713" s="15" t="s">
        <v>3984</v>
      </c>
    </row>
    <row r="1714" spans="7:13" ht="17.25" customHeight="1">
      <c r="G1714" s="15" t="s">
        <v>3985</v>
      </c>
      <c r="M1714" s="15" t="s">
        <v>3986</v>
      </c>
    </row>
    <row r="1715" spans="7:13" ht="17.25" customHeight="1">
      <c r="G1715" s="15" t="s">
        <v>3987</v>
      </c>
      <c r="M1715" s="15" t="s">
        <v>3988</v>
      </c>
    </row>
    <row r="1716" spans="7:13" ht="17.25" customHeight="1">
      <c r="G1716" s="15" t="s">
        <v>3989</v>
      </c>
      <c r="M1716" s="15" t="s">
        <v>3990</v>
      </c>
    </row>
    <row r="1717" spans="7:13" ht="17.25" customHeight="1">
      <c r="G1717" s="15" t="s">
        <v>3991</v>
      </c>
      <c r="M1717" s="15" t="s">
        <v>3992</v>
      </c>
    </row>
    <row r="1718" spans="7:13" ht="17.25" customHeight="1">
      <c r="G1718" s="15" t="s">
        <v>3993</v>
      </c>
      <c r="M1718" s="15" t="s">
        <v>3994</v>
      </c>
    </row>
    <row r="1719" spans="7:13" ht="17.25" customHeight="1">
      <c r="G1719" s="15" t="s">
        <v>3995</v>
      </c>
      <c r="M1719" s="15" t="s">
        <v>3996</v>
      </c>
    </row>
    <row r="1720" spans="7:13" ht="17.25" customHeight="1">
      <c r="G1720" s="15" t="s">
        <v>3997</v>
      </c>
      <c r="M1720" s="15" t="s">
        <v>3998</v>
      </c>
    </row>
    <row r="1721" spans="7:13" ht="17.25" customHeight="1">
      <c r="G1721" s="15" t="s">
        <v>3999</v>
      </c>
      <c r="M1721" s="15" t="s">
        <v>4000</v>
      </c>
    </row>
    <row r="1722" spans="7:13" ht="17.25" customHeight="1">
      <c r="G1722" s="15" t="s">
        <v>4001</v>
      </c>
      <c r="M1722" s="15" t="s">
        <v>4002</v>
      </c>
    </row>
    <row r="1723" spans="7:13" ht="17.25" customHeight="1">
      <c r="G1723" s="15" t="s">
        <v>4003</v>
      </c>
      <c r="M1723" s="15" t="s">
        <v>4004</v>
      </c>
    </row>
    <row r="1724" spans="7:13" ht="17.25" customHeight="1">
      <c r="G1724" s="15" t="s">
        <v>4005</v>
      </c>
      <c r="M1724" s="15" t="s">
        <v>4006</v>
      </c>
    </row>
    <row r="1725" spans="7:13" ht="17.25" customHeight="1">
      <c r="G1725" s="15" t="s">
        <v>4007</v>
      </c>
      <c r="M1725" s="15" t="s">
        <v>4008</v>
      </c>
    </row>
    <row r="1726" spans="7:13" ht="17.25" customHeight="1">
      <c r="G1726" s="15" t="s">
        <v>4009</v>
      </c>
      <c r="M1726" s="15" t="s">
        <v>4010</v>
      </c>
    </row>
    <row r="1727" spans="7:13" ht="17.25" customHeight="1">
      <c r="G1727" s="15" t="s">
        <v>4011</v>
      </c>
      <c r="M1727" s="15" t="s">
        <v>4012</v>
      </c>
    </row>
    <row r="1728" spans="7:13" ht="17.25" customHeight="1">
      <c r="G1728" s="15" t="s">
        <v>4013</v>
      </c>
      <c r="M1728" s="15" t="s">
        <v>4014</v>
      </c>
    </row>
    <row r="1729" spans="7:13" ht="17.25" customHeight="1">
      <c r="G1729" s="15" t="s">
        <v>4015</v>
      </c>
      <c r="M1729" s="15" t="s">
        <v>4016</v>
      </c>
    </row>
    <row r="1730" spans="7:13" ht="17.25" customHeight="1">
      <c r="G1730" s="15" t="s">
        <v>4017</v>
      </c>
      <c r="M1730" s="15" t="s">
        <v>4018</v>
      </c>
    </row>
    <row r="1731" spans="7:13" ht="17.25" customHeight="1">
      <c r="M1731" s="15" t="s">
        <v>4019</v>
      </c>
    </row>
    <row r="1732" spans="7:13" ht="17.25" customHeight="1">
      <c r="M1732" s="15" t="s">
        <v>4020</v>
      </c>
    </row>
    <row r="1733" spans="7:13" ht="17.25" customHeight="1">
      <c r="M1733" s="15" t="s">
        <v>4021</v>
      </c>
    </row>
    <row r="1734" spans="7:13" ht="17.25" customHeight="1">
      <c r="M1734" s="15" t="s">
        <v>4022</v>
      </c>
    </row>
    <row r="1735" spans="7:13" ht="17.25" customHeight="1">
      <c r="M1735" s="15" t="s">
        <v>4023</v>
      </c>
    </row>
    <row r="1736" spans="7:13" ht="17.25" customHeight="1">
      <c r="M1736" s="15" t="s">
        <v>4024</v>
      </c>
    </row>
    <row r="1737" spans="7:13" ht="17.25" customHeight="1">
      <c r="M1737" s="15" t="s">
        <v>4025</v>
      </c>
    </row>
    <row r="1738" spans="7:13" ht="17.25" customHeight="1">
      <c r="M1738" s="15" t="s">
        <v>4026</v>
      </c>
    </row>
    <row r="1739" spans="7:13" ht="17.25" customHeight="1">
      <c r="M1739" s="15" t="s">
        <v>4027</v>
      </c>
    </row>
    <row r="1740" spans="7:13" ht="17.25" customHeight="1">
      <c r="M1740" s="15" t="s">
        <v>4028</v>
      </c>
    </row>
    <row r="1741" spans="7:13" ht="17.25" customHeight="1">
      <c r="M1741" s="15" t="s">
        <v>4029</v>
      </c>
    </row>
    <row r="1742" spans="7:13" ht="17.25" customHeight="1">
      <c r="M1742" s="15" t="s">
        <v>4030</v>
      </c>
    </row>
    <row r="1743" spans="7:13" ht="17.25" customHeight="1">
      <c r="M1743" s="15" t="s">
        <v>4031</v>
      </c>
    </row>
    <row r="1744" spans="7:13" ht="17.25" customHeight="1">
      <c r="M1744" s="15" t="s">
        <v>4032</v>
      </c>
    </row>
    <row r="1745" spans="13:13" ht="17.25" customHeight="1">
      <c r="M1745" s="15" t="s">
        <v>4033</v>
      </c>
    </row>
    <row r="1746" spans="13:13" ht="17.25" customHeight="1">
      <c r="M1746" s="15" t="s">
        <v>4034</v>
      </c>
    </row>
    <row r="1747" spans="13:13" ht="17.25" customHeight="1">
      <c r="M1747" s="15" t="s">
        <v>4035</v>
      </c>
    </row>
    <row r="1748" spans="13:13" ht="17.25" customHeight="1">
      <c r="M1748" s="15" t="s">
        <v>4036</v>
      </c>
    </row>
    <row r="1749" spans="13:13" ht="17.25" customHeight="1">
      <c r="M1749" s="15" t="s">
        <v>4037</v>
      </c>
    </row>
    <row r="1750" spans="13:13" ht="17.25" customHeight="1">
      <c r="M1750" s="15" t="s">
        <v>4038</v>
      </c>
    </row>
    <row r="1751" spans="13:13" ht="17.25" customHeight="1">
      <c r="M1751" s="15" t="s">
        <v>4039</v>
      </c>
    </row>
    <row r="1752" spans="13:13" ht="17.25" customHeight="1">
      <c r="M1752" s="15" t="s">
        <v>4040</v>
      </c>
    </row>
    <row r="1753" spans="13:13" ht="17.25" customHeight="1">
      <c r="M1753" s="15" t="s">
        <v>4041</v>
      </c>
    </row>
    <row r="1754" spans="13:13" ht="17.25" customHeight="1">
      <c r="M1754" s="15" t="s">
        <v>4042</v>
      </c>
    </row>
    <row r="1755" spans="13:13" ht="17.25" customHeight="1">
      <c r="M1755" s="15" t="s">
        <v>4043</v>
      </c>
    </row>
    <row r="1756" spans="13:13" ht="17.25" customHeight="1">
      <c r="M1756" s="15" t="s">
        <v>4044</v>
      </c>
    </row>
    <row r="1757" spans="13:13" ht="17.25" customHeight="1">
      <c r="M1757" s="15" t="s">
        <v>4045</v>
      </c>
    </row>
    <row r="1758" spans="13:13" ht="17.25" customHeight="1">
      <c r="M1758" s="15" t="s">
        <v>4046</v>
      </c>
    </row>
    <row r="1759" spans="13:13" ht="17.25" customHeight="1">
      <c r="M1759" s="15" t="s">
        <v>4047</v>
      </c>
    </row>
    <row r="1760" spans="13:13" ht="17.25" customHeight="1">
      <c r="M1760" s="15" t="s">
        <v>4048</v>
      </c>
    </row>
    <row r="1761" spans="13:13" ht="17.25" customHeight="1">
      <c r="M1761" s="15" t="s">
        <v>4049</v>
      </c>
    </row>
    <row r="1762" spans="13:13" ht="17.25" customHeight="1">
      <c r="M1762" s="15" t="s">
        <v>4050</v>
      </c>
    </row>
    <row r="1763" spans="13:13" ht="17.25" customHeight="1">
      <c r="M1763" s="15" t="s">
        <v>4051</v>
      </c>
    </row>
    <row r="1764" spans="13:13" ht="17.25" customHeight="1">
      <c r="M1764" s="15" t="s">
        <v>4052</v>
      </c>
    </row>
    <row r="1765" spans="13:13" ht="17.25" customHeight="1">
      <c r="M1765" s="15" t="s">
        <v>4053</v>
      </c>
    </row>
    <row r="1766" spans="13:13" ht="17.25" customHeight="1">
      <c r="M1766" s="15" t="s">
        <v>4054</v>
      </c>
    </row>
    <row r="1767" spans="13:13" ht="17.25" customHeight="1">
      <c r="M1767" s="15" t="s">
        <v>4055</v>
      </c>
    </row>
    <row r="1768" spans="13:13" ht="17.25" customHeight="1">
      <c r="M1768" s="15" t="s">
        <v>4056</v>
      </c>
    </row>
    <row r="1769" spans="13:13" ht="17.25" customHeight="1">
      <c r="M1769" s="15" t="s">
        <v>4057</v>
      </c>
    </row>
    <row r="1770" spans="13:13" ht="17.25" customHeight="1">
      <c r="M1770" s="15" t="s">
        <v>4058</v>
      </c>
    </row>
    <row r="1771" spans="13:13" ht="17.25" customHeight="1">
      <c r="M1771" s="15" t="s">
        <v>4059</v>
      </c>
    </row>
    <row r="1772" spans="13:13" ht="17.25" customHeight="1">
      <c r="M1772" s="15" t="s">
        <v>4060</v>
      </c>
    </row>
    <row r="1773" spans="13:13" ht="17.25" customHeight="1">
      <c r="M1773" s="15" t="s">
        <v>4061</v>
      </c>
    </row>
    <row r="1774" spans="13:13" ht="17.25" customHeight="1">
      <c r="M1774" s="15" t="s">
        <v>4062</v>
      </c>
    </row>
    <row r="1775" spans="13:13" ht="17.25" customHeight="1">
      <c r="M1775" s="15" t="s">
        <v>4063</v>
      </c>
    </row>
    <row r="1776" spans="13:13" ht="17.25" customHeight="1">
      <c r="M1776" s="15" t="s">
        <v>4064</v>
      </c>
    </row>
    <row r="1777" spans="13:13" ht="17.25" customHeight="1">
      <c r="M1777" s="15" t="s">
        <v>4065</v>
      </c>
    </row>
    <row r="1778" spans="13:13" ht="17.25" customHeight="1">
      <c r="M1778" s="15" t="s">
        <v>4066</v>
      </c>
    </row>
    <row r="1779" spans="13:13" ht="17.25" customHeight="1">
      <c r="M1779" s="15" t="s">
        <v>4067</v>
      </c>
    </row>
    <row r="1780" spans="13:13" ht="17.25" customHeight="1">
      <c r="M1780" s="15" t="s">
        <v>4068</v>
      </c>
    </row>
    <row r="1781" spans="13:13" ht="17.25" customHeight="1">
      <c r="M1781" s="15" t="s">
        <v>4069</v>
      </c>
    </row>
    <row r="1782" spans="13:13" ht="17.25" customHeight="1">
      <c r="M1782" s="15" t="s">
        <v>4070</v>
      </c>
    </row>
    <row r="1783" spans="13:13" ht="17.25" customHeight="1">
      <c r="M1783" s="15" t="s">
        <v>4071</v>
      </c>
    </row>
    <row r="1784" spans="13:13" ht="17.25" customHeight="1">
      <c r="M1784" s="15" t="s">
        <v>4072</v>
      </c>
    </row>
    <row r="1785" spans="13:13" ht="17.25" customHeight="1">
      <c r="M1785" s="15" t="s">
        <v>4073</v>
      </c>
    </row>
    <row r="1786" spans="13:13" ht="17.25" customHeight="1">
      <c r="M1786" s="15" t="s">
        <v>4074</v>
      </c>
    </row>
    <row r="1787" spans="13:13" ht="17.25" customHeight="1">
      <c r="M1787" s="15" t="s">
        <v>4075</v>
      </c>
    </row>
    <row r="1788" spans="13:13" ht="17.25" customHeight="1">
      <c r="M1788" s="15" t="s">
        <v>4076</v>
      </c>
    </row>
    <row r="1789" spans="13:13" ht="17.25" customHeight="1">
      <c r="M1789" s="15" t="s">
        <v>4077</v>
      </c>
    </row>
    <row r="1790" spans="13:13" ht="17.25" customHeight="1">
      <c r="M1790" s="15" t="s">
        <v>4078</v>
      </c>
    </row>
    <row r="1791" spans="13:13" ht="17.25" customHeight="1">
      <c r="M1791" s="15" t="s">
        <v>4079</v>
      </c>
    </row>
    <row r="1792" spans="13:13" ht="17.25" customHeight="1">
      <c r="M1792" s="15" t="s">
        <v>4080</v>
      </c>
    </row>
    <row r="1793" spans="13:13" ht="17.25" customHeight="1">
      <c r="M1793" s="15" t="s">
        <v>4081</v>
      </c>
    </row>
    <row r="1794" spans="13:13" ht="17.25" customHeight="1">
      <c r="M1794" s="15" t="s">
        <v>4082</v>
      </c>
    </row>
    <row r="1795" spans="13:13" ht="17.25" customHeight="1">
      <c r="M1795" s="15" t="s">
        <v>4083</v>
      </c>
    </row>
    <row r="1796" spans="13:13" ht="17.25" customHeight="1">
      <c r="M1796" s="15" t="s">
        <v>4084</v>
      </c>
    </row>
    <row r="1797" spans="13:13" ht="17.25" customHeight="1">
      <c r="M1797" s="15" t="s">
        <v>4085</v>
      </c>
    </row>
    <row r="1798" spans="13:13" ht="17.25" customHeight="1">
      <c r="M1798" s="15" t="s">
        <v>4086</v>
      </c>
    </row>
    <row r="1799" spans="13:13" ht="17.25" customHeight="1">
      <c r="M1799" s="15" t="s">
        <v>4087</v>
      </c>
    </row>
    <row r="1800" spans="13:13" ht="17.25" customHeight="1">
      <c r="M1800" s="15" t="s">
        <v>4088</v>
      </c>
    </row>
    <row r="1801" spans="13:13" ht="17.25" customHeight="1">
      <c r="M1801" s="15" t="s">
        <v>4089</v>
      </c>
    </row>
    <row r="1802" spans="13:13" ht="17.25" customHeight="1">
      <c r="M1802" s="15" t="s">
        <v>4090</v>
      </c>
    </row>
    <row r="1803" spans="13:13" ht="17.25" customHeight="1">
      <c r="M1803" s="15" t="s">
        <v>4091</v>
      </c>
    </row>
    <row r="1804" spans="13:13" ht="17.25" customHeight="1">
      <c r="M1804" s="15" t="s">
        <v>4092</v>
      </c>
    </row>
    <row r="1805" spans="13:13" ht="17.25" customHeight="1">
      <c r="M1805" s="15" t="s">
        <v>4093</v>
      </c>
    </row>
    <row r="1806" spans="13:13" ht="17.25" customHeight="1">
      <c r="M1806" s="15" t="s">
        <v>4094</v>
      </c>
    </row>
    <row r="1807" spans="13:13" ht="17.25" customHeight="1">
      <c r="M1807" s="15" t="s">
        <v>4095</v>
      </c>
    </row>
    <row r="1808" spans="13:13" ht="17.25" customHeight="1">
      <c r="M1808" s="15" t="s">
        <v>4096</v>
      </c>
    </row>
    <row r="1809" spans="13:13" ht="17.25" customHeight="1">
      <c r="M1809" s="15" t="s">
        <v>4097</v>
      </c>
    </row>
    <row r="1810" spans="13:13" ht="17.25" customHeight="1">
      <c r="M1810" s="15" t="s">
        <v>4098</v>
      </c>
    </row>
    <row r="1811" spans="13:13" ht="17.25" customHeight="1">
      <c r="M1811" s="15" t="s">
        <v>4099</v>
      </c>
    </row>
    <row r="1812" spans="13:13" ht="17.25" customHeight="1">
      <c r="M1812" s="15" t="s">
        <v>4100</v>
      </c>
    </row>
    <row r="1813" spans="13:13" ht="17.25" customHeight="1">
      <c r="M1813" s="15" t="s">
        <v>4101</v>
      </c>
    </row>
    <row r="1814" spans="13:13" ht="17.25" customHeight="1">
      <c r="M1814" s="15" t="s">
        <v>4102</v>
      </c>
    </row>
    <row r="1815" spans="13:13" ht="17.25" customHeight="1">
      <c r="M1815" s="15" t="s">
        <v>4103</v>
      </c>
    </row>
    <row r="1816" spans="13:13" ht="17.25" customHeight="1">
      <c r="M1816" s="15" t="s">
        <v>4104</v>
      </c>
    </row>
    <row r="1817" spans="13:13" ht="17.25" customHeight="1">
      <c r="M1817" s="15" t="s">
        <v>4105</v>
      </c>
    </row>
    <row r="1818" spans="13:13" ht="17.25" customHeight="1">
      <c r="M1818" s="15" t="s">
        <v>4106</v>
      </c>
    </row>
    <row r="1819" spans="13:13" ht="17.25" customHeight="1">
      <c r="M1819" s="15" t="s">
        <v>4107</v>
      </c>
    </row>
    <row r="1820" spans="13:13" ht="17.25" customHeight="1">
      <c r="M1820" s="15" t="s">
        <v>4108</v>
      </c>
    </row>
    <row r="1821" spans="13:13" ht="17.25" customHeight="1">
      <c r="M1821" s="15" t="s">
        <v>4109</v>
      </c>
    </row>
    <row r="1822" spans="13:13" ht="17.25" customHeight="1">
      <c r="M1822" s="15" t="s">
        <v>4110</v>
      </c>
    </row>
    <row r="1823" spans="13:13" ht="17.25" customHeight="1">
      <c r="M1823" s="15" t="s">
        <v>4111</v>
      </c>
    </row>
    <row r="1824" spans="13:13" ht="17.25" customHeight="1">
      <c r="M1824" s="15" t="s">
        <v>4112</v>
      </c>
    </row>
    <row r="1825" spans="13:13" ht="17.25" customHeight="1">
      <c r="M1825" s="15" t="s">
        <v>4113</v>
      </c>
    </row>
    <row r="1826" spans="13:13" ht="17.25" customHeight="1">
      <c r="M1826" s="15" t="s">
        <v>4114</v>
      </c>
    </row>
    <row r="1827" spans="13:13" ht="17.25" customHeight="1">
      <c r="M1827" s="15" t="s">
        <v>4115</v>
      </c>
    </row>
    <row r="1828" spans="13:13" ht="17.25" customHeight="1">
      <c r="M1828" s="15" t="s">
        <v>4116</v>
      </c>
    </row>
    <row r="1829" spans="13:13" ht="17.25" customHeight="1">
      <c r="M1829" s="15" t="s">
        <v>4117</v>
      </c>
    </row>
    <row r="1830" spans="13:13" ht="17.25" customHeight="1">
      <c r="M1830" s="15" t="s">
        <v>4118</v>
      </c>
    </row>
    <row r="1831" spans="13:13" ht="17.25" customHeight="1">
      <c r="M1831" s="15" t="s">
        <v>4119</v>
      </c>
    </row>
    <row r="1832" spans="13:13" ht="17.25" customHeight="1">
      <c r="M1832" s="15" t="s">
        <v>4120</v>
      </c>
    </row>
    <row r="1833" spans="13:13" ht="17.25" customHeight="1">
      <c r="M1833" s="15" t="s">
        <v>4121</v>
      </c>
    </row>
    <row r="1834" spans="13:13" ht="17.25" customHeight="1">
      <c r="M1834" s="15" t="s">
        <v>4122</v>
      </c>
    </row>
    <row r="1835" spans="13:13" ht="17.25" customHeight="1">
      <c r="M1835" s="15" t="s">
        <v>4123</v>
      </c>
    </row>
    <row r="1836" spans="13:13" ht="17.25" customHeight="1">
      <c r="M1836" s="15" t="s">
        <v>4124</v>
      </c>
    </row>
    <row r="1837" spans="13:13" ht="17.25" customHeight="1">
      <c r="M1837" s="15" t="s">
        <v>4125</v>
      </c>
    </row>
    <row r="1838" spans="13:13" ht="17.25" customHeight="1">
      <c r="M1838" s="15" t="s">
        <v>4126</v>
      </c>
    </row>
    <row r="1839" spans="13:13" ht="17.25" customHeight="1">
      <c r="M1839" s="15" t="s">
        <v>4127</v>
      </c>
    </row>
    <row r="1840" spans="13:13" ht="17.25" customHeight="1">
      <c r="M1840" s="15" t="s">
        <v>4128</v>
      </c>
    </row>
    <row r="1841" spans="13:13" ht="17.25" customHeight="1">
      <c r="M1841" s="15" t="s">
        <v>4129</v>
      </c>
    </row>
    <row r="1842" spans="13:13" ht="17.25" customHeight="1">
      <c r="M1842" s="15" t="s">
        <v>4130</v>
      </c>
    </row>
    <row r="1843" spans="13:13" ht="17.25" customHeight="1">
      <c r="M1843" s="15" t="s">
        <v>4131</v>
      </c>
    </row>
    <row r="1844" spans="13:13" ht="17.25" customHeight="1">
      <c r="M1844" s="15" t="s">
        <v>4132</v>
      </c>
    </row>
    <row r="1845" spans="13:13" ht="17.25" customHeight="1">
      <c r="M1845" s="15" t="s">
        <v>4133</v>
      </c>
    </row>
    <row r="1846" spans="13:13" ht="17.25" customHeight="1">
      <c r="M1846" s="15" t="s">
        <v>4134</v>
      </c>
    </row>
    <row r="1847" spans="13:13" ht="17.25" customHeight="1">
      <c r="M1847" s="15" t="s">
        <v>4135</v>
      </c>
    </row>
    <row r="1848" spans="13:13" ht="17.25" customHeight="1">
      <c r="M1848" s="15" t="s">
        <v>4136</v>
      </c>
    </row>
    <row r="1849" spans="13:13" ht="17.25" customHeight="1">
      <c r="M1849" s="15" t="s">
        <v>4137</v>
      </c>
    </row>
    <row r="1850" spans="13:13" ht="17.25" customHeight="1">
      <c r="M1850" s="15" t="s">
        <v>4138</v>
      </c>
    </row>
    <row r="1851" spans="13:13" ht="17.25" customHeight="1">
      <c r="M1851" s="15" t="s">
        <v>4139</v>
      </c>
    </row>
    <row r="1852" spans="13:13" ht="17.25" customHeight="1">
      <c r="M1852" s="15" t="s">
        <v>4140</v>
      </c>
    </row>
    <row r="1853" spans="13:13" ht="17.25" customHeight="1">
      <c r="M1853" s="15" t="s">
        <v>4141</v>
      </c>
    </row>
    <row r="1854" spans="13:13" ht="17.25" customHeight="1">
      <c r="M1854" s="15" t="s">
        <v>4142</v>
      </c>
    </row>
    <row r="1855" spans="13:13" ht="17.25" customHeight="1">
      <c r="M1855" s="15" t="s">
        <v>4143</v>
      </c>
    </row>
    <row r="1856" spans="13:13" ht="17.25" customHeight="1">
      <c r="M1856" s="15" t="s">
        <v>4144</v>
      </c>
    </row>
    <row r="1857" spans="13:13" ht="17.25" customHeight="1">
      <c r="M1857" s="15" t="s">
        <v>4145</v>
      </c>
    </row>
    <row r="1858" spans="13:13" ht="17.25" customHeight="1">
      <c r="M1858" s="15" t="s">
        <v>4146</v>
      </c>
    </row>
    <row r="1859" spans="13:13" ht="17.25" customHeight="1">
      <c r="M1859" s="15" t="s">
        <v>4147</v>
      </c>
    </row>
    <row r="1860" spans="13:13" ht="17.25" customHeight="1">
      <c r="M1860" s="15" t="s">
        <v>4148</v>
      </c>
    </row>
    <row r="1861" spans="13:13" ht="17.25" customHeight="1">
      <c r="M1861" s="15" t="s">
        <v>4149</v>
      </c>
    </row>
    <row r="1862" spans="13:13" ht="17.25" customHeight="1">
      <c r="M1862" s="15" t="s">
        <v>4150</v>
      </c>
    </row>
    <row r="1863" spans="13:13" ht="17.25" customHeight="1">
      <c r="M1863" s="15" t="s">
        <v>4151</v>
      </c>
    </row>
    <row r="1864" spans="13:13" ht="17.25" customHeight="1">
      <c r="M1864" s="15" t="s">
        <v>4152</v>
      </c>
    </row>
    <row r="1865" spans="13:13" ht="17.25" customHeight="1">
      <c r="M1865" s="15" t="s">
        <v>4153</v>
      </c>
    </row>
    <row r="1866" spans="13:13" ht="17.25" customHeight="1">
      <c r="M1866" s="15" t="s">
        <v>4154</v>
      </c>
    </row>
    <row r="1867" spans="13:13" ht="17.25" customHeight="1">
      <c r="M1867" s="15" t="s">
        <v>4155</v>
      </c>
    </row>
    <row r="1868" spans="13:13" ht="17.25" customHeight="1">
      <c r="M1868" s="15" t="s">
        <v>4156</v>
      </c>
    </row>
    <row r="1869" spans="13:13" ht="17.25" customHeight="1">
      <c r="M1869" s="15" t="s">
        <v>4157</v>
      </c>
    </row>
    <row r="1870" spans="13:13" ht="17.25" customHeight="1">
      <c r="M1870" s="15" t="s">
        <v>4158</v>
      </c>
    </row>
    <row r="1871" spans="13:13" ht="17.25" customHeight="1">
      <c r="M1871" s="15" t="s">
        <v>4159</v>
      </c>
    </row>
    <row r="1872" spans="13:13" ht="17.25" customHeight="1">
      <c r="M1872" s="15" t="s">
        <v>4160</v>
      </c>
    </row>
    <row r="1873" spans="13:13" ht="17.25" customHeight="1">
      <c r="M1873" s="15" t="s">
        <v>4161</v>
      </c>
    </row>
    <row r="1874" spans="13:13" ht="17.25" customHeight="1">
      <c r="M1874" s="15" t="s">
        <v>4162</v>
      </c>
    </row>
    <row r="1875" spans="13:13" ht="17.25" customHeight="1">
      <c r="M1875" s="15" t="s">
        <v>4163</v>
      </c>
    </row>
    <row r="1876" spans="13:13" ht="17.25" customHeight="1">
      <c r="M1876" s="15" t="s">
        <v>4164</v>
      </c>
    </row>
    <row r="1877" spans="13:13" ht="17.25" customHeight="1">
      <c r="M1877" s="15" t="s">
        <v>4165</v>
      </c>
    </row>
    <row r="1878" spans="13:13" ht="17.25" customHeight="1">
      <c r="M1878" s="15" t="s">
        <v>4166</v>
      </c>
    </row>
    <row r="1879" spans="13:13" ht="17.25" customHeight="1">
      <c r="M1879" s="15" t="s">
        <v>4167</v>
      </c>
    </row>
    <row r="1880" spans="13:13" ht="17.25" customHeight="1">
      <c r="M1880" s="15" t="s">
        <v>4168</v>
      </c>
    </row>
    <row r="1881" spans="13:13" ht="17.25" customHeight="1">
      <c r="M1881" s="15" t="s">
        <v>4169</v>
      </c>
    </row>
    <row r="1882" spans="13:13" ht="17.25" customHeight="1">
      <c r="M1882" s="15" t="s">
        <v>4170</v>
      </c>
    </row>
    <row r="1883" spans="13:13" ht="17.25" customHeight="1">
      <c r="M1883" s="15" t="s">
        <v>4171</v>
      </c>
    </row>
    <row r="1884" spans="13:13" ht="17.25" customHeight="1">
      <c r="M1884" s="15" t="s">
        <v>4172</v>
      </c>
    </row>
    <row r="1885" spans="13:13" ht="17.25" customHeight="1">
      <c r="M1885" s="15" t="s">
        <v>4173</v>
      </c>
    </row>
    <row r="1886" spans="13:13" ht="17.25" customHeight="1">
      <c r="M1886" s="15" t="s">
        <v>4174</v>
      </c>
    </row>
    <row r="1887" spans="13:13" ht="17.25" customHeight="1">
      <c r="M1887" s="15" t="s">
        <v>4175</v>
      </c>
    </row>
    <row r="1888" spans="13:13" ht="17.25" customHeight="1">
      <c r="M1888" s="15" t="s">
        <v>4176</v>
      </c>
    </row>
    <row r="1889" spans="13:13" ht="17.25" customHeight="1">
      <c r="M1889" s="15" t="s">
        <v>4177</v>
      </c>
    </row>
    <row r="1890" spans="13:13" ht="17.25" customHeight="1">
      <c r="M1890" s="15" t="s">
        <v>4178</v>
      </c>
    </row>
    <row r="1891" spans="13:13" ht="17.25" customHeight="1">
      <c r="M1891" s="15" t="s">
        <v>4179</v>
      </c>
    </row>
    <row r="1892" spans="13:13" ht="17.25" customHeight="1">
      <c r="M1892" s="15" t="s">
        <v>4180</v>
      </c>
    </row>
    <row r="1893" spans="13:13" ht="17.25" customHeight="1">
      <c r="M1893" s="15" t="s">
        <v>4181</v>
      </c>
    </row>
    <row r="1894" spans="13:13" ht="17.25" customHeight="1">
      <c r="M1894" s="15" t="s">
        <v>4182</v>
      </c>
    </row>
    <row r="1895" spans="13:13" ht="17.25" customHeight="1">
      <c r="M1895" s="15" t="s">
        <v>4183</v>
      </c>
    </row>
    <row r="1896" spans="13:13" ht="17.25" customHeight="1">
      <c r="M1896" s="15" t="s">
        <v>4184</v>
      </c>
    </row>
    <row r="1897" spans="13:13" ht="17.25" customHeight="1">
      <c r="M1897" s="15" t="s">
        <v>4185</v>
      </c>
    </row>
    <row r="1898" spans="13:13" ht="17.25" customHeight="1">
      <c r="M1898" s="15" t="s">
        <v>4186</v>
      </c>
    </row>
    <row r="1899" spans="13:13" ht="17.25" customHeight="1">
      <c r="M1899" s="15" t="s">
        <v>4187</v>
      </c>
    </row>
    <row r="1900" spans="13:13" ht="17.25" customHeight="1">
      <c r="M1900" s="15" t="s">
        <v>4188</v>
      </c>
    </row>
    <row r="1901" spans="13:13" ht="17.25" customHeight="1">
      <c r="M1901" s="15" t="s">
        <v>4189</v>
      </c>
    </row>
    <row r="1902" spans="13:13" ht="17.25" customHeight="1">
      <c r="M1902" s="15" t="s">
        <v>4190</v>
      </c>
    </row>
    <row r="1903" spans="13:13" ht="17.25" customHeight="1">
      <c r="M1903" s="15" t="s">
        <v>4191</v>
      </c>
    </row>
    <row r="1904" spans="13:13" ht="17.25" customHeight="1">
      <c r="M1904" s="15" t="s">
        <v>4192</v>
      </c>
    </row>
    <row r="1905" spans="13:13" ht="17.25" customHeight="1">
      <c r="M1905" s="15" t="s">
        <v>4193</v>
      </c>
    </row>
    <row r="1906" spans="13:13" ht="17.25" customHeight="1">
      <c r="M1906" s="15" t="s">
        <v>4194</v>
      </c>
    </row>
    <row r="1907" spans="13:13" ht="17.25" customHeight="1">
      <c r="M1907" s="15" t="s">
        <v>4195</v>
      </c>
    </row>
    <row r="1908" spans="13:13" ht="17.25" customHeight="1">
      <c r="M1908" s="15" t="s">
        <v>4196</v>
      </c>
    </row>
    <row r="1909" spans="13:13" ht="17.25" customHeight="1">
      <c r="M1909" s="15" t="s">
        <v>4197</v>
      </c>
    </row>
    <row r="1910" spans="13:13" ht="17.25" customHeight="1">
      <c r="M1910" s="15" t="s">
        <v>4198</v>
      </c>
    </row>
    <row r="1911" spans="13:13" ht="17.25" customHeight="1">
      <c r="M1911" s="15" t="s">
        <v>4199</v>
      </c>
    </row>
    <row r="1912" spans="13:13" ht="17.25" customHeight="1">
      <c r="M1912" s="15" t="s">
        <v>4200</v>
      </c>
    </row>
    <row r="1913" spans="13:13" ht="17.25" customHeight="1">
      <c r="M1913" s="15" t="s">
        <v>4201</v>
      </c>
    </row>
    <row r="1914" spans="13:13" ht="17.25" customHeight="1">
      <c r="M1914" s="15" t="s">
        <v>4202</v>
      </c>
    </row>
    <row r="1915" spans="13:13" ht="17.25" customHeight="1">
      <c r="M1915" s="15" t="s">
        <v>4203</v>
      </c>
    </row>
    <row r="1916" spans="13:13" ht="17.25" customHeight="1">
      <c r="M1916" s="15" t="s">
        <v>4204</v>
      </c>
    </row>
    <row r="1917" spans="13:13" ht="17.25" customHeight="1">
      <c r="M1917" s="15" t="s">
        <v>4205</v>
      </c>
    </row>
    <row r="1918" spans="13:13" ht="17.25" customHeight="1">
      <c r="M1918" s="15" t="s">
        <v>4206</v>
      </c>
    </row>
    <row r="1919" spans="13:13" ht="17.25" customHeight="1">
      <c r="M1919" s="15" t="s">
        <v>4207</v>
      </c>
    </row>
    <row r="1920" spans="13:13" ht="17.25" customHeight="1">
      <c r="M1920" s="15" t="s">
        <v>4208</v>
      </c>
    </row>
    <row r="1921" spans="13:13" ht="17.25" customHeight="1">
      <c r="M1921" s="15" t="s">
        <v>4209</v>
      </c>
    </row>
    <row r="1922" spans="13:13" ht="17.25" customHeight="1">
      <c r="M1922" s="15" t="s">
        <v>4210</v>
      </c>
    </row>
    <row r="1923" spans="13:13" ht="17.25" customHeight="1">
      <c r="M1923" s="15" t="s">
        <v>4211</v>
      </c>
    </row>
    <row r="1924" spans="13:13" ht="17.25" customHeight="1">
      <c r="M1924" s="15" t="s">
        <v>4212</v>
      </c>
    </row>
    <row r="1925" spans="13:13" ht="17.25" customHeight="1">
      <c r="M1925" s="15" t="s">
        <v>4213</v>
      </c>
    </row>
    <row r="1926" spans="13:13" ht="17.25" customHeight="1">
      <c r="M1926" s="15" t="s">
        <v>4214</v>
      </c>
    </row>
    <row r="1927" spans="13:13" ht="17.25" customHeight="1">
      <c r="M1927" s="15" t="s">
        <v>4215</v>
      </c>
    </row>
    <row r="1928" spans="13:13" ht="17.25" customHeight="1">
      <c r="M1928" s="15" t="s">
        <v>4216</v>
      </c>
    </row>
    <row r="1929" spans="13:13" ht="17.25" customHeight="1">
      <c r="M1929" s="15" t="s">
        <v>4217</v>
      </c>
    </row>
    <row r="1930" spans="13:13" ht="17.25" customHeight="1">
      <c r="M1930" s="15" t="s">
        <v>4218</v>
      </c>
    </row>
    <row r="1931" spans="13:13" ht="17.25" customHeight="1">
      <c r="M1931" s="15" t="s">
        <v>4219</v>
      </c>
    </row>
    <row r="1932" spans="13:13" ht="17.25" customHeight="1">
      <c r="M1932" s="15" t="s">
        <v>4220</v>
      </c>
    </row>
    <row r="1933" spans="13:13" ht="17.25" customHeight="1">
      <c r="M1933" s="15" t="s">
        <v>4221</v>
      </c>
    </row>
    <row r="1934" spans="13:13" ht="17.25" customHeight="1">
      <c r="M1934" s="15" t="s">
        <v>4222</v>
      </c>
    </row>
    <row r="1935" spans="13:13" ht="17.25" customHeight="1">
      <c r="M1935" s="15" t="s">
        <v>4223</v>
      </c>
    </row>
    <row r="1936" spans="13:13" ht="17.25" customHeight="1">
      <c r="M1936" s="15" t="s">
        <v>4224</v>
      </c>
    </row>
    <row r="1937" spans="13:13" ht="17.25" customHeight="1">
      <c r="M1937" s="15" t="s">
        <v>4225</v>
      </c>
    </row>
    <row r="1938" spans="13:13" ht="17.25" customHeight="1">
      <c r="M1938" s="15" t="s">
        <v>4226</v>
      </c>
    </row>
    <row r="1939" spans="13:13" ht="17.25" customHeight="1">
      <c r="M1939" s="15" t="s">
        <v>4227</v>
      </c>
    </row>
    <row r="1940" spans="13:13" ht="17.25" customHeight="1">
      <c r="M1940" s="15" t="s">
        <v>4228</v>
      </c>
    </row>
    <row r="1941" spans="13:13" ht="17.25" customHeight="1">
      <c r="M1941" s="15" t="s">
        <v>4229</v>
      </c>
    </row>
    <row r="1942" spans="13:13" ht="17.25" customHeight="1">
      <c r="M1942" s="15" t="s">
        <v>4230</v>
      </c>
    </row>
    <row r="1943" spans="13:13" ht="17.25" customHeight="1">
      <c r="M1943" s="15" t="s">
        <v>4231</v>
      </c>
    </row>
    <row r="1944" spans="13:13" ht="17.25" customHeight="1">
      <c r="M1944" s="15" t="s">
        <v>4232</v>
      </c>
    </row>
    <row r="1945" spans="13:13" ht="17.25" customHeight="1">
      <c r="M1945" s="15" t="s">
        <v>4233</v>
      </c>
    </row>
    <row r="1946" spans="13:13" ht="17.25" customHeight="1">
      <c r="M1946" s="15" t="s">
        <v>4234</v>
      </c>
    </row>
    <row r="1947" spans="13:13" ht="17.25" customHeight="1">
      <c r="M1947" s="15" t="s">
        <v>4235</v>
      </c>
    </row>
    <row r="1948" spans="13:13" ht="17.25" customHeight="1">
      <c r="M1948" s="15" t="s">
        <v>4236</v>
      </c>
    </row>
    <row r="1949" spans="13:13" ht="17.25" customHeight="1">
      <c r="M1949" s="15" t="s">
        <v>4237</v>
      </c>
    </row>
    <row r="1950" spans="13:13" ht="17.25" customHeight="1">
      <c r="M1950" s="15" t="s">
        <v>4238</v>
      </c>
    </row>
    <row r="1951" spans="13:13" ht="17.25" customHeight="1">
      <c r="M1951" s="15" t="s">
        <v>4239</v>
      </c>
    </row>
    <row r="1952" spans="13:13" ht="17.25" customHeight="1">
      <c r="M1952" s="15" t="s">
        <v>4240</v>
      </c>
    </row>
    <row r="1953" spans="13:13" ht="17.25" customHeight="1">
      <c r="M1953" s="15" t="s">
        <v>4241</v>
      </c>
    </row>
    <row r="1954" spans="13:13" ht="17.25" customHeight="1">
      <c r="M1954" s="15" t="s">
        <v>4242</v>
      </c>
    </row>
    <row r="1955" spans="13:13" ht="17.25" customHeight="1">
      <c r="M1955" s="15" t="s">
        <v>4243</v>
      </c>
    </row>
    <row r="1956" spans="13:13" ht="17.25" customHeight="1">
      <c r="M1956" s="15" t="s">
        <v>4244</v>
      </c>
    </row>
    <row r="1957" spans="13:13" ht="17.25" customHeight="1">
      <c r="M1957" s="15" t="s">
        <v>4245</v>
      </c>
    </row>
    <row r="1958" spans="13:13" ht="17.25" customHeight="1">
      <c r="M1958" s="15" t="s">
        <v>4246</v>
      </c>
    </row>
    <row r="1959" spans="13:13" ht="17.25" customHeight="1">
      <c r="M1959" s="15" t="s">
        <v>4247</v>
      </c>
    </row>
    <row r="1960" spans="13:13" ht="17.25" customHeight="1">
      <c r="M1960" s="15" t="s">
        <v>4248</v>
      </c>
    </row>
    <row r="1961" spans="13:13" ht="17.25" customHeight="1">
      <c r="M1961" s="15" t="s">
        <v>4249</v>
      </c>
    </row>
    <row r="1962" spans="13:13" ht="17.25" customHeight="1">
      <c r="M1962" s="15" t="s">
        <v>4250</v>
      </c>
    </row>
    <row r="1963" spans="13:13" ht="17.25" customHeight="1">
      <c r="M1963" s="15" t="s">
        <v>4251</v>
      </c>
    </row>
    <row r="1964" spans="13:13" ht="17.25" customHeight="1">
      <c r="M1964" s="15" t="s">
        <v>4252</v>
      </c>
    </row>
    <row r="1965" spans="13:13" ht="17.25" customHeight="1">
      <c r="M1965" s="15" t="s">
        <v>4253</v>
      </c>
    </row>
    <row r="1966" spans="13:13" ht="17.25" customHeight="1">
      <c r="M1966" s="15" t="s">
        <v>4254</v>
      </c>
    </row>
    <row r="1967" spans="13:13" ht="17.25" customHeight="1">
      <c r="M1967" s="15" t="s">
        <v>4255</v>
      </c>
    </row>
    <row r="1968" spans="13:13" ht="17.25" customHeight="1">
      <c r="M1968" s="15" t="s">
        <v>4256</v>
      </c>
    </row>
    <row r="1969" spans="13:13" ht="17.25" customHeight="1">
      <c r="M1969" s="15" t="s">
        <v>4257</v>
      </c>
    </row>
    <row r="1970" spans="13:13" ht="17.25" customHeight="1">
      <c r="M1970" s="15" t="s">
        <v>4258</v>
      </c>
    </row>
    <row r="1971" spans="13:13" ht="17.25" customHeight="1">
      <c r="M1971" s="15" t="s">
        <v>4259</v>
      </c>
    </row>
    <row r="1972" spans="13:13" ht="17.25" customHeight="1">
      <c r="M1972" s="15" t="s">
        <v>4260</v>
      </c>
    </row>
    <row r="1973" spans="13:13" ht="17.25" customHeight="1">
      <c r="M1973" s="15" t="s">
        <v>4261</v>
      </c>
    </row>
    <row r="1974" spans="13:13" ht="17.25" customHeight="1">
      <c r="M1974" s="15" t="s">
        <v>4262</v>
      </c>
    </row>
    <row r="1975" spans="13:13" ht="17.25" customHeight="1">
      <c r="M1975" s="15" t="s">
        <v>4263</v>
      </c>
    </row>
    <row r="1976" spans="13:13" ht="17.25" customHeight="1">
      <c r="M1976" s="15" t="s">
        <v>4264</v>
      </c>
    </row>
    <row r="1977" spans="13:13" ht="17.25" customHeight="1">
      <c r="M1977" s="15" t="s">
        <v>4265</v>
      </c>
    </row>
    <row r="1978" spans="13:13" ht="17.25" customHeight="1">
      <c r="M1978" s="15" t="s">
        <v>4266</v>
      </c>
    </row>
    <row r="1979" spans="13:13" ht="17.25" customHeight="1">
      <c r="M1979" s="15" t="s">
        <v>4267</v>
      </c>
    </row>
    <row r="1980" spans="13:13" ht="17.25" customHeight="1">
      <c r="M1980" s="15" t="s">
        <v>4268</v>
      </c>
    </row>
    <row r="1981" spans="13:13" ht="17.25" customHeight="1">
      <c r="M1981" s="15" t="s">
        <v>4269</v>
      </c>
    </row>
    <row r="1982" spans="13:13" ht="17.25" customHeight="1">
      <c r="M1982" s="15" t="s">
        <v>4270</v>
      </c>
    </row>
    <row r="1983" spans="13:13" ht="17.25" customHeight="1">
      <c r="M1983" s="15" t="s">
        <v>4271</v>
      </c>
    </row>
    <row r="1984" spans="13:13" ht="17.25" customHeight="1">
      <c r="M1984" s="15" t="s">
        <v>4272</v>
      </c>
    </row>
    <row r="1985" spans="13:13" ht="17.25" customHeight="1">
      <c r="M1985" s="15" t="s">
        <v>4273</v>
      </c>
    </row>
    <row r="1986" spans="13:13" ht="17.25" customHeight="1">
      <c r="M1986" s="15" t="s">
        <v>4274</v>
      </c>
    </row>
    <row r="1987" spans="13:13" ht="17.25" customHeight="1">
      <c r="M1987" s="15" t="s">
        <v>4275</v>
      </c>
    </row>
    <row r="1988" spans="13:13" ht="17.25" customHeight="1">
      <c r="M1988" s="15" t="s">
        <v>4276</v>
      </c>
    </row>
    <row r="1989" spans="13:13" ht="17.25" customHeight="1">
      <c r="M1989" s="15" t="s">
        <v>4277</v>
      </c>
    </row>
    <row r="1990" spans="13:13" ht="17.25" customHeight="1">
      <c r="M1990" s="15" t="s">
        <v>4278</v>
      </c>
    </row>
    <row r="1991" spans="13:13" ht="17.25" customHeight="1">
      <c r="M1991" s="15" t="s">
        <v>4279</v>
      </c>
    </row>
    <row r="1992" spans="13:13" ht="17.25" customHeight="1">
      <c r="M1992" s="15" t="s">
        <v>4280</v>
      </c>
    </row>
    <row r="1993" spans="13:13" ht="17.25" customHeight="1">
      <c r="M1993" s="15" t="s">
        <v>4281</v>
      </c>
    </row>
    <row r="1994" spans="13:13" ht="17.25" customHeight="1">
      <c r="M1994" s="15" t="s">
        <v>4282</v>
      </c>
    </row>
    <row r="1995" spans="13:13" ht="17.25" customHeight="1">
      <c r="M1995" s="15" t="s">
        <v>4283</v>
      </c>
    </row>
    <row r="1996" spans="13:13" ht="17.25" customHeight="1">
      <c r="M1996" s="15" t="s">
        <v>4284</v>
      </c>
    </row>
    <row r="1997" spans="13:13" ht="17.25" customHeight="1">
      <c r="M1997" s="15" t="s">
        <v>4285</v>
      </c>
    </row>
    <row r="1998" spans="13:13" ht="17.25" customHeight="1">
      <c r="M1998" s="15" t="s">
        <v>4286</v>
      </c>
    </row>
    <row r="1999" spans="13:13" ht="17.25" customHeight="1">
      <c r="M1999" s="15" t="s">
        <v>4287</v>
      </c>
    </row>
    <row r="2000" spans="13:13" ht="17.25" customHeight="1">
      <c r="M2000" s="15" t="s">
        <v>4288</v>
      </c>
    </row>
    <row r="2001" spans="13:13" ht="17.25" customHeight="1">
      <c r="M2001" s="15" t="s">
        <v>4289</v>
      </c>
    </row>
    <row r="2002" spans="13:13" ht="17.25" customHeight="1">
      <c r="M2002" s="15" t="s">
        <v>4290</v>
      </c>
    </row>
    <row r="2003" spans="13:13" ht="17.25" customHeight="1">
      <c r="M2003" s="15" t="s">
        <v>4291</v>
      </c>
    </row>
    <row r="2004" spans="13:13" ht="17.25" customHeight="1">
      <c r="M2004" s="15" t="s">
        <v>4292</v>
      </c>
    </row>
    <row r="2005" spans="13:13" ht="17.25" customHeight="1">
      <c r="M2005" s="15" t="s">
        <v>4293</v>
      </c>
    </row>
    <row r="2006" spans="13:13" ht="17.25" customHeight="1">
      <c r="M2006" s="15" t="s">
        <v>4294</v>
      </c>
    </row>
    <row r="2007" spans="13:13" ht="17.25" customHeight="1">
      <c r="M2007" s="15" t="s">
        <v>4295</v>
      </c>
    </row>
    <row r="2008" spans="13:13" ht="17.25" customHeight="1">
      <c r="M2008" s="15" t="s">
        <v>4296</v>
      </c>
    </row>
    <row r="2009" spans="13:13" ht="17.25" customHeight="1">
      <c r="M2009" s="15" t="s">
        <v>4297</v>
      </c>
    </row>
    <row r="2010" spans="13:13" ht="17.25" customHeight="1">
      <c r="M2010" s="15" t="s">
        <v>4298</v>
      </c>
    </row>
    <row r="2011" spans="13:13" ht="17.25" customHeight="1">
      <c r="M2011" s="15" t="s">
        <v>4299</v>
      </c>
    </row>
    <row r="2012" spans="13:13" ht="17.25" customHeight="1">
      <c r="M2012" s="15" t="s">
        <v>4300</v>
      </c>
    </row>
    <row r="2013" spans="13:13" ht="17.25" customHeight="1">
      <c r="M2013" s="15" t="s">
        <v>4301</v>
      </c>
    </row>
    <row r="2014" spans="13:13" ht="17.25" customHeight="1">
      <c r="M2014" s="15" t="s">
        <v>4302</v>
      </c>
    </row>
    <row r="2015" spans="13:13" ht="17.25" customHeight="1">
      <c r="M2015" s="15" t="s">
        <v>4303</v>
      </c>
    </row>
    <row r="2016" spans="13:13" ht="17.25" customHeight="1">
      <c r="M2016" s="15" t="s">
        <v>4304</v>
      </c>
    </row>
    <row r="2017" spans="13:13" ht="17.25" customHeight="1">
      <c r="M2017" s="15" t="s">
        <v>4305</v>
      </c>
    </row>
    <row r="2018" spans="13:13" ht="17.25" customHeight="1">
      <c r="M2018" s="15" t="s">
        <v>4306</v>
      </c>
    </row>
    <row r="2019" spans="13:13" ht="17.25" customHeight="1">
      <c r="M2019" s="15" t="s">
        <v>4307</v>
      </c>
    </row>
    <row r="2020" spans="13:13" ht="17.25" customHeight="1">
      <c r="M2020" s="15" t="s">
        <v>4308</v>
      </c>
    </row>
    <row r="2021" spans="13:13" ht="17.25" customHeight="1">
      <c r="M2021" s="15" t="s">
        <v>4309</v>
      </c>
    </row>
    <row r="2022" spans="13:13" ht="17.25" customHeight="1">
      <c r="M2022" s="15" t="s">
        <v>4310</v>
      </c>
    </row>
    <row r="2023" spans="13:13" ht="17.25" customHeight="1">
      <c r="M2023" s="15" t="s">
        <v>4311</v>
      </c>
    </row>
    <row r="2024" spans="13:13" ht="17.25" customHeight="1">
      <c r="M2024" s="15" t="s">
        <v>4312</v>
      </c>
    </row>
    <row r="2025" spans="13:13" ht="17.25" customHeight="1">
      <c r="M2025" s="15" t="s">
        <v>4313</v>
      </c>
    </row>
    <row r="2026" spans="13:13" ht="17.25" customHeight="1">
      <c r="M2026" s="15" t="s">
        <v>4314</v>
      </c>
    </row>
    <row r="2027" spans="13:13" ht="17.25" customHeight="1">
      <c r="M2027" s="15" t="s">
        <v>4315</v>
      </c>
    </row>
    <row r="2028" spans="13:13" ht="17.25" customHeight="1">
      <c r="M2028" s="15" t="s">
        <v>4316</v>
      </c>
    </row>
    <row r="2029" spans="13:13" ht="17.25" customHeight="1">
      <c r="M2029" s="15" t="s">
        <v>4317</v>
      </c>
    </row>
    <row r="2030" spans="13:13" ht="17.25" customHeight="1">
      <c r="M2030" s="15" t="s">
        <v>4318</v>
      </c>
    </row>
    <row r="2031" spans="13:13" ht="17.25" customHeight="1">
      <c r="M2031" s="15" t="s">
        <v>4319</v>
      </c>
    </row>
    <row r="2032" spans="13:13" ht="17.25" customHeight="1">
      <c r="M2032" s="15" t="s">
        <v>4320</v>
      </c>
    </row>
    <row r="2033" spans="13:13" ht="17.25" customHeight="1">
      <c r="M2033" s="15" t="s">
        <v>4321</v>
      </c>
    </row>
    <row r="2034" spans="13:13" ht="17.25" customHeight="1">
      <c r="M2034" s="15" t="s">
        <v>4322</v>
      </c>
    </row>
    <row r="2035" spans="13:13" ht="17.25" customHeight="1">
      <c r="M2035" s="15" t="s">
        <v>4323</v>
      </c>
    </row>
    <row r="2036" spans="13:13" ht="17.25" customHeight="1">
      <c r="M2036" s="15" t="s">
        <v>4324</v>
      </c>
    </row>
    <row r="2037" spans="13:13" ht="17.25" customHeight="1">
      <c r="M2037" s="15" t="s">
        <v>4325</v>
      </c>
    </row>
    <row r="2038" spans="13:13" ht="17.25" customHeight="1">
      <c r="M2038" s="15" t="s">
        <v>4326</v>
      </c>
    </row>
    <row r="2039" spans="13:13" ht="17.25" customHeight="1">
      <c r="M2039" s="15" t="s">
        <v>4327</v>
      </c>
    </row>
    <row r="2040" spans="13:13" ht="17.25" customHeight="1">
      <c r="M2040" s="15" t="s">
        <v>4328</v>
      </c>
    </row>
    <row r="2041" spans="13:13" ht="17.25" customHeight="1">
      <c r="M2041" s="15" t="s">
        <v>4329</v>
      </c>
    </row>
    <row r="2042" spans="13:13" ht="17.25" customHeight="1">
      <c r="M2042" s="15" t="s">
        <v>4330</v>
      </c>
    </row>
    <row r="2043" spans="13:13" ht="17.25" customHeight="1">
      <c r="M2043" s="15" t="s">
        <v>4331</v>
      </c>
    </row>
    <row r="2044" spans="13:13" ht="17.25" customHeight="1">
      <c r="M2044" s="15" t="s">
        <v>4332</v>
      </c>
    </row>
    <row r="2045" spans="13:13" ht="17.25" customHeight="1">
      <c r="M2045" s="15" t="s">
        <v>4333</v>
      </c>
    </row>
    <row r="2046" spans="13:13" ht="17.25" customHeight="1">
      <c r="M2046" s="15" t="s">
        <v>4334</v>
      </c>
    </row>
    <row r="2047" spans="13:13" ht="17.25" customHeight="1">
      <c r="M2047" s="15" t="s">
        <v>4335</v>
      </c>
    </row>
    <row r="2048" spans="13:13" ht="17.25" customHeight="1">
      <c r="M2048" s="15" t="s">
        <v>4336</v>
      </c>
    </row>
    <row r="2049" spans="13:13" ht="17.25" customHeight="1">
      <c r="M2049" s="15" t="s">
        <v>4337</v>
      </c>
    </row>
    <row r="2050" spans="13:13" ht="17.25" customHeight="1">
      <c r="M2050" s="15" t="s">
        <v>4338</v>
      </c>
    </row>
    <row r="2051" spans="13:13" ht="17.25" customHeight="1">
      <c r="M2051" s="15" t="s">
        <v>4339</v>
      </c>
    </row>
    <row r="2052" spans="13:13" ht="17.25" customHeight="1">
      <c r="M2052" s="15" t="s">
        <v>4340</v>
      </c>
    </row>
    <row r="2053" spans="13:13" ht="17.25" customHeight="1">
      <c r="M2053" s="15" t="s">
        <v>4341</v>
      </c>
    </row>
    <row r="2054" spans="13:13" ht="17.25" customHeight="1">
      <c r="M2054" s="15" t="s">
        <v>4342</v>
      </c>
    </row>
    <row r="2055" spans="13:13" ht="17.25" customHeight="1">
      <c r="M2055" s="15" t="s">
        <v>4343</v>
      </c>
    </row>
    <row r="2056" spans="13:13" ht="17.25" customHeight="1">
      <c r="M2056" s="15" t="s">
        <v>4344</v>
      </c>
    </row>
    <row r="2057" spans="13:13" ht="17.25" customHeight="1">
      <c r="M2057" s="15" t="s">
        <v>4345</v>
      </c>
    </row>
    <row r="2058" spans="13:13" ht="17.25" customHeight="1">
      <c r="M2058" s="15" t="s">
        <v>4346</v>
      </c>
    </row>
    <row r="2059" spans="13:13" ht="17.25" customHeight="1">
      <c r="M2059" s="15" t="s">
        <v>4347</v>
      </c>
    </row>
    <row r="2060" spans="13:13" ht="17.25" customHeight="1">
      <c r="M2060" s="15" t="s">
        <v>4348</v>
      </c>
    </row>
    <row r="2061" spans="13:13" ht="17.25" customHeight="1">
      <c r="M2061" s="15" t="s">
        <v>4349</v>
      </c>
    </row>
    <row r="2062" spans="13:13" ht="17.25" customHeight="1">
      <c r="M2062" s="15" t="s">
        <v>4350</v>
      </c>
    </row>
    <row r="2063" spans="13:13" ht="17.25" customHeight="1">
      <c r="M2063" s="15" t="s">
        <v>4351</v>
      </c>
    </row>
    <row r="2064" spans="13:13" ht="17.25" customHeight="1">
      <c r="M2064" s="15" t="s">
        <v>4352</v>
      </c>
    </row>
    <row r="2065" spans="13:13" ht="17.25" customHeight="1">
      <c r="M2065" s="15" t="s">
        <v>4353</v>
      </c>
    </row>
    <row r="2066" spans="13:13" ht="17.25" customHeight="1">
      <c r="M2066" s="15" t="s">
        <v>4354</v>
      </c>
    </row>
    <row r="2067" spans="13:13" ht="17.25" customHeight="1">
      <c r="M2067" s="15" t="s">
        <v>4355</v>
      </c>
    </row>
    <row r="2068" spans="13:13" ht="17.25" customHeight="1">
      <c r="M2068" s="15" t="s">
        <v>4356</v>
      </c>
    </row>
    <row r="2069" spans="13:13" ht="17.25" customHeight="1">
      <c r="M2069" s="15" t="s">
        <v>4357</v>
      </c>
    </row>
    <row r="2070" spans="13:13" ht="17.25" customHeight="1">
      <c r="M2070" s="15" t="s">
        <v>4358</v>
      </c>
    </row>
    <row r="2071" spans="13:13" ht="17.25" customHeight="1">
      <c r="M2071" s="15" t="s">
        <v>4359</v>
      </c>
    </row>
    <row r="2072" spans="13:13" ht="17.25" customHeight="1">
      <c r="M2072" s="15" t="s">
        <v>4360</v>
      </c>
    </row>
    <row r="2073" spans="13:13" ht="17.25" customHeight="1">
      <c r="M2073" s="15" t="s">
        <v>4361</v>
      </c>
    </row>
    <row r="2074" spans="13:13" ht="17.25" customHeight="1">
      <c r="M2074" s="15" t="s">
        <v>4362</v>
      </c>
    </row>
    <row r="2075" spans="13:13" ht="17.25" customHeight="1">
      <c r="M2075" s="15" t="s">
        <v>4363</v>
      </c>
    </row>
    <row r="2076" spans="13:13" ht="17.25" customHeight="1">
      <c r="M2076" s="15" t="s">
        <v>4364</v>
      </c>
    </row>
    <row r="2077" spans="13:13" ht="17.25" customHeight="1">
      <c r="M2077" s="15" t="s">
        <v>4365</v>
      </c>
    </row>
    <row r="2078" spans="13:13" ht="17.25" customHeight="1">
      <c r="M2078" s="15" t="s">
        <v>4366</v>
      </c>
    </row>
    <row r="2079" spans="13:13" ht="17.25" customHeight="1">
      <c r="M2079" s="15" t="s">
        <v>4367</v>
      </c>
    </row>
    <row r="2080" spans="13:13" ht="17.25" customHeight="1">
      <c r="M2080" s="15" t="s">
        <v>4368</v>
      </c>
    </row>
    <row r="2081" spans="13:13" ht="17.25" customHeight="1">
      <c r="M2081" s="15" t="s">
        <v>4369</v>
      </c>
    </row>
    <row r="2082" spans="13:13" ht="17.25" customHeight="1">
      <c r="M2082" s="15" t="s">
        <v>4370</v>
      </c>
    </row>
    <row r="2083" spans="13:13" ht="17.25" customHeight="1">
      <c r="M2083" s="15" t="s">
        <v>4371</v>
      </c>
    </row>
    <row r="2084" spans="13:13" ht="17.25" customHeight="1">
      <c r="M2084" s="15" t="s">
        <v>4372</v>
      </c>
    </row>
    <row r="2085" spans="13:13" ht="17.25" customHeight="1">
      <c r="M2085" s="15" t="s">
        <v>4373</v>
      </c>
    </row>
    <row r="2086" spans="13:13" ht="17.25" customHeight="1">
      <c r="M2086" s="15" t="s">
        <v>4374</v>
      </c>
    </row>
    <row r="2087" spans="13:13" ht="17.25" customHeight="1">
      <c r="M2087" s="15" t="s">
        <v>4375</v>
      </c>
    </row>
    <row r="2088" spans="13:13" ht="17.25" customHeight="1">
      <c r="M2088" s="15" t="s">
        <v>4376</v>
      </c>
    </row>
    <row r="2089" spans="13:13" ht="17.25" customHeight="1">
      <c r="M2089" s="15" t="s">
        <v>4377</v>
      </c>
    </row>
    <row r="2090" spans="13:13" ht="17.25" customHeight="1">
      <c r="M2090" s="15" t="s">
        <v>4378</v>
      </c>
    </row>
    <row r="2091" spans="13:13" ht="17.25" customHeight="1">
      <c r="M2091" s="15" t="s">
        <v>4379</v>
      </c>
    </row>
    <row r="2092" spans="13:13" ht="17.25" customHeight="1">
      <c r="M2092" s="15" t="s">
        <v>4380</v>
      </c>
    </row>
    <row r="2093" spans="13:13" ht="17.25" customHeight="1">
      <c r="M2093" s="15" t="s">
        <v>4381</v>
      </c>
    </row>
    <row r="2094" spans="13:13" ht="17.25" customHeight="1">
      <c r="M2094" s="15" t="s">
        <v>4382</v>
      </c>
    </row>
    <row r="2095" spans="13:13" ht="17.25" customHeight="1">
      <c r="M2095" s="15" t="s">
        <v>4383</v>
      </c>
    </row>
    <row r="2096" spans="13:13" ht="17.25" customHeight="1">
      <c r="M2096" s="15" t="s">
        <v>4384</v>
      </c>
    </row>
    <row r="2097" spans="13:13" ht="17.25" customHeight="1">
      <c r="M2097" s="15" t="s">
        <v>4385</v>
      </c>
    </row>
    <row r="2098" spans="13:13" ht="17.25" customHeight="1">
      <c r="M2098" s="15" t="s">
        <v>4386</v>
      </c>
    </row>
    <row r="2099" spans="13:13" ht="17.25" customHeight="1">
      <c r="M2099" s="15" t="s">
        <v>4387</v>
      </c>
    </row>
    <row r="2100" spans="13:13" ht="17.25" customHeight="1">
      <c r="M2100" s="15" t="s">
        <v>4388</v>
      </c>
    </row>
    <row r="2101" spans="13:13" ht="17.25" customHeight="1">
      <c r="M2101" s="15" t="s">
        <v>4389</v>
      </c>
    </row>
    <row r="2102" spans="13:13" ht="17.25" customHeight="1">
      <c r="M2102" s="15" t="s">
        <v>4390</v>
      </c>
    </row>
    <row r="2103" spans="13:13" ht="17.25" customHeight="1">
      <c r="M2103" s="15" t="s">
        <v>4391</v>
      </c>
    </row>
    <row r="2104" spans="13:13" ht="17.25" customHeight="1">
      <c r="M2104" s="15" t="s">
        <v>4392</v>
      </c>
    </row>
    <row r="2105" spans="13:13" ht="17.25" customHeight="1">
      <c r="M2105" s="15" t="s">
        <v>4393</v>
      </c>
    </row>
    <row r="2106" spans="13:13" ht="17.25" customHeight="1">
      <c r="M2106" s="15" t="s">
        <v>4394</v>
      </c>
    </row>
    <row r="2107" spans="13:13" ht="17.25" customHeight="1">
      <c r="M2107" s="15" t="s">
        <v>4395</v>
      </c>
    </row>
    <row r="2108" spans="13:13" ht="17.25" customHeight="1">
      <c r="M2108" s="15" t="s">
        <v>4396</v>
      </c>
    </row>
    <row r="2109" spans="13:13" ht="17.25" customHeight="1">
      <c r="M2109" s="15" t="s">
        <v>4397</v>
      </c>
    </row>
    <row r="2110" spans="13:13" ht="17.25" customHeight="1">
      <c r="M2110" s="15" t="s">
        <v>4398</v>
      </c>
    </row>
    <row r="2111" spans="13:13" ht="17.25" customHeight="1">
      <c r="M2111" s="15" t="s">
        <v>4399</v>
      </c>
    </row>
    <row r="2112" spans="13:13" ht="17.25" customHeight="1">
      <c r="M2112" s="15" t="s">
        <v>4400</v>
      </c>
    </row>
    <row r="2113" spans="13:13" ht="17.25" customHeight="1">
      <c r="M2113" s="15" t="s">
        <v>4401</v>
      </c>
    </row>
    <row r="2114" spans="13:13" ht="17.25" customHeight="1">
      <c r="M2114" s="15" t="s">
        <v>4402</v>
      </c>
    </row>
    <row r="2115" spans="13:13" ht="17.25" customHeight="1">
      <c r="M2115" s="15" t="s">
        <v>4403</v>
      </c>
    </row>
    <row r="2116" spans="13:13" ht="17.25" customHeight="1">
      <c r="M2116" s="15" t="s">
        <v>4404</v>
      </c>
    </row>
    <row r="2117" spans="13:13" ht="17.25" customHeight="1">
      <c r="M2117" s="15" t="s">
        <v>4405</v>
      </c>
    </row>
    <row r="2118" spans="13:13" ht="17.25" customHeight="1">
      <c r="M2118" s="15" t="s">
        <v>4406</v>
      </c>
    </row>
    <row r="2119" spans="13:13" ht="17.25" customHeight="1">
      <c r="M2119" s="15" t="s">
        <v>4407</v>
      </c>
    </row>
    <row r="2120" spans="13:13" ht="17.25" customHeight="1">
      <c r="M2120" s="15" t="s">
        <v>4408</v>
      </c>
    </row>
    <row r="2121" spans="13:13" ht="17.25" customHeight="1">
      <c r="M2121" s="15" t="s">
        <v>4409</v>
      </c>
    </row>
    <row r="2122" spans="13:13" ht="17.25" customHeight="1">
      <c r="M2122" s="15" t="s">
        <v>4410</v>
      </c>
    </row>
    <row r="2123" spans="13:13" ht="17.25" customHeight="1">
      <c r="M2123" s="15" t="s">
        <v>4411</v>
      </c>
    </row>
    <row r="2124" spans="13:13" ht="17.25" customHeight="1">
      <c r="M2124" s="15" t="s">
        <v>4412</v>
      </c>
    </row>
    <row r="2125" spans="13:13" ht="17.25" customHeight="1">
      <c r="M2125" s="15" t="s">
        <v>4413</v>
      </c>
    </row>
    <row r="2126" spans="13:13" ht="17.25" customHeight="1">
      <c r="M2126" s="15" t="s">
        <v>4414</v>
      </c>
    </row>
    <row r="2127" spans="13:13" ht="17.25" customHeight="1">
      <c r="M2127" s="15" t="s">
        <v>4415</v>
      </c>
    </row>
    <row r="2128" spans="13:13" ht="17.25" customHeight="1">
      <c r="M2128" s="15" t="s">
        <v>4416</v>
      </c>
    </row>
    <row r="2129" spans="13:13" ht="17.25" customHeight="1">
      <c r="M2129" s="15" t="s">
        <v>4417</v>
      </c>
    </row>
    <row r="2130" spans="13:13" ht="17.25" customHeight="1">
      <c r="M2130" s="15" t="s">
        <v>4418</v>
      </c>
    </row>
    <row r="2131" spans="13:13" ht="17.25" customHeight="1">
      <c r="M2131" s="15" t="s">
        <v>4419</v>
      </c>
    </row>
    <row r="2132" spans="13:13" ht="17.25" customHeight="1">
      <c r="M2132" s="15" t="s">
        <v>4420</v>
      </c>
    </row>
    <row r="2133" spans="13:13" ht="17.25" customHeight="1">
      <c r="M2133" s="15" t="s">
        <v>4421</v>
      </c>
    </row>
    <row r="2134" spans="13:13" ht="17.25" customHeight="1">
      <c r="M2134" s="15" t="s">
        <v>4422</v>
      </c>
    </row>
    <row r="2135" spans="13:13" ht="17.25" customHeight="1">
      <c r="M2135" s="15" t="s">
        <v>4423</v>
      </c>
    </row>
    <row r="2136" spans="13:13" ht="17.25" customHeight="1">
      <c r="M2136" s="15" t="s">
        <v>4424</v>
      </c>
    </row>
    <row r="2137" spans="13:13" ht="17.25" customHeight="1">
      <c r="M2137" s="15" t="s">
        <v>4425</v>
      </c>
    </row>
    <row r="2138" spans="13:13" ht="17.25" customHeight="1">
      <c r="M2138" s="15" t="s">
        <v>4426</v>
      </c>
    </row>
    <row r="2139" spans="13:13" ht="17.25" customHeight="1">
      <c r="M2139" s="15" t="s">
        <v>4427</v>
      </c>
    </row>
    <row r="2140" spans="13:13" ht="17.25" customHeight="1">
      <c r="M2140" s="15" t="s">
        <v>4428</v>
      </c>
    </row>
    <row r="2141" spans="13:13" ht="17.25" customHeight="1">
      <c r="M2141" s="15" t="s">
        <v>4429</v>
      </c>
    </row>
    <row r="2142" spans="13:13" ht="17.25" customHeight="1">
      <c r="M2142" s="15" t="s">
        <v>4430</v>
      </c>
    </row>
    <row r="2143" spans="13:13" ht="17.25" customHeight="1">
      <c r="M2143" s="15" t="s">
        <v>4431</v>
      </c>
    </row>
    <row r="2144" spans="13:13" ht="17.25" customHeight="1">
      <c r="M2144" s="15" t="s">
        <v>4432</v>
      </c>
    </row>
    <row r="2145" spans="13:13" ht="17.25" customHeight="1">
      <c r="M2145" s="15" t="s">
        <v>4433</v>
      </c>
    </row>
    <row r="2146" spans="13:13" ht="17.25" customHeight="1">
      <c r="M2146" s="15" t="s">
        <v>4434</v>
      </c>
    </row>
    <row r="2147" spans="13:13" ht="17.25" customHeight="1">
      <c r="M2147" s="15" t="s">
        <v>4435</v>
      </c>
    </row>
    <row r="2148" spans="13:13" ht="17.25" customHeight="1">
      <c r="M2148" s="15" t="s">
        <v>4436</v>
      </c>
    </row>
    <row r="2149" spans="13:13" ht="17.25" customHeight="1">
      <c r="M2149" s="15" t="s">
        <v>4437</v>
      </c>
    </row>
    <row r="2150" spans="13:13" ht="17.25" customHeight="1">
      <c r="M2150" s="15" t="s">
        <v>4438</v>
      </c>
    </row>
    <row r="2151" spans="13:13" ht="17.25" customHeight="1">
      <c r="M2151" s="15" t="s">
        <v>4439</v>
      </c>
    </row>
    <row r="2152" spans="13:13" ht="17.25" customHeight="1">
      <c r="M2152" s="15" t="s">
        <v>4440</v>
      </c>
    </row>
    <row r="2153" spans="13:13" ht="17.25" customHeight="1">
      <c r="M2153" s="15" t="s">
        <v>4441</v>
      </c>
    </row>
    <row r="2154" spans="13:13" ht="17.25" customHeight="1">
      <c r="M2154" s="15" t="s">
        <v>4442</v>
      </c>
    </row>
    <row r="2155" spans="13:13" ht="17.25" customHeight="1">
      <c r="M2155" s="15" t="s">
        <v>4443</v>
      </c>
    </row>
    <row r="2156" spans="13:13" ht="17.25" customHeight="1">
      <c r="M2156" s="15" t="s">
        <v>4444</v>
      </c>
    </row>
    <row r="2157" spans="13:13" ht="17.25" customHeight="1">
      <c r="M2157" s="15" t="s">
        <v>4445</v>
      </c>
    </row>
    <row r="2158" spans="13:13" ht="17.25" customHeight="1">
      <c r="M2158" s="15" t="s">
        <v>4446</v>
      </c>
    </row>
    <row r="2159" spans="13:13" ht="17.25" customHeight="1">
      <c r="M2159" s="15" t="s">
        <v>4447</v>
      </c>
    </row>
    <row r="2160" spans="13:13" ht="17.25" customHeight="1">
      <c r="M2160" s="15" t="s">
        <v>4448</v>
      </c>
    </row>
    <row r="2161" spans="13:13" ht="17.25" customHeight="1">
      <c r="M2161" s="15" t="s">
        <v>4449</v>
      </c>
    </row>
    <row r="2162" spans="13:13" ht="17.25" customHeight="1">
      <c r="M2162" s="15" t="s">
        <v>4450</v>
      </c>
    </row>
    <row r="2163" spans="13:13" ht="17.25" customHeight="1">
      <c r="M2163" s="15" t="s">
        <v>4451</v>
      </c>
    </row>
    <row r="2164" spans="13:13" ht="17.25" customHeight="1">
      <c r="M2164" s="15" t="s">
        <v>4452</v>
      </c>
    </row>
    <row r="2165" spans="13:13" ht="17.25" customHeight="1">
      <c r="M2165" s="15" t="s">
        <v>4453</v>
      </c>
    </row>
    <row r="2166" spans="13:13" ht="17.25" customHeight="1">
      <c r="M2166" s="15" t="s">
        <v>4454</v>
      </c>
    </row>
    <row r="2167" spans="13:13" ht="17.25" customHeight="1">
      <c r="M2167" s="15" t="s">
        <v>4455</v>
      </c>
    </row>
    <row r="2168" spans="13:13" ht="17.25" customHeight="1">
      <c r="M2168" s="15" t="s">
        <v>4456</v>
      </c>
    </row>
    <row r="2169" spans="13:13" ht="17.25" customHeight="1">
      <c r="M2169" s="15" t="s">
        <v>4457</v>
      </c>
    </row>
    <row r="2170" spans="13:13" ht="17.25" customHeight="1">
      <c r="M2170" s="15" t="s">
        <v>4458</v>
      </c>
    </row>
    <row r="2171" spans="13:13" ht="17.25" customHeight="1">
      <c r="M2171" s="15" t="s">
        <v>4459</v>
      </c>
    </row>
    <row r="2172" spans="13:13" ht="17.25" customHeight="1">
      <c r="M2172" s="15" t="s">
        <v>4460</v>
      </c>
    </row>
    <row r="2173" spans="13:13" ht="17.25" customHeight="1">
      <c r="M2173" s="15" t="s">
        <v>4461</v>
      </c>
    </row>
    <row r="2174" spans="13:13" ht="17.25" customHeight="1">
      <c r="M2174" s="15" t="s">
        <v>4462</v>
      </c>
    </row>
    <row r="2175" spans="13:13" ht="17.25" customHeight="1">
      <c r="M2175" s="15" t="s">
        <v>4463</v>
      </c>
    </row>
    <row r="2176" spans="13:13" ht="17.25" customHeight="1">
      <c r="M2176" s="15" t="s">
        <v>4464</v>
      </c>
    </row>
    <row r="2177" spans="13:13" ht="17.25" customHeight="1">
      <c r="M2177" s="15" t="s">
        <v>4465</v>
      </c>
    </row>
    <row r="2178" spans="13:13" ht="17.25" customHeight="1">
      <c r="M2178" s="15" t="s">
        <v>4466</v>
      </c>
    </row>
    <row r="2179" spans="13:13" ht="17.25" customHeight="1">
      <c r="M2179" s="15" t="s">
        <v>4467</v>
      </c>
    </row>
    <row r="2180" spans="13:13" ht="17.25" customHeight="1">
      <c r="M2180" s="15" t="s">
        <v>4468</v>
      </c>
    </row>
    <row r="2181" spans="13:13" ht="17.25" customHeight="1">
      <c r="M2181" s="15" t="s">
        <v>4469</v>
      </c>
    </row>
    <row r="2182" spans="13:13" ht="17.25" customHeight="1">
      <c r="M2182" s="15" t="s">
        <v>4470</v>
      </c>
    </row>
    <row r="2183" spans="13:13" ht="17.25" customHeight="1">
      <c r="M2183" s="15" t="s">
        <v>4471</v>
      </c>
    </row>
    <row r="2184" spans="13:13" ht="17.25" customHeight="1">
      <c r="M2184" s="15" t="s">
        <v>4472</v>
      </c>
    </row>
    <row r="2185" spans="13:13" ht="17.25" customHeight="1">
      <c r="M2185" s="15" t="s">
        <v>4473</v>
      </c>
    </row>
    <row r="2186" spans="13:13" ht="17.25" customHeight="1">
      <c r="M2186" s="15" t="s">
        <v>4474</v>
      </c>
    </row>
    <row r="2187" spans="13:13" ht="17.25" customHeight="1">
      <c r="M2187" s="15" t="s">
        <v>4475</v>
      </c>
    </row>
    <row r="2188" spans="13:13" ht="17.25" customHeight="1">
      <c r="M2188" s="15" t="s">
        <v>4476</v>
      </c>
    </row>
    <row r="2189" spans="13:13" ht="17.25" customHeight="1">
      <c r="M2189" s="15" t="s">
        <v>4477</v>
      </c>
    </row>
    <row r="2190" spans="13:13" ht="17.25" customHeight="1">
      <c r="M2190" s="15" t="s">
        <v>4478</v>
      </c>
    </row>
    <row r="2191" spans="13:13" ht="17.25" customHeight="1">
      <c r="M2191" s="15" t="s">
        <v>4479</v>
      </c>
    </row>
    <row r="2192" spans="13:13" ht="17.25" customHeight="1">
      <c r="M2192" s="15" t="s">
        <v>4480</v>
      </c>
    </row>
    <row r="2193" spans="13:13" ht="17.25" customHeight="1">
      <c r="M2193" s="15" t="s">
        <v>4481</v>
      </c>
    </row>
    <row r="2194" spans="13:13" ht="17.25" customHeight="1">
      <c r="M2194" s="15" t="s">
        <v>4482</v>
      </c>
    </row>
    <row r="2195" spans="13:13" ht="17.25" customHeight="1">
      <c r="M2195" s="15" t="s">
        <v>4483</v>
      </c>
    </row>
    <row r="2196" spans="13:13" ht="17.25" customHeight="1">
      <c r="M2196" s="15" t="s">
        <v>4484</v>
      </c>
    </row>
    <row r="2197" spans="13:13" ht="17.25" customHeight="1">
      <c r="M2197" s="15" t="s">
        <v>4485</v>
      </c>
    </row>
    <row r="2198" spans="13:13" ht="17.25" customHeight="1">
      <c r="M2198" s="15" t="s">
        <v>4486</v>
      </c>
    </row>
    <row r="2199" spans="13:13" ht="17.25" customHeight="1">
      <c r="M2199" s="15" t="s">
        <v>4487</v>
      </c>
    </row>
    <row r="2200" spans="13:13" ht="17.25" customHeight="1">
      <c r="M2200" s="15" t="s">
        <v>4488</v>
      </c>
    </row>
    <row r="2201" spans="13:13" ht="17.25" customHeight="1">
      <c r="M2201" s="15" t="s">
        <v>4489</v>
      </c>
    </row>
    <row r="2202" spans="13:13" ht="17.25" customHeight="1">
      <c r="M2202" s="15" t="s">
        <v>4490</v>
      </c>
    </row>
    <row r="2203" spans="13:13" ht="17.25" customHeight="1">
      <c r="M2203" s="15" t="s">
        <v>4491</v>
      </c>
    </row>
    <row r="2204" spans="13:13" ht="17.25" customHeight="1">
      <c r="M2204" s="15" t="s">
        <v>4492</v>
      </c>
    </row>
    <row r="2205" spans="13:13" ht="17.25" customHeight="1">
      <c r="M2205" s="15" t="s">
        <v>4493</v>
      </c>
    </row>
    <row r="2206" spans="13:13" ht="17.25" customHeight="1">
      <c r="M2206" s="15" t="s">
        <v>4494</v>
      </c>
    </row>
    <row r="2207" spans="13:13" ht="17.25" customHeight="1">
      <c r="M2207" s="15" t="s">
        <v>4495</v>
      </c>
    </row>
    <row r="2208" spans="13:13" ht="17.25" customHeight="1">
      <c r="M2208" s="15" t="s">
        <v>4496</v>
      </c>
    </row>
    <row r="2209" spans="13:13" ht="17.25" customHeight="1">
      <c r="M2209" s="15" t="s">
        <v>4497</v>
      </c>
    </row>
    <row r="2210" spans="13:13" ht="17.25" customHeight="1">
      <c r="M2210" s="15" t="s">
        <v>4498</v>
      </c>
    </row>
    <row r="2211" spans="13:13" ht="17.25" customHeight="1">
      <c r="M2211" s="15" t="s">
        <v>4499</v>
      </c>
    </row>
    <row r="2212" spans="13:13" ht="17.25" customHeight="1">
      <c r="M2212" s="15" t="s">
        <v>4500</v>
      </c>
    </row>
    <row r="2213" spans="13:13" ht="17.25" customHeight="1">
      <c r="M2213" s="15" t="s">
        <v>4501</v>
      </c>
    </row>
    <row r="2214" spans="13:13" ht="17.25" customHeight="1">
      <c r="M2214" s="15" t="s">
        <v>4502</v>
      </c>
    </row>
    <row r="2215" spans="13:13" ht="17.25" customHeight="1">
      <c r="M2215" s="15" t="s">
        <v>4503</v>
      </c>
    </row>
    <row r="2216" spans="13:13" ht="17.25" customHeight="1">
      <c r="M2216" s="15" t="s">
        <v>4504</v>
      </c>
    </row>
    <row r="2217" spans="13:13" ht="17.25" customHeight="1">
      <c r="M2217" s="15" t="s">
        <v>4505</v>
      </c>
    </row>
    <row r="2218" spans="13:13" ht="17.25" customHeight="1">
      <c r="M2218" s="15" t="s">
        <v>4506</v>
      </c>
    </row>
    <row r="2219" spans="13:13" ht="17.25" customHeight="1">
      <c r="M2219" s="15" t="s">
        <v>4507</v>
      </c>
    </row>
    <row r="2220" spans="13:13" ht="17.25" customHeight="1">
      <c r="M2220" s="15" t="s">
        <v>4508</v>
      </c>
    </row>
    <row r="2221" spans="13:13" ht="17.25" customHeight="1">
      <c r="M2221" s="15" t="s">
        <v>4509</v>
      </c>
    </row>
    <row r="2222" spans="13:13" ht="17.25" customHeight="1">
      <c r="M2222" s="15" t="s">
        <v>4510</v>
      </c>
    </row>
    <row r="2223" spans="13:13" ht="17.25" customHeight="1">
      <c r="M2223" s="15" t="s">
        <v>4511</v>
      </c>
    </row>
    <row r="2224" spans="13:13" ht="17.25" customHeight="1">
      <c r="M2224" s="15" t="s">
        <v>4512</v>
      </c>
    </row>
    <row r="2225" spans="13:13" ht="17.25" customHeight="1">
      <c r="M2225" s="15" t="s">
        <v>4513</v>
      </c>
    </row>
    <row r="2226" spans="13:13" ht="17.25" customHeight="1">
      <c r="M2226" s="15" t="s">
        <v>4514</v>
      </c>
    </row>
    <row r="2227" spans="13:13" ht="17.25" customHeight="1">
      <c r="M2227" s="15" t="s">
        <v>4515</v>
      </c>
    </row>
    <row r="2228" spans="13:13" ht="17.25" customHeight="1">
      <c r="M2228" s="15" t="s">
        <v>4516</v>
      </c>
    </row>
    <row r="2229" spans="13:13" ht="17.25" customHeight="1">
      <c r="M2229" s="15" t="s">
        <v>4517</v>
      </c>
    </row>
    <row r="2230" spans="13:13" ht="17.25" customHeight="1">
      <c r="M2230" s="15" t="s">
        <v>4518</v>
      </c>
    </row>
    <row r="2231" spans="13:13" ht="17.25" customHeight="1">
      <c r="M2231" s="15" t="s">
        <v>4519</v>
      </c>
    </row>
    <row r="2232" spans="13:13" ht="17.25" customHeight="1">
      <c r="M2232" s="15" t="s">
        <v>4520</v>
      </c>
    </row>
    <row r="2233" spans="13:13" ht="17.25" customHeight="1">
      <c r="M2233" s="15" t="s">
        <v>4521</v>
      </c>
    </row>
    <row r="2234" spans="13:13" ht="17.25" customHeight="1">
      <c r="M2234" s="15" t="s">
        <v>4522</v>
      </c>
    </row>
    <row r="2235" spans="13:13" ht="17.25" customHeight="1">
      <c r="M2235" s="15" t="s">
        <v>4523</v>
      </c>
    </row>
    <row r="2236" spans="13:13" ht="17.25" customHeight="1">
      <c r="M2236" s="15" t="s">
        <v>4524</v>
      </c>
    </row>
    <row r="2237" spans="13:13" ht="17.25" customHeight="1">
      <c r="M2237" s="15" t="s">
        <v>4525</v>
      </c>
    </row>
    <row r="2238" spans="13:13" ht="17.25" customHeight="1">
      <c r="M2238" s="15" t="s">
        <v>4526</v>
      </c>
    </row>
    <row r="2239" spans="13:13" ht="17.25" customHeight="1">
      <c r="M2239" s="15" t="s">
        <v>4527</v>
      </c>
    </row>
    <row r="2240" spans="13:13" ht="17.25" customHeight="1">
      <c r="M2240" s="15" t="s">
        <v>4528</v>
      </c>
    </row>
    <row r="2241" spans="13:13" ht="17.25" customHeight="1">
      <c r="M2241" s="15" t="s">
        <v>4529</v>
      </c>
    </row>
    <row r="2242" spans="13:13" ht="17.25" customHeight="1">
      <c r="M2242" s="15" t="s">
        <v>4530</v>
      </c>
    </row>
    <row r="2243" spans="13:13" ht="17.25" customHeight="1">
      <c r="M2243" s="15" t="s">
        <v>4531</v>
      </c>
    </row>
    <row r="2244" spans="13:13" ht="17.25" customHeight="1">
      <c r="M2244" s="15" t="s">
        <v>4532</v>
      </c>
    </row>
    <row r="2245" spans="13:13" ht="17.25" customHeight="1">
      <c r="M2245" s="15" t="s">
        <v>4533</v>
      </c>
    </row>
    <row r="2246" spans="13:13" ht="17.25" customHeight="1">
      <c r="M2246" s="15" t="s">
        <v>4534</v>
      </c>
    </row>
    <row r="2247" spans="13:13" ht="17.25" customHeight="1">
      <c r="M2247" s="15" t="s">
        <v>4535</v>
      </c>
    </row>
    <row r="2248" spans="13:13" ht="17.25" customHeight="1">
      <c r="M2248" s="15" t="s">
        <v>4536</v>
      </c>
    </row>
    <row r="2249" spans="13:13" ht="17.25" customHeight="1">
      <c r="M2249" s="15" t="s">
        <v>4537</v>
      </c>
    </row>
    <row r="2250" spans="13:13" ht="17.25" customHeight="1">
      <c r="M2250" s="15" t="s">
        <v>4538</v>
      </c>
    </row>
    <row r="2251" spans="13:13" ht="17.25" customHeight="1">
      <c r="M2251" s="15" t="s">
        <v>4539</v>
      </c>
    </row>
    <row r="2252" spans="13:13" ht="17.25" customHeight="1">
      <c r="M2252" s="15" t="s">
        <v>4540</v>
      </c>
    </row>
    <row r="2253" spans="13:13" ht="17.25" customHeight="1">
      <c r="M2253" s="15" t="s">
        <v>4541</v>
      </c>
    </row>
    <row r="2254" spans="13:13" ht="17.25" customHeight="1">
      <c r="M2254" s="15" t="s">
        <v>4542</v>
      </c>
    </row>
    <row r="2255" spans="13:13" ht="17.25" customHeight="1">
      <c r="M2255" s="15" t="s">
        <v>4543</v>
      </c>
    </row>
    <row r="2256" spans="13:13" ht="17.25" customHeight="1">
      <c r="M2256" s="15" t="s">
        <v>4544</v>
      </c>
    </row>
    <row r="2257" spans="13:13" ht="17.25" customHeight="1">
      <c r="M2257" s="15" t="s">
        <v>4545</v>
      </c>
    </row>
    <row r="2258" spans="13:13" ht="17.25" customHeight="1">
      <c r="M2258" s="15" t="s">
        <v>4546</v>
      </c>
    </row>
    <row r="2259" spans="13:13" ht="17.25" customHeight="1">
      <c r="M2259" s="15" t="s">
        <v>4547</v>
      </c>
    </row>
    <row r="2260" spans="13:13" ht="17.25" customHeight="1">
      <c r="M2260" s="15" t="s">
        <v>4548</v>
      </c>
    </row>
    <row r="2261" spans="13:13" ht="17.25" customHeight="1">
      <c r="M2261" s="15" t="s">
        <v>4549</v>
      </c>
    </row>
    <row r="2262" spans="13:13" ht="17.25" customHeight="1">
      <c r="M2262" s="15" t="s">
        <v>4550</v>
      </c>
    </row>
    <row r="2263" spans="13:13" ht="17.25" customHeight="1">
      <c r="M2263" s="15" t="s">
        <v>4551</v>
      </c>
    </row>
    <row r="2264" spans="13:13" ht="17.25" customHeight="1">
      <c r="M2264" s="15" t="s">
        <v>4552</v>
      </c>
    </row>
    <row r="2265" spans="13:13" ht="17.25" customHeight="1">
      <c r="M2265" s="15" t="s">
        <v>4553</v>
      </c>
    </row>
    <row r="2266" spans="13:13" ht="17.25" customHeight="1">
      <c r="M2266" s="15" t="s">
        <v>4554</v>
      </c>
    </row>
    <row r="2267" spans="13:13" ht="17.25" customHeight="1">
      <c r="M2267" s="15" t="s">
        <v>4555</v>
      </c>
    </row>
    <row r="2268" spans="13:13" ht="17.25" customHeight="1">
      <c r="M2268" s="15" t="s">
        <v>4556</v>
      </c>
    </row>
    <row r="2269" spans="13:13" ht="17.25" customHeight="1">
      <c r="M2269" s="15" t="s">
        <v>4557</v>
      </c>
    </row>
    <row r="2270" spans="13:13" ht="17.25" customHeight="1">
      <c r="M2270" s="15" t="s">
        <v>4558</v>
      </c>
    </row>
    <row r="2271" spans="13:13" ht="17.25" customHeight="1">
      <c r="M2271" s="15" t="s">
        <v>4559</v>
      </c>
    </row>
    <row r="2272" spans="13:13" ht="17.25" customHeight="1">
      <c r="M2272" s="15" t="s">
        <v>4560</v>
      </c>
    </row>
    <row r="2273" spans="13:13" ht="17.25" customHeight="1">
      <c r="M2273" s="15" t="s">
        <v>4561</v>
      </c>
    </row>
    <row r="2274" spans="13:13" ht="17.25" customHeight="1">
      <c r="M2274" s="15" t="s">
        <v>4562</v>
      </c>
    </row>
    <row r="2275" spans="13:13" ht="17.25" customHeight="1">
      <c r="M2275" s="15" t="s">
        <v>4563</v>
      </c>
    </row>
    <row r="2276" spans="13:13" ht="17.25" customHeight="1">
      <c r="M2276" s="15" t="s">
        <v>4564</v>
      </c>
    </row>
    <row r="2277" spans="13:13" ht="17.25" customHeight="1">
      <c r="M2277" s="15" t="s">
        <v>4565</v>
      </c>
    </row>
    <row r="2278" spans="13:13" ht="17.25" customHeight="1">
      <c r="M2278" s="15" t="s">
        <v>4566</v>
      </c>
    </row>
    <row r="2279" spans="13:13" ht="17.25" customHeight="1">
      <c r="M2279" s="15" t="s">
        <v>4567</v>
      </c>
    </row>
    <row r="2280" spans="13:13" ht="17.25" customHeight="1">
      <c r="M2280" s="15" t="s">
        <v>4568</v>
      </c>
    </row>
    <row r="2281" spans="13:13" ht="17.25" customHeight="1">
      <c r="M2281" s="15" t="s">
        <v>4569</v>
      </c>
    </row>
    <row r="2282" spans="13:13" ht="17.25" customHeight="1">
      <c r="M2282" s="15" t="s">
        <v>4570</v>
      </c>
    </row>
    <row r="2283" spans="13:13" ht="17.25" customHeight="1">
      <c r="M2283" s="15" t="s">
        <v>4571</v>
      </c>
    </row>
    <row r="2284" spans="13:13" ht="17.25" customHeight="1">
      <c r="M2284" s="15" t="s">
        <v>4572</v>
      </c>
    </row>
    <row r="2285" spans="13:13" ht="17.25" customHeight="1">
      <c r="M2285" s="15" t="s">
        <v>4573</v>
      </c>
    </row>
    <row r="2286" spans="13:13" ht="17.25" customHeight="1">
      <c r="M2286" s="15" t="s">
        <v>4574</v>
      </c>
    </row>
    <row r="2287" spans="13:13" ht="17.25" customHeight="1">
      <c r="M2287" s="15" t="s">
        <v>4575</v>
      </c>
    </row>
    <row r="2288" spans="13:13" ht="17.25" customHeight="1">
      <c r="M2288" s="15" t="s">
        <v>4576</v>
      </c>
    </row>
    <row r="2289" spans="13:13" ht="17.25" customHeight="1">
      <c r="M2289" s="15" t="s">
        <v>4577</v>
      </c>
    </row>
    <row r="2290" spans="13:13" ht="17.25" customHeight="1">
      <c r="M2290" s="15" t="s">
        <v>4578</v>
      </c>
    </row>
    <row r="2291" spans="13:13" ht="17.25" customHeight="1">
      <c r="M2291" s="15" t="s">
        <v>4579</v>
      </c>
    </row>
    <row r="2292" spans="13:13" ht="17.25" customHeight="1">
      <c r="M2292" s="15" t="s">
        <v>4580</v>
      </c>
    </row>
    <row r="2293" spans="13:13" ht="17.25" customHeight="1">
      <c r="M2293" s="15" t="s">
        <v>4581</v>
      </c>
    </row>
    <row r="2294" spans="13:13" ht="17.25" customHeight="1">
      <c r="M2294" s="15" t="s">
        <v>4582</v>
      </c>
    </row>
    <row r="2295" spans="13:13" ht="17.25" customHeight="1">
      <c r="M2295" s="15" t="s">
        <v>4583</v>
      </c>
    </row>
    <row r="2296" spans="13:13" ht="17.25" customHeight="1">
      <c r="M2296" s="15" t="s">
        <v>4584</v>
      </c>
    </row>
    <row r="2297" spans="13:13" ht="17.25" customHeight="1">
      <c r="M2297" s="15" t="s">
        <v>4585</v>
      </c>
    </row>
    <row r="2298" spans="13:13" ht="17.25" customHeight="1">
      <c r="M2298" s="15" t="s">
        <v>4586</v>
      </c>
    </row>
    <row r="2299" spans="13:13" ht="17.25" customHeight="1">
      <c r="M2299" s="15" t="s">
        <v>4587</v>
      </c>
    </row>
    <row r="2300" spans="13:13" ht="17.25" customHeight="1">
      <c r="M2300" s="15" t="s">
        <v>4588</v>
      </c>
    </row>
    <row r="2301" spans="13:13" ht="17.25" customHeight="1">
      <c r="M2301" s="15" t="s">
        <v>4589</v>
      </c>
    </row>
    <row r="2302" spans="13:13" ht="17.25" customHeight="1">
      <c r="M2302" s="15" t="s">
        <v>4590</v>
      </c>
    </row>
    <row r="2303" spans="13:13" ht="17.25" customHeight="1">
      <c r="M2303" s="15" t="s">
        <v>4591</v>
      </c>
    </row>
    <row r="2304" spans="13:13" ht="17.25" customHeight="1">
      <c r="M2304" s="15" t="s">
        <v>4592</v>
      </c>
    </row>
    <row r="2305" spans="13:13" ht="17.25" customHeight="1">
      <c r="M2305" s="15" t="s">
        <v>4593</v>
      </c>
    </row>
    <row r="2306" spans="13:13" ht="17.25" customHeight="1">
      <c r="M2306" s="15" t="s">
        <v>4594</v>
      </c>
    </row>
    <row r="2307" spans="13:13" ht="17.25" customHeight="1">
      <c r="M2307" s="15" t="s">
        <v>4595</v>
      </c>
    </row>
    <row r="2308" spans="13:13" ht="17.25" customHeight="1">
      <c r="M2308" s="15" t="s">
        <v>4596</v>
      </c>
    </row>
    <row r="2309" spans="13:13" ht="17.25" customHeight="1">
      <c r="M2309" s="15" t="s">
        <v>4597</v>
      </c>
    </row>
    <row r="2310" spans="13:13" ht="17.25" customHeight="1">
      <c r="M2310" s="15" t="s">
        <v>4598</v>
      </c>
    </row>
    <row r="2311" spans="13:13" ht="17.25" customHeight="1">
      <c r="M2311" s="15" t="s">
        <v>4599</v>
      </c>
    </row>
    <row r="2312" spans="13:13" ht="17.25" customHeight="1">
      <c r="M2312" s="15" t="s">
        <v>4600</v>
      </c>
    </row>
    <row r="2313" spans="13:13" ht="17.25" customHeight="1">
      <c r="M2313" s="15" t="s">
        <v>4601</v>
      </c>
    </row>
    <row r="2314" spans="13:13" ht="17.25" customHeight="1">
      <c r="M2314" s="15" t="s">
        <v>4602</v>
      </c>
    </row>
    <row r="2315" spans="13:13" ht="17.25" customHeight="1">
      <c r="M2315" s="15" t="s">
        <v>4603</v>
      </c>
    </row>
    <row r="2316" spans="13:13" ht="17.25" customHeight="1">
      <c r="M2316" s="15" t="s">
        <v>4604</v>
      </c>
    </row>
    <row r="2317" spans="13:13" ht="17.25" customHeight="1">
      <c r="M2317" s="15" t="s">
        <v>4605</v>
      </c>
    </row>
    <row r="2318" spans="13:13" ht="17.25" customHeight="1">
      <c r="M2318" s="15" t="s">
        <v>4606</v>
      </c>
    </row>
    <row r="2319" spans="13:13" ht="17.25" customHeight="1">
      <c r="M2319" s="15" t="s">
        <v>4607</v>
      </c>
    </row>
    <row r="2320" spans="13:13" ht="17.25" customHeight="1">
      <c r="M2320" s="15" t="s">
        <v>4608</v>
      </c>
    </row>
    <row r="2321" spans="13:13" ht="17.25" customHeight="1">
      <c r="M2321" s="15" t="s">
        <v>4609</v>
      </c>
    </row>
    <row r="2322" spans="13:13" ht="17.25" customHeight="1">
      <c r="M2322" s="15" t="s">
        <v>4610</v>
      </c>
    </row>
    <row r="2323" spans="13:13" ht="17.25" customHeight="1">
      <c r="M2323" s="15" t="s">
        <v>4611</v>
      </c>
    </row>
    <row r="2324" spans="13:13" ht="17.25" customHeight="1">
      <c r="M2324" s="15" t="s">
        <v>4612</v>
      </c>
    </row>
    <row r="2325" spans="13:13" ht="17.25" customHeight="1">
      <c r="M2325" s="15" t="s">
        <v>4613</v>
      </c>
    </row>
    <row r="2326" spans="13:13" ht="17.25" customHeight="1">
      <c r="M2326" s="15" t="s">
        <v>4614</v>
      </c>
    </row>
    <row r="2327" spans="13:13" ht="17.25" customHeight="1">
      <c r="M2327" s="15" t="s">
        <v>4615</v>
      </c>
    </row>
    <row r="2328" spans="13:13" ht="17.25" customHeight="1">
      <c r="M2328" s="15" t="s">
        <v>4616</v>
      </c>
    </row>
    <row r="2329" spans="13:13" ht="17.25" customHeight="1">
      <c r="M2329" s="15" t="s">
        <v>4617</v>
      </c>
    </row>
    <row r="2330" spans="13:13" ht="17.25" customHeight="1">
      <c r="M2330" s="15" t="s">
        <v>4618</v>
      </c>
    </row>
    <row r="2331" spans="13:13" ht="17.25" customHeight="1">
      <c r="M2331" s="15" t="s">
        <v>4619</v>
      </c>
    </row>
    <row r="2332" spans="13:13" ht="17.25" customHeight="1">
      <c r="M2332" s="15" t="s">
        <v>4620</v>
      </c>
    </row>
    <row r="2333" spans="13:13" ht="17.25" customHeight="1">
      <c r="M2333" s="15" t="s">
        <v>4621</v>
      </c>
    </row>
    <row r="2334" spans="13:13" ht="17.25" customHeight="1">
      <c r="M2334" s="15" t="s">
        <v>4622</v>
      </c>
    </row>
    <row r="2335" spans="13:13" ht="17.25" customHeight="1">
      <c r="M2335" s="15" t="s">
        <v>4623</v>
      </c>
    </row>
    <row r="2336" spans="13:13" ht="17.25" customHeight="1">
      <c r="M2336" s="15" t="s">
        <v>4624</v>
      </c>
    </row>
    <row r="2337" spans="13:13" ht="17.25" customHeight="1">
      <c r="M2337" s="15" t="s">
        <v>4625</v>
      </c>
    </row>
    <row r="2338" spans="13:13" ht="17.25" customHeight="1">
      <c r="M2338" s="15" t="s">
        <v>4626</v>
      </c>
    </row>
    <row r="2339" spans="13:13" ht="17.25" customHeight="1">
      <c r="M2339" s="15" t="s">
        <v>4627</v>
      </c>
    </row>
    <row r="2340" spans="13:13" ht="17.25" customHeight="1">
      <c r="M2340" s="15" t="s">
        <v>4628</v>
      </c>
    </row>
    <row r="2341" spans="13:13" ht="17.25" customHeight="1">
      <c r="M2341" s="15" t="s">
        <v>4629</v>
      </c>
    </row>
    <row r="2342" spans="13:13" ht="17.25" customHeight="1">
      <c r="M2342" s="15" t="s">
        <v>4630</v>
      </c>
    </row>
    <row r="2343" spans="13:13" ht="17.25" customHeight="1">
      <c r="M2343" s="15" t="s">
        <v>4631</v>
      </c>
    </row>
    <row r="2344" spans="13:13" ht="17.25" customHeight="1">
      <c r="M2344" s="15" t="s">
        <v>4632</v>
      </c>
    </row>
    <row r="2345" spans="13:13" ht="17.25" customHeight="1">
      <c r="M2345" s="15" t="s">
        <v>4633</v>
      </c>
    </row>
    <row r="2346" spans="13:13" ht="17.25" customHeight="1">
      <c r="M2346" s="15" t="s">
        <v>4634</v>
      </c>
    </row>
    <row r="2347" spans="13:13" ht="17.25" customHeight="1">
      <c r="M2347" s="15" t="s">
        <v>4635</v>
      </c>
    </row>
    <row r="2348" spans="13:13" ht="17.25" customHeight="1">
      <c r="M2348" s="15" t="s">
        <v>4636</v>
      </c>
    </row>
    <row r="2349" spans="13:13" ht="17.25" customHeight="1">
      <c r="M2349" s="15" t="s">
        <v>4637</v>
      </c>
    </row>
    <row r="2350" spans="13:13" ht="17.25" customHeight="1">
      <c r="M2350" s="15" t="s">
        <v>4638</v>
      </c>
    </row>
    <row r="2351" spans="13:13" ht="17.25" customHeight="1">
      <c r="M2351" s="15" t="s">
        <v>4639</v>
      </c>
    </row>
    <row r="2352" spans="13:13" ht="17.25" customHeight="1">
      <c r="M2352" s="15" t="s">
        <v>4640</v>
      </c>
    </row>
    <row r="2353" spans="13:13" ht="17.25" customHeight="1">
      <c r="M2353" s="15" t="s">
        <v>4641</v>
      </c>
    </row>
    <row r="2354" spans="13:13" ht="17.25" customHeight="1">
      <c r="M2354" s="15" t="s">
        <v>4642</v>
      </c>
    </row>
    <row r="2355" spans="13:13" ht="17.25" customHeight="1">
      <c r="M2355" s="15" t="s">
        <v>4643</v>
      </c>
    </row>
    <row r="2356" spans="13:13" ht="17.25" customHeight="1">
      <c r="M2356" s="15" t="s">
        <v>4644</v>
      </c>
    </row>
    <row r="2357" spans="13:13" ht="17.25" customHeight="1">
      <c r="M2357" s="15" t="s">
        <v>4645</v>
      </c>
    </row>
    <row r="2358" spans="13:13" ht="17.25" customHeight="1">
      <c r="M2358" s="15" t="s">
        <v>4646</v>
      </c>
    </row>
    <row r="2359" spans="13:13" ht="17.25" customHeight="1">
      <c r="M2359" s="15" t="s">
        <v>4647</v>
      </c>
    </row>
    <row r="2360" spans="13:13" ht="17.25" customHeight="1">
      <c r="M2360" s="15" t="s">
        <v>4648</v>
      </c>
    </row>
    <row r="2361" spans="13:13" ht="17.25" customHeight="1">
      <c r="M2361" s="15" t="s">
        <v>4649</v>
      </c>
    </row>
    <row r="2362" spans="13:13" ht="17.25" customHeight="1">
      <c r="M2362" s="15" t="s">
        <v>4650</v>
      </c>
    </row>
    <row r="2363" spans="13:13" ht="17.25" customHeight="1">
      <c r="M2363" s="15" t="s">
        <v>4651</v>
      </c>
    </row>
    <row r="2364" spans="13:13" ht="17.25" customHeight="1">
      <c r="M2364" s="15" t="s">
        <v>4652</v>
      </c>
    </row>
    <row r="2365" spans="13:13" ht="17.25" customHeight="1">
      <c r="M2365" s="15" t="s">
        <v>4653</v>
      </c>
    </row>
    <row r="2366" spans="13:13" ht="17.25" customHeight="1">
      <c r="M2366" s="15" t="s">
        <v>4654</v>
      </c>
    </row>
    <row r="2367" spans="13:13" ht="17.25" customHeight="1">
      <c r="M2367" s="15" t="s">
        <v>4655</v>
      </c>
    </row>
    <row r="2368" spans="13:13" ht="17.25" customHeight="1">
      <c r="M2368" s="15" t="s">
        <v>4656</v>
      </c>
    </row>
    <row r="2369" spans="13:13" ht="17.25" customHeight="1">
      <c r="M2369" s="15" t="s">
        <v>4657</v>
      </c>
    </row>
    <row r="2370" spans="13:13" ht="17.25" customHeight="1">
      <c r="M2370" s="15" t="s">
        <v>4658</v>
      </c>
    </row>
    <row r="2371" spans="13:13" ht="17.25" customHeight="1">
      <c r="M2371" s="15" t="s">
        <v>4659</v>
      </c>
    </row>
    <row r="2372" spans="13:13" ht="17.25" customHeight="1">
      <c r="M2372" s="15" t="s">
        <v>4660</v>
      </c>
    </row>
    <row r="2373" spans="13:13" ht="17.25" customHeight="1">
      <c r="M2373" s="15" t="s">
        <v>4661</v>
      </c>
    </row>
    <row r="2374" spans="13:13" ht="17.25" customHeight="1">
      <c r="M2374" s="15" t="s">
        <v>4662</v>
      </c>
    </row>
    <row r="2375" spans="13:13" ht="17.25" customHeight="1">
      <c r="M2375" s="15" t="s">
        <v>4663</v>
      </c>
    </row>
    <row r="2376" spans="13:13" ht="17.25" customHeight="1">
      <c r="M2376" s="15" t="s">
        <v>4664</v>
      </c>
    </row>
    <row r="2377" spans="13:13" ht="17.25" customHeight="1">
      <c r="M2377" s="15" t="s">
        <v>4665</v>
      </c>
    </row>
    <row r="2378" spans="13:13" ht="17.25" customHeight="1">
      <c r="M2378" s="15" t="s">
        <v>4666</v>
      </c>
    </row>
    <row r="2379" spans="13:13" ht="17.25" customHeight="1">
      <c r="M2379" s="15" t="s">
        <v>4667</v>
      </c>
    </row>
    <row r="2380" spans="13:13" ht="17.25" customHeight="1">
      <c r="M2380" s="15" t="s">
        <v>4668</v>
      </c>
    </row>
    <row r="2381" spans="13:13" ht="17.25" customHeight="1">
      <c r="M2381" s="15" t="s">
        <v>4669</v>
      </c>
    </row>
    <row r="2382" spans="13:13" ht="17.25" customHeight="1">
      <c r="M2382" s="15" t="s">
        <v>4670</v>
      </c>
    </row>
    <row r="2383" spans="13:13" ht="17.25" customHeight="1">
      <c r="M2383" s="15" t="s">
        <v>4671</v>
      </c>
    </row>
    <row r="2384" spans="13:13" ht="17.25" customHeight="1">
      <c r="M2384" s="15" t="s">
        <v>4672</v>
      </c>
    </row>
    <row r="2385" spans="13:13" ht="17.25" customHeight="1">
      <c r="M2385" s="15" t="s">
        <v>4673</v>
      </c>
    </row>
    <row r="2386" spans="13:13" ht="17.25" customHeight="1">
      <c r="M2386" s="15" t="s">
        <v>4674</v>
      </c>
    </row>
    <row r="2387" spans="13:13" ht="17.25" customHeight="1">
      <c r="M2387" s="15" t="s">
        <v>4675</v>
      </c>
    </row>
    <row r="2388" spans="13:13" ht="17.25" customHeight="1">
      <c r="M2388" s="15" t="s">
        <v>4676</v>
      </c>
    </row>
    <row r="2389" spans="13:13" ht="17.25" customHeight="1">
      <c r="M2389" s="15" t="s">
        <v>4677</v>
      </c>
    </row>
    <row r="2390" spans="13:13" ht="17.25" customHeight="1">
      <c r="M2390" s="15" t="s">
        <v>4678</v>
      </c>
    </row>
    <row r="2391" spans="13:13" ht="17.25" customHeight="1">
      <c r="M2391" s="15" t="s">
        <v>4679</v>
      </c>
    </row>
    <row r="2392" spans="13:13" ht="17.25" customHeight="1">
      <c r="M2392" s="15" t="s">
        <v>4680</v>
      </c>
    </row>
    <row r="2393" spans="13:13" ht="17.25" customHeight="1">
      <c r="M2393" s="15" t="s">
        <v>4681</v>
      </c>
    </row>
    <row r="2394" spans="13:13" ht="17.25" customHeight="1">
      <c r="M2394" s="15" t="s">
        <v>4682</v>
      </c>
    </row>
    <row r="2395" spans="13:13" ht="17.25" customHeight="1">
      <c r="M2395" s="15" t="s">
        <v>4683</v>
      </c>
    </row>
    <row r="2396" spans="13:13" ht="17.25" customHeight="1">
      <c r="M2396" s="15" t="s">
        <v>4684</v>
      </c>
    </row>
    <row r="2397" spans="13:13" ht="17.25" customHeight="1">
      <c r="M2397" s="15" t="s">
        <v>4685</v>
      </c>
    </row>
    <row r="2398" spans="13:13" ht="17.25" customHeight="1">
      <c r="M2398" s="15" t="s">
        <v>4686</v>
      </c>
    </row>
    <row r="2399" spans="13:13" ht="17.25" customHeight="1">
      <c r="M2399" s="15" t="s">
        <v>4687</v>
      </c>
    </row>
    <row r="2400" spans="13:13" ht="17.25" customHeight="1">
      <c r="M2400" s="15" t="s">
        <v>4688</v>
      </c>
    </row>
    <row r="2401" spans="13:13" ht="17.25" customHeight="1">
      <c r="M2401" s="15" t="s">
        <v>4689</v>
      </c>
    </row>
    <row r="2402" spans="13:13" ht="17.25" customHeight="1">
      <c r="M2402" s="15" t="s">
        <v>4690</v>
      </c>
    </row>
    <row r="2403" spans="13:13" ht="17.25" customHeight="1">
      <c r="M2403" s="15" t="s">
        <v>4691</v>
      </c>
    </row>
    <row r="2404" spans="13:13" ht="17.25" customHeight="1">
      <c r="M2404" s="15" t="s">
        <v>4692</v>
      </c>
    </row>
    <row r="2405" spans="13:13" ht="17.25" customHeight="1">
      <c r="M2405" s="15" t="s">
        <v>4693</v>
      </c>
    </row>
    <row r="2406" spans="13:13" ht="17.25" customHeight="1">
      <c r="M2406" s="15" t="s">
        <v>4694</v>
      </c>
    </row>
    <row r="2407" spans="13:13" ht="17.25" customHeight="1">
      <c r="M2407" s="15" t="s">
        <v>4695</v>
      </c>
    </row>
    <row r="2408" spans="13:13" ht="17.25" customHeight="1">
      <c r="M2408" s="15" t="s">
        <v>4696</v>
      </c>
    </row>
    <row r="2409" spans="13:13" ht="17.25" customHeight="1">
      <c r="M2409" s="15" t="s">
        <v>4697</v>
      </c>
    </row>
    <row r="2410" spans="13:13" ht="17.25" customHeight="1">
      <c r="M2410" s="15" t="s">
        <v>4698</v>
      </c>
    </row>
    <row r="2411" spans="13:13" ht="17.25" customHeight="1">
      <c r="M2411" s="15" t="s">
        <v>4699</v>
      </c>
    </row>
    <row r="2412" spans="13:13" ht="17.25" customHeight="1">
      <c r="M2412" s="15" t="s">
        <v>4700</v>
      </c>
    </row>
    <row r="2413" spans="13:13" ht="17.25" customHeight="1">
      <c r="M2413" s="15" t="s">
        <v>4701</v>
      </c>
    </row>
    <row r="2414" spans="13:13" ht="17.25" customHeight="1">
      <c r="M2414" s="15" t="s">
        <v>4702</v>
      </c>
    </row>
    <row r="2415" spans="13:13" ht="17.25" customHeight="1">
      <c r="M2415" s="15" t="s">
        <v>4703</v>
      </c>
    </row>
    <row r="2416" spans="13:13" ht="17.25" customHeight="1">
      <c r="M2416" s="15" t="s">
        <v>4704</v>
      </c>
    </row>
    <row r="2417" spans="13:13" ht="17.25" customHeight="1">
      <c r="M2417" s="15" t="s">
        <v>4705</v>
      </c>
    </row>
    <row r="2418" spans="13:13" ht="17.25" customHeight="1">
      <c r="M2418" s="15" t="s">
        <v>4706</v>
      </c>
    </row>
    <row r="2419" spans="13:13" ht="17.25" customHeight="1">
      <c r="M2419" s="15" t="s">
        <v>4707</v>
      </c>
    </row>
    <row r="2420" spans="13:13" ht="17.25" customHeight="1">
      <c r="M2420" s="15" t="s">
        <v>4708</v>
      </c>
    </row>
    <row r="2421" spans="13:13" ht="17.25" customHeight="1">
      <c r="M2421" s="15" t="s">
        <v>4709</v>
      </c>
    </row>
    <row r="2422" spans="13:13" ht="17.25" customHeight="1">
      <c r="M2422" s="15" t="s">
        <v>4710</v>
      </c>
    </row>
    <row r="2423" spans="13:13" ht="17.25" customHeight="1">
      <c r="M2423" s="15" t="s">
        <v>4711</v>
      </c>
    </row>
    <row r="2424" spans="13:13" ht="17.25" customHeight="1">
      <c r="M2424" s="15" t="s">
        <v>4712</v>
      </c>
    </row>
    <row r="2425" spans="13:13" ht="17.25" customHeight="1">
      <c r="M2425" s="15" t="s">
        <v>4713</v>
      </c>
    </row>
    <row r="2426" spans="13:13" ht="17.25" customHeight="1">
      <c r="M2426" s="15" t="s">
        <v>4714</v>
      </c>
    </row>
    <row r="2427" spans="13:13" ht="17.25" customHeight="1">
      <c r="M2427" s="15" t="s">
        <v>4715</v>
      </c>
    </row>
    <row r="2428" spans="13:13" ht="17.25" customHeight="1">
      <c r="M2428" s="15" t="s">
        <v>4716</v>
      </c>
    </row>
    <row r="2429" spans="13:13" ht="17.25" customHeight="1">
      <c r="M2429" s="15" t="s">
        <v>4717</v>
      </c>
    </row>
    <row r="2430" spans="13:13" ht="17.25" customHeight="1">
      <c r="M2430" s="15" t="s">
        <v>4718</v>
      </c>
    </row>
    <row r="2431" spans="13:13" ht="17.25" customHeight="1">
      <c r="M2431" s="15" t="s">
        <v>4719</v>
      </c>
    </row>
    <row r="2432" spans="13:13" ht="17.25" customHeight="1">
      <c r="M2432" s="15" t="s">
        <v>4720</v>
      </c>
    </row>
    <row r="2433" spans="13:13" ht="17.25" customHeight="1">
      <c r="M2433" s="15" t="s">
        <v>4721</v>
      </c>
    </row>
    <row r="2434" spans="13:13" ht="17.25" customHeight="1">
      <c r="M2434" s="15" t="s">
        <v>4722</v>
      </c>
    </row>
    <row r="2435" spans="13:13" ht="17.25" customHeight="1">
      <c r="M2435" s="15" t="s">
        <v>4723</v>
      </c>
    </row>
    <row r="2436" spans="13:13" ht="17.25" customHeight="1">
      <c r="M2436" s="15" t="s">
        <v>4724</v>
      </c>
    </row>
    <row r="2437" spans="13:13" ht="17.25" customHeight="1">
      <c r="M2437" s="15" t="s">
        <v>4725</v>
      </c>
    </row>
    <row r="2438" spans="13:13" ht="17.25" customHeight="1">
      <c r="M2438" s="15" t="s">
        <v>4726</v>
      </c>
    </row>
    <row r="2439" spans="13:13" ht="17.25" customHeight="1">
      <c r="M2439" s="15" t="s">
        <v>4727</v>
      </c>
    </row>
    <row r="2440" spans="13:13" ht="17.25" customHeight="1">
      <c r="M2440" s="15" t="s">
        <v>4728</v>
      </c>
    </row>
    <row r="2441" spans="13:13" ht="17.25" customHeight="1">
      <c r="M2441" s="15" t="s">
        <v>4729</v>
      </c>
    </row>
    <row r="2442" spans="13:13" ht="17.25" customHeight="1">
      <c r="M2442" s="15" t="s">
        <v>4730</v>
      </c>
    </row>
    <row r="2443" spans="13:13" ht="17.25" customHeight="1">
      <c r="M2443" s="15" t="s">
        <v>4731</v>
      </c>
    </row>
    <row r="2444" spans="13:13" ht="17.25" customHeight="1">
      <c r="M2444" s="15" t="s">
        <v>4732</v>
      </c>
    </row>
    <row r="2445" spans="13:13" ht="17.25" customHeight="1">
      <c r="M2445" s="15" t="s">
        <v>4733</v>
      </c>
    </row>
    <row r="2446" spans="13:13" ht="17.25" customHeight="1">
      <c r="M2446" s="15" t="s">
        <v>4734</v>
      </c>
    </row>
    <row r="2447" spans="13:13" ht="17.25" customHeight="1">
      <c r="M2447" s="15" t="s">
        <v>4735</v>
      </c>
    </row>
    <row r="2448" spans="13:13" ht="17.25" customHeight="1">
      <c r="M2448" s="15" t="s">
        <v>4736</v>
      </c>
    </row>
    <row r="2449" spans="13:13" ht="17.25" customHeight="1">
      <c r="M2449" s="15" t="s">
        <v>4737</v>
      </c>
    </row>
    <row r="2450" spans="13:13" ht="17.25" customHeight="1">
      <c r="M2450" s="15" t="s">
        <v>4738</v>
      </c>
    </row>
    <row r="2451" spans="13:13" ht="17.25" customHeight="1">
      <c r="M2451" s="15" t="s">
        <v>4739</v>
      </c>
    </row>
    <row r="2452" spans="13:13" ht="17.25" customHeight="1">
      <c r="M2452" s="15" t="s">
        <v>4740</v>
      </c>
    </row>
    <row r="2453" spans="13:13" ht="17.25" customHeight="1">
      <c r="M2453" s="15" t="s">
        <v>4741</v>
      </c>
    </row>
    <row r="2454" spans="13:13" ht="17.25" customHeight="1">
      <c r="M2454" s="15" t="s">
        <v>4742</v>
      </c>
    </row>
    <row r="2455" spans="13:13" ht="17.25" customHeight="1">
      <c r="M2455" s="15" t="s">
        <v>4743</v>
      </c>
    </row>
    <row r="2456" spans="13:13" ht="17.25" customHeight="1">
      <c r="M2456" s="15" t="s">
        <v>4744</v>
      </c>
    </row>
    <row r="2457" spans="13:13" ht="17.25" customHeight="1">
      <c r="M2457" s="15" t="s">
        <v>4745</v>
      </c>
    </row>
    <row r="2458" spans="13:13" ht="17.25" customHeight="1">
      <c r="M2458" s="15" t="s">
        <v>4746</v>
      </c>
    </row>
    <row r="2459" spans="13:13" ht="17.25" customHeight="1">
      <c r="M2459" s="15" t="s">
        <v>4747</v>
      </c>
    </row>
    <row r="2460" spans="13:13" ht="17.25" customHeight="1">
      <c r="M2460" s="15" t="s">
        <v>4748</v>
      </c>
    </row>
    <row r="2461" spans="13:13" ht="17.25" customHeight="1">
      <c r="M2461" s="15" t="s">
        <v>4749</v>
      </c>
    </row>
    <row r="2462" spans="13:13" ht="17.25" customHeight="1">
      <c r="M2462" s="15" t="s">
        <v>4750</v>
      </c>
    </row>
    <row r="2463" spans="13:13" ht="17.25" customHeight="1">
      <c r="M2463" s="15" t="s">
        <v>4751</v>
      </c>
    </row>
    <row r="2464" spans="13:13" ht="17.25" customHeight="1">
      <c r="M2464" s="15" t="s">
        <v>4752</v>
      </c>
    </row>
    <row r="2465" spans="13:13" ht="17.25" customHeight="1">
      <c r="M2465" s="15" t="s">
        <v>4753</v>
      </c>
    </row>
    <row r="2466" spans="13:13" ht="17.25" customHeight="1">
      <c r="M2466" s="15" t="s">
        <v>4754</v>
      </c>
    </row>
    <row r="2467" spans="13:13" ht="17.25" customHeight="1">
      <c r="M2467" s="15" t="s">
        <v>4755</v>
      </c>
    </row>
    <row r="2468" spans="13:13" ht="17.25" customHeight="1">
      <c r="M2468" s="15" t="s">
        <v>4756</v>
      </c>
    </row>
    <row r="2469" spans="13:13" ht="17.25" customHeight="1">
      <c r="M2469" s="15" t="s">
        <v>4757</v>
      </c>
    </row>
    <row r="2470" spans="13:13" ht="17.25" customHeight="1">
      <c r="M2470" s="15" t="s">
        <v>4758</v>
      </c>
    </row>
    <row r="2471" spans="13:13" ht="17.25" customHeight="1">
      <c r="M2471" s="15" t="s">
        <v>4759</v>
      </c>
    </row>
    <row r="2472" spans="13:13" ht="17.25" customHeight="1">
      <c r="M2472" s="15" t="s">
        <v>4760</v>
      </c>
    </row>
    <row r="2473" spans="13:13" ht="17.25" customHeight="1">
      <c r="M2473" s="15" t="s">
        <v>4761</v>
      </c>
    </row>
    <row r="2474" spans="13:13" ht="17.25" customHeight="1">
      <c r="M2474" s="15" t="s">
        <v>4762</v>
      </c>
    </row>
    <row r="2475" spans="13:13" ht="17.25" customHeight="1">
      <c r="M2475" s="15" t="s">
        <v>4763</v>
      </c>
    </row>
    <row r="2476" spans="13:13" ht="17.25" customHeight="1">
      <c r="M2476" s="15" t="s">
        <v>4764</v>
      </c>
    </row>
    <row r="2477" spans="13:13" ht="17.25" customHeight="1">
      <c r="M2477" s="15" t="s">
        <v>4765</v>
      </c>
    </row>
    <row r="2478" spans="13:13" ht="17.25" customHeight="1">
      <c r="M2478" s="15" t="s">
        <v>4766</v>
      </c>
    </row>
    <row r="2479" spans="13:13" ht="17.25" customHeight="1">
      <c r="M2479" s="15" t="s">
        <v>4767</v>
      </c>
    </row>
    <row r="2480" spans="13:13" ht="17.25" customHeight="1">
      <c r="M2480" s="15" t="s">
        <v>4768</v>
      </c>
    </row>
    <row r="2481" spans="13:13" ht="17.25" customHeight="1">
      <c r="M2481" s="15" t="s">
        <v>4769</v>
      </c>
    </row>
    <row r="2482" spans="13:13" ht="17.25" customHeight="1">
      <c r="M2482" s="15" t="s">
        <v>4770</v>
      </c>
    </row>
    <row r="2483" spans="13:13" ht="17.25" customHeight="1">
      <c r="M2483" s="15" t="s">
        <v>4771</v>
      </c>
    </row>
    <row r="2484" spans="13:13" ht="17.25" customHeight="1">
      <c r="M2484" s="15" t="s">
        <v>4772</v>
      </c>
    </row>
    <row r="2485" spans="13:13" ht="17.25" customHeight="1">
      <c r="M2485" s="15" t="s">
        <v>4773</v>
      </c>
    </row>
    <row r="2486" spans="13:13" ht="17.25" customHeight="1">
      <c r="M2486" s="15" t="s">
        <v>4774</v>
      </c>
    </row>
    <row r="2487" spans="13:13" ht="17.25" customHeight="1">
      <c r="M2487" s="15" t="s">
        <v>4775</v>
      </c>
    </row>
    <row r="2488" spans="13:13" ht="17.25" customHeight="1">
      <c r="M2488" s="15" t="s">
        <v>4776</v>
      </c>
    </row>
    <row r="2489" spans="13:13" ht="17.25" customHeight="1">
      <c r="M2489" s="15" t="s">
        <v>4777</v>
      </c>
    </row>
    <row r="2490" spans="13:13" ht="17.25" customHeight="1">
      <c r="M2490" s="15" t="s">
        <v>4778</v>
      </c>
    </row>
    <row r="2491" spans="13:13" ht="17.25" customHeight="1">
      <c r="M2491" s="15" t="s">
        <v>4779</v>
      </c>
    </row>
    <row r="2492" spans="13:13" ht="17.25" customHeight="1">
      <c r="M2492" s="15" t="s">
        <v>4780</v>
      </c>
    </row>
    <row r="2493" spans="13:13" ht="17.25" customHeight="1">
      <c r="M2493" s="15" t="s">
        <v>4781</v>
      </c>
    </row>
    <row r="2494" spans="13:13" ht="17.25" customHeight="1">
      <c r="M2494" s="15" t="s">
        <v>4782</v>
      </c>
    </row>
    <row r="2495" spans="13:13" ht="17.25" customHeight="1">
      <c r="M2495" s="15" t="s">
        <v>4783</v>
      </c>
    </row>
    <row r="2496" spans="13:13" ht="17.25" customHeight="1">
      <c r="M2496" s="15" t="s">
        <v>4784</v>
      </c>
    </row>
    <row r="2497" spans="13:13" ht="17.25" customHeight="1">
      <c r="M2497" s="15" t="s">
        <v>4785</v>
      </c>
    </row>
    <row r="2498" spans="13:13" ht="17.25" customHeight="1">
      <c r="M2498" s="15" t="s">
        <v>4786</v>
      </c>
    </row>
    <row r="2499" spans="13:13" ht="17.25" customHeight="1">
      <c r="M2499" s="15" t="s">
        <v>4787</v>
      </c>
    </row>
    <row r="2500" spans="13:13" ht="17.25" customHeight="1">
      <c r="M2500" s="15" t="s">
        <v>4788</v>
      </c>
    </row>
    <row r="2501" spans="13:13" ht="17.25" customHeight="1">
      <c r="M2501" s="15" t="s">
        <v>4789</v>
      </c>
    </row>
    <row r="2502" spans="13:13" ht="17.25" customHeight="1">
      <c r="M2502" s="15" t="s">
        <v>4790</v>
      </c>
    </row>
    <row r="2503" spans="13:13" ht="17.25" customHeight="1">
      <c r="M2503" s="15" t="s">
        <v>4791</v>
      </c>
    </row>
    <row r="2504" spans="13:13" ht="17.25" customHeight="1">
      <c r="M2504" s="15" t="s">
        <v>4792</v>
      </c>
    </row>
    <row r="2505" spans="13:13" ht="17.25" customHeight="1">
      <c r="M2505" s="15" t="s">
        <v>4793</v>
      </c>
    </row>
    <row r="2506" spans="13:13" ht="17.25" customHeight="1">
      <c r="M2506" s="15" t="s">
        <v>4794</v>
      </c>
    </row>
    <row r="2507" spans="13:13" ht="17.25" customHeight="1">
      <c r="M2507" s="15" t="s">
        <v>4795</v>
      </c>
    </row>
    <row r="2508" spans="13:13" ht="17.25" customHeight="1">
      <c r="M2508" s="15" t="s">
        <v>4796</v>
      </c>
    </row>
    <row r="2509" spans="13:13" ht="17.25" customHeight="1">
      <c r="M2509" s="15" t="s">
        <v>4797</v>
      </c>
    </row>
    <row r="2510" spans="13:13" ht="17.25" customHeight="1">
      <c r="M2510" s="15" t="s">
        <v>4798</v>
      </c>
    </row>
    <row r="2511" spans="13:13" ht="17.25" customHeight="1">
      <c r="M2511" s="15" t="s">
        <v>4799</v>
      </c>
    </row>
    <row r="2512" spans="13:13" ht="17.25" customHeight="1">
      <c r="M2512" s="15" t="s">
        <v>4800</v>
      </c>
    </row>
    <row r="2513" spans="13:13" ht="17.25" customHeight="1">
      <c r="M2513" s="15" t="s">
        <v>4801</v>
      </c>
    </row>
    <row r="2514" spans="13:13" ht="17.25" customHeight="1">
      <c r="M2514" s="15" t="s">
        <v>4802</v>
      </c>
    </row>
    <row r="2515" spans="13:13" ht="17.25" customHeight="1">
      <c r="M2515" s="15" t="s">
        <v>4803</v>
      </c>
    </row>
    <row r="2516" spans="13:13" ht="17.25" customHeight="1">
      <c r="M2516" s="15" t="s">
        <v>4804</v>
      </c>
    </row>
    <row r="2517" spans="13:13" ht="17.25" customHeight="1">
      <c r="M2517" s="15" t="s">
        <v>4805</v>
      </c>
    </row>
    <row r="2518" spans="13:13" ht="17.25" customHeight="1">
      <c r="M2518" s="15" t="s">
        <v>4806</v>
      </c>
    </row>
    <row r="2519" spans="13:13" ht="17.25" customHeight="1">
      <c r="M2519" s="15" t="s">
        <v>4807</v>
      </c>
    </row>
    <row r="2520" spans="13:13" ht="17.25" customHeight="1">
      <c r="M2520" s="15" t="s">
        <v>4808</v>
      </c>
    </row>
    <row r="2521" spans="13:13" ht="17.25" customHeight="1">
      <c r="M2521" s="15" t="s">
        <v>4809</v>
      </c>
    </row>
    <row r="2522" spans="13:13" ht="17.25" customHeight="1">
      <c r="M2522" s="15" t="s">
        <v>4810</v>
      </c>
    </row>
  </sheetData>
  <mergeCells count="1">
    <mergeCell ref="A1:P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Z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30.85546875" customWidth="1"/>
    <col min="2" max="2" width="54.7109375" customWidth="1"/>
    <col min="3" max="3" width="26.7109375" customWidth="1"/>
    <col min="4" max="4" width="32.85546875" customWidth="1"/>
    <col min="5" max="5" width="55.7109375" customWidth="1"/>
    <col min="6" max="26" width="10.85546875" customWidth="1"/>
  </cols>
  <sheetData>
    <row r="1" spans="1:26" ht="45.75" customHeight="1">
      <c r="A1" s="38" t="s">
        <v>4811</v>
      </c>
      <c r="B1" s="39" t="s">
        <v>4812</v>
      </c>
      <c r="C1" s="38" t="s">
        <v>4813</v>
      </c>
      <c r="D1" s="39" t="s">
        <v>4812</v>
      </c>
      <c r="E1" s="40" t="s">
        <v>4814</v>
      </c>
      <c r="F1" s="20"/>
      <c r="G1" s="20"/>
      <c r="H1" s="20"/>
      <c r="I1" s="20"/>
      <c r="J1" s="20"/>
      <c r="K1" s="20"/>
      <c r="L1" s="20"/>
      <c r="M1" s="20"/>
      <c r="N1" s="20"/>
      <c r="O1" s="20"/>
      <c r="P1" s="20"/>
      <c r="Q1" s="20"/>
      <c r="R1" s="20"/>
      <c r="S1" s="20"/>
      <c r="T1" s="20"/>
      <c r="U1" s="20"/>
      <c r="V1" s="20"/>
      <c r="W1" s="20"/>
      <c r="X1" s="20"/>
      <c r="Y1" s="20"/>
      <c r="Z1" s="20"/>
    </row>
    <row r="2" spans="1:26" ht="17.25" customHeight="1">
      <c r="A2" s="41" t="s">
        <v>4815</v>
      </c>
      <c r="B2" s="42" t="s">
        <v>4816</v>
      </c>
      <c r="C2" s="41" t="s">
        <v>42</v>
      </c>
      <c r="D2" s="43" t="s">
        <v>4817</v>
      </c>
      <c r="E2" s="44" t="s">
        <v>4818</v>
      </c>
      <c r="F2" s="20"/>
      <c r="G2" s="20"/>
      <c r="H2" s="20"/>
      <c r="I2" s="20"/>
      <c r="J2" s="20"/>
      <c r="K2" s="20"/>
      <c r="L2" s="20"/>
      <c r="M2" s="20"/>
      <c r="N2" s="20"/>
      <c r="O2" s="20"/>
      <c r="P2" s="20"/>
      <c r="Q2" s="20"/>
      <c r="R2" s="20"/>
      <c r="S2" s="20"/>
      <c r="T2" s="20"/>
      <c r="U2" s="20"/>
      <c r="V2" s="20"/>
      <c r="W2" s="20"/>
      <c r="X2" s="20"/>
      <c r="Y2" s="20"/>
      <c r="Z2" s="20"/>
    </row>
    <row r="3" spans="1:26" ht="17.25" customHeight="1">
      <c r="A3" s="15" t="s">
        <v>4819</v>
      </c>
      <c r="B3" s="45" t="e">
        <f t="array" aca="1" ref="B3" ca="1">_xludf.XLOOKUP(A3,Units!$A$2:$A$100,Units!$C$2:$C$100,"")</f>
        <v>#NAME?</v>
      </c>
      <c r="C3" s="15"/>
      <c r="D3" s="46" t="e">
        <f t="array" aca="1" ref="D3" ca="1">_xludf.XLOOKUP(A3,Units!$A$2:$A$100,Units!$B$2:$B$100,"")</f>
        <v>#NAME?</v>
      </c>
      <c r="E3" s="47" t="s">
        <v>4820</v>
      </c>
      <c r="F3" s="20"/>
      <c r="G3" s="20"/>
      <c r="H3" s="20"/>
      <c r="I3" s="20"/>
      <c r="J3" s="20"/>
      <c r="K3" s="20"/>
      <c r="L3" s="20"/>
      <c r="M3" s="20"/>
      <c r="N3" s="20"/>
      <c r="O3" s="20"/>
      <c r="P3" s="20"/>
      <c r="Q3" s="20"/>
      <c r="R3" s="20"/>
      <c r="S3" s="20"/>
      <c r="T3" s="20"/>
      <c r="U3" s="20"/>
      <c r="V3" s="20"/>
      <c r="W3" s="20"/>
      <c r="X3" s="20"/>
      <c r="Y3" s="20"/>
      <c r="Z3" s="20"/>
    </row>
    <row r="4" spans="1:26" ht="17.25" customHeight="1">
      <c r="A4" s="15" t="s">
        <v>4819</v>
      </c>
      <c r="B4" s="45" t="e">
        <f t="array" aca="1" ref="B4" ca="1">_xludf.XLOOKUP(A4,Units!$A$2:$A$100,Units!$C$2:$C$100,"")</f>
        <v>#NAME?</v>
      </c>
      <c r="C4" s="15"/>
      <c r="D4" s="46" t="e">
        <f t="array" aca="1" ref="D4" ca="1">_xludf.XLOOKUP(A4,Units!$A$2:$A$100,Units!$B$2:$B$100,"")</f>
        <v>#NAME?</v>
      </c>
      <c r="E4" s="47" t="s">
        <v>4821</v>
      </c>
      <c r="F4" s="20"/>
      <c r="G4" s="20"/>
      <c r="H4" s="20"/>
      <c r="I4" s="20"/>
      <c r="J4" s="20"/>
      <c r="K4" s="20"/>
      <c r="L4" s="20"/>
      <c r="M4" s="20"/>
      <c r="N4" s="20"/>
      <c r="O4" s="20"/>
      <c r="P4" s="20"/>
      <c r="Q4" s="20"/>
      <c r="R4" s="20"/>
      <c r="S4" s="20"/>
      <c r="T4" s="20"/>
      <c r="U4" s="20"/>
      <c r="V4" s="20"/>
      <c r="W4" s="20"/>
      <c r="X4" s="20"/>
      <c r="Y4" s="20"/>
      <c r="Z4" s="20"/>
    </row>
    <row r="5" spans="1:26" ht="17.25" customHeight="1">
      <c r="A5" s="15" t="s">
        <v>4822</v>
      </c>
      <c r="B5" s="45" t="e">
        <f t="array" aca="1" ref="B5" ca="1">_xludf.XLOOKUP(A5,Units!$A$2:$A$100,Units!$C$2:$C$100,"")</f>
        <v>#NAME?</v>
      </c>
      <c r="C5" s="15"/>
      <c r="D5" s="46" t="e">
        <f t="array" aca="1" ref="D5" ca="1">_xludf.XLOOKUP(A5,Units!$A$2:$A$100,Units!$B$2:$B$100,"")</f>
        <v>#NAME?</v>
      </c>
      <c r="E5" s="47" t="s">
        <v>4823</v>
      </c>
      <c r="F5" s="20" t="s">
        <v>4824</v>
      </c>
      <c r="G5" s="20"/>
      <c r="H5" s="20"/>
      <c r="I5" s="20"/>
      <c r="J5" s="20"/>
      <c r="K5" s="20"/>
      <c r="L5" s="20"/>
      <c r="M5" s="20"/>
      <c r="N5" s="20"/>
      <c r="O5" s="20"/>
      <c r="P5" s="20"/>
      <c r="Q5" s="20"/>
      <c r="R5" s="20"/>
      <c r="S5" s="20"/>
      <c r="T5" s="20"/>
      <c r="U5" s="20"/>
      <c r="V5" s="20"/>
      <c r="W5" s="20"/>
      <c r="X5" s="20"/>
      <c r="Y5" s="20"/>
      <c r="Z5" s="20"/>
    </row>
    <row r="6" spans="1:26" ht="17.25" customHeight="1">
      <c r="A6" s="15" t="s">
        <v>4822</v>
      </c>
      <c r="B6" s="45" t="e">
        <f t="array" aca="1" ref="B6" ca="1">_xludf.XLOOKUP(A6,Units!$A$2:$A$100,Units!$C$2:$C$100,"")</f>
        <v>#NAME?</v>
      </c>
      <c r="C6" s="15"/>
      <c r="D6" s="46" t="e">
        <f t="array" aca="1" ref="D6" ca="1">_xludf.XLOOKUP(A6,Units!$A$2:$A$100,Units!$B$2:$B$100,"")</f>
        <v>#NAME?</v>
      </c>
      <c r="E6" s="47" t="s">
        <v>4825</v>
      </c>
      <c r="F6" s="20"/>
      <c r="G6" s="20"/>
      <c r="H6" s="20"/>
      <c r="I6" s="20"/>
      <c r="J6" s="20"/>
      <c r="K6" s="20"/>
      <c r="L6" s="20"/>
      <c r="M6" s="20"/>
      <c r="N6" s="20"/>
      <c r="O6" s="20"/>
      <c r="P6" s="20"/>
      <c r="Q6" s="20"/>
      <c r="R6" s="20"/>
      <c r="S6" s="20"/>
      <c r="T6" s="20"/>
      <c r="U6" s="20"/>
      <c r="V6" s="20"/>
      <c r="W6" s="20"/>
      <c r="X6" s="20"/>
      <c r="Y6" s="20"/>
      <c r="Z6" s="20"/>
    </row>
    <row r="7" spans="1:26" ht="17.25" customHeight="1">
      <c r="A7" s="15" t="s">
        <v>4826</v>
      </c>
      <c r="B7" s="45" t="e">
        <f t="array" aca="1" ref="B7" ca="1">_xludf.XLOOKUP(A7,Units!$A$2:$A$100,Units!$C$2:$C$100,"")</f>
        <v>#NAME?</v>
      </c>
      <c r="C7" s="15"/>
      <c r="D7" s="46" t="e">
        <f t="array" aca="1" ref="D7" ca="1">_xludf.XLOOKUP(A7,Units!$A$2:$A$100,Units!$B$2:$B$100,"")</f>
        <v>#NAME?</v>
      </c>
      <c r="E7" s="47" t="s">
        <v>4827</v>
      </c>
      <c r="F7" s="20"/>
      <c r="G7" s="20"/>
      <c r="H7" s="20"/>
      <c r="I7" s="20"/>
      <c r="J7" s="20"/>
      <c r="K7" s="20"/>
      <c r="L7" s="20"/>
      <c r="M7" s="20"/>
      <c r="N7" s="20"/>
      <c r="O7" s="20"/>
      <c r="P7" s="20"/>
      <c r="Q7" s="20"/>
      <c r="R7" s="20"/>
      <c r="S7" s="20"/>
      <c r="T7" s="20"/>
      <c r="U7" s="20"/>
      <c r="V7" s="20"/>
      <c r="W7" s="20"/>
      <c r="X7" s="20"/>
      <c r="Y7" s="20"/>
      <c r="Z7" s="20"/>
    </row>
    <row r="8" spans="1:26" ht="17.25" customHeight="1">
      <c r="A8" s="15" t="s">
        <v>4826</v>
      </c>
      <c r="B8" s="45" t="e">
        <f t="array" aca="1" ref="B8" ca="1">_xludf.XLOOKUP(A8,Units!$A$2:$A$100,Units!$C$2:$C$100,"")</f>
        <v>#NAME?</v>
      </c>
      <c r="C8" s="15"/>
      <c r="D8" s="46" t="e">
        <f t="array" aca="1" ref="D8" ca="1">_xludf.XLOOKUP(A8,Units!$A$2:$A$100,Units!$B$2:$B$100,"")</f>
        <v>#NAME?</v>
      </c>
      <c r="E8" s="47" t="s">
        <v>4828</v>
      </c>
      <c r="F8" s="20"/>
      <c r="G8" s="20"/>
      <c r="H8" s="20"/>
      <c r="I8" s="20"/>
      <c r="J8" s="20"/>
      <c r="K8" s="20"/>
      <c r="L8" s="20"/>
      <c r="M8" s="20"/>
      <c r="N8" s="20"/>
      <c r="O8" s="20"/>
      <c r="P8" s="20"/>
      <c r="Q8" s="20"/>
      <c r="R8" s="20"/>
      <c r="S8" s="20"/>
      <c r="T8" s="20"/>
      <c r="U8" s="20"/>
      <c r="V8" s="20"/>
      <c r="W8" s="20"/>
      <c r="X8" s="20"/>
      <c r="Y8" s="20"/>
      <c r="Z8" s="20"/>
    </row>
    <row r="9" spans="1:26" ht="17.25" customHeight="1">
      <c r="A9" s="15" t="s">
        <v>4819</v>
      </c>
      <c r="B9" s="45" t="e">
        <f t="array" aca="1" ref="B9" ca="1">_xludf.XLOOKUP(A9,Units!$A$2:$A$100,Units!$C$2:$C$100,"")</f>
        <v>#NAME?</v>
      </c>
      <c r="C9" s="15"/>
      <c r="D9" s="46" t="e">
        <f t="array" aca="1" ref="D9" ca="1">_xludf.XLOOKUP(A9,Units!$A$2:$A$100,Units!$B$2:$B$100,"")</f>
        <v>#NAME?</v>
      </c>
      <c r="E9" s="47"/>
      <c r="F9" s="20"/>
      <c r="G9" s="20"/>
      <c r="H9" s="20"/>
      <c r="I9" s="20"/>
      <c r="J9" s="20"/>
      <c r="K9" s="20"/>
      <c r="L9" s="20"/>
      <c r="M9" s="20"/>
      <c r="N9" s="20"/>
      <c r="O9" s="20"/>
      <c r="P9" s="20"/>
      <c r="Q9" s="20"/>
      <c r="R9" s="20"/>
      <c r="S9" s="20"/>
      <c r="T9" s="20"/>
      <c r="U9" s="20"/>
      <c r="V9" s="20"/>
      <c r="W9" s="20"/>
      <c r="X9" s="20"/>
      <c r="Y9" s="20"/>
      <c r="Z9" s="20"/>
    </row>
    <row r="10" spans="1:26" ht="17.25" customHeight="1">
      <c r="A10" s="15" t="s">
        <v>4829</v>
      </c>
      <c r="B10" s="45" t="e">
        <f t="array" aca="1" ref="B10" ca="1">_xludf.XLOOKUP(A10,Units!$A$2:$A$100,Units!$C$2:$C$100,"")</f>
        <v>#NAME?</v>
      </c>
      <c r="C10" s="15"/>
      <c r="D10" s="46" t="e">
        <f t="array" aca="1" ref="D10" ca="1">_xludf.XLOOKUP(A10,Units!$A$2:$A$100,Units!$B$2:$B$100,"")</f>
        <v>#NAME?</v>
      </c>
      <c r="E10" s="15"/>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5" t="s">
        <v>4829</v>
      </c>
      <c r="B11" s="45" t="e">
        <f t="array" aca="1" ref="B11" ca="1">IF(_xludf.XLOOKUP(A11,Units!$A$2:$A$100,Units!$C$2:$C$100,"")=0,"",_xludf.XLOOKUP(A11,Units!$A$2:$A$100,Units!$C$2:$C$100,""))</f>
        <v>#NAME?</v>
      </c>
      <c r="C11" s="15"/>
      <c r="D11" s="46" t="e">
        <f t="array" aca="1" ref="D11" ca="1">IF(_xludf.XLOOKUP(A11,Units!$A$2:$A$100,Units!$B$2:$B$100,"")=0,"",_xludf.XLOOKUP(A11,Units!$A$2:$A$100,Units!$B$2:$B$100,""))</f>
        <v>#NAME?</v>
      </c>
      <c r="E11" s="15"/>
      <c r="F11" s="20"/>
      <c r="G11" s="20"/>
      <c r="H11" s="20"/>
      <c r="I11" s="20"/>
      <c r="J11" s="20"/>
      <c r="K11" s="20"/>
      <c r="L11" s="20"/>
      <c r="M11" s="20"/>
      <c r="N11" s="20"/>
      <c r="O11" s="20"/>
      <c r="P11" s="20"/>
      <c r="Q11" s="20"/>
      <c r="R11" s="20"/>
      <c r="S11" s="20"/>
      <c r="T11" s="20"/>
      <c r="U11" s="20"/>
      <c r="V11" s="20"/>
      <c r="W11" s="20"/>
      <c r="X11" s="20"/>
      <c r="Y11" s="20"/>
      <c r="Z11" s="20"/>
    </row>
    <row r="12" spans="1:26" ht="40.5" customHeight="1">
      <c r="A12" s="15" t="s">
        <v>4826</v>
      </c>
      <c r="B12" s="45" t="e">
        <f t="array" aca="1" ref="B12" ca="1">IF(_xludf.XLOOKUP(A12,Units!$A$2:$A$100,Units!$C$2:$C$100,"")=0,"",_xludf.XLOOKUP(A12,Units!$A$2:$A$100,Units!$C$2:$C$100,""))</f>
        <v>#NAME?</v>
      </c>
      <c r="C12" s="15">
        <v>5.6</v>
      </c>
      <c r="D12" s="46" t="e">
        <f t="array" aca="1" ref="D12" ca="1">IF(_xludf.XLOOKUP(A12,Units!$A$2:$A$100,Units!$B$2:$B$100,"")=0,"",_xludf.XLOOKUP(A12,Units!$A$2:$A$100,Units!$B$2:$B$100,""))</f>
        <v>#NAME?</v>
      </c>
      <c r="E12" s="15"/>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5"/>
      <c r="B13" s="45" t="e">
        <f t="array" aca="1" ref="B13" ca="1">IF(_xludf.XLOOKUP(A13,Units!$A$2:$A$100,Units!$C$2:$C$100,"")=0,"",_xludf.XLOOKUP(A13,Units!$A$2:$A$100,Units!$C$2:$C$100,""))</f>
        <v>#NAME?</v>
      </c>
      <c r="C13" s="15"/>
      <c r="D13" s="46" t="e">
        <f t="array" aca="1" ref="D13" ca="1">IF(_xludf.XLOOKUP(A13,Units!$A$2:$A$100,Units!$B$2:$B$100,"")=0,"",_xludf.XLOOKUP(A13,Units!$A$2:$A$100,Units!$B$2:$B$100,""))</f>
        <v>#NAME?</v>
      </c>
      <c r="E13" s="15"/>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5"/>
      <c r="B14" s="45" t="e">
        <f t="array" aca="1" ref="B14" ca="1">IF(_xludf.XLOOKUP(A14,Units!$A$2:$A$100,Units!$C$2:$C$100,"")=0,"",_xludf.XLOOKUP(A14,Units!$A$2:$A$100,Units!$C$2:$C$100,""))</f>
        <v>#NAME?</v>
      </c>
      <c r="C14" s="15"/>
      <c r="D14" s="46" t="e">
        <f t="array" aca="1" ref="D14" ca="1">IF(_xludf.XLOOKUP(A14,Units!$A$2:$A$100,Units!$B$2:$B$100,"")=0,"",_xludf.XLOOKUP(A14,Units!$A$2:$A$100,Units!$B$2:$B$100,""))</f>
        <v>#NAME?</v>
      </c>
      <c r="E14" s="15"/>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5"/>
      <c r="B15" s="45" t="e">
        <f t="array" aca="1" ref="B15" ca="1">IF(_xludf.XLOOKUP(A15,Units!$A$2:$A$100,Units!$C$2:$C$100,"")=0,"",_xludf.XLOOKUP(A15,Units!$A$2:$A$100,Units!$C$2:$C$100,""))</f>
        <v>#NAME?</v>
      </c>
      <c r="C15" s="15"/>
      <c r="D15" s="46" t="e">
        <f t="array" aca="1" ref="D15" ca="1">IF(_xludf.XLOOKUP(A15,Units!$A$2:$A$100,Units!$B$2:$B$100,"")=0,"",_xludf.XLOOKUP(A15,Units!$A$2:$A$100,Units!$B$2:$B$100,""))</f>
        <v>#NAME?</v>
      </c>
      <c r="E15" s="15"/>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5"/>
      <c r="B16" s="45" t="e">
        <f t="array" aca="1" ref="B16" ca="1">IF(_xludf.XLOOKUP(A16,Units!$A$2:$A$100,Units!$C$2:$C$100,"")=0,"",_xludf.XLOOKUP(A16,Units!$A$2:$A$100,Units!$C$2:$C$100,""))</f>
        <v>#NAME?</v>
      </c>
      <c r="C16" s="15"/>
      <c r="D16" s="46" t="e">
        <f t="array" aca="1" ref="D16" ca="1">IF(_xludf.XLOOKUP(A16,Units!$A$2:$A$100,Units!$B$2:$B$100,"")=0,"",_xludf.XLOOKUP(A16,Units!$A$2:$A$100,Units!$B$2:$B$100,""))</f>
        <v>#NAME?</v>
      </c>
      <c r="E16" s="15"/>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5"/>
      <c r="B17" s="45" t="e">
        <f t="array" aca="1" ref="B17" ca="1">IF(_xludf.XLOOKUP(A17,Units!$A$2:$A$100,Units!$C$2:$C$100,"")=0,"",_xludf.XLOOKUP(A17,Units!$A$2:$A$100,Units!$C$2:$C$100,""))</f>
        <v>#NAME?</v>
      </c>
      <c r="C17" s="15"/>
      <c r="D17" s="46" t="e">
        <f t="array" aca="1" ref="D17" ca="1">IF(_xludf.XLOOKUP(A17,Units!$A$2:$A$100,Units!$B$2:$B$100,"")=0,"",_xludf.XLOOKUP(A17,Units!$A$2:$A$100,Units!$B$2:$B$100,""))</f>
        <v>#NAME?</v>
      </c>
      <c r="E17" s="15"/>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5"/>
      <c r="B18" s="45" t="e">
        <f t="array" aca="1" ref="B18" ca="1">IF(_xludf.XLOOKUP(A18,Units!$A$2:$A$100,Units!$C$2:$C$100,"")=0,"",_xludf.XLOOKUP(A18,Units!$A$2:$A$100,Units!$C$2:$C$100,""))</f>
        <v>#NAME?</v>
      </c>
      <c r="C18" s="15"/>
      <c r="D18" s="46" t="e">
        <f t="array" aca="1" ref="D18" ca="1">IF(_xludf.XLOOKUP(A18,Units!$A$2:$A$100,Units!$B$2:$B$100,"")=0,"",_xludf.XLOOKUP(A18,Units!$A$2:$A$100,Units!$B$2:$B$100,""))</f>
        <v>#NAME?</v>
      </c>
      <c r="E18" s="15"/>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5"/>
      <c r="B19" s="45" t="e">
        <f t="array" aca="1" ref="B19" ca="1">IF(_xludf.XLOOKUP(A19,Units!$A$2:$A$100,Units!$C$2:$C$100,"")=0,"",_xludf.XLOOKUP(A19,Units!$A$2:$A$100,Units!$C$2:$C$100,""))</f>
        <v>#NAME?</v>
      </c>
      <c r="C19" s="15"/>
      <c r="D19" s="46" t="e">
        <f t="array" aca="1" ref="D19" ca="1">IF(_xludf.XLOOKUP(A19,Units!$A$2:$A$100,Units!$B$2:$B$100,"")=0,"",_xludf.XLOOKUP(A19,Units!$A$2:$A$100,Units!$B$2:$B$100,""))</f>
        <v>#NAME?</v>
      </c>
      <c r="E19" s="15"/>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5"/>
      <c r="B20" s="45" t="e">
        <f t="array" aca="1" ref="B20" ca="1">IF(_xludf.XLOOKUP(A20,Units!$A$2:$A$100,Units!$C$2:$C$100,"")=0,"",_xludf.XLOOKUP(A20,Units!$A$2:$A$100,Units!$C$2:$C$100,""))</f>
        <v>#NAME?</v>
      </c>
      <c r="C20" s="15"/>
      <c r="D20" s="46" t="e">
        <f t="array" aca="1" ref="D20" ca="1">IF(_xludf.XLOOKUP(A20,Units!$A$2:$A$100,Units!$B$2:$B$100,"")=0,"",_xludf.XLOOKUP(A20,Units!$A$2:$A$100,Units!$B$2:$B$100,""))</f>
        <v>#NAME?</v>
      </c>
      <c r="E20" s="15"/>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5"/>
      <c r="B21" s="45" t="e">
        <f t="array" aca="1" ref="B21" ca="1">IF(_xludf.XLOOKUP(A21,Units!$A$2:$A$100,Units!$C$2:$C$100,"")=0,"",_xludf.XLOOKUP(A21,Units!$A$2:$A$100,Units!$C$2:$C$100,""))</f>
        <v>#NAME?</v>
      </c>
      <c r="C21" s="15"/>
      <c r="D21" s="46" t="e">
        <f t="array" aca="1" ref="D21" ca="1">IF(_xludf.XLOOKUP(A21,Units!$A$2:$A$100,Units!$B$2:$B$100,"")=0,"",_xludf.XLOOKUP(A21,Units!$A$2:$A$100,Units!$B$2:$B$100,""))</f>
        <v>#NAME?</v>
      </c>
      <c r="E21" s="15"/>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5"/>
      <c r="B22" s="45" t="e">
        <f t="array" aca="1" ref="B22" ca="1">IF(_xludf.XLOOKUP(A22,Units!$A$2:$A$100,Units!$C$2:$C$100,"")=0,"",_xludf.XLOOKUP(A22,Units!$A$2:$A$100,Units!$C$2:$C$100,""))</f>
        <v>#NAME?</v>
      </c>
      <c r="C22" s="15"/>
      <c r="D22" s="46" t="e">
        <f t="array" aca="1" ref="D22" ca="1">IF(_xludf.XLOOKUP(A22,Units!$A$2:$A$100,Units!$B$2:$B$100,"")=0,"",_xludf.XLOOKUP(A22,Units!$A$2:$A$100,Units!$B$2:$B$100,""))</f>
        <v>#NAME?</v>
      </c>
      <c r="E22" s="15"/>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5"/>
      <c r="B23" s="45" t="e">
        <f t="array" aca="1" ref="B23" ca="1">IF(_xludf.XLOOKUP(A23,Units!$A$2:$A$100,Units!$C$2:$C$100,"")=0,"",_xludf.XLOOKUP(A23,Units!$A$2:$A$100,Units!$C$2:$C$100,""))</f>
        <v>#NAME?</v>
      </c>
      <c r="C23" s="15"/>
      <c r="D23" s="46" t="e">
        <f t="array" aca="1" ref="D23" ca="1">IF(_xludf.XLOOKUP(A23,Units!$A$2:$A$100,Units!$B$2:$B$100,"")=0,"",_xludf.XLOOKUP(A23,Units!$A$2:$A$100,Units!$B$2:$B$100,""))</f>
        <v>#NAME?</v>
      </c>
      <c r="E23" s="15"/>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5"/>
      <c r="B24" s="45" t="e">
        <f t="array" aca="1" ref="B24" ca="1">IF(_xludf.XLOOKUP(A24,Units!$A$2:$A$100,Units!$C$2:$C$100,"")=0,"",_xludf.XLOOKUP(A24,Units!$A$2:$A$100,Units!$C$2:$C$100,""))</f>
        <v>#NAME?</v>
      </c>
      <c r="C24" s="15"/>
      <c r="D24" s="46" t="e">
        <f t="array" aca="1" ref="D24" ca="1">IF(_xludf.XLOOKUP(A24,Units!$A$2:$A$100,Units!$B$2:$B$100,"")=0,"",_xludf.XLOOKUP(A24,Units!$A$2:$A$100,Units!$B$2:$B$100,""))</f>
        <v>#NAME?</v>
      </c>
      <c r="E24" s="15"/>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5"/>
      <c r="B25" s="45" t="e">
        <f t="array" aca="1" ref="B25" ca="1">IF(_xludf.XLOOKUP(A25,Units!$A$2:$A$100,Units!$C$2:$C$100,"")=0,"",_xludf.XLOOKUP(A25,Units!$A$2:$A$100,Units!$C$2:$C$100,""))</f>
        <v>#NAME?</v>
      </c>
      <c r="C25" s="15"/>
      <c r="D25" s="46" t="e">
        <f t="array" aca="1" ref="D25" ca="1">IF(_xludf.XLOOKUP(A25,Units!$A$2:$A$100,Units!$B$2:$B$100,"")=0,"",_xludf.XLOOKUP(A25,Units!$A$2:$A$100,Units!$B$2:$B$100,""))</f>
        <v>#NAME?</v>
      </c>
      <c r="E25" s="15"/>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5"/>
      <c r="B26" s="45" t="e">
        <f t="array" aca="1" ref="B26" ca="1">IF(_xludf.XLOOKUP(A26,Units!$A$2:$A$100,Units!$C$2:$C$100,"")=0,"",_xludf.XLOOKUP(A26,Units!$A$2:$A$100,Units!$C$2:$C$100,""))</f>
        <v>#NAME?</v>
      </c>
      <c r="C26" s="15"/>
      <c r="D26" s="46" t="e">
        <f t="array" aca="1" ref="D26" ca="1">IF(_xludf.XLOOKUP(A26,Units!$A$2:$A$100,Units!$B$2:$B$100,"")=0,"",_xludf.XLOOKUP(A26,Units!$A$2:$A$100,Units!$B$2:$B$100,""))</f>
        <v>#NAME?</v>
      </c>
      <c r="E26" s="15"/>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5"/>
      <c r="B27" s="45" t="e">
        <f t="array" aca="1" ref="B27" ca="1">IF(_xludf.XLOOKUP(A27,Units!$A$2:$A$100,Units!$C$2:$C$100,"")=0,"",_xludf.XLOOKUP(A27,Units!$A$2:$A$100,Units!$C$2:$C$100,""))</f>
        <v>#NAME?</v>
      </c>
      <c r="C27" s="15"/>
      <c r="D27" s="46" t="e">
        <f t="array" aca="1" ref="D27" ca="1">IF(_xludf.XLOOKUP(A27,Units!$A$2:$A$100,Units!$B$2:$B$100,"")=0,"",_xludf.XLOOKUP(A27,Units!$A$2:$A$100,Units!$B$2:$B$100,""))</f>
        <v>#NAME?</v>
      </c>
      <c r="E27" s="15"/>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5"/>
      <c r="B28" s="45" t="e">
        <f t="array" aca="1" ref="B28" ca="1">IF(_xludf.XLOOKUP(A28,Units!$A$2:$A$100,Units!$C$2:$C$100,"")=0,"",_xludf.XLOOKUP(A28,Units!$A$2:$A$100,Units!$C$2:$C$100,""))</f>
        <v>#NAME?</v>
      </c>
      <c r="C28" s="15"/>
      <c r="D28" s="46" t="e">
        <f t="array" aca="1" ref="D28" ca="1">IF(_xludf.XLOOKUP(A28,Units!$A$2:$A$100,Units!$B$2:$B$100,"")=0,"",_xludf.XLOOKUP(A28,Units!$A$2:$A$100,Units!$B$2:$B$100,""))</f>
        <v>#NAME?</v>
      </c>
      <c r="E28" s="15"/>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5"/>
      <c r="B29" s="45" t="e">
        <f t="array" aca="1" ref="B29" ca="1">IF(_xludf.XLOOKUP(A29,Units!$A$2:$A$100,Units!$C$2:$C$100,"")=0,"",_xludf.XLOOKUP(A29,Units!$A$2:$A$100,Units!$C$2:$C$100,""))</f>
        <v>#NAME?</v>
      </c>
      <c r="C29" s="15"/>
      <c r="D29" s="46" t="e">
        <f t="array" aca="1" ref="D29" ca="1">IF(_xludf.XLOOKUP(A29,Units!$A$2:$A$100,Units!$B$2:$B$100,"")=0,"",_xludf.XLOOKUP(A29,Units!$A$2:$A$100,Units!$B$2:$B$100,""))</f>
        <v>#NAME?</v>
      </c>
      <c r="E29" s="15"/>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5"/>
      <c r="B30" s="45" t="e">
        <f t="array" aca="1" ref="B30" ca="1">IF(_xludf.XLOOKUP(A30,Units!$A$2:$A$100,Units!$C$2:$C$100,"")=0,"",_xludf.XLOOKUP(A30,Units!$A$2:$A$100,Units!$C$2:$C$100,""))</f>
        <v>#NAME?</v>
      </c>
      <c r="C30" s="15"/>
      <c r="D30" s="46" t="e">
        <f t="array" aca="1" ref="D30" ca="1">IF(_xludf.XLOOKUP(A30,Units!$A$2:$A$100,Units!$B$2:$B$100,"")=0,"",_xludf.XLOOKUP(A30,Units!$A$2:$A$100,Units!$B$2:$B$100,""))</f>
        <v>#NAME?</v>
      </c>
      <c r="E30" s="15"/>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5"/>
      <c r="B31" s="45" t="e">
        <f t="array" aca="1" ref="B31" ca="1">IF(_xludf.XLOOKUP(A31,Units!$A$2:$A$100,Units!$C$2:$C$100,"")=0,"",_xludf.XLOOKUP(A31,Units!$A$2:$A$100,Units!$C$2:$C$100,""))</f>
        <v>#NAME?</v>
      </c>
      <c r="C31" s="15"/>
      <c r="D31" s="46" t="e">
        <f t="array" aca="1" ref="D31" ca="1">IF(_xludf.XLOOKUP(A31,Units!$A$2:$A$100,Units!$B$2:$B$100,"")=0,"",_xludf.XLOOKUP(A31,Units!$A$2:$A$100,Units!$B$2:$B$100,""))</f>
        <v>#NAME?</v>
      </c>
      <c r="E31" s="15"/>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5"/>
      <c r="B32" s="45" t="e">
        <f t="array" aca="1" ref="B32" ca="1">IF(_xludf.XLOOKUP(A32,Units!$A$2:$A$100,Units!$C$2:$C$100,"")=0,"",_xludf.XLOOKUP(A32,Units!$A$2:$A$100,Units!$C$2:$C$100,""))</f>
        <v>#NAME?</v>
      </c>
      <c r="C32" s="15"/>
      <c r="D32" s="46" t="e">
        <f t="array" aca="1" ref="D32" ca="1">IF(_xludf.XLOOKUP(A32,Units!$A$2:$A$100,Units!$B$2:$B$100,"")=0,"",_xludf.XLOOKUP(A32,Units!$A$2:$A$100,Units!$B$2:$B$100,""))</f>
        <v>#NAME?</v>
      </c>
      <c r="E32" s="15"/>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5"/>
      <c r="B33" s="45" t="e">
        <f t="array" aca="1" ref="B33" ca="1">IF(_xludf.XLOOKUP(A33,Units!$A$2:$A$100,Units!$C$2:$C$100,"")=0,"",_xludf.XLOOKUP(A33,Units!$A$2:$A$100,Units!$C$2:$C$100,""))</f>
        <v>#NAME?</v>
      </c>
      <c r="C33" s="15"/>
      <c r="D33" s="46" t="e">
        <f t="array" aca="1" ref="D33" ca="1">IF(_xludf.XLOOKUP(A33,Units!$A$2:$A$100,Units!$B$2:$B$100,"")=0,"",_xludf.XLOOKUP(A33,Units!$A$2:$A$100,Units!$B$2:$B$100,""))</f>
        <v>#NAME?</v>
      </c>
      <c r="E33" s="15"/>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5"/>
      <c r="B34" s="45" t="e">
        <f t="array" aca="1" ref="B34" ca="1">IF(_xludf.XLOOKUP(A34,Units!$A$2:$A$100,Units!$C$2:$C$100,"")=0,"",_xludf.XLOOKUP(A34,Units!$A$2:$A$100,Units!$C$2:$C$100,""))</f>
        <v>#NAME?</v>
      </c>
      <c r="C34" s="15"/>
      <c r="D34" s="46" t="e">
        <f t="array" aca="1" ref="D34" ca="1">IF(_xludf.XLOOKUP(A34,Units!$A$2:$A$100,Units!$B$2:$B$100,"")=0,"",_xludf.XLOOKUP(A34,Units!$A$2:$A$100,Units!$B$2:$B$100,""))</f>
        <v>#NAME?</v>
      </c>
      <c r="E34" s="15"/>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5"/>
      <c r="B35" s="45" t="e">
        <f t="array" aca="1" ref="B35" ca="1">IF(_xludf.XLOOKUP(A35,Units!$A$2:$A$100,Units!$C$2:$C$100,"")=0,"",_xludf.XLOOKUP(A35,Units!$A$2:$A$100,Units!$C$2:$C$100,""))</f>
        <v>#NAME?</v>
      </c>
      <c r="C35" s="15"/>
      <c r="D35" s="46" t="e">
        <f t="array" aca="1" ref="D35" ca="1">IF(_xludf.XLOOKUP(A35,Units!$A$2:$A$100,Units!$B$2:$B$100,"")=0,"",_xludf.XLOOKUP(A35,Units!$A$2:$A$100,Units!$B$2:$B$100,""))</f>
        <v>#NAME?</v>
      </c>
      <c r="E35" s="15"/>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5"/>
      <c r="B36" s="45" t="e">
        <f t="array" aca="1" ref="B36" ca="1">IF(_xludf.XLOOKUP(A36,Units!$A$2:$A$100,Units!$C$2:$C$100,"")=0,"",_xludf.XLOOKUP(A36,Units!$A$2:$A$100,Units!$C$2:$C$100,""))</f>
        <v>#NAME?</v>
      </c>
      <c r="C36" s="15"/>
      <c r="D36" s="46" t="e">
        <f t="array" aca="1" ref="D36" ca="1">IF(_xludf.XLOOKUP(A36,Units!$A$2:$A$100,Units!$B$2:$B$100,"")=0,"",_xludf.XLOOKUP(A36,Units!$A$2:$A$100,Units!$B$2:$B$100,""))</f>
        <v>#NAME?</v>
      </c>
      <c r="E36" s="15"/>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5"/>
      <c r="B37" s="45" t="e">
        <f t="array" aca="1" ref="B37" ca="1">IF(_xludf.XLOOKUP(A37,Units!$A$2:$A$100,Units!$C$2:$C$100,"")=0,"",_xludf.XLOOKUP(A37,Units!$A$2:$A$100,Units!$C$2:$C$100,""))</f>
        <v>#NAME?</v>
      </c>
      <c r="C37" s="15"/>
      <c r="D37" s="46" t="e">
        <f t="array" aca="1" ref="D37" ca="1">IF(_xludf.XLOOKUP(A37,Units!$A$2:$A$100,Units!$B$2:$B$100,"")=0,"",_xludf.XLOOKUP(A37,Units!$A$2:$A$100,Units!$B$2:$B$100,""))</f>
        <v>#NAME?</v>
      </c>
      <c r="E37" s="15"/>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5"/>
      <c r="B38" s="45" t="e">
        <f t="array" aca="1" ref="B38" ca="1">IF(_xludf.XLOOKUP(A38,Units!$A$2:$A$100,Units!$C$2:$C$100,"")=0,"",_xludf.XLOOKUP(A38,Units!$A$2:$A$100,Units!$C$2:$C$100,""))</f>
        <v>#NAME?</v>
      </c>
      <c r="C38" s="15"/>
      <c r="D38" s="46" t="e">
        <f t="array" aca="1" ref="D38" ca="1">IF(_xludf.XLOOKUP(A38,Units!$A$2:$A$100,Units!$B$2:$B$100,"")=0,"",_xludf.XLOOKUP(A38,Units!$A$2:$A$100,Units!$B$2:$B$100,""))</f>
        <v>#NAME?</v>
      </c>
      <c r="E38" s="15"/>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5"/>
      <c r="B39" s="45" t="e">
        <f t="array" aca="1" ref="B39" ca="1">IF(_xludf.XLOOKUP(A39,Units!$A$2:$A$100,Units!$C$2:$C$100,"")=0,"",_xludf.XLOOKUP(A39,Units!$A$2:$A$100,Units!$C$2:$C$100,""))</f>
        <v>#NAME?</v>
      </c>
      <c r="C39" s="15"/>
      <c r="D39" s="46" t="e">
        <f t="array" aca="1" ref="D39" ca="1">IF(_xludf.XLOOKUP(A39,Units!$A$2:$A$100,Units!$B$2:$B$100,"")=0,"",_xludf.XLOOKUP(A39,Units!$A$2:$A$100,Units!$B$2:$B$100,""))</f>
        <v>#NAME?</v>
      </c>
      <c r="E39" s="15"/>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5"/>
      <c r="B40" s="45" t="e">
        <f t="array" aca="1" ref="B40" ca="1">IF(_xludf.XLOOKUP(A40,Units!$A$2:$A$100,Units!$C$2:$C$100,"")=0,"",_xludf.XLOOKUP(A40,Units!$A$2:$A$100,Units!$C$2:$C$100,""))</f>
        <v>#NAME?</v>
      </c>
      <c r="C40" s="15"/>
      <c r="D40" s="46" t="e">
        <f t="array" aca="1" ref="D40" ca="1">IF(_xludf.XLOOKUP(A40,Units!$A$2:$A$100,Units!$B$2:$B$100,"")=0,"",_xludf.XLOOKUP(A40,Units!$A$2:$A$100,Units!$B$2:$B$100,""))</f>
        <v>#NAME?</v>
      </c>
      <c r="E40" s="15"/>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5"/>
      <c r="B41" s="45" t="e">
        <f t="array" aca="1" ref="B41" ca="1">IF(_xludf.XLOOKUP(A41,Units!$A$2:$A$100,Units!$C$2:$C$100,"")=0,"",_xludf.XLOOKUP(A41,Units!$A$2:$A$100,Units!$C$2:$C$100,""))</f>
        <v>#NAME?</v>
      </c>
      <c r="C41" s="15"/>
      <c r="D41" s="46" t="e">
        <f t="array" aca="1" ref="D41" ca="1">IF(_xludf.XLOOKUP(A41,Units!$A$2:$A$100,Units!$B$2:$B$100,"")=0,"",_xludf.XLOOKUP(A41,Units!$A$2:$A$100,Units!$B$2:$B$100,""))</f>
        <v>#NAME?</v>
      </c>
      <c r="E41" s="15"/>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5"/>
      <c r="B42" s="45" t="e">
        <f t="array" aca="1" ref="B42" ca="1">IF(_xludf.XLOOKUP(A42,Units!$A$2:$A$100,Units!$C$2:$C$100,"")=0,"",_xludf.XLOOKUP(A42,Units!$A$2:$A$100,Units!$C$2:$C$100,""))</f>
        <v>#NAME?</v>
      </c>
      <c r="C42" s="15"/>
      <c r="D42" s="46" t="e">
        <f t="array" aca="1" ref="D42" ca="1">IF(_xludf.XLOOKUP(A42,Units!$A$2:$A$100,Units!$B$2:$B$100,"")=0,"",_xludf.XLOOKUP(A42,Units!$A$2:$A$100,Units!$B$2:$B$100,""))</f>
        <v>#NAME?</v>
      </c>
      <c r="E42" s="15"/>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5"/>
      <c r="B43" s="45" t="e">
        <f t="array" aca="1" ref="B43" ca="1">IF(_xludf.XLOOKUP(A43,Units!$A$2:$A$100,Units!$C$2:$C$100,"")=0,"",_xludf.XLOOKUP(A43,Units!$A$2:$A$100,Units!$C$2:$C$100,""))</f>
        <v>#NAME?</v>
      </c>
      <c r="C43" s="15"/>
      <c r="D43" s="46" t="e">
        <f t="array" aca="1" ref="D43" ca="1">IF(_xludf.XLOOKUP(A43,Units!$A$2:$A$100,Units!$B$2:$B$100,"")=0,"",_xludf.XLOOKUP(A43,Units!$A$2:$A$100,Units!$B$2:$B$100,""))</f>
        <v>#NAME?</v>
      </c>
      <c r="E43" s="15"/>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5"/>
      <c r="B44" s="45" t="e">
        <f t="array" aca="1" ref="B44" ca="1">IF(_xludf.XLOOKUP(A44,Units!$A$2:$A$100,Units!$C$2:$C$100,"")=0,"",_xludf.XLOOKUP(A44,Units!$A$2:$A$100,Units!$C$2:$C$100,""))</f>
        <v>#NAME?</v>
      </c>
      <c r="C44" s="15"/>
      <c r="D44" s="46" t="e">
        <f t="array" aca="1" ref="D44" ca="1">IF(_xludf.XLOOKUP(A44,Units!$A$2:$A$100,Units!$B$2:$B$100,"")=0,"",_xludf.XLOOKUP(A44,Units!$A$2:$A$100,Units!$B$2:$B$100,""))</f>
        <v>#NAME?</v>
      </c>
      <c r="E44" s="15"/>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5"/>
      <c r="B45" s="45" t="e">
        <f t="array" aca="1" ref="B45" ca="1">IF(_xludf.XLOOKUP(A45,Units!$A$2:$A$100,Units!$C$2:$C$100,"")=0,"",_xludf.XLOOKUP(A45,Units!$A$2:$A$100,Units!$C$2:$C$100,""))</f>
        <v>#NAME?</v>
      </c>
      <c r="C45" s="15"/>
      <c r="D45" s="46" t="e">
        <f t="array" aca="1" ref="D45" ca="1">IF(_xludf.XLOOKUP(A45,Units!$A$2:$A$100,Units!$B$2:$B$100,"")=0,"",_xludf.XLOOKUP(A45,Units!$A$2:$A$100,Units!$B$2:$B$100,""))</f>
        <v>#NAME?</v>
      </c>
      <c r="E45" s="15"/>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5"/>
      <c r="B46" s="45" t="e">
        <f t="array" aca="1" ref="B46" ca="1">IF(_xludf.XLOOKUP(A46,Units!$A$2:$A$100,Units!$C$2:$C$100,"")=0,"",_xludf.XLOOKUP(A46,Units!$A$2:$A$100,Units!$C$2:$C$100,""))</f>
        <v>#NAME?</v>
      </c>
      <c r="C46" s="15"/>
      <c r="D46" s="46" t="e">
        <f t="array" aca="1" ref="D46" ca="1">IF(_xludf.XLOOKUP(A46,Units!$A$2:$A$100,Units!$B$2:$B$100,"")=0,"",_xludf.XLOOKUP(A46,Units!$A$2:$A$100,Units!$B$2:$B$100,""))</f>
        <v>#NAME?</v>
      </c>
      <c r="E46" s="15"/>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5"/>
      <c r="B47" s="45" t="e">
        <f t="array" aca="1" ref="B47" ca="1">IF(_xludf.XLOOKUP(A47,Units!$A$2:$A$100,Units!$C$2:$C$100,"")=0,"",_xludf.XLOOKUP(A47,Units!$A$2:$A$100,Units!$C$2:$C$100,""))</f>
        <v>#NAME?</v>
      </c>
      <c r="C47" s="15"/>
      <c r="D47" s="46" t="e">
        <f t="array" aca="1" ref="D47" ca="1">IF(_xludf.XLOOKUP(A47,Units!$A$2:$A$100,Units!$B$2:$B$100,"")=0,"",_xludf.XLOOKUP(A47,Units!$A$2:$A$100,Units!$B$2:$B$100,""))</f>
        <v>#NAME?</v>
      </c>
      <c r="E47" s="15"/>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5"/>
      <c r="B48" s="45" t="e">
        <f t="array" aca="1" ref="B48" ca="1">IF(_xludf.XLOOKUP(A48,Units!$A$2:$A$100,Units!$C$2:$C$100,"")=0,"",_xludf.XLOOKUP(A48,Units!$A$2:$A$100,Units!$C$2:$C$100,""))</f>
        <v>#NAME?</v>
      </c>
      <c r="C48" s="15"/>
      <c r="D48" s="46" t="e">
        <f t="array" aca="1" ref="D48" ca="1">IF(_xludf.XLOOKUP(A48,Units!$A$2:$A$100,Units!$B$2:$B$100,"")=0,"",_xludf.XLOOKUP(A48,Units!$A$2:$A$100,Units!$B$2:$B$100,""))</f>
        <v>#NAME?</v>
      </c>
      <c r="E48" s="15"/>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5"/>
      <c r="B49" s="45" t="e">
        <f t="array" aca="1" ref="B49" ca="1">IF(_xludf.XLOOKUP(A49,Units!$A$2:$A$100,Units!$C$2:$C$100,"")=0,"",_xludf.XLOOKUP(A49,Units!$A$2:$A$100,Units!$C$2:$C$100,""))</f>
        <v>#NAME?</v>
      </c>
      <c r="C49" s="15"/>
      <c r="D49" s="46" t="e">
        <f t="array" aca="1" ref="D49" ca="1">IF(_xludf.XLOOKUP(A49,Units!$A$2:$A$100,Units!$B$2:$B$100,"")=0,"",_xludf.XLOOKUP(A49,Units!$A$2:$A$100,Units!$B$2:$B$100,""))</f>
        <v>#NAME?</v>
      </c>
      <c r="E49" s="15"/>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5"/>
      <c r="B50" s="45" t="e">
        <f t="array" aca="1" ref="B50" ca="1">IF(_xludf.XLOOKUP(A50,Units!$A$2:$A$100,Units!$C$2:$C$100,"")=0,"",_xludf.XLOOKUP(A50,Units!$A$2:$A$100,Units!$C$2:$C$100,""))</f>
        <v>#NAME?</v>
      </c>
      <c r="C50" s="15"/>
      <c r="D50" s="46" t="e">
        <f t="array" aca="1" ref="D50" ca="1">IF(_xludf.XLOOKUP(A50,Units!$A$2:$A$100,Units!$B$2:$B$100,"")=0,"",_xludf.XLOOKUP(A50,Units!$A$2:$A$100,Units!$B$2:$B$100,""))</f>
        <v>#NAME?</v>
      </c>
      <c r="E50" s="15"/>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5"/>
      <c r="B51" s="45" t="e">
        <f t="array" aca="1" ref="B51" ca="1">IF(_xludf.XLOOKUP(A51,Units!$A$2:$A$100,Units!$C$2:$C$100,"")=0,"",_xludf.XLOOKUP(A51,Units!$A$2:$A$100,Units!$C$2:$C$100,""))</f>
        <v>#NAME?</v>
      </c>
      <c r="C51" s="15"/>
      <c r="D51" s="46" t="e">
        <f t="array" aca="1" ref="D51" ca="1">IF(_xludf.XLOOKUP(A51,Units!$A$2:$A$100,Units!$B$2:$B$100,"")=0,"",_xludf.XLOOKUP(A51,Units!$A$2:$A$100,Units!$B$2:$B$100,""))</f>
        <v>#NAME?</v>
      </c>
      <c r="E51" s="15"/>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5"/>
      <c r="B52" s="45" t="e">
        <f t="array" aca="1" ref="B52" ca="1">IF(_xludf.XLOOKUP(A52,Units!$A$2:$A$100,Units!$C$2:$C$100,"")=0,"",_xludf.XLOOKUP(A52,Units!$A$2:$A$100,Units!$C$2:$C$100,""))</f>
        <v>#NAME?</v>
      </c>
      <c r="C52" s="15"/>
      <c r="D52" s="46" t="e">
        <f t="array" aca="1" ref="D52" ca="1">IF(_xludf.XLOOKUP(A52,Units!$A$2:$A$100,Units!$B$2:$B$100,"")=0,"",_xludf.XLOOKUP(A52,Units!$A$2:$A$100,Units!$B$2:$B$100,""))</f>
        <v>#NAME?</v>
      </c>
      <c r="E52" s="15"/>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5"/>
      <c r="B53" s="45" t="e">
        <f t="array" aca="1" ref="B53" ca="1">IF(_xludf.XLOOKUP(A53,Units!$A$2:$A$100,Units!$C$2:$C$100,"")=0,"",_xludf.XLOOKUP(A53,Units!$A$2:$A$100,Units!$C$2:$C$100,""))</f>
        <v>#NAME?</v>
      </c>
      <c r="C53" s="15"/>
      <c r="D53" s="46" t="e">
        <f t="array" aca="1" ref="D53" ca="1">IF(_xludf.XLOOKUP(A53,Units!$A$2:$A$100,Units!$B$2:$B$100,"")=0,"",_xludf.XLOOKUP(A53,Units!$A$2:$A$100,Units!$B$2:$B$100,""))</f>
        <v>#NAME?</v>
      </c>
      <c r="E53" s="15"/>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5"/>
      <c r="B54" s="45" t="e">
        <f t="array" aca="1" ref="B54" ca="1">IF(_xludf.XLOOKUP(A54,Units!$A$2:$A$100,Units!$C$2:$C$100,"")=0,"",_xludf.XLOOKUP(A54,Units!$A$2:$A$100,Units!$C$2:$C$100,""))</f>
        <v>#NAME?</v>
      </c>
      <c r="C54" s="15"/>
      <c r="D54" s="46" t="e">
        <f t="array" aca="1" ref="D54" ca="1">IF(_xludf.XLOOKUP(A54,Units!$A$2:$A$100,Units!$B$2:$B$100,"")=0,"",_xludf.XLOOKUP(A54,Units!$A$2:$A$100,Units!$B$2:$B$100,""))</f>
        <v>#NAME?</v>
      </c>
      <c r="E54" s="15"/>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5"/>
      <c r="B55" s="45" t="e">
        <f t="array" aca="1" ref="B55" ca="1">IF(_xludf.XLOOKUP(A55,Units!$A$2:$A$100,Units!$C$2:$C$100,"")=0,"",_xludf.XLOOKUP(A55,Units!$A$2:$A$100,Units!$C$2:$C$100,""))</f>
        <v>#NAME?</v>
      </c>
      <c r="C55" s="15"/>
      <c r="D55" s="46" t="e">
        <f t="array" aca="1" ref="D55" ca="1">IF(_xludf.XLOOKUP(A55,Units!$A$2:$A$100,Units!$B$2:$B$100,"")=0,"",_xludf.XLOOKUP(A55,Units!$A$2:$A$100,Units!$B$2:$B$100,""))</f>
        <v>#NAME?</v>
      </c>
      <c r="E55" s="15"/>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15"/>
      <c r="B56" s="45" t="e">
        <f t="array" aca="1" ref="B56" ca="1">IF(_xludf.XLOOKUP(A56,Units!$A$2:$A$100,Units!$C$2:$C$100,"")=0,"",_xludf.XLOOKUP(A56,Units!$A$2:$A$100,Units!$C$2:$C$100,""))</f>
        <v>#NAME?</v>
      </c>
      <c r="C56" s="15"/>
      <c r="D56" s="46" t="e">
        <f t="array" aca="1" ref="D56" ca="1">IF(_xludf.XLOOKUP(A56,Units!$A$2:$A$100,Units!$B$2:$B$100,"")=0,"",_xludf.XLOOKUP(A56,Units!$A$2:$A$100,Units!$B$2:$B$100,""))</f>
        <v>#NAME?</v>
      </c>
      <c r="E56" s="15"/>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15"/>
      <c r="B57" s="45" t="e">
        <f t="array" aca="1" ref="B57" ca="1">IF(_xludf.XLOOKUP(A57,Units!$A$2:$A$100,Units!$C$2:$C$100,"")=0,"",_xludf.XLOOKUP(A57,Units!$A$2:$A$100,Units!$C$2:$C$100,""))</f>
        <v>#NAME?</v>
      </c>
      <c r="C57" s="15"/>
      <c r="D57" s="46" t="e">
        <f t="array" aca="1" ref="D57" ca="1">IF(_xludf.XLOOKUP(A57,Units!$A$2:$A$100,Units!$B$2:$B$100,"")=0,"",_xludf.XLOOKUP(A57,Units!$A$2:$A$100,Units!$B$2:$B$100,""))</f>
        <v>#NAME?</v>
      </c>
      <c r="E57" s="15"/>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15"/>
      <c r="B58" s="45" t="e">
        <f t="array" aca="1" ref="B58" ca="1">IF(_xludf.XLOOKUP(A58,Units!$A$2:$A$100,Units!$C$2:$C$100,"")=0,"",_xludf.XLOOKUP(A58,Units!$A$2:$A$100,Units!$C$2:$C$100,""))</f>
        <v>#NAME?</v>
      </c>
      <c r="C58" s="15"/>
      <c r="D58" s="46" t="e">
        <f t="array" aca="1" ref="D58" ca="1">IF(_xludf.XLOOKUP(A58,Units!$A$2:$A$100,Units!$B$2:$B$100,"")=0,"",_xludf.XLOOKUP(A58,Units!$A$2:$A$100,Units!$B$2:$B$100,""))</f>
        <v>#NAME?</v>
      </c>
      <c r="E58" s="15"/>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15"/>
      <c r="B59" s="45" t="e">
        <f t="array" aca="1" ref="B59" ca="1">IF(_xludf.XLOOKUP(A59,Units!$A$2:$A$100,Units!$C$2:$C$100,"")=0,"",_xludf.XLOOKUP(A59,Units!$A$2:$A$100,Units!$C$2:$C$100,""))</f>
        <v>#NAME?</v>
      </c>
      <c r="C59" s="15"/>
      <c r="D59" s="46" t="e">
        <f t="array" aca="1" ref="D59" ca="1">IF(_xludf.XLOOKUP(A59,Units!$A$2:$A$100,Units!$B$2:$B$100,"")=0,"",_xludf.XLOOKUP(A59,Units!$A$2:$A$100,Units!$B$2:$B$100,""))</f>
        <v>#NAME?</v>
      </c>
      <c r="E59" s="15"/>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15"/>
      <c r="B60" s="45" t="e">
        <f t="array" aca="1" ref="B60" ca="1">IF(_xludf.XLOOKUP(A60,Units!$A$2:$A$100,Units!$C$2:$C$100,"")=0,"",_xludf.XLOOKUP(A60,Units!$A$2:$A$100,Units!$C$2:$C$100,""))</f>
        <v>#NAME?</v>
      </c>
      <c r="C60" s="15"/>
      <c r="D60" s="46" t="e">
        <f t="array" aca="1" ref="D60" ca="1">IF(_xludf.XLOOKUP(A60,Units!$A$2:$A$100,Units!$B$2:$B$100,"")=0,"",_xludf.XLOOKUP(A60,Units!$A$2:$A$100,Units!$B$2:$B$100,""))</f>
        <v>#NAME?</v>
      </c>
      <c r="E60" s="15"/>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15"/>
      <c r="B61" s="45" t="e">
        <f t="array" aca="1" ref="B61" ca="1">IF(_xludf.XLOOKUP(A61,Units!$A$2:$A$100,Units!$C$2:$C$100,"")=0,"",_xludf.XLOOKUP(A61,Units!$A$2:$A$100,Units!$C$2:$C$100,""))</f>
        <v>#NAME?</v>
      </c>
      <c r="C61" s="15"/>
      <c r="D61" s="46" t="e">
        <f t="array" aca="1" ref="D61" ca="1">IF(_xludf.XLOOKUP(A61,Units!$A$2:$A$100,Units!$B$2:$B$100,"")=0,"",_xludf.XLOOKUP(A61,Units!$A$2:$A$100,Units!$B$2:$B$100,""))</f>
        <v>#NAME?</v>
      </c>
      <c r="E61" s="15"/>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15"/>
      <c r="B62" s="45" t="e">
        <f t="array" aca="1" ref="B62" ca="1">IF(_xludf.XLOOKUP(A62,Units!$A$2:$A$100,Units!$C$2:$C$100,"")=0,"",_xludf.XLOOKUP(A62,Units!$A$2:$A$100,Units!$C$2:$C$100,""))</f>
        <v>#NAME?</v>
      </c>
      <c r="C62" s="15"/>
      <c r="D62" s="46" t="e">
        <f t="array" aca="1" ref="D62" ca="1">IF(_xludf.XLOOKUP(A62,Units!$A$2:$A$100,Units!$B$2:$B$100,"")=0,"",_xludf.XLOOKUP(A62,Units!$A$2:$A$100,Units!$B$2:$B$100,""))</f>
        <v>#NAME?</v>
      </c>
      <c r="E62" s="15"/>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5"/>
      <c r="B63" s="45" t="e">
        <f t="array" aca="1" ref="B63" ca="1">IF(_xludf.XLOOKUP(A63,Units!$A$2:$A$100,Units!$C$2:$C$100,"")=0,"",_xludf.XLOOKUP(A63,Units!$A$2:$A$100,Units!$C$2:$C$100,""))</f>
        <v>#NAME?</v>
      </c>
      <c r="C63" s="15"/>
      <c r="D63" s="46" t="e">
        <f t="array" aca="1" ref="D63" ca="1">IF(_xludf.XLOOKUP(A63,Units!$A$2:$A$100,Units!$B$2:$B$100,"")=0,"",_xludf.XLOOKUP(A63,Units!$A$2:$A$100,Units!$B$2:$B$100,""))</f>
        <v>#NAME?</v>
      </c>
      <c r="E63" s="15"/>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15"/>
      <c r="B64" s="45" t="e">
        <f t="array" aca="1" ref="B64" ca="1">IF(_xludf.XLOOKUP(A64,Units!$A$2:$A$100,Units!$C$2:$C$100,"")=0,"",_xludf.XLOOKUP(A64,Units!$A$2:$A$100,Units!$C$2:$C$100,""))</f>
        <v>#NAME?</v>
      </c>
      <c r="C64" s="15"/>
      <c r="D64" s="46" t="e">
        <f t="array" aca="1" ref="D64" ca="1">IF(_xludf.XLOOKUP(A64,Units!$A$2:$A$100,Units!$B$2:$B$100,"")=0,"",_xludf.XLOOKUP(A64,Units!$A$2:$A$100,Units!$B$2:$B$100,""))</f>
        <v>#NAME?</v>
      </c>
      <c r="E64" s="15"/>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15"/>
      <c r="B65" s="45" t="e">
        <f t="array" aca="1" ref="B65" ca="1">IF(_xludf.XLOOKUP(A65,Units!$A$2:$A$100,Units!$C$2:$C$100,"")=0,"",_xludf.XLOOKUP(A65,Units!$A$2:$A$100,Units!$C$2:$C$100,""))</f>
        <v>#NAME?</v>
      </c>
      <c r="C65" s="15"/>
      <c r="D65" s="46" t="e">
        <f t="array" aca="1" ref="D65" ca="1">IF(_xludf.XLOOKUP(A65,Units!$A$2:$A$100,Units!$B$2:$B$100,"")=0,"",_xludf.XLOOKUP(A65,Units!$A$2:$A$100,Units!$B$2:$B$100,""))</f>
        <v>#NAME?</v>
      </c>
      <c r="E65" s="15"/>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15"/>
      <c r="B66" s="45" t="e">
        <f t="array" aca="1" ref="B66" ca="1">IF(_xludf.XLOOKUP(A66,Units!$A$2:$A$100,Units!$C$2:$C$100,"")=0,"",_xludf.XLOOKUP(A66,Units!$A$2:$A$100,Units!$C$2:$C$100,""))</f>
        <v>#NAME?</v>
      </c>
      <c r="C66" s="15"/>
      <c r="D66" s="46" t="e">
        <f t="array" aca="1" ref="D66" ca="1">IF(_xludf.XLOOKUP(A66,Units!$A$2:$A$100,Units!$B$2:$B$100,"")=0,"",_xludf.XLOOKUP(A66,Units!$A$2:$A$100,Units!$B$2:$B$100,""))</f>
        <v>#NAME?</v>
      </c>
      <c r="E66" s="15"/>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15"/>
      <c r="B67" s="45" t="e">
        <f t="array" aca="1" ref="B67" ca="1">IF(_xludf.XLOOKUP(A67,Units!$A$2:$A$100,Units!$C$2:$C$100,"")=0,"",_xludf.XLOOKUP(A67,Units!$A$2:$A$100,Units!$C$2:$C$100,""))</f>
        <v>#NAME?</v>
      </c>
      <c r="C67" s="15"/>
      <c r="D67" s="46" t="e">
        <f t="array" aca="1" ref="D67" ca="1">IF(_xludf.XLOOKUP(A67,Units!$A$2:$A$100,Units!$B$2:$B$100,"")=0,"",_xludf.XLOOKUP(A67,Units!$A$2:$A$100,Units!$B$2:$B$100,""))</f>
        <v>#NAME?</v>
      </c>
      <c r="E67" s="15"/>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15"/>
      <c r="B68" s="45" t="e">
        <f t="array" aca="1" ref="B68" ca="1">IF(_xludf.XLOOKUP(A68,Units!$A$2:$A$100,Units!$C$2:$C$100,"")=0,"",_xludf.XLOOKUP(A68,Units!$A$2:$A$100,Units!$C$2:$C$100,""))</f>
        <v>#NAME?</v>
      </c>
      <c r="C68" s="15"/>
      <c r="D68" s="46" t="e">
        <f t="array" aca="1" ref="D68" ca="1">IF(_xludf.XLOOKUP(A68,Units!$A$2:$A$100,Units!$B$2:$B$100,"")=0,"",_xludf.XLOOKUP(A68,Units!$A$2:$A$100,Units!$B$2:$B$100,""))</f>
        <v>#NAME?</v>
      </c>
      <c r="E68" s="15"/>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15"/>
      <c r="B69" s="45" t="e">
        <f t="array" aca="1" ref="B69" ca="1">IF(_xludf.XLOOKUP(A69,Units!$A$2:$A$100,Units!$C$2:$C$100,"")=0,"",_xludf.XLOOKUP(A69,Units!$A$2:$A$100,Units!$C$2:$C$100,""))</f>
        <v>#NAME?</v>
      </c>
      <c r="C69" s="15"/>
      <c r="D69" s="46" t="e">
        <f t="array" aca="1" ref="D69" ca="1">IF(_xludf.XLOOKUP(A69,Units!$A$2:$A$100,Units!$B$2:$B$100,"")=0,"",_xludf.XLOOKUP(A69,Units!$A$2:$A$100,Units!$B$2:$B$100,""))</f>
        <v>#NAME?</v>
      </c>
      <c r="E69" s="15"/>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15"/>
      <c r="B70" s="45" t="e">
        <f t="array" aca="1" ref="B70" ca="1">IF(_xludf.XLOOKUP(A70,Units!$A$2:$A$100,Units!$C$2:$C$100,"")=0,"",_xludf.XLOOKUP(A70,Units!$A$2:$A$100,Units!$C$2:$C$100,""))</f>
        <v>#NAME?</v>
      </c>
      <c r="C70" s="15"/>
      <c r="D70" s="46" t="e">
        <f t="array" aca="1" ref="D70" ca="1">IF(_xludf.XLOOKUP(A70,Units!$A$2:$A$100,Units!$B$2:$B$100,"")=0,"",_xludf.XLOOKUP(A70,Units!$A$2:$A$100,Units!$B$2:$B$100,""))</f>
        <v>#NAME?</v>
      </c>
      <c r="E70" s="15"/>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15"/>
      <c r="B71" s="45" t="e">
        <f t="array" aca="1" ref="B71" ca="1">IF(_xludf.XLOOKUP(A71,Units!$A$2:$A$100,Units!$C$2:$C$100,"")=0,"",_xludf.XLOOKUP(A71,Units!$A$2:$A$100,Units!$C$2:$C$100,""))</f>
        <v>#NAME?</v>
      </c>
      <c r="C71" s="15"/>
      <c r="D71" s="46" t="e">
        <f t="array" aca="1" ref="D71" ca="1">IF(_xludf.XLOOKUP(A71,Units!$A$2:$A$100,Units!$B$2:$B$100,"")=0,"",_xludf.XLOOKUP(A71,Units!$A$2:$A$100,Units!$B$2:$B$100,""))</f>
        <v>#NAME?</v>
      </c>
      <c r="E71" s="15"/>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15"/>
      <c r="B72" s="45" t="e">
        <f t="array" aca="1" ref="B72" ca="1">IF(_xludf.XLOOKUP(A72,Units!$A$2:$A$100,Units!$C$2:$C$100,"")=0,"",_xludf.XLOOKUP(A72,Units!$A$2:$A$100,Units!$C$2:$C$100,""))</f>
        <v>#NAME?</v>
      </c>
      <c r="C72" s="15"/>
      <c r="D72" s="46" t="e">
        <f t="array" aca="1" ref="D72" ca="1">IF(_xludf.XLOOKUP(A72,Units!$A$2:$A$100,Units!$B$2:$B$100,"")=0,"",_xludf.XLOOKUP(A72,Units!$A$2:$A$100,Units!$B$2:$B$100,""))</f>
        <v>#NAME?</v>
      </c>
      <c r="E72" s="15"/>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15"/>
      <c r="B73" s="45" t="e">
        <f t="array" aca="1" ref="B73" ca="1">IF(_xludf.XLOOKUP(A73,Units!$A$2:$A$100,Units!$C$2:$C$100,"")=0,"",_xludf.XLOOKUP(A73,Units!$A$2:$A$100,Units!$C$2:$C$100,""))</f>
        <v>#NAME?</v>
      </c>
      <c r="C73" s="15"/>
      <c r="D73" s="46" t="e">
        <f t="array" aca="1" ref="D73" ca="1">IF(_xludf.XLOOKUP(A73,Units!$A$2:$A$100,Units!$B$2:$B$100,"")=0,"",_xludf.XLOOKUP(A73,Units!$A$2:$A$100,Units!$B$2:$B$100,""))</f>
        <v>#NAME?</v>
      </c>
      <c r="E73" s="15"/>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15"/>
      <c r="B74" s="45" t="e">
        <f t="array" aca="1" ref="B74" ca="1">IF(_xludf.XLOOKUP(A74,Units!$A$2:$A$100,Units!$C$2:$C$100,"")=0,"",_xludf.XLOOKUP(A74,Units!$A$2:$A$100,Units!$C$2:$C$100,""))</f>
        <v>#NAME?</v>
      </c>
      <c r="C74" s="15"/>
      <c r="D74" s="46" t="e">
        <f t="array" aca="1" ref="D74" ca="1">IF(_xludf.XLOOKUP(A74,Units!$A$2:$A$100,Units!$B$2:$B$100,"")=0,"",_xludf.XLOOKUP(A74,Units!$A$2:$A$100,Units!$B$2:$B$100,""))</f>
        <v>#NAME?</v>
      </c>
      <c r="E74" s="15"/>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15"/>
      <c r="B75" s="45" t="e">
        <f t="array" aca="1" ref="B75" ca="1">IF(_xludf.XLOOKUP(A75,Units!$A$2:$A$100,Units!$C$2:$C$100,"")=0,"",_xludf.XLOOKUP(A75,Units!$A$2:$A$100,Units!$C$2:$C$100,""))</f>
        <v>#NAME?</v>
      </c>
      <c r="C75" s="15"/>
      <c r="D75" s="46" t="e">
        <f t="array" aca="1" ref="D75" ca="1">IF(_xludf.XLOOKUP(A75,Units!$A$2:$A$100,Units!$B$2:$B$100,"")=0,"",_xludf.XLOOKUP(A75,Units!$A$2:$A$100,Units!$B$2:$B$100,""))</f>
        <v>#NAME?</v>
      </c>
      <c r="E75" s="15"/>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15"/>
      <c r="B76" s="45" t="e">
        <f t="array" aca="1" ref="B76" ca="1">IF(_xludf.XLOOKUP(A76,Units!$A$2:$A$100,Units!$C$2:$C$100,"")=0,"",_xludf.XLOOKUP(A76,Units!$A$2:$A$100,Units!$C$2:$C$100,""))</f>
        <v>#NAME?</v>
      </c>
      <c r="C76" s="15"/>
      <c r="D76" s="46" t="e">
        <f t="array" aca="1" ref="D76" ca="1">IF(_xludf.XLOOKUP(A76,Units!$A$2:$A$100,Units!$B$2:$B$100,"")=0,"",_xludf.XLOOKUP(A76,Units!$A$2:$A$100,Units!$B$2:$B$100,""))</f>
        <v>#NAME?</v>
      </c>
      <c r="E76" s="15"/>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15"/>
      <c r="B77" s="45" t="e">
        <f t="array" aca="1" ref="B77" ca="1">IF(_xludf.XLOOKUP(A77,Units!$A$2:$A$100,Units!$C$2:$C$100,"")=0,"",_xludf.XLOOKUP(A77,Units!$A$2:$A$100,Units!$C$2:$C$100,""))</f>
        <v>#NAME?</v>
      </c>
      <c r="C77" s="15"/>
      <c r="D77" s="46" t="e">
        <f t="array" aca="1" ref="D77" ca="1">IF(_xludf.XLOOKUP(A77,Units!$A$2:$A$100,Units!$B$2:$B$100,"")=0,"",_xludf.XLOOKUP(A77,Units!$A$2:$A$100,Units!$B$2:$B$100,""))</f>
        <v>#NAME?</v>
      </c>
      <c r="E77" s="15"/>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15"/>
      <c r="B78" s="45" t="e">
        <f t="array" aca="1" ref="B78" ca="1">IF(_xludf.XLOOKUP(A78,Units!$A$2:$A$100,Units!$C$2:$C$100,"")=0,"",_xludf.XLOOKUP(A78,Units!$A$2:$A$100,Units!$C$2:$C$100,""))</f>
        <v>#NAME?</v>
      </c>
      <c r="C78" s="15"/>
      <c r="D78" s="46" t="e">
        <f t="array" aca="1" ref="D78" ca="1">IF(_xludf.XLOOKUP(A78,Units!$A$2:$A$100,Units!$B$2:$B$100,"")=0,"",_xludf.XLOOKUP(A78,Units!$A$2:$A$100,Units!$B$2:$B$100,""))</f>
        <v>#NAME?</v>
      </c>
      <c r="E78" s="15"/>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15"/>
      <c r="B79" s="45" t="e">
        <f t="array" aca="1" ref="B79" ca="1">IF(_xludf.XLOOKUP(A79,Units!$A$2:$A$100,Units!$C$2:$C$100,"")=0,"",_xludf.XLOOKUP(A79,Units!$A$2:$A$100,Units!$C$2:$C$100,""))</f>
        <v>#NAME?</v>
      </c>
      <c r="C79" s="15"/>
      <c r="D79" s="46" t="e">
        <f t="array" aca="1" ref="D79" ca="1">IF(_xludf.XLOOKUP(A79,Units!$A$2:$A$100,Units!$B$2:$B$100,"")=0,"",_xludf.XLOOKUP(A79,Units!$A$2:$A$100,Units!$B$2:$B$100,""))</f>
        <v>#NAME?</v>
      </c>
      <c r="E79" s="15"/>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15"/>
      <c r="B80" s="45" t="e">
        <f t="array" aca="1" ref="B80" ca="1">IF(_xludf.XLOOKUP(A80,Units!$A$2:$A$100,Units!$C$2:$C$100,"")=0,"",_xludf.XLOOKUP(A80,Units!$A$2:$A$100,Units!$C$2:$C$100,""))</f>
        <v>#NAME?</v>
      </c>
      <c r="C80" s="15"/>
      <c r="D80" s="46" t="e">
        <f t="array" aca="1" ref="D80" ca="1">IF(_xludf.XLOOKUP(A80,Units!$A$2:$A$100,Units!$B$2:$B$100,"")=0,"",_xludf.XLOOKUP(A80,Units!$A$2:$A$100,Units!$B$2:$B$100,""))</f>
        <v>#NAME?</v>
      </c>
      <c r="E80" s="15"/>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15"/>
      <c r="B81" s="45" t="e">
        <f t="array" aca="1" ref="B81" ca="1">IF(_xludf.XLOOKUP(A81,Units!$A$2:$A$100,Units!$C$2:$C$100,"")=0,"",_xludf.XLOOKUP(A81,Units!$A$2:$A$100,Units!$C$2:$C$100,""))</f>
        <v>#NAME?</v>
      </c>
      <c r="C81" s="15"/>
      <c r="D81" s="46" t="e">
        <f t="array" aca="1" ref="D81" ca="1">IF(_xludf.XLOOKUP(A81,Units!$A$2:$A$100,Units!$B$2:$B$100,"")=0,"",_xludf.XLOOKUP(A81,Units!$A$2:$A$100,Units!$B$2:$B$100,""))</f>
        <v>#NAME?</v>
      </c>
      <c r="E81" s="15"/>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15"/>
      <c r="B82" s="45" t="e">
        <f t="array" aca="1" ref="B82" ca="1">IF(_xludf.XLOOKUP(A82,Units!$A$2:$A$100,Units!$C$2:$C$100,"")=0,"",_xludf.XLOOKUP(A82,Units!$A$2:$A$100,Units!$C$2:$C$100,""))</f>
        <v>#NAME?</v>
      </c>
      <c r="C82" s="15"/>
      <c r="D82" s="46" t="e">
        <f t="array" aca="1" ref="D82" ca="1">IF(_xludf.XLOOKUP(A82,Units!$A$2:$A$100,Units!$B$2:$B$100,"")=0,"",_xludf.XLOOKUP(A82,Units!$A$2:$A$100,Units!$B$2:$B$100,""))</f>
        <v>#NAME?</v>
      </c>
      <c r="E82" s="15"/>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15"/>
      <c r="B83" s="45" t="e">
        <f t="array" aca="1" ref="B83" ca="1">IF(_xludf.XLOOKUP(A83,Units!$A$2:$A$100,Units!$C$2:$C$100,"")=0,"",_xludf.XLOOKUP(A83,Units!$A$2:$A$100,Units!$C$2:$C$100,""))</f>
        <v>#NAME?</v>
      </c>
      <c r="C83" s="15"/>
      <c r="D83" s="46" t="e">
        <f t="array" aca="1" ref="D83" ca="1">IF(_xludf.XLOOKUP(A83,Units!$A$2:$A$100,Units!$B$2:$B$100,"")=0,"",_xludf.XLOOKUP(A83,Units!$A$2:$A$100,Units!$B$2:$B$100,""))</f>
        <v>#NAME?</v>
      </c>
      <c r="E83" s="15"/>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15"/>
      <c r="B84" s="45" t="e">
        <f t="array" aca="1" ref="B84" ca="1">IF(_xludf.XLOOKUP(A84,Units!$A$2:$A$100,Units!$C$2:$C$100,"")=0,"",_xludf.XLOOKUP(A84,Units!$A$2:$A$100,Units!$C$2:$C$100,""))</f>
        <v>#NAME?</v>
      </c>
      <c r="C84" s="15"/>
      <c r="D84" s="46" t="e">
        <f t="array" aca="1" ref="D84" ca="1">IF(_xludf.XLOOKUP(A84,Units!$A$2:$A$100,Units!$B$2:$B$100,"")=0,"",_xludf.XLOOKUP(A84,Units!$A$2:$A$100,Units!$B$2:$B$100,""))</f>
        <v>#NAME?</v>
      </c>
      <c r="E84" s="15"/>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15"/>
      <c r="B85" s="45" t="e">
        <f t="array" aca="1" ref="B85" ca="1">IF(_xludf.XLOOKUP(A85,Units!$A$2:$A$100,Units!$C$2:$C$100,"")=0,"",_xludf.XLOOKUP(A85,Units!$A$2:$A$100,Units!$C$2:$C$100,""))</f>
        <v>#NAME?</v>
      </c>
      <c r="C85" s="15"/>
      <c r="D85" s="46" t="e">
        <f t="array" aca="1" ref="D85" ca="1">IF(_xludf.XLOOKUP(A85,Units!$A$2:$A$100,Units!$B$2:$B$100,"")=0,"",_xludf.XLOOKUP(A85,Units!$A$2:$A$100,Units!$B$2:$B$100,""))</f>
        <v>#NAME?</v>
      </c>
      <c r="E85" s="15"/>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15"/>
      <c r="B86" s="45" t="e">
        <f t="array" aca="1" ref="B86" ca="1">IF(_xludf.XLOOKUP(A86,Units!$A$2:$A$100,Units!$C$2:$C$100,"")=0,"",_xludf.XLOOKUP(A86,Units!$A$2:$A$100,Units!$C$2:$C$100,""))</f>
        <v>#NAME?</v>
      </c>
      <c r="C86" s="15"/>
      <c r="D86" s="46" t="e">
        <f t="array" aca="1" ref="D86" ca="1">IF(_xludf.XLOOKUP(A86,Units!$A$2:$A$100,Units!$B$2:$B$100,"")=0,"",_xludf.XLOOKUP(A86,Units!$A$2:$A$100,Units!$B$2:$B$100,""))</f>
        <v>#NAME?</v>
      </c>
      <c r="E86" s="15"/>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15"/>
      <c r="B87" s="45" t="e">
        <f t="array" aca="1" ref="B87" ca="1">IF(_xludf.XLOOKUP(A87,Units!$A$2:$A$100,Units!$C$2:$C$100,"")=0,"",_xludf.XLOOKUP(A87,Units!$A$2:$A$100,Units!$C$2:$C$100,""))</f>
        <v>#NAME?</v>
      </c>
      <c r="C87" s="15"/>
      <c r="D87" s="46" t="e">
        <f t="array" aca="1" ref="D87" ca="1">IF(_xludf.XLOOKUP(A87,Units!$A$2:$A$100,Units!$B$2:$B$100,"")=0,"",_xludf.XLOOKUP(A87,Units!$A$2:$A$100,Units!$B$2:$B$100,""))</f>
        <v>#NAME?</v>
      </c>
      <c r="E87" s="15"/>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15"/>
      <c r="B88" s="45" t="e">
        <f t="array" aca="1" ref="B88" ca="1">IF(_xludf.XLOOKUP(A88,Units!$A$2:$A$100,Units!$C$2:$C$100,"")=0,"",_xludf.XLOOKUP(A88,Units!$A$2:$A$100,Units!$C$2:$C$100,""))</f>
        <v>#NAME?</v>
      </c>
      <c r="C88" s="15"/>
      <c r="D88" s="46" t="e">
        <f t="array" aca="1" ref="D88" ca="1">IF(_xludf.XLOOKUP(A88,Units!$A$2:$A$100,Units!$B$2:$B$100,"")=0,"",_xludf.XLOOKUP(A88,Units!$A$2:$A$100,Units!$B$2:$B$100,""))</f>
        <v>#NAME?</v>
      </c>
      <c r="E88" s="15"/>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15"/>
      <c r="B89" s="45" t="e">
        <f t="array" aca="1" ref="B89" ca="1">IF(_xludf.XLOOKUP(A89,Units!$A$2:$A$100,Units!$C$2:$C$100,"")=0,"",_xludf.XLOOKUP(A89,Units!$A$2:$A$100,Units!$C$2:$C$100,""))</f>
        <v>#NAME?</v>
      </c>
      <c r="C89" s="15"/>
      <c r="D89" s="46" t="e">
        <f t="array" aca="1" ref="D89" ca="1">IF(_xludf.XLOOKUP(A89,Units!$A$2:$A$100,Units!$B$2:$B$100,"")=0,"",_xludf.XLOOKUP(A89,Units!$A$2:$A$100,Units!$B$2:$B$100,""))</f>
        <v>#NAME?</v>
      </c>
      <c r="E89" s="15"/>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15"/>
      <c r="B90" s="45" t="e">
        <f t="array" aca="1" ref="B90" ca="1">IF(_xludf.XLOOKUP(A90,Units!$A$2:$A$100,Units!$C$2:$C$100,"")=0,"",_xludf.XLOOKUP(A90,Units!$A$2:$A$100,Units!$C$2:$C$100,""))</f>
        <v>#NAME?</v>
      </c>
      <c r="C90" s="15"/>
      <c r="D90" s="46" t="e">
        <f t="array" aca="1" ref="D90" ca="1">IF(_xludf.XLOOKUP(A90,Units!$A$2:$A$100,Units!$B$2:$B$100,"")=0,"",_xludf.XLOOKUP(A90,Units!$A$2:$A$100,Units!$B$2:$B$100,""))</f>
        <v>#NAME?</v>
      </c>
      <c r="E90" s="15"/>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15"/>
      <c r="B91" s="45" t="e">
        <f t="array" aca="1" ref="B91" ca="1">IF(_xludf.XLOOKUP(A91,Units!$A$2:$A$100,Units!$C$2:$C$100,"")=0,"",_xludf.XLOOKUP(A91,Units!$A$2:$A$100,Units!$C$2:$C$100,""))</f>
        <v>#NAME?</v>
      </c>
      <c r="C91" s="15"/>
      <c r="D91" s="46" t="e">
        <f t="array" aca="1" ref="D91" ca="1">IF(_xludf.XLOOKUP(A91,Units!$A$2:$A$100,Units!$B$2:$B$100,"")=0,"",_xludf.XLOOKUP(A91,Units!$A$2:$A$100,Units!$B$2:$B$100,""))</f>
        <v>#NAME?</v>
      </c>
      <c r="E91" s="15"/>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15"/>
      <c r="B92" s="45" t="e">
        <f t="array" aca="1" ref="B92" ca="1">IF(_xludf.XLOOKUP(A92,Units!$A$2:$A$100,Units!$C$2:$C$100,"")=0,"",_xludf.XLOOKUP(A92,Units!$A$2:$A$100,Units!$C$2:$C$100,""))</f>
        <v>#NAME?</v>
      </c>
      <c r="C92" s="15"/>
      <c r="D92" s="46" t="e">
        <f t="array" aca="1" ref="D92" ca="1">IF(_xludf.XLOOKUP(A92,Units!$A$2:$A$100,Units!$B$2:$B$100,"")=0,"",_xludf.XLOOKUP(A92,Units!$A$2:$A$100,Units!$B$2:$B$100,""))</f>
        <v>#NAME?</v>
      </c>
      <c r="E92" s="15"/>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15"/>
      <c r="B93" s="45" t="e">
        <f t="array" aca="1" ref="B93" ca="1">IF(_xludf.XLOOKUP(A93,Units!$A$2:$A$100,Units!$C$2:$C$100,"")=0,"",_xludf.XLOOKUP(A93,Units!$A$2:$A$100,Units!$C$2:$C$100,""))</f>
        <v>#NAME?</v>
      </c>
      <c r="C93" s="15"/>
      <c r="D93" s="46" t="e">
        <f t="array" aca="1" ref="D93" ca="1">IF(_xludf.XLOOKUP(A93,Units!$A$2:$A$100,Units!$B$2:$B$100,"")=0,"",_xludf.XLOOKUP(A93,Units!$A$2:$A$100,Units!$B$2:$B$100,""))</f>
        <v>#NAME?</v>
      </c>
      <c r="E93" s="15"/>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15"/>
      <c r="B94" s="45" t="e">
        <f t="array" aca="1" ref="B94" ca="1">IF(_xludf.XLOOKUP(A94,Units!$A$2:$A$100,Units!$C$2:$C$100,"")=0,"",_xludf.XLOOKUP(A94,Units!$A$2:$A$100,Units!$C$2:$C$100,""))</f>
        <v>#NAME?</v>
      </c>
      <c r="C94" s="15"/>
      <c r="D94" s="46" t="e">
        <f t="array" aca="1" ref="D94" ca="1">IF(_xludf.XLOOKUP(A94,Units!$A$2:$A$100,Units!$B$2:$B$100,"")=0,"",_xludf.XLOOKUP(A94,Units!$A$2:$A$100,Units!$B$2:$B$100,""))</f>
        <v>#NAME?</v>
      </c>
      <c r="E94" s="15"/>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15"/>
      <c r="B95" s="45" t="e">
        <f t="array" aca="1" ref="B95" ca="1">IF(_xludf.XLOOKUP(A95,Units!$A$2:$A$100,Units!$C$2:$C$100,"")=0,"",_xludf.XLOOKUP(A95,Units!$A$2:$A$100,Units!$C$2:$C$100,""))</f>
        <v>#NAME?</v>
      </c>
      <c r="C95" s="15"/>
      <c r="D95" s="46" t="e">
        <f t="array" aca="1" ref="D95" ca="1">IF(_xludf.XLOOKUP(A95,Units!$A$2:$A$100,Units!$B$2:$B$100,"")=0,"",_xludf.XLOOKUP(A95,Units!$A$2:$A$100,Units!$B$2:$B$100,""))</f>
        <v>#NAME?</v>
      </c>
      <c r="E95" s="15"/>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15"/>
      <c r="B96" s="45" t="e">
        <f t="array" aca="1" ref="B96" ca="1">IF(_xludf.XLOOKUP(A96,Units!$A$2:$A$100,Units!$C$2:$C$100,"")=0,"",_xludf.XLOOKUP(A96,Units!$A$2:$A$100,Units!$C$2:$C$100,""))</f>
        <v>#NAME?</v>
      </c>
      <c r="C96" s="15"/>
      <c r="D96" s="46" t="e">
        <f t="array" aca="1" ref="D96" ca="1">IF(_xludf.XLOOKUP(A96,Units!$A$2:$A$100,Units!$B$2:$B$100,"")=0,"",_xludf.XLOOKUP(A96,Units!$A$2:$A$100,Units!$B$2:$B$100,""))</f>
        <v>#NAME?</v>
      </c>
      <c r="E96" s="15"/>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15"/>
      <c r="B97" s="45" t="e">
        <f t="array" aca="1" ref="B97" ca="1">IF(_xludf.XLOOKUP(A97,Units!$A$2:$A$100,Units!$C$2:$C$100,"")=0,"",_xludf.XLOOKUP(A97,Units!$A$2:$A$100,Units!$C$2:$C$100,""))</f>
        <v>#NAME?</v>
      </c>
      <c r="C97" s="15"/>
      <c r="D97" s="46" t="e">
        <f t="array" aca="1" ref="D97" ca="1">IF(_xludf.XLOOKUP(A97,Units!$A$2:$A$100,Units!$B$2:$B$100,"")=0,"",_xludf.XLOOKUP(A97,Units!$A$2:$A$100,Units!$B$2:$B$100,""))</f>
        <v>#NAME?</v>
      </c>
      <c r="E97" s="15"/>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15"/>
      <c r="B98" s="45" t="e">
        <f t="array" aca="1" ref="B98" ca="1">IF(_xludf.XLOOKUP(A98,Units!$A$2:$A$100,Units!$C$2:$C$100,"")=0,"",_xludf.XLOOKUP(A98,Units!$A$2:$A$100,Units!$C$2:$C$100,""))</f>
        <v>#NAME?</v>
      </c>
      <c r="C98" s="15"/>
      <c r="D98" s="46" t="e">
        <f t="array" aca="1" ref="D98" ca="1">IF(_xludf.XLOOKUP(A98,Units!$A$2:$A$100,Units!$B$2:$B$100,"")=0,"",_xludf.XLOOKUP(A98,Units!$A$2:$A$100,Units!$B$2:$B$100,""))</f>
        <v>#NAME?</v>
      </c>
      <c r="E98" s="15"/>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15"/>
      <c r="B99" s="45" t="e">
        <f t="array" aca="1" ref="B99" ca="1">IF(_xludf.XLOOKUP(A99,Units!$A$2:$A$100,Units!$C$2:$C$100,"")=0,"",_xludf.XLOOKUP(A99,Units!$A$2:$A$100,Units!$C$2:$C$100,""))</f>
        <v>#NAME?</v>
      </c>
      <c r="C99" s="15"/>
      <c r="D99" s="46" t="e">
        <f t="array" aca="1" ref="D99" ca="1">IF(_xludf.XLOOKUP(A99,Units!$A$2:$A$100,Units!$B$2:$B$100,"")=0,"",_xludf.XLOOKUP(A99,Units!$A$2:$A$100,Units!$B$2:$B$100,""))</f>
        <v>#NAME?</v>
      </c>
      <c r="E99" s="15"/>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15"/>
      <c r="B100" s="45" t="e">
        <f t="array" aca="1" ref="B100" ca="1">IF(_xludf.XLOOKUP(A100,Units!$A$2:$A$100,Units!$C$2:$C$100,"")=0,"",_xludf.XLOOKUP(A100,Units!$A$2:$A$100,Units!$C$2:$C$100,""))</f>
        <v>#NAME?</v>
      </c>
      <c r="C100" s="15"/>
      <c r="D100" s="46" t="e">
        <f t="array" aca="1" ref="D100" ca="1">IF(_xludf.XLOOKUP(A100,Units!$A$2:$A$100,Units!$B$2:$B$100,"")=0,"",_xludf.XLOOKUP(A100,Units!$A$2:$A$100,Units!$B$2:$B$100,""))</f>
        <v>#NAME?</v>
      </c>
      <c r="E100" s="15"/>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15"/>
      <c r="B101" s="45" t="e">
        <f t="array" aca="1" ref="B101" ca="1">IF(_xludf.XLOOKUP(A101,Units!$A$2:$A$100,Units!$C$2:$C$100,"")=0,"",_xludf.XLOOKUP(A101,Units!$A$2:$A$100,Units!$C$2:$C$100,""))</f>
        <v>#NAME?</v>
      </c>
      <c r="C101" s="15"/>
      <c r="D101" s="46" t="e">
        <f t="array" aca="1" ref="D101" ca="1">IF(_xludf.XLOOKUP(A101,Units!$A$2:$A$100,Units!$B$2:$B$100,"")=0,"",_xludf.XLOOKUP(A101,Units!$A$2:$A$100,Units!$B$2:$B$100,""))</f>
        <v>#NAME?</v>
      </c>
      <c r="E101" s="15"/>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15"/>
      <c r="B102" s="45" t="e">
        <f t="array" aca="1" ref="B102" ca="1">IF(_xludf.XLOOKUP(A102,Units!$A$2:$A$100,Units!$C$2:$C$100,"")=0,"",_xludf.XLOOKUP(A102,Units!$A$2:$A$100,Units!$C$2:$C$100,""))</f>
        <v>#NAME?</v>
      </c>
      <c r="C102" s="15"/>
      <c r="D102" s="46" t="e">
        <f t="array" aca="1" ref="D102" ca="1">IF(_xludf.XLOOKUP(A102,Units!$A$2:$A$100,Units!$B$2:$B$100,"")=0,"",_xludf.XLOOKUP(A102,Units!$A$2:$A$100,Units!$B$2:$B$100,""))</f>
        <v>#NAME?</v>
      </c>
      <c r="E102" s="15"/>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15"/>
      <c r="B103" s="45" t="e">
        <f t="array" aca="1" ref="B103" ca="1">IF(_xludf.XLOOKUP(A103,Units!$A$2:$A$100,Units!$C$2:$C$100,"")=0,"",_xludf.XLOOKUP(A103,Units!$A$2:$A$100,Units!$C$2:$C$100,""))</f>
        <v>#NAME?</v>
      </c>
      <c r="C103" s="15"/>
      <c r="D103" s="46" t="e">
        <f t="array" aca="1" ref="D103" ca="1">IF(_xludf.XLOOKUP(A103,Units!$A$2:$A$100,Units!$B$2:$B$100,"")=0,"",_xludf.XLOOKUP(A103,Units!$A$2:$A$100,Units!$B$2:$B$100,""))</f>
        <v>#NAME?</v>
      </c>
      <c r="E103" s="15"/>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15"/>
      <c r="B104" s="45" t="e">
        <f t="array" aca="1" ref="B104" ca="1">IF(_xludf.XLOOKUP(A104,Units!$A$2:$A$100,Units!$C$2:$C$100,"")=0,"",_xludf.XLOOKUP(A104,Units!$A$2:$A$100,Units!$C$2:$C$100,""))</f>
        <v>#NAME?</v>
      </c>
      <c r="C104" s="15"/>
      <c r="D104" s="46" t="e">
        <f t="array" aca="1" ref="D104" ca="1">IF(_xludf.XLOOKUP(A104,Units!$A$2:$A$100,Units!$B$2:$B$100,"")=0,"",_xludf.XLOOKUP(A104,Units!$A$2:$A$100,Units!$B$2:$B$100,""))</f>
        <v>#NAME?</v>
      </c>
      <c r="E104" s="15"/>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15"/>
      <c r="B105" s="45" t="e">
        <f t="array" aca="1" ref="B105" ca="1">IF(_xludf.XLOOKUP(A105,Units!$A$2:$A$100,Units!$C$2:$C$100,"")=0,"",_xludf.XLOOKUP(A105,Units!$A$2:$A$100,Units!$C$2:$C$100,""))</f>
        <v>#NAME?</v>
      </c>
      <c r="C105" s="15"/>
      <c r="D105" s="46" t="e">
        <f t="array" aca="1" ref="D105" ca="1">IF(_xludf.XLOOKUP(A105,Units!$A$2:$A$100,Units!$B$2:$B$100,"")=0,"",_xludf.XLOOKUP(A105,Units!$A$2:$A$100,Units!$B$2:$B$100,""))</f>
        <v>#NAME?</v>
      </c>
      <c r="E105" s="15"/>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15"/>
      <c r="B106" s="45" t="e">
        <f t="array" aca="1" ref="B106" ca="1">IF(_xludf.XLOOKUP(A106,Units!$A$2:$A$100,Units!$C$2:$C$100,"")=0,"",_xludf.XLOOKUP(A106,Units!$A$2:$A$100,Units!$C$2:$C$100,""))</f>
        <v>#NAME?</v>
      </c>
      <c r="C106" s="15"/>
      <c r="D106" s="46" t="e">
        <f t="array" aca="1" ref="D106" ca="1">IF(_xludf.XLOOKUP(A106,Units!$A$2:$A$100,Units!$B$2:$B$100,"")=0,"",_xludf.XLOOKUP(A106,Units!$A$2:$A$100,Units!$B$2:$B$100,""))</f>
        <v>#NAME?</v>
      </c>
      <c r="E106" s="15"/>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15"/>
      <c r="B107" s="45" t="e">
        <f t="array" aca="1" ref="B107" ca="1">IF(_xludf.XLOOKUP(A107,Units!$A$2:$A$100,Units!$C$2:$C$100,"")=0,"",_xludf.XLOOKUP(A107,Units!$A$2:$A$100,Units!$C$2:$C$100,""))</f>
        <v>#NAME?</v>
      </c>
      <c r="C107" s="15"/>
      <c r="D107" s="46" t="e">
        <f t="array" aca="1" ref="D107" ca="1">IF(_xludf.XLOOKUP(A107,Units!$A$2:$A$100,Units!$B$2:$B$100,"")=0,"",_xludf.XLOOKUP(A107,Units!$A$2:$A$100,Units!$B$2:$B$100,""))</f>
        <v>#NAME?</v>
      </c>
      <c r="E107" s="15"/>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15"/>
      <c r="B108" s="45" t="e">
        <f t="array" aca="1" ref="B108" ca="1">IF(_xludf.XLOOKUP(A108,Units!$A$2:$A$100,Units!$C$2:$C$100,"")=0,"",_xludf.XLOOKUP(A108,Units!$A$2:$A$100,Units!$C$2:$C$100,""))</f>
        <v>#NAME?</v>
      </c>
      <c r="C108" s="15"/>
      <c r="D108" s="46" t="e">
        <f t="array" aca="1" ref="D108" ca="1">IF(_xludf.XLOOKUP(A108,Units!$A$2:$A$100,Units!$B$2:$B$100,"")=0,"",_xludf.XLOOKUP(A108,Units!$A$2:$A$100,Units!$B$2:$B$100,""))</f>
        <v>#NAME?</v>
      </c>
      <c r="E108" s="15"/>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15"/>
      <c r="B109" s="45" t="e">
        <f t="array" aca="1" ref="B109" ca="1">IF(_xludf.XLOOKUP(A109,Units!$A$2:$A$100,Units!$C$2:$C$100,"")=0,"",_xludf.XLOOKUP(A109,Units!$A$2:$A$100,Units!$C$2:$C$100,""))</f>
        <v>#NAME?</v>
      </c>
      <c r="C109" s="15"/>
      <c r="D109" s="46" t="e">
        <f t="array" aca="1" ref="D109" ca="1">IF(_xludf.XLOOKUP(A109,Units!$A$2:$A$100,Units!$B$2:$B$100,"")=0,"",_xludf.XLOOKUP(A109,Units!$A$2:$A$100,Units!$B$2:$B$100,""))</f>
        <v>#NAME?</v>
      </c>
      <c r="E109" s="15"/>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15"/>
      <c r="B110" s="45" t="e">
        <f t="array" aca="1" ref="B110" ca="1">IF(_xludf.XLOOKUP(A110,Units!$A$2:$A$100,Units!$C$2:$C$100,"")=0,"",_xludf.XLOOKUP(A110,Units!$A$2:$A$100,Units!$C$2:$C$100,""))</f>
        <v>#NAME?</v>
      </c>
      <c r="C110" s="15"/>
      <c r="D110" s="46" t="e">
        <f t="array" aca="1" ref="D110" ca="1">IF(_xludf.XLOOKUP(A110,Units!$A$2:$A$100,Units!$B$2:$B$100,"")=0,"",_xludf.XLOOKUP(A110,Units!$A$2:$A$100,Units!$B$2:$B$100,""))</f>
        <v>#NAME?</v>
      </c>
      <c r="E110" s="15"/>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15"/>
      <c r="B111" s="45" t="e">
        <f t="array" aca="1" ref="B111" ca="1">IF(_xludf.XLOOKUP(A111,Units!$A$2:$A$100,Units!$C$2:$C$100,"")=0,"",_xludf.XLOOKUP(A111,Units!$A$2:$A$100,Units!$C$2:$C$100,""))</f>
        <v>#NAME?</v>
      </c>
      <c r="C111" s="15"/>
      <c r="D111" s="46" t="e">
        <f t="array" aca="1" ref="D111" ca="1">IF(_xludf.XLOOKUP(A111,Units!$A$2:$A$100,Units!$B$2:$B$100,"")=0,"",_xludf.XLOOKUP(A111,Units!$A$2:$A$100,Units!$B$2:$B$100,""))</f>
        <v>#NAME?</v>
      </c>
      <c r="E111" s="15"/>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15"/>
      <c r="B112" s="45" t="e">
        <f t="array" aca="1" ref="B112" ca="1">IF(_xludf.XLOOKUP(A112,Units!$A$2:$A$100,Units!$C$2:$C$100,"")=0,"",_xludf.XLOOKUP(A112,Units!$A$2:$A$100,Units!$C$2:$C$100,""))</f>
        <v>#NAME?</v>
      </c>
      <c r="C112" s="15"/>
      <c r="D112" s="46" t="e">
        <f t="array" aca="1" ref="D112" ca="1">IF(_xludf.XLOOKUP(A112,Units!$A$2:$A$100,Units!$B$2:$B$100,"")=0,"",_xludf.XLOOKUP(A112,Units!$A$2:$A$100,Units!$B$2:$B$100,""))</f>
        <v>#NAME?</v>
      </c>
      <c r="E112" s="15"/>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15"/>
      <c r="B113" s="45" t="e">
        <f t="array" aca="1" ref="B113" ca="1">IF(_xludf.XLOOKUP(A113,Units!$A$2:$A$100,Units!$C$2:$C$100,"")=0,"",_xludf.XLOOKUP(A113,Units!$A$2:$A$100,Units!$C$2:$C$100,""))</f>
        <v>#NAME?</v>
      </c>
      <c r="C113" s="15"/>
      <c r="D113" s="46" t="e">
        <f t="array" aca="1" ref="D113" ca="1">IF(_xludf.XLOOKUP(A113,Units!$A$2:$A$100,Units!$B$2:$B$100,"")=0,"",_xludf.XLOOKUP(A113,Units!$A$2:$A$100,Units!$B$2:$B$100,""))</f>
        <v>#NAME?</v>
      </c>
      <c r="E113" s="15"/>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15"/>
      <c r="B114" s="45" t="e">
        <f t="array" aca="1" ref="B114" ca="1">IF(_xludf.XLOOKUP(A114,Units!$A$2:$A$100,Units!$C$2:$C$100,"")=0,"",_xludf.XLOOKUP(A114,Units!$A$2:$A$100,Units!$C$2:$C$100,""))</f>
        <v>#NAME?</v>
      </c>
      <c r="C114" s="15"/>
      <c r="D114" s="46" t="e">
        <f t="array" aca="1" ref="D114" ca="1">IF(_xludf.XLOOKUP(A114,Units!$A$2:$A$100,Units!$B$2:$B$100,"")=0,"",_xludf.XLOOKUP(A114,Units!$A$2:$A$100,Units!$B$2:$B$100,""))</f>
        <v>#NAME?</v>
      </c>
      <c r="E114" s="15"/>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15"/>
      <c r="B115" s="45" t="e">
        <f t="array" aca="1" ref="B115" ca="1">IF(_xludf.XLOOKUP(A115,Units!$A$2:$A$100,Units!$C$2:$C$100,"")=0,"",_xludf.XLOOKUP(A115,Units!$A$2:$A$100,Units!$C$2:$C$100,""))</f>
        <v>#NAME?</v>
      </c>
      <c r="C115" s="15"/>
      <c r="D115" s="46" t="e">
        <f t="array" aca="1" ref="D115" ca="1">IF(_xludf.XLOOKUP(A115,Units!$A$2:$A$100,Units!$B$2:$B$100,"")=0,"",_xludf.XLOOKUP(A115,Units!$A$2:$A$100,Units!$B$2:$B$100,""))</f>
        <v>#NAME?</v>
      </c>
      <c r="E115" s="15"/>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15"/>
      <c r="B116" s="45" t="e">
        <f t="array" aca="1" ref="B116" ca="1">IF(_xludf.XLOOKUP(A116,Units!$A$2:$A$100,Units!$C$2:$C$100,"")=0,"",_xludf.XLOOKUP(A116,Units!$A$2:$A$100,Units!$C$2:$C$100,""))</f>
        <v>#NAME?</v>
      </c>
      <c r="C116" s="15"/>
      <c r="D116" s="46" t="e">
        <f t="array" aca="1" ref="D116" ca="1">IF(_xludf.XLOOKUP(A116,Units!$A$2:$A$100,Units!$B$2:$B$100,"")=0,"",_xludf.XLOOKUP(A116,Units!$A$2:$A$100,Units!$B$2:$B$100,""))</f>
        <v>#NAME?</v>
      </c>
      <c r="E116" s="15"/>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15"/>
      <c r="B117" s="45" t="e">
        <f t="array" aca="1" ref="B117" ca="1">IF(_xludf.XLOOKUP(A117,Units!$A$2:$A$100,Units!$C$2:$C$100,"")=0,"",_xludf.XLOOKUP(A117,Units!$A$2:$A$100,Units!$C$2:$C$100,""))</f>
        <v>#NAME?</v>
      </c>
      <c r="C117" s="15"/>
      <c r="D117" s="46" t="e">
        <f t="array" aca="1" ref="D117" ca="1">IF(_xludf.XLOOKUP(A117,Units!$A$2:$A$100,Units!$B$2:$B$100,"")=0,"",_xludf.XLOOKUP(A117,Units!$A$2:$A$100,Units!$B$2:$B$100,""))</f>
        <v>#NAME?</v>
      </c>
      <c r="E117" s="15"/>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15"/>
      <c r="B118" s="45" t="e">
        <f t="array" aca="1" ref="B118" ca="1">IF(_xludf.XLOOKUP(A118,Units!$A$2:$A$100,Units!$C$2:$C$100,"")=0,"",_xludf.XLOOKUP(A118,Units!$A$2:$A$100,Units!$C$2:$C$100,""))</f>
        <v>#NAME?</v>
      </c>
      <c r="C118" s="15"/>
      <c r="D118" s="46" t="e">
        <f t="array" aca="1" ref="D118" ca="1">IF(_xludf.XLOOKUP(A118,Units!$A$2:$A$100,Units!$B$2:$B$100,"")=0,"",_xludf.XLOOKUP(A118,Units!$A$2:$A$100,Units!$B$2:$B$100,""))</f>
        <v>#NAME?</v>
      </c>
      <c r="E118" s="15"/>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15"/>
      <c r="B119" s="45" t="e">
        <f t="array" aca="1" ref="B119" ca="1">IF(_xludf.XLOOKUP(A119,Units!$A$2:$A$100,Units!$C$2:$C$100,"")=0,"",_xludf.XLOOKUP(A119,Units!$A$2:$A$100,Units!$C$2:$C$100,""))</f>
        <v>#NAME?</v>
      </c>
      <c r="C119" s="15"/>
      <c r="D119" s="46" t="e">
        <f t="array" aca="1" ref="D119" ca="1">IF(_xludf.XLOOKUP(A119,Units!$A$2:$A$100,Units!$B$2:$B$100,"")=0,"",_xludf.XLOOKUP(A119,Units!$A$2:$A$100,Units!$B$2:$B$100,""))</f>
        <v>#NAME?</v>
      </c>
      <c r="E119" s="15"/>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15"/>
      <c r="B120" s="45" t="e">
        <f t="array" aca="1" ref="B120" ca="1">IF(_xludf.XLOOKUP(A120,Units!$A$2:$A$100,Units!$C$2:$C$100,"")=0,"",_xludf.XLOOKUP(A120,Units!$A$2:$A$100,Units!$C$2:$C$100,""))</f>
        <v>#NAME?</v>
      </c>
      <c r="C120" s="15"/>
      <c r="D120" s="46" t="e">
        <f t="array" aca="1" ref="D120" ca="1">IF(_xludf.XLOOKUP(A120,Units!$A$2:$A$100,Units!$B$2:$B$100,"")=0,"",_xludf.XLOOKUP(A120,Units!$A$2:$A$100,Units!$B$2:$B$100,""))</f>
        <v>#NAME?</v>
      </c>
      <c r="E120" s="15"/>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15"/>
      <c r="B121" s="45" t="e">
        <f t="array" aca="1" ref="B121" ca="1">IF(_xludf.XLOOKUP(A121,Units!$A$2:$A$100,Units!$C$2:$C$100,"")=0,"",_xludf.XLOOKUP(A121,Units!$A$2:$A$100,Units!$C$2:$C$100,""))</f>
        <v>#NAME?</v>
      </c>
      <c r="C121" s="15"/>
      <c r="D121" s="46" t="e">
        <f t="array" aca="1" ref="D121" ca="1">IF(_xludf.XLOOKUP(A121,Units!$A$2:$A$100,Units!$B$2:$B$100,"")=0,"",_xludf.XLOOKUP(A121,Units!$A$2:$A$100,Units!$B$2:$B$100,""))</f>
        <v>#NAME?</v>
      </c>
      <c r="E121" s="15"/>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15"/>
      <c r="B122" s="45" t="e">
        <f t="array" aca="1" ref="B122" ca="1">IF(_xludf.XLOOKUP(A122,Units!$A$2:$A$100,Units!$C$2:$C$100,"")=0,"",_xludf.XLOOKUP(A122,Units!$A$2:$A$100,Units!$C$2:$C$100,""))</f>
        <v>#NAME?</v>
      </c>
      <c r="C122" s="15"/>
      <c r="D122" s="46" t="e">
        <f t="array" aca="1" ref="D122" ca="1">IF(_xludf.XLOOKUP(A122,Units!$A$2:$A$100,Units!$B$2:$B$100,"")=0,"",_xludf.XLOOKUP(A122,Units!$A$2:$A$100,Units!$B$2:$B$100,""))</f>
        <v>#NAME?</v>
      </c>
      <c r="E122" s="15"/>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15"/>
      <c r="B123" s="45" t="e">
        <f t="array" aca="1" ref="B123" ca="1">IF(_xludf.XLOOKUP(A123,Units!$A$2:$A$100,Units!$C$2:$C$100,"")=0,"",_xludf.XLOOKUP(A123,Units!$A$2:$A$100,Units!$C$2:$C$100,""))</f>
        <v>#NAME?</v>
      </c>
      <c r="C123" s="15"/>
      <c r="D123" s="46" t="e">
        <f t="array" aca="1" ref="D123" ca="1">IF(_xludf.XLOOKUP(A123,Units!$A$2:$A$100,Units!$B$2:$B$100,"")=0,"",_xludf.XLOOKUP(A123,Units!$A$2:$A$100,Units!$B$2:$B$100,""))</f>
        <v>#NAME?</v>
      </c>
      <c r="E123" s="15"/>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15"/>
      <c r="B124" s="45" t="e">
        <f t="array" aca="1" ref="B124" ca="1">IF(_xludf.XLOOKUP(A124,Units!$A$2:$A$100,Units!$C$2:$C$100,"")=0,"",_xludf.XLOOKUP(A124,Units!$A$2:$A$100,Units!$C$2:$C$100,""))</f>
        <v>#NAME?</v>
      </c>
      <c r="C124" s="15"/>
      <c r="D124" s="46" t="e">
        <f t="array" aca="1" ref="D124" ca="1">IF(_xludf.XLOOKUP(A124,Units!$A$2:$A$100,Units!$B$2:$B$100,"")=0,"",_xludf.XLOOKUP(A124,Units!$A$2:$A$100,Units!$B$2:$B$100,""))</f>
        <v>#NAME?</v>
      </c>
      <c r="E124" s="15"/>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15"/>
      <c r="B125" s="45" t="e">
        <f t="array" aca="1" ref="B125" ca="1">IF(_xludf.XLOOKUP(A125,Units!$A$2:$A$100,Units!$C$2:$C$100,"")=0,"",_xludf.XLOOKUP(A125,Units!$A$2:$A$100,Units!$C$2:$C$100,""))</f>
        <v>#NAME?</v>
      </c>
      <c r="C125" s="15"/>
      <c r="D125" s="46" t="e">
        <f t="array" aca="1" ref="D125" ca="1">IF(_xludf.XLOOKUP(A125,Units!$A$2:$A$100,Units!$B$2:$B$100,"")=0,"",_xludf.XLOOKUP(A125,Units!$A$2:$A$100,Units!$B$2:$B$100,""))</f>
        <v>#NAME?</v>
      </c>
      <c r="E125" s="15"/>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15"/>
      <c r="B126" s="45" t="e">
        <f t="array" aca="1" ref="B126" ca="1">IF(_xludf.XLOOKUP(A126,Units!$A$2:$A$100,Units!$C$2:$C$100,"")=0,"",_xludf.XLOOKUP(A126,Units!$A$2:$A$100,Units!$C$2:$C$100,""))</f>
        <v>#NAME?</v>
      </c>
      <c r="C126" s="15"/>
      <c r="D126" s="46" t="e">
        <f t="array" aca="1" ref="D126" ca="1">IF(_xludf.XLOOKUP(A126,Units!$A$2:$A$100,Units!$B$2:$B$100,"")=0,"",_xludf.XLOOKUP(A126,Units!$A$2:$A$100,Units!$B$2:$B$100,""))</f>
        <v>#NAME?</v>
      </c>
      <c r="E126" s="15"/>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15"/>
      <c r="B127" s="45" t="e">
        <f t="array" aca="1" ref="B127" ca="1">IF(_xludf.XLOOKUP(A127,Units!$A$2:$A$100,Units!$C$2:$C$100,"")=0,"",_xludf.XLOOKUP(A127,Units!$A$2:$A$100,Units!$C$2:$C$100,""))</f>
        <v>#NAME?</v>
      </c>
      <c r="C127" s="15"/>
      <c r="D127" s="46" t="e">
        <f t="array" aca="1" ref="D127" ca="1">IF(_xludf.XLOOKUP(A127,Units!$A$2:$A$100,Units!$B$2:$B$100,"")=0,"",_xludf.XLOOKUP(A127,Units!$A$2:$A$100,Units!$B$2:$B$100,""))</f>
        <v>#NAME?</v>
      </c>
      <c r="E127" s="15"/>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15"/>
      <c r="B128" s="45" t="e">
        <f t="array" aca="1" ref="B128" ca="1">IF(_xludf.XLOOKUP(A128,Units!$A$2:$A$100,Units!$C$2:$C$100,"")=0,"",_xludf.XLOOKUP(A128,Units!$A$2:$A$100,Units!$C$2:$C$100,""))</f>
        <v>#NAME?</v>
      </c>
      <c r="C128" s="15"/>
      <c r="D128" s="46" t="e">
        <f t="array" aca="1" ref="D128" ca="1">IF(_xludf.XLOOKUP(A128,Units!$A$2:$A$100,Units!$B$2:$B$100,"")=0,"",_xludf.XLOOKUP(A128,Units!$A$2:$A$100,Units!$B$2:$B$100,""))</f>
        <v>#NAME?</v>
      </c>
      <c r="E128" s="15"/>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15"/>
      <c r="B129" s="45" t="e">
        <f t="array" aca="1" ref="B129" ca="1">IF(_xludf.XLOOKUP(A129,Units!$A$2:$A$100,Units!$C$2:$C$100,"")=0,"",_xludf.XLOOKUP(A129,Units!$A$2:$A$100,Units!$C$2:$C$100,""))</f>
        <v>#NAME?</v>
      </c>
      <c r="C129" s="15"/>
      <c r="D129" s="46" t="e">
        <f t="array" aca="1" ref="D129" ca="1">IF(_xludf.XLOOKUP(A129,Units!$A$2:$A$100,Units!$B$2:$B$100,"")=0,"",_xludf.XLOOKUP(A129,Units!$A$2:$A$100,Units!$B$2:$B$100,""))</f>
        <v>#NAME?</v>
      </c>
      <c r="E129" s="15"/>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15"/>
      <c r="B130" s="45" t="e">
        <f t="array" aca="1" ref="B130" ca="1">IF(_xludf.XLOOKUP(A130,Units!$A$2:$A$100,Units!$C$2:$C$100,"")=0,"",_xludf.XLOOKUP(A130,Units!$A$2:$A$100,Units!$C$2:$C$100,""))</f>
        <v>#NAME?</v>
      </c>
      <c r="C130" s="15"/>
      <c r="D130" s="46" t="e">
        <f t="array" aca="1" ref="D130" ca="1">IF(_xludf.XLOOKUP(A130,Units!$A$2:$A$100,Units!$B$2:$B$100,"")=0,"",_xludf.XLOOKUP(A130,Units!$A$2:$A$100,Units!$B$2:$B$100,""))</f>
        <v>#NAME?</v>
      </c>
      <c r="E130" s="15"/>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15"/>
      <c r="B131" s="45" t="e">
        <f t="array" aca="1" ref="B131" ca="1">IF(_xludf.XLOOKUP(A131,Units!$A$2:$A$100,Units!$C$2:$C$100,"")=0,"",_xludf.XLOOKUP(A131,Units!$A$2:$A$100,Units!$C$2:$C$100,""))</f>
        <v>#NAME?</v>
      </c>
      <c r="C131" s="15"/>
      <c r="D131" s="46" t="e">
        <f t="array" aca="1" ref="D131" ca="1">IF(_xludf.XLOOKUP(A131,Units!$A$2:$A$100,Units!$B$2:$B$100,"")=0,"",_xludf.XLOOKUP(A131,Units!$A$2:$A$100,Units!$B$2:$B$100,""))</f>
        <v>#NAME?</v>
      </c>
      <c r="E131" s="15"/>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15"/>
      <c r="B132" s="45" t="e">
        <f t="array" aca="1" ref="B132" ca="1">IF(_xludf.XLOOKUP(A132,Units!$A$2:$A$100,Units!$C$2:$C$100,"")=0,"",_xludf.XLOOKUP(A132,Units!$A$2:$A$100,Units!$C$2:$C$100,""))</f>
        <v>#NAME?</v>
      </c>
      <c r="C132" s="15"/>
      <c r="D132" s="46" t="e">
        <f t="array" aca="1" ref="D132" ca="1">IF(_xludf.XLOOKUP(A132,Units!$A$2:$A$100,Units!$B$2:$B$100,"")=0,"",_xludf.XLOOKUP(A132,Units!$A$2:$A$100,Units!$B$2:$B$100,""))</f>
        <v>#NAME?</v>
      </c>
      <c r="E132" s="15"/>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15"/>
      <c r="B133" s="45" t="e">
        <f t="array" aca="1" ref="B133" ca="1">IF(_xludf.XLOOKUP(A133,Units!$A$2:$A$100,Units!$C$2:$C$100,"")=0,"",_xludf.XLOOKUP(A133,Units!$A$2:$A$100,Units!$C$2:$C$100,""))</f>
        <v>#NAME?</v>
      </c>
      <c r="C133" s="15"/>
      <c r="D133" s="46" t="e">
        <f t="array" aca="1" ref="D133" ca="1">IF(_xludf.XLOOKUP(A133,Units!$A$2:$A$100,Units!$B$2:$B$100,"")=0,"",_xludf.XLOOKUP(A133,Units!$A$2:$A$100,Units!$B$2:$B$100,""))</f>
        <v>#NAME?</v>
      </c>
      <c r="E133" s="15"/>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15"/>
      <c r="B134" s="45" t="e">
        <f t="array" aca="1" ref="B134" ca="1">IF(_xludf.XLOOKUP(A134,Units!$A$2:$A$100,Units!$C$2:$C$100,"")=0,"",_xludf.XLOOKUP(A134,Units!$A$2:$A$100,Units!$C$2:$C$100,""))</f>
        <v>#NAME?</v>
      </c>
      <c r="C134" s="15"/>
      <c r="D134" s="46" t="e">
        <f t="array" aca="1" ref="D134" ca="1">IF(_xludf.XLOOKUP(A134,Units!$A$2:$A$100,Units!$B$2:$B$100,"")=0,"",_xludf.XLOOKUP(A134,Units!$A$2:$A$100,Units!$B$2:$B$100,""))</f>
        <v>#NAME?</v>
      </c>
      <c r="E134" s="15"/>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15"/>
      <c r="B135" s="45" t="e">
        <f t="array" aca="1" ref="B135" ca="1">IF(_xludf.XLOOKUP(A135,Units!$A$2:$A$100,Units!$C$2:$C$100,"")=0,"",_xludf.XLOOKUP(A135,Units!$A$2:$A$100,Units!$C$2:$C$100,""))</f>
        <v>#NAME?</v>
      </c>
      <c r="C135" s="15"/>
      <c r="D135" s="46" t="e">
        <f t="array" aca="1" ref="D135" ca="1">IF(_xludf.XLOOKUP(A135,Units!$A$2:$A$100,Units!$B$2:$B$100,"")=0,"",_xludf.XLOOKUP(A135,Units!$A$2:$A$100,Units!$B$2:$B$100,""))</f>
        <v>#NAME?</v>
      </c>
      <c r="E135" s="15"/>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15"/>
      <c r="B136" s="45" t="e">
        <f t="array" aca="1" ref="B136" ca="1">IF(_xludf.XLOOKUP(A136,Units!$A$2:$A$100,Units!$C$2:$C$100,"")=0,"",_xludf.XLOOKUP(A136,Units!$A$2:$A$100,Units!$C$2:$C$100,""))</f>
        <v>#NAME?</v>
      </c>
      <c r="C136" s="15"/>
      <c r="D136" s="46" t="e">
        <f t="array" aca="1" ref="D136" ca="1">IF(_xludf.XLOOKUP(A136,Units!$A$2:$A$100,Units!$B$2:$B$100,"")=0,"",_xludf.XLOOKUP(A136,Units!$A$2:$A$100,Units!$B$2:$B$100,""))</f>
        <v>#NAME?</v>
      </c>
      <c r="E136" s="15"/>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15"/>
      <c r="B137" s="45" t="e">
        <f t="array" aca="1" ref="B137" ca="1">IF(_xludf.XLOOKUP(A137,Units!$A$2:$A$100,Units!$C$2:$C$100,"")=0,"",_xludf.XLOOKUP(A137,Units!$A$2:$A$100,Units!$C$2:$C$100,""))</f>
        <v>#NAME?</v>
      </c>
      <c r="C137" s="15"/>
      <c r="D137" s="46" t="e">
        <f t="array" aca="1" ref="D137" ca="1">IF(_xludf.XLOOKUP(A137,Units!$A$2:$A$100,Units!$B$2:$B$100,"")=0,"",_xludf.XLOOKUP(A137,Units!$A$2:$A$100,Units!$B$2:$B$100,""))</f>
        <v>#NAME?</v>
      </c>
      <c r="E137" s="15"/>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15"/>
      <c r="B138" s="45" t="e">
        <f t="array" aca="1" ref="B138" ca="1">IF(_xludf.XLOOKUP(A138,Units!$A$2:$A$100,Units!$C$2:$C$100,"")=0,"",_xludf.XLOOKUP(A138,Units!$A$2:$A$100,Units!$C$2:$C$100,""))</f>
        <v>#NAME?</v>
      </c>
      <c r="C138" s="15"/>
      <c r="D138" s="46" t="e">
        <f t="array" aca="1" ref="D138" ca="1">IF(_xludf.XLOOKUP(A138,Units!$A$2:$A$100,Units!$B$2:$B$100,"")=0,"",_xludf.XLOOKUP(A138,Units!$A$2:$A$100,Units!$B$2:$B$100,""))</f>
        <v>#NAME?</v>
      </c>
      <c r="E138" s="15"/>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15"/>
      <c r="B139" s="45" t="e">
        <f t="array" aca="1" ref="B139" ca="1">IF(_xludf.XLOOKUP(A139,Units!$A$2:$A$100,Units!$C$2:$C$100,"")=0,"",_xludf.XLOOKUP(A139,Units!$A$2:$A$100,Units!$C$2:$C$100,""))</f>
        <v>#NAME?</v>
      </c>
      <c r="C139" s="15"/>
      <c r="D139" s="46" t="e">
        <f t="array" aca="1" ref="D139" ca="1">IF(_xludf.XLOOKUP(A139,Units!$A$2:$A$100,Units!$B$2:$B$100,"")=0,"",_xludf.XLOOKUP(A139,Units!$A$2:$A$100,Units!$B$2:$B$100,""))</f>
        <v>#NAME?</v>
      </c>
      <c r="E139" s="15"/>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B140" s="45"/>
      <c r="D140" s="46"/>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B141" s="45"/>
      <c r="D141" s="46"/>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B142" s="45"/>
      <c r="D142" s="46"/>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B143" s="45"/>
      <c r="D143" s="46"/>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B144" s="45"/>
      <c r="D144" s="46"/>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45"/>
      <c r="D145" s="46"/>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45"/>
      <c r="D146" s="46"/>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45"/>
      <c r="D147" s="46"/>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45"/>
      <c r="D148" s="46"/>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45"/>
      <c r="D149" s="46"/>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45"/>
      <c r="D150" s="46"/>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45"/>
      <c r="D151" s="46"/>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45"/>
      <c r="D152" s="46"/>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45"/>
      <c r="D153" s="46"/>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45"/>
      <c r="D154" s="46"/>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45"/>
      <c r="D155" s="46"/>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45"/>
      <c r="D156" s="46"/>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45"/>
      <c r="D157" s="46"/>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45"/>
      <c r="D158" s="46"/>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45"/>
      <c r="D159" s="46"/>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45"/>
      <c r="D160" s="46"/>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45"/>
      <c r="D161" s="46"/>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45"/>
      <c r="D162" s="46"/>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45"/>
      <c r="D163" s="46"/>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45"/>
      <c r="D164" s="46"/>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45"/>
      <c r="D165" s="46"/>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45"/>
      <c r="D166" s="46"/>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45"/>
      <c r="D167" s="46"/>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45"/>
      <c r="D168" s="46"/>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45"/>
      <c r="D169" s="46"/>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45"/>
      <c r="D170" s="46"/>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45"/>
      <c r="D171" s="46"/>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45"/>
      <c r="D172" s="46"/>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45"/>
      <c r="D173" s="46"/>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45"/>
      <c r="D174" s="46"/>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45"/>
      <c r="D175" s="46"/>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45"/>
      <c r="D176" s="46"/>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45"/>
      <c r="D177" s="46"/>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45"/>
      <c r="D178" s="46"/>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45"/>
      <c r="D179" s="46"/>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45"/>
      <c r="D180" s="46"/>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45"/>
      <c r="D181" s="46"/>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45"/>
      <c r="D182" s="46"/>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45"/>
      <c r="D183" s="46"/>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45"/>
      <c r="D184" s="46"/>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45"/>
      <c r="D185" s="46"/>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45"/>
      <c r="D186" s="46"/>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45"/>
      <c r="D187" s="46"/>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45"/>
      <c r="D188" s="46"/>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45"/>
      <c r="D189" s="46"/>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45"/>
      <c r="D190" s="46"/>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45"/>
      <c r="D191" s="46"/>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45"/>
      <c r="D192" s="46"/>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45"/>
      <c r="D193" s="46"/>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45"/>
      <c r="D194" s="46"/>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45"/>
      <c r="D195" s="46"/>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45"/>
      <c r="D196" s="46"/>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45"/>
      <c r="D197" s="46"/>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45"/>
      <c r="D198" s="46"/>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45"/>
      <c r="D199" s="46"/>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45"/>
      <c r="D200" s="46"/>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45"/>
      <c r="D201" s="46"/>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45"/>
      <c r="D202" s="46"/>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45"/>
      <c r="D203" s="46"/>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45"/>
      <c r="D204" s="46"/>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45"/>
      <c r="D205" s="46"/>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45"/>
      <c r="D206" s="46"/>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45"/>
      <c r="D207" s="46"/>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45"/>
      <c r="D208" s="46"/>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45"/>
      <c r="D209" s="46"/>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45"/>
      <c r="D210" s="46"/>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45"/>
      <c r="D211" s="46"/>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45"/>
      <c r="D212" s="46"/>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45"/>
      <c r="D213" s="46"/>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45"/>
      <c r="D214" s="46"/>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45"/>
      <c r="D215" s="46"/>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45"/>
      <c r="D216" s="46"/>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45"/>
      <c r="D217" s="46"/>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45"/>
      <c r="D218" s="46"/>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45"/>
      <c r="D219" s="46"/>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45"/>
      <c r="D220" s="46"/>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45"/>
      <c r="D221" s="46"/>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45"/>
      <c r="D222" s="46"/>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45"/>
      <c r="D223" s="46"/>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45"/>
      <c r="D224" s="46"/>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45"/>
      <c r="D225" s="46"/>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45"/>
      <c r="D226" s="46"/>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45"/>
      <c r="D227" s="46"/>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45"/>
      <c r="D228" s="46"/>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45"/>
      <c r="D229" s="46"/>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45"/>
      <c r="D230" s="46"/>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45"/>
      <c r="D231" s="46"/>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45"/>
      <c r="D232" s="46"/>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45"/>
      <c r="D233" s="46"/>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45"/>
      <c r="D234" s="46"/>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45"/>
      <c r="D235" s="46"/>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45"/>
      <c r="D236" s="46"/>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45"/>
      <c r="D237" s="46"/>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45"/>
      <c r="D238" s="46"/>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45"/>
      <c r="D239" s="46"/>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45"/>
      <c r="D240" s="46"/>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45"/>
      <c r="D241" s="46"/>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45"/>
      <c r="D242" s="46"/>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45"/>
      <c r="D243" s="46"/>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45"/>
      <c r="D244" s="46"/>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45"/>
      <c r="D245" s="46"/>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45"/>
      <c r="D246" s="46"/>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45"/>
      <c r="D247" s="46"/>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45"/>
      <c r="D248" s="46"/>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45"/>
      <c r="D249" s="46"/>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45"/>
      <c r="D250" s="46"/>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45"/>
      <c r="D251" s="46"/>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45"/>
      <c r="D252" s="46"/>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45"/>
      <c r="D253" s="46"/>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45"/>
      <c r="D254" s="46"/>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45"/>
      <c r="D255" s="46"/>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45"/>
      <c r="D256" s="46"/>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45"/>
      <c r="D257" s="46"/>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45"/>
      <c r="D258" s="46"/>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45"/>
      <c r="D259" s="46"/>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45"/>
      <c r="D260" s="46"/>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45"/>
      <c r="D261" s="46"/>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45"/>
      <c r="D262" s="46"/>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45"/>
      <c r="D263" s="46"/>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45"/>
      <c r="D264" s="46"/>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45"/>
      <c r="D265" s="46"/>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45"/>
      <c r="D266" s="46"/>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45"/>
      <c r="D267" s="46"/>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45"/>
      <c r="D268" s="46"/>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45"/>
      <c r="D269" s="46"/>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45"/>
      <c r="D270" s="46"/>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45"/>
      <c r="D271" s="46"/>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45"/>
      <c r="D272" s="46"/>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45"/>
      <c r="D273" s="46"/>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45"/>
      <c r="D274" s="46"/>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45"/>
      <c r="D275" s="46"/>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45"/>
      <c r="D276" s="46"/>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45"/>
      <c r="D277" s="46"/>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45"/>
      <c r="D278" s="46"/>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45"/>
      <c r="D279" s="46"/>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45"/>
      <c r="D280" s="46"/>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45"/>
      <c r="D281" s="46"/>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45"/>
      <c r="D282" s="46"/>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45"/>
      <c r="D283" s="46"/>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45"/>
      <c r="D284" s="46"/>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45"/>
      <c r="D285" s="46"/>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45"/>
      <c r="D286" s="46"/>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45"/>
      <c r="D287" s="46"/>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45"/>
      <c r="D288" s="46"/>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45"/>
      <c r="D289" s="46"/>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45"/>
      <c r="D290" s="46"/>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45"/>
      <c r="D291" s="46"/>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45"/>
      <c r="D292" s="46"/>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45"/>
      <c r="D293" s="46"/>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45"/>
      <c r="D294" s="46"/>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45"/>
      <c r="D295" s="46"/>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45"/>
      <c r="D296" s="46"/>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45"/>
      <c r="D297" s="46"/>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45"/>
      <c r="D298" s="46"/>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45"/>
      <c r="D299" s="46"/>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45"/>
      <c r="D300" s="46"/>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45"/>
      <c r="D301" s="46"/>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45"/>
      <c r="D302" s="46"/>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45"/>
      <c r="D303" s="46"/>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45"/>
      <c r="D304" s="46"/>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45"/>
      <c r="D305" s="46"/>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45"/>
      <c r="D306" s="46"/>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45"/>
      <c r="D307" s="46"/>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45"/>
      <c r="D308" s="46"/>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45"/>
      <c r="D309" s="46"/>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45"/>
      <c r="D310" s="46"/>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45"/>
      <c r="D311" s="46"/>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45"/>
      <c r="D312" s="46"/>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45"/>
      <c r="D313" s="46"/>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45"/>
      <c r="D314" s="46"/>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45"/>
      <c r="D315" s="46"/>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45"/>
      <c r="D316" s="46"/>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45"/>
      <c r="D317" s="46"/>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45"/>
      <c r="D318" s="46"/>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45"/>
      <c r="D319" s="46"/>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45"/>
      <c r="D320" s="46"/>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45"/>
      <c r="D321" s="46"/>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45"/>
      <c r="D322" s="46"/>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45"/>
      <c r="D323" s="46"/>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45"/>
      <c r="D324" s="46"/>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45"/>
      <c r="D325" s="46"/>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45"/>
      <c r="D326" s="46"/>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45"/>
      <c r="D327" s="46"/>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45"/>
      <c r="D328" s="46"/>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45"/>
      <c r="D329" s="46"/>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45"/>
      <c r="D330" s="46"/>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45"/>
      <c r="D331" s="46"/>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45"/>
      <c r="D332" s="46"/>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45"/>
      <c r="D333" s="46"/>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45"/>
      <c r="D334" s="46"/>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45"/>
      <c r="D335" s="46"/>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45"/>
      <c r="D336" s="46"/>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45"/>
      <c r="D337" s="46"/>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45"/>
      <c r="D338" s="46"/>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45"/>
      <c r="D339" s="46"/>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45"/>
      <c r="D340" s="46"/>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45"/>
      <c r="D341" s="46"/>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45"/>
      <c r="D342" s="46"/>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45"/>
      <c r="D343" s="46"/>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45"/>
      <c r="D344" s="46"/>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45"/>
      <c r="D345" s="46"/>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45"/>
      <c r="D346" s="46"/>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45"/>
      <c r="D347" s="46"/>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45"/>
      <c r="D348" s="46"/>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45"/>
      <c r="D349" s="46"/>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45"/>
      <c r="D350" s="46"/>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45"/>
      <c r="D351" s="46"/>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45"/>
      <c r="D352" s="46"/>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45"/>
      <c r="D353" s="46"/>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45"/>
      <c r="D354" s="46"/>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45"/>
      <c r="D355" s="46"/>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45"/>
      <c r="D356" s="46"/>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45"/>
      <c r="D357" s="46"/>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45"/>
      <c r="D358" s="46"/>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45"/>
      <c r="D359" s="46"/>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45"/>
      <c r="D360" s="46"/>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45"/>
      <c r="D361" s="46"/>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45"/>
      <c r="D362" s="46"/>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45"/>
      <c r="D363" s="46"/>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45"/>
      <c r="D364" s="46"/>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45"/>
      <c r="D365" s="46"/>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45"/>
      <c r="D366" s="46"/>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45"/>
      <c r="D367" s="46"/>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45"/>
      <c r="D368" s="46"/>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45"/>
      <c r="D369" s="46"/>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45"/>
      <c r="D370" s="46"/>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45"/>
      <c r="D371" s="46"/>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45"/>
      <c r="D372" s="46"/>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45"/>
      <c r="D373" s="46"/>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45"/>
      <c r="D374" s="46"/>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45"/>
      <c r="D375" s="46"/>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45"/>
      <c r="D376" s="46"/>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45"/>
      <c r="D377" s="46"/>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45"/>
      <c r="D378" s="46"/>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45"/>
      <c r="D379" s="46"/>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45"/>
      <c r="D380" s="46"/>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45"/>
      <c r="D381" s="46"/>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45"/>
      <c r="D382" s="46"/>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45"/>
      <c r="D383" s="46"/>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45"/>
      <c r="D384" s="46"/>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45"/>
      <c r="D385" s="46"/>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45"/>
      <c r="D386" s="46"/>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45"/>
      <c r="D387" s="46"/>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45"/>
      <c r="D388" s="46"/>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45"/>
      <c r="D389" s="46"/>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45"/>
      <c r="D390" s="46"/>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45"/>
      <c r="D391" s="46"/>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45"/>
      <c r="D392" s="46"/>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45"/>
      <c r="D393" s="46"/>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45"/>
      <c r="D394" s="46"/>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45"/>
      <c r="D395" s="46"/>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45"/>
      <c r="D396" s="46"/>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45"/>
      <c r="D397" s="46"/>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45"/>
      <c r="D398" s="46"/>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45"/>
      <c r="D399" s="46"/>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45"/>
      <c r="D400" s="46"/>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45"/>
      <c r="D401" s="46"/>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45"/>
      <c r="D402" s="46"/>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45"/>
      <c r="D403" s="46"/>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45"/>
      <c r="D404" s="46"/>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45"/>
      <c r="D405" s="46"/>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45"/>
      <c r="D406" s="46"/>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45"/>
      <c r="D407" s="46"/>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45"/>
      <c r="D408" s="46"/>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45"/>
      <c r="D409" s="46"/>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45"/>
      <c r="D410" s="46"/>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45"/>
      <c r="D411" s="46"/>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45"/>
      <c r="D412" s="46"/>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45"/>
      <c r="D413" s="46"/>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45"/>
      <c r="D414" s="46"/>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45"/>
      <c r="D415" s="46"/>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45"/>
      <c r="D416" s="46"/>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45"/>
      <c r="D417" s="46"/>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45"/>
      <c r="D418" s="46"/>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45"/>
      <c r="D419" s="46"/>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45"/>
      <c r="D420" s="46"/>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45"/>
      <c r="D421" s="46"/>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45"/>
      <c r="D422" s="46"/>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45"/>
      <c r="D423" s="46"/>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45"/>
      <c r="D424" s="46"/>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45"/>
      <c r="D425" s="46"/>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45"/>
      <c r="D426" s="46"/>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45"/>
      <c r="D427" s="46"/>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45"/>
      <c r="D428" s="46"/>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45"/>
      <c r="D429" s="46"/>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45"/>
      <c r="D430" s="46"/>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45"/>
      <c r="D431" s="46"/>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45"/>
      <c r="D432" s="46"/>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45"/>
      <c r="D433" s="46"/>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45"/>
      <c r="D434" s="46"/>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45"/>
      <c r="D435" s="46"/>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45"/>
      <c r="D436" s="46"/>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45"/>
      <c r="D437" s="46"/>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45"/>
      <c r="D438" s="46"/>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45"/>
      <c r="D439" s="46"/>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45"/>
      <c r="D440" s="46"/>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45"/>
      <c r="D441" s="46"/>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45"/>
      <c r="D442" s="46"/>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45"/>
      <c r="D443" s="46"/>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45"/>
      <c r="D444" s="46"/>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45"/>
      <c r="D445" s="46"/>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45"/>
      <c r="D446" s="46"/>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45"/>
      <c r="D447" s="46"/>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45"/>
      <c r="D448" s="46"/>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45"/>
      <c r="D449" s="46"/>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45"/>
      <c r="D450" s="46"/>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45"/>
      <c r="D451" s="46"/>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45"/>
      <c r="D452" s="46"/>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45"/>
      <c r="D453" s="46"/>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45"/>
      <c r="D454" s="46"/>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45"/>
      <c r="D455" s="46"/>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45"/>
      <c r="D456" s="46"/>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45"/>
      <c r="D457" s="46"/>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45"/>
      <c r="D458" s="46"/>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45"/>
      <c r="D459" s="46"/>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45"/>
      <c r="D460" s="46"/>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45"/>
      <c r="D461" s="46"/>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45"/>
      <c r="D462" s="46"/>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45"/>
      <c r="D463" s="46"/>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45"/>
      <c r="D464" s="46"/>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45"/>
      <c r="D465" s="46"/>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45"/>
      <c r="D466" s="46"/>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45"/>
      <c r="D467" s="46"/>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45"/>
      <c r="D468" s="46"/>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45"/>
      <c r="D469" s="46"/>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45"/>
      <c r="D470" s="46"/>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45"/>
      <c r="D471" s="46"/>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45"/>
      <c r="D472" s="46"/>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45"/>
      <c r="D473" s="46"/>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45"/>
      <c r="D474" s="46"/>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45"/>
      <c r="D475" s="46"/>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45"/>
      <c r="D476" s="46"/>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45"/>
      <c r="D477" s="46"/>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45"/>
      <c r="D478" s="46"/>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45"/>
      <c r="D479" s="46"/>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45"/>
      <c r="D480" s="46"/>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45"/>
      <c r="D481" s="46"/>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45"/>
      <c r="D482" s="46"/>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45"/>
      <c r="D483" s="46"/>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45"/>
      <c r="D484" s="46"/>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45"/>
      <c r="D485" s="46"/>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45"/>
      <c r="D486" s="46"/>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45"/>
      <c r="D487" s="46"/>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45"/>
      <c r="D488" s="46"/>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45"/>
      <c r="D489" s="46"/>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45"/>
      <c r="D490" s="46"/>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45"/>
      <c r="D491" s="46"/>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45"/>
      <c r="D492" s="46"/>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45"/>
      <c r="D493" s="46"/>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45"/>
      <c r="D494" s="46"/>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45"/>
      <c r="D495" s="46"/>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45"/>
      <c r="D496" s="46"/>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45"/>
      <c r="D497" s="46"/>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45"/>
      <c r="D498" s="46"/>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45"/>
      <c r="D499" s="46"/>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45"/>
      <c r="D500" s="46"/>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45"/>
      <c r="D501" s="46"/>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45"/>
      <c r="D502" s="46"/>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45"/>
      <c r="D503" s="46"/>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45"/>
      <c r="D504" s="46"/>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45"/>
      <c r="D505" s="46"/>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45"/>
      <c r="D506" s="46"/>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45"/>
      <c r="D507" s="46"/>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45"/>
      <c r="D508" s="46"/>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45"/>
      <c r="D509" s="46"/>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45"/>
      <c r="D510" s="46"/>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45"/>
      <c r="D511" s="46"/>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45"/>
      <c r="D512" s="46"/>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45"/>
      <c r="D513" s="46"/>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45"/>
      <c r="D514" s="46"/>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45"/>
      <c r="D515" s="46"/>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45"/>
      <c r="D516" s="46"/>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45"/>
      <c r="D517" s="46"/>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45"/>
      <c r="D518" s="46"/>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45"/>
      <c r="D519" s="46"/>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45"/>
      <c r="D520" s="46"/>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45"/>
      <c r="D521" s="46"/>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45"/>
      <c r="D522" s="46"/>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45"/>
      <c r="D523" s="46"/>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45"/>
      <c r="D524" s="46"/>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45"/>
      <c r="D525" s="46"/>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45"/>
      <c r="D526" s="46"/>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45"/>
      <c r="D527" s="46"/>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45"/>
      <c r="D528" s="46"/>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45"/>
      <c r="D529" s="46"/>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45"/>
      <c r="D530" s="46"/>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45"/>
      <c r="D531" s="46"/>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45"/>
      <c r="D532" s="46"/>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45"/>
      <c r="D533" s="46"/>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45"/>
      <c r="D534" s="46"/>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45"/>
      <c r="D535" s="46"/>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45"/>
      <c r="D536" s="46"/>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45"/>
      <c r="D537" s="46"/>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45"/>
      <c r="D538" s="46"/>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45"/>
      <c r="D539" s="46"/>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45"/>
      <c r="D540" s="46"/>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45"/>
      <c r="D541" s="46"/>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45"/>
      <c r="D542" s="46"/>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45"/>
      <c r="D543" s="46"/>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45"/>
      <c r="D544" s="46"/>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45"/>
      <c r="D545" s="46"/>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45"/>
      <c r="D546" s="46"/>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45"/>
      <c r="D547" s="46"/>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45"/>
      <c r="D548" s="46"/>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45"/>
      <c r="D549" s="46"/>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45"/>
      <c r="D550" s="46"/>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45"/>
      <c r="D551" s="46"/>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45"/>
      <c r="D552" s="46"/>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45"/>
      <c r="D553" s="46"/>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45"/>
      <c r="D554" s="46"/>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45"/>
      <c r="D555" s="46"/>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45"/>
      <c r="D556" s="46"/>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45"/>
      <c r="D557" s="46"/>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45"/>
      <c r="D558" s="46"/>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45"/>
      <c r="D559" s="46"/>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45"/>
      <c r="D560" s="46"/>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45"/>
      <c r="D561" s="46"/>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45"/>
      <c r="D562" s="46"/>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45"/>
      <c r="D563" s="46"/>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45"/>
      <c r="D564" s="46"/>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45"/>
      <c r="D565" s="46"/>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45"/>
      <c r="D566" s="46"/>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45"/>
      <c r="D567" s="46"/>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45"/>
      <c r="D568" s="46"/>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45"/>
      <c r="D569" s="46"/>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45"/>
      <c r="D570" s="46"/>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45"/>
      <c r="D571" s="46"/>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45"/>
      <c r="D572" s="46"/>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45"/>
      <c r="D573" s="46"/>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45"/>
      <c r="D574" s="46"/>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45"/>
      <c r="D575" s="46"/>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45"/>
      <c r="D576" s="46"/>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45"/>
      <c r="D577" s="46"/>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45"/>
      <c r="D578" s="46"/>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45"/>
      <c r="D579" s="46"/>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45"/>
      <c r="D580" s="46"/>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45"/>
      <c r="D581" s="46"/>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45"/>
      <c r="D582" s="46"/>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45"/>
      <c r="D583" s="46"/>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45"/>
      <c r="D584" s="46"/>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45"/>
      <c r="D585" s="46"/>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45"/>
      <c r="D586" s="46"/>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45"/>
      <c r="D587" s="46"/>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45"/>
      <c r="D588" s="46"/>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45"/>
      <c r="D589" s="46"/>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45"/>
      <c r="D590" s="46"/>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45"/>
      <c r="D591" s="46"/>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45"/>
      <c r="D592" s="46"/>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45"/>
      <c r="D593" s="46"/>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45"/>
      <c r="D594" s="46"/>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45"/>
      <c r="D595" s="46"/>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45"/>
      <c r="D596" s="46"/>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45"/>
      <c r="D597" s="46"/>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45"/>
      <c r="D598" s="46"/>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45"/>
      <c r="D599" s="46"/>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45"/>
      <c r="D600" s="46"/>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45"/>
      <c r="D601" s="46"/>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45"/>
      <c r="D602" s="46"/>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45"/>
      <c r="D603" s="46"/>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45"/>
      <c r="D604" s="46"/>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45"/>
      <c r="D605" s="46"/>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45"/>
      <c r="D606" s="46"/>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45"/>
      <c r="D607" s="46"/>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45"/>
      <c r="D608" s="46"/>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45"/>
      <c r="D609" s="46"/>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45"/>
      <c r="D610" s="46"/>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45"/>
      <c r="D611" s="46"/>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45"/>
      <c r="D612" s="46"/>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45"/>
      <c r="D613" s="46"/>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45"/>
      <c r="D614" s="46"/>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45"/>
      <c r="D615" s="46"/>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45"/>
      <c r="D616" s="46"/>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45"/>
      <c r="D617" s="46"/>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45"/>
      <c r="D618" s="46"/>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45"/>
      <c r="D619" s="46"/>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45"/>
      <c r="D620" s="46"/>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45"/>
      <c r="D621" s="46"/>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45"/>
      <c r="D622" s="46"/>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45"/>
      <c r="D623" s="46"/>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45"/>
      <c r="D624" s="46"/>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45"/>
      <c r="D625" s="46"/>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45"/>
      <c r="D626" s="46"/>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45"/>
      <c r="D627" s="46"/>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45"/>
      <c r="D628" s="46"/>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45"/>
      <c r="D629" s="46"/>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45"/>
      <c r="D630" s="46"/>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45"/>
      <c r="D631" s="46"/>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45"/>
      <c r="D632" s="46"/>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45"/>
      <c r="D633" s="46"/>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45"/>
      <c r="D634" s="46"/>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45"/>
      <c r="D635" s="46"/>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45"/>
      <c r="D636" s="46"/>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45"/>
      <c r="D637" s="46"/>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45"/>
      <c r="D638" s="46"/>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45"/>
      <c r="D639" s="46"/>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45"/>
      <c r="D640" s="46"/>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45"/>
      <c r="D641" s="46"/>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45"/>
      <c r="D642" s="46"/>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45"/>
      <c r="D643" s="46"/>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45"/>
      <c r="D644" s="46"/>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45"/>
      <c r="D645" s="46"/>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45"/>
      <c r="D646" s="46"/>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45"/>
      <c r="D647" s="46"/>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45"/>
      <c r="D648" s="46"/>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45"/>
      <c r="D649" s="46"/>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45"/>
      <c r="D650" s="46"/>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45"/>
      <c r="D651" s="46"/>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45"/>
      <c r="D652" s="46"/>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45"/>
      <c r="D653" s="46"/>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45"/>
      <c r="D654" s="46"/>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45"/>
      <c r="D655" s="46"/>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45"/>
      <c r="D656" s="46"/>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45"/>
      <c r="D657" s="46"/>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45"/>
      <c r="D658" s="46"/>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45"/>
      <c r="D659" s="46"/>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45"/>
      <c r="D660" s="46"/>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45"/>
      <c r="D661" s="46"/>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45"/>
      <c r="D662" s="46"/>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45"/>
      <c r="D663" s="46"/>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45"/>
      <c r="D664" s="46"/>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45"/>
      <c r="D665" s="46"/>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45"/>
      <c r="D666" s="46"/>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45"/>
      <c r="D667" s="46"/>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45"/>
      <c r="D668" s="46"/>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45"/>
      <c r="D669" s="46"/>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45"/>
      <c r="D670" s="46"/>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45"/>
      <c r="D671" s="46"/>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45"/>
      <c r="D672" s="46"/>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45"/>
      <c r="D673" s="46"/>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45"/>
      <c r="D674" s="46"/>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45"/>
      <c r="D675" s="46"/>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45"/>
      <c r="D676" s="46"/>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45"/>
      <c r="D677" s="46"/>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45"/>
      <c r="D678" s="46"/>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45"/>
      <c r="D679" s="46"/>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45"/>
      <c r="D680" s="46"/>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45"/>
      <c r="D681" s="46"/>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45"/>
      <c r="D682" s="46"/>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45"/>
      <c r="D683" s="46"/>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45"/>
      <c r="D684" s="46"/>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45"/>
      <c r="D685" s="46"/>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45"/>
      <c r="D686" s="46"/>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45"/>
      <c r="D687" s="46"/>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45"/>
      <c r="D688" s="46"/>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45"/>
      <c r="D689" s="46"/>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45"/>
      <c r="D690" s="46"/>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45"/>
      <c r="D691" s="46"/>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45"/>
      <c r="D692" s="46"/>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45"/>
      <c r="D693" s="46"/>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45"/>
      <c r="D694" s="46"/>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45"/>
      <c r="D695" s="46"/>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45"/>
      <c r="D696" s="46"/>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45"/>
      <c r="D697" s="46"/>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45"/>
      <c r="D698" s="46"/>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45"/>
      <c r="D699" s="46"/>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45"/>
      <c r="D700" s="46"/>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45"/>
      <c r="D701" s="46"/>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45"/>
      <c r="D702" s="46"/>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45"/>
      <c r="D703" s="46"/>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45"/>
      <c r="D704" s="46"/>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45"/>
      <c r="D705" s="46"/>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45"/>
      <c r="D706" s="46"/>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45"/>
      <c r="D707" s="46"/>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45"/>
      <c r="D708" s="46"/>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45"/>
      <c r="D709" s="46"/>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45"/>
      <c r="D710" s="46"/>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45"/>
      <c r="D711" s="46"/>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45"/>
      <c r="D712" s="46"/>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45"/>
      <c r="D713" s="46"/>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45"/>
      <c r="D714" s="46"/>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45"/>
      <c r="D715" s="46"/>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45"/>
      <c r="D716" s="46"/>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45"/>
      <c r="D717" s="46"/>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45"/>
      <c r="D718" s="46"/>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45"/>
      <c r="D719" s="46"/>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45"/>
      <c r="D720" s="46"/>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45"/>
      <c r="D721" s="46"/>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45"/>
      <c r="D722" s="46"/>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45"/>
      <c r="D723" s="46"/>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45"/>
      <c r="D724" s="46"/>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45"/>
      <c r="D725" s="46"/>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45"/>
      <c r="D726" s="46"/>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45"/>
      <c r="D727" s="46"/>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45"/>
      <c r="D728" s="46"/>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45"/>
      <c r="D729" s="46"/>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45"/>
      <c r="D730" s="46"/>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45"/>
      <c r="D731" s="46"/>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45"/>
      <c r="D732" s="46"/>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45"/>
      <c r="D733" s="46"/>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45"/>
      <c r="D734" s="46"/>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45"/>
      <c r="D735" s="46"/>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45"/>
      <c r="D736" s="46"/>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45"/>
      <c r="D737" s="46"/>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45"/>
      <c r="D738" s="46"/>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45"/>
      <c r="D739" s="46"/>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45"/>
      <c r="D740" s="46"/>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45"/>
      <c r="D741" s="46"/>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45"/>
      <c r="D742" s="46"/>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45"/>
      <c r="D743" s="46"/>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45"/>
      <c r="D744" s="46"/>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45"/>
      <c r="D745" s="46"/>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45"/>
      <c r="D746" s="46"/>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45"/>
      <c r="D747" s="46"/>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45"/>
      <c r="D748" s="46"/>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45"/>
      <c r="D749" s="46"/>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45"/>
      <c r="D750" s="46"/>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45"/>
      <c r="D751" s="46"/>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45"/>
      <c r="D752" s="46"/>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45"/>
      <c r="D753" s="46"/>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45"/>
      <c r="D754" s="46"/>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45"/>
      <c r="D755" s="46"/>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45"/>
      <c r="D756" s="46"/>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45"/>
      <c r="D757" s="46"/>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45"/>
      <c r="D758" s="46"/>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45"/>
      <c r="D759" s="46"/>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45"/>
      <c r="D760" s="46"/>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45"/>
      <c r="D761" s="46"/>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45"/>
      <c r="D762" s="46"/>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45"/>
      <c r="D763" s="46"/>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45"/>
      <c r="D764" s="46"/>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45"/>
      <c r="D765" s="46"/>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45"/>
      <c r="D766" s="46"/>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45"/>
      <c r="D767" s="46"/>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45"/>
      <c r="D768" s="46"/>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45"/>
      <c r="D769" s="46"/>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45"/>
      <c r="D770" s="46"/>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45"/>
      <c r="D771" s="46"/>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45"/>
      <c r="D772" s="46"/>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45"/>
      <c r="D773" s="46"/>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45"/>
      <c r="D774" s="46"/>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45"/>
      <c r="D775" s="46"/>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45"/>
      <c r="D776" s="46"/>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45"/>
      <c r="D777" s="46"/>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45"/>
      <c r="D778" s="46"/>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45"/>
      <c r="D779" s="46"/>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45"/>
      <c r="D780" s="46"/>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45"/>
      <c r="D781" s="46"/>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45"/>
      <c r="D782" s="46"/>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45"/>
      <c r="D783" s="46"/>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45"/>
      <c r="D784" s="46"/>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45"/>
      <c r="D785" s="46"/>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45"/>
      <c r="D786" s="46"/>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45"/>
      <c r="D787" s="46"/>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45"/>
      <c r="D788" s="46"/>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45"/>
      <c r="D789" s="46"/>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45"/>
      <c r="D790" s="46"/>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45"/>
      <c r="D791" s="46"/>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45"/>
      <c r="D792" s="46"/>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45"/>
      <c r="D793" s="46"/>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45"/>
      <c r="D794" s="46"/>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45"/>
      <c r="D795" s="46"/>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45"/>
      <c r="D796" s="46"/>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45"/>
      <c r="D797" s="46"/>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45"/>
      <c r="D798" s="46"/>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45"/>
      <c r="D799" s="46"/>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45"/>
      <c r="D800" s="46"/>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45"/>
      <c r="D801" s="46"/>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45"/>
      <c r="D802" s="46"/>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45"/>
      <c r="D803" s="46"/>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45"/>
      <c r="D804" s="46"/>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45"/>
      <c r="D805" s="46"/>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45"/>
      <c r="D806" s="46"/>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45"/>
      <c r="D807" s="46"/>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45"/>
      <c r="D808" s="46"/>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45"/>
      <c r="D809" s="46"/>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45"/>
      <c r="D810" s="46"/>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45"/>
      <c r="D811" s="46"/>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45"/>
      <c r="D812" s="46"/>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45"/>
      <c r="D813" s="46"/>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45"/>
      <c r="D814" s="46"/>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45"/>
      <c r="D815" s="46"/>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45"/>
      <c r="D816" s="46"/>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45"/>
      <c r="D817" s="46"/>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45"/>
      <c r="D818" s="46"/>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45"/>
      <c r="D819" s="46"/>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45"/>
      <c r="D820" s="46"/>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45"/>
      <c r="D821" s="46"/>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45"/>
      <c r="D822" s="46"/>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45"/>
      <c r="D823" s="46"/>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45"/>
      <c r="D824" s="46"/>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45"/>
      <c r="D825" s="46"/>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45"/>
      <c r="D826" s="46"/>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45"/>
      <c r="D827" s="46"/>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45"/>
      <c r="D828" s="46"/>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45"/>
      <c r="D829" s="46"/>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45"/>
      <c r="D830" s="46"/>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45"/>
      <c r="D831" s="46"/>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45"/>
      <c r="D832" s="46"/>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45"/>
      <c r="D833" s="46"/>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45"/>
      <c r="D834" s="46"/>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45"/>
      <c r="D835" s="46"/>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45"/>
      <c r="D836" s="46"/>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45"/>
      <c r="D837" s="46"/>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45"/>
      <c r="D838" s="46"/>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45"/>
      <c r="D839" s="46"/>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45"/>
      <c r="D840" s="46"/>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45"/>
      <c r="D841" s="46"/>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45"/>
      <c r="D842" s="46"/>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45"/>
      <c r="D843" s="46"/>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45"/>
      <c r="D844" s="46"/>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45"/>
      <c r="D845" s="46"/>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45"/>
      <c r="D846" s="46"/>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45"/>
      <c r="D847" s="46"/>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45"/>
      <c r="D848" s="46"/>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45"/>
      <c r="D849" s="46"/>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45"/>
      <c r="D850" s="46"/>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45"/>
      <c r="D851" s="46"/>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45"/>
      <c r="D852" s="46"/>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45"/>
      <c r="D853" s="46"/>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45"/>
      <c r="D854" s="46"/>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45"/>
      <c r="D855" s="46"/>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45"/>
      <c r="D856" s="46"/>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45"/>
      <c r="D857" s="46"/>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45"/>
      <c r="D858" s="46"/>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45"/>
      <c r="D859" s="46"/>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45"/>
      <c r="D860" s="46"/>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45"/>
      <c r="D861" s="46"/>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45"/>
      <c r="D862" s="46"/>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45"/>
      <c r="D863" s="46"/>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45"/>
      <c r="D864" s="46"/>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45"/>
      <c r="D865" s="46"/>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45"/>
      <c r="D866" s="46"/>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45"/>
      <c r="D867" s="46"/>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45"/>
      <c r="D868" s="46"/>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45"/>
      <c r="D869" s="46"/>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45"/>
      <c r="D870" s="46"/>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45"/>
      <c r="D871" s="46"/>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45"/>
      <c r="D872" s="46"/>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45"/>
      <c r="D873" s="46"/>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45"/>
      <c r="D874" s="46"/>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45"/>
      <c r="D875" s="46"/>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45"/>
      <c r="D876" s="46"/>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45"/>
      <c r="D877" s="46"/>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45"/>
      <c r="D878" s="46"/>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45"/>
      <c r="D879" s="46"/>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45"/>
      <c r="D880" s="46"/>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45"/>
      <c r="D881" s="46"/>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45"/>
      <c r="D882" s="46"/>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45"/>
      <c r="D883" s="46"/>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45"/>
      <c r="D884" s="46"/>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45"/>
      <c r="D885" s="46"/>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45"/>
      <c r="D886" s="46"/>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45"/>
      <c r="D887" s="46"/>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45"/>
      <c r="D888" s="46"/>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45"/>
      <c r="D889" s="46"/>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45"/>
      <c r="D890" s="46"/>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45"/>
      <c r="D891" s="46"/>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45"/>
      <c r="D892" s="46"/>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45"/>
      <c r="D893" s="46"/>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45"/>
      <c r="D894" s="46"/>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45"/>
      <c r="D895" s="46"/>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45"/>
      <c r="D896" s="46"/>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45"/>
      <c r="D897" s="46"/>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45"/>
      <c r="D898" s="46"/>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45"/>
      <c r="D899" s="46"/>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45"/>
      <c r="D900" s="46"/>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45"/>
      <c r="D901" s="46"/>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45"/>
      <c r="D902" s="46"/>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45"/>
      <c r="D903" s="46"/>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45"/>
      <c r="D904" s="46"/>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45"/>
      <c r="D905" s="46"/>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45"/>
      <c r="D906" s="46"/>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45"/>
      <c r="D907" s="46"/>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45"/>
      <c r="D908" s="46"/>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45"/>
      <c r="D909" s="46"/>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45"/>
      <c r="D910" s="46"/>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45"/>
      <c r="D911" s="46"/>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45"/>
      <c r="D912" s="46"/>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45"/>
      <c r="D913" s="46"/>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45"/>
      <c r="D914" s="46"/>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45"/>
      <c r="D915" s="46"/>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45"/>
      <c r="D916" s="46"/>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45"/>
      <c r="D917" s="46"/>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45"/>
      <c r="D918" s="46"/>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45"/>
      <c r="D919" s="46"/>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45"/>
      <c r="D920" s="46"/>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45"/>
      <c r="D921" s="46"/>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45"/>
      <c r="D922" s="46"/>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45"/>
      <c r="D923" s="46"/>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45"/>
      <c r="D924" s="46"/>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45"/>
      <c r="D925" s="46"/>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45"/>
      <c r="D926" s="46"/>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45"/>
      <c r="D927" s="46"/>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45"/>
      <c r="D928" s="46"/>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45"/>
      <c r="D929" s="46"/>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45"/>
      <c r="D930" s="46"/>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45"/>
      <c r="D931" s="46"/>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45"/>
      <c r="D932" s="46"/>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45"/>
      <c r="D933" s="46"/>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45"/>
      <c r="D934" s="46"/>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45"/>
      <c r="D935" s="46"/>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45"/>
      <c r="D936" s="46"/>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45"/>
      <c r="D937" s="46"/>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45"/>
      <c r="D938" s="46"/>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45"/>
      <c r="D939" s="46"/>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45"/>
      <c r="D940" s="46"/>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45"/>
      <c r="D941" s="46"/>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45"/>
      <c r="D942" s="46"/>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45"/>
      <c r="D943" s="46"/>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45"/>
      <c r="D944" s="46"/>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45"/>
      <c r="D945" s="46"/>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45"/>
      <c r="D946" s="46"/>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45"/>
      <c r="D947" s="46"/>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45"/>
      <c r="D948" s="46"/>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45"/>
      <c r="D949" s="46"/>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45"/>
      <c r="D950" s="46"/>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45"/>
      <c r="D951" s="46"/>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45"/>
      <c r="D952" s="46"/>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45"/>
      <c r="D953" s="46"/>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45"/>
      <c r="D954" s="46"/>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45"/>
      <c r="D955" s="46"/>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45"/>
      <c r="D956" s="46"/>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45"/>
      <c r="D957" s="46"/>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45"/>
      <c r="D958" s="46"/>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45"/>
      <c r="D959" s="46"/>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45"/>
      <c r="D960" s="46"/>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45"/>
      <c r="D961" s="46"/>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45"/>
      <c r="D962" s="46"/>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45"/>
      <c r="D963" s="46"/>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45"/>
      <c r="D964" s="46"/>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45"/>
      <c r="D965" s="46"/>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45"/>
      <c r="D966" s="46"/>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45"/>
      <c r="D967" s="46"/>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45"/>
      <c r="D968" s="46"/>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45"/>
      <c r="D969" s="46"/>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45"/>
      <c r="D970" s="46"/>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45"/>
      <c r="D971" s="46"/>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45"/>
      <c r="D972" s="46"/>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45"/>
      <c r="D973" s="46"/>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45"/>
      <c r="D974" s="46"/>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45"/>
      <c r="D975" s="46"/>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45"/>
      <c r="D976" s="46"/>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45"/>
      <c r="D977" s="46"/>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45"/>
      <c r="D978" s="46"/>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45"/>
      <c r="D979" s="46"/>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45"/>
      <c r="D980" s="46"/>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45"/>
      <c r="D981" s="46"/>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45"/>
      <c r="D982" s="46"/>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45"/>
      <c r="D983" s="46"/>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45"/>
      <c r="D984" s="46"/>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45"/>
      <c r="D985" s="46"/>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45"/>
      <c r="D986" s="46"/>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45"/>
      <c r="D987" s="46"/>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45"/>
      <c r="D988" s="46"/>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45"/>
      <c r="D989" s="46"/>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45"/>
      <c r="D990" s="46"/>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45"/>
      <c r="D991" s="46"/>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45"/>
      <c r="D992" s="46"/>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45"/>
      <c r="D993" s="46"/>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45"/>
      <c r="D994" s="46"/>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45"/>
      <c r="D995" s="46"/>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45"/>
      <c r="D996" s="46"/>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45"/>
      <c r="D997" s="46"/>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45"/>
      <c r="D998" s="46"/>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45"/>
      <c r="D999" s="46"/>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45"/>
      <c r="D1000" s="46"/>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A3:A139">
    <cfRule type="containsBlanks" dxfId="63" priority="1">
      <formula>LEN(TRIM(A3))=0</formula>
    </cfRule>
  </conditionalFormatting>
  <conditionalFormatting sqref="C3:C139">
    <cfRule type="containsBlanks" dxfId="62" priority="2">
      <formula>LEN(TRIM(C3))=0</formula>
    </cfRule>
  </conditionalFormatting>
  <conditionalFormatting sqref="E9:E139">
    <cfRule type="containsBlanks" dxfId="61" priority="3">
      <formula>LEN(TRIM(E9))=0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Drop_downs!$D$3:$D$7</xm:f>
          </x14:formula1>
          <xm:sqref>A3:A26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V1000"/>
  <sheetViews>
    <sheetView workbookViewId="0">
      <selection activeCell="A24" sqref="A24"/>
    </sheetView>
  </sheetViews>
  <sheetFormatPr baseColWidth="10" defaultColWidth="11.28515625" defaultRowHeight="15" customHeight="1"/>
  <cols>
    <col min="1" max="1" width="43.85546875" customWidth="1"/>
    <col min="2" max="2" width="17.42578125" customWidth="1"/>
    <col min="3" max="5" width="43.85546875" customWidth="1"/>
    <col min="6" max="6" width="18.85546875" customWidth="1"/>
    <col min="7" max="22" width="8.85546875" customWidth="1"/>
  </cols>
  <sheetData>
    <row r="1" spans="1:22" ht="17.25" customHeight="1">
      <c r="A1" s="48" t="s">
        <v>4814</v>
      </c>
      <c r="B1" s="49" t="s">
        <v>4830</v>
      </c>
      <c r="C1" s="50"/>
      <c r="D1" s="50"/>
      <c r="E1" s="51" t="s">
        <v>4831</v>
      </c>
      <c r="F1" s="52"/>
      <c r="G1" s="31"/>
      <c r="H1" s="20"/>
      <c r="I1" s="20"/>
      <c r="J1" s="20"/>
      <c r="K1" s="20"/>
      <c r="L1" s="20"/>
      <c r="M1" s="20"/>
      <c r="N1" s="20"/>
      <c r="O1" s="20"/>
      <c r="P1" s="20"/>
      <c r="Q1" s="20"/>
      <c r="R1" s="20"/>
      <c r="S1" s="20"/>
      <c r="T1" s="20"/>
      <c r="U1" s="20"/>
      <c r="V1" s="20"/>
    </row>
    <row r="2" spans="1:22" ht="17.25" customHeight="1">
      <c r="A2" s="41" t="s">
        <v>4832</v>
      </c>
      <c r="B2" s="42" t="s">
        <v>4819</v>
      </c>
      <c r="C2" s="42" t="s">
        <v>4833</v>
      </c>
      <c r="D2" s="42" t="s">
        <v>4834</v>
      </c>
      <c r="E2" s="53" t="s">
        <v>4835</v>
      </c>
      <c r="F2" s="54" t="s">
        <v>4836</v>
      </c>
      <c r="G2" s="31"/>
      <c r="H2" s="20"/>
      <c r="I2" s="20"/>
      <c r="J2" s="20"/>
      <c r="K2" s="20"/>
      <c r="L2" s="20"/>
      <c r="M2" s="20"/>
      <c r="N2" s="20"/>
      <c r="O2" s="20"/>
      <c r="P2" s="20"/>
      <c r="Q2" s="20"/>
      <c r="R2" s="20"/>
      <c r="S2" s="20"/>
      <c r="T2" s="20"/>
      <c r="U2" s="20"/>
      <c r="V2" s="20"/>
    </row>
    <row r="3" spans="1:22" ht="17.25" customHeight="1">
      <c r="A3" s="15" t="s">
        <v>4837</v>
      </c>
      <c r="B3" s="55">
        <v>0.03</v>
      </c>
      <c r="C3" s="15">
        <v>1.2</v>
      </c>
      <c r="D3" s="15" t="s">
        <v>4838</v>
      </c>
      <c r="E3" s="15" t="s">
        <v>4839</v>
      </c>
      <c r="F3" s="56" t="s">
        <v>4840</v>
      </c>
      <c r="G3" s="31"/>
      <c r="H3" s="20"/>
      <c r="I3" s="20"/>
      <c r="J3" s="20"/>
      <c r="K3" s="20"/>
      <c r="L3" s="20"/>
      <c r="M3" s="20"/>
      <c r="N3" s="20"/>
      <c r="O3" s="20"/>
      <c r="P3" s="20"/>
      <c r="Q3" s="20"/>
      <c r="R3" s="20"/>
      <c r="S3" s="20"/>
      <c r="T3" s="20"/>
      <c r="U3" s="20"/>
      <c r="V3" s="20"/>
    </row>
    <row r="4" spans="1:22" ht="17.25" customHeight="1">
      <c r="A4" s="15" t="s">
        <v>4841</v>
      </c>
      <c r="B4" s="55">
        <v>0.03</v>
      </c>
      <c r="C4" s="15">
        <v>1.2</v>
      </c>
      <c r="D4" s="15" t="s">
        <v>4838</v>
      </c>
      <c r="E4" s="15" t="s">
        <v>4839</v>
      </c>
      <c r="F4" s="56" t="s">
        <v>4840</v>
      </c>
      <c r="G4" s="31"/>
      <c r="H4" s="20"/>
      <c r="I4" s="20"/>
      <c r="J4" s="20"/>
      <c r="K4" s="20"/>
      <c r="L4" s="20"/>
      <c r="M4" s="20"/>
      <c r="N4" s="20"/>
      <c r="O4" s="20"/>
      <c r="P4" s="20"/>
      <c r="Q4" s="20"/>
      <c r="R4" s="20"/>
      <c r="S4" s="20"/>
      <c r="T4" s="20"/>
      <c r="U4" s="20"/>
      <c r="V4" s="20"/>
    </row>
    <row r="5" spans="1:22" ht="17.25" customHeight="1">
      <c r="A5" s="15" t="s">
        <v>4842</v>
      </c>
      <c r="B5" s="57">
        <v>0.03</v>
      </c>
      <c r="C5" s="15">
        <v>1.2</v>
      </c>
      <c r="D5" s="57" t="s">
        <v>4838</v>
      </c>
      <c r="E5" s="57" t="s">
        <v>4839</v>
      </c>
      <c r="F5" s="56" t="s">
        <v>4840</v>
      </c>
      <c r="G5" s="31"/>
      <c r="H5" s="20"/>
      <c r="I5" s="20"/>
      <c r="J5" s="20"/>
      <c r="K5" s="20"/>
      <c r="L5" s="20"/>
      <c r="M5" s="20"/>
      <c r="N5" s="20"/>
      <c r="O5" s="20"/>
      <c r="P5" s="20"/>
      <c r="Q5" s="20"/>
      <c r="R5" s="20"/>
      <c r="S5" s="20"/>
      <c r="T5" s="20"/>
      <c r="U5" s="20"/>
      <c r="V5" s="20"/>
    </row>
    <row r="6" spans="1:22" ht="17.25" customHeight="1">
      <c r="A6" s="15" t="s">
        <v>4843</v>
      </c>
      <c r="B6" s="57">
        <v>3.9E-2</v>
      </c>
      <c r="C6" s="15">
        <v>1.2</v>
      </c>
      <c r="D6" s="57" t="s">
        <v>4838</v>
      </c>
      <c r="E6" s="57" t="s">
        <v>4844</v>
      </c>
      <c r="F6" s="56" t="s">
        <v>4840</v>
      </c>
      <c r="G6" s="31"/>
      <c r="H6" s="20"/>
      <c r="I6" s="20"/>
      <c r="J6" s="20"/>
      <c r="K6" s="20"/>
      <c r="L6" s="20"/>
      <c r="M6" s="20"/>
      <c r="N6" s="20"/>
      <c r="O6" s="20"/>
      <c r="P6" s="20"/>
      <c r="Q6" s="20"/>
      <c r="R6" s="20"/>
      <c r="S6" s="20"/>
      <c r="T6" s="20"/>
      <c r="U6" s="20"/>
      <c r="V6" s="20"/>
    </row>
    <row r="7" spans="1:22" ht="17.25" customHeight="1">
      <c r="A7" s="15" t="s">
        <v>4845</v>
      </c>
      <c r="B7" s="57">
        <v>3.9E-2</v>
      </c>
      <c r="C7" s="15">
        <v>1.2</v>
      </c>
      <c r="D7" s="57" t="s">
        <v>4838</v>
      </c>
      <c r="E7" s="57" t="s">
        <v>4844</v>
      </c>
      <c r="F7" s="56" t="s">
        <v>4840</v>
      </c>
      <c r="G7" s="31"/>
      <c r="H7" s="20"/>
      <c r="I7" s="20"/>
      <c r="J7" s="20"/>
      <c r="K7" s="20"/>
      <c r="L7" s="20"/>
      <c r="M7" s="20"/>
      <c r="N7" s="20"/>
      <c r="O7" s="20"/>
      <c r="P7" s="20"/>
      <c r="Q7" s="20"/>
      <c r="R7" s="20"/>
      <c r="S7" s="20"/>
      <c r="T7" s="20"/>
      <c r="U7" s="20"/>
      <c r="V7" s="20"/>
    </row>
    <row r="8" spans="1:22" ht="17.25" customHeight="1">
      <c r="A8" s="15" t="s">
        <v>4846</v>
      </c>
      <c r="B8" s="57">
        <v>3.9E-2</v>
      </c>
      <c r="C8" s="15">
        <v>1.2</v>
      </c>
      <c r="D8" s="57" t="s">
        <v>4838</v>
      </c>
      <c r="E8" s="57" t="s">
        <v>4844</v>
      </c>
      <c r="F8" s="56" t="s">
        <v>4840</v>
      </c>
      <c r="G8" s="31"/>
      <c r="H8" s="20"/>
      <c r="I8" s="20"/>
      <c r="J8" s="20"/>
      <c r="K8" s="20"/>
      <c r="L8" s="20"/>
      <c r="M8" s="20"/>
      <c r="N8" s="20"/>
      <c r="O8" s="20"/>
      <c r="P8" s="20"/>
      <c r="Q8" s="20"/>
      <c r="R8" s="20"/>
      <c r="S8" s="20"/>
      <c r="T8" s="20"/>
      <c r="U8" s="20"/>
      <c r="V8" s="20"/>
    </row>
    <row r="9" spans="1:22" ht="17.25" customHeight="1">
      <c r="A9" s="15" t="s">
        <v>4847</v>
      </c>
      <c r="B9" s="57">
        <v>7.0000000000000007E-2</v>
      </c>
      <c r="C9" s="15">
        <v>1.2</v>
      </c>
      <c r="D9" s="57" t="s">
        <v>4838</v>
      </c>
      <c r="E9" s="57" t="s">
        <v>4848</v>
      </c>
      <c r="F9" s="56" t="s">
        <v>4840</v>
      </c>
      <c r="G9" s="31"/>
      <c r="H9" s="20"/>
      <c r="I9" s="20"/>
      <c r="J9" s="20"/>
      <c r="K9" s="20"/>
      <c r="L9" s="20"/>
      <c r="M9" s="20"/>
      <c r="N9" s="20"/>
      <c r="O9" s="20"/>
      <c r="P9" s="20"/>
      <c r="Q9" s="20"/>
      <c r="R9" s="20"/>
      <c r="S9" s="20"/>
      <c r="T9" s="20"/>
      <c r="U9" s="20"/>
      <c r="V9" s="20"/>
    </row>
    <row r="10" spans="1:22" ht="17.25" customHeight="1">
      <c r="A10" s="15" t="s">
        <v>4849</v>
      </c>
      <c r="B10" s="57">
        <v>7.0000000000000007E-2</v>
      </c>
      <c r="C10" s="15">
        <v>1.2</v>
      </c>
      <c r="D10" s="57" t="s">
        <v>4838</v>
      </c>
      <c r="E10" s="57" t="s">
        <v>4848</v>
      </c>
      <c r="F10" s="56" t="s">
        <v>4840</v>
      </c>
      <c r="G10" s="31"/>
      <c r="H10" s="20"/>
      <c r="I10" s="20"/>
      <c r="J10" s="20"/>
      <c r="K10" s="20"/>
      <c r="L10" s="20"/>
      <c r="M10" s="20"/>
      <c r="N10" s="20"/>
      <c r="O10" s="20"/>
      <c r="P10" s="20"/>
      <c r="Q10" s="20"/>
      <c r="R10" s="20"/>
      <c r="S10" s="20"/>
      <c r="T10" s="20"/>
      <c r="U10" s="20"/>
      <c r="V10" s="20"/>
    </row>
    <row r="11" spans="1:22" ht="17.25" customHeight="1">
      <c r="A11" s="15" t="s">
        <v>4850</v>
      </c>
      <c r="B11" s="57">
        <v>7.0000000000000007E-2</v>
      </c>
      <c r="C11" s="15">
        <v>1.2</v>
      </c>
      <c r="D11" s="57" t="s">
        <v>4838</v>
      </c>
      <c r="E11" s="57" t="s">
        <v>4848</v>
      </c>
      <c r="F11" s="56" t="s">
        <v>4840</v>
      </c>
      <c r="G11" s="31"/>
      <c r="H11" s="20"/>
      <c r="I11" s="20"/>
      <c r="J11" s="20"/>
      <c r="K11" s="20"/>
      <c r="L11" s="20"/>
      <c r="M11" s="20"/>
      <c r="N11" s="20"/>
      <c r="O11" s="20"/>
      <c r="P11" s="20"/>
      <c r="Q11" s="20"/>
      <c r="R11" s="20"/>
      <c r="S11" s="20"/>
      <c r="T11" s="20"/>
      <c r="U11" s="20"/>
      <c r="V11" s="20"/>
    </row>
    <row r="12" spans="1:22" ht="17.25" customHeight="1">
      <c r="A12" s="15" t="s">
        <v>4851</v>
      </c>
      <c r="B12" s="57">
        <v>0.30499999999999999</v>
      </c>
      <c r="C12" s="15">
        <v>1.2</v>
      </c>
      <c r="D12" s="57" t="s">
        <v>4838</v>
      </c>
      <c r="E12" s="57" t="s">
        <v>4852</v>
      </c>
      <c r="F12" s="56" t="s">
        <v>4840</v>
      </c>
      <c r="G12" s="31"/>
      <c r="H12" s="20"/>
      <c r="I12" s="20"/>
      <c r="J12" s="20"/>
      <c r="K12" s="20"/>
      <c r="L12" s="20"/>
      <c r="M12" s="20"/>
      <c r="N12" s="20"/>
      <c r="O12" s="20"/>
      <c r="P12" s="20"/>
      <c r="Q12" s="20"/>
      <c r="R12" s="20"/>
      <c r="S12" s="20"/>
      <c r="T12" s="20"/>
      <c r="U12" s="20"/>
      <c r="V12" s="20"/>
    </row>
    <row r="13" spans="1:22" ht="17.25" customHeight="1">
      <c r="A13" s="15" t="s">
        <v>4853</v>
      </c>
      <c r="B13" s="57">
        <v>4.4999999999999998E-2</v>
      </c>
      <c r="C13" s="15">
        <v>1.2</v>
      </c>
      <c r="D13" s="57" t="s">
        <v>4838</v>
      </c>
      <c r="E13" s="57" t="s">
        <v>4854</v>
      </c>
      <c r="F13" s="56" t="s">
        <v>4840</v>
      </c>
      <c r="G13" s="31"/>
      <c r="H13" s="20"/>
      <c r="I13" s="20"/>
      <c r="J13" s="20"/>
      <c r="K13" s="20"/>
      <c r="L13" s="20"/>
      <c r="M13" s="20"/>
      <c r="N13" s="20"/>
      <c r="O13" s="20"/>
      <c r="P13" s="20"/>
      <c r="Q13" s="20"/>
      <c r="R13" s="20"/>
      <c r="S13" s="20"/>
      <c r="T13" s="20"/>
      <c r="U13" s="20"/>
      <c r="V13" s="20"/>
    </row>
    <row r="14" spans="1:22" ht="17.25" customHeight="1">
      <c r="A14" s="15" t="s">
        <v>4855</v>
      </c>
      <c r="B14" s="57">
        <v>4.4999999999999998E-2</v>
      </c>
      <c r="C14" s="15">
        <v>1.2</v>
      </c>
      <c r="D14" s="57" t="s">
        <v>4838</v>
      </c>
      <c r="E14" s="57" t="s">
        <v>4854</v>
      </c>
      <c r="F14" s="56" t="s">
        <v>4840</v>
      </c>
      <c r="G14" s="31"/>
      <c r="H14" s="20"/>
      <c r="I14" s="20"/>
      <c r="J14" s="20"/>
      <c r="K14" s="20"/>
      <c r="L14" s="20"/>
      <c r="M14" s="20"/>
      <c r="N14" s="20"/>
      <c r="O14" s="20"/>
      <c r="P14" s="20"/>
      <c r="Q14" s="20"/>
      <c r="R14" s="20"/>
      <c r="S14" s="20"/>
      <c r="T14" s="20"/>
      <c r="U14" s="20"/>
      <c r="V14" s="20"/>
    </row>
    <row r="15" spans="1:22" ht="17.25" customHeight="1">
      <c r="A15" s="55" t="s">
        <v>4856</v>
      </c>
      <c r="B15" s="57">
        <v>0.30499999999999999</v>
      </c>
      <c r="C15" s="15">
        <v>1.2</v>
      </c>
      <c r="D15" s="57" t="s">
        <v>4838</v>
      </c>
      <c r="E15" s="57" t="s">
        <v>4852</v>
      </c>
      <c r="F15" s="56" t="s">
        <v>4840</v>
      </c>
      <c r="G15" s="31"/>
      <c r="H15" s="20"/>
      <c r="I15" s="20"/>
      <c r="J15" s="20"/>
      <c r="K15" s="20"/>
      <c r="L15" s="20"/>
      <c r="M15" s="20"/>
      <c r="N15" s="20"/>
      <c r="O15" s="20"/>
      <c r="P15" s="20"/>
      <c r="Q15" s="20"/>
      <c r="R15" s="20"/>
      <c r="S15" s="20"/>
      <c r="T15" s="20"/>
      <c r="U15" s="20"/>
      <c r="V15" s="20"/>
    </row>
    <row r="16" spans="1:22" ht="17.25" customHeight="1">
      <c r="A16" s="55" t="s">
        <v>4857</v>
      </c>
      <c r="B16" s="57">
        <v>0.30499999999999999</v>
      </c>
      <c r="C16" s="15">
        <v>1.2</v>
      </c>
      <c r="D16" s="57" t="s">
        <v>4838</v>
      </c>
      <c r="E16" s="57" t="s">
        <v>4852</v>
      </c>
      <c r="F16" s="56" t="s">
        <v>4840</v>
      </c>
      <c r="G16" s="31"/>
      <c r="H16" s="20"/>
      <c r="I16" s="20"/>
      <c r="J16" s="20"/>
      <c r="K16" s="20"/>
      <c r="L16" s="20"/>
      <c r="M16" s="20"/>
      <c r="N16" s="20"/>
      <c r="O16" s="20"/>
      <c r="P16" s="20"/>
      <c r="Q16" s="20"/>
      <c r="R16" s="20"/>
      <c r="S16" s="20"/>
      <c r="T16" s="20"/>
      <c r="U16" s="20"/>
      <c r="V16" s="20"/>
    </row>
    <row r="17" spans="1:22" ht="17.25" customHeight="1">
      <c r="A17" s="55" t="s">
        <v>4858</v>
      </c>
      <c r="B17" s="57">
        <v>0</v>
      </c>
      <c r="C17" s="15">
        <v>1.2</v>
      </c>
      <c r="D17" s="57" t="s">
        <v>4838</v>
      </c>
      <c r="E17" s="57" t="s">
        <v>4859</v>
      </c>
      <c r="F17" s="56" t="s">
        <v>4840</v>
      </c>
      <c r="G17" s="31"/>
      <c r="H17" s="20"/>
      <c r="I17" s="20"/>
      <c r="J17" s="20"/>
      <c r="K17" s="20"/>
      <c r="L17" s="20"/>
      <c r="M17" s="20"/>
      <c r="N17" s="20"/>
      <c r="O17" s="20"/>
      <c r="P17" s="20"/>
      <c r="Q17" s="20"/>
      <c r="R17" s="20"/>
      <c r="S17" s="20"/>
      <c r="T17" s="20"/>
      <c r="U17" s="20"/>
      <c r="V17" s="20"/>
    </row>
    <row r="18" spans="1:22" ht="17.25" customHeight="1">
      <c r="A18" s="55" t="s">
        <v>4860</v>
      </c>
      <c r="B18" s="57">
        <v>0</v>
      </c>
      <c r="C18" s="15">
        <v>1.2</v>
      </c>
      <c r="D18" s="57" t="s">
        <v>4838</v>
      </c>
      <c r="E18" s="57" t="s">
        <v>4859</v>
      </c>
      <c r="F18" s="56" t="s">
        <v>4840</v>
      </c>
      <c r="G18" s="31"/>
      <c r="H18" s="20"/>
      <c r="I18" s="20"/>
      <c r="J18" s="20"/>
      <c r="K18" s="20"/>
      <c r="L18" s="20"/>
      <c r="M18" s="20"/>
      <c r="N18" s="20"/>
      <c r="O18" s="20"/>
      <c r="P18" s="20"/>
      <c r="Q18" s="20"/>
      <c r="R18" s="20"/>
      <c r="S18" s="20"/>
      <c r="T18" s="20"/>
      <c r="U18" s="20"/>
      <c r="V18" s="20"/>
    </row>
    <row r="19" spans="1:22" ht="17.25" customHeight="1">
      <c r="A19" s="55" t="s">
        <v>4861</v>
      </c>
      <c r="B19" s="57">
        <v>6.4000000000000001E-2</v>
      </c>
      <c r="C19" s="15">
        <v>1.2</v>
      </c>
      <c r="D19" s="57" t="s">
        <v>4838</v>
      </c>
      <c r="E19" s="57" t="s">
        <v>4862</v>
      </c>
      <c r="F19" s="56" t="s">
        <v>4840</v>
      </c>
      <c r="G19" s="31"/>
      <c r="H19" s="20"/>
      <c r="I19" s="20"/>
      <c r="J19" s="20"/>
      <c r="K19" s="20"/>
      <c r="L19" s="20"/>
      <c r="M19" s="20"/>
      <c r="N19" s="20"/>
      <c r="O19" s="20"/>
      <c r="P19" s="20"/>
      <c r="Q19" s="20"/>
      <c r="R19" s="20"/>
      <c r="S19" s="20"/>
      <c r="T19" s="20"/>
      <c r="U19" s="20"/>
      <c r="V19" s="20"/>
    </row>
    <row r="20" spans="1:22" ht="17.25" customHeight="1">
      <c r="A20" s="55" t="s">
        <v>4863</v>
      </c>
      <c r="B20" s="57">
        <v>0</v>
      </c>
      <c r="C20" s="15">
        <v>1.2</v>
      </c>
      <c r="D20" s="57" t="s">
        <v>4838</v>
      </c>
      <c r="E20" s="57" t="s">
        <v>4864</v>
      </c>
      <c r="F20" s="56" t="s">
        <v>4840</v>
      </c>
      <c r="G20" s="31"/>
      <c r="H20" s="20"/>
      <c r="I20" s="20"/>
      <c r="J20" s="20"/>
      <c r="K20" s="20"/>
      <c r="L20" s="20"/>
      <c r="M20" s="20"/>
      <c r="N20" s="20"/>
      <c r="O20" s="20"/>
      <c r="P20" s="20"/>
      <c r="Q20" s="20"/>
      <c r="R20" s="20"/>
      <c r="S20" s="20"/>
      <c r="T20" s="20"/>
      <c r="U20" s="20"/>
      <c r="V20" s="20"/>
    </row>
    <row r="21" spans="1:22" ht="17.25" customHeight="1">
      <c r="A21" s="55" t="s">
        <v>4865</v>
      </c>
      <c r="B21" s="57">
        <v>0</v>
      </c>
      <c r="C21" s="15">
        <v>1.2</v>
      </c>
      <c r="D21" s="57" t="s">
        <v>4838</v>
      </c>
      <c r="E21" s="57" t="s">
        <v>4859</v>
      </c>
      <c r="F21" s="56" t="s">
        <v>4840</v>
      </c>
      <c r="G21" s="31"/>
      <c r="H21" s="20"/>
      <c r="I21" s="20"/>
      <c r="J21" s="20"/>
      <c r="K21" s="20"/>
      <c r="L21" s="20"/>
      <c r="M21" s="20"/>
      <c r="N21" s="20"/>
      <c r="O21" s="20"/>
      <c r="P21" s="20"/>
      <c r="Q21" s="20"/>
      <c r="R21" s="20"/>
      <c r="S21" s="20"/>
      <c r="T21" s="20"/>
      <c r="U21" s="20"/>
      <c r="V21" s="20"/>
    </row>
    <row r="22" spans="1:22" ht="17.25" customHeight="1">
      <c r="B22" s="57"/>
      <c r="C22" s="57"/>
      <c r="D22" s="57"/>
      <c r="E22" s="57"/>
      <c r="F22" s="58"/>
      <c r="G22" s="31"/>
      <c r="H22" s="20"/>
      <c r="I22" s="20"/>
      <c r="J22" s="20"/>
      <c r="K22" s="20"/>
      <c r="L22" s="20"/>
      <c r="M22" s="20"/>
      <c r="N22" s="20"/>
      <c r="O22" s="20"/>
      <c r="P22" s="20"/>
      <c r="Q22" s="20"/>
      <c r="R22" s="20"/>
      <c r="S22" s="20"/>
      <c r="T22" s="20"/>
      <c r="U22" s="20"/>
      <c r="V22" s="20"/>
    </row>
    <row r="23" spans="1:22" ht="17.25" customHeight="1">
      <c r="B23" s="57"/>
      <c r="C23" s="57"/>
      <c r="D23" s="57"/>
      <c r="E23" s="57"/>
      <c r="F23" s="58"/>
      <c r="G23" s="31"/>
      <c r="H23" s="20"/>
      <c r="I23" s="20"/>
      <c r="J23" s="20"/>
      <c r="K23" s="20"/>
      <c r="L23" s="20"/>
      <c r="M23" s="20"/>
      <c r="N23" s="20"/>
      <c r="O23" s="20"/>
      <c r="P23" s="20"/>
      <c r="Q23" s="20"/>
      <c r="R23" s="20"/>
      <c r="S23" s="20"/>
      <c r="T23" s="20"/>
      <c r="U23" s="20"/>
      <c r="V23" s="20"/>
    </row>
    <row r="24" spans="1:22" ht="17.25" customHeight="1">
      <c r="B24" s="57"/>
      <c r="C24" s="57"/>
      <c r="D24" s="57"/>
      <c r="E24" s="57"/>
      <c r="F24" s="58"/>
      <c r="G24" s="31"/>
      <c r="H24" s="20"/>
      <c r="I24" s="20"/>
      <c r="J24" s="20"/>
      <c r="K24" s="20"/>
      <c r="L24" s="20"/>
      <c r="M24" s="20"/>
      <c r="N24" s="20"/>
      <c r="O24" s="20"/>
      <c r="P24" s="20"/>
      <c r="Q24" s="20"/>
      <c r="R24" s="20"/>
      <c r="S24" s="20"/>
      <c r="T24" s="20"/>
      <c r="U24" s="20"/>
      <c r="V24" s="20"/>
    </row>
    <row r="25" spans="1:22" ht="17.25" customHeight="1">
      <c r="B25" s="57"/>
      <c r="C25" s="57"/>
      <c r="D25" s="57"/>
      <c r="E25" s="57"/>
      <c r="F25" s="59"/>
      <c r="G25" s="31"/>
      <c r="H25" s="20"/>
      <c r="I25" s="20"/>
      <c r="J25" s="20"/>
      <c r="K25" s="20"/>
      <c r="L25" s="20"/>
      <c r="M25" s="20"/>
      <c r="N25" s="20"/>
      <c r="O25" s="20"/>
      <c r="P25" s="20"/>
      <c r="Q25" s="20"/>
      <c r="R25" s="20"/>
      <c r="S25" s="20"/>
      <c r="T25" s="20"/>
      <c r="U25" s="20"/>
      <c r="V25" s="20"/>
    </row>
    <row r="26" spans="1:22" ht="17.25" customHeight="1">
      <c r="B26" s="57"/>
      <c r="C26" s="57"/>
      <c r="D26" s="57"/>
      <c r="E26" s="57"/>
      <c r="F26" s="59"/>
      <c r="G26" s="31"/>
      <c r="H26" s="20"/>
      <c r="I26" s="20"/>
      <c r="J26" s="20"/>
      <c r="K26" s="20"/>
      <c r="L26" s="20"/>
      <c r="M26" s="20"/>
      <c r="N26" s="20"/>
      <c r="O26" s="20"/>
      <c r="P26" s="20"/>
      <c r="Q26" s="20"/>
      <c r="R26" s="20"/>
      <c r="S26" s="20"/>
      <c r="T26" s="20"/>
      <c r="U26" s="20"/>
      <c r="V26" s="20"/>
    </row>
    <row r="27" spans="1:22" ht="17.25" customHeight="1">
      <c r="B27" s="57"/>
      <c r="C27" s="57"/>
      <c r="D27" s="57"/>
      <c r="E27" s="57"/>
      <c r="F27" s="59"/>
      <c r="G27" s="31"/>
      <c r="H27" s="20"/>
      <c r="I27" s="20"/>
      <c r="J27" s="20"/>
      <c r="K27" s="20"/>
      <c r="L27" s="20"/>
      <c r="M27" s="20"/>
      <c r="N27" s="20"/>
      <c r="O27" s="20"/>
      <c r="P27" s="20"/>
      <c r="Q27" s="20"/>
      <c r="R27" s="20"/>
      <c r="S27" s="20"/>
      <c r="T27" s="20"/>
      <c r="U27" s="20"/>
      <c r="V27" s="20"/>
    </row>
    <row r="28" spans="1:22" ht="17.25" customHeight="1">
      <c r="A28" s="60"/>
      <c r="B28" s="57"/>
      <c r="C28" s="57"/>
      <c r="D28" s="57"/>
      <c r="E28" s="57"/>
      <c r="F28" s="59"/>
      <c r="G28" s="31"/>
      <c r="H28" s="20"/>
      <c r="I28" s="20"/>
      <c r="J28" s="20"/>
      <c r="K28" s="20"/>
      <c r="L28" s="20"/>
      <c r="M28" s="20"/>
      <c r="N28" s="20"/>
      <c r="O28" s="20"/>
      <c r="P28" s="20"/>
      <c r="Q28" s="20"/>
      <c r="R28" s="20"/>
      <c r="S28" s="20"/>
      <c r="T28" s="20"/>
      <c r="U28" s="20"/>
      <c r="V28" s="20"/>
    </row>
    <row r="29" spans="1:22" ht="17.25" customHeight="1">
      <c r="A29" s="61"/>
      <c r="B29" s="57"/>
      <c r="C29" s="57"/>
      <c r="D29" s="57"/>
      <c r="E29" s="57"/>
      <c r="F29" s="59"/>
      <c r="G29" s="31"/>
      <c r="H29" s="20"/>
      <c r="I29" s="20"/>
      <c r="J29" s="20"/>
      <c r="K29" s="20"/>
      <c r="L29" s="20"/>
      <c r="M29" s="20"/>
      <c r="N29" s="20"/>
      <c r="O29" s="20"/>
      <c r="P29" s="20"/>
      <c r="Q29" s="20"/>
      <c r="R29" s="20"/>
      <c r="S29" s="20"/>
      <c r="T29" s="20"/>
      <c r="U29" s="20"/>
      <c r="V29" s="20"/>
    </row>
    <row r="30" spans="1:22" ht="17.25" customHeight="1">
      <c r="A30" s="61"/>
      <c r="B30" s="57"/>
      <c r="C30" s="57"/>
      <c r="D30" s="57"/>
      <c r="E30" s="57"/>
      <c r="F30" s="59"/>
      <c r="G30" s="31"/>
      <c r="H30" s="20"/>
      <c r="I30" s="20"/>
      <c r="J30" s="20"/>
      <c r="K30" s="20"/>
      <c r="L30" s="20"/>
      <c r="M30" s="20"/>
      <c r="N30" s="20"/>
      <c r="O30" s="20"/>
      <c r="P30" s="20"/>
      <c r="Q30" s="20"/>
      <c r="R30" s="20"/>
      <c r="S30" s="20"/>
      <c r="T30" s="20"/>
      <c r="U30" s="20"/>
      <c r="V30" s="20"/>
    </row>
    <row r="31" spans="1:22" ht="17.25" customHeight="1">
      <c r="B31" s="57"/>
      <c r="C31" s="57"/>
      <c r="D31" s="57"/>
      <c r="E31" s="57"/>
      <c r="F31" s="59"/>
      <c r="G31" s="31"/>
      <c r="H31" s="20"/>
      <c r="I31" s="20"/>
      <c r="J31" s="20"/>
      <c r="K31" s="20"/>
      <c r="L31" s="20"/>
      <c r="M31" s="20"/>
      <c r="N31" s="20"/>
      <c r="O31" s="20"/>
      <c r="P31" s="20"/>
      <c r="Q31" s="20"/>
      <c r="R31" s="20"/>
      <c r="S31" s="20"/>
      <c r="T31" s="20"/>
      <c r="U31" s="20"/>
      <c r="V31" s="20"/>
    </row>
    <row r="32" spans="1:22" ht="17.25" customHeight="1">
      <c r="B32" s="57"/>
      <c r="C32" s="57"/>
      <c r="D32" s="57"/>
      <c r="E32" s="57"/>
      <c r="F32" s="59"/>
      <c r="G32" s="31"/>
      <c r="H32" s="20"/>
      <c r="I32" s="20"/>
      <c r="J32" s="20"/>
      <c r="K32" s="20"/>
      <c r="L32" s="20"/>
      <c r="M32" s="20"/>
      <c r="N32" s="20"/>
      <c r="O32" s="20"/>
      <c r="P32" s="20"/>
      <c r="Q32" s="20"/>
      <c r="R32" s="20"/>
      <c r="S32" s="20"/>
      <c r="T32" s="20"/>
      <c r="U32" s="20"/>
      <c r="V32" s="20"/>
    </row>
    <row r="33" spans="2:22" ht="17.25" customHeight="1">
      <c r="B33" s="57"/>
      <c r="C33" s="57"/>
      <c r="D33" s="57"/>
      <c r="E33" s="57"/>
      <c r="F33" s="59"/>
      <c r="G33" s="31"/>
      <c r="H33" s="20"/>
      <c r="I33" s="20"/>
      <c r="J33" s="20"/>
      <c r="K33" s="20"/>
      <c r="L33" s="20"/>
      <c r="M33" s="20"/>
      <c r="N33" s="20"/>
      <c r="O33" s="20"/>
      <c r="P33" s="20"/>
      <c r="Q33" s="20"/>
      <c r="R33" s="20"/>
      <c r="S33" s="20"/>
      <c r="T33" s="20"/>
      <c r="U33" s="20"/>
      <c r="V33" s="20"/>
    </row>
    <row r="34" spans="2:22" ht="17.25" customHeight="1">
      <c r="B34" s="57"/>
      <c r="C34" s="57"/>
      <c r="D34" s="57"/>
      <c r="E34" s="57"/>
      <c r="F34" s="59"/>
      <c r="G34" s="31"/>
      <c r="H34" s="20"/>
      <c r="I34" s="20"/>
      <c r="J34" s="20"/>
      <c r="K34" s="20"/>
      <c r="L34" s="20"/>
      <c r="M34" s="20"/>
      <c r="N34" s="20"/>
      <c r="O34" s="20"/>
      <c r="P34" s="20"/>
      <c r="Q34" s="20"/>
      <c r="R34" s="20"/>
      <c r="S34" s="20"/>
      <c r="T34" s="20"/>
      <c r="U34" s="20"/>
      <c r="V34" s="20"/>
    </row>
    <row r="35" spans="2:22" ht="17.25" customHeight="1">
      <c r="B35" s="57"/>
      <c r="C35" s="57"/>
      <c r="D35" s="57"/>
      <c r="E35" s="57"/>
      <c r="F35" s="59"/>
      <c r="G35" s="31"/>
      <c r="H35" s="20"/>
      <c r="I35" s="20"/>
      <c r="J35" s="20"/>
      <c r="K35" s="20"/>
      <c r="L35" s="20"/>
      <c r="M35" s="20"/>
      <c r="N35" s="20"/>
      <c r="O35" s="20"/>
      <c r="P35" s="20"/>
      <c r="Q35" s="20"/>
      <c r="R35" s="20"/>
      <c r="S35" s="20"/>
      <c r="T35" s="20"/>
      <c r="U35" s="20"/>
      <c r="V35" s="20"/>
    </row>
    <row r="36" spans="2:22" ht="17.25" customHeight="1">
      <c r="B36" s="57"/>
      <c r="C36" s="57"/>
      <c r="D36" s="57"/>
      <c r="E36" s="57"/>
      <c r="F36" s="59"/>
      <c r="G36" s="31"/>
      <c r="H36" s="20"/>
      <c r="I36" s="20"/>
      <c r="J36" s="20"/>
      <c r="K36" s="20"/>
      <c r="L36" s="20"/>
      <c r="M36" s="20"/>
      <c r="N36" s="20"/>
      <c r="O36" s="20"/>
      <c r="P36" s="20"/>
      <c r="Q36" s="20"/>
      <c r="R36" s="20"/>
      <c r="S36" s="20"/>
      <c r="T36" s="20"/>
      <c r="U36" s="20"/>
      <c r="V36" s="20"/>
    </row>
    <row r="37" spans="2:22" ht="17.25" customHeight="1">
      <c r="B37" s="57"/>
      <c r="C37" s="57"/>
      <c r="D37" s="57"/>
      <c r="E37" s="57"/>
      <c r="F37" s="59"/>
      <c r="G37" s="31"/>
      <c r="H37" s="20"/>
      <c r="I37" s="20"/>
      <c r="J37" s="20"/>
      <c r="K37" s="20"/>
      <c r="L37" s="20"/>
      <c r="M37" s="20"/>
      <c r="N37" s="20"/>
      <c r="O37" s="20"/>
      <c r="P37" s="20"/>
      <c r="Q37" s="20"/>
      <c r="R37" s="20"/>
      <c r="S37" s="20"/>
      <c r="T37" s="20"/>
      <c r="U37" s="20"/>
      <c r="V37" s="20"/>
    </row>
    <row r="38" spans="2:22" ht="17.25" customHeight="1">
      <c r="B38" s="57"/>
      <c r="C38" s="57"/>
      <c r="D38" s="57"/>
      <c r="E38" s="57"/>
      <c r="F38" s="59"/>
      <c r="G38" s="31"/>
      <c r="H38" s="20"/>
      <c r="I38" s="20"/>
      <c r="J38" s="20"/>
      <c r="K38" s="20"/>
      <c r="L38" s="20"/>
      <c r="M38" s="20"/>
      <c r="N38" s="20"/>
      <c r="O38" s="20"/>
      <c r="P38" s="20"/>
      <c r="Q38" s="20"/>
      <c r="R38" s="20"/>
      <c r="S38" s="20"/>
      <c r="T38" s="20"/>
      <c r="U38" s="20"/>
      <c r="V38" s="20"/>
    </row>
    <row r="39" spans="2:22" ht="17.25" customHeight="1">
      <c r="B39" s="57"/>
      <c r="C39" s="57"/>
      <c r="D39" s="57"/>
      <c r="E39" s="57"/>
      <c r="F39" s="59"/>
      <c r="G39" s="31"/>
      <c r="H39" s="20"/>
      <c r="I39" s="20"/>
      <c r="J39" s="20"/>
      <c r="K39" s="20"/>
      <c r="L39" s="20"/>
      <c r="M39" s="20"/>
      <c r="N39" s="20"/>
      <c r="O39" s="20"/>
      <c r="P39" s="20"/>
      <c r="Q39" s="20"/>
      <c r="R39" s="20"/>
      <c r="S39" s="20"/>
      <c r="T39" s="20"/>
      <c r="U39" s="20"/>
      <c r="V39" s="20"/>
    </row>
    <row r="40" spans="2:22" ht="17.25" customHeight="1">
      <c r="B40" s="57"/>
      <c r="C40" s="57"/>
      <c r="D40" s="57"/>
      <c r="E40" s="57"/>
      <c r="F40" s="58"/>
      <c r="G40" s="31"/>
      <c r="H40" s="20"/>
      <c r="I40" s="20"/>
      <c r="J40" s="20"/>
      <c r="K40" s="20"/>
      <c r="L40" s="20"/>
      <c r="M40" s="20"/>
      <c r="N40" s="20"/>
      <c r="O40" s="20"/>
      <c r="P40" s="20"/>
      <c r="Q40" s="20"/>
      <c r="R40" s="20"/>
      <c r="S40" s="20"/>
      <c r="T40" s="20"/>
      <c r="U40" s="20"/>
      <c r="V40" s="20"/>
    </row>
    <row r="41" spans="2:22" ht="17.25" customHeight="1">
      <c r="B41" s="57"/>
      <c r="C41" s="57"/>
      <c r="D41" s="57"/>
      <c r="E41" s="57"/>
      <c r="F41" s="58"/>
      <c r="G41" s="31"/>
      <c r="H41" s="20"/>
      <c r="I41" s="20"/>
      <c r="J41" s="20"/>
      <c r="K41" s="20"/>
      <c r="L41" s="20"/>
      <c r="M41" s="20"/>
      <c r="N41" s="20"/>
      <c r="O41" s="20"/>
      <c r="P41" s="20"/>
      <c r="Q41" s="20"/>
      <c r="R41" s="20"/>
      <c r="S41" s="20"/>
      <c r="T41" s="20"/>
      <c r="U41" s="20"/>
      <c r="V41" s="20"/>
    </row>
    <row r="42" spans="2:22" ht="17.25" customHeight="1">
      <c r="B42" s="57"/>
      <c r="C42" s="57"/>
      <c r="D42" s="57"/>
      <c r="E42" s="57"/>
      <c r="F42" s="58"/>
      <c r="G42" s="31"/>
      <c r="H42" s="20"/>
      <c r="I42" s="20"/>
      <c r="J42" s="20"/>
      <c r="K42" s="20"/>
      <c r="L42" s="20"/>
      <c r="M42" s="20"/>
      <c r="N42" s="20"/>
      <c r="O42" s="20"/>
      <c r="P42" s="20"/>
      <c r="Q42" s="20"/>
      <c r="R42" s="20"/>
      <c r="S42" s="20"/>
      <c r="T42" s="20"/>
      <c r="U42" s="20"/>
      <c r="V42" s="20"/>
    </row>
    <row r="43" spans="2:22" ht="17.25" customHeight="1">
      <c r="B43" s="57"/>
      <c r="C43" s="57"/>
      <c r="D43" s="57"/>
      <c r="E43" s="57"/>
      <c r="F43" s="58"/>
      <c r="G43" s="31"/>
      <c r="H43" s="20"/>
      <c r="I43" s="20"/>
      <c r="J43" s="20"/>
      <c r="K43" s="20"/>
      <c r="L43" s="20"/>
      <c r="M43" s="20"/>
      <c r="N43" s="20"/>
      <c r="O43" s="20"/>
      <c r="P43" s="20"/>
      <c r="Q43" s="20"/>
      <c r="R43" s="20"/>
      <c r="S43" s="20"/>
      <c r="T43" s="20"/>
      <c r="U43" s="20"/>
      <c r="V43" s="20"/>
    </row>
    <row r="44" spans="2:22" ht="17.25" customHeight="1">
      <c r="B44" s="57"/>
      <c r="C44" s="57"/>
      <c r="D44" s="57"/>
      <c r="E44" s="57"/>
      <c r="F44" s="58"/>
      <c r="G44" s="31"/>
      <c r="H44" s="20"/>
      <c r="I44" s="20"/>
      <c r="J44" s="20"/>
      <c r="K44" s="20"/>
      <c r="L44" s="20"/>
      <c r="M44" s="20"/>
      <c r="N44" s="20"/>
      <c r="O44" s="20"/>
      <c r="P44" s="20"/>
      <c r="Q44" s="20"/>
      <c r="R44" s="20"/>
      <c r="S44" s="20"/>
      <c r="T44" s="20"/>
      <c r="U44" s="20"/>
      <c r="V44" s="20"/>
    </row>
    <row r="45" spans="2:22" ht="17.25" customHeight="1">
      <c r="B45" s="57"/>
      <c r="C45" s="57"/>
      <c r="D45" s="57"/>
      <c r="E45" s="57"/>
      <c r="F45" s="59"/>
      <c r="G45" s="31"/>
      <c r="H45" s="20"/>
      <c r="I45" s="20"/>
      <c r="J45" s="20"/>
      <c r="K45" s="20"/>
      <c r="L45" s="20"/>
      <c r="M45" s="20"/>
      <c r="N45" s="20"/>
      <c r="O45" s="20"/>
      <c r="P45" s="20"/>
      <c r="Q45" s="20"/>
      <c r="R45" s="20"/>
      <c r="S45" s="20"/>
      <c r="T45" s="20"/>
      <c r="U45" s="20"/>
      <c r="V45" s="20"/>
    </row>
    <row r="46" spans="2:22" ht="17.25" customHeight="1">
      <c r="B46" s="57"/>
      <c r="C46" s="57"/>
      <c r="D46" s="57"/>
      <c r="E46" s="57"/>
      <c r="F46" s="59"/>
      <c r="G46" s="31"/>
      <c r="H46" s="20"/>
      <c r="I46" s="20"/>
      <c r="J46" s="20"/>
      <c r="K46" s="20"/>
      <c r="L46" s="20"/>
      <c r="M46" s="20"/>
      <c r="N46" s="20"/>
      <c r="O46" s="20"/>
      <c r="P46" s="20"/>
      <c r="Q46" s="20"/>
      <c r="R46" s="20"/>
      <c r="S46" s="20"/>
      <c r="T46" s="20"/>
      <c r="U46" s="20"/>
      <c r="V46" s="20"/>
    </row>
    <row r="47" spans="2:22" ht="17.25" customHeight="1">
      <c r="B47" s="57"/>
      <c r="C47" s="57"/>
      <c r="D47" s="57"/>
      <c r="E47" s="57"/>
      <c r="F47" s="59"/>
      <c r="G47" s="31"/>
      <c r="H47" s="20"/>
      <c r="I47" s="20"/>
      <c r="J47" s="20"/>
      <c r="K47" s="20"/>
      <c r="L47" s="20"/>
      <c r="M47" s="20"/>
      <c r="N47" s="20"/>
      <c r="O47" s="20"/>
      <c r="P47" s="20"/>
      <c r="Q47" s="20"/>
      <c r="R47" s="20"/>
      <c r="S47" s="20"/>
      <c r="T47" s="20"/>
      <c r="U47" s="20"/>
      <c r="V47" s="20"/>
    </row>
    <row r="48" spans="2:22" ht="17.25" customHeight="1">
      <c r="B48" s="57"/>
      <c r="C48" s="57"/>
      <c r="D48" s="57"/>
      <c r="E48" s="57"/>
      <c r="F48" s="59"/>
      <c r="G48" s="31"/>
      <c r="H48" s="20"/>
      <c r="I48" s="20"/>
      <c r="J48" s="20"/>
      <c r="K48" s="20"/>
      <c r="L48" s="20"/>
      <c r="M48" s="20"/>
      <c r="N48" s="20"/>
      <c r="O48" s="20"/>
      <c r="P48" s="20"/>
      <c r="Q48" s="20"/>
      <c r="R48" s="20"/>
      <c r="S48" s="20"/>
      <c r="T48" s="20"/>
      <c r="U48" s="20"/>
      <c r="V48" s="20"/>
    </row>
    <row r="49" spans="2:22" ht="17.25" customHeight="1">
      <c r="B49" s="57"/>
      <c r="C49" s="57"/>
      <c r="D49" s="57"/>
      <c r="E49" s="57"/>
      <c r="F49" s="59"/>
      <c r="G49" s="31"/>
      <c r="H49" s="20"/>
      <c r="I49" s="20"/>
      <c r="J49" s="20"/>
      <c r="K49" s="20"/>
      <c r="L49" s="20"/>
      <c r="M49" s="20"/>
      <c r="N49" s="20"/>
      <c r="O49" s="20"/>
      <c r="P49" s="20"/>
      <c r="Q49" s="20"/>
      <c r="R49" s="20"/>
      <c r="S49" s="20"/>
      <c r="T49" s="20"/>
      <c r="U49" s="20"/>
      <c r="V49" s="20"/>
    </row>
    <row r="50" spans="2:22" ht="17.25" customHeight="1">
      <c r="B50" s="57"/>
      <c r="C50" s="57"/>
      <c r="D50" s="57"/>
      <c r="E50" s="57"/>
      <c r="F50" s="59"/>
      <c r="G50" s="31"/>
      <c r="H50" s="20"/>
      <c r="I50" s="20"/>
      <c r="J50" s="20"/>
      <c r="K50" s="20"/>
      <c r="L50" s="20"/>
      <c r="M50" s="20"/>
      <c r="N50" s="20"/>
      <c r="O50" s="20"/>
      <c r="P50" s="20"/>
      <c r="Q50" s="20"/>
      <c r="R50" s="20"/>
      <c r="S50" s="20"/>
      <c r="T50" s="20"/>
      <c r="U50" s="20"/>
      <c r="V50" s="20"/>
    </row>
    <row r="51" spans="2:22" ht="17.25" customHeight="1">
      <c r="B51" s="57"/>
      <c r="C51" s="57"/>
      <c r="D51" s="57"/>
      <c r="E51" s="57"/>
      <c r="F51" s="59"/>
      <c r="G51" s="31"/>
      <c r="H51" s="20"/>
      <c r="I51" s="20"/>
      <c r="J51" s="20"/>
      <c r="K51" s="20"/>
      <c r="L51" s="20"/>
      <c r="M51" s="20"/>
      <c r="N51" s="20"/>
      <c r="O51" s="20"/>
      <c r="P51" s="20"/>
      <c r="Q51" s="20"/>
      <c r="R51" s="20"/>
      <c r="S51" s="20"/>
      <c r="T51" s="20"/>
      <c r="U51" s="20"/>
      <c r="V51" s="20"/>
    </row>
    <row r="52" spans="2:22" ht="17.25" customHeight="1">
      <c r="B52" s="57"/>
      <c r="C52" s="57"/>
      <c r="D52" s="57"/>
      <c r="E52" s="57"/>
      <c r="F52" s="59"/>
      <c r="G52" s="31"/>
      <c r="H52" s="20"/>
      <c r="I52" s="20"/>
      <c r="J52" s="20"/>
      <c r="K52" s="20"/>
      <c r="L52" s="20"/>
      <c r="M52" s="20"/>
      <c r="N52" s="20"/>
      <c r="O52" s="20"/>
      <c r="P52" s="20"/>
      <c r="Q52" s="20"/>
      <c r="R52" s="20"/>
      <c r="S52" s="20"/>
      <c r="T52" s="20"/>
      <c r="U52" s="20"/>
      <c r="V52" s="20"/>
    </row>
    <row r="53" spans="2:22" ht="17.25" customHeight="1">
      <c r="B53" s="57"/>
      <c r="C53" s="57"/>
      <c r="D53" s="57"/>
      <c r="E53" s="57"/>
      <c r="F53" s="59"/>
      <c r="G53" s="31"/>
      <c r="H53" s="20"/>
      <c r="I53" s="20"/>
      <c r="J53" s="20"/>
      <c r="K53" s="20"/>
      <c r="L53" s="20"/>
      <c r="M53" s="20"/>
      <c r="N53" s="20"/>
      <c r="O53" s="20"/>
      <c r="P53" s="20"/>
      <c r="Q53" s="20"/>
      <c r="R53" s="20"/>
      <c r="S53" s="20"/>
      <c r="T53" s="20"/>
      <c r="U53" s="20"/>
      <c r="V53" s="20"/>
    </row>
    <row r="54" spans="2:22" ht="17.25" customHeight="1">
      <c r="B54" s="57"/>
      <c r="C54" s="57"/>
      <c r="D54" s="57"/>
      <c r="E54" s="57"/>
      <c r="F54" s="59"/>
      <c r="G54" s="31"/>
      <c r="H54" s="20"/>
      <c r="I54" s="20"/>
      <c r="J54" s="20"/>
      <c r="K54" s="20"/>
      <c r="L54" s="20"/>
      <c r="M54" s="20"/>
      <c r="N54" s="20"/>
      <c r="O54" s="20"/>
      <c r="P54" s="20"/>
      <c r="Q54" s="20"/>
      <c r="R54" s="20"/>
      <c r="S54" s="20"/>
      <c r="T54" s="20"/>
      <c r="U54" s="20"/>
      <c r="V54" s="20"/>
    </row>
    <row r="55" spans="2:22" ht="17.25" customHeight="1">
      <c r="B55" s="57"/>
      <c r="C55" s="57"/>
      <c r="D55" s="57"/>
      <c r="E55" s="57"/>
      <c r="F55" s="59"/>
      <c r="G55" s="31"/>
      <c r="H55" s="20"/>
      <c r="I55" s="20"/>
      <c r="J55" s="20"/>
      <c r="K55" s="20"/>
      <c r="L55" s="20"/>
      <c r="M55" s="20"/>
      <c r="N55" s="20"/>
      <c r="O55" s="20"/>
      <c r="P55" s="20"/>
      <c r="Q55" s="20"/>
      <c r="R55" s="20"/>
      <c r="S55" s="20"/>
      <c r="T55" s="20"/>
      <c r="U55" s="20"/>
      <c r="V55" s="20"/>
    </row>
    <row r="56" spans="2:22" ht="17.25" customHeight="1">
      <c r="E56" s="62"/>
      <c r="F56" s="59"/>
      <c r="G56" s="31"/>
      <c r="H56" s="20"/>
      <c r="I56" s="20"/>
      <c r="J56" s="20"/>
      <c r="K56" s="20"/>
      <c r="L56" s="20"/>
      <c r="M56" s="20"/>
      <c r="N56" s="20"/>
      <c r="O56" s="20"/>
      <c r="P56" s="20"/>
      <c r="Q56" s="20"/>
      <c r="R56" s="20"/>
      <c r="S56" s="20"/>
      <c r="T56" s="20"/>
      <c r="U56" s="20"/>
      <c r="V56" s="20"/>
    </row>
    <row r="57" spans="2:22" ht="17.25" customHeight="1">
      <c r="E57" s="62"/>
      <c r="F57" s="59"/>
      <c r="G57" s="31"/>
      <c r="H57" s="20"/>
      <c r="I57" s="20"/>
      <c r="J57" s="20"/>
      <c r="K57" s="20"/>
      <c r="L57" s="20"/>
      <c r="M57" s="20"/>
      <c r="N57" s="20"/>
      <c r="O57" s="20"/>
      <c r="P57" s="20"/>
      <c r="Q57" s="20"/>
      <c r="R57" s="20"/>
      <c r="S57" s="20"/>
      <c r="T57" s="20"/>
      <c r="U57" s="20"/>
      <c r="V57" s="20"/>
    </row>
    <row r="58" spans="2:22" ht="17.25" customHeight="1">
      <c r="E58" s="62"/>
      <c r="F58" s="59"/>
      <c r="G58" s="31"/>
      <c r="H58" s="20"/>
      <c r="I58" s="20"/>
      <c r="J58" s="20"/>
      <c r="K58" s="20"/>
      <c r="L58" s="20"/>
      <c r="M58" s="20"/>
      <c r="N58" s="20"/>
      <c r="O58" s="20"/>
      <c r="P58" s="20"/>
      <c r="Q58" s="20"/>
      <c r="R58" s="20"/>
      <c r="S58" s="20"/>
      <c r="T58" s="20"/>
      <c r="U58" s="20"/>
      <c r="V58" s="20"/>
    </row>
    <row r="59" spans="2:22" ht="17.25" customHeight="1">
      <c r="E59" s="62"/>
      <c r="F59" s="59"/>
      <c r="G59" s="31"/>
      <c r="H59" s="20"/>
      <c r="I59" s="20"/>
      <c r="J59" s="20"/>
      <c r="K59" s="20"/>
      <c r="L59" s="20"/>
      <c r="M59" s="20"/>
      <c r="N59" s="20"/>
      <c r="O59" s="20"/>
      <c r="P59" s="20"/>
      <c r="Q59" s="20"/>
      <c r="R59" s="20"/>
      <c r="S59" s="20"/>
      <c r="T59" s="20"/>
      <c r="U59" s="20"/>
      <c r="V59" s="20"/>
    </row>
    <row r="60" spans="2:22" ht="17.25" customHeight="1">
      <c r="E60" s="62"/>
      <c r="F60" s="59"/>
      <c r="G60" s="31"/>
      <c r="H60" s="20"/>
      <c r="I60" s="20"/>
      <c r="J60" s="20"/>
      <c r="K60" s="20"/>
      <c r="L60" s="20"/>
      <c r="M60" s="20"/>
      <c r="N60" s="20"/>
      <c r="O60" s="20"/>
      <c r="P60" s="20"/>
      <c r="Q60" s="20"/>
      <c r="R60" s="20"/>
      <c r="S60" s="20"/>
      <c r="T60" s="20"/>
      <c r="U60" s="20"/>
      <c r="V60" s="20"/>
    </row>
    <row r="61" spans="2:22" ht="17.25" customHeight="1">
      <c r="E61" s="62"/>
      <c r="F61" s="58"/>
      <c r="G61" s="31"/>
      <c r="H61" s="20"/>
      <c r="I61" s="20"/>
      <c r="J61" s="20"/>
      <c r="K61" s="20"/>
      <c r="L61" s="20"/>
      <c r="M61" s="20"/>
      <c r="N61" s="20"/>
      <c r="O61" s="20"/>
      <c r="P61" s="20"/>
      <c r="Q61" s="20"/>
      <c r="R61" s="20"/>
      <c r="S61" s="20"/>
      <c r="T61" s="20"/>
      <c r="U61" s="20"/>
      <c r="V61" s="20"/>
    </row>
    <row r="62" spans="2:22" ht="17.25" customHeight="1">
      <c r="E62" s="62"/>
      <c r="F62" s="58"/>
      <c r="G62" s="31"/>
      <c r="H62" s="20"/>
      <c r="I62" s="20"/>
      <c r="J62" s="20"/>
      <c r="K62" s="20"/>
      <c r="L62" s="20"/>
      <c r="M62" s="20"/>
      <c r="N62" s="20"/>
      <c r="O62" s="20"/>
      <c r="P62" s="20"/>
      <c r="Q62" s="20"/>
      <c r="R62" s="20"/>
      <c r="S62" s="20"/>
      <c r="T62" s="20"/>
      <c r="U62" s="20"/>
      <c r="V62" s="20"/>
    </row>
    <row r="63" spans="2:22" ht="17.25" customHeight="1">
      <c r="E63" s="62"/>
      <c r="F63" s="58"/>
      <c r="G63" s="31"/>
      <c r="H63" s="20"/>
      <c r="I63" s="20"/>
      <c r="J63" s="20"/>
      <c r="K63" s="20"/>
      <c r="L63" s="20"/>
      <c r="M63" s="20"/>
      <c r="N63" s="20"/>
      <c r="O63" s="20"/>
      <c r="P63" s="20"/>
      <c r="Q63" s="20"/>
      <c r="R63" s="20"/>
      <c r="S63" s="20"/>
      <c r="T63" s="20"/>
      <c r="U63" s="20"/>
      <c r="V63" s="20"/>
    </row>
    <row r="64" spans="2:22" ht="17.25" customHeight="1">
      <c r="E64" s="62"/>
      <c r="F64" s="58"/>
      <c r="G64" s="31"/>
      <c r="H64" s="20"/>
      <c r="I64" s="20"/>
      <c r="J64" s="20"/>
      <c r="K64" s="20"/>
      <c r="L64" s="20"/>
      <c r="M64" s="20"/>
      <c r="N64" s="20"/>
      <c r="O64" s="20"/>
      <c r="P64" s="20"/>
      <c r="Q64" s="20"/>
      <c r="R64" s="20"/>
      <c r="S64" s="20"/>
      <c r="T64" s="20"/>
      <c r="U64" s="20"/>
      <c r="V64" s="20"/>
    </row>
    <row r="65" spans="5:22" ht="17.25" customHeight="1">
      <c r="E65" s="62"/>
      <c r="F65" s="58"/>
      <c r="G65" s="31"/>
      <c r="H65" s="20"/>
      <c r="I65" s="20"/>
      <c r="J65" s="20"/>
      <c r="K65" s="20"/>
      <c r="L65" s="20"/>
      <c r="M65" s="20"/>
      <c r="N65" s="20"/>
      <c r="O65" s="20"/>
      <c r="P65" s="20"/>
      <c r="Q65" s="20"/>
      <c r="R65" s="20"/>
      <c r="S65" s="20"/>
      <c r="T65" s="20"/>
      <c r="U65" s="20"/>
      <c r="V65" s="20"/>
    </row>
    <row r="66" spans="5:22" ht="17.25" customHeight="1">
      <c r="E66" s="62"/>
      <c r="F66" s="58"/>
      <c r="G66" s="31"/>
      <c r="H66" s="20"/>
      <c r="I66" s="20"/>
      <c r="J66" s="20"/>
      <c r="K66" s="20"/>
      <c r="L66" s="20"/>
      <c r="M66" s="20"/>
      <c r="N66" s="20"/>
      <c r="O66" s="20"/>
      <c r="P66" s="20"/>
      <c r="Q66" s="20"/>
      <c r="R66" s="20"/>
      <c r="S66" s="20"/>
      <c r="T66" s="20"/>
      <c r="U66" s="20"/>
      <c r="V66" s="20"/>
    </row>
    <row r="67" spans="5:22" ht="17.25" customHeight="1">
      <c r="E67" s="62"/>
      <c r="F67" s="58"/>
      <c r="G67" s="31"/>
      <c r="H67" s="20"/>
      <c r="I67" s="20"/>
      <c r="J67" s="20"/>
      <c r="K67" s="20"/>
      <c r="L67" s="20"/>
      <c r="M67" s="20"/>
      <c r="N67" s="20"/>
      <c r="O67" s="20"/>
      <c r="P67" s="20"/>
      <c r="Q67" s="20"/>
      <c r="R67" s="20"/>
      <c r="S67" s="20"/>
      <c r="T67" s="20"/>
      <c r="U67" s="20"/>
      <c r="V67" s="20"/>
    </row>
    <row r="68" spans="5:22" ht="17.25" customHeight="1">
      <c r="E68" s="62"/>
      <c r="F68" s="58"/>
      <c r="G68" s="31"/>
      <c r="H68" s="20"/>
      <c r="I68" s="20"/>
      <c r="J68" s="20"/>
      <c r="K68" s="20"/>
      <c r="L68" s="20"/>
      <c r="M68" s="20"/>
      <c r="N68" s="20"/>
      <c r="O68" s="20"/>
      <c r="P68" s="20"/>
      <c r="Q68" s="20"/>
      <c r="R68" s="20"/>
      <c r="S68" s="20"/>
      <c r="T68" s="20"/>
      <c r="U68" s="20"/>
      <c r="V68" s="20"/>
    </row>
    <row r="69" spans="5:22" ht="17.25" customHeight="1">
      <c r="E69" s="62"/>
      <c r="F69" s="58"/>
      <c r="G69" s="31"/>
      <c r="H69" s="20"/>
      <c r="I69" s="20"/>
      <c r="J69" s="20"/>
      <c r="K69" s="20"/>
      <c r="L69" s="20"/>
      <c r="M69" s="20"/>
      <c r="N69" s="20"/>
      <c r="O69" s="20"/>
      <c r="P69" s="20"/>
      <c r="Q69" s="20"/>
      <c r="R69" s="20"/>
      <c r="S69" s="20"/>
      <c r="T69" s="20"/>
      <c r="U69" s="20"/>
      <c r="V69" s="20"/>
    </row>
    <row r="70" spans="5:22" ht="17.25" customHeight="1">
      <c r="E70" s="62"/>
      <c r="F70" s="58"/>
      <c r="G70" s="31"/>
      <c r="H70" s="20"/>
      <c r="I70" s="20"/>
      <c r="J70" s="20"/>
      <c r="K70" s="20"/>
      <c r="L70" s="20"/>
      <c r="M70" s="20"/>
      <c r="N70" s="20"/>
      <c r="O70" s="20"/>
      <c r="P70" s="20"/>
      <c r="Q70" s="20"/>
      <c r="R70" s="20"/>
      <c r="S70" s="20"/>
      <c r="T70" s="20"/>
      <c r="U70" s="20"/>
      <c r="V70" s="20"/>
    </row>
    <row r="71" spans="5:22" ht="17.25" customHeight="1">
      <c r="E71" s="62"/>
      <c r="F71" s="58"/>
      <c r="G71" s="31"/>
      <c r="H71" s="20"/>
      <c r="I71" s="20"/>
      <c r="J71" s="20"/>
      <c r="K71" s="20"/>
      <c r="L71" s="20"/>
      <c r="M71" s="20"/>
      <c r="N71" s="20"/>
      <c r="O71" s="20"/>
      <c r="P71" s="20"/>
      <c r="Q71" s="20"/>
      <c r="R71" s="20"/>
      <c r="S71" s="20"/>
      <c r="T71" s="20"/>
      <c r="U71" s="20"/>
      <c r="V71" s="20"/>
    </row>
    <row r="72" spans="5:22" ht="17.25" customHeight="1">
      <c r="E72" s="62"/>
      <c r="F72" s="58"/>
      <c r="G72" s="31"/>
      <c r="H72" s="20"/>
      <c r="I72" s="20"/>
      <c r="J72" s="20"/>
      <c r="K72" s="20"/>
      <c r="L72" s="20"/>
      <c r="M72" s="20"/>
      <c r="N72" s="20"/>
      <c r="O72" s="20"/>
      <c r="P72" s="20"/>
      <c r="Q72" s="20"/>
      <c r="R72" s="20"/>
      <c r="S72" s="20"/>
      <c r="T72" s="20"/>
      <c r="U72" s="20"/>
      <c r="V72" s="20"/>
    </row>
    <row r="73" spans="5:22" ht="17.25" customHeight="1">
      <c r="E73" s="62"/>
      <c r="F73" s="58"/>
      <c r="G73" s="31"/>
      <c r="H73" s="20"/>
      <c r="I73" s="20"/>
      <c r="J73" s="20"/>
      <c r="K73" s="20"/>
      <c r="L73" s="20"/>
      <c r="M73" s="20"/>
      <c r="N73" s="20"/>
      <c r="O73" s="20"/>
      <c r="P73" s="20"/>
      <c r="Q73" s="20"/>
      <c r="R73" s="20"/>
      <c r="S73" s="20"/>
      <c r="T73" s="20"/>
      <c r="U73" s="20"/>
      <c r="V73" s="20"/>
    </row>
    <row r="74" spans="5:22" ht="17.25" customHeight="1">
      <c r="E74" s="62"/>
      <c r="F74" s="58"/>
      <c r="G74" s="31"/>
      <c r="H74" s="20"/>
      <c r="I74" s="20"/>
      <c r="J74" s="20"/>
      <c r="K74" s="20"/>
      <c r="L74" s="20"/>
      <c r="M74" s="20"/>
      <c r="N74" s="20"/>
      <c r="O74" s="20"/>
      <c r="P74" s="20"/>
      <c r="Q74" s="20"/>
      <c r="R74" s="20"/>
      <c r="S74" s="20"/>
      <c r="T74" s="20"/>
      <c r="U74" s="20"/>
      <c r="V74" s="20"/>
    </row>
    <row r="75" spans="5:22" ht="17.25" customHeight="1">
      <c r="E75" s="62"/>
      <c r="F75" s="58"/>
      <c r="G75" s="31"/>
      <c r="H75" s="20"/>
      <c r="I75" s="20"/>
      <c r="J75" s="20"/>
      <c r="K75" s="20"/>
      <c r="L75" s="20"/>
      <c r="M75" s="20"/>
      <c r="N75" s="20"/>
      <c r="O75" s="20"/>
      <c r="P75" s="20"/>
      <c r="Q75" s="20"/>
      <c r="R75" s="20"/>
      <c r="S75" s="20"/>
      <c r="T75" s="20"/>
      <c r="U75" s="20"/>
      <c r="V75" s="20"/>
    </row>
    <row r="76" spans="5:22" ht="17.25" customHeight="1">
      <c r="E76" s="62"/>
      <c r="F76" s="58"/>
      <c r="G76" s="31"/>
      <c r="H76" s="20"/>
      <c r="I76" s="20"/>
      <c r="J76" s="20"/>
      <c r="K76" s="20"/>
      <c r="L76" s="20"/>
      <c r="M76" s="20"/>
      <c r="N76" s="20"/>
      <c r="O76" s="20"/>
      <c r="P76" s="20"/>
      <c r="Q76" s="20"/>
      <c r="R76" s="20"/>
      <c r="S76" s="20"/>
      <c r="T76" s="20"/>
      <c r="U76" s="20"/>
      <c r="V76" s="20"/>
    </row>
    <row r="77" spans="5:22" ht="17.25" customHeight="1">
      <c r="E77" s="62"/>
      <c r="F77" s="58"/>
      <c r="G77" s="31"/>
      <c r="H77" s="20"/>
      <c r="I77" s="20"/>
      <c r="J77" s="20"/>
      <c r="K77" s="20"/>
      <c r="L77" s="20"/>
      <c r="M77" s="20"/>
      <c r="N77" s="20"/>
      <c r="O77" s="20"/>
      <c r="P77" s="20"/>
      <c r="Q77" s="20"/>
      <c r="R77" s="20"/>
      <c r="S77" s="20"/>
      <c r="T77" s="20"/>
      <c r="U77" s="20"/>
      <c r="V77" s="20"/>
    </row>
    <row r="78" spans="5:22" ht="17.25" customHeight="1">
      <c r="E78" s="62"/>
      <c r="F78" s="58"/>
      <c r="G78" s="31"/>
      <c r="H78" s="20"/>
      <c r="I78" s="20"/>
      <c r="J78" s="20"/>
      <c r="K78" s="20"/>
      <c r="L78" s="20"/>
      <c r="M78" s="20"/>
      <c r="N78" s="20"/>
      <c r="O78" s="20"/>
      <c r="P78" s="20"/>
      <c r="Q78" s="20"/>
      <c r="R78" s="20"/>
      <c r="S78" s="20"/>
      <c r="T78" s="20"/>
      <c r="U78" s="20"/>
      <c r="V78" s="20"/>
    </row>
    <row r="79" spans="5:22" ht="17.25" customHeight="1">
      <c r="E79" s="62"/>
      <c r="F79" s="58"/>
      <c r="G79" s="31"/>
      <c r="H79" s="20"/>
      <c r="I79" s="20"/>
      <c r="J79" s="20"/>
      <c r="K79" s="20"/>
      <c r="L79" s="20"/>
      <c r="M79" s="20"/>
      <c r="N79" s="20"/>
      <c r="O79" s="20"/>
      <c r="P79" s="20"/>
      <c r="Q79" s="20"/>
      <c r="R79" s="20"/>
      <c r="S79" s="20"/>
      <c r="T79" s="20"/>
      <c r="U79" s="20"/>
      <c r="V79" s="20"/>
    </row>
    <row r="80" spans="5:22" ht="17.25" customHeight="1">
      <c r="E80" s="62"/>
      <c r="F80" s="58"/>
      <c r="G80" s="31"/>
      <c r="H80" s="20"/>
      <c r="I80" s="20"/>
      <c r="J80" s="20"/>
      <c r="K80" s="20"/>
      <c r="L80" s="20"/>
      <c r="M80" s="20"/>
      <c r="N80" s="20"/>
      <c r="O80" s="20"/>
      <c r="P80" s="20"/>
      <c r="Q80" s="20"/>
      <c r="R80" s="20"/>
      <c r="S80" s="20"/>
      <c r="T80" s="20"/>
      <c r="U80" s="20"/>
      <c r="V80" s="20"/>
    </row>
    <row r="81" spans="5:22" ht="17.25" customHeight="1">
      <c r="E81" s="62"/>
      <c r="F81" s="58"/>
      <c r="G81" s="31"/>
      <c r="H81" s="20"/>
      <c r="I81" s="20"/>
      <c r="J81" s="20"/>
      <c r="K81" s="20"/>
      <c r="L81" s="20"/>
      <c r="M81" s="20"/>
      <c r="N81" s="20"/>
      <c r="O81" s="20"/>
      <c r="P81" s="20"/>
      <c r="Q81" s="20"/>
      <c r="R81" s="20"/>
      <c r="S81" s="20"/>
      <c r="T81" s="20"/>
      <c r="U81" s="20"/>
      <c r="V81" s="20"/>
    </row>
    <row r="82" spans="5:22" ht="17.25" customHeight="1">
      <c r="E82" s="62"/>
      <c r="F82" s="58"/>
      <c r="G82" s="31"/>
      <c r="H82" s="20"/>
      <c r="I82" s="20"/>
      <c r="J82" s="20"/>
      <c r="K82" s="20"/>
      <c r="L82" s="20"/>
      <c r="M82" s="20"/>
      <c r="N82" s="20"/>
      <c r="O82" s="20"/>
      <c r="P82" s="20"/>
      <c r="Q82" s="20"/>
      <c r="R82" s="20"/>
      <c r="S82" s="20"/>
      <c r="T82" s="20"/>
      <c r="U82" s="20"/>
      <c r="V82" s="20"/>
    </row>
    <row r="83" spans="5:22" ht="17.25" customHeight="1">
      <c r="E83" s="62"/>
      <c r="F83" s="58"/>
      <c r="G83" s="31"/>
      <c r="H83" s="20"/>
      <c r="I83" s="20"/>
      <c r="J83" s="20"/>
      <c r="K83" s="20"/>
      <c r="L83" s="20"/>
      <c r="M83" s="20"/>
      <c r="N83" s="20"/>
      <c r="O83" s="20"/>
      <c r="P83" s="20"/>
      <c r="Q83" s="20"/>
      <c r="R83" s="20"/>
      <c r="S83" s="20"/>
      <c r="T83" s="20"/>
      <c r="U83" s="20"/>
      <c r="V83" s="20"/>
    </row>
    <row r="84" spans="5:22" ht="17.25" customHeight="1">
      <c r="E84" s="62"/>
      <c r="F84" s="58"/>
      <c r="G84" s="31"/>
      <c r="H84" s="20"/>
      <c r="I84" s="20"/>
      <c r="J84" s="20"/>
      <c r="K84" s="20"/>
      <c r="L84" s="20"/>
      <c r="M84" s="20"/>
      <c r="N84" s="20"/>
      <c r="O84" s="20"/>
      <c r="P84" s="20"/>
      <c r="Q84" s="20"/>
      <c r="R84" s="20"/>
      <c r="S84" s="20"/>
      <c r="T84" s="20"/>
      <c r="U84" s="20"/>
      <c r="V84" s="20"/>
    </row>
    <row r="85" spans="5:22" ht="17.25" customHeight="1">
      <c r="E85" s="62"/>
      <c r="F85" s="58"/>
      <c r="G85" s="31"/>
      <c r="H85" s="20"/>
      <c r="I85" s="20"/>
      <c r="J85" s="20"/>
      <c r="K85" s="20"/>
      <c r="L85" s="20"/>
      <c r="M85" s="20"/>
      <c r="N85" s="20"/>
      <c r="O85" s="20"/>
      <c r="P85" s="20"/>
      <c r="Q85" s="20"/>
      <c r="R85" s="20"/>
      <c r="S85" s="20"/>
      <c r="T85" s="20"/>
      <c r="U85" s="20"/>
      <c r="V85" s="20"/>
    </row>
    <row r="86" spans="5:22" ht="17.25" customHeight="1">
      <c r="E86" s="62"/>
      <c r="F86" s="58"/>
      <c r="G86" s="31"/>
      <c r="H86" s="20"/>
      <c r="I86" s="20"/>
      <c r="J86" s="20"/>
      <c r="K86" s="20"/>
      <c r="L86" s="20"/>
      <c r="M86" s="20"/>
      <c r="N86" s="20"/>
      <c r="O86" s="20"/>
      <c r="P86" s="20"/>
      <c r="Q86" s="20"/>
      <c r="R86" s="20"/>
      <c r="S86" s="20"/>
      <c r="T86" s="20"/>
      <c r="U86" s="20"/>
      <c r="V86" s="20"/>
    </row>
    <row r="87" spans="5:22" ht="17.25" customHeight="1">
      <c r="E87" s="62"/>
      <c r="F87" s="58"/>
      <c r="G87" s="31"/>
      <c r="H87" s="20"/>
      <c r="I87" s="20"/>
      <c r="J87" s="20"/>
      <c r="K87" s="20"/>
      <c r="L87" s="20"/>
      <c r="M87" s="20"/>
      <c r="N87" s="20"/>
      <c r="O87" s="20"/>
      <c r="P87" s="20"/>
      <c r="Q87" s="20"/>
      <c r="R87" s="20"/>
      <c r="S87" s="20"/>
      <c r="T87" s="20"/>
      <c r="U87" s="20"/>
      <c r="V87" s="20"/>
    </row>
    <row r="88" spans="5:22" ht="17.25" customHeight="1">
      <c r="E88" s="62"/>
      <c r="F88" s="58"/>
      <c r="G88" s="31"/>
      <c r="H88" s="20"/>
      <c r="I88" s="20"/>
      <c r="J88" s="20"/>
      <c r="K88" s="20"/>
      <c r="L88" s="20"/>
      <c r="M88" s="20"/>
      <c r="N88" s="20"/>
      <c r="O88" s="20"/>
      <c r="P88" s="20"/>
      <c r="Q88" s="20"/>
      <c r="R88" s="20"/>
      <c r="S88" s="20"/>
      <c r="T88" s="20"/>
      <c r="U88" s="20"/>
      <c r="V88" s="20"/>
    </row>
    <row r="89" spans="5:22" ht="17.25" customHeight="1">
      <c r="E89" s="62"/>
      <c r="F89" s="58"/>
      <c r="G89" s="31"/>
      <c r="H89" s="20"/>
      <c r="I89" s="20"/>
      <c r="J89" s="20"/>
      <c r="K89" s="20"/>
      <c r="L89" s="20"/>
      <c r="M89" s="20"/>
      <c r="N89" s="20"/>
      <c r="O89" s="20"/>
      <c r="P89" s="20"/>
      <c r="Q89" s="20"/>
      <c r="R89" s="20"/>
      <c r="S89" s="20"/>
      <c r="T89" s="20"/>
      <c r="U89" s="20"/>
      <c r="V89" s="20"/>
    </row>
    <row r="90" spans="5:22" ht="17.25" customHeight="1">
      <c r="E90" s="62"/>
      <c r="F90" s="58"/>
      <c r="G90" s="31"/>
      <c r="H90" s="20"/>
      <c r="I90" s="20"/>
      <c r="J90" s="20"/>
      <c r="K90" s="20"/>
      <c r="L90" s="20"/>
      <c r="M90" s="20"/>
      <c r="N90" s="20"/>
      <c r="O90" s="20"/>
      <c r="P90" s="20"/>
      <c r="Q90" s="20"/>
      <c r="R90" s="20"/>
      <c r="S90" s="20"/>
      <c r="T90" s="20"/>
      <c r="U90" s="20"/>
      <c r="V90" s="20"/>
    </row>
    <row r="91" spans="5:22" ht="17.25" customHeight="1">
      <c r="E91" s="62"/>
      <c r="F91" s="58"/>
      <c r="G91" s="31"/>
      <c r="H91" s="20"/>
      <c r="I91" s="20"/>
      <c r="J91" s="20"/>
      <c r="K91" s="20"/>
      <c r="L91" s="20"/>
      <c r="M91" s="20"/>
      <c r="N91" s="20"/>
      <c r="O91" s="20"/>
      <c r="P91" s="20"/>
      <c r="Q91" s="20"/>
      <c r="R91" s="20"/>
      <c r="S91" s="20"/>
      <c r="T91" s="20"/>
      <c r="U91" s="20"/>
      <c r="V91" s="20"/>
    </row>
    <row r="92" spans="5:22" ht="17.25" customHeight="1">
      <c r="E92" s="62"/>
      <c r="F92" s="58"/>
      <c r="G92" s="31"/>
      <c r="H92" s="20"/>
      <c r="I92" s="20"/>
      <c r="J92" s="20"/>
      <c r="K92" s="20"/>
      <c r="L92" s="20"/>
      <c r="M92" s="20"/>
      <c r="N92" s="20"/>
      <c r="O92" s="20"/>
      <c r="P92" s="20"/>
      <c r="Q92" s="20"/>
      <c r="R92" s="20"/>
      <c r="S92" s="20"/>
      <c r="T92" s="20"/>
      <c r="U92" s="20"/>
      <c r="V92" s="20"/>
    </row>
    <row r="93" spans="5:22" ht="17.25" customHeight="1">
      <c r="E93" s="62"/>
      <c r="F93" s="58"/>
      <c r="G93" s="31"/>
      <c r="H93" s="20"/>
      <c r="I93" s="20"/>
      <c r="J93" s="20"/>
      <c r="K93" s="20"/>
      <c r="L93" s="20"/>
      <c r="M93" s="20"/>
      <c r="N93" s="20"/>
      <c r="O93" s="20"/>
      <c r="P93" s="20"/>
      <c r="Q93" s="20"/>
      <c r="R93" s="20"/>
      <c r="S93" s="20"/>
      <c r="T93" s="20"/>
      <c r="U93" s="20"/>
      <c r="V93" s="20"/>
    </row>
    <row r="94" spans="5:22" ht="17.25" customHeight="1">
      <c r="E94" s="62"/>
      <c r="F94" s="58"/>
      <c r="G94" s="31"/>
      <c r="H94" s="20"/>
      <c r="I94" s="20"/>
      <c r="J94" s="20"/>
      <c r="K94" s="20"/>
      <c r="L94" s="20"/>
      <c r="M94" s="20"/>
      <c r="N94" s="20"/>
      <c r="O94" s="20"/>
      <c r="P94" s="20"/>
      <c r="Q94" s="20"/>
      <c r="R94" s="20"/>
      <c r="S94" s="20"/>
      <c r="T94" s="20"/>
      <c r="U94" s="20"/>
      <c r="V94" s="20"/>
    </row>
    <row r="95" spans="5:22" ht="17.25" customHeight="1">
      <c r="E95" s="62"/>
      <c r="F95" s="58"/>
      <c r="G95" s="31"/>
      <c r="H95" s="20"/>
      <c r="I95" s="20"/>
      <c r="J95" s="20"/>
      <c r="K95" s="20"/>
      <c r="L95" s="20"/>
      <c r="M95" s="20"/>
      <c r="N95" s="20"/>
      <c r="O95" s="20"/>
      <c r="P95" s="20"/>
      <c r="Q95" s="20"/>
      <c r="R95" s="20"/>
      <c r="S95" s="20"/>
      <c r="T95" s="20"/>
      <c r="U95" s="20"/>
      <c r="V95" s="20"/>
    </row>
    <row r="96" spans="5:22" ht="17.25" customHeight="1">
      <c r="E96" s="62"/>
      <c r="F96" s="58"/>
      <c r="G96" s="31"/>
      <c r="H96" s="20"/>
      <c r="I96" s="20"/>
      <c r="J96" s="20"/>
      <c r="K96" s="20"/>
      <c r="L96" s="20"/>
      <c r="M96" s="20"/>
      <c r="N96" s="20"/>
      <c r="O96" s="20"/>
      <c r="P96" s="20"/>
      <c r="Q96" s="20"/>
      <c r="R96" s="20"/>
      <c r="S96" s="20"/>
      <c r="T96" s="20"/>
      <c r="U96" s="20"/>
      <c r="V96" s="20"/>
    </row>
    <row r="97" spans="5:22" ht="17.25" customHeight="1">
      <c r="E97" s="62"/>
      <c r="F97" s="58"/>
      <c r="G97" s="31"/>
      <c r="H97" s="20"/>
      <c r="I97" s="20"/>
      <c r="J97" s="20"/>
      <c r="K97" s="20"/>
      <c r="L97" s="20"/>
      <c r="M97" s="20"/>
      <c r="N97" s="20"/>
      <c r="O97" s="20"/>
      <c r="P97" s="20"/>
      <c r="Q97" s="20"/>
      <c r="R97" s="20"/>
      <c r="S97" s="20"/>
      <c r="T97" s="20"/>
      <c r="U97" s="20"/>
      <c r="V97" s="20"/>
    </row>
    <row r="98" spans="5:22" ht="17.25" customHeight="1">
      <c r="E98" s="62"/>
      <c r="F98" s="58"/>
      <c r="G98" s="31"/>
      <c r="H98" s="20"/>
      <c r="I98" s="20"/>
      <c r="J98" s="20"/>
      <c r="K98" s="20"/>
      <c r="L98" s="20"/>
      <c r="M98" s="20"/>
      <c r="N98" s="20"/>
      <c r="O98" s="20"/>
      <c r="P98" s="20"/>
      <c r="Q98" s="20"/>
      <c r="R98" s="20"/>
      <c r="S98" s="20"/>
      <c r="T98" s="20"/>
      <c r="U98" s="20"/>
      <c r="V98" s="20"/>
    </row>
    <row r="99" spans="5:22" ht="17.25" customHeight="1">
      <c r="E99" s="62"/>
      <c r="F99" s="58"/>
      <c r="G99" s="31"/>
      <c r="H99" s="20"/>
      <c r="I99" s="20"/>
      <c r="J99" s="20"/>
      <c r="K99" s="20"/>
      <c r="L99" s="20"/>
      <c r="M99" s="20"/>
      <c r="N99" s="20"/>
      <c r="O99" s="20"/>
      <c r="P99" s="20"/>
      <c r="Q99" s="20"/>
      <c r="R99" s="20"/>
      <c r="S99" s="20"/>
      <c r="T99" s="20"/>
      <c r="U99" s="20"/>
      <c r="V99" s="20"/>
    </row>
    <row r="100" spans="5:22" ht="17.25" customHeight="1">
      <c r="E100" s="62"/>
      <c r="F100" s="58"/>
      <c r="G100" s="31"/>
      <c r="H100" s="20"/>
      <c r="I100" s="20"/>
      <c r="J100" s="20"/>
      <c r="K100" s="20"/>
      <c r="L100" s="20"/>
      <c r="M100" s="20"/>
      <c r="N100" s="20"/>
      <c r="O100" s="20"/>
      <c r="P100" s="20"/>
      <c r="Q100" s="20"/>
      <c r="R100" s="20"/>
      <c r="S100" s="20"/>
      <c r="T100" s="20"/>
      <c r="U100" s="20"/>
      <c r="V100" s="20"/>
    </row>
    <row r="101" spans="5:22" ht="17.25" customHeight="1">
      <c r="E101" s="62"/>
      <c r="F101" s="58"/>
      <c r="G101" s="31"/>
      <c r="H101" s="20"/>
      <c r="I101" s="20"/>
      <c r="J101" s="20"/>
      <c r="K101" s="20"/>
      <c r="L101" s="20"/>
      <c r="M101" s="20"/>
      <c r="N101" s="20"/>
      <c r="O101" s="20"/>
      <c r="P101" s="20"/>
      <c r="Q101" s="20"/>
      <c r="R101" s="20"/>
      <c r="S101" s="20"/>
      <c r="T101" s="20"/>
      <c r="U101" s="20"/>
      <c r="V101" s="20"/>
    </row>
    <row r="102" spans="5:22" ht="17.25" customHeight="1">
      <c r="E102" s="62"/>
      <c r="F102" s="58"/>
      <c r="G102" s="31"/>
      <c r="H102" s="20"/>
      <c r="I102" s="20"/>
      <c r="J102" s="20"/>
      <c r="K102" s="20"/>
      <c r="L102" s="20"/>
      <c r="M102" s="20"/>
      <c r="N102" s="20"/>
      <c r="O102" s="20"/>
      <c r="P102" s="20"/>
      <c r="Q102" s="20"/>
      <c r="R102" s="20"/>
      <c r="S102" s="20"/>
      <c r="T102" s="20"/>
      <c r="U102" s="20"/>
      <c r="V102" s="20"/>
    </row>
    <row r="103" spans="5:22" ht="17.25" customHeight="1">
      <c r="E103" s="62"/>
      <c r="F103" s="58"/>
      <c r="G103" s="31"/>
      <c r="H103" s="20"/>
      <c r="I103" s="20"/>
      <c r="J103" s="20"/>
      <c r="K103" s="20"/>
      <c r="L103" s="20"/>
      <c r="M103" s="20"/>
      <c r="N103" s="20"/>
      <c r="O103" s="20"/>
      <c r="P103" s="20"/>
      <c r="Q103" s="20"/>
      <c r="R103" s="20"/>
      <c r="S103" s="20"/>
      <c r="T103" s="20"/>
      <c r="U103" s="20"/>
      <c r="V103" s="20"/>
    </row>
    <row r="104" spans="5:22" ht="17.25" customHeight="1">
      <c r="E104" s="62"/>
      <c r="F104" s="58"/>
      <c r="G104" s="31"/>
      <c r="H104" s="20"/>
      <c r="I104" s="20"/>
      <c r="J104" s="20"/>
      <c r="K104" s="20"/>
      <c r="L104" s="20"/>
      <c r="M104" s="20"/>
      <c r="N104" s="20"/>
      <c r="O104" s="20"/>
      <c r="P104" s="20"/>
      <c r="Q104" s="20"/>
      <c r="R104" s="20"/>
      <c r="S104" s="20"/>
      <c r="T104" s="20"/>
      <c r="U104" s="20"/>
      <c r="V104" s="20"/>
    </row>
    <row r="105" spans="5:22" ht="17.25" customHeight="1">
      <c r="E105" s="62"/>
      <c r="F105" s="58"/>
      <c r="G105" s="31"/>
      <c r="H105" s="20"/>
      <c r="I105" s="20"/>
      <c r="J105" s="20"/>
      <c r="K105" s="20"/>
      <c r="L105" s="20"/>
      <c r="M105" s="20"/>
      <c r="N105" s="20"/>
      <c r="O105" s="20"/>
      <c r="P105" s="20"/>
      <c r="Q105" s="20"/>
      <c r="R105" s="20"/>
      <c r="S105" s="20"/>
      <c r="T105" s="20"/>
      <c r="U105" s="20"/>
      <c r="V105" s="20"/>
    </row>
    <row r="106" spans="5:22" ht="17.25" customHeight="1">
      <c r="E106" s="62"/>
      <c r="F106" s="58"/>
      <c r="G106" s="31"/>
      <c r="H106" s="20"/>
      <c r="I106" s="20"/>
      <c r="J106" s="20"/>
      <c r="K106" s="20"/>
      <c r="L106" s="20"/>
      <c r="M106" s="20"/>
      <c r="N106" s="20"/>
      <c r="O106" s="20"/>
      <c r="P106" s="20"/>
      <c r="Q106" s="20"/>
      <c r="R106" s="20"/>
      <c r="S106" s="20"/>
      <c r="T106" s="20"/>
      <c r="U106" s="20"/>
      <c r="V106" s="20"/>
    </row>
    <row r="107" spans="5:22" ht="17.25" customHeight="1">
      <c r="E107" s="62"/>
      <c r="F107" s="58"/>
      <c r="G107" s="31"/>
      <c r="H107" s="20"/>
      <c r="I107" s="20"/>
      <c r="J107" s="20"/>
      <c r="K107" s="20"/>
      <c r="L107" s="20"/>
      <c r="M107" s="20"/>
      <c r="N107" s="20"/>
      <c r="O107" s="20"/>
      <c r="P107" s="20"/>
      <c r="Q107" s="20"/>
      <c r="R107" s="20"/>
      <c r="S107" s="20"/>
      <c r="T107" s="20"/>
      <c r="U107" s="20"/>
      <c r="V107" s="20"/>
    </row>
    <row r="108" spans="5:22" ht="17.25" customHeight="1">
      <c r="E108" s="62"/>
      <c r="F108" s="58"/>
      <c r="G108" s="31"/>
      <c r="H108" s="20"/>
      <c r="I108" s="20"/>
      <c r="J108" s="20"/>
      <c r="K108" s="20"/>
      <c r="L108" s="20"/>
      <c r="M108" s="20"/>
      <c r="N108" s="20"/>
      <c r="O108" s="20"/>
      <c r="P108" s="20"/>
      <c r="Q108" s="20"/>
      <c r="R108" s="20"/>
      <c r="S108" s="20"/>
      <c r="T108" s="20"/>
      <c r="U108" s="20"/>
      <c r="V108" s="20"/>
    </row>
    <row r="109" spans="5:22" ht="17.25" customHeight="1">
      <c r="E109" s="62"/>
      <c r="F109" s="58"/>
      <c r="G109" s="31"/>
      <c r="H109" s="20"/>
      <c r="I109" s="20"/>
      <c r="J109" s="20"/>
      <c r="K109" s="20"/>
      <c r="L109" s="20"/>
      <c r="M109" s="20"/>
      <c r="N109" s="20"/>
      <c r="O109" s="20"/>
      <c r="P109" s="20"/>
      <c r="Q109" s="20"/>
      <c r="R109" s="20"/>
      <c r="S109" s="20"/>
      <c r="T109" s="20"/>
      <c r="U109" s="20"/>
      <c r="V109" s="20"/>
    </row>
    <row r="110" spans="5:22" ht="17.25" customHeight="1">
      <c r="E110" s="62"/>
      <c r="F110" s="58"/>
      <c r="G110" s="31"/>
      <c r="H110" s="20"/>
      <c r="I110" s="20"/>
      <c r="J110" s="20"/>
      <c r="K110" s="20"/>
      <c r="L110" s="20"/>
      <c r="M110" s="20"/>
      <c r="N110" s="20"/>
      <c r="O110" s="20"/>
      <c r="P110" s="20"/>
      <c r="Q110" s="20"/>
      <c r="R110" s="20"/>
      <c r="S110" s="20"/>
      <c r="T110" s="20"/>
      <c r="U110" s="20"/>
      <c r="V110" s="20"/>
    </row>
    <row r="111" spans="5:22" ht="17.25" customHeight="1">
      <c r="E111" s="62"/>
      <c r="F111" s="58"/>
      <c r="G111" s="31"/>
      <c r="H111" s="20"/>
      <c r="I111" s="20"/>
      <c r="J111" s="20"/>
      <c r="K111" s="20"/>
      <c r="L111" s="20"/>
      <c r="M111" s="20"/>
      <c r="N111" s="20"/>
      <c r="O111" s="20"/>
      <c r="P111" s="20"/>
      <c r="Q111" s="20"/>
      <c r="R111" s="20"/>
      <c r="S111" s="20"/>
      <c r="T111" s="20"/>
      <c r="U111" s="20"/>
      <c r="V111" s="20"/>
    </row>
    <row r="112" spans="5:22" ht="17.25" customHeight="1">
      <c r="E112" s="62"/>
      <c r="F112" s="58"/>
      <c r="G112" s="31"/>
      <c r="H112" s="20"/>
      <c r="I112" s="20"/>
      <c r="J112" s="20"/>
      <c r="K112" s="20"/>
      <c r="L112" s="20"/>
      <c r="M112" s="20"/>
      <c r="N112" s="20"/>
      <c r="O112" s="20"/>
      <c r="P112" s="20"/>
      <c r="Q112" s="20"/>
      <c r="R112" s="20"/>
      <c r="S112" s="20"/>
      <c r="T112" s="20"/>
      <c r="U112" s="20"/>
      <c r="V112" s="20"/>
    </row>
    <row r="113" spans="5:22" ht="17.25" customHeight="1">
      <c r="E113" s="62"/>
      <c r="F113" s="58"/>
      <c r="G113" s="31"/>
      <c r="H113" s="20"/>
      <c r="I113" s="20"/>
      <c r="J113" s="20"/>
      <c r="K113" s="20"/>
      <c r="L113" s="20"/>
      <c r="M113" s="20"/>
      <c r="N113" s="20"/>
      <c r="O113" s="20"/>
      <c r="P113" s="20"/>
      <c r="Q113" s="20"/>
      <c r="R113" s="20"/>
      <c r="S113" s="20"/>
      <c r="T113" s="20"/>
      <c r="U113" s="20"/>
      <c r="V113" s="20"/>
    </row>
    <row r="114" spans="5:22" ht="17.25" customHeight="1">
      <c r="E114" s="62"/>
      <c r="F114" s="58"/>
      <c r="G114" s="31"/>
      <c r="H114" s="20"/>
      <c r="I114" s="20"/>
      <c r="J114" s="20"/>
      <c r="K114" s="20"/>
      <c r="L114" s="20"/>
      <c r="M114" s="20"/>
      <c r="N114" s="20"/>
      <c r="O114" s="20"/>
      <c r="P114" s="20"/>
      <c r="Q114" s="20"/>
      <c r="R114" s="20"/>
      <c r="S114" s="20"/>
      <c r="T114" s="20"/>
      <c r="U114" s="20"/>
      <c r="V114" s="20"/>
    </row>
    <row r="115" spans="5:22" ht="17.25" customHeight="1">
      <c r="E115" s="62"/>
      <c r="F115" s="58"/>
      <c r="G115" s="31"/>
      <c r="H115" s="20"/>
      <c r="I115" s="20"/>
      <c r="J115" s="20"/>
      <c r="K115" s="20"/>
      <c r="L115" s="20"/>
      <c r="M115" s="20"/>
      <c r="N115" s="20"/>
      <c r="O115" s="20"/>
      <c r="P115" s="20"/>
      <c r="Q115" s="20"/>
      <c r="R115" s="20"/>
      <c r="S115" s="20"/>
      <c r="T115" s="20"/>
      <c r="U115" s="20"/>
      <c r="V115" s="20"/>
    </row>
    <row r="116" spans="5:22" ht="17.25" customHeight="1">
      <c r="E116" s="62"/>
      <c r="F116" s="58"/>
      <c r="G116" s="31"/>
      <c r="H116" s="20"/>
      <c r="I116" s="20"/>
      <c r="J116" s="20"/>
      <c r="K116" s="20"/>
      <c r="L116" s="20"/>
      <c r="M116" s="20"/>
      <c r="N116" s="20"/>
      <c r="O116" s="20"/>
      <c r="P116" s="20"/>
      <c r="Q116" s="20"/>
      <c r="R116" s="20"/>
      <c r="S116" s="20"/>
      <c r="T116" s="20"/>
      <c r="U116" s="20"/>
      <c r="V116" s="20"/>
    </row>
    <row r="117" spans="5:22" ht="17.25" customHeight="1">
      <c r="E117" s="62"/>
      <c r="F117" s="58"/>
      <c r="G117" s="31"/>
      <c r="H117" s="20"/>
      <c r="I117" s="20"/>
      <c r="J117" s="20"/>
      <c r="K117" s="20"/>
      <c r="L117" s="20"/>
      <c r="M117" s="20"/>
      <c r="N117" s="20"/>
      <c r="O117" s="20"/>
      <c r="P117" s="20"/>
      <c r="Q117" s="20"/>
      <c r="R117" s="20"/>
      <c r="S117" s="20"/>
      <c r="T117" s="20"/>
      <c r="U117" s="20"/>
      <c r="V117" s="20"/>
    </row>
    <row r="118" spans="5:22" ht="17.25" customHeight="1">
      <c r="E118" s="62"/>
      <c r="F118" s="58"/>
      <c r="G118" s="31"/>
      <c r="H118" s="20"/>
      <c r="I118" s="20"/>
      <c r="J118" s="20"/>
      <c r="K118" s="20"/>
      <c r="L118" s="20"/>
      <c r="M118" s="20"/>
      <c r="N118" s="20"/>
      <c r="O118" s="20"/>
      <c r="P118" s="20"/>
      <c r="Q118" s="20"/>
      <c r="R118" s="20"/>
      <c r="S118" s="20"/>
      <c r="T118" s="20"/>
      <c r="U118" s="20"/>
      <c r="V118" s="20"/>
    </row>
    <row r="119" spans="5:22" ht="17.25" customHeight="1">
      <c r="E119" s="62"/>
      <c r="F119" s="58"/>
      <c r="G119" s="31"/>
      <c r="H119" s="20"/>
      <c r="I119" s="20"/>
      <c r="J119" s="20"/>
      <c r="K119" s="20"/>
      <c r="L119" s="20"/>
      <c r="M119" s="20"/>
      <c r="N119" s="20"/>
      <c r="O119" s="20"/>
      <c r="P119" s="20"/>
      <c r="Q119" s="20"/>
      <c r="R119" s="20"/>
      <c r="S119" s="20"/>
      <c r="T119" s="20"/>
      <c r="U119" s="20"/>
      <c r="V119" s="20"/>
    </row>
    <row r="120" spans="5:22" ht="17.25" customHeight="1">
      <c r="E120" s="62"/>
      <c r="F120" s="58"/>
      <c r="G120" s="31"/>
      <c r="H120" s="20"/>
      <c r="I120" s="20"/>
      <c r="J120" s="20"/>
      <c r="K120" s="20"/>
      <c r="L120" s="20"/>
      <c r="M120" s="20"/>
      <c r="N120" s="20"/>
      <c r="O120" s="20"/>
      <c r="P120" s="20"/>
      <c r="Q120" s="20"/>
      <c r="R120" s="20"/>
      <c r="S120" s="20"/>
      <c r="T120" s="20"/>
      <c r="U120" s="20"/>
      <c r="V120" s="20"/>
    </row>
    <row r="121" spans="5:22" ht="17.25" customHeight="1">
      <c r="E121" s="62"/>
      <c r="F121" s="58"/>
      <c r="G121" s="31"/>
      <c r="H121" s="20"/>
      <c r="I121" s="20"/>
      <c r="J121" s="20"/>
      <c r="K121" s="20"/>
      <c r="L121" s="20"/>
      <c r="M121" s="20"/>
      <c r="N121" s="20"/>
      <c r="O121" s="20"/>
      <c r="P121" s="20"/>
      <c r="Q121" s="20"/>
      <c r="R121" s="20"/>
      <c r="S121" s="20"/>
      <c r="T121" s="20"/>
      <c r="U121" s="20"/>
      <c r="V121" s="20"/>
    </row>
    <row r="122" spans="5:22" ht="17.25" customHeight="1">
      <c r="E122" s="62"/>
      <c r="F122" s="58"/>
      <c r="G122" s="31"/>
      <c r="H122" s="20"/>
      <c r="I122" s="20"/>
      <c r="J122" s="20"/>
      <c r="K122" s="20"/>
      <c r="L122" s="20"/>
      <c r="M122" s="20"/>
      <c r="N122" s="20"/>
      <c r="O122" s="20"/>
      <c r="P122" s="20"/>
      <c r="Q122" s="20"/>
      <c r="R122" s="20"/>
      <c r="S122" s="20"/>
      <c r="T122" s="20"/>
      <c r="U122" s="20"/>
      <c r="V122" s="20"/>
    </row>
    <row r="123" spans="5:22" ht="17.25" customHeight="1">
      <c r="E123" s="62"/>
      <c r="F123" s="58"/>
      <c r="G123" s="31"/>
      <c r="H123" s="20"/>
      <c r="I123" s="20"/>
      <c r="J123" s="20"/>
      <c r="K123" s="20"/>
      <c r="L123" s="20"/>
      <c r="M123" s="20"/>
      <c r="N123" s="20"/>
      <c r="O123" s="20"/>
      <c r="P123" s="20"/>
      <c r="Q123" s="20"/>
      <c r="R123" s="20"/>
      <c r="S123" s="20"/>
      <c r="T123" s="20"/>
      <c r="U123" s="20"/>
      <c r="V123" s="20"/>
    </row>
    <row r="124" spans="5:22" ht="17.25" customHeight="1">
      <c r="E124" s="62"/>
      <c r="F124" s="58"/>
      <c r="G124" s="31"/>
      <c r="H124" s="20"/>
      <c r="I124" s="20"/>
      <c r="J124" s="20"/>
      <c r="K124" s="20"/>
      <c r="L124" s="20"/>
      <c r="M124" s="20"/>
      <c r="N124" s="20"/>
      <c r="O124" s="20"/>
      <c r="P124" s="20"/>
      <c r="Q124" s="20"/>
      <c r="R124" s="20"/>
      <c r="S124" s="20"/>
      <c r="T124" s="20"/>
      <c r="U124" s="20"/>
      <c r="V124" s="20"/>
    </row>
    <row r="125" spans="5:22" ht="17.25" customHeight="1">
      <c r="E125" s="62"/>
      <c r="F125" s="58"/>
      <c r="G125" s="31"/>
      <c r="H125" s="20"/>
      <c r="I125" s="20"/>
      <c r="J125" s="20"/>
      <c r="K125" s="20"/>
      <c r="L125" s="20"/>
      <c r="M125" s="20"/>
      <c r="N125" s="20"/>
      <c r="O125" s="20"/>
      <c r="P125" s="20"/>
      <c r="Q125" s="20"/>
      <c r="R125" s="20"/>
      <c r="S125" s="20"/>
      <c r="T125" s="20"/>
      <c r="U125" s="20"/>
      <c r="V125" s="20"/>
    </row>
    <row r="126" spans="5:22" ht="17.25" customHeight="1">
      <c r="E126" s="62"/>
      <c r="F126" s="58"/>
      <c r="G126" s="31"/>
      <c r="H126" s="20"/>
      <c r="I126" s="20"/>
      <c r="J126" s="20"/>
      <c r="K126" s="20"/>
      <c r="L126" s="20"/>
      <c r="M126" s="20"/>
      <c r="N126" s="20"/>
      <c r="O126" s="20"/>
      <c r="P126" s="20"/>
      <c r="Q126" s="20"/>
      <c r="R126" s="20"/>
      <c r="S126" s="20"/>
      <c r="T126" s="20"/>
      <c r="U126" s="20"/>
      <c r="V126" s="20"/>
    </row>
    <row r="127" spans="5:22" ht="17.25" customHeight="1">
      <c r="E127" s="62"/>
      <c r="F127" s="58"/>
      <c r="G127" s="31"/>
      <c r="H127" s="20"/>
      <c r="I127" s="20"/>
      <c r="J127" s="20"/>
      <c r="K127" s="20"/>
      <c r="L127" s="20"/>
      <c r="M127" s="20"/>
      <c r="N127" s="20"/>
      <c r="O127" s="20"/>
      <c r="P127" s="20"/>
      <c r="Q127" s="20"/>
      <c r="R127" s="20"/>
      <c r="S127" s="20"/>
      <c r="T127" s="20"/>
      <c r="U127" s="20"/>
      <c r="V127" s="20"/>
    </row>
    <row r="128" spans="5:22" ht="17.25" customHeight="1">
      <c r="E128" s="62"/>
      <c r="F128" s="58"/>
      <c r="G128" s="31"/>
      <c r="H128" s="20"/>
      <c r="I128" s="20"/>
      <c r="J128" s="20"/>
      <c r="K128" s="20"/>
      <c r="L128" s="20"/>
      <c r="M128" s="20"/>
      <c r="N128" s="20"/>
      <c r="O128" s="20"/>
      <c r="P128" s="20"/>
      <c r="Q128" s="20"/>
      <c r="R128" s="20"/>
      <c r="S128" s="20"/>
      <c r="T128" s="20"/>
      <c r="U128" s="20"/>
      <c r="V128" s="20"/>
    </row>
    <row r="129" spans="5:22" ht="17.25" customHeight="1">
      <c r="E129" s="62"/>
      <c r="F129" s="58"/>
      <c r="G129" s="31"/>
      <c r="H129" s="20"/>
      <c r="I129" s="20"/>
      <c r="J129" s="20"/>
      <c r="K129" s="20"/>
      <c r="L129" s="20"/>
      <c r="M129" s="20"/>
      <c r="N129" s="20"/>
      <c r="O129" s="20"/>
      <c r="P129" s="20"/>
      <c r="Q129" s="20"/>
      <c r="R129" s="20"/>
      <c r="S129" s="20"/>
      <c r="T129" s="20"/>
      <c r="U129" s="20"/>
      <c r="V129" s="20"/>
    </row>
    <row r="130" spans="5:22" ht="17.25" customHeight="1">
      <c r="E130" s="62"/>
      <c r="F130" s="58"/>
      <c r="G130" s="31"/>
      <c r="H130" s="20"/>
      <c r="I130" s="20"/>
      <c r="J130" s="20"/>
      <c r="K130" s="20"/>
      <c r="L130" s="20"/>
      <c r="M130" s="20"/>
      <c r="N130" s="20"/>
      <c r="O130" s="20"/>
      <c r="P130" s="20"/>
      <c r="Q130" s="20"/>
      <c r="R130" s="20"/>
      <c r="S130" s="20"/>
      <c r="T130" s="20"/>
      <c r="U130" s="20"/>
      <c r="V130" s="20"/>
    </row>
    <row r="131" spans="5:22" ht="17.25" customHeight="1">
      <c r="E131" s="62"/>
      <c r="F131" s="58"/>
      <c r="G131" s="31"/>
      <c r="H131" s="20"/>
      <c r="I131" s="20"/>
      <c r="J131" s="20"/>
      <c r="K131" s="20"/>
      <c r="L131" s="20"/>
      <c r="M131" s="20"/>
      <c r="N131" s="20"/>
      <c r="O131" s="20"/>
      <c r="P131" s="20"/>
      <c r="Q131" s="20"/>
      <c r="R131" s="20"/>
      <c r="S131" s="20"/>
      <c r="T131" s="20"/>
      <c r="U131" s="20"/>
      <c r="V131" s="20"/>
    </row>
    <row r="132" spans="5:22" ht="17.25" customHeight="1">
      <c r="E132" s="62"/>
      <c r="F132" s="58"/>
      <c r="G132" s="31"/>
      <c r="H132" s="20"/>
      <c r="I132" s="20"/>
      <c r="J132" s="20"/>
      <c r="K132" s="20"/>
      <c r="L132" s="20"/>
      <c r="M132" s="20"/>
      <c r="N132" s="20"/>
      <c r="O132" s="20"/>
      <c r="P132" s="20"/>
      <c r="Q132" s="20"/>
      <c r="R132" s="20"/>
      <c r="S132" s="20"/>
      <c r="T132" s="20"/>
      <c r="U132" s="20"/>
      <c r="V132" s="20"/>
    </row>
    <row r="133" spans="5:22" ht="17.25" customHeight="1">
      <c r="E133" s="62"/>
      <c r="F133" s="58"/>
      <c r="G133" s="31"/>
      <c r="H133" s="20"/>
      <c r="I133" s="20"/>
      <c r="J133" s="20"/>
      <c r="K133" s="20"/>
      <c r="L133" s="20"/>
      <c r="M133" s="20"/>
      <c r="N133" s="20"/>
      <c r="O133" s="20"/>
      <c r="P133" s="20"/>
      <c r="Q133" s="20"/>
      <c r="R133" s="20"/>
      <c r="S133" s="20"/>
      <c r="T133" s="20"/>
      <c r="U133" s="20"/>
      <c r="V133" s="20"/>
    </row>
    <row r="134" spans="5:22" ht="17.25" customHeight="1">
      <c r="E134" s="62"/>
      <c r="F134" s="58"/>
      <c r="G134" s="31"/>
      <c r="H134" s="20"/>
      <c r="I134" s="20"/>
      <c r="J134" s="20"/>
      <c r="K134" s="20"/>
      <c r="L134" s="20"/>
      <c r="M134" s="20"/>
      <c r="N134" s="20"/>
      <c r="O134" s="20"/>
      <c r="P134" s="20"/>
      <c r="Q134" s="20"/>
      <c r="R134" s="20"/>
      <c r="S134" s="20"/>
      <c r="T134" s="20"/>
      <c r="U134" s="20"/>
      <c r="V134" s="20"/>
    </row>
    <row r="135" spans="5:22" ht="17.25" customHeight="1">
      <c r="E135" s="62"/>
      <c r="F135" s="58"/>
      <c r="G135" s="31"/>
      <c r="H135" s="20"/>
      <c r="I135" s="20"/>
      <c r="J135" s="20"/>
      <c r="K135" s="20"/>
      <c r="L135" s="20"/>
      <c r="M135" s="20"/>
      <c r="N135" s="20"/>
      <c r="O135" s="20"/>
      <c r="P135" s="20"/>
      <c r="Q135" s="20"/>
      <c r="R135" s="20"/>
      <c r="S135" s="20"/>
      <c r="T135" s="20"/>
      <c r="U135" s="20"/>
      <c r="V135" s="20"/>
    </row>
    <row r="136" spans="5:22" ht="17.25" customHeight="1">
      <c r="E136" s="62"/>
      <c r="F136" s="58"/>
      <c r="G136" s="31"/>
      <c r="H136" s="20"/>
      <c r="I136" s="20"/>
      <c r="J136" s="20"/>
      <c r="K136" s="20"/>
      <c r="L136" s="20"/>
      <c r="M136" s="20"/>
      <c r="N136" s="20"/>
      <c r="O136" s="20"/>
      <c r="P136" s="20"/>
      <c r="Q136" s="20"/>
      <c r="R136" s="20"/>
      <c r="S136" s="20"/>
      <c r="T136" s="20"/>
      <c r="U136" s="20"/>
      <c r="V136" s="20"/>
    </row>
    <row r="137" spans="5:22" ht="17.25" customHeight="1">
      <c r="E137" s="62"/>
      <c r="F137" s="58"/>
      <c r="G137" s="31"/>
      <c r="H137" s="20"/>
      <c r="I137" s="20"/>
      <c r="J137" s="20"/>
      <c r="K137" s="20"/>
      <c r="L137" s="20"/>
      <c r="M137" s="20"/>
      <c r="N137" s="20"/>
      <c r="O137" s="20"/>
      <c r="P137" s="20"/>
      <c r="Q137" s="20"/>
      <c r="R137" s="20"/>
      <c r="S137" s="20"/>
      <c r="T137" s="20"/>
      <c r="U137" s="20"/>
      <c r="V137" s="20"/>
    </row>
    <row r="138" spans="5:22" ht="17.25" customHeight="1">
      <c r="E138" s="62"/>
      <c r="F138" s="58"/>
      <c r="G138" s="31"/>
      <c r="H138" s="20"/>
      <c r="I138" s="20"/>
      <c r="J138" s="20"/>
      <c r="K138" s="20"/>
      <c r="L138" s="20"/>
      <c r="M138" s="20"/>
      <c r="N138" s="20"/>
      <c r="O138" s="20"/>
      <c r="P138" s="20"/>
      <c r="Q138" s="20"/>
      <c r="R138" s="20"/>
      <c r="S138" s="20"/>
      <c r="T138" s="20"/>
      <c r="U138" s="20"/>
      <c r="V138" s="20"/>
    </row>
    <row r="139" spans="5:22" ht="17.25" customHeight="1">
      <c r="E139" s="62"/>
      <c r="F139" s="58"/>
      <c r="G139" s="31"/>
      <c r="H139" s="20"/>
      <c r="I139" s="20"/>
      <c r="J139" s="20"/>
      <c r="K139" s="20"/>
      <c r="L139" s="20"/>
      <c r="M139" s="20"/>
      <c r="N139" s="20"/>
      <c r="O139" s="20"/>
      <c r="P139" s="20"/>
      <c r="Q139" s="20"/>
      <c r="R139" s="20"/>
      <c r="S139" s="20"/>
      <c r="T139" s="20"/>
      <c r="U139" s="20"/>
      <c r="V139" s="20"/>
    </row>
    <row r="140" spans="5:22" ht="17.25" customHeight="1">
      <c r="E140" s="62"/>
      <c r="F140" s="58"/>
      <c r="G140" s="31"/>
      <c r="H140" s="20"/>
      <c r="I140" s="20"/>
      <c r="J140" s="20"/>
      <c r="K140" s="20"/>
      <c r="L140" s="20"/>
      <c r="M140" s="20"/>
      <c r="N140" s="20"/>
      <c r="O140" s="20"/>
      <c r="P140" s="20"/>
      <c r="Q140" s="20"/>
      <c r="R140" s="20"/>
      <c r="S140" s="20"/>
      <c r="T140" s="20"/>
      <c r="U140" s="20"/>
      <c r="V140" s="20"/>
    </row>
    <row r="141" spans="5:22" ht="17.25" customHeight="1">
      <c r="E141" s="62"/>
      <c r="F141" s="58"/>
      <c r="G141" s="31"/>
      <c r="H141" s="20"/>
      <c r="I141" s="20"/>
      <c r="J141" s="20"/>
      <c r="K141" s="20"/>
      <c r="L141" s="20"/>
      <c r="M141" s="20"/>
      <c r="N141" s="20"/>
      <c r="O141" s="20"/>
      <c r="P141" s="20"/>
      <c r="Q141" s="20"/>
      <c r="R141" s="20"/>
      <c r="S141" s="20"/>
      <c r="T141" s="20"/>
      <c r="U141" s="20"/>
      <c r="V141" s="20"/>
    </row>
    <row r="142" spans="5:22" ht="17.25" customHeight="1">
      <c r="E142" s="62"/>
      <c r="F142" s="58"/>
      <c r="G142" s="31"/>
      <c r="H142" s="20"/>
      <c r="I142" s="20"/>
      <c r="J142" s="20"/>
      <c r="K142" s="20"/>
      <c r="L142" s="20"/>
      <c r="M142" s="20"/>
      <c r="N142" s="20"/>
      <c r="O142" s="20"/>
      <c r="P142" s="20"/>
      <c r="Q142" s="20"/>
      <c r="R142" s="20"/>
      <c r="S142" s="20"/>
      <c r="T142" s="20"/>
      <c r="U142" s="20"/>
      <c r="V142" s="20"/>
    </row>
    <row r="143" spans="5:22" ht="17.25" customHeight="1">
      <c r="E143" s="62"/>
      <c r="F143" s="58"/>
      <c r="G143" s="31"/>
      <c r="H143" s="20"/>
      <c r="I143" s="20"/>
      <c r="J143" s="20"/>
      <c r="K143" s="20"/>
      <c r="L143" s="20"/>
      <c r="M143" s="20"/>
      <c r="N143" s="20"/>
      <c r="O143" s="20"/>
      <c r="P143" s="20"/>
      <c r="Q143" s="20"/>
      <c r="R143" s="20"/>
      <c r="S143" s="20"/>
      <c r="T143" s="20"/>
      <c r="U143" s="20"/>
      <c r="V143" s="20"/>
    </row>
    <row r="144" spans="5:22" ht="17.25" customHeight="1">
      <c r="E144" s="62"/>
      <c r="F144" s="58"/>
      <c r="G144" s="31"/>
      <c r="H144" s="20"/>
      <c r="I144" s="20"/>
      <c r="J144" s="20"/>
      <c r="K144" s="20"/>
      <c r="L144" s="20"/>
      <c r="M144" s="20"/>
      <c r="N144" s="20"/>
      <c r="O144" s="20"/>
      <c r="P144" s="20"/>
      <c r="Q144" s="20"/>
      <c r="R144" s="20"/>
      <c r="S144" s="20"/>
      <c r="T144" s="20"/>
      <c r="U144" s="20"/>
      <c r="V144" s="20"/>
    </row>
    <row r="145" spans="5:22" ht="17.25" customHeight="1">
      <c r="E145" s="62"/>
      <c r="F145" s="58"/>
      <c r="G145" s="31"/>
      <c r="H145" s="20"/>
      <c r="I145" s="20"/>
      <c r="J145" s="20"/>
      <c r="K145" s="20"/>
      <c r="L145" s="20"/>
      <c r="M145" s="20"/>
      <c r="N145" s="20"/>
      <c r="O145" s="20"/>
      <c r="P145" s="20"/>
      <c r="Q145" s="20"/>
      <c r="R145" s="20"/>
      <c r="S145" s="20"/>
      <c r="T145" s="20"/>
      <c r="U145" s="20"/>
      <c r="V145" s="20"/>
    </row>
    <row r="146" spans="5:22" ht="17.25" customHeight="1">
      <c r="E146" s="62"/>
      <c r="F146" s="58"/>
      <c r="G146" s="31"/>
      <c r="H146" s="20"/>
      <c r="I146" s="20"/>
      <c r="J146" s="20"/>
      <c r="K146" s="20"/>
      <c r="L146" s="20"/>
      <c r="M146" s="20"/>
      <c r="N146" s="20"/>
      <c r="O146" s="20"/>
      <c r="P146" s="20"/>
      <c r="Q146" s="20"/>
      <c r="R146" s="20"/>
      <c r="S146" s="20"/>
      <c r="T146" s="20"/>
      <c r="U146" s="20"/>
      <c r="V146" s="20"/>
    </row>
    <row r="147" spans="5:22" ht="17.25" customHeight="1">
      <c r="E147" s="62"/>
      <c r="F147" s="58"/>
      <c r="G147" s="31"/>
      <c r="H147" s="20"/>
      <c r="I147" s="20"/>
      <c r="J147" s="20"/>
      <c r="K147" s="20"/>
      <c r="L147" s="20"/>
      <c r="M147" s="20"/>
      <c r="N147" s="20"/>
      <c r="O147" s="20"/>
      <c r="P147" s="20"/>
      <c r="Q147" s="20"/>
      <c r="R147" s="20"/>
      <c r="S147" s="20"/>
      <c r="T147" s="20"/>
      <c r="U147" s="20"/>
      <c r="V147" s="20"/>
    </row>
    <row r="148" spans="5:22" ht="17.25" customHeight="1">
      <c r="E148" s="62"/>
      <c r="F148" s="58"/>
      <c r="G148" s="31"/>
      <c r="H148" s="20"/>
      <c r="I148" s="20"/>
      <c r="J148" s="20"/>
      <c r="K148" s="20"/>
      <c r="L148" s="20"/>
      <c r="M148" s="20"/>
      <c r="N148" s="20"/>
      <c r="O148" s="20"/>
      <c r="P148" s="20"/>
      <c r="Q148" s="20"/>
      <c r="R148" s="20"/>
      <c r="S148" s="20"/>
      <c r="T148" s="20"/>
      <c r="U148" s="20"/>
      <c r="V148" s="20"/>
    </row>
    <row r="149" spans="5:22" ht="17.25" customHeight="1">
      <c r="E149" s="62"/>
      <c r="F149" s="58"/>
      <c r="G149" s="31"/>
      <c r="H149" s="20"/>
      <c r="I149" s="20"/>
      <c r="J149" s="20"/>
      <c r="K149" s="20"/>
      <c r="L149" s="20"/>
      <c r="M149" s="20"/>
      <c r="N149" s="20"/>
      <c r="O149" s="20"/>
      <c r="P149" s="20"/>
      <c r="Q149" s="20"/>
      <c r="R149" s="20"/>
      <c r="S149" s="20"/>
      <c r="T149" s="20"/>
      <c r="U149" s="20"/>
      <c r="V149" s="20"/>
    </row>
    <row r="150" spans="5:22" ht="17.25" customHeight="1">
      <c r="E150" s="62"/>
      <c r="F150" s="58"/>
      <c r="G150" s="31"/>
      <c r="H150" s="20"/>
      <c r="I150" s="20"/>
      <c r="J150" s="20"/>
      <c r="K150" s="20"/>
      <c r="L150" s="20"/>
      <c r="M150" s="20"/>
      <c r="N150" s="20"/>
      <c r="O150" s="20"/>
      <c r="P150" s="20"/>
      <c r="Q150" s="20"/>
      <c r="R150" s="20"/>
      <c r="S150" s="20"/>
      <c r="T150" s="20"/>
      <c r="U150" s="20"/>
      <c r="V150" s="20"/>
    </row>
    <row r="151" spans="5:22" ht="17.25" customHeight="1">
      <c r="E151" s="62"/>
      <c r="F151" s="58"/>
      <c r="G151" s="31"/>
      <c r="H151" s="20"/>
      <c r="I151" s="20"/>
      <c r="J151" s="20"/>
      <c r="K151" s="20"/>
      <c r="L151" s="20"/>
      <c r="M151" s="20"/>
      <c r="N151" s="20"/>
      <c r="O151" s="20"/>
      <c r="P151" s="20"/>
      <c r="Q151" s="20"/>
      <c r="R151" s="20"/>
      <c r="S151" s="20"/>
      <c r="T151" s="20"/>
      <c r="U151" s="20"/>
      <c r="V151" s="20"/>
    </row>
    <row r="152" spans="5:22" ht="17.25" customHeight="1">
      <c r="E152" s="62"/>
      <c r="F152" s="58"/>
      <c r="G152" s="31"/>
      <c r="H152" s="20"/>
      <c r="I152" s="20"/>
      <c r="J152" s="20"/>
      <c r="K152" s="20"/>
      <c r="L152" s="20"/>
      <c r="M152" s="20"/>
      <c r="N152" s="20"/>
      <c r="O152" s="20"/>
      <c r="P152" s="20"/>
      <c r="Q152" s="20"/>
      <c r="R152" s="20"/>
      <c r="S152" s="20"/>
      <c r="T152" s="20"/>
      <c r="U152" s="20"/>
      <c r="V152" s="20"/>
    </row>
    <row r="153" spans="5:22" ht="17.25" customHeight="1">
      <c r="E153" s="62"/>
      <c r="F153" s="58"/>
      <c r="G153" s="31"/>
      <c r="H153" s="20"/>
      <c r="I153" s="20"/>
      <c r="J153" s="20"/>
      <c r="K153" s="20"/>
      <c r="L153" s="20"/>
      <c r="M153" s="20"/>
      <c r="N153" s="20"/>
      <c r="O153" s="20"/>
      <c r="P153" s="20"/>
      <c r="Q153" s="20"/>
      <c r="R153" s="20"/>
      <c r="S153" s="20"/>
      <c r="T153" s="20"/>
      <c r="U153" s="20"/>
      <c r="V153" s="20"/>
    </row>
    <row r="154" spans="5:22" ht="17.25" customHeight="1">
      <c r="E154" s="62"/>
      <c r="F154" s="58"/>
      <c r="G154" s="31"/>
      <c r="H154" s="20"/>
      <c r="I154" s="20"/>
      <c r="J154" s="20"/>
      <c r="K154" s="20"/>
      <c r="L154" s="20"/>
      <c r="M154" s="20"/>
      <c r="N154" s="20"/>
      <c r="O154" s="20"/>
      <c r="P154" s="20"/>
      <c r="Q154" s="20"/>
      <c r="R154" s="20"/>
      <c r="S154" s="20"/>
      <c r="T154" s="20"/>
      <c r="U154" s="20"/>
      <c r="V154" s="20"/>
    </row>
    <row r="155" spans="5:22" ht="17.25" customHeight="1">
      <c r="E155" s="62"/>
      <c r="F155" s="58"/>
      <c r="G155" s="31"/>
      <c r="H155" s="20"/>
      <c r="I155" s="20"/>
      <c r="J155" s="20"/>
      <c r="K155" s="20"/>
      <c r="L155" s="20"/>
      <c r="M155" s="20"/>
      <c r="N155" s="20"/>
      <c r="O155" s="20"/>
      <c r="P155" s="20"/>
      <c r="Q155" s="20"/>
      <c r="R155" s="20"/>
      <c r="S155" s="20"/>
      <c r="T155" s="20"/>
      <c r="U155" s="20"/>
      <c r="V155" s="20"/>
    </row>
    <row r="156" spans="5:22" ht="17.25" customHeight="1">
      <c r="E156" s="62"/>
      <c r="F156" s="58"/>
      <c r="G156" s="31"/>
      <c r="H156" s="20"/>
      <c r="I156" s="20"/>
      <c r="J156" s="20"/>
      <c r="K156" s="20"/>
      <c r="L156" s="20"/>
      <c r="M156" s="20"/>
      <c r="N156" s="20"/>
      <c r="O156" s="20"/>
      <c r="P156" s="20"/>
      <c r="Q156" s="20"/>
      <c r="R156" s="20"/>
      <c r="S156" s="20"/>
      <c r="T156" s="20"/>
      <c r="U156" s="20"/>
      <c r="V156" s="20"/>
    </row>
    <row r="157" spans="5:22" ht="17.25" customHeight="1">
      <c r="E157" s="62"/>
      <c r="F157" s="58"/>
      <c r="G157" s="31"/>
      <c r="H157" s="20"/>
      <c r="I157" s="20"/>
      <c r="J157" s="20"/>
      <c r="K157" s="20"/>
      <c r="L157" s="20"/>
      <c r="M157" s="20"/>
      <c r="N157" s="20"/>
      <c r="O157" s="20"/>
      <c r="P157" s="20"/>
      <c r="Q157" s="20"/>
      <c r="R157" s="20"/>
      <c r="S157" s="20"/>
      <c r="T157" s="20"/>
      <c r="U157" s="20"/>
      <c r="V157" s="20"/>
    </row>
    <row r="158" spans="5:22" ht="17.25" customHeight="1">
      <c r="E158" s="62"/>
      <c r="F158" s="58"/>
      <c r="G158" s="31"/>
      <c r="H158" s="20"/>
      <c r="I158" s="20"/>
      <c r="J158" s="20"/>
      <c r="K158" s="20"/>
      <c r="L158" s="20"/>
      <c r="M158" s="20"/>
      <c r="N158" s="20"/>
      <c r="O158" s="20"/>
      <c r="P158" s="20"/>
      <c r="Q158" s="20"/>
      <c r="R158" s="20"/>
      <c r="S158" s="20"/>
      <c r="T158" s="20"/>
      <c r="U158" s="20"/>
      <c r="V158" s="20"/>
    </row>
    <row r="159" spans="5:22" ht="17.25" customHeight="1">
      <c r="E159" s="62"/>
      <c r="F159" s="58"/>
      <c r="G159" s="31"/>
      <c r="H159" s="20"/>
      <c r="I159" s="20"/>
      <c r="J159" s="20"/>
      <c r="K159" s="20"/>
      <c r="L159" s="20"/>
      <c r="M159" s="20"/>
      <c r="N159" s="20"/>
      <c r="O159" s="20"/>
      <c r="P159" s="20"/>
      <c r="Q159" s="20"/>
      <c r="R159" s="20"/>
      <c r="S159" s="20"/>
      <c r="T159" s="20"/>
      <c r="U159" s="20"/>
      <c r="V159" s="20"/>
    </row>
    <row r="160" spans="5:22" ht="17.25" customHeight="1">
      <c r="E160" s="62"/>
      <c r="F160" s="58"/>
      <c r="G160" s="31"/>
      <c r="H160" s="20"/>
      <c r="I160" s="20"/>
      <c r="J160" s="20"/>
      <c r="K160" s="20"/>
      <c r="L160" s="20"/>
      <c r="M160" s="20"/>
      <c r="N160" s="20"/>
      <c r="O160" s="20"/>
      <c r="P160" s="20"/>
      <c r="Q160" s="20"/>
      <c r="R160" s="20"/>
      <c r="S160" s="20"/>
      <c r="T160" s="20"/>
      <c r="U160" s="20"/>
      <c r="V160" s="20"/>
    </row>
    <row r="161" spans="5:22" ht="17.25" customHeight="1">
      <c r="E161" s="62"/>
      <c r="F161" s="58"/>
      <c r="G161" s="31"/>
      <c r="H161" s="20"/>
      <c r="I161" s="20"/>
      <c r="J161" s="20"/>
      <c r="K161" s="20"/>
      <c r="L161" s="20"/>
      <c r="M161" s="20"/>
      <c r="N161" s="20"/>
      <c r="O161" s="20"/>
      <c r="P161" s="20"/>
      <c r="Q161" s="20"/>
      <c r="R161" s="20"/>
      <c r="S161" s="20"/>
      <c r="T161" s="20"/>
      <c r="U161" s="20"/>
      <c r="V161" s="20"/>
    </row>
    <row r="162" spans="5:22" ht="17.25" customHeight="1">
      <c r="E162" s="62"/>
      <c r="F162" s="58"/>
      <c r="G162" s="31"/>
      <c r="H162" s="20"/>
      <c r="I162" s="20"/>
      <c r="J162" s="20"/>
      <c r="K162" s="20"/>
      <c r="L162" s="20"/>
      <c r="M162" s="20"/>
      <c r="N162" s="20"/>
      <c r="O162" s="20"/>
      <c r="P162" s="20"/>
      <c r="Q162" s="20"/>
      <c r="R162" s="20"/>
      <c r="S162" s="20"/>
      <c r="T162" s="20"/>
      <c r="U162" s="20"/>
      <c r="V162" s="20"/>
    </row>
    <row r="163" spans="5:22" ht="17.25" customHeight="1">
      <c r="E163" s="62"/>
      <c r="F163" s="58"/>
      <c r="G163" s="31"/>
      <c r="H163" s="20"/>
      <c r="I163" s="20"/>
      <c r="J163" s="20"/>
      <c r="K163" s="20"/>
      <c r="L163" s="20"/>
      <c r="M163" s="20"/>
      <c r="N163" s="20"/>
      <c r="O163" s="20"/>
      <c r="P163" s="20"/>
      <c r="Q163" s="20"/>
      <c r="R163" s="20"/>
      <c r="S163" s="20"/>
      <c r="T163" s="20"/>
      <c r="U163" s="20"/>
      <c r="V163" s="20"/>
    </row>
    <row r="164" spans="5:22" ht="17.25" customHeight="1">
      <c r="E164" s="62"/>
      <c r="F164" s="58"/>
      <c r="G164" s="31"/>
      <c r="H164" s="20"/>
      <c r="I164" s="20"/>
      <c r="J164" s="20"/>
      <c r="K164" s="20"/>
      <c r="L164" s="20"/>
      <c r="M164" s="20"/>
      <c r="N164" s="20"/>
      <c r="O164" s="20"/>
      <c r="P164" s="20"/>
      <c r="Q164" s="20"/>
      <c r="R164" s="20"/>
      <c r="S164" s="20"/>
      <c r="T164" s="20"/>
      <c r="U164" s="20"/>
      <c r="V164" s="20"/>
    </row>
    <row r="165" spans="5:22" ht="17.25" customHeight="1">
      <c r="E165" s="62"/>
      <c r="F165" s="58"/>
      <c r="G165" s="31"/>
      <c r="H165" s="20"/>
      <c r="I165" s="20"/>
      <c r="J165" s="20"/>
      <c r="K165" s="20"/>
      <c r="L165" s="20"/>
      <c r="M165" s="20"/>
      <c r="N165" s="20"/>
      <c r="O165" s="20"/>
      <c r="P165" s="20"/>
      <c r="Q165" s="20"/>
      <c r="R165" s="20"/>
      <c r="S165" s="20"/>
      <c r="T165" s="20"/>
      <c r="U165" s="20"/>
      <c r="V165" s="20"/>
    </row>
    <row r="166" spans="5:22" ht="17.25" customHeight="1">
      <c r="E166" s="62"/>
      <c r="F166" s="58"/>
      <c r="G166" s="31"/>
      <c r="H166" s="20"/>
      <c r="I166" s="20"/>
      <c r="J166" s="20"/>
      <c r="K166" s="20"/>
      <c r="L166" s="20"/>
      <c r="M166" s="20"/>
      <c r="N166" s="20"/>
      <c r="O166" s="20"/>
      <c r="P166" s="20"/>
      <c r="Q166" s="20"/>
      <c r="R166" s="20"/>
      <c r="S166" s="20"/>
      <c r="T166" s="20"/>
      <c r="U166" s="20"/>
      <c r="V166" s="20"/>
    </row>
    <row r="167" spans="5:22" ht="17.25" customHeight="1">
      <c r="E167" s="62"/>
      <c r="F167" s="58"/>
      <c r="G167" s="31"/>
      <c r="H167" s="20"/>
      <c r="I167" s="20"/>
      <c r="J167" s="20"/>
      <c r="K167" s="20"/>
      <c r="L167" s="20"/>
      <c r="M167" s="20"/>
      <c r="N167" s="20"/>
      <c r="O167" s="20"/>
      <c r="P167" s="20"/>
      <c r="Q167" s="20"/>
      <c r="R167" s="20"/>
      <c r="S167" s="20"/>
      <c r="T167" s="20"/>
      <c r="U167" s="20"/>
      <c r="V167" s="20"/>
    </row>
    <row r="168" spans="5:22" ht="17.25" customHeight="1">
      <c r="E168" s="62"/>
      <c r="F168" s="58"/>
      <c r="G168" s="31"/>
      <c r="H168" s="20"/>
      <c r="I168" s="20"/>
      <c r="J168" s="20"/>
      <c r="K168" s="20"/>
      <c r="L168" s="20"/>
      <c r="M168" s="20"/>
      <c r="N168" s="20"/>
      <c r="O168" s="20"/>
      <c r="P168" s="20"/>
      <c r="Q168" s="20"/>
      <c r="R168" s="20"/>
      <c r="S168" s="20"/>
      <c r="T168" s="20"/>
      <c r="U168" s="20"/>
      <c r="V168" s="20"/>
    </row>
    <row r="169" spans="5:22" ht="17.25" customHeight="1">
      <c r="E169" s="62"/>
      <c r="F169" s="58"/>
      <c r="G169" s="31"/>
      <c r="H169" s="20"/>
      <c r="I169" s="20"/>
      <c r="J169" s="20"/>
      <c r="K169" s="20"/>
      <c r="L169" s="20"/>
      <c r="M169" s="20"/>
      <c r="N169" s="20"/>
      <c r="O169" s="20"/>
      <c r="P169" s="20"/>
      <c r="Q169" s="20"/>
      <c r="R169" s="20"/>
      <c r="S169" s="20"/>
      <c r="T169" s="20"/>
      <c r="U169" s="20"/>
      <c r="V169" s="20"/>
    </row>
    <row r="170" spans="5:22" ht="17.25" customHeight="1">
      <c r="E170" s="62"/>
      <c r="F170" s="58"/>
      <c r="G170" s="31"/>
      <c r="H170" s="20"/>
      <c r="I170" s="20"/>
      <c r="J170" s="20"/>
      <c r="K170" s="20"/>
      <c r="L170" s="20"/>
      <c r="M170" s="20"/>
      <c r="N170" s="20"/>
      <c r="O170" s="20"/>
      <c r="P170" s="20"/>
      <c r="Q170" s="20"/>
      <c r="R170" s="20"/>
      <c r="S170" s="20"/>
      <c r="T170" s="20"/>
      <c r="U170" s="20"/>
      <c r="V170" s="20"/>
    </row>
    <row r="171" spans="5:22" ht="17.25" customHeight="1">
      <c r="E171" s="62"/>
      <c r="F171" s="58"/>
      <c r="G171" s="31"/>
      <c r="H171" s="20"/>
      <c r="I171" s="20"/>
      <c r="J171" s="20"/>
      <c r="K171" s="20"/>
      <c r="L171" s="20"/>
      <c r="M171" s="20"/>
      <c r="N171" s="20"/>
      <c r="O171" s="20"/>
      <c r="P171" s="20"/>
      <c r="Q171" s="20"/>
      <c r="R171" s="20"/>
      <c r="S171" s="20"/>
      <c r="T171" s="20"/>
      <c r="U171" s="20"/>
      <c r="V171" s="20"/>
    </row>
    <row r="172" spans="5:22" ht="17.25" customHeight="1">
      <c r="E172" s="62"/>
      <c r="F172" s="58"/>
      <c r="G172" s="31"/>
      <c r="H172" s="20"/>
      <c r="I172" s="20"/>
      <c r="J172" s="20"/>
      <c r="K172" s="20"/>
      <c r="L172" s="20"/>
      <c r="M172" s="20"/>
      <c r="N172" s="20"/>
      <c r="O172" s="20"/>
      <c r="P172" s="20"/>
      <c r="Q172" s="20"/>
      <c r="R172" s="20"/>
      <c r="S172" s="20"/>
      <c r="T172" s="20"/>
      <c r="U172" s="20"/>
      <c r="V172" s="20"/>
    </row>
    <row r="173" spans="5:22" ht="17.25" customHeight="1">
      <c r="E173" s="62"/>
      <c r="F173" s="58"/>
      <c r="G173" s="31"/>
      <c r="H173" s="20"/>
      <c r="I173" s="20"/>
      <c r="J173" s="20"/>
      <c r="K173" s="20"/>
      <c r="L173" s="20"/>
      <c r="M173" s="20"/>
      <c r="N173" s="20"/>
      <c r="O173" s="20"/>
      <c r="P173" s="20"/>
      <c r="Q173" s="20"/>
      <c r="R173" s="20"/>
      <c r="S173" s="20"/>
      <c r="T173" s="20"/>
      <c r="U173" s="20"/>
      <c r="V173" s="20"/>
    </row>
    <row r="174" spans="5:22" ht="17.25" customHeight="1">
      <c r="E174" s="62"/>
      <c r="F174" s="58"/>
      <c r="G174" s="31"/>
      <c r="H174" s="20"/>
      <c r="I174" s="20"/>
      <c r="J174" s="20"/>
      <c r="K174" s="20"/>
      <c r="L174" s="20"/>
      <c r="M174" s="20"/>
      <c r="N174" s="20"/>
      <c r="O174" s="20"/>
      <c r="P174" s="20"/>
      <c r="Q174" s="20"/>
      <c r="R174" s="20"/>
      <c r="S174" s="20"/>
      <c r="T174" s="20"/>
      <c r="U174" s="20"/>
      <c r="V174" s="20"/>
    </row>
    <row r="175" spans="5:22" ht="17.25" customHeight="1">
      <c r="E175" s="62"/>
      <c r="F175" s="58"/>
      <c r="G175" s="31"/>
      <c r="H175" s="20"/>
      <c r="I175" s="20"/>
      <c r="J175" s="20"/>
      <c r="K175" s="20"/>
      <c r="L175" s="20"/>
      <c r="M175" s="20"/>
      <c r="N175" s="20"/>
      <c r="O175" s="20"/>
      <c r="P175" s="20"/>
      <c r="Q175" s="20"/>
      <c r="R175" s="20"/>
      <c r="S175" s="20"/>
      <c r="T175" s="20"/>
      <c r="U175" s="20"/>
      <c r="V175" s="20"/>
    </row>
    <row r="176" spans="5:22" ht="17.25" customHeight="1">
      <c r="E176" s="62"/>
      <c r="F176" s="58"/>
      <c r="G176" s="31"/>
      <c r="H176" s="20"/>
      <c r="I176" s="20"/>
      <c r="J176" s="20"/>
      <c r="K176" s="20"/>
      <c r="L176" s="20"/>
      <c r="M176" s="20"/>
      <c r="N176" s="20"/>
      <c r="O176" s="20"/>
      <c r="P176" s="20"/>
      <c r="Q176" s="20"/>
      <c r="R176" s="20"/>
      <c r="S176" s="20"/>
      <c r="T176" s="20"/>
      <c r="U176" s="20"/>
      <c r="V176" s="20"/>
    </row>
    <row r="177" spans="5:22" ht="17.25" customHeight="1">
      <c r="E177" s="62"/>
      <c r="F177" s="58"/>
      <c r="G177" s="31"/>
      <c r="H177" s="20"/>
      <c r="I177" s="20"/>
      <c r="J177" s="20"/>
      <c r="K177" s="20"/>
      <c r="L177" s="20"/>
      <c r="M177" s="20"/>
      <c r="N177" s="20"/>
      <c r="O177" s="20"/>
      <c r="P177" s="20"/>
      <c r="Q177" s="20"/>
      <c r="R177" s="20"/>
      <c r="S177" s="20"/>
      <c r="T177" s="20"/>
      <c r="U177" s="20"/>
      <c r="V177" s="20"/>
    </row>
    <row r="178" spans="5:22" ht="17.25" customHeight="1">
      <c r="E178" s="62"/>
      <c r="F178" s="58"/>
      <c r="G178" s="31"/>
      <c r="H178" s="20"/>
      <c r="I178" s="20"/>
      <c r="J178" s="20"/>
      <c r="K178" s="20"/>
      <c r="L178" s="20"/>
      <c r="M178" s="20"/>
      <c r="N178" s="20"/>
      <c r="O178" s="20"/>
      <c r="P178" s="20"/>
      <c r="Q178" s="20"/>
      <c r="R178" s="20"/>
      <c r="S178" s="20"/>
      <c r="T178" s="20"/>
      <c r="U178" s="20"/>
      <c r="V178" s="20"/>
    </row>
    <row r="179" spans="5:22" ht="17.25" customHeight="1">
      <c r="E179" s="62"/>
      <c r="F179" s="58"/>
      <c r="G179" s="31"/>
      <c r="H179" s="20"/>
      <c r="I179" s="20"/>
      <c r="J179" s="20"/>
      <c r="K179" s="20"/>
      <c r="L179" s="20"/>
      <c r="M179" s="20"/>
      <c r="N179" s="20"/>
      <c r="O179" s="20"/>
      <c r="P179" s="20"/>
      <c r="Q179" s="20"/>
      <c r="R179" s="20"/>
      <c r="S179" s="20"/>
      <c r="T179" s="20"/>
      <c r="U179" s="20"/>
      <c r="V179" s="20"/>
    </row>
    <row r="180" spans="5:22" ht="17.25" customHeight="1">
      <c r="E180" s="62"/>
      <c r="F180" s="58"/>
      <c r="G180" s="31"/>
      <c r="H180" s="20"/>
      <c r="I180" s="20"/>
      <c r="J180" s="20"/>
      <c r="K180" s="20"/>
      <c r="L180" s="20"/>
      <c r="M180" s="20"/>
      <c r="N180" s="20"/>
      <c r="O180" s="20"/>
      <c r="P180" s="20"/>
      <c r="Q180" s="20"/>
      <c r="R180" s="20"/>
      <c r="S180" s="20"/>
      <c r="T180" s="20"/>
      <c r="U180" s="20"/>
      <c r="V180" s="20"/>
    </row>
    <row r="181" spans="5:22" ht="17.25" customHeight="1">
      <c r="E181" s="62"/>
      <c r="F181" s="58"/>
      <c r="G181" s="31"/>
      <c r="H181" s="20"/>
      <c r="I181" s="20"/>
      <c r="J181" s="20"/>
      <c r="K181" s="20"/>
      <c r="L181" s="20"/>
      <c r="M181" s="20"/>
      <c r="N181" s="20"/>
      <c r="O181" s="20"/>
      <c r="P181" s="20"/>
      <c r="Q181" s="20"/>
      <c r="R181" s="20"/>
      <c r="S181" s="20"/>
      <c r="T181" s="20"/>
      <c r="U181" s="20"/>
      <c r="V181" s="20"/>
    </row>
    <row r="182" spans="5:22" ht="17.25" customHeight="1">
      <c r="E182" s="62"/>
      <c r="F182" s="58"/>
      <c r="G182" s="31"/>
      <c r="H182" s="20"/>
      <c r="I182" s="20"/>
      <c r="J182" s="20"/>
      <c r="K182" s="20"/>
      <c r="L182" s="20"/>
      <c r="M182" s="20"/>
      <c r="N182" s="20"/>
      <c r="O182" s="20"/>
      <c r="P182" s="20"/>
      <c r="Q182" s="20"/>
      <c r="R182" s="20"/>
      <c r="S182" s="20"/>
      <c r="T182" s="20"/>
      <c r="U182" s="20"/>
      <c r="V182" s="20"/>
    </row>
    <row r="183" spans="5:22" ht="17.25" customHeight="1">
      <c r="E183" s="62"/>
      <c r="F183" s="58"/>
      <c r="G183" s="31"/>
      <c r="H183" s="20"/>
      <c r="I183" s="20"/>
      <c r="J183" s="20"/>
      <c r="K183" s="20"/>
      <c r="L183" s="20"/>
      <c r="M183" s="20"/>
      <c r="N183" s="20"/>
      <c r="O183" s="20"/>
      <c r="P183" s="20"/>
      <c r="Q183" s="20"/>
      <c r="R183" s="20"/>
      <c r="S183" s="20"/>
      <c r="T183" s="20"/>
      <c r="U183" s="20"/>
      <c r="V183" s="20"/>
    </row>
    <row r="184" spans="5:22" ht="17.25" customHeight="1">
      <c r="E184" s="62"/>
      <c r="F184" s="58"/>
      <c r="G184" s="31"/>
      <c r="H184" s="20"/>
      <c r="I184" s="20"/>
      <c r="J184" s="20"/>
      <c r="K184" s="20"/>
      <c r="L184" s="20"/>
      <c r="M184" s="20"/>
      <c r="N184" s="20"/>
      <c r="O184" s="20"/>
      <c r="P184" s="20"/>
      <c r="Q184" s="20"/>
      <c r="R184" s="20"/>
      <c r="S184" s="20"/>
      <c r="T184" s="20"/>
      <c r="U184" s="20"/>
      <c r="V184" s="20"/>
    </row>
    <row r="185" spans="5:22" ht="17.25" customHeight="1">
      <c r="E185" s="62"/>
      <c r="F185" s="58"/>
      <c r="G185" s="31"/>
      <c r="H185" s="20"/>
      <c r="I185" s="20"/>
      <c r="J185" s="20"/>
      <c r="K185" s="20"/>
      <c r="L185" s="20"/>
      <c r="M185" s="20"/>
      <c r="N185" s="20"/>
      <c r="O185" s="20"/>
      <c r="P185" s="20"/>
      <c r="Q185" s="20"/>
      <c r="R185" s="20"/>
      <c r="S185" s="20"/>
      <c r="T185" s="20"/>
      <c r="U185" s="20"/>
      <c r="V185" s="20"/>
    </row>
    <row r="186" spans="5:22" ht="17.25" customHeight="1">
      <c r="E186" s="62"/>
      <c r="F186" s="58"/>
      <c r="G186" s="31"/>
      <c r="H186" s="20"/>
      <c r="I186" s="20"/>
      <c r="J186" s="20"/>
      <c r="K186" s="20"/>
      <c r="L186" s="20"/>
      <c r="M186" s="20"/>
      <c r="N186" s="20"/>
      <c r="O186" s="20"/>
      <c r="P186" s="20"/>
      <c r="Q186" s="20"/>
      <c r="R186" s="20"/>
      <c r="S186" s="20"/>
      <c r="T186" s="20"/>
      <c r="U186" s="20"/>
      <c r="V186" s="20"/>
    </row>
    <row r="187" spans="5:22" ht="17.25" customHeight="1">
      <c r="E187" s="62"/>
      <c r="F187" s="58"/>
      <c r="G187" s="31"/>
      <c r="H187" s="20"/>
      <c r="I187" s="20"/>
      <c r="J187" s="20"/>
      <c r="K187" s="20"/>
      <c r="L187" s="20"/>
      <c r="M187" s="20"/>
      <c r="N187" s="20"/>
      <c r="O187" s="20"/>
      <c r="P187" s="20"/>
      <c r="Q187" s="20"/>
      <c r="R187" s="20"/>
      <c r="S187" s="20"/>
      <c r="T187" s="20"/>
      <c r="U187" s="20"/>
      <c r="V187" s="20"/>
    </row>
    <row r="188" spans="5:22" ht="17.25" customHeight="1">
      <c r="E188" s="62"/>
      <c r="F188" s="58"/>
      <c r="G188" s="31"/>
      <c r="H188" s="20"/>
      <c r="I188" s="20"/>
      <c r="J188" s="20"/>
      <c r="K188" s="20"/>
      <c r="L188" s="20"/>
      <c r="M188" s="20"/>
      <c r="N188" s="20"/>
      <c r="O188" s="20"/>
      <c r="P188" s="20"/>
      <c r="Q188" s="20"/>
      <c r="R188" s="20"/>
      <c r="S188" s="20"/>
      <c r="T188" s="20"/>
      <c r="U188" s="20"/>
      <c r="V188" s="20"/>
    </row>
    <row r="189" spans="5:22" ht="17.25" customHeight="1">
      <c r="E189" s="62"/>
      <c r="F189" s="58"/>
      <c r="G189" s="31"/>
      <c r="H189" s="20"/>
      <c r="I189" s="20"/>
      <c r="J189" s="20"/>
      <c r="K189" s="20"/>
      <c r="L189" s="20"/>
      <c r="M189" s="20"/>
      <c r="N189" s="20"/>
      <c r="O189" s="20"/>
      <c r="P189" s="20"/>
      <c r="Q189" s="20"/>
      <c r="R189" s="20"/>
      <c r="S189" s="20"/>
      <c r="T189" s="20"/>
      <c r="U189" s="20"/>
      <c r="V189" s="20"/>
    </row>
    <row r="190" spans="5:22" ht="17.25" customHeight="1">
      <c r="E190" s="62"/>
      <c r="F190" s="58"/>
      <c r="G190" s="31"/>
      <c r="H190" s="20"/>
      <c r="I190" s="20"/>
      <c r="J190" s="20"/>
      <c r="K190" s="20"/>
      <c r="L190" s="20"/>
      <c r="M190" s="20"/>
      <c r="N190" s="20"/>
      <c r="O190" s="20"/>
      <c r="P190" s="20"/>
      <c r="Q190" s="20"/>
      <c r="R190" s="20"/>
      <c r="S190" s="20"/>
      <c r="T190" s="20"/>
      <c r="U190" s="20"/>
      <c r="V190" s="20"/>
    </row>
    <row r="191" spans="5:22" ht="17.25" customHeight="1">
      <c r="E191" s="62"/>
      <c r="F191" s="58"/>
      <c r="G191" s="31"/>
      <c r="H191" s="20"/>
      <c r="I191" s="20"/>
      <c r="J191" s="20"/>
      <c r="K191" s="20"/>
      <c r="L191" s="20"/>
      <c r="M191" s="20"/>
      <c r="N191" s="20"/>
      <c r="O191" s="20"/>
      <c r="P191" s="20"/>
      <c r="Q191" s="20"/>
      <c r="R191" s="20"/>
      <c r="S191" s="20"/>
      <c r="T191" s="20"/>
      <c r="U191" s="20"/>
      <c r="V191" s="20"/>
    </row>
    <row r="192" spans="5:22" ht="17.25" customHeight="1">
      <c r="E192" s="62"/>
      <c r="F192" s="58"/>
      <c r="G192" s="31"/>
      <c r="H192" s="20"/>
      <c r="I192" s="20"/>
      <c r="J192" s="20"/>
      <c r="K192" s="20"/>
      <c r="L192" s="20"/>
      <c r="M192" s="20"/>
      <c r="N192" s="20"/>
      <c r="O192" s="20"/>
      <c r="P192" s="20"/>
      <c r="Q192" s="20"/>
      <c r="R192" s="20"/>
      <c r="S192" s="20"/>
      <c r="T192" s="20"/>
      <c r="U192" s="20"/>
      <c r="V192" s="20"/>
    </row>
    <row r="193" spans="5:22" ht="17.25" customHeight="1">
      <c r="E193" s="62"/>
      <c r="F193" s="58"/>
      <c r="G193" s="31"/>
      <c r="H193" s="20"/>
      <c r="I193" s="20"/>
      <c r="J193" s="20"/>
      <c r="K193" s="20"/>
      <c r="L193" s="20"/>
      <c r="M193" s="20"/>
      <c r="N193" s="20"/>
      <c r="O193" s="20"/>
      <c r="P193" s="20"/>
      <c r="Q193" s="20"/>
      <c r="R193" s="20"/>
      <c r="S193" s="20"/>
      <c r="T193" s="20"/>
      <c r="U193" s="20"/>
      <c r="V193" s="20"/>
    </row>
    <row r="194" spans="5:22" ht="17.25" customHeight="1">
      <c r="E194" s="62"/>
      <c r="F194" s="58"/>
      <c r="G194" s="31"/>
      <c r="H194" s="20"/>
      <c r="I194" s="20"/>
      <c r="J194" s="20"/>
      <c r="K194" s="20"/>
      <c r="L194" s="20"/>
      <c r="M194" s="20"/>
      <c r="N194" s="20"/>
      <c r="O194" s="20"/>
      <c r="P194" s="20"/>
      <c r="Q194" s="20"/>
      <c r="R194" s="20"/>
      <c r="S194" s="20"/>
      <c r="T194" s="20"/>
      <c r="U194" s="20"/>
      <c r="V194" s="20"/>
    </row>
    <row r="195" spans="5:22" ht="17.25" customHeight="1">
      <c r="E195" s="62"/>
      <c r="F195" s="58"/>
      <c r="G195" s="31"/>
      <c r="H195" s="20"/>
      <c r="I195" s="20"/>
      <c r="J195" s="20"/>
      <c r="K195" s="20"/>
      <c r="L195" s="20"/>
      <c r="M195" s="20"/>
      <c r="N195" s="20"/>
      <c r="O195" s="20"/>
      <c r="P195" s="20"/>
      <c r="Q195" s="20"/>
      <c r="R195" s="20"/>
      <c r="S195" s="20"/>
      <c r="T195" s="20"/>
      <c r="U195" s="20"/>
      <c r="V195" s="20"/>
    </row>
    <row r="196" spans="5:22" ht="17.25" customHeight="1">
      <c r="E196" s="62"/>
      <c r="F196" s="58"/>
      <c r="G196" s="31"/>
      <c r="H196" s="20"/>
      <c r="I196" s="20"/>
      <c r="J196" s="20"/>
      <c r="K196" s="20"/>
      <c r="L196" s="20"/>
      <c r="M196" s="20"/>
      <c r="N196" s="20"/>
      <c r="O196" s="20"/>
      <c r="P196" s="20"/>
      <c r="Q196" s="20"/>
      <c r="R196" s="20"/>
      <c r="S196" s="20"/>
      <c r="T196" s="20"/>
      <c r="U196" s="20"/>
      <c r="V196" s="20"/>
    </row>
    <row r="197" spans="5:22" ht="17.25" customHeight="1">
      <c r="E197" s="62"/>
      <c r="F197" s="58"/>
      <c r="G197" s="31"/>
      <c r="H197" s="20"/>
      <c r="I197" s="20"/>
      <c r="J197" s="20"/>
      <c r="K197" s="20"/>
      <c r="L197" s="20"/>
      <c r="M197" s="20"/>
      <c r="N197" s="20"/>
      <c r="O197" s="20"/>
      <c r="P197" s="20"/>
      <c r="Q197" s="20"/>
      <c r="R197" s="20"/>
      <c r="S197" s="20"/>
      <c r="T197" s="20"/>
      <c r="U197" s="20"/>
      <c r="V197" s="20"/>
    </row>
    <row r="198" spans="5:22" ht="17.25" customHeight="1">
      <c r="E198" s="62"/>
      <c r="F198" s="58"/>
      <c r="G198" s="31"/>
      <c r="H198" s="20"/>
      <c r="I198" s="20"/>
      <c r="J198" s="20"/>
      <c r="K198" s="20"/>
      <c r="L198" s="20"/>
      <c r="M198" s="20"/>
      <c r="N198" s="20"/>
      <c r="O198" s="20"/>
      <c r="P198" s="20"/>
      <c r="Q198" s="20"/>
      <c r="R198" s="20"/>
      <c r="S198" s="20"/>
      <c r="T198" s="20"/>
      <c r="U198" s="20"/>
      <c r="V198" s="20"/>
    </row>
    <row r="199" spans="5:22" ht="17.25" customHeight="1">
      <c r="E199" s="62"/>
      <c r="F199" s="58"/>
      <c r="G199" s="31"/>
      <c r="H199" s="20"/>
      <c r="I199" s="20"/>
      <c r="J199" s="20"/>
      <c r="K199" s="20"/>
      <c r="L199" s="20"/>
      <c r="M199" s="20"/>
      <c r="N199" s="20"/>
      <c r="O199" s="20"/>
      <c r="P199" s="20"/>
      <c r="Q199" s="20"/>
      <c r="R199" s="20"/>
      <c r="S199" s="20"/>
      <c r="T199" s="20"/>
      <c r="U199" s="20"/>
      <c r="V199" s="20"/>
    </row>
    <row r="200" spans="5:22" ht="17.25" customHeight="1">
      <c r="E200" s="62"/>
      <c r="F200" s="58"/>
      <c r="G200" s="31"/>
      <c r="H200" s="20"/>
      <c r="I200" s="20"/>
      <c r="J200" s="20"/>
      <c r="K200" s="20"/>
      <c r="L200" s="20"/>
      <c r="M200" s="20"/>
      <c r="N200" s="20"/>
      <c r="O200" s="20"/>
      <c r="P200" s="20"/>
      <c r="Q200" s="20"/>
      <c r="R200" s="20"/>
      <c r="S200" s="20"/>
      <c r="T200" s="20"/>
      <c r="U200" s="20"/>
      <c r="V200" s="20"/>
    </row>
    <row r="201" spans="5:22" ht="17.25" customHeight="1">
      <c r="E201" s="62"/>
      <c r="F201" s="58"/>
      <c r="G201" s="31"/>
      <c r="H201" s="20"/>
      <c r="I201" s="20"/>
      <c r="J201" s="20"/>
      <c r="K201" s="20"/>
      <c r="L201" s="20"/>
      <c r="M201" s="20"/>
      <c r="N201" s="20"/>
      <c r="O201" s="20"/>
      <c r="P201" s="20"/>
      <c r="Q201" s="20"/>
      <c r="R201" s="20"/>
      <c r="S201" s="20"/>
      <c r="T201" s="20"/>
      <c r="U201" s="20"/>
      <c r="V201" s="20"/>
    </row>
    <row r="202" spans="5:22" ht="17.25" customHeight="1">
      <c r="E202" s="62"/>
      <c r="F202" s="58"/>
      <c r="G202" s="31"/>
      <c r="H202" s="20"/>
      <c r="I202" s="20"/>
      <c r="J202" s="20"/>
      <c r="K202" s="20"/>
      <c r="L202" s="20"/>
      <c r="M202" s="20"/>
      <c r="N202" s="20"/>
      <c r="O202" s="20"/>
      <c r="P202" s="20"/>
      <c r="Q202" s="20"/>
      <c r="R202" s="20"/>
      <c r="S202" s="20"/>
      <c r="T202" s="20"/>
      <c r="U202" s="20"/>
      <c r="V202" s="20"/>
    </row>
    <row r="203" spans="5:22" ht="17.25" customHeight="1">
      <c r="E203" s="62"/>
      <c r="F203" s="58"/>
      <c r="G203" s="31"/>
      <c r="H203" s="20"/>
      <c r="I203" s="20"/>
      <c r="J203" s="20"/>
      <c r="K203" s="20"/>
      <c r="L203" s="20"/>
      <c r="M203" s="20"/>
      <c r="N203" s="20"/>
      <c r="O203" s="20"/>
      <c r="P203" s="20"/>
      <c r="Q203" s="20"/>
      <c r="R203" s="20"/>
      <c r="S203" s="20"/>
      <c r="T203" s="20"/>
      <c r="U203" s="20"/>
      <c r="V203" s="20"/>
    </row>
    <row r="204" spans="5:22" ht="17.25" customHeight="1">
      <c r="E204" s="62"/>
      <c r="F204" s="58"/>
      <c r="G204" s="31"/>
      <c r="H204" s="20"/>
      <c r="I204" s="20"/>
      <c r="J204" s="20"/>
      <c r="K204" s="20"/>
      <c r="L204" s="20"/>
      <c r="M204" s="20"/>
      <c r="N204" s="20"/>
      <c r="O204" s="20"/>
      <c r="P204" s="20"/>
      <c r="Q204" s="20"/>
      <c r="R204" s="20"/>
      <c r="S204" s="20"/>
      <c r="T204" s="20"/>
      <c r="U204" s="20"/>
      <c r="V204" s="20"/>
    </row>
    <row r="205" spans="5:22" ht="17.25" customHeight="1">
      <c r="E205" s="62"/>
      <c r="F205" s="58"/>
      <c r="G205" s="31"/>
      <c r="H205" s="20"/>
      <c r="I205" s="20"/>
      <c r="J205" s="20"/>
      <c r="K205" s="20"/>
      <c r="L205" s="20"/>
      <c r="M205" s="20"/>
      <c r="N205" s="20"/>
      <c r="O205" s="20"/>
      <c r="P205" s="20"/>
      <c r="Q205" s="20"/>
      <c r="R205" s="20"/>
      <c r="S205" s="20"/>
      <c r="T205" s="20"/>
      <c r="U205" s="20"/>
      <c r="V205" s="20"/>
    </row>
    <row r="206" spans="5:22" ht="17.25" customHeight="1">
      <c r="E206" s="62"/>
      <c r="F206" s="58"/>
      <c r="G206" s="31"/>
      <c r="H206" s="20"/>
      <c r="I206" s="20"/>
      <c r="J206" s="20"/>
      <c r="K206" s="20"/>
      <c r="L206" s="20"/>
      <c r="M206" s="20"/>
      <c r="N206" s="20"/>
      <c r="O206" s="20"/>
      <c r="P206" s="20"/>
      <c r="Q206" s="20"/>
      <c r="R206" s="20"/>
      <c r="S206" s="20"/>
      <c r="T206" s="20"/>
      <c r="U206" s="20"/>
      <c r="V206" s="20"/>
    </row>
    <row r="207" spans="5:22" ht="17.25" customHeight="1">
      <c r="E207" s="62"/>
      <c r="F207" s="58"/>
      <c r="G207" s="31"/>
      <c r="H207" s="20"/>
      <c r="I207" s="20"/>
      <c r="J207" s="20"/>
      <c r="K207" s="20"/>
      <c r="L207" s="20"/>
      <c r="M207" s="20"/>
      <c r="N207" s="20"/>
      <c r="O207" s="20"/>
      <c r="P207" s="20"/>
      <c r="Q207" s="20"/>
      <c r="R207" s="20"/>
      <c r="S207" s="20"/>
      <c r="T207" s="20"/>
      <c r="U207" s="20"/>
      <c r="V207" s="20"/>
    </row>
    <row r="208" spans="5:22" ht="17.25" customHeight="1">
      <c r="E208" s="62"/>
      <c r="F208" s="58"/>
      <c r="G208" s="31"/>
      <c r="H208" s="20"/>
      <c r="I208" s="20"/>
      <c r="J208" s="20"/>
      <c r="K208" s="20"/>
      <c r="L208" s="20"/>
      <c r="M208" s="20"/>
      <c r="N208" s="20"/>
      <c r="O208" s="20"/>
      <c r="P208" s="20"/>
      <c r="Q208" s="20"/>
      <c r="R208" s="20"/>
      <c r="S208" s="20"/>
      <c r="T208" s="20"/>
      <c r="U208" s="20"/>
      <c r="V208" s="20"/>
    </row>
    <row r="209" spans="5:22" ht="17.25" customHeight="1">
      <c r="E209" s="62"/>
      <c r="F209" s="58"/>
      <c r="G209" s="31"/>
      <c r="H209" s="20"/>
      <c r="I209" s="20"/>
      <c r="J209" s="20"/>
      <c r="K209" s="20"/>
      <c r="L209" s="20"/>
      <c r="M209" s="20"/>
      <c r="N209" s="20"/>
      <c r="O209" s="20"/>
      <c r="P209" s="20"/>
      <c r="Q209" s="20"/>
      <c r="R209" s="20"/>
      <c r="S209" s="20"/>
      <c r="T209" s="20"/>
      <c r="U209" s="20"/>
      <c r="V209" s="20"/>
    </row>
    <row r="210" spans="5:22" ht="17.25" customHeight="1">
      <c r="E210" s="62"/>
      <c r="F210" s="58"/>
      <c r="G210" s="31"/>
      <c r="H210" s="20"/>
      <c r="I210" s="20"/>
      <c r="J210" s="20"/>
      <c r="K210" s="20"/>
      <c r="L210" s="20"/>
      <c r="M210" s="20"/>
      <c r="N210" s="20"/>
      <c r="O210" s="20"/>
      <c r="P210" s="20"/>
      <c r="Q210" s="20"/>
      <c r="R210" s="20"/>
      <c r="S210" s="20"/>
      <c r="T210" s="20"/>
      <c r="U210" s="20"/>
      <c r="V210" s="20"/>
    </row>
    <row r="211" spans="5:22" ht="17.25" customHeight="1">
      <c r="E211" s="62"/>
      <c r="F211" s="58"/>
      <c r="G211" s="31"/>
      <c r="H211" s="20"/>
      <c r="I211" s="20"/>
      <c r="J211" s="20"/>
      <c r="K211" s="20"/>
      <c r="L211" s="20"/>
      <c r="M211" s="20"/>
      <c r="N211" s="20"/>
      <c r="O211" s="20"/>
      <c r="P211" s="20"/>
      <c r="Q211" s="20"/>
      <c r="R211" s="20"/>
      <c r="S211" s="20"/>
      <c r="T211" s="20"/>
      <c r="U211" s="20"/>
      <c r="V211" s="20"/>
    </row>
    <row r="212" spans="5:22" ht="17.25" customHeight="1">
      <c r="E212" s="62"/>
      <c r="F212" s="58"/>
      <c r="G212" s="31"/>
      <c r="H212" s="20"/>
      <c r="I212" s="20"/>
      <c r="J212" s="20"/>
      <c r="K212" s="20"/>
      <c r="L212" s="20"/>
      <c r="M212" s="20"/>
      <c r="N212" s="20"/>
      <c r="O212" s="20"/>
      <c r="P212" s="20"/>
      <c r="Q212" s="20"/>
      <c r="R212" s="20"/>
      <c r="S212" s="20"/>
      <c r="T212" s="20"/>
      <c r="U212" s="20"/>
      <c r="V212" s="20"/>
    </row>
    <row r="213" spans="5:22" ht="17.25" customHeight="1">
      <c r="E213" s="62"/>
      <c r="F213" s="58"/>
      <c r="G213" s="31"/>
      <c r="H213" s="20"/>
      <c r="I213" s="20"/>
      <c r="J213" s="20"/>
      <c r="K213" s="20"/>
      <c r="L213" s="20"/>
      <c r="M213" s="20"/>
      <c r="N213" s="20"/>
      <c r="O213" s="20"/>
      <c r="P213" s="20"/>
      <c r="Q213" s="20"/>
      <c r="R213" s="20"/>
      <c r="S213" s="20"/>
      <c r="T213" s="20"/>
      <c r="U213" s="20"/>
      <c r="V213" s="20"/>
    </row>
    <row r="214" spans="5:22" ht="17.25" customHeight="1">
      <c r="E214" s="62"/>
      <c r="F214" s="58"/>
      <c r="G214" s="31"/>
      <c r="H214" s="20"/>
      <c r="I214" s="20"/>
      <c r="J214" s="20"/>
      <c r="K214" s="20"/>
      <c r="L214" s="20"/>
      <c r="M214" s="20"/>
      <c r="N214" s="20"/>
      <c r="O214" s="20"/>
      <c r="P214" s="20"/>
      <c r="Q214" s="20"/>
      <c r="R214" s="20"/>
      <c r="S214" s="20"/>
      <c r="T214" s="20"/>
      <c r="U214" s="20"/>
      <c r="V214" s="20"/>
    </row>
    <row r="215" spans="5:22" ht="17.25" customHeight="1">
      <c r="E215" s="62"/>
      <c r="F215" s="58"/>
      <c r="G215" s="31"/>
      <c r="H215" s="20"/>
      <c r="I215" s="20"/>
      <c r="J215" s="20"/>
      <c r="K215" s="20"/>
      <c r="L215" s="20"/>
      <c r="M215" s="20"/>
      <c r="N215" s="20"/>
      <c r="O215" s="20"/>
      <c r="P215" s="20"/>
      <c r="Q215" s="20"/>
      <c r="R215" s="20"/>
      <c r="S215" s="20"/>
      <c r="T215" s="20"/>
      <c r="U215" s="20"/>
      <c r="V215" s="20"/>
    </row>
    <row r="216" spans="5:22" ht="17.25" customHeight="1">
      <c r="E216" s="62"/>
      <c r="F216" s="58"/>
      <c r="G216" s="31"/>
      <c r="H216" s="20"/>
      <c r="I216" s="20"/>
      <c r="J216" s="20"/>
      <c r="K216" s="20"/>
      <c r="L216" s="20"/>
      <c r="M216" s="20"/>
      <c r="N216" s="20"/>
      <c r="O216" s="20"/>
      <c r="P216" s="20"/>
      <c r="Q216" s="20"/>
      <c r="R216" s="20"/>
      <c r="S216" s="20"/>
      <c r="T216" s="20"/>
      <c r="U216" s="20"/>
      <c r="V216" s="20"/>
    </row>
    <row r="217" spans="5:22" ht="17.25" customHeight="1">
      <c r="E217" s="62"/>
      <c r="F217" s="58"/>
      <c r="G217" s="31"/>
      <c r="H217" s="20"/>
      <c r="I217" s="20"/>
      <c r="J217" s="20"/>
      <c r="K217" s="20"/>
      <c r="L217" s="20"/>
      <c r="M217" s="20"/>
      <c r="N217" s="20"/>
      <c r="O217" s="20"/>
      <c r="P217" s="20"/>
      <c r="Q217" s="20"/>
      <c r="R217" s="20"/>
      <c r="S217" s="20"/>
      <c r="T217" s="20"/>
      <c r="U217" s="20"/>
      <c r="V217" s="20"/>
    </row>
    <row r="218" spans="5:22" ht="17.25" customHeight="1">
      <c r="E218" s="62"/>
      <c r="F218" s="58"/>
      <c r="G218" s="31"/>
      <c r="H218" s="20"/>
      <c r="I218" s="20"/>
      <c r="J218" s="20"/>
      <c r="K218" s="20"/>
      <c r="L218" s="20"/>
      <c r="M218" s="20"/>
      <c r="N218" s="20"/>
      <c r="O218" s="20"/>
      <c r="P218" s="20"/>
      <c r="Q218" s="20"/>
      <c r="R218" s="20"/>
      <c r="S218" s="20"/>
      <c r="T218" s="20"/>
      <c r="U218" s="20"/>
      <c r="V218" s="20"/>
    </row>
    <row r="219" spans="5:22" ht="17.25" customHeight="1">
      <c r="E219" s="62"/>
      <c r="F219" s="58"/>
      <c r="G219" s="31"/>
      <c r="H219" s="20"/>
      <c r="I219" s="20"/>
      <c r="J219" s="20"/>
      <c r="K219" s="20"/>
      <c r="L219" s="20"/>
      <c r="M219" s="20"/>
      <c r="N219" s="20"/>
      <c r="O219" s="20"/>
      <c r="P219" s="20"/>
      <c r="Q219" s="20"/>
      <c r="R219" s="20"/>
      <c r="S219" s="20"/>
      <c r="T219" s="20"/>
      <c r="U219" s="20"/>
      <c r="V219" s="20"/>
    </row>
    <row r="220" spans="5:22" ht="17.25" customHeight="1">
      <c r="E220" s="62"/>
      <c r="F220" s="58"/>
      <c r="G220" s="31"/>
      <c r="H220" s="20"/>
      <c r="I220" s="20"/>
      <c r="J220" s="20"/>
      <c r="K220" s="20"/>
      <c r="L220" s="20"/>
      <c r="M220" s="20"/>
      <c r="N220" s="20"/>
      <c r="O220" s="20"/>
      <c r="P220" s="20"/>
      <c r="Q220" s="20"/>
      <c r="R220" s="20"/>
      <c r="S220" s="20"/>
      <c r="T220" s="20"/>
      <c r="U220" s="20"/>
      <c r="V220" s="20"/>
    </row>
    <row r="221" spans="5:22" ht="17.25" customHeight="1">
      <c r="E221" s="62"/>
      <c r="F221" s="58"/>
      <c r="G221" s="31"/>
      <c r="H221" s="20"/>
      <c r="I221" s="20"/>
      <c r="J221" s="20"/>
      <c r="K221" s="20"/>
      <c r="L221" s="20"/>
      <c r="M221" s="20"/>
      <c r="N221" s="20"/>
      <c r="O221" s="20"/>
      <c r="P221" s="20"/>
      <c r="Q221" s="20"/>
      <c r="R221" s="20"/>
      <c r="S221" s="20"/>
      <c r="T221" s="20"/>
      <c r="U221" s="20"/>
      <c r="V221" s="20"/>
    </row>
    <row r="222" spans="5:22" ht="17.25" customHeight="1">
      <c r="E222" s="62"/>
      <c r="F222" s="58"/>
      <c r="G222" s="31"/>
      <c r="H222" s="20"/>
      <c r="I222" s="20"/>
      <c r="J222" s="20"/>
      <c r="K222" s="20"/>
      <c r="L222" s="20"/>
      <c r="M222" s="20"/>
      <c r="N222" s="20"/>
      <c r="O222" s="20"/>
      <c r="P222" s="20"/>
      <c r="Q222" s="20"/>
      <c r="R222" s="20"/>
      <c r="S222" s="20"/>
      <c r="T222" s="20"/>
      <c r="U222" s="20"/>
      <c r="V222" s="20"/>
    </row>
    <row r="223" spans="5:22" ht="17.25" customHeight="1">
      <c r="E223" s="62"/>
      <c r="F223" s="58"/>
      <c r="G223" s="31"/>
      <c r="H223" s="20"/>
      <c r="I223" s="20"/>
      <c r="J223" s="20"/>
      <c r="K223" s="20"/>
      <c r="L223" s="20"/>
      <c r="M223" s="20"/>
      <c r="N223" s="20"/>
      <c r="O223" s="20"/>
      <c r="P223" s="20"/>
      <c r="Q223" s="20"/>
      <c r="R223" s="20"/>
      <c r="S223" s="20"/>
      <c r="T223" s="20"/>
      <c r="U223" s="20"/>
      <c r="V223" s="20"/>
    </row>
    <row r="224" spans="5:22" ht="17.25" customHeight="1">
      <c r="E224" s="62"/>
      <c r="F224" s="58"/>
      <c r="G224" s="31"/>
      <c r="H224" s="20"/>
      <c r="I224" s="20"/>
      <c r="J224" s="20"/>
      <c r="K224" s="20"/>
      <c r="L224" s="20"/>
      <c r="M224" s="20"/>
      <c r="N224" s="20"/>
      <c r="O224" s="20"/>
      <c r="P224" s="20"/>
      <c r="Q224" s="20"/>
      <c r="R224" s="20"/>
      <c r="S224" s="20"/>
      <c r="T224" s="20"/>
      <c r="U224" s="20"/>
      <c r="V224" s="20"/>
    </row>
    <row r="225" spans="5:22" ht="17.25" customHeight="1">
      <c r="E225" s="62"/>
      <c r="F225" s="58"/>
      <c r="G225" s="31"/>
      <c r="H225" s="20"/>
      <c r="I225" s="20"/>
      <c r="J225" s="20"/>
      <c r="K225" s="20"/>
      <c r="L225" s="20"/>
      <c r="M225" s="20"/>
      <c r="N225" s="20"/>
      <c r="O225" s="20"/>
      <c r="P225" s="20"/>
      <c r="Q225" s="20"/>
      <c r="R225" s="20"/>
      <c r="S225" s="20"/>
      <c r="T225" s="20"/>
      <c r="U225" s="20"/>
      <c r="V225" s="20"/>
    </row>
    <row r="226" spans="5:22" ht="17.25" customHeight="1">
      <c r="E226" s="62"/>
      <c r="F226" s="58"/>
      <c r="G226" s="31"/>
      <c r="H226" s="20"/>
      <c r="I226" s="20"/>
      <c r="J226" s="20"/>
      <c r="K226" s="20"/>
      <c r="L226" s="20"/>
      <c r="M226" s="20"/>
      <c r="N226" s="20"/>
      <c r="O226" s="20"/>
      <c r="P226" s="20"/>
      <c r="Q226" s="20"/>
      <c r="R226" s="20"/>
      <c r="S226" s="20"/>
      <c r="T226" s="20"/>
      <c r="U226" s="20"/>
      <c r="V226" s="20"/>
    </row>
    <row r="227" spans="5:22" ht="17.25" customHeight="1">
      <c r="E227" s="62"/>
      <c r="F227" s="58"/>
      <c r="G227" s="31"/>
      <c r="H227" s="20"/>
      <c r="I227" s="20"/>
      <c r="J227" s="20"/>
      <c r="K227" s="20"/>
      <c r="L227" s="20"/>
      <c r="M227" s="20"/>
      <c r="N227" s="20"/>
      <c r="O227" s="20"/>
      <c r="P227" s="20"/>
      <c r="Q227" s="20"/>
      <c r="R227" s="20"/>
      <c r="S227" s="20"/>
      <c r="T227" s="20"/>
      <c r="U227" s="20"/>
      <c r="V227" s="20"/>
    </row>
    <row r="228" spans="5:22" ht="17.25" customHeight="1">
      <c r="E228" s="62"/>
      <c r="F228" s="58"/>
      <c r="G228" s="31"/>
      <c r="H228" s="20"/>
      <c r="I228" s="20"/>
      <c r="J228" s="20"/>
      <c r="K228" s="20"/>
      <c r="L228" s="20"/>
      <c r="M228" s="20"/>
      <c r="N228" s="20"/>
      <c r="O228" s="20"/>
      <c r="P228" s="20"/>
      <c r="Q228" s="20"/>
      <c r="R228" s="20"/>
      <c r="S228" s="20"/>
      <c r="T228" s="20"/>
      <c r="U228" s="20"/>
      <c r="V228" s="20"/>
    </row>
    <row r="229" spans="5:22" ht="17.25" customHeight="1">
      <c r="E229" s="62"/>
      <c r="F229" s="58"/>
      <c r="G229" s="31"/>
      <c r="H229" s="20"/>
      <c r="I229" s="20"/>
      <c r="J229" s="20"/>
      <c r="K229" s="20"/>
      <c r="L229" s="20"/>
      <c r="M229" s="20"/>
      <c r="N229" s="20"/>
      <c r="O229" s="20"/>
      <c r="P229" s="20"/>
      <c r="Q229" s="20"/>
      <c r="R229" s="20"/>
      <c r="S229" s="20"/>
      <c r="T229" s="20"/>
      <c r="U229" s="20"/>
      <c r="V229" s="20"/>
    </row>
    <row r="230" spans="5:22" ht="17.25" customHeight="1">
      <c r="E230" s="62"/>
      <c r="F230" s="58"/>
      <c r="G230" s="31"/>
      <c r="H230" s="20"/>
      <c r="I230" s="20"/>
      <c r="J230" s="20"/>
      <c r="K230" s="20"/>
      <c r="L230" s="20"/>
      <c r="M230" s="20"/>
      <c r="N230" s="20"/>
      <c r="O230" s="20"/>
      <c r="P230" s="20"/>
      <c r="Q230" s="20"/>
      <c r="R230" s="20"/>
      <c r="S230" s="20"/>
      <c r="T230" s="20"/>
      <c r="U230" s="20"/>
      <c r="V230" s="20"/>
    </row>
    <row r="231" spans="5:22" ht="17.25" customHeight="1">
      <c r="E231" s="62"/>
      <c r="F231" s="58"/>
      <c r="G231" s="31"/>
      <c r="H231" s="20"/>
      <c r="I231" s="20"/>
      <c r="J231" s="20"/>
      <c r="K231" s="20"/>
      <c r="L231" s="20"/>
      <c r="M231" s="20"/>
      <c r="N231" s="20"/>
      <c r="O231" s="20"/>
      <c r="P231" s="20"/>
      <c r="Q231" s="20"/>
      <c r="R231" s="20"/>
      <c r="S231" s="20"/>
      <c r="T231" s="20"/>
      <c r="U231" s="20"/>
      <c r="V231" s="20"/>
    </row>
    <row r="232" spans="5:22" ht="17.25" customHeight="1">
      <c r="E232" s="62"/>
      <c r="F232" s="58"/>
      <c r="G232" s="31"/>
      <c r="H232" s="20"/>
      <c r="I232" s="20"/>
      <c r="J232" s="20"/>
      <c r="K232" s="20"/>
      <c r="L232" s="20"/>
      <c r="M232" s="20"/>
      <c r="N232" s="20"/>
      <c r="O232" s="20"/>
      <c r="P232" s="20"/>
      <c r="Q232" s="20"/>
      <c r="R232" s="20"/>
      <c r="S232" s="20"/>
      <c r="T232" s="20"/>
      <c r="U232" s="20"/>
      <c r="V232" s="20"/>
    </row>
    <row r="233" spans="5:22" ht="17.25" customHeight="1">
      <c r="E233" s="62"/>
      <c r="F233" s="58"/>
      <c r="G233" s="31"/>
      <c r="H233" s="20"/>
      <c r="I233" s="20"/>
      <c r="J233" s="20"/>
      <c r="K233" s="20"/>
      <c r="L233" s="20"/>
      <c r="M233" s="20"/>
      <c r="N233" s="20"/>
      <c r="O233" s="20"/>
      <c r="P233" s="20"/>
      <c r="Q233" s="20"/>
      <c r="R233" s="20"/>
      <c r="S233" s="20"/>
      <c r="T233" s="20"/>
      <c r="U233" s="20"/>
      <c r="V233" s="20"/>
    </row>
    <row r="234" spans="5:22" ht="17.25" customHeight="1">
      <c r="E234" s="62"/>
      <c r="F234" s="58"/>
      <c r="G234" s="31"/>
      <c r="H234" s="20"/>
      <c r="I234" s="20"/>
      <c r="J234" s="20"/>
      <c r="K234" s="20"/>
      <c r="L234" s="20"/>
      <c r="M234" s="20"/>
      <c r="N234" s="20"/>
      <c r="O234" s="20"/>
      <c r="P234" s="20"/>
      <c r="Q234" s="20"/>
      <c r="R234" s="20"/>
      <c r="S234" s="20"/>
      <c r="T234" s="20"/>
      <c r="U234" s="20"/>
      <c r="V234" s="20"/>
    </row>
    <row r="235" spans="5:22" ht="17.25" customHeight="1">
      <c r="E235" s="62"/>
      <c r="F235" s="58"/>
      <c r="G235" s="31"/>
      <c r="H235" s="20"/>
      <c r="I235" s="20"/>
      <c r="J235" s="20"/>
      <c r="K235" s="20"/>
      <c r="L235" s="20"/>
      <c r="M235" s="20"/>
      <c r="N235" s="20"/>
      <c r="O235" s="20"/>
      <c r="P235" s="20"/>
      <c r="Q235" s="20"/>
      <c r="R235" s="20"/>
      <c r="S235" s="20"/>
      <c r="T235" s="20"/>
      <c r="U235" s="20"/>
      <c r="V235" s="20"/>
    </row>
    <row r="236" spans="5:22" ht="17.25" customHeight="1">
      <c r="E236" s="62"/>
      <c r="F236" s="58"/>
      <c r="G236" s="31"/>
      <c r="H236" s="20"/>
      <c r="I236" s="20"/>
      <c r="J236" s="20"/>
      <c r="K236" s="20"/>
      <c r="L236" s="20"/>
      <c r="M236" s="20"/>
      <c r="N236" s="20"/>
      <c r="O236" s="20"/>
      <c r="P236" s="20"/>
      <c r="Q236" s="20"/>
      <c r="R236" s="20"/>
      <c r="S236" s="20"/>
      <c r="T236" s="20"/>
      <c r="U236" s="20"/>
      <c r="V236" s="20"/>
    </row>
    <row r="237" spans="5:22" ht="17.25" customHeight="1">
      <c r="E237" s="62"/>
      <c r="F237" s="58"/>
      <c r="G237" s="31"/>
      <c r="H237" s="20"/>
      <c r="I237" s="20"/>
      <c r="J237" s="20"/>
      <c r="K237" s="20"/>
      <c r="L237" s="20"/>
      <c r="M237" s="20"/>
      <c r="N237" s="20"/>
      <c r="O237" s="20"/>
      <c r="P237" s="20"/>
      <c r="Q237" s="20"/>
      <c r="R237" s="20"/>
      <c r="S237" s="20"/>
      <c r="T237" s="20"/>
      <c r="U237" s="20"/>
      <c r="V237" s="20"/>
    </row>
    <row r="238" spans="5:22" ht="17.25" customHeight="1">
      <c r="E238" s="62"/>
      <c r="F238" s="58"/>
      <c r="G238" s="31"/>
      <c r="H238" s="20"/>
      <c r="I238" s="20"/>
      <c r="J238" s="20"/>
      <c r="K238" s="20"/>
      <c r="L238" s="20"/>
      <c r="M238" s="20"/>
      <c r="N238" s="20"/>
      <c r="O238" s="20"/>
      <c r="P238" s="20"/>
      <c r="Q238" s="20"/>
      <c r="R238" s="20"/>
      <c r="S238" s="20"/>
      <c r="T238" s="20"/>
      <c r="U238" s="20"/>
      <c r="V238" s="20"/>
    </row>
    <row r="239" spans="5:22" ht="17.25" customHeight="1">
      <c r="E239" s="62"/>
      <c r="F239" s="58"/>
      <c r="G239" s="31"/>
      <c r="H239" s="20"/>
      <c r="I239" s="20"/>
      <c r="J239" s="20"/>
      <c r="K239" s="20"/>
      <c r="L239" s="20"/>
      <c r="M239" s="20"/>
      <c r="N239" s="20"/>
      <c r="O239" s="20"/>
      <c r="P239" s="20"/>
      <c r="Q239" s="20"/>
      <c r="R239" s="20"/>
      <c r="S239" s="20"/>
      <c r="T239" s="20"/>
      <c r="U239" s="20"/>
      <c r="V239" s="20"/>
    </row>
    <row r="240" spans="5:22" ht="17.25" customHeight="1">
      <c r="E240" s="62"/>
      <c r="F240" s="58"/>
      <c r="G240" s="31"/>
      <c r="H240" s="20"/>
      <c r="I240" s="20"/>
      <c r="J240" s="20"/>
      <c r="K240" s="20"/>
      <c r="L240" s="20"/>
      <c r="M240" s="20"/>
      <c r="N240" s="20"/>
      <c r="O240" s="20"/>
      <c r="P240" s="20"/>
      <c r="Q240" s="20"/>
      <c r="R240" s="20"/>
      <c r="S240" s="20"/>
      <c r="T240" s="20"/>
      <c r="U240" s="20"/>
      <c r="V240" s="20"/>
    </row>
    <row r="241" spans="5:22" ht="17.25" customHeight="1">
      <c r="E241" s="62"/>
      <c r="F241" s="58"/>
      <c r="G241" s="31"/>
      <c r="H241" s="20"/>
      <c r="I241" s="20"/>
      <c r="J241" s="20"/>
      <c r="K241" s="20"/>
      <c r="L241" s="20"/>
      <c r="M241" s="20"/>
      <c r="N241" s="20"/>
      <c r="O241" s="20"/>
      <c r="P241" s="20"/>
      <c r="Q241" s="20"/>
      <c r="R241" s="20"/>
      <c r="S241" s="20"/>
      <c r="T241" s="20"/>
      <c r="U241" s="20"/>
      <c r="V241" s="20"/>
    </row>
    <row r="242" spans="5:22" ht="17.25" customHeight="1">
      <c r="E242" s="62"/>
      <c r="F242" s="58"/>
      <c r="G242" s="31"/>
      <c r="H242" s="20"/>
      <c r="I242" s="20"/>
      <c r="J242" s="20"/>
      <c r="K242" s="20"/>
      <c r="L242" s="20"/>
      <c r="M242" s="20"/>
      <c r="N242" s="20"/>
      <c r="O242" s="20"/>
      <c r="P242" s="20"/>
      <c r="Q242" s="20"/>
      <c r="R242" s="20"/>
      <c r="S242" s="20"/>
      <c r="T242" s="20"/>
      <c r="U242" s="20"/>
      <c r="V242" s="20"/>
    </row>
    <row r="243" spans="5:22" ht="17.25" customHeight="1">
      <c r="E243" s="62"/>
      <c r="F243" s="58"/>
      <c r="G243" s="31"/>
      <c r="H243" s="20"/>
      <c r="I243" s="20"/>
      <c r="J243" s="20"/>
      <c r="K243" s="20"/>
      <c r="L243" s="20"/>
      <c r="M243" s="20"/>
      <c r="N243" s="20"/>
      <c r="O243" s="20"/>
      <c r="P243" s="20"/>
      <c r="Q243" s="20"/>
      <c r="R243" s="20"/>
      <c r="S243" s="20"/>
      <c r="T243" s="20"/>
      <c r="U243" s="20"/>
      <c r="V243" s="20"/>
    </row>
    <row r="244" spans="5:22" ht="17.25" customHeight="1">
      <c r="E244" s="62"/>
      <c r="F244" s="58"/>
      <c r="G244" s="31"/>
      <c r="H244" s="20"/>
      <c r="I244" s="20"/>
      <c r="J244" s="20"/>
      <c r="K244" s="20"/>
      <c r="L244" s="20"/>
      <c r="M244" s="20"/>
      <c r="N244" s="20"/>
      <c r="O244" s="20"/>
      <c r="P244" s="20"/>
      <c r="Q244" s="20"/>
      <c r="R244" s="20"/>
      <c r="S244" s="20"/>
      <c r="T244" s="20"/>
      <c r="U244" s="20"/>
      <c r="V244" s="20"/>
    </row>
    <row r="245" spans="5:22" ht="17.25" customHeight="1">
      <c r="E245" s="62"/>
      <c r="F245" s="58"/>
      <c r="G245" s="31"/>
      <c r="H245" s="20"/>
      <c r="I245" s="20"/>
      <c r="J245" s="20"/>
      <c r="K245" s="20"/>
      <c r="L245" s="20"/>
      <c r="M245" s="20"/>
      <c r="N245" s="20"/>
      <c r="O245" s="20"/>
      <c r="P245" s="20"/>
      <c r="Q245" s="20"/>
      <c r="R245" s="20"/>
      <c r="S245" s="20"/>
      <c r="T245" s="20"/>
      <c r="U245" s="20"/>
      <c r="V245" s="20"/>
    </row>
    <row r="246" spans="5:22" ht="17.25" customHeight="1">
      <c r="E246" s="62"/>
      <c r="F246" s="58"/>
      <c r="G246" s="31"/>
      <c r="H246" s="20"/>
      <c r="I246" s="20"/>
      <c r="J246" s="20"/>
      <c r="K246" s="20"/>
      <c r="L246" s="20"/>
      <c r="M246" s="20"/>
      <c r="N246" s="20"/>
      <c r="O246" s="20"/>
      <c r="P246" s="20"/>
      <c r="Q246" s="20"/>
      <c r="R246" s="20"/>
      <c r="S246" s="20"/>
      <c r="T246" s="20"/>
      <c r="U246" s="20"/>
      <c r="V246" s="20"/>
    </row>
    <row r="247" spans="5:22" ht="17.25" customHeight="1">
      <c r="E247" s="62"/>
      <c r="F247" s="58"/>
      <c r="G247" s="31"/>
      <c r="H247" s="20"/>
      <c r="I247" s="20"/>
      <c r="J247" s="20"/>
      <c r="K247" s="20"/>
      <c r="L247" s="20"/>
      <c r="M247" s="20"/>
      <c r="N247" s="20"/>
      <c r="O247" s="20"/>
      <c r="P247" s="20"/>
      <c r="Q247" s="20"/>
      <c r="R247" s="20"/>
      <c r="S247" s="20"/>
      <c r="T247" s="20"/>
      <c r="U247" s="20"/>
      <c r="V247" s="20"/>
    </row>
    <row r="248" spans="5:22" ht="17.25" customHeight="1">
      <c r="E248" s="62"/>
      <c r="F248" s="58"/>
      <c r="G248" s="31"/>
      <c r="H248" s="20"/>
      <c r="I248" s="20"/>
      <c r="J248" s="20"/>
      <c r="K248" s="20"/>
      <c r="L248" s="20"/>
      <c r="M248" s="20"/>
      <c r="N248" s="20"/>
      <c r="O248" s="20"/>
      <c r="P248" s="20"/>
      <c r="Q248" s="20"/>
      <c r="R248" s="20"/>
      <c r="S248" s="20"/>
      <c r="T248" s="20"/>
      <c r="U248" s="20"/>
      <c r="V248" s="20"/>
    </row>
    <row r="249" spans="5:22" ht="17.25" customHeight="1">
      <c r="E249" s="62"/>
      <c r="F249" s="58"/>
      <c r="G249" s="31"/>
      <c r="H249" s="20"/>
      <c r="I249" s="20"/>
      <c r="J249" s="20"/>
      <c r="K249" s="20"/>
      <c r="L249" s="20"/>
      <c r="M249" s="20"/>
      <c r="N249" s="20"/>
      <c r="O249" s="20"/>
      <c r="P249" s="20"/>
      <c r="Q249" s="20"/>
      <c r="R249" s="20"/>
      <c r="S249" s="20"/>
      <c r="T249" s="20"/>
      <c r="U249" s="20"/>
      <c r="V249" s="20"/>
    </row>
    <row r="250" spans="5:22" ht="17.25" customHeight="1">
      <c r="E250" s="62"/>
      <c r="F250" s="58"/>
      <c r="G250" s="31"/>
      <c r="H250" s="20"/>
      <c r="I250" s="20"/>
      <c r="J250" s="20"/>
      <c r="K250" s="20"/>
      <c r="L250" s="20"/>
      <c r="M250" s="20"/>
      <c r="N250" s="20"/>
      <c r="O250" s="20"/>
      <c r="P250" s="20"/>
      <c r="Q250" s="20"/>
      <c r="R250" s="20"/>
      <c r="S250" s="20"/>
      <c r="T250" s="20"/>
      <c r="U250" s="20"/>
      <c r="V250" s="20"/>
    </row>
    <row r="251" spans="5:22" ht="17.25" customHeight="1">
      <c r="E251" s="62"/>
      <c r="F251" s="58"/>
      <c r="G251" s="31"/>
      <c r="H251" s="20"/>
      <c r="I251" s="20"/>
      <c r="J251" s="20"/>
      <c r="K251" s="20"/>
      <c r="L251" s="20"/>
      <c r="M251" s="20"/>
      <c r="N251" s="20"/>
      <c r="O251" s="20"/>
      <c r="P251" s="20"/>
      <c r="Q251" s="20"/>
      <c r="R251" s="20"/>
      <c r="S251" s="20"/>
      <c r="T251" s="20"/>
      <c r="U251" s="20"/>
      <c r="V251" s="20"/>
    </row>
    <row r="252" spans="5:22" ht="17.25" customHeight="1">
      <c r="E252" s="62"/>
      <c r="F252" s="58"/>
      <c r="G252" s="31"/>
      <c r="H252" s="20"/>
      <c r="I252" s="20"/>
      <c r="J252" s="20"/>
      <c r="K252" s="20"/>
      <c r="L252" s="20"/>
      <c r="M252" s="20"/>
      <c r="N252" s="20"/>
      <c r="O252" s="20"/>
      <c r="P252" s="20"/>
      <c r="Q252" s="20"/>
      <c r="R252" s="20"/>
      <c r="S252" s="20"/>
      <c r="T252" s="20"/>
      <c r="U252" s="20"/>
      <c r="V252" s="20"/>
    </row>
    <row r="253" spans="5:22" ht="17.25" customHeight="1">
      <c r="E253" s="62"/>
      <c r="F253" s="58"/>
      <c r="G253" s="31"/>
      <c r="H253" s="20"/>
      <c r="I253" s="20"/>
      <c r="J253" s="20"/>
      <c r="K253" s="20"/>
      <c r="L253" s="20"/>
      <c r="M253" s="20"/>
      <c r="N253" s="20"/>
      <c r="O253" s="20"/>
      <c r="P253" s="20"/>
      <c r="Q253" s="20"/>
      <c r="R253" s="20"/>
      <c r="S253" s="20"/>
      <c r="T253" s="20"/>
      <c r="U253" s="20"/>
      <c r="V253" s="20"/>
    </row>
    <row r="254" spans="5:22" ht="17.25" customHeight="1">
      <c r="E254" s="62"/>
      <c r="F254" s="58"/>
      <c r="G254" s="31"/>
      <c r="H254" s="20"/>
      <c r="I254" s="20"/>
      <c r="J254" s="20"/>
      <c r="K254" s="20"/>
      <c r="L254" s="20"/>
      <c r="M254" s="20"/>
      <c r="N254" s="20"/>
      <c r="O254" s="20"/>
      <c r="P254" s="20"/>
      <c r="Q254" s="20"/>
      <c r="R254" s="20"/>
      <c r="S254" s="20"/>
      <c r="T254" s="20"/>
      <c r="U254" s="20"/>
      <c r="V254" s="20"/>
    </row>
    <row r="255" spans="5:22" ht="17.25" customHeight="1">
      <c r="E255" s="62"/>
      <c r="F255" s="58"/>
      <c r="G255" s="31"/>
      <c r="H255" s="20"/>
      <c r="I255" s="20"/>
      <c r="J255" s="20"/>
      <c r="K255" s="20"/>
      <c r="L255" s="20"/>
      <c r="M255" s="20"/>
      <c r="N255" s="20"/>
      <c r="O255" s="20"/>
      <c r="P255" s="20"/>
      <c r="Q255" s="20"/>
      <c r="R255" s="20"/>
      <c r="S255" s="20"/>
      <c r="T255" s="20"/>
      <c r="U255" s="20"/>
      <c r="V255" s="20"/>
    </row>
    <row r="256" spans="5:22" ht="17.25" customHeight="1">
      <c r="E256" s="62"/>
      <c r="F256" s="58"/>
      <c r="G256" s="31"/>
      <c r="H256" s="20"/>
      <c r="I256" s="20"/>
      <c r="J256" s="20"/>
      <c r="K256" s="20"/>
      <c r="L256" s="20"/>
      <c r="M256" s="20"/>
      <c r="N256" s="20"/>
      <c r="O256" s="20"/>
      <c r="P256" s="20"/>
      <c r="Q256" s="20"/>
      <c r="R256" s="20"/>
      <c r="S256" s="20"/>
      <c r="T256" s="20"/>
      <c r="U256" s="20"/>
      <c r="V256" s="20"/>
    </row>
    <row r="257" spans="5:22" ht="17.25" customHeight="1">
      <c r="E257" s="62"/>
      <c r="F257" s="58"/>
      <c r="G257" s="31"/>
      <c r="H257" s="20"/>
      <c r="I257" s="20"/>
      <c r="J257" s="20"/>
      <c r="K257" s="20"/>
      <c r="L257" s="20"/>
      <c r="M257" s="20"/>
      <c r="N257" s="20"/>
      <c r="O257" s="20"/>
      <c r="P257" s="20"/>
      <c r="Q257" s="20"/>
      <c r="R257" s="20"/>
      <c r="S257" s="20"/>
      <c r="T257" s="20"/>
      <c r="U257" s="20"/>
      <c r="V257" s="20"/>
    </row>
    <row r="258" spans="5:22" ht="17.25" customHeight="1">
      <c r="E258" s="62"/>
      <c r="F258" s="58"/>
      <c r="G258" s="31"/>
      <c r="H258" s="20"/>
      <c r="I258" s="20"/>
      <c r="J258" s="20"/>
      <c r="K258" s="20"/>
      <c r="L258" s="20"/>
      <c r="M258" s="20"/>
      <c r="N258" s="20"/>
      <c r="O258" s="20"/>
      <c r="P258" s="20"/>
      <c r="Q258" s="20"/>
      <c r="R258" s="20"/>
      <c r="S258" s="20"/>
      <c r="T258" s="20"/>
      <c r="U258" s="20"/>
      <c r="V258" s="20"/>
    </row>
    <row r="259" spans="5:22" ht="17.25" customHeight="1">
      <c r="E259" s="62"/>
      <c r="F259" s="58"/>
      <c r="G259" s="31"/>
      <c r="H259" s="20"/>
      <c r="I259" s="20"/>
      <c r="J259" s="20"/>
      <c r="K259" s="20"/>
      <c r="L259" s="20"/>
      <c r="M259" s="20"/>
      <c r="N259" s="20"/>
      <c r="O259" s="20"/>
      <c r="P259" s="20"/>
      <c r="Q259" s="20"/>
      <c r="R259" s="20"/>
      <c r="S259" s="20"/>
      <c r="T259" s="20"/>
      <c r="U259" s="20"/>
      <c r="V259" s="20"/>
    </row>
    <row r="260" spans="5:22" ht="17.25" customHeight="1">
      <c r="E260" s="62"/>
      <c r="F260" s="58"/>
      <c r="G260" s="31"/>
      <c r="H260" s="20"/>
      <c r="I260" s="20"/>
      <c r="J260" s="20"/>
      <c r="K260" s="20"/>
      <c r="L260" s="20"/>
      <c r="M260" s="20"/>
      <c r="N260" s="20"/>
      <c r="O260" s="20"/>
      <c r="P260" s="20"/>
      <c r="Q260" s="20"/>
      <c r="R260" s="20"/>
      <c r="S260" s="20"/>
      <c r="T260" s="20"/>
      <c r="U260" s="20"/>
      <c r="V260" s="20"/>
    </row>
    <row r="261" spans="5:22" ht="17.25" customHeight="1">
      <c r="E261" s="62"/>
      <c r="F261" s="58"/>
      <c r="G261" s="31"/>
      <c r="H261" s="20"/>
      <c r="I261" s="20"/>
      <c r="J261" s="20"/>
      <c r="K261" s="20"/>
      <c r="L261" s="20"/>
      <c r="M261" s="20"/>
      <c r="N261" s="20"/>
      <c r="O261" s="20"/>
      <c r="P261" s="20"/>
      <c r="Q261" s="20"/>
      <c r="R261" s="20"/>
      <c r="S261" s="20"/>
      <c r="T261" s="20"/>
      <c r="U261" s="20"/>
      <c r="V261" s="20"/>
    </row>
    <row r="262" spans="5:22" ht="17.25" customHeight="1">
      <c r="E262" s="62"/>
      <c r="F262" s="58"/>
      <c r="G262" s="31"/>
      <c r="H262" s="20"/>
      <c r="I262" s="20"/>
      <c r="J262" s="20"/>
      <c r="K262" s="20"/>
      <c r="L262" s="20"/>
      <c r="M262" s="20"/>
      <c r="N262" s="20"/>
      <c r="O262" s="20"/>
      <c r="P262" s="20"/>
      <c r="Q262" s="20"/>
      <c r="R262" s="20"/>
      <c r="S262" s="20"/>
      <c r="T262" s="20"/>
      <c r="U262" s="20"/>
      <c r="V262" s="20"/>
    </row>
    <row r="263" spans="5:22" ht="17.25" customHeight="1">
      <c r="E263" s="62"/>
      <c r="F263" s="58"/>
      <c r="G263" s="31"/>
      <c r="H263" s="20"/>
      <c r="I263" s="20"/>
      <c r="J263" s="20"/>
      <c r="K263" s="20"/>
      <c r="L263" s="20"/>
      <c r="M263" s="20"/>
      <c r="N263" s="20"/>
      <c r="O263" s="20"/>
      <c r="P263" s="20"/>
      <c r="Q263" s="20"/>
      <c r="R263" s="20"/>
      <c r="S263" s="20"/>
      <c r="T263" s="20"/>
      <c r="U263" s="20"/>
      <c r="V263" s="20"/>
    </row>
    <row r="264" spans="5:22" ht="17.25" customHeight="1">
      <c r="E264" s="62"/>
      <c r="F264" s="58"/>
      <c r="G264" s="31"/>
      <c r="H264" s="20"/>
      <c r="I264" s="20"/>
      <c r="J264" s="20"/>
      <c r="K264" s="20"/>
      <c r="L264" s="20"/>
      <c r="M264" s="20"/>
      <c r="N264" s="20"/>
      <c r="O264" s="20"/>
      <c r="P264" s="20"/>
      <c r="Q264" s="20"/>
      <c r="R264" s="20"/>
      <c r="S264" s="20"/>
      <c r="T264" s="20"/>
      <c r="U264" s="20"/>
      <c r="V264" s="20"/>
    </row>
    <row r="265" spans="5:22" ht="17.25" customHeight="1">
      <c r="E265" s="62"/>
      <c r="F265" s="58"/>
      <c r="G265" s="31"/>
      <c r="H265" s="20"/>
      <c r="I265" s="20"/>
      <c r="J265" s="20"/>
      <c r="K265" s="20"/>
      <c r="L265" s="20"/>
      <c r="M265" s="20"/>
      <c r="N265" s="20"/>
      <c r="O265" s="20"/>
      <c r="P265" s="20"/>
      <c r="Q265" s="20"/>
      <c r="R265" s="20"/>
      <c r="S265" s="20"/>
      <c r="T265" s="20"/>
      <c r="U265" s="20"/>
      <c r="V265" s="20"/>
    </row>
    <row r="266" spans="5:22" ht="17.25" customHeight="1">
      <c r="E266" s="62"/>
      <c r="F266" s="58"/>
      <c r="G266" s="31"/>
      <c r="H266" s="20"/>
      <c r="I266" s="20"/>
      <c r="J266" s="20"/>
      <c r="K266" s="20"/>
      <c r="L266" s="20"/>
      <c r="M266" s="20"/>
      <c r="N266" s="20"/>
      <c r="O266" s="20"/>
      <c r="P266" s="20"/>
      <c r="Q266" s="20"/>
      <c r="R266" s="20"/>
      <c r="S266" s="20"/>
      <c r="T266" s="20"/>
      <c r="U266" s="20"/>
      <c r="V266" s="20"/>
    </row>
    <row r="267" spans="5:22" ht="17.25" customHeight="1">
      <c r="E267" s="62"/>
      <c r="F267" s="58"/>
      <c r="G267" s="31"/>
      <c r="H267" s="20"/>
      <c r="I267" s="20"/>
      <c r="J267" s="20"/>
      <c r="K267" s="20"/>
      <c r="L267" s="20"/>
      <c r="M267" s="20"/>
      <c r="N267" s="20"/>
      <c r="O267" s="20"/>
      <c r="P267" s="20"/>
      <c r="Q267" s="20"/>
      <c r="R267" s="20"/>
      <c r="S267" s="20"/>
      <c r="T267" s="20"/>
      <c r="U267" s="20"/>
      <c r="V267" s="20"/>
    </row>
    <row r="268" spans="5:22" ht="17.25" customHeight="1">
      <c r="E268" s="62"/>
      <c r="F268" s="58"/>
      <c r="G268" s="31"/>
      <c r="H268" s="20"/>
      <c r="I268" s="20"/>
      <c r="J268" s="20"/>
      <c r="K268" s="20"/>
      <c r="L268" s="20"/>
      <c r="M268" s="20"/>
      <c r="N268" s="20"/>
      <c r="O268" s="20"/>
      <c r="P268" s="20"/>
      <c r="Q268" s="20"/>
      <c r="R268" s="20"/>
      <c r="S268" s="20"/>
      <c r="T268" s="20"/>
      <c r="U268" s="20"/>
      <c r="V268" s="20"/>
    </row>
    <row r="269" spans="5:22" ht="17.25" customHeight="1">
      <c r="E269" s="62"/>
      <c r="F269" s="58"/>
      <c r="G269" s="31"/>
      <c r="H269" s="20"/>
      <c r="I269" s="20"/>
      <c r="J269" s="20"/>
      <c r="K269" s="20"/>
      <c r="L269" s="20"/>
      <c r="M269" s="20"/>
      <c r="N269" s="20"/>
      <c r="O269" s="20"/>
      <c r="P269" s="20"/>
      <c r="Q269" s="20"/>
      <c r="R269" s="20"/>
      <c r="S269" s="20"/>
      <c r="T269" s="20"/>
      <c r="U269" s="20"/>
      <c r="V269" s="20"/>
    </row>
    <row r="270" spans="5:22" ht="17.25" customHeight="1">
      <c r="E270" s="62"/>
      <c r="F270" s="58"/>
      <c r="G270" s="31"/>
      <c r="H270" s="20"/>
      <c r="I270" s="20"/>
      <c r="J270" s="20"/>
      <c r="K270" s="20"/>
      <c r="L270" s="20"/>
      <c r="M270" s="20"/>
      <c r="N270" s="20"/>
      <c r="O270" s="20"/>
      <c r="P270" s="20"/>
      <c r="Q270" s="20"/>
      <c r="R270" s="20"/>
      <c r="S270" s="20"/>
      <c r="T270" s="20"/>
      <c r="U270" s="20"/>
      <c r="V270" s="20"/>
    </row>
    <row r="271" spans="5:22" ht="17.25" customHeight="1">
      <c r="E271" s="62"/>
      <c r="F271" s="58"/>
      <c r="G271" s="31"/>
      <c r="H271" s="20"/>
      <c r="I271" s="20"/>
      <c r="J271" s="20"/>
      <c r="K271" s="20"/>
      <c r="L271" s="20"/>
      <c r="M271" s="20"/>
      <c r="N271" s="20"/>
      <c r="O271" s="20"/>
      <c r="P271" s="20"/>
      <c r="Q271" s="20"/>
      <c r="R271" s="20"/>
      <c r="S271" s="20"/>
      <c r="T271" s="20"/>
      <c r="U271" s="20"/>
      <c r="V271" s="20"/>
    </row>
    <row r="272" spans="5:22" ht="17.25" customHeight="1">
      <c r="E272" s="62"/>
      <c r="F272" s="58"/>
      <c r="G272" s="31"/>
      <c r="H272" s="20"/>
      <c r="I272" s="20"/>
      <c r="J272" s="20"/>
      <c r="K272" s="20"/>
      <c r="L272" s="20"/>
      <c r="M272" s="20"/>
      <c r="N272" s="20"/>
      <c r="O272" s="20"/>
      <c r="P272" s="20"/>
      <c r="Q272" s="20"/>
      <c r="R272" s="20"/>
      <c r="S272" s="20"/>
      <c r="T272" s="20"/>
      <c r="U272" s="20"/>
      <c r="V272" s="20"/>
    </row>
    <row r="273" spans="5:22" ht="17.25" customHeight="1">
      <c r="E273" s="62"/>
      <c r="F273" s="58"/>
      <c r="G273" s="31"/>
      <c r="H273" s="20"/>
      <c r="I273" s="20"/>
      <c r="J273" s="20"/>
      <c r="K273" s="20"/>
      <c r="L273" s="20"/>
      <c r="M273" s="20"/>
      <c r="N273" s="20"/>
      <c r="O273" s="20"/>
      <c r="P273" s="20"/>
      <c r="Q273" s="20"/>
      <c r="R273" s="20"/>
      <c r="S273" s="20"/>
      <c r="T273" s="20"/>
      <c r="U273" s="20"/>
      <c r="V273" s="20"/>
    </row>
    <row r="274" spans="5:22" ht="17.25" customHeight="1">
      <c r="E274" s="62"/>
      <c r="F274" s="58"/>
      <c r="G274" s="31"/>
      <c r="H274" s="20"/>
      <c r="I274" s="20"/>
      <c r="J274" s="20"/>
      <c r="K274" s="20"/>
      <c r="L274" s="20"/>
      <c r="M274" s="20"/>
      <c r="N274" s="20"/>
      <c r="O274" s="20"/>
      <c r="P274" s="20"/>
      <c r="Q274" s="20"/>
      <c r="R274" s="20"/>
      <c r="S274" s="20"/>
      <c r="T274" s="20"/>
      <c r="U274" s="20"/>
      <c r="V274" s="20"/>
    </row>
    <row r="275" spans="5:22" ht="17.25" customHeight="1">
      <c r="E275" s="62"/>
      <c r="F275" s="58"/>
      <c r="G275" s="31"/>
      <c r="H275" s="20"/>
      <c r="I275" s="20"/>
      <c r="J275" s="20"/>
      <c r="K275" s="20"/>
      <c r="L275" s="20"/>
      <c r="M275" s="20"/>
      <c r="N275" s="20"/>
      <c r="O275" s="20"/>
      <c r="P275" s="20"/>
      <c r="Q275" s="20"/>
      <c r="R275" s="20"/>
      <c r="S275" s="20"/>
      <c r="T275" s="20"/>
      <c r="U275" s="20"/>
      <c r="V275" s="20"/>
    </row>
    <row r="276" spans="5:22" ht="17.25" customHeight="1">
      <c r="E276" s="62"/>
      <c r="F276" s="58"/>
      <c r="G276" s="31"/>
      <c r="H276" s="20"/>
      <c r="I276" s="20"/>
      <c r="J276" s="20"/>
      <c r="K276" s="20"/>
      <c r="L276" s="20"/>
      <c r="M276" s="20"/>
      <c r="N276" s="20"/>
      <c r="O276" s="20"/>
      <c r="P276" s="20"/>
      <c r="Q276" s="20"/>
      <c r="R276" s="20"/>
      <c r="S276" s="20"/>
      <c r="T276" s="20"/>
      <c r="U276" s="20"/>
      <c r="V276" s="20"/>
    </row>
    <row r="277" spans="5:22" ht="17.25" customHeight="1">
      <c r="E277" s="62"/>
      <c r="F277" s="58"/>
      <c r="G277" s="31"/>
      <c r="H277" s="20"/>
      <c r="I277" s="20"/>
      <c r="J277" s="20"/>
      <c r="K277" s="20"/>
      <c r="L277" s="20"/>
      <c r="M277" s="20"/>
      <c r="N277" s="20"/>
      <c r="O277" s="20"/>
      <c r="P277" s="20"/>
      <c r="Q277" s="20"/>
      <c r="R277" s="20"/>
      <c r="S277" s="20"/>
      <c r="T277" s="20"/>
      <c r="U277" s="20"/>
      <c r="V277" s="20"/>
    </row>
    <row r="278" spans="5:22" ht="17.25" customHeight="1">
      <c r="E278" s="62"/>
      <c r="F278" s="58"/>
      <c r="G278" s="31"/>
      <c r="H278" s="20"/>
      <c r="I278" s="20"/>
      <c r="J278" s="20"/>
      <c r="K278" s="20"/>
      <c r="L278" s="20"/>
      <c r="M278" s="20"/>
      <c r="N278" s="20"/>
      <c r="O278" s="20"/>
      <c r="P278" s="20"/>
      <c r="Q278" s="20"/>
      <c r="R278" s="20"/>
      <c r="S278" s="20"/>
      <c r="T278" s="20"/>
      <c r="U278" s="20"/>
      <c r="V278" s="20"/>
    </row>
    <row r="279" spans="5:22" ht="17.25" customHeight="1">
      <c r="E279" s="62"/>
      <c r="F279" s="58"/>
      <c r="G279" s="31"/>
      <c r="H279" s="20"/>
      <c r="I279" s="20"/>
      <c r="J279" s="20"/>
      <c r="K279" s="20"/>
      <c r="L279" s="20"/>
      <c r="M279" s="20"/>
      <c r="N279" s="20"/>
      <c r="O279" s="20"/>
      <c r="P279" s="20"/>
      <c r="Q279" s="20"/>
      <c r="R279" s="20"/>
      <c r="S279" s="20"/>
      <c r="T279" s="20"/>
      <c r="U279" s="20"/>
      <c r="V279" s="20"/>
    </row>
    <row r="280" spans="5:22" ht="17.25" customHeight="1">
      <c r="E280" s="62"/>
      <c r="F280" s="58"/>
      <c r="G280" s="31"/>
      <c r="H280" s="20"/>
      <c r="I280" s="20"/>
      <c r="J280" s="20"/>
      <c r="K280" s="20"/>
      <c r="L280" s="20"/>
      <c r="M280" s="20"/>
      <c r="N280" s="20"/>
      <c r="O280" s="20"/>
      <c r="P280" s="20"/>
      <c r="Q280" s="20"/>
      <c r="R280" s="20"/>
      <c r="S280" s="20"/>
      <c r="T280" s="20"/>
      <c r="U280" s="20"/>
      <c r="V280" s="20"/>
    </row>
    <row r="281" spans="5:22" ht="17.25" customHeight="1">
      <c r="E281" s="62"/>
      <c r="F281" s="58"/>
      <c r="G281" s="31"/>
      <c r="H281" s="20"/>
      <c r="I281" s="20"/>
      <c r="J281" s="20"/>
      <c r="K281" s="20"/>
      <c r="L281" s="20"/>
      <c r="M281" s="20"/>
      <c r="N281" s="20"/>
      <c r="O281" s="20"/>
      <c r="P281" s="20"/>
      <c r="Q281" s="20"/>
      <c r="R281" s="20"/>
      <c r="S281" s="20"/>
      <c r="T281" s="20"/>
      <c r="U281" s="20"/>
      <c r="V281" s="20"/>
    </row>
    <row r="282" spans="5:22" ht="17.25" customHeight="1">
      <c r="E282" s="62"/>
      <c r="F282" s="58"/>
      <c r="G282" s="31"/>
      <c r="H282" s="20"/>
      <c r="I282" s="20"/>
      <c r="J282" s="20"/>
      <c r="K282" s="20"/>
      <c r="L282" s="20"/>
      <c r="M282" s="20"/>
      <c r="N282" s="20"/>
      <c r="O282" s="20"/>
      <c r="P282" s="20"/>
      <c r="Q282" s="20"/>
      <c r="R282" s="20"/>
      <c r="S282" s="20"/>
      <c r="T282" s="20"/>
      <c r="U282" s="20"/>
      <c r="V282" s="20"/>
    </row>
    <row r="283" spans="5:22" ht="17.25" customHeight="1">
      <c r="E283" s="62"/>
      <c r="F283" s="58"/>
      <c r="G283" s="31"/>
      <c r="H283" s="20"/>
      <c r="I283" s="20"/>
      <c r="J283" s="20"/>
      <c r="K283" s="20"/>
      <c r="L283" s="20"/>
      <c r="M283" s="20"/>
      <c r="N283" s="20"/>
      <c r="O283" s="20"/>
      <c r="P283" s="20"/>
      <c r="Q283" s="20"/>
      <c r="R283" s="20"/>
      <c r="S283" s="20"/>
      <c r="T283" s="20"/>
      <c r="U283" s="20"/>
      <c r="V283" s="20"/>
    </row>
    <row r="284" spans="5:22" ht="17.25" customHeight="1">
      <c r="E284" s="62"/>
      <c r="F284" s="58"/>
      <c r="G284" s="31"/>
      <c r="H284" s="20"/>
      <c r="I284" s="20"/>
      <c r="J284" s="20"/>
      <c r="K284" s="20"/>
      <c r="L284" s="20"/>
      <c r="M284" s="20"/>
      <c r="N284" s="20"/>
      <c r="O284" s="20"/>
      <c r="P284" s="20"/>
      <c r="Q284" s="20"/>
      <c r="R284" s="20"/>
      <c r="S284" s="20"/>
      <c r="T284" s="20"/>
      <c r="U284" s="20"/>
      <c r="V284" s="20"/>
    </row>
    <row r="285" spans="5:22" ht="17.25" customHeight="1">
      <c r="E285" s="62"/>
      <c r="F285" s="58"/>
      <c r="G285" s="31"/>
      <c r="H285" s="20"/>
      <c r="I285" s="20"/>
      <c r="J285" s="20"/>
      <c r="K285" s="20"/>
      <c r="L285" s="20"/>
      <c r="M285" s="20"/>
      <c r="N285" s="20"/>
      <c r="O285" s="20"/>
      <c r="P285" s="20"/>
      <c r="Q285" s="20"/>
      <c r="R285" s="20"/>
      <c r="S285" s="20"/>
      <c r="T285" s="20"/>
      <c r="U285" s="20"/>
      <c r="V285" s="20"/>
    </row>
    <row r="286" spans="5:22" ht="17.25" customHeight="1">
      <c r="E286" s="62"/>
      <c r="F286" s="58"/>
      <c r="G286" s="31"/>
      <c r="H286" s="20"/>
      <c r="I286" s="20"/>
      <c r="J286" s="20"/>
      <c r="K286" s="20"/>
      <c r="L286" s="20"/>
      <c r="M286" s="20"/>
      <c r="N286" s="20"/>
      <c r="O286" s="20"/>
      <c r="P286" s="20"/>
      <c r="Q286" s="20"/>
      <c r="R286" s="20"/>
      <c r="S286" s="20"/>
      <c r="T286" s="20"/>
      <c r="U286" s="20"/>
      <c r="V286" s="20"/>
    </row>
    <row r="287" spans="5:22" ht="17.25" customHeight="1">
      <c r="E287" s="62"/>
      <c r="F287" s="58"/>
      <c r="G287" s="31"/>
      <c r="H287" s="20"/>
      <c r="I287" s="20"/>
      <c r="J287" s="20"/>
      <c r="K287" s="20"/>
      <c r="L287" s="20"/>
      <c r="M287" s="20"/>
      <c r="N287" s="20"/>
      <c r="O287" s="20"/>
      <c r="P287" s="20"/>
      <c r="Q287" s="20"/>
      <c r="R287" s="20"/>
      <c r="S287" s="20"/>
      <c r="T287" s="20"/>
      <c r="U287" s="20"/>
      <c r="V287" s="20"/>
    </row>
    <row r="288" spans="5:22" ht="17.25" customHeight="1">
      <c r="E288" s="62"/>
      <c r="F288" s="58"/>
      <c r="G288" s="31"/>
      <c r="H288" s="20"/>
      <c r="I288" s="20"/>
      <c r="J288" s="20"/>
      <c r="K288" s="20"/>
      <c r="L288" s="20"/>
      <c r="M288" s="20"/>
      <c r="N288" s="20"/>
      <c r="O288" s="20"/>
      <c r="P288" s="20"/>
      <c r="Q288" s="20"/>
      <c r="R288" s="20"/>
      <c r="S288" s="20"/>
      <c r="T288" s="20"/>
      <c r="U288" s="20"/>
      <c r="V288" s="20"/>
    </row>
    <row r="289" spans="5:22" ht="17.25" customHeight="1">
      <c r="E289" s="62"/>
      <c r="F289" s="58"/>
      <c r="G289" s="31"/>
      <c r="H289" s="20"/>
      <c r="I289" s="20"/>
      <c r="J289" s="20"/>
      <c r="K289" s="20"/>
      <c r="L289" s="20"/>
      <c r="M289" s="20"/>
      <c r="N289" s="20"/>
      <c r="O289" s="20"/>
      <c r="P289" s="20"/>
      <c r="Q289" s="20"/>
      <c r="R289" s="20"/>
      <c r="S289" s="20"/>
      <c r="T289" s="20"/>
      <c r="U289" s="20"/>
      <c r="V289" s="20"/>
    </row>
    <row r="290" spans="5:22" ht="17.25" customHeight="1">
      <c r="E290" s="62"/>
      <c r="F290" s="58"/>
      <c r="G290" s="31"/>
      <c r="H290" s="20"/>
      <c r="I290" s="20"/>
      <c r="J290" s="20"/>
      <c r="K290" s="20"/>
      <c r="L290" s="20"/>
      <c r="M290" s="20"/>
      <c r="N290" s="20"/>
      <c r="O290" s="20"/>
      <c r="P290" s="20"/>
      <c r="Q290" s="20"/>
      <c r="R290" s="20"/>
      <c r="S290" s="20"/>
      <c r="T290" s="20"/>
      <c r="U290" s="20"/>
      <c r="V290" s="20"/>
    </row>
    <row r="291" spans="5:22" ht="17.25" customHeight="1">
      <c r="E291" s="62"/>
      <c r="F291" s="58"/>
      <c r="G291" s="31"/>
      <c r="H291" s="20"/>
      <c r="I291" s="20"/>
      <c r="J291" s="20"/>
      <c r="K291" s="20"/>
      <c r="L291" s="20"/>
      <c r="M291" s="20"/>
      <c r="N291" s="20"/>
      <c r="O291" s="20"/>
      <c r="P291" s="20"/>
      <c r="Q291" s="20"/>
      <c r="R291" s="20"/>
      <c r="S291" s="20"/>
      <c r="T291" s="20"/>
      <c r="U291" s="20"/>
      <c r="V291" s="20"/>
    </row>
    <row r="292" spans="5:22" ht="17.25" customHeight="1">
      <c r="E292" s="62"/>
      <c r="F292" s="58"/>
      <c r="G292" s="31"/>
      <c r="H292" s="20"/>
      <c r="I292" s="20"/>
      <c r="J292" s="20"/>
      <c r="K292" s="20"/>
      <c r="L292" s="20"/>
      <c r="M292" s="20"/>
      <c r="N292" s="20"/>
      <c r="O292" s="20"/>
      <c r="P292" s="20"/>
      <c r="Q292" s="20"/>
      <c r="R292" s="20"/>
      <c r="S292" s="20"/>
      <c r="T292" s="20"/>
      <c r="U292" s="20"/>
      <c r="V292" s="20"/>
    </row>
    <row r="293" spans="5:22" ht="17.25" customHeight="1">
      <c r="E293" s="62"/>
      <c r="F293" s="58"/>
      <c r="G293" s="31"/>
      <c r="H293" s="20"/>
      <c r="I293" s="20"/>
      <c r="J293" s="20"/>
      <c r="K293" s="20"/>
      <c r="L293" s="20"/>
      <c r="M293" s="20"/>
      <c r="N293" s="20"/>
      <c r="O293" s="20"/>
      <c r="P293" s="20"/>
      <c r="Q293" s="20"/>
      <c r="R293" s="20"/>
      <c r="S293" s="20"/>
      <c r="T293" s="20"/>
      <c r="U293" s="20"/>
      <c r="V293" s="20"/>
    </row>
    <row r="294" spans="5:22" ht="17.25" customHeight="1">
      <c r="E294" s="62"/>
      <c r="F294" s="58"/>
      <c r="G294" s="31"/>
      <c r="H294" s="20"/>
      <c r="I294" s="20"/>
      <c r="J294" s="20"/>
      <c r="K294" s="20"/>
      <c r="L294" s="20"/>
      <c r="M294" s="20"/>
      <c r="N294" s="20"/>
      <c r="O294" s="20"/>
      <c r="P294" s="20"/>
      <c r="Q294" s="20"/>
      <c r="R294" s="20"/>
      <c r="S294" s="20"/>
      <c r="T294" s="20"/>
      <c r="U294" s="20"/>
      <c r="V294" s="20"/>
    </row>
    <row r="295" spans="5:22" ht="17.25" customHeight="1">
      <c r="E295" s="62"/>
      <c r="F295" s="58"/>
      <c r="G295" s="31"/>
      <c r="H295" s="20"/>
      <c r="I295" s="20"/>
      <c r="J295" s="20"/>
      <c r="K295" s="20"/>
      <c r="L295" s="20"/>
      <c r="M295" s="20"/>
      <c r="N295" s="20"/>
      <c r="O295" s="20"/>
      <c r="P295" s="20"/>
      <c r="Q295" s="20"/>
      <c r="R295" s="20"/>
      <c r="S295" s="20"/>
      <c r="T295" s="20"/>
      <c r="U295" s="20"/>
      <c r="V295" s="20"/>
    </row>
    <row r="296" spans="5:22" ht="17.25" customHeight="1">
      <c r="E296" s="62"/>
      <c r="F296" s="58"/>
      <c r="G296" s="31"/>
      <c r="H296" s="20"/>
      <c r="I296" s="20"/>
      <c r="J296" s="20"/>
      <c r="K296" s="20"/>
      <c r="L296" s="20"/>
      <c r="M296" s="20"/>
      <c r="N296" s="20"/>
      <c r="O296" s="20"/>
      <c r="P296" s="20"/>
      <c r="Q296" s="20"/>
      <c r="R296" s="20"/>
      <c r="S296" s="20"/>
      <c r="T296" s="20"/>
      <c r="U296" s="20"/>
      <c r="V296" s="20"/>
    </row>
    <row r="297" spans="5:22" ht="17.25" customHeight="1">
      <c r="E297" s="62"/>
      <c r="F297" s="58"/>
      <c r="G297" s="31"/>
      <c r="H297" s="20"/>
      <c r="I297" s="20"/>
      <c r="J297" s="20"/>
      <c r="K297" s="20"/>
      <c r="L297" s="20"/>
      <c r="M297" s="20"/>
      <c r="N297" s="20"/>
      <c r="O297" s="20"/>
      <c r="P297" s="20"/>
      <c r="Q297" s="20"/>
      <c r="R297" s="20"/>
      <c r="S297" s="20"/>
      <c r="T297" s="20"/>
      <c r="U297" s="20"/>
      <c r="V297" s="20"/>
    </row>
    <row r="298" spans="5:22" ht="17.25" customHeight="1">
      <c r="E298" s="62"/>
      <c r="F298" s="58"/>
      <c r="G298" s="31"/>
      <c r="H298" s="20"/>
      <c r="I298" s="20"/>
      <c r="J298" s="20"/>
      <c r="K298" s="20"/>
      <c r="L298" s="20"/>
      <c r="M298" s="20"/>
      <c r="N298" s="20"/>
      <c r="O298" s="20"/>
      <c r="P298" s="20"/>
      <c r="Q298" s="20"/>
      <c r="R298" s="20"/>
      <c r="S298" s="20"/>
      <c r="T298" s="20"/>
      <c r="U298" s="20"/>
      <c r="V298" s="20"/>
    </row>
    <row r="299" spans="5:22" ht="17.25" customHeight="1">
      <c r="E299" s="62"/>
      <c r="F299" s="58"/>
      <c r="G299" s="31"/>
      <c r="H299" s="20"/>
      <c r="I299" s="20"/>
      <c r="J299" s="20"/>
      <c r="K299" s="20"/>
      <c r="L299" s="20"/>
      <c r="M299" s="20"/>
      <c r="N299" s="20"/>
      <c r="O299" s="20"/>
      <c r="P299" s="20"/>
      <c r="Q299" s="20"/>
      <c r="R299" s="20"/>
      <c r="S299" s="20"/>
      <c r="T299" s="20"/>
      <c r="U299" s="20"/>
      <c r="V299" s="20"/>
    </row>
    <row r="300" spans="5:22" ht="17.25" customHeight="1">
      <c r="E300" s="62"/>
      <c r="F300" s="58"/>
      <c r="G300" s="31"/>
      <c r="H300" s="20"/>
      <c r="I300" s="20"/>
      <c r="J300" s="20"/>
      <c r="K300" s="20"/>
      <c r="L300" s="20"/>
      <c r="M300" s="20"/>
      <c r="N300" s="20"/>
      <c r="O300" s="20"/>
      <c r="P300" s="20"/>
      <c r="Q300" s="20"/>
      <c r="R300" s="20"/>
      <c r="S300" s="20"/>
      <c r="T300" s="20"/>
      <c r="U300" s="20"/>
      <c r="V300" s="20"/>
    </row>
    <row r="301" spans="5:22" ht="17.25" customHeight="1">
      <c r="E301" s="62"/>
      <c r="F301" s="58"/>
      <c r="G301" s="31"/>
      <c r="H301" s="20"/>
      <c r="I301" s="20"/>
      <c r="J301" s="20"/>
      <c r="K301" s="20"/>
      <c r="L301" s="20"/>
      <c r="M301" s="20"/>
      <c r="N301" s="20"/>
      <c r="O301" s="20"/>
      <c r="P301" s="20"/>
      <c r="Q301" s="20"/>
      <c r="R301" s="20"/>
      <c r="S301" s="20"/>
      <c r="T301" s="20"/>
      <c r="U301" s="20"/>
      <c r="V301" s="20"/>
    </row>
    <row r="302" spans="5:22" ht="17.25" customHeight="1">
      <c r="E302" s="62"/>
      <c r="F302" s="58"/>
      <c r="G302" s="31"/>
      <c r="H302" s="20"/>
      <c r="I302" s="20"/>
      <c r="J302" s="20"/>
      <c r="K302" s="20"/>
      <c r="L302" s="20"/>
      <c r="M302" s="20"/>
      <c r="N302" s="20"/>
      <c r="O302" s="20"/>
      <c r="P302" s="20"/>
      <c r="Q302" s="20"/>
      <c r="R302" s="20"/>
      <c r="S302" s="20"/>
      <c r="T302" s="20"/>
      <c r="U302" s="20"/>
      <c r="V302" s="20"/>
    </row>
    <row r="303" spans="5:22" ht="17.25" customHeight="1">
      <c r="E303" s="62"/>
      <c r="F303" s="58"/>
      <c r="G303" s="31"/>
      <c r="H303" s="20"/>
      <c r="I303" s="20"/>
      <c r="J303" s="20"/>
      <c r="K303" s="20"/>
      <c r="L303" s="20"/>
      <c r="M303" s="20"/>
      <c r="N303" s="20"/>
      <c r="O303" s="20"/>
      <c r="P303" s="20"/>
      <c r="Q303" s="20"/>
      <c r="R303" s="20"/>
      <c r="S303" s="20"/>
      <c r="T303" s="20"/>
      <c r="U303" s="20"/>
      <c r="V303" s="20"/>
    </row>
    <row r="304" spans="5:22" ht="17.25" customHeight="1">
      <c r="E304" s="62"/>
      <c r="F304" s="58"/>
      <c r="G304" s="31"/>
      <c r="H304" s="20"/>
      <c r="I304" s="20"/>
      <c r="J304" s="20"/>
      <c r="K304" s="20"/>
      <c r="L304" s="20"/>
      <c r="M304" s="20"/>
      <c r="N304" s="20"/>
      <c r="O304" s="20"/>
      <c r="P304" s="20"/>
      <c r="Q304" s="20"/>
      <c r="R304" s="20"/>
      <c r="S304" s="20"/>
      <c r="T304" s="20"/>
      <c r="U304" s="20"/>
      <c r="V304" s="20"/>
    </row>
    <row r="305" spans="5:22" ht="17.25" customHeight="1">
      <c r="E305" s="62"/>
      <c r="F305" s="58"/>
      <c r="G305" s="31"/>
      <c r="H305" s="20"/>
      <c r="I305" s="20"/>
      <c r="J305" s="20"/>
      <c r="K305" s="20"/>
      <c r="L305" s="20"/>
      <c r="M305" s="20"/>
      <c r="N305" s="20"/>
      <c r="O305" s="20"/>
      <c r="P305" s="20"/>
      <c r="Q305" s="20"/>
      <c r="R305" s="20"/>
      <c r="S305" s="20"/>
      <c r="T305" s="20"/>
      <c r="U305" s="20"/>
      <c r="V305" s="20"/>
    </row>
    <row r="306" spans="5:22" ht="17.25" customHeight="1">
      <c r="E306" s="62"/>
      <c r="F306" s="58"/>
      <c r="G306" s="31"/>
      <c r="H306" s="20"/>
      <c r="I306" s="20"/>
      <c r="J306" s="20"/>
      <c r="K306" s="20"/>
      <c r="L306" s="20"/>
      <c r="M306" s="20"/>
      <c r="N306" s="20"/>
      <c r="O306" s="20"/>
      <c r="P306" s="20"/>
      <c r="Q306" s="20"/>
      <c r="R306" s="20"/>
      <c r="S306" s="20"/>
      <c r="T306" s="20"/>
      <c r="U306" s="20"/>
      <c r="V306" s="20"/>
    </row>
    <row r="307" spans="5:22" ht="17.25" customHeight="1">
      <c r="E307" s="62"/>
      <c r="F307" s="58"/>
      <c r="G307" s="31"/>
      <c r="H307" s="20"/>
      <c r="I307" s="20"/>
      <c r="J307" s="20"/>
      <c r="K307" s="20"/>
      <c r="L307" s="20"/>
      <c r="M307" s="20"/>
      <c r="N307" s="20"/>
      <c r="O307" s="20"/>
      <c r="P307" s="20"/>
      <c r="Q307" s="20"/>
      <c r="R307" s="20"/>
      <c r="S307" s="20"/>
      <c r="T307" s="20"/>
      <c r="U307" s="20"/>
      <c r="V307" s="20"/>
    </row>
    <row r="308" spans="5:22" ht="17.25" customHeight="1">
      <c r="E308" s="62"/>
      <c r="F308" s="58"/>
      <c r="G308" s="31"/>
      <c r="H308" s="20"/>
      <c r="I308" s="20"/>
      <c r="J308" s="20"/>
      <c r="K308" s="20"/>
      <c r="L308" s="20"/>
      <c r="M308" s="20"/>
      <c r="N308" s="20"/>
      <c r="O308" s="20"/>
      <c r="P308" s="20"/>
      <c r="Q308" s="20"/>
      <c r="R308" s="20"/>
      <c r="S308" s="20"/>
      <c r="T308" s="20"/>
      <c r="U308" s="20"/>
      <c r="V308" s="20"/>
    </row>
    <row r="309" spans="5:22" ht="17.25" customHeight="1">
      <c r="E309" s="62"/>
      <c r="F309" s="58"/>
      <c r="G309" s="31"/>
      <c r="H309" s="20"/>
      <c r="I309" s="20"/>
      <c r="J309" s="20"/>
      <c r="K309" s="20"/>
      <c r="L309" s="20"/>
      <c r="M309" s="20"/>
      <c r="N309" s="20"/>
      <c r="O309" s="20"/>
      <c r="P309" s="20"/>
      <c r="Q309" s="20"/>
      <c r="R309" s="20"/>
      <c r="S309" s="20"/>
      <c r="T309" s="20"/>
      <c r="U309" s="20"/>
      <c r="V309" s="20"/>
    </row>
    <row r="310" spans="5:22" ht="17.25" customHeight="1">
      <c r="E310" s="62"/>
      <c r="F310" s="58"/>
      <c r="G310" s="31"/>
      <c r="H310" s="20"/>
      <c r="I310" s="20"/>
      <c r="J310" s="20"/>
      <c r="K310" s="20"/>
      <c r="L310" s="20"/>
      <c r="M310" s="20"/>
      <c r="N310" s="20"/>
      <c r="O310" s="20"/>
      <c r="P310" s="20"/>
      <c r="Q310" s="20"/>
      <c r="R310" s="20"/>
      <c r="S310" s="20"/>
      <c r="T310" s="20"/>
      <c r="U310" s="20"/>
      <c r="V310" s="20"/>
    </row>
    <row r="311" spans="5:22" ht="17.25" customHeight="1">
      <c r="E311" s="62"/>
      <c r="F311" s="58"/>
      <c r="G311" s="31"/>
      <c r="H311" s="20"/>
      <c r="I311" s="20"/>
      <c r="J311" s="20"/>
      <c r="K311" s="20"/>
      <c r="L311" s="20"/>
      <c r="M311" s="20"/>
      <c r="N311" s="20"/>
      <c r="O311" s="20"/>
      <c r="P311" s="20"/>
      <c r="Q311" s="20"/>
      <c r="R311" s="20"/>
      <c r="S311" s="20"/>
      <c r="T311" s="20"/>
      <c r="U311" s="20"/>
      <c r="V311" s="20"/>
    </row>
    <row r="312" spans="5:22" ht="17.25" customHeight="1">
      <c r="E312" s="62"/>
      <c r="F312" s="58"/>
      <c r="G312" s="31"/>
      <c r="H312" s="20"/>
      <c r="I312" s="20"/>
      <c r="J312" s="20"/>
      <c r="K312" s="20"/>
      <c r="L312" s="20"/>
      <c r="M312" s="20"/>
      <c r="N312" s="20"/>
      <c r="O312" s="20"/>
      <c r="P312" s="20"/>
      <c r="Q312" s="20"/>
      <c r="R312" s="20"/>
      <c r="S312" s="20"/>
      <c r="T312" s="20"/>
      <c r="U312" s="20"/>
      <c r="V312" s="20"/>
    </row>
    <row r="313" spans="5:22" ht="17.25" customHeight="1">
      <c r="E313" s="62"/>
      <c r="F313" s="58"/>
      <c r="G313" s="31"/>
      <c r="H313" s="20"/>
      <c r="I313" s="20"/>
      <c r="J313" s="20"/>
      <c r="K313" s="20"/>
      <c r="L313" s="20"/>
      <c r="M313" s="20"/>
      <c r="N313" s="20"/>
      <c r="O313" s="20"/>
      <c r="P313" s="20"/>
      <c r="Q313" s="20"/>
      <c r="R313" s="20"/>
      <c r="S313" s="20"/>
      <c r="T313" s="20"/>
      <c r="U313" s="20"/>
      <c r="V313" s="20"/>
    </row>
    <row r="314" spans="5:22" ht="17.25" customHeight="1">
      <c r="E314" s="62"/>
      <c r="F314" s="58"/>
      <c r="G314" s="31"/>
      <c r="H314" s="20"/>
      <c r="I314" s="20"/>
      <c r="J314" s="20"/>
      <c r="K314" s="20"/>
      <c r="L314" s="20"/>
      <c r="M314" s="20"/>
      <c r="N314" s="20"/>
      <c r="O314" s="20"/>
      <c r="P314" s="20"/>
      <c r="Q314" s="20"/>
      <c r="R314" s="20"/>
      <c r="S314" s="20"/>
      <c r="T314" s="20"/>
      <c r="U314" s="20"/>
      <c r="V314" s="20"/>
    </row>
    <row r="315" spans="5:22" ht="17.25" customHeight="1">
      <c r="E315" s="62"/>
      <c r="F315" s="58"/>
      <c r="G315" s="31"/>
      <c r="H315" s="20"/>
      <c r="I315" s="20"/>
      <c r="J315" s="20"/>
      <c r="K315" s="20"/>
      <c r="L315" s="20"/>
      <c r="M315" s="20"/>
      <c r="N315" s="20"/>
      <c r="O315" s="20"/>
      <c r="P315" s="20"/>
      <c r="Q315" s="20"/>
      <c r="R315" s="20"/>
      <c r="S315" s="20"/>
      <c r="T315" s="20"/>
      <c r="U315" s="20"/>
      <c r="V315" s="20"/>
    </row>
    <row r="316" spans="5:22" ht="17.25" customHeight="1">
      <c r="E316" s="62"/>
      <c r="F316" s="58"/>
      <c r="G316" s="31"/>
      <c r="H316" s="20"/>
      <c r="I316" s="20"/>
      <c r="J316" s="20"/>
      <c r="K316" s="20"/>
      <c r="L316" s="20"/>
      <c r="M316" s="20"/>
      <c r="N316" s="20"/>
      <c r="O316" s="20"/>
      <c r="P316" s="20"/>
      <c r="Q316" s="20"/>
      <c r="R316" s="20"/>
      <c r="S316" s="20"/>
      <c r="T316" s="20"/>
      <c r="U316" s="20"/>
      <c r="V316" s="20"/>
    </row>
    <row r="317" spans="5:22" ht="17.25" customHeight="1">
      <c r="E317" s="62"/>
      <c r="F317" s="58"/>
      <c r="G317" s="31"/>
      <c r="H317" s="20"/>
      <c r="I317" s="20"/>
      <c r="J317" s="20"/>
      <c r="K317" s="20"/>
      <c r="L317" s="20"/>
      <c r="M317" s="20"/>
      <c r="N317" s="20"/>
      <c r="O317" s="20"/>
      <c r="P317" s="20"/>
      <c r="Q317" s="20"/>
      <c r="R317" s="20"/>
      <c r="S317" s="20"/>
      <c r="T317" s="20"/>
      <c r="U317" s="20"/>
      <c r="V317" s="20"/>
    </row>
    <row r="318" spans="5:22" ht="17.25" customHeight="1">
      <c r="E318" s="62"/>
      <c r="F318" s="58"/>
      <c r="G318" s="31"/>
      <c r="H318" s="20"/>
      <c r="I318" s="20"/>
      <c r="J318" s="20"/>
      <c r="K318" s="20"/>
      <c r="L318" s="20"/>
      <c r="M318" s="20"/>
      <c r="N318" s="20"/>
      <c r="O318" s="20"/>
      <c r="P318" s="20"/>
      <c r="Q318" s="20"/>
      <c r="R318" s="20"/>
      <c r="S318" s="20"/>
      <c r="T318" s="20"/>
      <c r="U318" s="20"/>
      <c r="V318" s="20"/>
    </row>
    <row r="319" spans="5:22" ht="17.25" customHeight="1">
      <c r="E319" s="62"/>
      <c r="F319" s="58"/>
      <c r="G319" s="31"/>
      <c r="H319" s="20"/>
      <c r="I319" s="20"/>
      <c r="J319" s="20"/>
      <c r="K319" s="20"/>
      <c r="L319" s="20"/>
      <c r="M319" s="20"/>
      <c r="N319" s="20"/>
      <c r="O319" s="20"/>
      <c r="P319" s="20"/>
      <c r="Q319" s="20"/>
      <c r="R319" s="20"/>
      <c r="S319" s="20"/>
      <c r="T319" s="20"/>
      <c r="U319" s="20"/>
      <c r="V319" s="20"/>
    </row>
    <row r="320" spans="5:22" ht="17.25" customHeight="1">
      <c r="E320" s="62"/>
      <c r="F320" s="58"/>
      <c r="G320" s="31"/>
      <c r="H320" s="20"/>
      <c r="I320" s="20"/>
      <c r="J320" s="20"/>
      <c r="K320" s="20"/>
      <c r="L320" s="20"/>
      <c r="M320" s="20"/>
      <c r="N320" s="20"/>
      <c r="O320" s="20"/>
      <c r="P320" s="20"/>
      <c r="Q320" s="20"/>
      <c r="R320" s="20"/>
      <c r="S320" s="20"/>
      <c r="T320" s="20"/>
      <c r="U320" s="20"/>
      <c r="V320" s="20"/>
    </row>
    <row r="321" spans="5:22" ht="17.25" customHeight="1">
      <c r="E321" s="62"/>
      <c r="F321" s="58"/>
      <c r="G321" s="31"/>
      <c r="H321" s="20"/>
      <c r="I321" s="20"/>
      <c r="J321" s="20"/>
      <c r="K321" s="20"/>
      <c r="L321" s="20"/>
      <c r="M321" s="20"/>
      <c r="N321" s="20"/>
      <c r="O321" s="20"/>
      <c r="P321" s="20"/>
      <c r="Q321" s="20"/>
      <c r="R321" s="20"/>
      <c r="S321" s="20"/>
      <c r="T321" s="20"/>
      <c r="U321" s="20"/>
      <c r="V321" s="20"/>
    </row>
    <row r="322" spans="5:22" ht="17.25" customHeight="1">
      <c r="E322" s="62"/>
      <c r="F322" s="58"/>
      <c r="G322" s="31"/>
      <c r="H322" s="20"/>
      <c r="I322" s="20"/>
      <c r="J322" s="20"/>
      <c r="K322" s="20"/>
      <c r="L322" s="20"/>
      <c r="M322" s="20"/>
      <c r="N322" s="20"/>
      <c r="O322" s="20"/>
      <c r="P322" s="20"/>
      <c r="Q322" s="20"/>
      <c r="R322" s="20"/>
      <c r="S322" s="20"/>
      <c r="T322" s="20"/>
      <c r="U322" s="20"/>
      <c r="V322" s="20"/>
    </row>
    <row r="323" spans="5:22" ht="17.25" customHeight="1">
      <c r="E323" s="62"/>
      <c r="F323" s="58"/>
      <c r="G323" s="31"/>
      <c r="H323" s="20"/>
      <c r="I323" s="20"/>
      <c r="J323" s="20"/>
      <c r="K323" s="20"/>
      <c r="L323" s="20"/>
      <c r="M323" s="20"/>
      <c r="N323" s="20"/>
      <c r="O323" s="20"/>
      <c r="P323" s="20"/>
      <c r="Q323" s="20"/>
      <c r="R323" s="20"/>
      <c r="S323" s="20"/>
      <c r="T323" s="20"/>
      <c r="U323" s="20"/>
      <c r="V323" s="20"/>
    </row>
    <row r="324" spans="5:22" ht="17.25" customHeight="1">
      <c r="E324" s="62"/>
      <c r="F324" s="58"/>
      <c r="G324" s="31"/>
      <c r="H324" s="20"/>
      <c r="I324" s="20"/>
      <c r="J324" s="20"/>
      <c r="K324" s="20"/>
      <c r="L324" s="20"/>
      <c r="M324" s="20"/>
      <c r="N324" s="20"/>
      <c r="O324" s="20"/>
      <c r="P324" s="20"/>
      <c r="Q324" s="20"/>
      <c r="R324" s="20"/>
      <c r="S324" s="20"/>
      <c r="T324" s="20"/>
      <c r="U324" s="20"/>
      <c r="V324" s="20"/>
    </row>
    <row r="325" spans="5:22" ht="17.25" customHeight="1">
      <c r="E325" s="62"/>
      <c r="F325" s="58"/>
      <c r="G325" s="31"/>
      <c r="H325" s="20"/>
      <c r="I325" s="20"/>
      <c r="J325" s="20"/>
      <c r="K325" s="20"/>
      <c r="L325" s="20"/>
      <c r="M325" s="20"/>
      <c r="N325" s="20"/>
      <c r="O325" s="20"/>
      <c r="P325" s="20"/>
      <c r="Q325" s="20"/>
      <c r="R325" s="20"/>
      <c r="S325" s="20"/>
      <c r="T325" s="20"/>
      <c r="U325" s="20"/>
      <c r="V325" s="20"/>
    </row>
    <row r="326" spans="5:22" ht="17.25" customHeight="1">
      <c r="E326" s="62"/>
      <c r="F326" s="58"/>
      <c r="G326" s="31"/>
      <c r="H326" s="20"/>
      <c r="I326" s="20"/>
      <c r="J326" s="20"/>
      <c r="K326" s="20"/>
      <c r="L326" s="20"/>
      <c r="M326" s="20"/>
      <c r="N326" s="20"/>
      <c r="O326" s="20"/>
      <c r="P326" s="20"/>
      <c r="Q326" s="20"/>
      <c r="R326" s="20"/>
      <c r="S326" s="20"/>
      <c r="T326" s="20"/>
      <c r="U326" s="20"/>
      <c r="V326" s="20"/>
    </row>
    <row r="327" spans="5:22" ht="17.25" customHeight="1">
      <c r="E327" s="62"/>
      <c r="F327" s="58"/>
      <c r="G327" s="31"/>
      <c r="H327" s="20"/>
      <c r="I327" s="20"/>
      <c r="J327" s="20"/>
      <c r="K327" s="20"/>
      <c r="L327" s="20"/>
      <c r="M327" s="20"/>
      <c r="N327" s="20"/>
      <c r="O327" s="20"/>
      <c r="P327" s="20"/>
      <c r="Q327" s="20"/>
      <c r="R327" s="20"/>
      <c r="S327" s="20"/>
      <c r="T327" s="20"/>
      <c r="U327" s="20"/>
      <c r="V327" s="20"/>
    </row>
    <row r="328" spans="5:22" ht="17.25" customHeight="1">
      <c r="E328" s="62"/>
      <c r="F328" s="58"/>
      <c r="G328" s="31"/>
      <c r="H328" s="20"/>
      <c r="I328" s="20"/>
      <c r="J328" s="20"/>
      <c r="K328" s="20"/>
      <c r="L328" s="20"/>
      <c r="M328" s="20"/>
      <c r="N328" s="20"/>
      <c r="O328" s="20"/>
      <c r="P328" s="20"/>
      <c r="Q328" s="20"/>
      <c r="R328" s="20"/>
      <c r="S328" s="20"/>
      <c r="T328" s="20"/>
      <c r="U328" s="20"/>
      <c r="V328" s="20"/>
    </row>
    <row r="329" spans="5:22" ht="17.25" customHeight="1">
      <c r="E329" s="62"/>
      <c r="F329" s="58"/>
      <c r="G329" s="31"/>
      <c r="H329" s="20"/>
      <c r="I329" s="20"/>
      <c r="J329" s="20"/>
      <c r="K329" s="20"/>
      <c r="L329" s="20"/>
      <c r="M329" s="20"/>
      <c r="N329" s="20"/>
      <c r="O329" s="20"/>
      <c r="P329" s="20"/>
      <c r="Q329" s="20"/>
      <c r="R329" s="20"/>
      <c r="S329" s="20"/>
      <c r="T329" s="20"/>
      <c r="U329" s="20"/>
      <c r="V329" s="20"/>
    </row>
    <row r="330" spans="5:22" ht="17.25" customHeight="1">
      <c r="E330" s="62"/>
      <c r="F330" s="58"/>
      <c r="G330" s="31"/>
      <c r="H330" s="20"/>
      <c r="I330" s="20"/>
      <c r="J330" s="20"/>
      <c r="K330" s="20"/>
      <c r="L330" s="20"/>
      <c r="M330" s="20"/>
      <c r="N330" s="20"/>
      <c r="O330" s="20"/>
      <c r="P330" s="20"/>
      <c r="Q330" s="20"/>
      <c r="R330" s="20"/>
      <c r="S330" s="20"/>
      <c r="T330" s="20"/>
      <c r="U330" s="20"/>
      <c r="V330" s="20"/>
    </row>
    <row r="331" spans="5:22" ht="17.25" customHeight="1">
      <c r="E331" s="62"/>
      <c r="F331" s="58"/>
      <c r="G331" s="31"/>
      <c r="H331" s="20"/>
      <c r="I331" s="20"/>
      <c r="J331" s="20"/>
      <c r="K331" s="20"/>
      <c r="L331" s="20"/>
      <c r="M331" s="20"/>
      <c r="N331" s="20"/>
      <c r="O331" s="20"/>
      <c r="P331" s="20"/>
      <c r="Q331" s="20"/>
      <c r="R331" s="20"/>
      <c r="S331" s="20"/>
      <c r="T331" s="20"/>
      <c r="U331" s="20"/>
      <c r="V331" s="20"/>
    </row>
    <row r="332" spans="5:22" ht="17.25" customHeight="1">
      <c r="E332" s="62"/>
      <c r="F332" s="58"/>
      <c r="G332" s="31"/>
      <c r="H332" s="20"/>
      <c r="I332" s="20"/>
      <c r="J332" s="20"/>
      <c r="K332" s="20"/>
      <c r="L332" s="20"/>
      <c r="M332" s="20"/>
      <c r="N332" s="20"/>
      <c r="O332" s="20"/>
      <c r="P332" s="20"/>
      <c r="Q332" s="20"/>
      <c r="R332" s="20"/>
      <c r="S332" s="20"/>
      <c r="T332" s="20"/>
      <c r="U332" s="20"/>
      <c r="V332" s="20"/>
    </row>
    <row r="333" spans="5:22" ht="17.25" customHeight="1">
      <c r="E333" s="62"/>
      <c r="F333" s="58"/>
      <c r="G333" s="31"/>
      <c r="H333" s="20"/>
      <c r="I333" s="20"/>
      <c r="J333" s="20"/>
      <c r="K333" s="20"/>
      <c r="L333" s="20"/>
      <c r="M333" s="20"/>
      <c r="N333" s="20"/>
      <c r="O333" s="20"/>
      <c r="P333" s="20"/>
      <c r="Q333" s="20"/>
      <c r="R333" s="20"/>
      <c r="S333" s="20"/>
      <c r="T333" s="20"/>
      <c r="U333" s="20"/>
      <c r="V333" s="20"/>
    </row>
    <row r="334" spans="5:22" ht="17.25" customHeight="1">
      <c r="E334" s="62"/>
      <c r="F334" s="58"/>
      <c r="G334" s="31"/>
      <c r="H334" s="20"/>
      <c r="I334" s="20"/>
      <c r="J334" s="20"/>
      <c r="K334" s="20"/>
      <c r="L334" s="20"/>
      <c r="M334" s="20"/>
      <c r="N334" s="20"/>
      <c r="O334" s="20"/>
      <c r="P334" s="20"/>
      <c r="Q334" s="20"/>
      <c r="R334" s="20"/>
      <c r="S334" s="20"/>
      <c r="T334" s="20"/>
      <c r="U334" s="20"/>
      <c r="V334" s="20"/>
    </row>
    <row r="335" spans="5:22" ht="17.25" customHeight="1">
      <c r="E335" s="62"/>
      <c r="F335" s="58"/>
      <c r="G335" s="31"/>
      <c r="H335" s="20"/>
      <c r="I335" s="20"/>
      <c r="J335" s="20"/>
      <c r="K335" s="20"/>
      <c r="L335" s="20"/>
      <c r="M335" s="20"/>
      <c r="N335" s="20"/>
      <c r="O335" s="20"/>
      <c r="P335" s="20"/>
      <c r="Q335" s="20"/>
      <c r="R335" s="20"/>
      <c r="S335" s="20"/>
      <c r="T335" s="20"/>
      <c r="U335" s="20"/>
      <c r="V335" s="20"/>
    </row>
    <row r="336" spans="5:22" ht="17.25" customHeight="1">
      <c r="E336" s="62"/>
      <c r="F336" s="58"/>
      <c r="G336" s="31"/>
      <c r="H336" s="20"/>
      <c r="I336" s="20"/>
      <c r="J336" s="20"/>
      <c r="K336" s="20"/>
      <c r="L336" s="20"/>
      <c r="M336" s="20"/>
      <c r="N336" s="20"/>
      <c r="O336" s="20"/>
      <c r="P336" s="20"/>
      <c r="Q336" s="20"/>
      <c r="R336" s="20"/>
      <c r="S336" s="20"/>
      <c r="T336" s="20"/>
      <c r="U336" s="20"/>
      <c r="V336" s="20"/>
    </row>
    <row r="337" spans="5:22" ht="17.25" customHeight="1">
      <c r="E337" s="62"/>
      <c r="F337" s="58"/>
      <c r="G337" s="31"/>
      <c r="H337" s="20"/>
      <c r="I337" s="20"/>
      <c r="J337" s="20"/>
      <c r="K337" s="20"/>
      <c r="L337" s="20"/>
      <c r="M337" s="20"/>
      <c r="N337" s="20"/>
      <c r="O337" s="20"/>
      <c r="P337" s="20"/>
      <c r="Q337" s="20"/>
      <c r="R337" s="20"/>
      <c r="S337" s="20"/>
      <c r="T337" s="20"/>
      <c r="U337" s="20"/>
      <c r="V337" s="20"/>
    </row>
    <row r="338" spans="5:22" ht="17.25" customHeight="1">
      <c r="E338" s="62"/>
      <c r="F338" s="58"/>
      <c r="G338" s="31"/>
      <c r="H338" s="20"/>
      <c r="I338" s="20"/>
      <c r="J338" s="20"/>
      <c r="K338" s="20"/>
      <c r="L338" s="20"/>
      <c r="M338" s="20"/>
      <c r="N338" s="20"/>
      <c r="O338" s="20"/>
      <c r="P338" s="20"/>
      <c r="Q338" s="20"/>
      <c r="R338" s="20"/>
      <c r="S338" s="20"/>
      <c r="T338" s="20"/>
      <c r="U338" s="20"/>
      <c r="V338" s="20"/>
    </row>
    <row r="339" spans="5:22" ht="17.25" customHeight="1">
      <c r="E339" s="62"/>
      <c r="F339" s="58"/>
      <c r="G339" s="31"/>
      <c r="H339" s="20"/>
      <c r="I339" s="20"/>
      <c r="J339" s="20"/>
      <c r="K339" s="20"/>
      <c r="L339" s="20"/>
      <c r="M339" s="20"/>
      <c r="N339" s="20"/>
      <c r="O339" s="20"/>
      <c r="P339" s="20"/>
      <c r="Q339" s="20"/>
      <c r="R339" s="20"/>
      <c r="S339" s="20"/>
      <c r="T339" s="20"/>
      <c r="U339" s="20"/>
      <c r="V339" s="20"/>
    </row>
    <row r="340" spans="5:22" ht="17.25" customHeight="1">
      <c r="E340" s="62"/>
      <c r="F340" s="58"/>
      <c r="G340" s="31"/>
      <c r="H340" s="20"/>
      <c r="I340" s="20"/>
      <c r="J340" s="20"/>
      <c r="K340" s="20"/>
      <c r="L340" s="20"/>
      <c r="M340" s="20"/>
      <c r="N340" s="20"/>
      <c r="O340" s="20"/>
      <c r="P340" s="20"/>
      <c r="Q340" s="20"/>
      <c r="R340" s="20"/>
      <c r="S340" s="20"/>
      <c r="T340" s="20"/>
      <c r="U340" s="20"/>
      <c r="V340" s="20"/>
    </row>
    <row r="341" spans="5:22" ht="17.25" customHeight="1">
      <c r="E341" s="62"/>
      <c r="F341" s="58"/>
      <c r="G341" s="31"/>
      <c r="H341" s="20"/>
      <c r="I341" s="20"/>
      <c r="J341" s="20"/>
      <c r="K341" s="20"/>
      <c r="L341" s="20"/>
      <c r="M341" s="20"/>
      <c r="N341" s="20"/>
      <c r="O341" s="20"/>
      <c r="P341" s="20"/>
      <c r="Q341" s="20"/>
      <c r="R341" s="20"/>
      <c r="S341" s="20"/>
      <c r="T341" s="20"/>
      <c r="U341" s="20"/>
      <c r="V341" s="20"/>
    </row>
    <row r="342" spans="5:22" ht="17.25" customHeight="1">
      <c r="E342" s="62"/>
      <c r="F342" s="58"/>
      <c r="G342" s="31"/>
      <c r="H342" s="20"/>
      <c r="I342" s="20"/>
      <c r="J342" s="20"/>
      <c r="K342" s="20"/>
      <c r="L342" s="20"/>
      <c r="M342" s="20"/>
      <c r="N342" s="20"/>
      <c r="O342" s="20"/>
      <c r="P342" s="20"/>
      <c r="Q342" s="20"/>
      <c r="R342" s="20"/>
      <c r="S342" s="20"/>
      <c r="T342" s="20"/>
      <c r="U342" s="20"/>
      <c r="V342" s="20"/>
    </row>
    <row r="343" spans="5:22" ht="17.25" customHeight="1">
      <c r="E343" s="62"/>
      <c r="F343" s="58"/>
      <c r="G343" s="31"/>
      <c r="H343" s="20"/>
      <c r="I343" s="20"/>
      <c r="J343" s="20"/>
      <c r="K343" s="20"/>
      <c r="L343" s="20"/>
      <c r="M343" s="20"/>
      <c r="N343" s="20"/>
      <c r="O343" s="20"/>
      <c r="P343" s="20"/>
      <c r="Q343" s="20"/>
      <c r="R343" s="20"/>
      <c r="S343" s="20"/>
      <c r="T343" s="20"/>
      <c r="U343" s="20"/>
      <c r="V343" s="20"/>
    </row>
    <row r="344" spans="5:22" ht="17.25" customHeight="1">
      <c r="E344" s="62"/>
      <c r="F344" s="58"/>
      <c r="G344" s="31"/>
      <c r="H344" s="20"/>
      <c r="I344" s="20"/>
      <c r="J344" s="20"/>
      <c r="K344" s="20"/>
      <c r="L344" s="20"/>
      <c r="M344" s="20"/>
      <c r="N344" s="20"/>
      <c r="O344" s="20"/>
      <c r="P344" s="20"/>
      <c r="Q344" s="20"/>
      <c r="R344" s="20"/>
      <c r="S344" s="20"/>
      <c r="T344" s="20"/>
      <c r="U344" s="20"/>
      <c r="V344" s="20"/>
    </row>
    <row r="345" spans="5:22" ht="17.25" customHeight="1">
      <c r="E345" s="62"/>
      <c r="F345" s="58"/>
      <c r="G345" s="31"/>
      <c r="H345" s="20"/>
      <c r="I345" s="20"/>
      <c r="J345" s="20"/>
      <c r="K345" s="20"/>
      <c r="L345" s="20"/>
      <c r="M345" s="20"/>
      <c r="N345" s="20"/>
      <c r="O345" s="20"/>
      <c r="P345" s="20"/>
      <c r="Q345" s="20"/>
      <c r="R345" s="20"/>
      <c r="S345" s="20"/>
      <c r="T345" s="20"/>
      <c r="U345" s="20"/>
      <c r="V345" s="20"/>
    </row>
    <row r="346" spans="5:22" ht="17.25" customHeight="1">
      <c r="E346" s="62"/>
      <c r="F346" s="58"/>
      <c r="G346" s="31"/>
      <c r="H346" s="20"/>
      <c r="I346" s="20"/>
      <c r="J346" s="20"/>
      <c r="K346" s="20"/>
      <c r="L346" s="20"/>
      <c r="M346" s="20"/>
      <c r="N346" s="20"/>
      <c r="O346" s="20"/>
      <c r="P346" s="20"/>
      <c r="Q346" s="20"/>
      <c r="R346" s="20"/>
      <c r="S346" s="20"/>
      <c r="T346" s="20"/>
      <c r="U346" s="20"/>
      <c r="V346" s="20"/>
    </row>
    <row r="347" spans="5:22" ht="17.25" customHeight="1">
      <c r="E347" s="62"/>
      <c r="F347" s="58"/>
      <c r="G347" s="31"/>
      <c r="H347" s="20"/>
      <c r="I347" s="20"/>
      <c r="J347" s="20"/>
      <c r="K347" s="20"/>
      <c r="L347" s="20"/>
      <c r="M347" s="20"/>
      <c r="N347" s="20"/>
      <c r="O347" s="20"/>
      <c r="P347" s="20"/>
      <c r="Q347" s="20"/>
      <c r="R347" s="20"/>
      <c r="S347" s="20"/>
      <c r="T347" s="20"/>
      <c r="U347" s="20"/>
      <c r="V347" s="20"/>
    </row>
    <row r="348" spans="5:22" ht="17.25" customHeight="1">
      <c r="E348" s="62"/>
      <c r="F348" s="58"/>
      <c r="G348" s="31"/>
      <c r="H348" s="20"/>
      <c r="I348" s="20"/>
      <c r="J348" s="20"/>
      <c r="K348" s="20"/>
      <c r="L348" s="20"/>
      <c r="M348" s="20"/>
      <c r="N348" s="20"/>
      <c r="O348" s="20"/>
      <c r="P348" s="20"/>
      <c r="Q348" s="20"/>
      <c r="R348" s="20"/>
      <c r="S348" s="20"/>
      <c r="T348" s="20"/>
      <c r="U348" s="20"/>
      <c r="V348" s="20"/>
    </row>
    <row r="349" spans="5:22" ht="17.25" customHeight="1">
      <c r="E349" s="62"/>
      <c r="F349" s="58"/>
      <c r="G349" s="31"/>
      <c r="H349" s="20"/>
      <c r="I349" s="20"/>
      <c r="J349" s="20"/>
      <c r="K349" s="20"/>
      <c r="L349" s="20"/>
      <c r="M349" s="20"/>
      <c r="N349" s="20"/>
      <c r="O349" s="20"/>
      <c r="P349" s="20"/>
      <c r="Q349" s="20"/>
      <c r="R349" s="20"/>
      <c r="S349" s="20"/>
      <c r="T349" s="20"/>
      <c r="U349" s="20"/>
      <c r="V349" s="20"/>
    </row>
    <row r="350" spans="5:22" ht="17.25" customHeight="1">
      <c r="E350" s="62"/>
      <c r="F350" s="58"/>
      <c r="G350" s="31"/>
      <c r="H350" s="20"/>
      <c r="I350" s="20"/>
      <c r="J350" s="20"/>
      <c r="K350" s="20"/>
      <c r="L350" s="20"/>
      <c r="M350" s="20"/>
      <c r="N350" s="20"/>
      <c r="O350" s="20"/>
      <c r="P350" s="20"/>
      <c r="Q350" s="20"/>
      <c r="R350" s="20"/>
      <c r="S350" s="20"/>
      <c r="T350" s="20"/>
      <c r="U350" s="20"/>
      <c r="V350" s="20"/>
    </row>
    <row r="351" spans="5:22" ht="17.25" customHeight="1">
      <c r="E351" s="62"/>
      <c r="F351" s="58"/>
      <c r="G351" s="31"/>
      <c r="H351" s="20"/>
      <c r="I351" s="20"/>
      <c r="J351" s="20"/>
      <c r="K351" s="20"/>
      <c r="L351" s="20"/>
      <c r="M351" s="20"/>
      <c r="N351" s="20"/>
      <c r="O351" s="20"/>
      <c r="P351" s="20"/>
      <c r="Q351" s="20"/>
      <c r="R351" s="20"/>
      <c r="S351" s="20"/>
      <c r="T351" s="20"/>
      <c r="U351" s="20"/>
      <c r="V351" s="20"/>
    </row>
    <row r="352" spans="5:22" ht="17.25" customHeight="1">
      <c r="E352" s="62"/>
      <c r="F352" s="58"/>
      <c r="G352" s="31"/>
      <c r="H352" s="20"/>
      <c r="I352" s="20"/>
      <c r="J352" s="20"/>
      <c r="K352" s="20"/>
      <c r="L352" s="20"/>
      <c r="M352" s="20"/>
      <c r="N352" s="20"/>
      <c r="O352" s="20"/>
      <c r="P352" s="20"/>
      <c r="Q352" s="20"/>
      <c r="R352" s="20"/>
      <c r="S352" s="20"/>
      <c r="T352" s="20"/>
      <c r="U352" s="20"/>
      <c r="V352" s="20"/>
    </row>
    <row r="353" spans="5:22" ht="17.25" customHeight="1">
      <c r="E353" s="62"/>
      <c r="F353" s="58"/>
      <c r="G353" s="31"/>
      <c r="H353" s="20"/>
      <c r="I353" s="20"/>
      <c r="J353" s="20"/>
      <c r="K353" s="20"/>
      <c r="L353" s="20"/>
      <c r="M353" s="20"/>
      <c r="N353" s="20"/>
      <c r="O353" s="20"/>
      <c r="P353" s="20"/>
      <c r="Q353" s="20"/>
      <c r="R353" s="20"/>
      <c r="S353" s="20"/>
      <c r="T353" s="20"/>
      <c r="U353" s="20"/>
      <c r="V353" s="20"/>
    </row>
    <row r="354" spans="5:22" ht="17.25" customHeight="1">
      <c r="E354" s="62"/>
      <c r="F354" s="58"/>
      <c r="G354" s="31"/>
      <c r="H354" s="20"/>
      <c r="I354" s="20"/>
      <c r="J354" s="20"/>
      <c r="K354" s="20"/>
      <c r="L354" s="20"/>
      <c r="M354" s="20"/>
      <c r="N354" s="20"/>
      <c r="O354" s="20"/>
      <c r="P354" s="20"/>
      <c r="Q354" s="20"/>
      <c r="R354" s="20"/>
      <c r="S354" s="20"/>
      <c r="T354" s="20"/>
      <c r="U354" s="20"/>
      <c r="V354" s="20"/>
    </row>
    <row r="355" spans="5:22" ht="17.25" customHeight="1">
      <c r="E355" s="62"/>
      <c r="F355" s="58"/>
      <c r="G355" s="31"/>
      <c r="H355" s="20"/>
      <c r="I355" s="20"/>
      <c r="J355" s="20"/>
      <c r="K355" s="20"/>
      <c r="L355" s="20"/>
      <c r="M355" s="20"/>
      <c r="N355" s="20"/>
      <c r="O355" s="20"/>
      <c r="P355" s="20"/>
      <c r="Q355" s="20"/>
      <c r="R355" s="20"/>
      <c r="S355" s="20"/>
      <c r="T355" s="20"/>
      <c r="U355" s="20"/>
      <c r="V355" s="20"/>
    </row>
    <row r="356" spans="5:22" ht="17.25" customHeight="1">
      <c r="E356" s="62"/>
      <c r="F356" s="58"/>
      <c r="G356" s="31"/>
      <c r="H356" s="20"/>
      <c r="I356" s="20"/>
      <c r="J356" s="20"/>
      <c r="K356" s="20"/>
      <c r="L356" s="20"/>
      <c r="M356" s="20"/>
      <c r="N356" s="20"/>
      <c r="O356" s="20"/>
      <c r="P356" s="20"/>
      <c r="Q356" s="20"/>
      <c r="R356" s="20"/>
      <c r="S356" s="20"/>
      <c r="T356" s="20"/>
      <c r="U356" s="20"/>
      <c r="V356" s="20"/>
    </row>
    <row r="357" spans="5:22" ht="17.25" customHeight="1">
      <c r="E357" s="62"/>
      <c r="F357" s="58"/>
      <c r="G357" s="31"/>
      <c r="H357" s="20"/>
      <c r="I357" s="20"/>
      <c r="J357" s="20"/>
      <c r="K357" s="20"/>
      <c r="L357" s="20"/>
      <c r="M357" s="20"/>
      <c r="N357" s="20"/>
      <c r="O357" s="20"/>
      <c r="P357" s="20"/>
      <c r="Q357" s="20"/>
      <c r="R357" s="20"/>
      <c r="S357" s="20"/>
      <c r="T357" s="20"/>
      <c r="U357" s="20"/>
      <c r="V357" s="20"/>
    </row>
    <row r="358" spans="5:22" ht="17.25" customHeight="1">
      <c r="E358" s="62"/>
      <c r="F358" s="58"/>
      <c r="G358" s="31"/>
      <c r="H358" s="20"/>
      <c r="I358" s="20"/>
      <c r="J358" s="20"/>
      <c r="K358" s="20"/>
      <c r="L358" s="20"/>
      <c r="M358" s="20"/>
      <c r="N358" s="20"/>
      <c r="O358" s="20"/>
      <c r="P358" s="20"/>
      <c r="Q358" s="20"/>
      <c r="R358" s="20"/>
      <c r="S358" s="20"/>
      <c r="T358" s="20"/>
      <c r="U358" s="20"/>
      <c r="V358" s="20"/>
    </row>
    <row r="359" spans="5:22" ht="17.25" customHeight="1">
      <c r="E359" s="62"/>
      <c r="F359" s="58"/>
      <c r="G359" s="31"/>
      <c r="H359" s="20"/>
      <c r="I359" s="20"/>
      <c r="J359" s="20"/>
      <c r="K359" s="20"/>
      <c r="L359" s="20"/>
      <c r="M359" s="20"/>
      <c r="N359" s="20"/>
      <c r="O359" s="20"/>
      <c r="P359" s="20"/>
      <c r="Q359" s="20"/>
      <c r="R359" s="20"/>
      <c r="S359" s="20"/>
      <c r="T359" s="20"/>
      <c r="U359" s="20"/>
      <c r="V359" s="20"/>
    </row>
    <row r="360" spans="5:22" ht="17.25" customHeight="1">
      <c r="E360" s="62"/>
      <c r="F360" s="58"/>
      <c r="G360" s="31"/>
      <c r="H360" s="20"/>
      <c r="I360" s="20"/>
      <c r="J360" s="20"/>
      <c r="K360" s="20"/>
      <c r="L360" s="20"/>
      <c r="M360" s="20"/>
      <c r="N360" s="20"/>
      <c r="O360" s="20"/>
      <c r="P360" s="20"/>
      <c r="Q360" s="20"/>
      <c r="R360" s="20"/>
      <c r="S360" s="20"/>
      <c r="T360" s="20"/>
      <c r="U360" s="20"/>
      <c r="V360" s="20"/>
    </row>
    <row r="361" spans="5:22" ht="17.25" customHeight="1">
      <c r="E361" s="62"/>
      <c r="F361" s="58"/>
      <c r="G361" s="31"/>
      <c r="H361" s="20"/>
      <c r="I361" s="20"/>
      <c r="J361" s="20"/>
      <c r="K361" s="20"/>
      <c r="L361" s="20"/>
      <c r="M361" s="20"/>
      <c r="N361" s="20"/>
      <c r="O361" s="20"/>
      <c r="P361" s="20"/>
      <c r="Q361" s="20"/>
      <c r="R361" s="20"/>
      <c r="S361" s="20"/>
      <c r="T361" s="20"/>
      <c r="U361" s="20"/>
      <c r="V361" s="20"/>
    </row>
    <row r="362" spans="5:22" ht="17.25" customHeight="1">
      <c r="E362" s="62"/>
      <c r="F362" s="58"/>
      <c r="G362" s="31"/>
      <c r="H362" s="20"/>
      <c r="I362" s="20"/>
      <c r="J362" s="20"/>
      <c r="K362" s="20"/>
      <c r="L362" s="20"/>
      <c r="M362" s="20"/>
      <c r="N362" s="20"/>
      <c r="O362" s="20"/>
      <c r="P362" s="20"/>
      <c r="Q362" s="20"/>
      <c r="R362" s="20"/>
      <c r="S362" s="20"/>
      <c r="T362" s="20"/>
      <c r="U362" s="20"/>
      <c r="V362" s="20"/>
    </row>
    <row r="363" spans="5:22" ht="17.25" customHeight="1">
      <c r="E363" s="62"/>
      <c r="F363" s="58"/>
      <c r="G363" s="31"/>
      <c r="H363" s="20"/>
      <c r="I363" s="20"/>
      <c r="J363" s="20"/>
      <c r="K363" s="20"/>
      <c r="L363" s="20"/>
      <c r="M363" s="20"/>
      <c r="N363" s="20"/>
      <c r="O363" s="20"/>
      <c r="P363" s="20"/>
      <c r="Q363" s="20"/>
      <c r="R363" s="20"/>
      <c r="S363" s="20"/>
      <c r="T363" s="20"/>
      <c r="U363" s="20"/>
      <c r="V363" s="20"/>
    </row>
    <row r="364" spans="5:22" ht="17.25" customHeight="1">
      <c r="E364" s="62"/>
      <c r="F364" s="58"/>
      <c r="G364" s="31"/>
      <c r="H364" s="20"/>
      <c r="I364" s="20"/>
      <c r="J364" s="20"/>
      <c r="K364" s="20"/>
      <c r="L364" s="20"/>
      <c r="M364" s="20"/>
      <c r="N364" s="20"/>
      <c r="O364" s="20"/>
      <c r="P364" s="20"/>
      <c r="Q364" s="20"/>
      <c r="R364" s="20"/>
      <c r="S364" s="20"/>
      <c r="T364" s="20"/>
      <c r="U364" s="20"/>
      <c r="V364" s="20"/>
    </row>
    <row r="365" spans="5:22" ht="17.25" customHeight="1">
      <c r="E365" s="62"/>
      <c r="F365" s="58"/>
      <c r="G365" s="31"/>
      <c r="H365" s="20"/>
      <c r="I365" s="20"/>
      <c r="J365" s="20"/>
      <c r="K365" s="20"/>
      <c r="L365" s="20"/>
      <c r="M365" s="20"/>
      <c r="N365" s="20"/>
      <c r="O365" s="20"/>
      <c r="P365" s="20"/>
      <c r="Q365" s="20"/>
      <c r="R365" s="20"/>
      <c r="S365" s="20"/>
      <c r="T365" s="20"/>
      <c r="U365" s="20"/>
      <c r="V365" s="20"/>
    </row>
    <row r="366" spans="5:22" ht="17.25" customHeight="1">
      <c r="E366" s="62"/>
      <c r="F366" s="58"/>
      <c r="G366" s="31"/>
      <c r="H366" s="20"/>
      <c r="I366" s="20"/>
      <c r="J366" s="20"/>
      <c r="K366" s="20"/>
      <c r="L366" s="20"/>
      <c r="M366" s="20"/>
      <c r="N366" s="20"/>
      <c r="O366" s="20"/>
      <c r="P366" s="20"/>
      <c r="Q366" s="20"/>
      <c r="R366" s="20"/>
      <c r="S366" s="20"/>
      <c r="T366" s="20"/>
      <c r="U366" s="20"/>
      <c r="V366" s="20"/>
    </row>
    <row r="367" spans="5:22" ht="17.25" customHeight="1">
      <c r="E367" s="62"/>
      <c r="F367" s="58"/>
      <c r="G367" s="31"/>
      <c r="H367" s="20"/>
      <c r="I367" s="20"/>
      <c r="J367" s="20"/>
      <c r="K367" s="20"/>
      <c r="L367" s="20"/>
      <c r="M367" s="20"/>
      <c r="N367" s="20"/>
      <c r="O367" s="20"/>
      <c r="P367" s="20"/>
      <c r="Q367" s="20"/>
      <c r="R367" s="20"/>
      <c r="S367" s="20"/>
      <c r="T367" s="20"/>
      <c r="U367" s="20"/>
      <c r="V367" s="20"/>
    </row>
    <row r="368" spans="5:22" ht="17.25" customHeight="1">
      <c r="E368" s="62"/>
      <c r="F368" s="58"/>
      <c r="G368" s="31"/>
      <c r="H368" s="20"/>
      <c r="I368" s="20"/>
      <c r="J368" s="20"/>
      <c r="K368" s="20"/>
      <c r="L368" s="20"/>
      <c r="M368" s="20"/>
      <c r="N368" s="20"/>
      <c r="O368" s="20"/>
      <c r="P368" s="20"/>
      <c r="Q368" s="20"/>
      <c r="R368" s="20"/>
      <c r="S368" s="20"/>
      <c r="T368" s="20"/>
      <c r="U368" s="20"/>
      <c r="V368" s="20"/>
    </row>
    <row r="369" spans="5:22" ht="17.25" customHeight="1">
      <c r="E369" s="62"/>
      <c r="F369" s="58"/>
      <c r="G369" s="31"/>
      <c r="H369" s="20"/>
      <c r="I369" s="20"/>
      <c r="J369" s="20"/>
      <c r="K369" s="20"/>
      <c r="L369" s="20"/>
      <c r="M369" s="20"/>
      <c r="N369" s="20"/>
      <c r="O369" s="20"/>
      <c r="P369" s="20"/>
      <c r="Q369" s="20"/>
      <c r="R369" s="20"/>
      <c r="S369" s="20"/>
      <c r="T369" s="20"/>
      <c r="U369" s="20"/>
      <c r="V369" s="20"/>
    </row>
    <row r="370" spans="5:22" ht="17.25" customHeight="1">
      <c r="E370" s="62"/>
      <c r="F370" s="58"/>
      <c r="G370" s="31"/>
      <c r="H370" s="20"/>
      <c r="I370" s="20"/>
      <c r="J370" s="20"/>
      <c r="K370" s="20"/>
      <c r="L370" s="20"/>
      <c r="M370" s="20"/>
      <c r="N370" s="20"/>
      <c r="O370" s="20"/>
      <c r="P370" s="20"/>
      <c r="Q370" s="20"/>
      <c r="R370" s="20"/>
      <c r="S370" s="20"/>
      <c r="T370" s="20"/>
      <c r="U370" s="20"/>
      <c r="V370" s="20"/>
    </row>
    <row r="371" spans="5:22" ht="17.25" customHeight="1">
      <c r="E371" s="62"/>
      <c r="F371" s="58"/>
      <c r="G371" s="31"/>
      <c r="H371" s="20"/>
      <c r="I371" s="20"/>
      <c r="J371" s="20"/>
      <c r="K371" s="20"/>
      <c r="L371" s="20"/>
      <c r="M371" s="20"/>
      <c r="N371" s="20"/>
      <c r="O371" s="20"/>
      <c r="P371" s="20"/>
      <c r="Q371" s="20"/>
      <c r="R371" s="20"/>
      <c r="S371" s="20"/>
      <c r="T371" s="20"/>
      <c r="U371" s="20"/>
      <c r="V371" s="20"/>
    </row>
    <row r="372" spans="5:22" ht="17.25" customHeight="1">
      <c r="E372" s="62"/>
      <c r="F372" s="58"/>
      <c r="G372" s="31"/>
      <c r="H372" s="20"/>
      <c r="I372" s="20"/>
      <c r="J372" s="20"/>
      <c r="K372" s="20"/>
      <c r="L372" s="20"/>
      <c r="M372" s="20"/>
      <c r="N372" s="20"/>
      <c r="O372" s="20"/>
      <c r="P372" s="20"/>
      <c r="Q372" s="20"/>
      <c r="R372" s="20"/>
      <c r="S372" s="20"/>
      <c r="T372" s="20"/>
      <c r="U372" s="20"/>
      <c r="V372" s="20"/>
    </row>
    <row r="373" spans="5:22" ht="17.25" customHeight="1">
      <c r="E373" s="62"/>
      <c r="F373" s="58"/>
      <c r="G373" s="31"/>
      <c r="H373" s="20"/>
      <c r="I373" s="20"/>
      <c r="J373" s="20"/>
      <c r="K373" s="20"/>
      <c r="L373" s="20"/>
      <c r="M373" s="20"/>
      <c r="N373" s="20"/>
      <c r="O373" s="20"/>
      <c r="P373" s="20"/>
      <c r="Q373" s="20"/>
      <c r="R373" s="20"/>
      <c r="S373" s="20"/>
      <c r="T373" s="20"/>
      <c r="U373" s="20"/>
      <c r="V373" s="20"/>
    </row>
    <row r="374" spans="5:22" ht="17.25" customHeight="1">
      <c r="E374" s="62"/>
      <c r="F374" s="58"/>
      <c r="G374" s="31"/>
      <c r="H374" s="20"/>
      <c r="I374" s="20"/>
      <c r="J374" s="20"/>
      <c r="K374" s="20"/>
      <c r="L374" s="20"/>
      <c r="M374" s="20"/>
      <c r="N374" s="20"/>
      <c r="O374" s="20"/>
      <c r="P374" s="20"/>
      <c r="Q374" s="20"/>
      <c r="R374" s="20"/>
      <c r="S374" s="20"/>
      <c r="T374" s="20"/>
      <c r="U374" s="20"/>
      <c r="V374" s="20"/>
    </row>
    <row r="375" spans="5:22" ht="17.25" customHeight="1">
      <c r="E375" s="62"/>
      <c r="F375" s="58"/>
      <c r="G375" s="31"/>
      <c r="H375" s="20"/>
      <c r="I375" s="20"/>
      <c r="J375" s="20"/>
      <c r="K375" s="20"/>
      <c r="L375" s="20"/>
      <c r="M375" s="20"/>
      <c r="N375" s="20"/>
      <c r="O375" s="20"/>
      <c r="P375" s="20"/>
      <c r="Q375" s="20"/>
      <c r="R375" s="20"/>
      <c r="S375" s="20"/>
      <c r="T375" s="20"/>
      <c r="U375" s="20"/>
      <c r="V375" s="20"/>
    </row>
    <row r="376" spans="5:22" ht="17.25" customHeight="1">
      <c r="E376" s="62"/>
      <c r="F376" s="58"/>
      <c r="G376" s="31"/>
      <c r="H376" s="20"/>
      <c r="I376" s="20"/>
      <c r="J376" s="20"/>
      <c r="K376" s="20"/>
      <c r="L376" s="20"/>
      <c r="M376" s="20"/>
      <c r="N376" s="20"/>
      <c r="O376" s="20"/>
      <c r="P376" s="20"/>
      <c r="Q376" s="20"/>
      <c r="R376" s="20"/>
      <c r="S376" s="20"/>
      <c r="T376" s="20"/>
      <c r="U376" s="20"/>
      <c r="V376" s="20"/>
    </row>
    <row r="377" spans="5:22" ht="17.25" customHeight="1">
      <c r="E377" s="62"/>
      <c r="F377" s="58"/>
      <c r="G377" s="31"/>
      <c r="H377" s="20"/>
      <c r="I377" s="20"/>
      <c r="J377" s="20"/>
      <c r="K377" s="20"/>
      <c r="L377" s="20"/>
      <c r="M377" s="20"/>
      <c r="N377" s="20"/>
      <c r="O377" s="20"/>
      <c r="P377" s="20"/>
      <c r="Q377" s="20"/>
      <c r="R377" s="20"/>
      <c r="S377" s="20"/>
      <c r="T377" s="20"/>
      <c r="U377" s="20"/>
      <c r="V377" s="20"/>
    </row>
    <row r="378" spans="5:22" ht="17.25" customHeight="1">
      <c r="E378" s="62"/>
      <c r="F378" s="58"/>
      <c r="G378" s="31"/>
      <c r="H378" s="20"/>
      <c r="I378" s="20"/>
      <c r="J378" s="20"/>
      <c r="K378" s="20"/>
      <c r="L378" s="20"/>
      <c r="M378" s="20"/>
      <c r="N378" s="20"/>
      <c r="O378" s="20"/>
      <c r="P378" s="20"/>
      <c r="Q378" s="20"/>
      <c r="R378" s="20"/>
      <c r="S378" s="20"/>
      <c r="T378" s="20"/>
      <c r="U378" s="20"/>
      <c r="V378" s="20"/>
    </row>
    <row r="379" spans="5:22" ht="17.25" customHeight="1">
      <c r="E379" s="62"/>
      <c r="F379" s="58"/>
      <c r="G379" s="31"/>
      <c r="H379" s="20"/>
      <c r="I379" s="20"/>
      <c r="J379" s="20"/>
      <c r="K379" s="20"/>
      <c r="L379" s="20"/>
      <c r="M379" s="20"/>
      <c r="N379" s="20"/>
      <c r="O379" s="20"/>
      <c r="P379" s="20"/>
      <c r="Q379" s="20"/>
      <c r="R379" s="20"/>
      <c r="S379" s="20"/>
      <c r="T379" s="20"/>
      <c r="U379" s="20"/>
      <c r="V379" s="20"/>
    </row>
    <row r="380" spans="5:22" ht="17.25" customHeight="1">
      <c r="E380" s="62"/>
      <c r="F380" s="58"/>
      <c r="G380" s="31"/>
      <c r="H380" s="20"/>
      <c r="I380" s="20"/>
      <c r="J380" s="20"/>
      <c r="K380" s="20"/>
      <c r="L380" s="20"/>
      <c r="M380" s="20"/>
      <c r="N380" s="20"/>
      <c r="O380" s="20"/>
      <c r="P380" s="20"/>
      <c r="Q380" s="20"/>
      <c r="R380" s="20"/>
      <c r="S380" s="20"/>
      <c r="T380" s="20"/>
      <c r="U380" s="20"/>
      <c r="V380" s="20"/>
    </row>
    <row r="381" spans="5:22" ht="17.25" customHeight="1">
      <c r="E381" s="62"/>
      <c r="F381" s="58"/>
      <c r="G381" s="31"/>
      <c r="H381" s="20"/>
      <c r="I381" s="20"/>
      <c r="J381" s="20"/>
      <c r="K381" s="20"/>
      <c r="L381" s="20"/>
      <c r="M381" s="20"/>
      <c r="N381" s="20"/>
      <c r="O381" s="20"/>
      <c r="P381" s="20"/>
      <c r="Q381" s="20"/>
      <c r="R381" s="20"/>
      <c r="S381" s="20"/>
      <c r="T381" s="20"/>
      <c r="U381" s="20"/>
      <c r="V381" s="20"/>
    </row>
    <row r="382" spans="5:22" ht="17.25" customHeight="1">
      <c r="E382" s="62"/>
      <c r="F382" s="58"/>
      <c r="G382" s="31"/>
      <c r="H382" s="20"/>
      <c r="I382" s="20"/>
      <c r="J382" s="20"/>
      <c r="K382" s="20"/>
      <c r="L382" s="20"/>
      <c r="M382" s="20"/>
      <c r="N382" s="20"/>
      <c r="O382" s="20"/>
      <c r="P382" s="20"/>
      <c r="Q382" s="20"/>
      <c r="R382" s="20"/>
      <c r="S382" s="20"/>
      <c r="T382" s="20"/>
      <c r="U382" s="20"/>
      <c r="V382" s="20"/>
    </row>
    <row r="383" spans="5:22" ht="17.25" customHeight="1">
      <c r="E383" s="62"/>
      <c r="F383" s="58"/>
      <c r="G383" s="31"/>
      <c r="H383" s="20"/>
      <c r="I383" s="20"/>
      <c r="J383" s="20"/>
      <c r="K383" s="20"/>
      <c r="L383" s="20"/>
      <c r="M383" s="20"/>
      <c r="N383" s="20"/>
      <c r="O383" s="20"/>
      <c r="P383" s="20"/>
      <c r="Q383" s="20"/>
      <c r="R383" s="20"/>
      <c r="S383" s="20"/>
      <c r="T383" s="20"/>
      <c r="U383" s="20"/>
      <c r="V383" s="20"/>
    </row>
    <row r="384" spans="5:22" ht="17.25" customHeight="1">
      <c r="E384" s="62"/>
      <c r="F384" s="58"/>
      <c r="G384" s="31"/>
      <c r="H384" s="20"/>
      <c r="I384" s="20"/>
      <c r="J384" s="20"/>
      <c r="K384" s="20"/>
      <c r="L384" s="20"/>
      <c r="M384" s="20"/>
      <c r="N384" s="20"/>
      <c r="O384" s="20"/>
      <c r="P384" s="20"/>
      <c r="Q384" s="20"/>
      <c r="R384" s="20"/>
      <c r="S384" s="20"/>
      <c r="T384" s="20"/>
      <c r="U384" s="20"/>
      <c r="V384" s="20"/>
    </row>
    <row r="385" spans="5:22" ht="17.25" customHeight="1">
      <c r="E385" s="62"/>
      <c r="F385" s="58"/>
      <c r="G385" s="31"/>
      <c r="H385" s="20"/>
      <c r="I385" s="20"/>
      <c r="J385" s="20"/>
      <c r="K385" s="20"/>
      <c r="L385" s="20"/>
      <c r="M385" s="20"/>
      <c r="N385" s="20"/>
      <c r="O385" s="20"/>
      <c r="P385" s="20"/>
      <c r="Q385" s="20"/>
      <c r="R385" s="20"/>
      <c r="S385" s="20"/>
      <c r="T385" s="20"/>
      <c r="U385" s="20"/>
      <c r="V385" s="20"/>
    </row>
    <row r="386" spans="5:22" ht="17.25" customHeight="1">
      <c r="E386" s="62"/>
      <c r="F386" s="58"/>
      <c r="G386" s="31"/>
      <c r="H386" s="20"/>
      <c r="I386" s="20"/>
      <c r="J386" s="20"/>
      <c r="K386" s="20"/>
      <c r="L386" s="20"/>
      <c r="M386" s="20"/>
      <c r="N386" s="20"/>
      <c r="O386" s="20"/>
      <c r="P386" s="20"/>
      <c r="Q386" s="20"/>
      <c r="R386" s="20"/>
      <c r="S386" s="20"/>
      <c r="T386" s="20"/>
      <c r="U386" s="20"/>
      <c r="V386" s="20"/>
    </row>
    <row r="387" spans="5:22" ht="17.25" customHeight="1">
      <c r="E387" s="62"/>
      <c r="F387" s="58"/>
      <c r="G387" s="31"/>
      <c r="H387" s="20"/>
      <c r="I387" s="20"/>
      <c r="J387" s="20"/>
      <c r="K387" s="20"/>
      <c r="L387" s="20"/>
      <c r="M387" s="20"/>
      <c r="N387" s="20"/>
      <c r="O387" s="20"/>
      <c r="P387" s="20"/>
      <c r="Q387" s="20"/>
      <c r="R387" s="20"/>
      <c r="S387" s="20"/>
      <c r="T387" s="20"/>
      <c r="U387" s="20"/>
      <c r="V387" s="20"/>
    </row>
    <row r="388" spans="5:22" ht="17.25" customHeight="1">
      <c r="E388" s="62"/>
      <c r="F388" s="58"/>
      <c r="G388" s="31"/>
      <c r="H388" s="20"/>
      <c r="I388" s="20"/>
      <c r="J388" s="20"/>
      <c r="K388" s="20"/>
      <c r="L388" s="20"/>
      <c r="M388" s="20"/>
      <c r="N388" s="20"/>
      <c r="O388" s="20"/>
      <c r="P388" s="20"/>
      <c r="Q388" s="20"/>
      <c r="R388" s="20"/>
      <c r="S388" s="20"/>
      <c r="T388" s="20"/>
      <c r="U388" s="20"/>
      <c r="V388" s="20"/>
    </row>
    <row r="389" spans="5:22" ht="17.25" customHeight="1">
      <c r="E389" s="62"/>
      <c r="F389" s="58"/>
      <c r="G389" s="31"/>
      <c r="H389" s="20"/>
      <c r="I389" s="20"/>
      <c r="J389" s="20"/>
      <c r="K389" s="20"/>
      <c r="L389" s="20"/>
      <c r="M389" s="20"/>
      <c r="N389" s="20"/>
      <c r="O389" s="20"/>
      <c r="P389" s="20"/>
      <c r="Q389" s="20"/>
      <c r="R389" s="20"/>
      <c r="S389" s="20"/>
      <c r="T389" s="20"/>
      <c r="U389" s="20"/>
      <c r="V389" s="20"/>
    </row>
    <row r="390" spans="5:22" ht="17.25" customHeight="1">
      <c r="E390" s="62"/>
      <c r="F390" s="58"/>
      <c r="G390" s="31"/>
      <c r="H390" s="20"/>
      <c r="I390" s="20"/>
      <c r="J390" s="20"/>
      <c r="K390" s="20"/>
      <c r="L390" s="20"/>
      <c r="M390" s="20"/>
      <c r="N390" s="20"/>
      <c r="O390" s="20"/>
      <c r="P390" s="20"/>
      <c r="Q390" s="20"/>
      <c r="R390" s="20"/>
      <c r="S390" s="20"/>
      <c r="T390" s="20"/>
      <c r="U390" s="20"/>
      <c r="V390" s="20"/>
    </row>
    <row r="391" spans="5:22" ht="17.25" customHeight="1">
      <c r="E391" s="62"/>
      <c r="F391" s="58"/>
      <c r="G391" s="31"/>
      <c r="H391" s="20"/>
      <c r="I391" s="20"/>
      <c r="J391" s="20"/>
      <c r="K391" s="20"/>
      <c r="L391" s="20"/>
      <c r="M391" s="20"/>
      <c r="N391" s="20"/>
      <c r="O391" s="20"/>
      <c r="P391" s="20"/>
      <c r="Q391" s="20"/>
      <c r="R391" s="20"/>
      <c r="S391" s="20"/>
      <c r="T391" s="20"/>
      <c r="U391" s="20"/>
      <c r="V391" s="20"/>
    </row>
    <row r="392" spans="5:22" ht="17.25" customHeight="1">
      <c r="E392" s="62"/>
      <c r="F392" s="58"/>
      <c r="G392" s="31"/>
      <c r="H392" s="20"/>
      <c r="I392" s="20"/>
      <c r="J392" s="20"/>
      <c r="K392" s="20"/>
      <c r="L392" s="20"/>
      <c r="M392" s="20"/>
      <c r="N392" s="20"/>
      <c r="O392" s="20"/>
      <c r="P392" s="20"/>
      <c r="Q392" s="20"/>
      <c r="R392" s="20"/>
      <c r="S392" s="20"/>
      <c r="T392" s="20"/>
      <c r="U392" s="20"/>
      <c r="V392" s="20"/>
    </row>
    <row r="393" spans="5:22" ht="17.25" customHeight="1">
      <c r="E393" s="62"/>
      <c r="F393" s="58"/>
      <c r="G393" s="31"/>
      <c r="H393" s="20"/>
      <c r="I393" s="20"/>
      <c r="J393" s="20"/>
      <c r="K393" s="20"/>
      <c r="L393" s="20"/>
      <c r="M393" s="20"/>
      <c r="N393" s="20"/>
      <c r="O393" s="20"/>
      <c r="P393" s="20"/>
      <c r="Q393" s="20"/>
      <c r="R393" s="20"/>
      <c r="S393" s="20"/>
      <c r="T393" s="20"/>
      <c r="U393" s="20"/>
      <c r="V393" s="20"/>
    </row>
    <row r="394" spans="5:22" ht="17.25" customHeight="1">
      <c r="E394" s="62"/>
      <c r="F394" s="58"/>
      <c r="G394" s="31"/>
      <c r="H394" s="20"/>
      <c r="I394" s="20"/>
      <c r="J394" s="20"/>
      <c r="K394" s="20"/>
      <c r="L394" s="20"/>
      <c r="M394" s="20"/>
      <c r="N394" s="20"/>
      <c r="O394" s="20"/>
      <c r="P394" s="20"/>
      <c r="Q394" s="20"/>
      <c r="R394" s="20"/>
      <c r="S394" s="20"/>
      <c r="T394" s="20"/>
      <c r="U394" s="20"/>
      <c r="V394" s="20"/>
    </row>
    <row r="395" spans="5:22" ht="17.25" customHeight="1">
      <c r="E395" s="62"/>
      <c r="F395" s="58"/>
      <c r="G395" s="31"/>
      <c r="H395" s="20"/>
      <c r="I395" s="20"/>
      <c r="J395" s="20"/>
      <c r="K395" s="20"/>
      <c r="L395" s="20"/>
      <c r="M395" s="20"/>
      <c r="N395" s="20"/>
      <c r="O395" s="20"/>
      <c r="P395" s="20"/>
      <c r="Q395" s="20"/>
      <c r="R395" s="20"/>
      <c r="S395" s="20"/>
      <c r="T395" s="20"/>
      <c r="U395" s="20"/>
      <c r="V395" s="20"/>
    </row>
    <row r="396" spans="5:22" ht="17.25" customHeight="1">
      <c r="E396" s="62"/>
      <c r="F396" s="58"/>
      <c r="G396" s="31"/>
      <c r="H396" s="20"/>
      <c r="I396" s="20"/>
      <c r="J396" s="20"/>
      <c r="K396" s="20"/>
      <c r="L396" s="20"/>
      <c r="M396" s="20"/>
      <c r="N396" s="20"/>
      <c r="O396" s="20"/>
      <c r="P396" s="20"/>
      <c r="Q396" s="20"/>
      <c r="R396" s="20"/>
      <c r="S396" s="20"/>
      <c r="T396" s="20"/>
      <c r="U396" s="20"/>
      <c r="V396" s="20"/>
    </row>
    <row r="397" spans="5:22" ht="17.25" customHeight="1">
      <c r="E397" s="62"/>
      <c r="F397" s="58"/>
      <c r="G397" s="31"/>
      <c r="H397" s="20"/>
      <c r="I397" s="20"/>
      <c r="J397" s="20"/>
      <c r="K397" s="20"/>
      <c r="L397" s="20"/>
      <c r="M397" s="20"/>
      <c r="N397" s="20"/>
      <c r="O397" s="20"/>
      <c r="P397" s="20"/>
      <c r="Q397" s="20"/>
      <c r="R397" s="20"/>
      <c r="S397" s="20"/>
      <c r="T397" s="20"/>
      <c r="U397" s="20"/>
      <c r="V397" s="20"/>
    </row>
    <row r="398" spans="5:22" ht="17.25" customHeight="1">
      <c r="E398" s="62"/>
      <c r="F398" s="58"/>
      <c r="G398" s="31"/>
      <c r="H398" s="20"/>
      <c r="I398" s="20"/>
      <c r="J398" s="20"/>
      <c r="K398" s="20"/>
      <c r="L398" s="20"/>
      <c r="M398" s="20"/>
      <c r="N398" s="20"/>
      <c r="O398" s="20"/>
      <c r="P398" s="20"/>
      <c r="Q398" s="20"/>
      <c r="R398" s="20"/>
      <c r="S398" s="20"/>
      <c r="T398" s="20"/>
      <c r="U398" s="20"/>
      <c r="V398" s="20"/>
    </row>
    <row r="399" spans="5:22" ht="17.25" customHeight="1">
      <c r="E399" s="62"/>
      <c r="F399" s="58"/>
      <c r="G399" s="31"/>
      <c r="H399" s="20"/>
      <c r="I399" s="20"/>
      <c r="J399" s="20"/>
      <c r="K399" s="20"/>
      <c r="L399" s="20"/>
      <c r="M399" s="20"/>
      <c r="N399" s="20"/>
      <c r="O399" s="20"/>
      <c r="P399" s="20"/>
      <c r="Q399" s="20"/>
      <c r="R399" s="20"/>
      <c r="S399" s="20"/>
      <c r="T399" s="20"/>
      <c r="U399" s="20"/>
      <c r="V399" s="20"/>
    </row>
    <row r="400" spans="5:22" ht="17.25" customHeight="1">
      <c r="E400" s="62"/>
      <c r="F400" s="58"/>
      <c r="G400" s="31"/>
      <c r="H400" s="20"/>
      <c r="I400" s="20"/>
      <c r="J400" s="20"/>
      <c r="K400" s="20"/>
      <c r="L400" s="20"/>
      <c r="M400" s="20"/>
      <c r="N400" s="20"/>
      <c r="O400" s="20"/>
      <c r="P400" s="20"/>
      <c r="Q400" s="20"/>
      <c r="R400" s="20"/>
      <c r="S400" s="20"/>
      <c r="T400" s="20"/>
      <c r="U400" s="20"/>
      <c r="V400" s="20"/>
    </row>
    <row r="401" spans="5:22" ht="17.25" customHeight="1">
      <c r="E401" s="62"/>
      <c r="F401" s="58"/>
      <c r="G401" s="31"/>
      <c r="H401" s="20"/>
      <c r="I401" s="20"/>
      <c r="J401" s="20"/>
      <c r="K401" s="20"/>
      <c r="L401" s="20"/>
      <c r="M401" s="20"/>
      <c r="N401" s="20"/>
      <c r="O401" s="20"/>
      <c r="P401" s="20"/>
      <c r="Q401" s="20"/>
      <c r="R401" s="20"/>
      <c r="S401" s="20"/>
      <c r="T401" s="20"/>
      <c r="U401" s="20"/>
      <c r="V401" s="20"/>
    </row>
    <row r="402" spans="5:22" ht="17.25" customHeight="1">
      <c r="E402" s="62"/>
      <c r="F402" s="58"/>
      <c r="G402" s="31"/>
      <c r="H402" s="20"/>
      <c r="I402" s="20"/>
      <c r="J402" s="20"/>
      <c r="K402" s="20"/>
      <c r="L402" s="20"/>
      <c r="M402" s="20"/>
      <c r="N402" s="20"/>
      <c r="O402" s="20"/>
      <c r="P402" s="20"/>
      <c r="Q402" s="20"/>
      <c r="R402" s="20"/>
      <c r="S402" s="20"/>
      <c r="T402" s="20"/>
      <c r="U402" s="20"/>
      <c r="V402" s="20"/>
    </row>
    <row r="403" spans="5:22" ht="17.25" customHeight="1">
      <c r="E403" s="62"/>
      <c r="F403" s="58"/>
      <c r="G403" s="31"/>
      <c r="H403" s="20"/>
      <c r="I403" s="20"/>
      <c r="J403" s="20"/>
      <c r="K403" s="20"/>
      <c r="L403" s="20"/>
      <c r="M403" s="20"/>
      <c r="N403" s="20"/>
      <c r="O403" s="20"/>
      <c r="P403" s="20"/>
      <c r="Q403" s="20"/>
      <c r="R403" s="20"/>
      <c r="S403" s="20"/>
      <c r="T403" s="20"/>
      <c r="U403" s="20"/>
      <c r="V403" s="20"/>
    </row>
    <row r="404" spans="5:22" ht="17.25" customHeight="1">
      <c r="E404" s="62"/>
      <c r="F404" s="58"/>
      <c r="G404" s="31"/>
      <c r="H404" s="20"/>
      <c r="I404" s="20"/>
      <c r="J404" s="20"/>
      <c r="K404" s="20"/>
      <c r="L404" s="20"/>
      <c r="M404" s="20"/>
      <c r="N404" s="20"/>
      <c r="O404" s="20"/>
      <c r="P404" s="20"/>
      <c r="Q404" s="20"/>
      <c r="R404" s="20"/>
      <c r="S404" s="20"/>
      <c r="T404" s="20"/>
      <c r="U404" s="20"/>
      <c r="V404" s="20"/>
    </row>
    <row r="405" spans="5:22" ht="17.25" customHeight="1">
      <c r="E405" s="62"/>
      <c r="F405" s="58"/>
      <c r="G405" s="31"/>
      <c r="H405" s="20"/>
      <c r="I405" s="20"/>
      <c r="J405" s="20"/>
      <c r="K405" s="20"/>
      <c r="L405" s="20"/>
      <c r="M405" s="20"/>
      <c r="N405" s="20"/>
      <c r="O405" s="20"/>
      <c r="P405" s="20"/>
      <c r="Q405" s="20"/>
      <c r="R405" s="20"/>
      <c r="S405" s="20"/>
      <c r="T405" s="20"/>
      <c r="U405" s="20"/>
      <c r="V405" s="20"/>
    </row>
    <row r="406" spans="5:22" ht="17.25" customHeight="1">
      <c r="E406" s="62"/>
      <c r="F406" s="58"/>
      <c r="G406" s="31"/>
      <c r="H406" s="20"/>
      <c r="I406" s="20"/>
      <c r="J406" s="20"/>
      <c r="K406" s="20"/>
      <c r="L406" s="20"/>
      <c r="M406" s="20"/>
      <c r="N406" s="20"/>
      <c r="O406" s="20"/>
      <c r="P406" s="20"/>
      <c r="Q406" s="20"/>
      <c r="R406" s="20"/>
      <c r="S406" s="20"/>
      <c r="T406" s="20"/>
      <c r="U406" s="20"/>
      <c r="V406" s="20"/>
    </row>
    <row r="407" spans="5:22" ht="17.25" customHeight="1">
      <c r="E407" s="62"/>
      <c r="F407" s="58"/>
      <c r="G407" s="31"/>
      <c r="H407" s="20"/>
      <c r="I407" s="20"/>
      <c r="J407" s="20"/>
      <c r="K407" s="20"/>
      <c r="L407" s="20"/>
      <c r="M407" s="20"/>
      <c r="N407" s="20"/>
      <c r="O407" s="20"/>
      <c r="P407" s="20"/>
      <c r="Q407" s="20"/>
      <c r="R407" s="20"/>
      <c r="S407" s="20"/>
      <c r="T407" s="20"/>
      <c r="U407" s="20"/>
      <c r="V407" s="20"/>
    </row>
    <row r="408" spans="5:22" ht="17.25" customHeight="1">
      <c r="E408" s="62"/>
      <c r="F408" s="58"/>
      <c r="G408" s="31"/>
      <c r="H408" s="20"/>
      <c r="I408" s="20"/>
      <c r="J408" s="20"/>
      <c r="K408" s="20"/>
      <c r="L408" s="20"/>
      <c r="M408" s="20"/>
      <c r="N408" s="20"/>
      <c r="O408" s="20"/>
      <c r="P408" s="20"/>
      <c r="Q408" s="20"/>
      <c r="R408" s="20"/>
      <c r="S408" s="20"/>
      <c r="T408" s="20"/>
      <c r="U408" s="20"/>
      <c r="V408" s="20"/>
    </row>
    <row r="409" spans="5:22" ht="17.25" customHeight="1">
      <c r="E409" s="62"/>
      <c r="F409" s="58"/>
      <c r="G409" s="31"/>
      <c r="H409" s="20"/>
      <c r="I409" s="20"/>
      <c r="J409" s="20"/>
      <c r="K409" s="20"/>
      <c r="L409" s="20"/>
      <c r="M409" s="20"/>
      <c r="N409" s="20"/>
      <c r="O409" s="20"/>
      <c r="P409" s="20"/>
      <c r="Q409" s="20"/>
      <c r="R409" s="20"/>
      <c r="S409" s="20"/>
      <c r="T409" s="20"/>
      <c r="U409" s="20"/>
      <c r="V409" s="20"/>
    </row>
    <row r="410" spans="5:22" ht="17.25" customHeight="1">
      <c r="E410" s="62"/>
      <c r="F410" s="58"/>
      <c r="G410" s="31"/>
      <c r="H410" s="20"/>
      <c r="I410" s="20"/>
      <c r="J410" s="20"/>
      <c r="K410" s="20"/>
      <c r="L410" s="20"/>
      <c r="M410" s="20"/>
      <c r="N410" s="20"/>
      <c r="O410" s="20"/>
      <c r="P410" s="20"/>
      <c r="Q410" s="20"/>
      <c r="R410" s="20"/>
      <c r="S410" s="20"/>
      <c r="T410" s="20"/>
      <c r="U410" s="20"/>
      <c r="V410" s="20"/>
    </row>
    <row r="411" spans="5:22" ht="17.25" customHeight="1">
      <c r="E411" s="62"/>
      <c r="F411" s="58"/>
      <c r="G411" s="31"/>
      <c r="H411" s="20"/>
      <c r="I411" s="20"/>
      <c r="J411" s="20"/>
      <c r="K411" s="20"/>
      <c r="L411" s="20"/>
      <c r="M411" s="20"/>
      <c r="N411" s="20"/>
      <c r="O411" s="20"/>
      <c r="P411" s="20"/>
      <c r="Q411" s="20"/>
      <c r="R411" s="20"/>
      <c r="S411" s="20"/>
      <c r="T411" s="20"/>
      <c r="U411" s="20"/>
      <c r="V411" s="20"/>
    </row>
    <row r="412" spans="5:22" ht="17.25" customHeight="1">
      <c r="E412" s="62"/>
      <c r="F412" s="58"/>
      <c r="G412" s="31"/>
      <c r="H412" s="20"/>
      <c r="I412" s="20"/>
      <c r="J412" s="20"/>
      <c r="K412" s="20"/>
      <c r="L412" s="20"/>
      <c r="M412" s="20"/>
      <c r="N412" s="20"/>
      <c r="O412" s="20"/>
      <c r="P412" s="20"/>
      <c r="Q412" s="20"/>
      <c r="R412" s="20"/>
      <c r="S412" s="20"/>
      <c r="T412" s="20"/>
      <c r="U412" s="20"/>
      <c r="V412" s="20"/>
    </row>
    <row r="413" spans="5:22" ht="17.25" customHeight="1">
      <c r="E413" s="62"/>
      <c r="F413" s="58"/>
      <c r="G413" s="31"/>
      <c r="H413" s="20"/>
      <c r="I413" s="20"/>
      <c r="J413" s="20"/>
      <c r="K413" s="20"/>
      <c r="L413" s="20"/>
      <c r="M413" s="20"/>
      <c r="N413" s="20"/>
      <c r="O413" s="20"/>
      <c r="P413" s="20"/>
      <c r="Q413" s="20"/>
      <c r="R413" s="20"/>
      <c r="S413" s="20"/>
      <c r="T413" s="20"/>
      <c r="U413" s="20"/>
      <c r="V413" s="20"/>
    </row>
    <row r="414" spans="5:22" ht="17.25" customHeight="1">
      <c r="E414" s="62"/>
      <c r="F414" s="58"/>
      <c r="G414" s="31"/>
      <c r="H414" s="20"/>
      <c r="I414" s="20"/>
      <c r="J414" s="20"/>
      <c r="K414" s="20"/>
      <c r="L414" s="20"/>
      <c r="M414" s="20"/>
      <c r="N414" s="20"/>
      <c r="O414" s="20"/>
      <c r="P414" s="20"/>
      <c r="Q414" s="20"/>
      <c r="R414" s="20"/>
      <c r="S414" s="20"/>
      <c r="T414" s="20"/>
      <c r="U414" s="20"/>
      <c r="V414" s="20"/>
    </row>
    <row r="415" spans="5:22" ht="17.25" customHeight="1">
      <c r="E415" s="62"/>
      <c r="F415" s="58"/>
      <c r="G415" s="31"/>
      <c r="H415" s="20"/>
      <c r="I415" s="20"/>
      <c r="J415" s="20"/>
      <c r="K415" s="20"/>
      <c r="L415" s="20"/>
      <c r="M415" s="20"/>
      <c r="N415" s="20"/>
      <c r="O415" s="20"/>
      <c r="P415" s="20"/>
      <c r="Q415" s="20"/>
      <c r="R415" s="20"/>
      <c r="S415" s="20"/>
      <c r="T415" s="20"/>
      <c r="U415" s="20"/>
      <c r="V415" s="20"/>
    </row>
    <row r="416" spans="5:22" ht="17.25" customHeight="1">
      <c r="E416" s="62"/>
      <c r="F416" s="58"/>
      <c r="G416" s="31"/>
      <c r="H416" s="20"/>
      <c r="I416" s="20"/>
      <c r="J416" s="20"/>
      <c r="K416" s="20"/>
      <c r="L416" s="20"/>
      <c r="M416" s="20"/>
      <c r="N416" s="20"/>
      <c r="O416" s="20"/>
      <c r="P416" s="20"/>
      <c r="Q416" s="20"/>
      <c r="R416" s="20"/>
      <c r="S416" s="20"/>
      <c r="T416" s="20"/>
      <c r="U416" s="20"/>
      <c r="V416" s="20"/>
    </row>
    <row r="417" spans="5:22" ht="17.25" customHeight="1">
      <c r="E417" s="62"/>
      <c r="F417" s="58"/>
      <c r="G417" s="31"/>
      <c r="H417" s="20"/>
      <c r="I417" s="20"/>
      <c r="J417" s="20"/>
      <c r="K417" s="20"/>
      <c r="L417" s="20"/>
      <c r="M417" s="20"/>
      <c r="N417" s="20"/>
      <c r="O417" s="20"/>
      <c r="P417" s="20"/>
      <c r="Q417" s="20"/>
      <c r="R417" s="20"/>
      <c r="S417" s="20"/>
      <c r="T417" s="20"/>
      <c r="U417" s="20"/>
      <c r="V417" s="20"/>
    </row>
    <row r="418" spans="5:22" ht="17.25" customHeight="1">
      <c r="E418" s="62"/>
      <c r="F418" s="58"/>
      <c r="G418" s="31"/>
      <c r="H418" s="20"/>
      <c r="I418" s="20"/>
      <c r="J418" s="20"/>
      <c r="K418" s="20"/>
      <c r="L418" s="20"/>
      <c r="M418" s="20"/>
      <c r="N418" s="20"/>
      <c r="O418" s="20"/>
      <c r="P418" s="20"/>
      <c r="Q418" s="20"/>
      <c r="R418" s="20"/>
      <c r="S418" s="20"/>
      <c r="T418" s="20"/>
      <c r="U418" s="20"/>
      <c r="V418" s="20"/>
    </row>
    <row r="419" spans="5:22" ht="17.25" customHeight="1">
      <c r="E419" s="62"/>
      <c r="F419" s="58"/>
      <c r="G419" s="31"/>
      <c r="H419" s="20"/>
      <c r="I419" s="20"/>
      <c r="J419" s="20"/>
      <c r="K419" s="20"/>
      <c r="L419" s="20"/>
      <c r="M419" s="20"/>
      <c r="N419" s="20"/>
      <c r="O419" s="20"/>
      <c r="P419" s="20"/>
      <c r="Q419" s="20"/>
      <c r="R419" s="20"/>
      <c r="S419" s="20"/>
      <c r="T419" s="20"/>
      <c r="U419" s="20"/>
      <c r="V419" s="20"/>
    </row>
    <row r="420" spans="5:22" ht="17.25" customHeight="1">
      <c r="E420" s="62"/>
      <c r="F420" s="58"/>
      <c r="G420" s="31"/>
      <c r="H420" s="20"/>
      <c r="I420" s="20"/>
      <c r="J420" s="20"/>
      <c r="K420" s="20"/>
      <c r="L420" s="20"/>
      <c r="M420" s="20"/>
      <c r="N420" s="20"/>
      <c r="O420" s="20"/>
      <c r="P420" s="20"/>
      <c r="Q420" s="20"/>
      <c r="R420" s="20"/>
      <c r="S420" s="20"/>
      <c r="T420" s="20"/>
      <c r="U420" s="20"/>
      <c r="V420" s="20"/>
    </row>
    <row r="421" spans="5:22" ht="17.25" customHeight="1">
      <c r="E421" s="62"/>
      <c r="F421" s="58"/>
      <c r="G421" s="31"/>
      <c r="H421" s="20"/>
      <c r="I421" s="20"/>
      <c r="J421" s="20"/>
      <c r="K421" s="20"/>
      <c r="L421" s="20"/>
      <c r="M421" s="20"/>
      <c r="N421" s="20"/>
      <c r="O421" s="20"/>
      <c r="P421" s="20"/>
      <c r="Q421" s="20"/>
      <c r="R421" s="20"/>
      <c r="S421" s="20"/>
      <c r="T421" s="20"/>
      <c r="U421" s="20"/>
      <c r="V421" s="20"/>
    </row>
    <row r="422" spans="5:22" ht="17.25" customHeight="1">
      <c r="E422" s="62"/>
      <c r="F422" s="58"/>
      <c r="G422" s="31"/>
      <c r="H422" s="20"/>
      <c r="I422" s="20"/>
      <c r="J422" s="20"/>
      <c r="K422" s="20"/>
      <c r="L422" s="20"/>
      <c r="M422" s="20"/>
      <c r="N422" s="20"/>
      <c r="O422" s="20"/>
      <c r="P422" s="20"/>
      <c r="Q422" s="20"/>
      <c r="R422" s="20"/>
      <c r="S422" s="20"/>
      <c r="T422" s="20"/>
      <c r="U422" s="20"/>
      <c r="V422" s="20"/>
    </row>
    <row r="423" spans="5:22" ht="17.25" customHeight="1">
      <c r="E423" s="62"/>
      <c r="F423" s="58"/>
      <c r="G423" s="31"/>
      <c r="H423" s="20"/>
      <c r="I423" s="20"/>
      <c r="J423" s="20"/>
      <c r="K423" s="20"/>
      <c r="L423" s="20"/>
      <c r="M423" s="20"/>
      <c r="N423" s="20"/>
      <c r="O423" s="20"/>
      <c r="P423" s="20"/>
      <c r="Q423" s="20"/>
      <c r="R423" s="20"/>
      <c r="S423" s="20"/>
      <c r="T423" s="20"/>
      <c r="U423" s="20"/>
      <c r="V423" s="20"/>
    </row>
    <row r="424" spans="5:22" ht="17.25" customHeight="1">
      <c r="E424" s="62"/>
      <c r="F424" s="58"/>
      <c r="G424" s="31"/>
      <c r="H424" s="20"/>
      <c r="I424" s="20"/>
      <c r="J424" s="20"/>
      <c r="K424" s="20"/>
      <c r="L424" s="20"/>
      <c r="M424" s="20"/>
      <c r="N424" s="20"/>
      <c r="O424" s="20"/>
      <c r="P424" s="20"/>
      <c r="Q424" s="20"/>
      <c r="R424" s="20"/>
      <c r="S424" s="20"/>
      <c r="T424" s="20"/>
      <c r="U424" s="20"/>
      <c r="V424" s="20"/>
    </row>
    <row r="425" spans="5:22" ht="17.25" customHeight="1">
      <c r="E425" s="62"/>
      <c r="F425" s="58"/>
      <c r="G425" s="31"/>
      <c r="H425" s="20"/>
      <c r="I425" s="20"/>
      <c r="J425" s="20"/>
      <c r="K425" s="20"/>
      <c r="L425" s="20"/>
      <c r="M425" s="20"/>
      <c r="N425" s="20"/>
      <c r="O425" s="20"/>
      <c r="P425" s="20"/>
      <c r="Q425" s="20"/>
      <c r="R425" s="20"/>
      <c r="S425" s="20"/>
      <c r="T425" s="20"/>
      <c r="U425" s="20"/>
      <c r="V425" s="20"/>
    </row>
    <row r="426" spans="5:22" ht="17.25" customHeight="1">
      <c r="E426" s="62"/>
      <c r="F426" s="58"/>
      <c r="G426" s="31"/>
      <c r="H426" s="20"/>
      <c r="I426" s="20"/>
      <c r="J426" s="20"/>
      <c r="K426" s="20"/>
      <c r="L426" s="20"/>
      <c r="M426" s="20"/>
      <c r="N426" s="20"/>
      <c r="O426" s="20"/>
      <c r="P426" s="20"/>
      <c r="Q426" s="20"/>
      <c r="R426" s="20"/>
      <c r="S426" s="20"/>
      <c r="T426" s="20"/>
      <c r="U426" s="20"/>
      <c r="V426" s="20"/>
    </row>
    <row r="427" spans="5:22" ht="17.25" customHeight="1">
      <c r="E427" s="62"/>
      <c r="F427" s="58"/>
      <c r="G427" s="31"/>
      <c r="H427" s="20"/>
      <c r="I427" s="20"/>
      <c r="J427" s="20"/>
      <c r="K427" s="20"/>
      <c r="L427" s="20"/>
      <c r="M427" s="20"/>
      <c r="N427" s="20"/>
      <c r="O427" s="20"/>
      <c r="P427" s="20"/>
      <c r="Q427" s="20"/>
      <c r="R427" s="20"/>
      <c r="S427" s="20"/>
      <c r="T427" s="20"/>
      <c r="U427" s="20"/>
      <c r="V427" s="20"/>
    </row>
    <row r="428" spans="5:22" ht="17.25" customHeight="1">
      <c r="E428" s="62"/>
      <c r="F428" s="58"/>
      <c r="G428" s="31"/>
      <c r="H428" s="20"/>
      <c r="I428" s="20"/>
      <c r="J428" s="20"/>
      <c r="K428" s="20"/>
      <c r="L428" s="20"/>
      <c r="M428" s="20"/>
      <c r="N428" s="20"/>
      <c r="O428" s="20"/>
      <c r="P428" s="20"/>
      <c r="Q428" s="20"/>
      <c r="R428" s="20"/>
      <c r="S428" s="20"/>
      <c r="T428" s="20"/>
      <c r="U428" s="20"/>
      <c r="V428" s="20"/>
    </row>
    <row r="429" spans="5:22" ht="17.25" customHeight="1">
      <c r="E429" s="62"/>
      <c r="F429" s="58"/>
      <c r="G429" s="31"/>
      <c r="H429" s="20"/>
      <c r="I429" s="20"/>
      <c r="J429" s="20"/>
      <c r="K429" s="20"/>
      <c r="L429" s="20"/>
      <c r="M429" s="20"/>
      <c r="N429" s="20"/>
      <c r="O429" s="20"/>
      <c r="P429" s="20"/>
      <c r="Q429" s="20"/>
      <c r="R429" s="20"/>
      <c r="S429" s="20"/>
      <c r="T429" s="20"/>
      <c r="U429" s="20"/>
      <c r="V429" s="20"/>
    </row>
    <row r="430" spans="5:22" ht="17.25" customHeight="1">
      <c r="E430" s="62"/>
      <c r="F430" s="58"/>
      <c r="G430" s="31"/>
      <c r="H430" s="20"/>
      <c r="I430" s="20"/>
      <c r="J430" s="20"/>
      <c r="K430" s="20"/>
      <c r="L430" s="20"/>
      <c r="M430" s="20"/>
      <c r="N430" s="20"/>
      <c r="O430" s="20"/>
      <c r="P430" s="20"/>
      <c r="Q430" s="20"/>
      <c r="R430" s="20"/>
      <c r="S430" s="20"/>
      <c r="T430" s="20"/>
      <c r="U430" s="20"/>
      <c r="V430" s="20"/>
    </row>
    <row r="431" spans="5:22" ht="17.25" customHeight="1">
      <c r="E431" s="62"/>
      <c r="F431" s="58"/>
      <c r="G431" s="31"/>
      <c r="H431" s="20"/>
      <c r="I431" s="20"/>
      <c r="J431" s="20"/>
      <c r="K431" s="20"/>
      <c r="L431" s="20"/>
      <c r="M431" s="20"/>
      <c r="N431" s="20"/>
      <c r="O431" s="20"/>
      <c r="P431" s="20"/>
      <c r="Q431" s="20"/>
      <c r="R431" s="20"/>
      <c r="S431" s="20"/>
      <c r="T431" s="20"/>
      <c r="U431" s="20"/>
      <c r="V431" s="20"/>
    </row>
    <row r="432" spans="5:22" ht="17.25" customHeight="1">
      <c r="E432" s="62"/>
      <c r="F432" s="58"/>
      <c r="G432" s="31"/>
      <c r="H432" s="20"/>
      <c r="I432" s="20"/>
      <c r="J432" s="20"/>
      <c r="K432" s="20"/>
      <c r="L432" s="20"/>
      <c r="M432" s="20"/>
      <c r="N432" s="20"/>
      <c r="O432" s="20"/>
      <c r="P432" s="20"/>
      <c r="Q432" s="20"/>
      <c r="R432" s="20"/>
      <c r="S432" s="20"/>
      <c r="T432" s="20"/>
      <c r="U432" s="20"/>
      <c r="V432" s="20"/>
    </row>
    <row r="433" spans="5:22" ht="17.25" customHeight="1">
      <c r="E433" s="62"/>
      <c r="F433" s="58"/>
      <c r="G433" s="31"/>
      <c r="H433" s="20"/>
      <c r="I433" s="20"/>
      <c r="J433" s="20"/>
      <c r="K433" s="20"/>
      <c r="L433" s="20"/>
      <c r="M433" s="20"/>
      <c r="N433" s="20"/>
      <c r="O433" s="20"/>
      <c r="P433" s="20"/>
      <c r="Q433" s="20"/>
      <c r="R433" s="20"/>
      <c r="S433" s="20"/>
      <c r="T433" s="20"/>
      <c r="U433" s="20"/>
      <c r="V433" s="20"/>
    </row>
    <row r="434" spans="5:22" ht="17.25" customHeight="1">
      <c r="E434" s="62"/>
      <c r="F434" s="58"/>
      <c r="G434" s="31"/>
      <c r="H434" s="20"/>
      <c r="I434" s="20"/>
      <c r="J434" s="20"/>
      <c r="K434" s="20"/>
      <c r="L434" s="20"/>
      <c r="M434" s="20"/>
      <c r="N434" s="20"/>
      <c r="O434" s="20"/>
      <c r="P434" s="20"/>
      <c r="Q434" s="20"/>
      <c r="R434" s="20"/>
      <c r="S434" s="20"/>
      <c r="T434" s="20"/>
      <c r="U434" s="20"/>
      <c r="V434" s="20"/>
    </row>
    <row r="435" spans="5:22" ht="17.25" customHeight="1">
      <c r="E435" s="62"/>
      <c r="F435" s="58"/>
      <c r="G435" s="31"/>
      <c r="H435" s="20"/>
      <c r="I435" s="20"/>
      <c r="J435" s="20"/>
      <c r="K435" s="20"/>
      <c r="L435" s="20"/>
      <c r="M435" s="20"/>
      <c r="N435" s="20"/>
      <c r="O435" s="20"/>
      <c r="P435" s="20"/>
      <c r="Q435" s="20"/>
      <c r="R435" s="20"/>
      <c r="S435" s="20"/>
      <c r="T435" s="20"/>
      <c r="U435" s="20"/>
      <c r="V435" s="20"/>
    </row>
    <row r="436" spans="5:22" ht="17.25" customHeight="1">
      <c r="E436" s="62"/>
      <c r="F436" s="58"/>
      <c r="G436" s="31"/>
      <c r="H436" s="20"/>
      <c r="I436" s="20"/>
      <c r="J436" s="20"/>
      <c r="K436" s="20"/>
      <c r="L436" s="20"/>
      <c r="M436" s="20"/>
      <c r="N436" s="20"/>
      <c r="O436" s="20"/>
      <c r="P436" s="20"/>
      <c r="Q436" s="20"/>
      <c r="R436" s="20"/>
      <c r="S436" s="20"/>
      <c r="T436" s="20"/>
      <c r="U436" s="20"/>
      <c r="V436" s="20"/>
    </row>
    <row r="437" spans="5:22" ht="17.25" customHeight="1">
      <c r="E437" s="62"/>
      <c r="F437" s="58"/>
      <c r="G437" s="31"/>
      <c r="H437" s="20"/>
      <c r="I437" s="20"/>
      <c r="J437" s="20"/>
      <c r="K437" s="20"/>
      <c r="L437" s="20"/>
      <c r="M437" s="20"/>
      <c r="N437" s="20"/>
      <c r="O437" s="20"/>
      <c r="P437" s="20"/>
      <c r="Q437" s="20"/>
      <c r="R437" s="20"/>
      <c r="S437" s="20"/>
      <c r="T437" s="20"/>
      <c r="U437" s="20"/>
      <c r="V437" s="20"/>
    </row>
    <row r="438" spans="5:22" ht="17.25" customHeight="1">
      <c r="E438" s="62"/>
      <c r="F438" s="58"/>
      <c r="G438" s="31"/>
      <c r="H438" s="20"/>
      <c r="I438" s="20"/>
      <c r="J438" s="20"/>
      <c r="K438" s="20"/>
      <c r="L438" s="20"/>
      <c r="M438" s="20"/>
      <c r="N438" s="20"/>
      <c r="O438" s="20"/>
      <c r="P438" s="20"/>
      <c r="Q438" s="20"/>
      <c r="R438" s="20"/>
      <c r="S438" s="20"/>
      <c r="T438" s="20"/>
      <c r="U438" s="20"/>
      <c r="V438" s="20"/>
    </row>
    <row r="439" spans="5:22" ht="17.25" customHeight="1">
      <c r="E439" s="62"/>
      <c r="F439" s="58"/>
      <c r="G439" s="31"/>
      <c r="H439" s="20"/>
      <c r="I439" s="20"/>
      <c r="J439" s="20"/>
      <c r="K439" s="20"/>
      <c r="L439" s="20"/>
      <c r="M439" s="20"/>
      <c r="N439" s="20"/>
      <c r="O439" s="20"/>
      <c r="P439" s="20"/>
      <c r="Q439" s="20"/>
      <c r="R439" s="20"/>
      <c r="S439" s="20"/>
      <c r="T439" s="20"/>
      <c r="U439" s="20"/>
      <c r="V439" s="20"/>
    </row>
    <row r="440" spans="5:22" ht="17.25" customHeight="1">
      <c r="E440" s="62"/>
      <c r="F440" s="58"/>
      <c r="G440" s="31"/>
      <c r="H440" s="20"/>
      <c r="I440" s="20"/>
      <c r="J440" s="20"/>
      <c r="K440" s="20"/>
      <c r="L440" s="20"/>
      <c r="M440" s="20"/>
      <c r="N440" s="20"/>
      <c r="O440" s="20"/>
      <c r="P440" s="20"/>
      <c r="Q440" s="20"/>
      <c r="R440" s="20"/>
      <c r="S440" s="20"/>
      <c r="T440" s="20"/>
      <c r="U440" s="20"/>
      <c r="V440" s="20"/>
    </row>
    <row r="441" spans="5:22" ht="17.25" customHeight="1">
      <c r="E441" s="62"/>
      <c r="F441" s="58"/>
      <c r="G441" s="31"/>
      <c r="H441" s="20"/>
      <c r="I441" s="20"/>
      <c r="J441" s="20"/>
      <c r="K441" s="20"/>
      <c r="L441" s="20"/>
      <c r="M441" s="20"/>
      <c r="N441" s="20"/>
      <c r="O441" s="20"/>
      <c r="P441" s="20"/>
      <c r="Q441" s="20"/>
      <c r="R441" s="20"/>
      <c r="S441" s="20"/>
      <c r="T441" s="20"/>
      <c r="U441" s="20"/>
      <c r="V441" s="20"/>
    </row>
    <row r="442" spans="5:22" ht="17.25" customHeight="1">
      <c r="E442" s="62"/>
      <c r="F442" s="58"/>
      <c r="G442" s="31"/>
      <c r="H442" s="20"/>
      <c r="I442" s="20"/>
      <c r="J442" s="20"/>
      <c r="K442" s="20"/>
      <c r="L442" s="20"/>
      <c r="M442" s="20"/>
      <c r="N442" s="20"/>
      <c r="O442" s="20"/>
      <c r="P442" s="20"/>
      <c r="Q442" s="20"/>
      <c r="R442" s="20"/>
      <c r="S442" s="20"/>
      <c r="T442" s="20"/>
      <c r="U442" s="20"/>
      <c r="V442" s="20"/>
    </row>
    <row r="443" spans="5:22" ht="17.25" customHeight="1">
      <c r="E443" s="62"/>
      <c r="F443" s="58"/>
      <c r="G443" s="31"/>
      <c r="H443" s="20"/>
      <c r="I443" s="20"/>
      <c r="J443" s="20"/>
      <c r="K443" s="20"/>
      <c r="L443" s="20"/>
      <c r="M443" s="20"/>
      <c r="N443" s="20"/>
      <c r="O443" s="20"/>
      <c r="P443" s="20"/>
      <c r="Q443" s="20"/>
      <c r="R443" s="20"/>
      <c r="S443" s="20"/>
      <c r="T443" s="20"/>
      <c r="U443" s="20"/>
      <c r="V443" s="20"/>
    </row>
    <row r="444" spans="5:22" ht="17.25" customHeight="1">
      <c r="E444" s="62"/>
      <c r="F444" s="58"/>
      <c r="G444" s="31"/>
      <c r="H444" s="20"/>
      <c r="I444" s="20"/>
      <c r="J444" s="20"/>
      <c r="K444" s="20"/>
      <c r="L444" s="20"/>
      <c r="M444" s="20"/>
      <c r="N444" s="20"/>
      <c r="O444" s="20"/>
      <c r="P444" s="20"/>
      <c r="Q444" s="20"/>
      <c r="R444" s="20"/>
      <c r="S444" s="20"/>
      <c r="T444" s="20"/>
      <c r="U444" s="20"/>
      <c r="V444" s="20"/>
    </row>
    <row r="445" spans="5:22" ht="17.25" customHeight="1">
      <c r="E445" s="62"/>
      <c r="F445" s="58"/>
      <c r="G445" s="31"/>
      <c r="H445" s="20"/>
      <c r="I445" s="20"/>
      <c r="J445" s="20"/>
      <c r="K445" s="20"/>
      <c r="L445" s="20"/>
      <c r="M445" s="20"/>
      <c r="N445" s="20"/>
      <c r="O445" s="20"/>
      <c r="P445" s="20"/>
      <c r="Q445" s="20"/>
      <c r="R445" s="20"/>
      <c r="S445" s="20"/>
      <c r="T445" s="20"/>
      <c r="U445" s="20"/>
      <c r="V445" s="20"/>
    </row>
    <row r="446" spans="5:22" ht="17.25" customHeight="1">
      <c r="E446" s="62"/>
      <c r="F446" s="58"/>
      <c r="G446" s="31"/>
      <c r="H446" s="20"/>
      <c r="I446" s="20"/>
      <c r="J446" s="20"/>
      <c r="K446" s="20"/>
      <c r="L446" s="20"/>
      <c r="M446" s="20"/>
      <c r="N446" s="20"/>
      <c r="O446" s="20"/>
      <c r="P446" s="20"/>
      <c r="Q446" s="20"/>
      <c r="R446" s="20"/>
      <c r="S446" s="20"/>
      <c r="T446" s="20"/>
      <c r="U446" s="20"/>
      <c r="V446" s="20"/>
    </row>
    <row r="447" spans="5:22" ht="17.25" customHeight="1">
      <c r="E447" s="62"/>
      <c r="F447" s="58"/>
      <c r="G447" s="31"/>
      <c r="H447" s="20"/>
      <c r="I447" s="20"/>
      <c r="J447" s="20"/>
      <c r="K447" s="20"/>
      <c r="L447" s="20"/>
      <c r="M447" s="20"/>
      <c r="N447" s="20"/>
      <c r="O447" s="20"/>
      <c r="P447" s="20"/>
      <c r="Q447" s="20"/>
      <c r="R447" s="20"/>
      <c r="S447" s="20"/>
      <c r="T447" s="20"/>
      <c r="U447" s="20"/>
      <c r="V447" s="20"/>
    </row>
    <row r="448" spans="5:22" ht="17.25" customHeight="1">
      <c r="E448" s="62"/>
      <c r="F448" s="58"/>
      <c r="G448" s="31"/>
      <c r="H448" s="20"/>
      <c r="I448" s="20"/>
      <c r="J448" s="20"/>
      <c r="K448" s="20"/>
      <c r="L448" s="20"/>
      <c r="M448" s="20"/>
      <c r="N448" s="20"/>
      <c r="O448" s="20"/>
      <c r="P448" s="20"/>
      <c r="Q448" s="20"/>
      <c r="R448" s="20"/>
      <c r="S448" s="20"/>
      <c r="T448" s="20"/>
      <c r="U448" s="20"/>
      <c r="V448" s="20"/>
    </row>
    <row r="449" spans="5:22" ht="17.25" customHeight="1">
      <c r="E449" s="62"/>
      <c r="F449" s="58"/>
      <c r="G449" s="31"/>
      <c r="H449" s="20"/>
      <c r="I449" s="20"/>
      <c r="J449" s="20"/>
      <c r="K449" s="20"/>
      <c r="L449" s="20"/>
      <c r="M449" s="20"/>
      <c r="N449" s="20"/>
      <c r="O449" s="20"/>
      <c r="P449" s="20"/>
      <c r="Q449" s="20"/>
      <c r="R449" s="20"/>
      <c r="S449" s="20"/>
      <c r="T449" s="20"/>
      <c r="U449" s="20"/>
      <c r="V449" s="20"/>
    </row>
    <row r="450" spans="5:22" ht="17.25" customHeight="1">
      <c r="E450" s="62"/>
      <c r="F450" s="58"/>
      <c r="G450" s="31"/>
      <c r="H450" s="20"/>
      <c r="I450" s="20"/>
      <c r="J450" s="20"/>
      <c r="K450" s="20"/>
      <c r="L450" s="20"/>
      <c r="M450" s="20"/>
      <c r="N450" s="20"/>
      <c r="O450" s="20"/>
      <c r="P450" s="20"/>
      <c r="Q450" s="20"/>
      <c r="R450" s="20"/>
      <c r="S450" s="20"/>
      <c r="T450" s="20"/>
      <c r="U450" s="20"/>
      <c r="V450" s="20"/>
    </row>
    <row r="451" spans="5:22" ht="17.25" customHeight="1">
      <c r="E451" s="62"/>
      <c r="F451" s="58"/>
      <c r="G451" s="31"/>
      <c r="H451" s="20"/>
      <c r="I451" s="20"/>
      <c r="J451" s="20"/>
      <c r="K451" s="20"/>
      <c r="L451" s="20"/>
      <c r="M451" s="20"/>
      <c r="N451" s="20"/>
      <c r="O451" s="20"/>
      <c r="P451" s="20"/>
      <c r="Q451" s="20"/>
      <c r="R451" s="20"/>
      <c r="S451" s="20"/>
      <c r="T451" s="20"/>
      <c r="U451" s="20"/>
      <c r="V451" s="20"/>
    </row>
    <row r="452" spans="5:22" ht="17.25" customHeight="1">
      <c r="E452" s="62"/>
      <c r="F452" s="58"/>
      <c r="G452" s="31"/>
      <c r="H452" s="20"/>
      <c r="I452" s="20"/>
      <c r="J452" s="20"/>
      <c r="K452" s="20"/>
      <c r="L452" s="20"/>
      <c r="M452" s="20"/>
      <c r="N452" s="20"/>
      <c r="O452" s="20"/>
      <c r="P452" s="20"/>
      <c r="Q452" s="20"/>
      <c r="R452" s="20"/>
      <c r="S452" s="20"/>
      <c r="T452" s="20"/>
      <c r="U452" s="20"/>
      <c r="V452" s="20"/>
    </row>
    <row r="453" spans="5:22" ht="17.25" customHeight="1">
      <c r="E453" s="62"/>
      <c r="F453" s="58"/>
      <c r="G453" s="31"/>
      <c r="H453" s="20"/>
      <c r="I453" s="20"/>
      <c r="J453" s="20"/>
      <c r="K453" s="20"/>
      <c r="L453" s="20"/>
      <c r="M453" s="20"/>
      <c r="N453" s="20"/>
      <c r="O453" s="20"/>
      <c r="P453" s="20"/>
      <c r="Q453" s="20"/>
      <c r="R453" s="20"/>
      <c r="S453" s="20"/>
      <c r="T453" s="20"/>
      <c r="U453" s="20"/>
      <c r="V453" s="20"/>
    </row>
    <row r="454" spans="5:22" ht="17.25" customHeight="1">
      <c r="E454" s="62"/>
      <c r="F454" s="58"/>
      <c r="G454" s="31"/>
      <c r="H454" s="20"/>
      <c r="I454" s="20"/>
      <c r="J454" s="20"/>
      <c r="K454" s="20"/>
      <c r="L454" s="20"/>
      <c r="M454" s="20"/>
      <c r="N454" s="20"/>
      <c r="O454" s="20"/>
      <c r="P454" s="20"/>
      <c r="Q454" s="20"/>
      <c r="R454" s="20"/>
      <c r="S454" s="20"/>
      <c r="T454" s="20"/>
      <c r="U454" s="20"/>
      <c r="V454" s="20"/>
    </row>
    <row r="455" spans="5:22" ht="17.25" customHeight="1">
      <c r="E455" s="62"/>
      <c r="F455" s="58"/>
      <c r="G455" s="31"/>
      <c r="H455" s="20"/>
      <c r="I455" s="20"/>
      <c r="J455" s="20"/>
      <c r="K455" s="20"/>
      <c r="L455" s="20"/>
      <c r="M455" s="20"/>
      <c r="N455" s="20"/>
      <c r="O455" s="20"/>
      <c r="P455" s="20"/>
      <c r="Q455" s="20"/>
      <c r="R455" s="20"/>
      <c r="S455" s="20"/>
      <c r="T455" s="20"/>
      <c r="U455" s="20"/>
      <c r="V455" s="20"/>
    </row>
    <row r="456" spans="5:22" ht="17.25" customHeight="1">
      <c r="E456" s="62"/>
      <c r="F456" s="58"/>
      <c r="G456" s="31"/>
      <c r="H456" s="20"/>
      <c r="I456" s="20"/>
      <c r="J456" s="20"/>
      <c r="K456" s="20"/>
      <c r="L456" s="20"/>
      <c r="M456" s="20"/>
      <c r="N456" s="20"/>
      <c r="O456" s="20"/>
      <c r="P456" s="20"/>
      <c r="Q456" s="20"/>
      <c r="R456" s="20"/>
      <c r="S456" s="20"/>
      <c r="T456" s="20"/>
      <c r="U456" s="20"/>
      <c r="V456" s="20"/>
    </row>
    <row r="457" spans="5:22" ht="17.25" customHeight="1">
      <c r="E457" s="62"/>
      <c r="F457" s="58"/>
      <c r="G457" s="31"/>
      <c r="H457" s="20"/>
      <c r="I457" s="20"/>
      <c r="J457" s="20"/>
      <c r="K457" s="20"/>
      <c r="L457" s="20"/>
      <c r="M457" s="20"/>
      <c r="N457" s="20"/>
      <c r="O457" s="20"/>
      <c r="P457" s="20"/>
      <c r="Q457" s="20"/>
      <c r="R457" s="20"/>
      <c r="S457" s="20"/>
      <c r="T457" s="20"/>
      <c r="U457" s="20"/>
      <c r="V457" s="20"/>
    </row>
    <row r="458" spans="5:22" ht="17.25" customHeight="1">
      <c r="E458" s="62"/>
      <c r="F458" s="58"/>
      <c r="G458" s="31"/>
      <c r="H458" s="20"/>
      <c r="I458" s="20"/>
      <c r="J458" s="20"/>
      <c r="K458" s="20"/>
      <c r="L458" s="20"/>
      <c r="M458" s="20"/>
      <c r="N458" s="20"/>
      <c r="O458" s="20"/>
      <c r="P458" s="20"/>
      <c r="Q458" s="20"/>
      <c r="R458" s="20"/>
      <c r="S458" s="20"/>
      <c r="T458" s="20"/>
      <c r="U458" s="20"/>
      <c r="V458" s="20"/>
    </row>
    <row r="459" spans="5:22" ht="17.25" customHeight="1">
      <c r="E459" s="62"/>
      <c r="F459" s="58"/>
      <c r="G459" s="31"/>
      <c r="H459" s="20"/>
      <c r="I459" s="20"/>
      <c r="J459" s="20"/>
      <c r="K459" s="20"/>
      <c r="L459" s="20"/>
      <c r="M459" s="20"/>
      <c r="N459" s="20"/>
      <c r="O459" s="20"/>
      <c r="P459" s="20"/>
      <c r="Q459" s="20"/>
      <c r="R459" s="20"/>
      <c r="S459" s="20"/>
      <c r="T459" s="20"/>
      <c r="U459" s="20"/>
      <c r="V459" s="20"/>
    </row>
    <row r="460" spans="5:22" ht="17.25" customHeight="1">
      <c r="E460" s="62"/>
      <c r="F460" s="58"/>
      <c r="G460" s="31"/>
      <c r="H460" s="20"/>
      <c r="I460" s="20"/>
      <c r="J460" s="20"/>
      <c r="K460" s="20"/>
      <c r="L460" s="20"/>
      <c r="M460" s="20"/>
      <c r="N460" s="20"/>
      <c r="O460" s="20"/>
      <c r="P460" s="20"/>
      <c r="Q460" s="20"/>
      <c r="R460" s="20"/>
      <c r="S460" s="20"/>
      <c r="T460" s="20"/>
      <c r="U460" s="20"/>
      <c r="V460" s="20"/>
    </row>
    <row r="461" spans="5:22" ht="17.25" customHeight="1">
      <c r="E461" s="62"/>
      <c r="F461" s="58"/>
      <c r="G461" s="31"/>
      <c r="H461" s="20"/>
      <c r="I461" s="20"/>
      <c r="J461" s="20"/>
      <c r="K461" s="20"/>
      <c r="L461" s="20"/>
      <c r="M461" s="20"/>
      <c r="N461" s="20"/>
      <c r="O461" s="20"/>
      <c r="P461" s="20"/>
      <c r="Q461" s="20"/>
      <c r="R461" s="20"/>
      <c r="S461" s="20"/>
      <c r="T461" s="20"/>
      <c r="U461" s="20"/>
      <c r="V461" s="20"/>
    </row>
    <row r="462" spans="5:22" ht="17.25" customHeight="1">
      <c r="E462" s="62"/>
      <c r="F462" s="58"/>
      <c r="G462" s="31"/>
      <c r="H462" s="20"/>
      <c r="I462" s="20"/>
      <c r="J462" s="20"/>
      <c r="K462" s="20"/>
      <c r="L462" s="20"/>
      <c r="M462" s="20"/>
      <c r="N462" s="20"/>
      <c r="O462" s="20"/>
      <c r="P462" s="20"/>
      <c r="Q462" s="20"/>
      <c r="R462" s="20"/>
      <c r="S462" s="20"/>
      <c r="T462" s="20"/>
      <c r="U462" s="20"/>
      <c r="V462" s="20"/>
    </row>
    <row r="463" spans="5:22" ht="17.25" customHeight="1">
      <c r="E463" s="62"/>
      <c r="F463" s="58"/>
      <c r="G463" s="31"/>
      <c r="H463" s="20"/>
      <c r="I463" s="20"/>
      <c r="J463" s="20"/>
      <c r="K463" s="20"/>
      <c r="L463" s="20"/>
      <c r="M463" s="20"/>
      <c r="N463" s="20"/>
      <c r="O463" s="20"/>
      <c r="P463" s="20"/>
      <c r="Q463" s="20"/>
      <c r="R463" s="20"/>
      <c r="S463" s="20"/>
      <c r="T463" s="20"/>
      <c r="U463" s="20"/>
      <c r="V463" s="20"/>
    </row>
    <row r="464" spans="5:22" ht="17.25" customHeight="1">
      <c r="E464" s="62"/>
      <c r="F464" s="58"/>
      <c r="G464" s="31"/>
      <c r="H464" s="20"/>
      <c r="I464" s="20"/>
      <c r="J464" s="20"/>
      <c r="K464" s="20"/>
      <c r="L464" s="20"/>
      <c r="M464" s="20"/>
      <c r="N464" s="20"/>
      <c r="O464" s="20"/>
      <c r="P464" s="20"/>
      <c r="Q464" s="20"/>
      <c r="R464" s="20"/>
      <c r="S464" s="20"/>
      <c r="T464" s="20"/>
      <c r="U464" s="20"/>
      <c r="V464" s="20"/>
    </row>
    <row r="465" spans="5:22" ht="17.25" customHeight="1">
      <c r="E465" s="62"/>
      <c r="F465" s="58"/>
      <c r="G465" s="31"/>
      <c r="H465" s="20"/>
      <c r="I465" s="20"/>
      <c r="J465" s="20"/>
      <c r="K465" s="20"/>
      <c r="L465" s="20"/>
      <c r="M465" s="20"/>
      <c r="N465" s="20"/>
      <c r="O465" s="20"/>
      <c r="P465" s="20"/>
      <c r="Q465" s="20"/>
      <c r="R465" s="20"/>
      <c r="S465" s="20"/>
      <c r="T465" s="20"/>
      <c r="U465" s="20"/>
      <c r="V465" s="20"/>
    </row>
    <row r="466" spans="5:22" ht="17.25" customHeight="1">
      <c r="E466" s="62"/>
      <c r="F466" s="58"/>
      <c r="G466" s="31"/>
      <c r="H466" s="20"/>
      <c r="I466" s="20"/>
      <c r="J466" s="20"/>
      <c r="K466" s="20"/>
      <c r="L466" s="20"/>
      <c r="M466" s="20"/>
      <c r="N466" s="20"/>
      <c r="O466" s="20"/>
      <c r="P466" s="20"/>
      <c r="Q466" s="20"/>
      <c r="R466" s="20"/>
      <c r="S466" s="20"/>
      <c r="T466" s="20"/>
      <c r="U466" s="20"/>
      <c r="V466" s="20"/>
    </row>
    <row r="467" spans="5:22" ht="17.25" customHeight="1">
      <c r="E467" s="62"/>
      <c r="F467" s="58"/>
      <c r="G467" s="31"/>
      <c r="H467" s="20"/>
      <c r="I467" s="20"/>
      <c r="J467" s="20"/>
      <c r="K467" s="20"/>
      <c r="L467" s="20"/>
      <c r="M467" s="20"/>
      <c r="N467" s="20"/>
      <c r="O467" s="20"/>
      <c r="P467" s="20"/>
      <c r="Q467" s="20"/>
      <c r="R467" s="20"/>
      <c r="S467" s="20"/>
      <c r="T467" s="20"/>
      <c r="U467" s="20"/>
      <c r="V467" s="20"/>
    </row>
    <row r="468" spans="5:22" ht="17.25" customHeight="1">
      <c r="E468" s="62"/>
      <c r="F468" s="58"/>
      <c r="G468" s="31"/>
      <c r="H468" s="20"/>
      <c r="I468" s="20"/>
      <c r="J468" s="20"/>
      <c r="K468" s="20"/>
      <c r="L468" s="20"/>
      <c r="M468" s="20"/>
      <c r="N468" s="20"/>
      <c r="O468" s="20"/>
      <c r="P468" s="20"/>
      <c r="Q468" s="20"/>
      <c r="R468" s="20"/>
      <c r="S468" s="20"/>
      <c r="T468" s="20"/>
      <c r="U468" s="20"/>
      <c r="V468" s="20"/>
    </row>
    <row r="469" spans="5:22" ht="17.25" customHeight="1">
      <c r="E469" s="62"/>
      <c r="F469" s="58"/>
      <c r="G469" s="31"/>
      <c r="H469" s="20"/>
      <c r="I469" s="20"/>
      <c r="J469" s="20"/>
      <c r="K469" s="20"/>
      <c r="L469" s="20"/>
      <c r="M469" s="20"/>
      <c r="N469" s="20"/>
      <c r="O469" s="20"/>
      <c r="P469" s="20"/>
      <c r="Q469" s="20"/>
      <c r="R469" s="20"/>
      <c r="S469" s="20"/>
      <c r="T469" s="20"/>
      <c r="U469" s="20"/>
      <c r="V469" s="20"/>
    </row>
    <row r="470" spans="5:22" ht="17.25" customHeight="1">
      <c r="E470" s="62"/>
      <c r="F470" s="58"/>
      <c r="G470" s="31"/>
      <c r="H470" s="20"/>
      <c r="I470" s="20"/>
      <c r="J470" s="20"/>
      <c r="K470" s="20"/>
      <c r="L470" s="20"/>
      <c r="M470" s="20"/>
      <c r="N470" s="20"/>
      <c r="O470" s="20"/>
      <c r="P470" s="20"/>
      <c r="Q470" s="20"/>
      <c r="R470" s="20"/>
      <c r="S470" s="20"/>
      <c r="T470" s="20"/>
      <c r="U470" s="20"/>
      <c r="V470" s="20"/>
    </row>
    <row r="471" spans="5:22" ht="17.25" customHeight="1">
      <c r="E471" s="62"/>
      <c r="F471" s="58"/>
      <c r="G471" s="31"/>
      <c r="H471" s="20"/>
      <c r="I471" s="20"/>
      <c r="J471" s="20"/>
      <c r="K471" s="20"/>
      <c r="L471" s="20"/>
      <c r="M471" s="20"/>
      <c r="N471" s="20"/>
      <c r="O471" s="20"/>
      <c r="P471" s="20"/>
      <c r="Q471" s="20"/>
      <c r="R471" s="20"/>
      <c r="S471" s="20"/>
      <c r="T471" s="20"/>
      <c r="U471" s="20"/>
      <c r="V471" s="20"/>
    </row>
    <row r="472" spans="5:22" ht="17.25" customHeight="1">
      <c r="E472" s="62"/>
      <c r="F472" s="58"/>
      <c r="G472" s="31"/>
      <c r="H472" s="20"/>
      <c r="I472" s="20"/>
      <c r="J472" s="20"/>
      <c r="K472" s="20"/>
      <c r="L472" s="20"/>
      <c r="M472" s="20"/>
      <c r="N472" s="20"/>
      <c r="O472" s="20"/>
      <c r="P472" s="20"/>
      <c r="Q472" s="20"/>
      <c r="R472" s="20"/>
      <c r="S472" s="20"/>
      <c r="T472" s="20"/>
      <c r="U472" s="20"/>
      <c r="V472" s="20"/>
    </row>
    <row r="473" spans="5:22" ht="17.25" customHeight="1">
      <c r="E473" s="62"/>
      <c r="F473" s="58"/>
      <c r="G473" s="31"/>
      <c r="H473" s="20"/>
      <c r="I473" s="20"/>
      <c r="J473" s="20"/>
      <c r="K473" s="20"/>
      <c r="L473" s="20"/>
      <c r="M473" s="20"/>
      <c r="N473" s="20"/>
      <c r="O473" s="20"/>
      <c r="P473" s="20"/>
      <c r="Q473" s="20"/>
      <c r="R473" s="20"/>
      <c r="S473" s="20"/>
      <c r="T473" s="20"/>
      <c r="U473" s="20"/>
      <c r="V473" s="20"/>
    </row>
    <row r="474" spans="5:22" ht="17.25" customHeight="1">
      <c r="E474" s="62"/>
      <c r="F474" s="58"/>
      <c r="G474" s="31"/>
      <c r="H474" s="20"/>
      <c r="I474" s="20"/>
      <c r="J474" s="20"/>
      <c r="K474" s="20"/>
      <c r="L474" s="20"/>
      <c r="M474" s="20"/>
      <c r="N474" s="20"/>
      <c r="O474" s="20"/>
      <c r="P474" s="20"/>
      <c r="Q474" s="20"/>
      <c r="R474" s="20"/>
      <c r="S474" s="20"/>
      <c r="T474" s="20"/>
      <c r="U474" s="20"/>
      <c r="V474" s="20"/>
    </row>
    <row r="475" spans="5:22" ht="17.25" customHeight="1">
      <c r="E475" s="62"/>
      <c r="F475" s="58"/>
      <c r="G475" s="31"/>
      <c r="H475" s="20"/>
      <c r="I475" s="20"/>
      <c r="J475" s="20"/>
      <c r="K475" s="20"/>
      <c r="L475" s="20"/>
      <c r="M475" s="20"/>
      <c r="N475" s="20"/>
      <c r="O475" s="20"/>
      <c r="P475" s="20"/>
      <c r="Q475" s="20"/>
      <c r="R475" s="20"/>
      <c r="S475" s="20"/>
      <c r="T475" s="20"/>
      <c r="U475" s="20"/>
      <c r="V475" s="20"/>
    </row>
    <row r="476" spans="5:22" ht="17.25" customHeight="1">
      <c r="E476" s="62"/>
      <c r="F476" s="58"/>
      <c r="G476" s="31"/>
      <c r="H476" s="20"/>
      <c r="I476" s="20"/>
      <c r="J476" s="20"/>
      <c r="K476" s="20"/>
      <c r="L476" s="20"/>
      <c r="M476" s="20"/>
      <c r="N476" s="20"/>
      <c r="O476" s="20"/>
      <c r="P476" s="20"/>
      <c r="Q476" s="20"/>
      <c r="R476" s="20"/>
      <c r="S476" s="20"/>
      <c r="T476" s="20"/>
      <c r="U476" s="20"/>
      <c r="V476" s="20"/>
    </row>
    <row r="477" spans="5:22" ht="17.25" customHeight="1">
      <c r="E477" s="62"/>
      <c r="F477" s="58"/>
      <c r="G477" s="31"/>
      <c r="H477" s="20"/>
      <c r="I477" s="20"/>
      <c r="J477" s="20"/>
      <c r="K477" s="20"/>
      <c r="L477" s="20"/>
      <c r="M477" s="20"/>
      <c r="N477" s="20"/>
      <c r="O477" s="20"/>
      <c r="P477" s="20"/>
      <c r="Q477" s="20"/>
      <c r="R477" s="20"/>
      <c r="S477" s="20"/>
      <c r="T477" s="20"/>
      <c r="U477" s="20"/>
      <c r="V477" s="20"/>
    </row>
    <row r="478" spans="5:22" ht="17.25" customHeight="1">
      <c r="E478" s="62"/>
      <c r="F478" s="58"/>
      <c r="G478" s="31"/>
      <c r="H478" s="20"/>
      <c r="I478" s="20"/>
      <c r="J478" s="20"/>
      <c r="K478" s="20"/>
      <c r="L478" s="20"/>
      <c r="M478" s="20"/>
      <c r="N478" s="20"/>
      <c r="O478" s="20"/>
      <c r="P478" s="20"/>
      <c r="Q478" s="20"/>
      <c r="R478" s="20"/>
      <c r="S478" s="20"/>
      <c r="T478" s="20"/>
      <c r="U478" s="20"/>
      <c r="V478" s="20"/>
    </row>
    <row r="479" spans="5:22" ht="17.25" customHeight="1">
      <c r="E479" s="62"/>
      <c r="F479" s="58"/>
      <c r="G479" s="31"/>
      <c r="H479" s="20"/>
      <c r="I479" s="20"/>
      <c r="J479" s="20"/>
      <c r="K479" s="20"/>
      <c r="L479" s="20"/>
      <c r="M479" s="20"/>
      <c r="N479" s="20"/>
      <c r="O479" s="20"/>
      <c r="P479" s="20"/>
      <c r="Q479" s="20"/>
      <c r="R479" s="20"/>
      <c r="S479" s="20"/>
      <c r="T479" s="20"/>
      <c r="U479" s="20"/>
      <c r="V479" s="20"/>
    </row>
    <row r="480" spans="5:22" ht="17.25" customHeight="1">
      <c r="E480" s="62"/>
      <c r="F480" s="58"/>
      <c r="G480" s="31"/>
      <c r="H480" s="20"/>
      <c r="I480" s="20"/>
      <c r="J480" s="20"/>
      <c r="K480" s="20"/>
      <c r="L480" s="20"/>
      <c r="M480" s="20"/>
      <c r="N480" s="20"/>
      <c r="O480" s="20"/>
      <c r="P480" s="20"/>
      <c r="Q480" s="20"/>
      <c r="R480" s="20"/>
      <c r="S480" s="20"/>
      <c r="T480" s="20"/>
      <c r="U480" s="20"/>
      <c r="V480" s="20"/>
    </row>
    <row r="481" spans="5:22" ht="17.25" customHeight="1">
      <c r="E481" s="62"/>
      <c r="F481" s="58"/>
      <c r="G481" s="31"/>
      <c r="H481" s="20"/>
      <c r="I481" s="20"/>
      <c r="J481" s="20"/>
      <c r="K481" s="20"/>
      <c r="L481" s="20"/>
      <c r="M481" s="20"/>
      <c r="N481" s="20"/>
      <c r="O481" s="20"/>
      <c r="P481" s="20"/>
      <c r="Q481" s="20"/>
      <c r="R481" s="20"/>
      <c r="S481" s="20"/>
      <c r="T481" s="20"/>
      <c r="U481" s="20"/>
      <c r="V481" s="20"/>
    </row>
    <row r="482" spans="5:22" ht="17.25" customHeight="1">
      <c r="E482" s="62"/>
      <c r="F482" s="58"/>
      <c r="G482" s="31"/>
      <c r="H482" s="20"/>
      <c r="I482" s="20"/>
      <c r="J482" s="20"/>
      <c r="K482" s="20"/>
      <c r="L482" s="20"/>
      <c r="M482" s="20"/>
      <c r="N482" s="20"/>
      <c r="O482" s="20"/>
      <c r="P482" s="20"/>
      <c r="Q482" s="20"/>
      <c r="R482" s="20"/>
      <c r="S482" s="20"/>
      <c r="T482" s="20"/>
      <c r="U482" s="20"/>
      <c r="V482" s="20"/>
    </row>
    <row r="483" spans="5:22" ht="17.25" customHeight="1">
      <c r="E483" s="62"/>
      <c r="F483" s="58"/>
      <c r="G483" s="31"/>
      <c r="H483" s="20"/>
      <c r="I483" s="20"/>
      <c r="J483" s="20"/>
      <c r="K483" s="20"/>
      <c r="L483" s="20"/>
      <c r="M483" s="20"/>
      <c r="N483" s="20"/>
      <c r="O483" s="20"/>
      <c r="P483" s="20"/>
      <c r="Q483" s="20"/>
      <c r="R483" s="20"/>
      <c r="S483" s="20"/>
      <c r="T483" s="20"/>
      <c r="U483" s="20"/>
      <c r="V483" s="20"/>
    </row>
    <row r="484" spans="5:22" ht="17.25" customHeight="1">
      <c r="E484" s="62"/>
      <c r="F484" s="58"/>
      <c r="G484" s="31"/>
      <c r="H484" s="20"/>
      <c r="I484" s="20"/>
      <c r="J484" s="20"/>
      <c r="K484" s="20"/>
      <c r="L484" s="20"/>
      <c r="M484" s="20"/>
      <c r="N484" s="20"/>
      <c r="O484" s="20"/>
      <c r="P484" s="20"/>
      <c r="Q484" s="20"/>
      <c r="R484" s="20"/>
      <c r="S484" s="20"/>
      <c r="T484" s="20"/>
      <c r="U484" s="20"/>
      <c r="V484" s="20"/>
    </row>
    <row r="485" spans="5:22" ht="17.25" customHeight="1">
      <c r="E485" s="62"/>
      <c r="F485" s="58"/>
      <c r="G485" s="31"/>
      <c r="H485" s="20"/>
      <c r="I485" s="20"/>
      <c r="J485" s="20"/>
      <c r="K485" s="20"/>
      <c r="L485" s="20"/>
      <c r="M485" s="20"/>
      <c r="N485" s="20"/>
      <c r="O485" s="20"/>
      <c r="P485" s="20"/>
      <c r="Q485" s="20"/>
      <c r="R485" s="20"/>
      <c r="S485" s="20"/>
      <c r="T485" s="20"/>
      <c r="U485" s="20"/>
      <c r="V485" s="20"/>
    </row>
    <row r="486" spans="5:22" ht="17.25" customHeight="1">
      <c r="E486" s="62"/>
      <c r="F486" s="58"/>
      <c r="G486" s="31"/>
      <c r="H486" s="20"/>
      <c r="I486" s="20"/>
      <c r="J486" s="20"/>
      <c r="K486" s="20"/>
      <c r="L486" s="20"/>
      <c r="M486" s="20"/>
      <c r="N486" s="20"/>
      <c r="O486" s="20"/>
      <c r="P486" s="20"/>
      <c r="Q486" s="20"/>
      <c r="R486" s="20"/>
      <c r="S486" s="20"/>
      <c r="T486" s="20"/>
      <c r="U486" s="20"/>
      <c r="V486" s="20"/>
    </row>
    <row r="487" spans="5:22" ht="17.25" customHeight="1">
      <c r="E487" s="62"/>
      <c r="F487" s="58"/>
      <c r="G487" s="31"/>
      <c r="H487" s="20"/>
      <c r="I487" s="20"/>
      <c r="J487" s="20"/>
      <c r="K487" s="20"/>
      <c r="L487" s="20"/>
      <c r="M487" s="20"/>
      <c r="N487" s="20"/>
      <c r="O487" s="20"/>
      <c r="P487" s="20"/>
      <c r="Q487" s="20"/>
      <c r="R487" s="20"/>
      <c r="S487" s="20"/>
      <c r="T487" s="20"/>
      <c r="U487" s="20"/>
      <c r="V487" s="20"/>
    </row>
    <row r="488" spans="5:22" ht="17.25" customHeight="1">
      <c r="E488" s="62"/>
      <c r="F488" s="58"/>
      <c r="G488" s="31"/>
      <c r="H488" s="20"/>
      <c r="I488" s="20"/>
      <c r="J488" s="20"/>
      <c r="K488" s="20"/>
      <c r="L488" s="20"/>
      <c r="M488" s="20"/>
      <c r="N488" s="20"/>
      <c r="O488" s="20"/>
      <c r="P488" s="20"/>
      <c r="Q488" s="20"/>
      <c r="R488" s="20"/>
      <c r="S488" s="20"/>
      <c r="T488" s="20"/>
      <c r="U488" s="20"/>
      <c r="V488" s="20"/>
    </row>
    <row r="489" spans="5:22" ht="17.25" customHeight="1">
      <c r="E489" s="62"/>
      <c r="F489" s="58"/>
      <c r="G489" s="31"/>
      <c r="H489" s="20"/>
      <c r="I489" s="20"/>
      <c r="J489" s="20"/>
      <c r="K489" s="20"/>
      <c r="L489" s="20"/>
      <c r="M489" s="20"/>
      <c r="N489" s="20"/>
      <c r="O489" s="20"/>
      <c r="P489" s="20"/>
      <c r="Q489" s="20"/>
      <c r="R489" s="20"/>
      <c r="S489" s="20"/>
      <c r="T489" s="20"/>
      <c r="U489" s="20"/>
      <c r="V489" s="20"/>
    </row>
    <row r="490" spans="5:22" ht="17.25" customHeight="1">
      <c r="E490" s="62"/>
      <c r="F490" s="58"/>
      <c r="G490" s="31"/>
      <c r="H490" s="20"/>
      <c r="I490" s="20"/>
      <c r="J490" s="20"/>
      <c r="K490" s="20"/>
      <c r="L490" s="20"/>
      <c r="M490" s="20"/>
      <c r="N490" s="20"/>
      <c r="O490" s="20"/>
      <c r="P490" s="20"/>
      <c r="Q490" s="20"/>
      <c r="R490" s="20"/>
      <c r="S490" s="20"/>
      <c r="T490" s="20"/>
      <c r="U490" s="20"/>
      <c r="V490" s="20"/>
    </row>
    <row r="491" spans="5:22" ht="17.25" customHeight="1">
      <c r="E491" s="62"/>
      <c r="F491" s="58"/>
      <c r="G491" s="31"/>
      <c r="H491" s="20"/>
      <c r="I491" s="20"/>
      <c r="J491" s="20"/>
      <c r="K491" s="20"/>
      <c r="L491" s="20"/>
      <c r="M491" s="20"/>
      <c r="N491" s="20"/>
      <c r="O491" s="20"/>
      <c r="P491" s="20"/>
      <c r="Q491" s="20"/>
      <c r="R491" s="20"/>
      <c r="S491" s="20"/>
      <c r="T491" s="20"/>
      <c r="U491" s="20"/>
      <c r="V491" s="20"/>
    </row>
    <row r="492" spans="5:22" ht="17.25" customHeight="1">
      <c r="E492" s="62"/>
      <c r="F492" s="58"/>
      <c r="G492" s="31"/>
      <c r="H492" s="20"/>
      <c r="I492" s="20"/>
      <c r="J492" s="20"/>
      <c r="K492" s="20"/>
      <c r="L492" s="20"/>
      <c r="M492" s="20"/>
      <c r="N492" s="20"/>
      <c r="O492" s="20"/>
      <c r="P492" s="20"/>
      <c r="Q492" s="20"/>
      <c r="R492" s="20"/>
      <c r="S492" s="20"/>
      <c r="T492" s="20"/>
      <c r="U492" s="20"/>
      <c r="V492" s="20"/>
    </row>
    <row r="493" spans="5:22" ht="17.25" customHeight="1">
      <c r="E493" s="62"/>
      <c r="F493" s="58"/>
      <c r="G493" s="31"/>
      <c r="H493" s="20"/>
      <c r="I493" s="20"/>
      <c r="J493" s="20"/>
      <c r="K493" s="20"/>
      <c r="L493" s="20"/>
      <c r="M493" s="20"/>
      <c r="N493" s="20"/>
      <c r="O493" s="20"/>
      <c r="P493" s="20"/>
      <c r="Q493" s="20"/>
      <c r="R493" s="20"/>
      <c r="S493" s="20"/>
      <c r="T493" s="20"/>
      <c r="U493" s="20"/>
      <c r="V493" s="20"/>
    </row>
    <row r="494" spans="5:22" ht="17.25" customHeight="1">
      <c r="E494" s="62"/>
      <c r="F494" s="58"/>
      <c r="G494" s="31"/>
      <c r="H494" s="20"/>
      <c r="I494" s="20"/>
      <c r="J494" s="20"/>
      <c r="K494" s="20"/>
      <c r="L494" s="20"/>
      <c r="M494" s="20"/>
      <c r="N494" s="20"/>
      <c r="O494" s="20"/>
      <c r="P494" s="20"/>
      <c r="Q494" s="20"/>
      <c r="R494" s="20"/>
      <c r="S494" s="20"/>
      <c r="T494" s="20"/>
      <c r="U494" s="20"/>
      <c r="V494" s="20"/>
    </row>
    <row r="495" spans="5:22" ht="17.25" customHeight="1">
      <c r="E495" s="62"/>
      <c r="F495" s="58"/>
      <c r="G495" s="31"/>
      <c r="H495" s="20"/>
      <c r="I495" s="20"/>
      <c r="J495" s="20"/>
      <c r="K495" s="20"/>
      <c r="L495" s="20"/>
      <c r="M495" s="20"/>
      <c r="N495" s="20"/>
      <c r="O495" s="20"/>
      <c r="P495" s="20"/>
      <c r="Q495" s="20"/>
      <c r="R495" s="20"/>
      <c r="S495" s="20"/>
      <c r="T495" s="20"/>
      <c r="U495" s="20"/>
      <c r="V495" s="20"/>
    </row>
    <row r="496" spans="5:22" ht="17.25" customHeight="1">
      <c r="E496" s="62"/>
      <c r="F496" s="58"/>
      <c r="G496" s="31"/>
      <c r="H496" s="20"/>
      <c r="I496" s="20"/>
      <c r="J496" s="20"/>
      <c r="K496" s="20"/>
      <c r="L496" s="20"/>
      <c r="M496" s="20"/>
      <c r="N496" s="20"/>
      <c r="O496" s="20"/>
      <c r="P496" s="20"/>
      <c r="Q496" s="20"/>
      <c r="R496" s="20"/>
      <c r="S496" s="20"/>
      <c r="T496" s="20"/>
      <c r="U496" s="20"/>
      <c r="V496" s="20"/>
    </row>
    <row r="497" spans="5:22" ht="17.25" customHeight="1">
      <c r="E497" s="62"/>
      <c r="F497" s="58"/>
      <c r="G497" s="31"/>
      <c r="H497" s="20"/>
      <c r="I497" s="20"/>
      <c r="J497" s="20"/>
      <c r="K497" s="20"/>
      <c r="L497" s="20"/>
      <c r="M497" s="20"/>
      <c r="N497" s="20"/>
      <c r="O497" s="20"/>
      <c r="P497" s="20"/>
      <c r="Q497" s="20"/>
      <c r="R497" s="20"/>
      <c r="S497" s="20"/>
      <c r="T497" s="20"/>
      <c r="U497" s="20"/>
      <c r="V497" s="20"/>
    </row>
    <row r="498" spans="5:22" ht="17.25" customHeight="1">
      <c r="E498" s="62"/>
      <c r="F498" s="58"/>
      <c r="G498" s="31"/>
      <c r="H498" s="20"/>
      <c r="I498" s="20"/>
      <c r="J498" s="20"/>
      <c r="K498" s="20"/>
      <c r="L498" s="20"/>
      <c r="M498" s="20"/>
      <c r="N498" s="20"/>
      <c r="O498" s="20"/>
      <c r="P498" s="20"/>
      <c r="Q498" s="20"/>
      <c r="R498" s="20"/>
      <c r="S498" s="20"/>
      <c r="T498" s="20"/>
      <c r="U498" s="20"/>
      <c r="V498" s="20"/>
    </row>
    <row r="499" spans="5:22" ht="17.25" customHeight="1">
      <c r="E499" s="62"/>
      <c r="F499" s="58"/>
      <c r="G499" s="31"/>
      <c r="H499" s="20"/>
      <c r="I499" s="20"/>
      <c r="J499" s="20"/>
      <c r="K499" s="20"/>
      <c r="L499" s="20"/>
      <c r="M499" s="20"/>
      <c r="N499" s="20"/>
      <c r="O499" s="20"/>
      <c r="P499" s="20"/>
      <c r="Q499" s="20"/>
      <c r="R499" s="20"/>
      <c r="S499" s="20"/>
      <c r="T499" s="20"/>
      <c r="U499" s="20"/>
      <c r="V499" s="20"/>
    </row>
    <row r="500" spans="5:22" ht="17.25" customHeight="1">
      <c r="E500" s="62"/>
      <c r="F500" s="58"/>
      <c r="G500" s="31"/>
      <c r="H500" s="20"/>
      <c r="I500" s="20"/>
      <c r="J500" s="20"/>
      <c r="K500" s="20"/>
      <c r="L500" s="20"/>
      <c r="M500" s="20"/>
      <c r="N500" s="20"/>
      <c r="O500" s="20"/>
      <c r="P500" s="20"/>
      <c r="Q500" s="20"/>
      <c r="R500" s="20"/>
      <c r="S500" s="20"/>
      <c r="T500" s="20"/>
      <c r="U500" s="20"/>
      <c r="V500" s="20"/>
    </row>
    <row r="501" spans="5:22" ht="17.25" customHeight="1">
      <c r="E501" s="62"/>
      <c r="F501" s="58"/>
      <c r="G501" s="31"/>
      <c r="H501" s="20"/>
      <c r="I501" s="20"/>
      <c r="J501" s="20"/>
      <c r="K501" s="20"/>
      <c r="L501" s="20"/>
      <c r="M501" s="20"/>
      <c r="N501" s="20"/>
      <c r="O501" s="20"/>
      <c r="P501" s="20"/>
      <c r="Q501" s="20"/>
      <c r="R501" s="20"/>
      <c r="S501" s="20"/>
      <c r="T501" s="20"/>
      <c r="U501" s="20"/>
      <c r="V501" s="20"/>
    </row>
    <row r="502" spans="5:22" ht="17.25" customHeight="1">
      <c r="E502" s="62"/>
      <c r="F502" s="58"/>
      <c r="G502" s="31"/>
      <c r="H502" s="20"/>
      <c r="I502" s="20"/>
      <c r="J502" s="20"/>
      <c r="K502" s="20"/>
      <c r="L502" s="20"/>
      <c r="M502" s="20"/>
      <c r="N502" s="20"/>
      <c r="O502" s="20"/>
      <c r="P502" s="20"/>
      <c r="Q502" s="20"/>
      <c r="R502" s="20"/>
      <c r="S502" s="20"/>
      <c r="T502" s="20"/>
      <c r="U502" s="20"/>
      <c r="V502" s="20"/>
    </row>
    <row r="503" spans="5:22" ht="17.25" customHeight="1">
      <c r="E503" s="62"/>
      <c r="F503" s="58"/>
      <c r="G503" s="31"/>
      <c r="H503" s="20"/>
      <c r="I503" s="20"/>
      <c r="J503" s="20"/>
      <c r="K503" s="20"/>
      <c r="L503" s="20"/>
      <c r="M503" s="20"/>
      <c r="N503" s="20"/>
      <c r="O503" s="20"/>
      <c r="P503" s="20"/>
      <c r="Q503" s="20"/>
      <c r="R503" s="20"/>
      <c r="S503" s="20"/>
      <c r="T503" s="20"/>
      <c r="U503" s="20"/>
      <c r="V503" s="20"/>
    </row>
    <row r="504" spans="5:22" ht="17.25" customHeight="1">
      <c r="E504" s="62"/>
      <c r="F504" s="58"/>
      <c r="G504" s="31"/>
      <c r="H504" s="20"/>
      <c r="I504" s="20"/>
      <c r="J504" s="20"/>
      <c r="K504" s="20"/>
      <c r="L504" s="20"/>
      <c r="M504" s="20"/>
      <c r="N504" s="20"/>
      <c r="O504" s="20"/>
      <c r="P504" s="20"/>
      <c r="Q504" s="20"/>
      <c r="R504" s="20"/>
      <c r="S504" s="20"/>
      <c r="T504" s="20"/>
      <c r="U504" s="20"/>
      <c r="V504" s="20"/>
    </row>
    <row r="505" spans="5:22" ht="17.25" customHeight="1">
      <c r="E505" s="62"/>
      <c r="F505" s="58"/>
      <c r="G505" s="31"/>
      <c r="H505" s="20"/>
      <c r="I505" s="20"/>
      <c r="J505" s="20"/>
      <c r="K505" s="20"/>
      <c r="L505" s="20"/>
      <c r="M505" s="20"/>
      <c r="N505" s="20"/>
      <c r="O505" s="20"/>
      <c r="P505" s="20"/>
      <c r="Q505" s="20"/>
      <c r="R505" s="20"/>
      <c r="S505" s="20"/>
      <c r="T505" s="20"/>
      <c r="U505" s="20"/>
      <c r="V505" s="20"/>
    </row>
    <row r="506" spans="5:22" ht="17.25" customHeight="1">
      <c r="E506" s="62"/>
      <c r="F506" s="58"/>
      <c r="G506" s="31"/>
      <c r="H506" s="20"/>
      <c r="I506" s="20"/>
      <c r="J506" s="20"/>
      <c r="K506" s="20"/>
      <c r="L506" s="20"/>
      <c r="M506" s="20"/>
      <c r="N506" s="20"/>
      <c r="O506" s="20"/>
      <c r="P506" s="20"/>
      <c r="Q506" s="20"/>
      <c r="R506" s="20"/>
      <c r="S506" s="20"/>
      <c r="T506" s="20"/>
      <c r="U506" s="20"/>
      <c r="V506" s="20"/>
    </row>
    <row r="507" spans="5:22" ht="17.25" customHeight="1">
      <c r="E507" s="62"/>
      <c r="F507" s="58"/>
      <c r="G507" s="31"/>
      <c r="H507" s="20"/>
      <c r="I507" s="20"/>
      <c r="J507" s="20"/>
      <c r="K507" s="20"/>
      <c r="L507" s="20"/>
      <c r="M507" s="20"/>
      <c r="N507" s="20"/>
      <c r="O507" s="20"/>
      <c r="P507" s="20"/>
      <c r="Q507" s="20"/>
      <c r="R507" s="20"/>
      <c r="S507" s="20"/>
      <c r="T507" s="20"/>
      <c r="U507" s="20"/>
      <c r="V507" s="20"/>
    </row>
    <row r="508" spans="5:22" ht="17.25" customHeight="1">
      <c r="E508" s="62"/>
      <c r="F508" s="58"/>
      <c r="G508" s="31"/>
      <c r="H508" s="20"/>
      <c r="I508" s="20"/>
      <c r="J508" s="20"/>
      <c r="K508" s="20"/>
      <c r="L508" s="20"/>
      <c r="M508" s="20"/>
      <c r="N508" s="20"/>
      <c r="O508" s="20"/>
      <c r="P508" s="20"/>
      <c r="Q508" s="20"/>
      <c r="R508" s="20"/>
      <c r="S508" s="20"/>
      <c r="T508" s="20"/>
      <c r="U508" s="20"/>
      <c r="V508" s="20"/>
    </row>
    <row r="509" spans="5:22" ht="17.25" customHeight="1">
      <c r="E509" s="62"/>
      <c r="F509" s="58"/>
      <c r="G509" s="31"/>
      <c r="H509" s="20"/>
      <c r="I509" s="20"/>
      <c r="J509" s="20"/>
      <c r="K509" s="20"/>
      <c r="L509" s="20"/>
      <c r="M509" s="20"/>
      <c r="N509" s="20"/>
      <c r="O509" s="20"/>
      <c r="P509" s="20"/>
      <c r="Q509" s="20"/>
      <c r="R509" s="20"/>
      <c r="S509" s="20"/>
      <c r="T509" s="20"/>
      <c r="U509" s="20"/>
      <c r="V509" s="20"/>
    </row>
    <row r="510" spans="5:22" ht="17.25" customHeight="1">
      <c r="E510" s="62"/>
      <c r="F510" s="58"/>
      <c r="G510" s="31"/>
      <c r="H510" s="20"/>
      <c r="I510" s="20"/>
      <c r="J510" s="20"/>
      <c r="K510" s="20"/>
      <c r="L510" s="20"/>
      <c r="M510" s="20"/>
      <c r="N510" s="20"/>
      <c r="O510" s="20"/>
      <c r="P510" s="20"/>
      <c r="Q510" s="20"/>
      <c r="R510" s="20"/>
      <c r="S510" s="20"/>
      <c r="T510" s="20"/>
      <c r="U510" s="20"/>
      <c r="V510" s="20"/>
    </row>
    <row r="511" spans="5:22" ht="17.25" customHeight="1">
      <c r="E511" s="62"/>
      <c r="F511" s="58"/>
      <c r="G511" s="31"/>
      <c r="H511" s="20"/>
      <c r="I511" s="20"/>
      <c r="J511" s="20"/>
      <c r="K511" s="20"/>
      <c r="L511" s="20"/>
      <c r="M511" s="20"/>
      <c r="N511" s="20"/>
      <c r="O511" s="20"/>
      <c r="P511" s="20"/>
      <c r="Q511" s="20"/>
      <c r="R511" s="20"/>
      <c r="S511" s="20"/>
      <c r="T511" s="20"/>
      <c r="U511" s="20"/>
      <c r="V511" s="20"/>
    </row>
    <row r="512" spans="5:22" ht="17.25" customHeight="1">
      <c r="E512" s="62"/>
      <c r="F512" s="58"/>
      <c r="G512" s="31"/>
      <c r="H512" s="20"/>
      <c r="I512" s="20"/>
      <c r="J512" s="20"/>
      <c r="K512" s="20"/>
      <c r="L512" s="20"/>
      <c r="M512" s="20"/>
      <c r="N512" s="20"/>
      <c r="O512" s="20"/>
      <c r="P512" s="20"/>
      <c r="Q512" s="20"/>
      <c r="R512" s="20"/>
      <c r="S512" s="20"/>
      <c r="T512" s="20"/>
      <c r="U512" s="20"/>
      <c r="V512" s="20"/>
    </row>
    <row r="513" spans="5:22" ht="17.25" customHeight="1">
      <c r="E513" s="62"/>
      <c r="F513" s="58"/>
      <c r="G513" s="31"/>
      <c r="H513" s="20"/>
      <c r="I513" s="20"/>
      <c r="J513" s="20"/>
      <c r="K513" s="20"/>
      <c r="L513" s="20"/>
      <c r="M513" s="20"/>
      <c r="N513" s="20"/>
      <c r="O513" s="20"/>
      <c r="P513" s="20"/>
      <c r="Q513" s="20"/>
      <c r="R513" s="20"/>
      <c r="S513" s="20"/>
      <c r="T513" s="20"/>
      <c r="U513" s="20"/>
      <c r="V513" s="20"/>
    </row>
    <row r="514" spans="5:22" ht="17.25" customHeight="1">
      <c r="E514" s="62"/>
      <c r="F514" s="58"/>
      <c r="G514" s="31"/>
      <c r="H514" s="20"/>
      <c r="I514" s="20"/>
      <c r="J514" s="20"/>
      <c r="K514" s="20"/>
      <c r="L514" s="20"/>
      <c r="M514" s="20"/>
      <c r="N514" s="20"/>
      <c r="O514" s="20"/>
      <c r="P514" s="20"/>
      <c r="Q514" s="20"/>
      <c r="R514" s="20"/>
      <c r="S514" s="20"/>
      <c r="T514" s="20"/>
      <c r="U514" s="20"/>
      <c r="V514" s="20"/>
    </row>
    <row r="515" spans="5:22" ht="17.25" customHeight="1">
      <c r="E515" s="62"/>
      <c r="F515" s="58"/>
      <c r="G515" s="31"/>
      <c r="H515" s="20"/>
      <c r="I515" s="20"/>
      <c r="J515" s="20"/>
      <c r="K515" s="20"/>
      <c r="L515" s="20"/>
      <c r="M515" s="20"/>
      <c r="N515" s="20"/>
      <c r="O515" s="20"/>
      <c r="P515" s="20"/>
      <c r="Q515" s="20"/>
      <c r="R515" s="20"/>
      <c r="S515" s="20"/>
      <c r="T515" s="20"/>
      <c r="U515" s="20"/>
      <c r="V515" s="20"/>
    </row>
    <row r="516" spans="5:22" ht="17.25" customHeight="1">
      <c r="E516" s="62"/>
      <c r="F516" s="58"/>
      <c r="G516" s="31"/>
      <c r="H516" s="20"/>
      <c r="I516" s="20"/>
      <c r="J516" s="20"/>
      <c r="K516" s="20"/>
      <c r="L516" s="20"/>
      <c r="M516" s="20"/>
      <c r="N516" s="20"/>
      <c r="O516" s="20"/>
      <c r="P516" s="20"/>
      <c r="Q516" s="20"/>
      <c r="R516" s="20"/>
      <c r="S516" s="20"/>
      <c r="T516" s="20"/>
      <c r="U516" s="20"/>
      <c r="V516" s="20"/>
    </row>
    <row r="517" spans="5:22" ht="17.25" customHeight="1">
      <c r="E517" s="62"/>
      <c r="F517" s="58"/>
      <c r="G517" s="31"/>
      <c r="H517" s="20"/>
      <c r="I517" s="20"/>
      <c r="J517" s="20"/>
      <c r="K517" s="20"/>
      <c r="L517" s="20"/>
      <c r="M517" s="20"/>
      <c r="N517" s="20"/>
      <c r="O517" s="20"/>
      <c r="P517" s="20"/>
      <c r="Q517" s="20"/>
      <c r="R517" s="20"/>
      <c r="S517" s="20"/>
      <c r="T517" s="20"/>
      <c r="U517" s="20"/>
      <c r="V517" s="20"/>
    </row>
    <row r="518" spans="5:22" ht="17.25" customHeight="1">
      <c r="E518" s="62"/>
      <c r="F518" s="58"/>
      <c r="G518" s="31"/>
      <c r="H518" s="20"/>
      <c r="I518" s="20"/>
      <c r="J518" s="20"/>
      <c r="K518" s="20"/>
      <c r="L518" s="20"/>
      <c r="M518" s="20"/>
      <c r="N518" s="20"/>
      <c r="O518" s="20"/>
      <c r="P518" s="20"/>
      <c r="Q518" s="20"/>
      <c r="R518" s="20"/>
      <c r="S518" s="20"/>
      <c r="T518" s="20"/>
      <c r="U518" s="20"/>
      <c r="V518" s="20"/>
    </row>
    <row r="519" spans="5:22" ht="17.25" customHeight="1">
      <c r="E519" s="62"/>
      <c r="F519" s="58"/>
      <c r="G519" s="31"/>
      <c r="H519" s="20"/>
      <c r="I519" s="20"/>
      <c r="J519" s="20"/>
      <c r="K519" s="20"/>
      <c r="L519" s="20"/>
      <c r="M519" s="20"/>
      <c r="N519" s="20"/>
      <c r="O519" s="20"/>
      <c r="P519" s="20"/>
      <c r="Q519" s="20"/>
      <c r="R519" s="20"/>
      <c r="S519" s="20"/>
      <c r="T519" s="20"/>
      <c r="U519" s="20"/>
      <c r="V519" s="20"/>
    </row>
    <row r="520" spans="5:22" ht="17.25" customHeight="1">
      <c r="E520" s="62"/>
      <c r="F520" s="58"/>
      <c r="G520" s="31"/>
      <c r="H520" s="20"/>
      <c r="I520" s="20"/>
      <c r="J520" s="20"/>
      <c r="K520" s="20"/>
      <c r="L520" s="20"/>
      <c r="M520" s="20"/>
      <c r="N520" s="20"/>
      <c r="O520" s="20"/>
      <c r="P520" s="20"/>
      <c r="Q520" s="20"/>
      <c r="R520" s="20"/>
      <c r="S520" s="20"/>
      <c r="T520" s="20"/>
      <c r="U520" s="20"/>
      <c r="V520" s="20"/>
    </row>
    <row r="521" spans="5:22" ht="17.25" customHeight="1">
      <c r="E521" s="62"/>
      <c r="F521" s="58"/>
      <c r="G521" s="31"/>
      <c r="H521" s="20"/>
      <c r="I521" s="20"/>
      <c r="J521" s="20"/>
      <c r="K521" s="20"/>
      <c r="L521" s="20"/>
      <c r="M521" s="20"/>
      <c r="N521" s="20"/>
      <c r="O521" s="20"/>
      <c r="P521" s="20"/>
      <c r="Q521" s="20"/>
      <c r="R521" s="20"/>
      <c r="S521" s="20"/>
      <c r="T521" s="20"/>
      <c r="U521" s="20"/>
      <c r="V521" s="20"/>
    </row>
    <row r="522" spans="5:22" ht="17.25" customHeight="1">
      <c r="E522" s="62"/>
      <c r="F522" s="58"/>
      <c r="G522" s="31"/>
      <c r="H522" s="20"/>
      <c r="I522" s="20"/>
      <c r="J522" s="20"/>
      <c r="K522" s="20"/>
      <c r="L522" s="20"/>
      <c r="M522" s="20"/>
      <c r="N522" s="20"/>
      <c r="O522" s="20"/>
      <c r="P522" s="20"/>
      <c r="Q522" s="20"/>
      <c r="R522" s="20"/>
      <c r="S522" s="20"/>
      <c r="T522" s="20"/>
      <c r="U522" s="20"/>
      <c r="V522" s="20"/>
    </row>
    <row r="523" spans="5:22" ht="17.25" customHeight="1">
      <c r="E523" s="62"/>
      <c r="F523" s="58"/>
      <c r="G523" s="31"/>
      <c r="H523" s="20"/>
      <c r="I523" s="20"/>
      <c r="J523" s="20"/>
      <c r="K523" s="20"/>
      <c r="L523" s="20"/>
      <c r="M523" s="20"/>
      <c r="N523" s="20"/>
      <c r="O523" s="20"/>
      <c r="P523" s="20"/>
      <c r="Q523" s="20"/>
      <c r="R523" s="20"/>
      <c r="S523" s="20"/>
      <c r="T523" s="20"/>
      <c r="U523" s="20"/>
      <c r="V523" s="20"/>
    </row>
    <row r="524" spans="5:22" ht="17.25" customHeight="1">
      <c r="E524" s="62"/>
      <c r="F524" s="58"/>
      <c r="G524" s="31"/>
      <c r="H524" s="20"/>
      <c r="I524" s="20"/>
      <c r="J524" s="20"/>
      <c r="K524" s="20"/>
      <c r="L524" s="20"/>
      <c r="M524" s="20"/>
      <c r="N524" s="20"/>
      <c r="O524" s="20"/>
      <c r="P524" s="20"/>
      <c r="Q524" s="20"/>
      <c r="R524" s="20"/>
      <c r="S524" s="20"/>
      <c r="T524" s="20"/>
      <c r="U524" s="20"/>
      <c r="V524" s="20"/>
    </row>
    <row r="525" spans="5:22" ht="17.25" customHeight="1">
      <c r="E525" s="62"/>
      <c r="F525" s="58"/>
      <c r="G525" s="31"/>
      <c r="H525" s="20"/>
      <c r="I525" s="20"/>
      <c r="J525" s="20"/>
      <c r="K525" s="20"/>
      <c r="L525" s="20"/>
      <c r="M525" s="20"/>
      <c r="N525" s="20"/>
      <c r="O525" s="20"/>
      <c r="P525" s="20"/>
      <c r="Q525" s="20"/>
      <c r="R525" s="20"/>
      <c r="S525" s="20"/>
      <c r="T525" s="20"/>
      <c r="U525" s="20"/>
      <c r="V525" s="20"/>
    </row>
    <row r="526" spans="5:22" ht="17.25" customHeight="1">
      <c r="E526" s="62"/>
      <c r="F526" s="58"/>
      <c r="G526" s="31"/>
      <c r="H526" s="20"/>
      <c r="I526" s="20"/>
      <c r="J526" s="20"/>
      <c r="K526" s="20"/>
      <c r="L526" s="20"/>
      <c r="M526" s="20"/>
      <c r="N526" s="20"/>
      <c r="O526" s="20"/>
      <c r="P526" s="20"/>
      <c r="Q526" s="20"/>
      <c r="R526" s="20"/>
      <c r="S526" s="20"/>
      <c r="T526" s="20"/>
      <c r="U526" s="20"/>
      <c r="V526" s="20"/>
    </row>
    <row r="527" spans="5:22" ht="17.25" customHeight="1">
      <c r="E527" s="62"/>
      <c r="F527" s="58"/>
      <c r="G527" s="31"/>
      <c r="H527" s="20"/>
      <c r="I527" s="20"/>
      <c r="J527" s="20"/>
      <c r="K527" s="20"/>
      <c r="L527" s="20"/>
      <c r="M527" s="20"/>
      <c r="N527" s="20"/>
      <c r="O527" s="20"/>
      <c r="P527" s="20"/>
      <c r="Q527" s="20"/>
      <c r="R527" s="20"/>
      <c r="S527" s="20"/>
      <c r="T527" s="20"/>
      <c r="U527" s="20"/>
      <c r="V527" s="20"/>
    </row>
    <row r="528" spans="5:22" ht="17.25" customHeight="1">
      <c r="E528" s="62"/>
      <c r="F528" s="58"/>
      <c r="G528" s="31"/>
      <c r="H528" s="20"/>
      <c r="I528" s="20"/>
      <c r="J528" s="20"/>
      <c r="K528" s="20"/>
      <c r="L528" s="20"/>
      <c r="M528" s="20"/>
      <c r="N528" s="20"/>
      <c r="O528" s="20"/>
      <c r="P528" s="20"/>
      <c r="Q528" s="20"/>
      <c r="R528" s="20"/>
      <c r="S528" s="20"/>
      <c r="T528" s="20"/>
      <c r="U528" s="20"/>
      <c r="V528" s="20"/>
    </row>
    <row r="529" spans="5:22" ht="17.25" customHeight="1">
      <c r="E529" s="62"/>
      <c r="F529" s="58"/>
      <c r="G529" s="31"/>
      <c r="H529" s="20"/>
      <c r="I529" s="20"/>
      <c r="J529" s="20"/>
      <c r="K529" s="20"/>
      <c r="L529" s="20"/>
      <c r="M529" s="20"/>
      <c r="N529" s="20"/>
      <c r="O529" s="20"/>
      <c r="P529" s="20"/>
      <c r="Q529" s="20"/>
      <c r="R529" s="20"/>
      <c r="S529" s="20"/>
      <c r="T529" s="20"/>
      <c r="U529" s="20"/>
      <c r="V529" s="20"/>
    </row>
    <row r="530" spans="5:22" ht="17.25" customHeight="1">
      <c r="E530" s="62"/>
      <c r="F530" s="58"/>
      <c r="G530" s="31"/>
      <c r="H530" s="20"/>
      <c r="I530" s="20"/>
      <c r="J530" s="20"/>
      <c r="K530" s="20"/>
      <c r="L530" s="20"/>
      <c r="M530" s="20"/>
      <c r="N530" s="20"/>
      <c r="O530" s="20"/>
      <c r="P530" s="20"/>
      <c r="Q530" s="20"/>
      <c r="R530" s="20"/>
      <c r="S530" s="20"/>
      <c r="T530" s="20"/>
      <c r="U530" s="20"/>
      <c r="V530" s="20"/>
    </row>
    <row r="531" spans="5:22" ht="17.25" customHeight="1">
      <c r="E531" s="62"/>
      <c r="F531" s="58"/>
      <c r="G531" s="31"/>
      <c r="H531" s="20"/>
      <c r="I531" s="20"/>
      <c r="J531" s="20"/>
      <c r="K531" s="20"/>
      <c r="L531" s="20"/>
      <c r="M531" s="20"/>
      <c r="N531" s="20"/>
      <c r="O531" s="20"/>
      <c r="P531" s="20"/>
      <c r="Q531" s="20"/>
      <c r="R531" s="20"/>
      <c r="S531" s="20"/>
      <c r="T531" s="20"/>
      <c r="U531" s="20"/>
      <c r="V531" s="20"/>
    </row>
    <row r="532" spans="5:22" ht="17.25" customHeight="1">
      <c r="E532" s="62"/>
      <c r="F532" s="58"/>
      <c r="G532" s="31"/>
      <c r="H532" s="20"/>
      <c r="I532" s="20"/>
      <c r="J532" s="20"/>
      <c r="K532" s="20"/>
      <c r="L532" s="20"/>
      <c r="M532" s="20"/>
      <c r="N532" s="20"/>
      <c r="O532" s="20"/>
      <c r="P532" s="20"/>
      <c r="Q532" s="20"/>
      <c r="R532" s="20"/>
      <c r="S532" s="20"/>
      <c r="T532" s="20"/>
      <c r="U532" s="20"/>
      <c r="V532" s="20"/>
    </row>
    <row r="533" spans="5:22" ht="17.25" customHeight="1">
      <c r="E533" s="62"/>
      <c r="F533" s="58"/>
      <c r="G533" s="31"/>
      <c r="H533" s="20"/>
      <c r="I533" s="20"/>
      <c r="J533" s="20"/>
      <c r="K533" s="20"/>
      <c r="L533" s="20"/>
      <c r="M533" s="20"/>
      <c r="N533" s="20"/>
      <c r="O533" s="20"/>
      <c r="P533" s="20"/>
      <c r="Q533" s="20"/>
      <c r="R533" s="20"/>
      <c r="S533" s="20"/>
      <c r="T533" s="20"/>
      <c r="U533" s="20"/>
      <c r="V533" s="20"/>
    </row>
    <row r="534" spans="5:22" ht="17.25" customHeight="1">
      <c r="E534" s="62"/>
      <c r="F534" s="58"/>
      <c r="G534" s="31"/>
      <c r="H534" s="20"/>
      <c r="I534" s="20"/>
      <c r="J534" s="20"/>
      <c r="K534" s="20"/>
      <c r="L534" s="20"/>
      <c r="M534" s="20"/>
      <c r="N534" s="20"/>
      <c r="O534" s="20"/>
      <c r="P534" s="20"/>
      <c r="Q534" s="20"/>
      <c r="R534" s="20"/>
      <c r="S534" s="20"/>
      <c r="T534" s="20"/>
      <c r="U534" s="20"/>
      <c r="V534" s="20"/>
    </row>
    <row r="535" spans="5:22" ht="17.25" customHeight="1">
      <c r="E535" s="62"/>
      <c r="F535" s="58"/>
      <c r="G535" s="31"/>
      <c r="H535" s="20"/>
      <c r="I535" s="20"/>
      <c r="J535" s="20"/>
      <c r="K535" s="20"/>
      <c r="L535" s="20"/>
      <c r="M535" s="20"/>
      <c r="N535" s="20"/>
      <c r="O535" s="20"/>
      <c r="P535" s="20"/>
      <c r="Q535" s="20"/>
      <c r="R535" s="20"/>
      <c r="S535" s="20"/>
      <c r="T535" s="20"/>
      <c r="U535" s="20"/>
      <c r="V535" s="20"/>
    </row>
    <row r="536" spans="5:22" ht="17.25" customHeight="1">
      <c r="E536" s="62"/>
      <c r="F536" s="58"/>
      <c r="G536" s="31"/>
      <c r="H536" s="20"/>
      <c r="I536" s="20"/>
      <c r="J536" s="20"/>
      <c r="K536" s="20"/>
      <c r="L536" s="20"/>
      <c r="M536" s="20"/>
      <c r="N536" s="20"/>
      <c r="O536" s="20"/>
      <c r="P536" s="20"/>
      <c r="Q536" s="20"/>
      <c r="R536" s="20"/>
      <c r="S536" s="20"/>
      <c r="T536" s="20"/>
      <c r="U536" s="20"/>
      <c r="V536" s="20"/>
    </row>
    <row r="537" spans="5:22" ht="17.25" customHeight="1">
      <c r="E537" s="62"/>
      <c r="F537" s="58"/>
      <c r="G537" s="31"/>
      <c r="H537" s="20"/>
      <c r="I537" s="20"/>
      <c r="J537" s="20"/>
      <c r="K537" s="20"/>
      <c r="L537" s="20"/>
      <c r="M537" s="20"/>
      <c r="N537" s="20"/>
      <c r="O537" s="20"/>
      <c r="P537" s="20"/>
      <c r="Q537" s="20"/>
      <c r="R537" s="20"/>
      <c r="S537" s="20"/>
      <c r="T537" s="20"/>
      <c r="U537" s="20"/>
      <c r="V537" s="20"/>
    </row>
    <row r="538" spans="5:22" ht="17.25" customHeight="1">
      <c r="E538" s="62"/>
      <c r="F538" s="58"/>
      <c r="G538" s="31"/>
      <c r="H538" s="20"/>
      <c r="I538" s="20"/>
      <c r="J538" s="20"/>
      <c r="K538" s="20"/>
      <c r="L538" s="20"/>
      <c r="M538" s="20"/>
      <c r="N538" s="20"/>
      <c r="O538" s="20"/>
      <c r="P538" s="20"/>
      <c r="Q538" s="20"/>
      <c r="R538" s="20"/>
      <c r="S538" s="20"/>
      <c r="T538" s="20"/>
      <c r="U538" s="20"/>
      <c r="V538" s="20"/>
    </row>
    <row r="539" spans="5:22" ht="17.25" customHeight="1">
      <c r="E539" s="62"/>
      <c r="F539" s="58"/>
      <c r="G539" s="31"/>
      <c r="H539" s="20"/>
      <c r="I539" s="20"/>
      <c r="J539" s="20"/>
      <c r="K539" s="20"/>
      <c r="L539" s="20"/>
      <c r="M539" s="20"/>
      <c r="N539" s="20"/>
      <c r="O539" s="20"/>
      <c r="P539" s="20"/>
      <c r="Q539" s="20"/>
      <c r="R539" s="20"/>
      <c r="S539" s="20"/>
      <c r="T539" s="20"/>
      <c r="U539" s="20"/>
      <c r="V539" s="20"/>
    </row>
    <row r="540" spans="5:22" ht="17.25" customHeight="1">
      <c r="E540" s="62"/>
      <c r="F540" s="58"/>
      <c r="G540" s="31"/>
      <c r="H540" s="20"/>
      <c r="I540" s="20"/>
      <c r="J540" s="20"/>
      <c r="K540" s="20"/>
      <c r="L540" s="20"/>
      <c r="M540" s="20"/>
      <c r="N540" s="20"/>
      <c r="O540" s="20"/>
      <c r="P540" s="20"/>
      <c r="Q540" s="20"/>
      <c r="R540" s="20"/>
      <c r="S540" s="20"/>
      <c r="T540" s="20"/>
      <c r="U540" s="20"/>
      <c r="V540" s="20"/>
    </row>
    <row r="541" spans="5:22" ht="17.25" customHeight="1">
      <c r="E541" s="62"/>
      <c r="F541" s="58"/>
      <c r="G541" s="31"/>
      <c r="H541" s="20"/>
      <c r="I541" s="20"/>
      <c r="J541" s="20"/>
      <c r="K541" s="20"/>
      <c r="L541" s="20"/>
      <c r="M541" s="20"/>
      <c r="N541" s="20"/>
      <c r="O541" s="20"/>
      <c r="P541" s="20"/>
      <c r="Q541" s="20"/>
      <c r="R541" s="20"/>
      <c r="S541" s="20"/>
      <c r="T541" s="20"/>
      <c r="U541" s="20"/>
      <c r="V541" s="20"/>
    </row>
    <row r="542" spans="5:22" ht="17.25" customHeight="1">
      <c r="E542" s="62"/>
      <c r="F542" s="58"/>
      <c r="G542" s="31"/>
      <c r="H542" s="20"/>
      <c r="I542" s="20"/>
      <c r="J542" s="20"/>
      <c r="K542" s="20"/>
      <c r="L542" s="20"/>
      <c r="M542" s="20"/>
      <c r="N542" s="20"/>
      <c r="O542" s="20"/>
      <c r="P542" s="20"/>
      <c r="Q542" s="20"/>
      <c r="R542" s="20"/>
      <c r="S542" s="20"/>
      <c r="T542" s="20"/>
      <c r="U542" s="20"/>
      <c r="V542" s="20"/>
    </row>
    <row r="543" spans="5:22" ht="17.25" customHeight="1">
      <c r="E543" s="62"/>
      <c r="F543" s="58"/>
      <c r="G543" s="31"/>
      <c r="H543" s="20"/>
      <c r="I543" s="20"/>
      <c r="J543" s="20"/>
      <c r="K543" s="20"/>
      <c r="L543" s="20"/>
      <c r="M543" s="20"/>
      <c r="N543" s="20"/>
      <c r="O543" s="20"/>
      <c r="P543" s="20"/>
      <c r="Q543" s="20"/>
      <c r="R543" s="20"/>
      <c r="S543" s="20"/>
      <c r="T543" s="20"/>
      <c r="U543" s="20"/>
      <c r="V543" s="20"/>
    </row>
    <row r="544" spans="5:22" ht="17.25" customHeight="1">
      <c r="E544" s="62"/>
      <c r="F544" s="58"/>
      <c r="G544" s="31"/>
      <c r="H544" s="20"/>
      <c r="I544" s="20"/>
      <c r="J544" s="20"/>
      <c r="K544" s="20"/>
      <c r="L544" s="20"/>
      <c r="M544" s="20"/>
      <c r="N544" s="20"/>
      <c r="O544" s="20"/>
      <c r="P544" s="20"/>
      <c r="Q544" s="20"/>
      <c r="R544" s="20"/>
      <c r="S544" s="20"/>
      <c r="T544" s="20"/>
      <c r="U544" s="20"/>
      <c r="V544" s="20"/>
    </row>
    <row r="545" spans="5:22" ht="17.25" customHeight="1">
      <c r="E545" s="62"/>
      <c r="F545" s="58"/>
      <c r="G545" s="31"/>
      <c r="H545" s="20"/>
      <c r="I545" s="20"/>
      <c r="J545" s="20"/>
      <c r="K545" s="20"/>
      <c r="L545" s="20"/>
      <c r="M545" s="20"/>
      <c r="N545" s="20"/>
      <c r="O545" s="20"/>
      <c r="P545" s="20"/>
      <c r="Q545" s="20"/>
      <c r="R545" s="20"/>
      <c r="S545" s="20"/>
      <c r="T545" s="20"/>
      <c r="U545" s="20"/>
      <c r="V545" s="20"/>
    </row>
    <row r="546" spans="5:22" ht="17.25" customHeight="1">
      <c r="E546" s="62"/>
      <c r="F546" s="58"/>
      <c r="G546" s="31"/>
      <c r="H546" s="20"/>
      <c r="I546" s="20"/>
      <c r="J546" s="20"/>
      <c r="K546" s="20"/>
      <c r="L546" s="20"/>
      <c r="M546" s="20"/>
      <c r="N546" s="20"/>
      <c r="O546" s="20"/>
      <c r="P546" s="20"/>
      <c r="Q546" s="20"/>
      <c r="R546" s="20"/>
      <c r="S546" s="20"/>
      <c r="T546" s="20"/>
      <c r="U546" s="20"/>
      <c r="V546" s="20"/>
    </row>
    <row r="547" spans="5:22" ht="17.25" customHeight="1">
      <c r="E547" s="62"/>
      <c r="F547" s="58"/>
      <c r="G547" s="31"/>
      <c r="H547" s="20"/>
      <c r="I547" s="20"/>
      <c r="J547" s="20"/>
      <c r="K547" s="20"/>
      <c r="L547" s="20"/>
      <c r="M547" s="20"/>
      <c r="N547" s="20"/>
      <c r="O547" s="20"/>
      <c r="P547" s="20"/>
      <c r="Q547" s="20"/>
      <c r="R547" s="20"/>
      <c r="S547" s="20"/>
      <c r="T547" s="20"/>
      <c r="U547" s="20"/>
      <c r="V547" s="20"/>
    </row>
    <row r="548" spans="5:22" ht="17.25" customHeight="1">
      <c r="E548" s="62"/>
      <c r="F548" s="58"/>
      <c r="G548" s="31"/>
      <c r="H548" s="20"/>
      <c r="I548" s="20"/>
      <c r="J548" s="20"/>
      <c r="K548" s="20"/>
      <c r="L548" s="20"/>
      <c r="M548" s="20"/>
      <c r="N548" s="20"/>
      <c r="O548" s="20"/>
      <c r="P548" s="20"/>
      <c r="Q548" s="20"/>
      <c r="R548" s="20"/>
      <c r="S548" s="20"/>
      <c r="T548" s="20"/>
      <c r="U548" s="20"/>
      <c r="V548" s="20"/>
    </row>
    <row r="549" spans="5:22" ht="17.25" customHeight="1">
      <c r="E549" s="62"/>
      <c r="F549" s="58"/>
      <c r="G549" s="31"/>
      <c r="H549" s="20"/>
      <c r="I549" s="20"/>
      <c r="J549" s="20"/>
      <c r="K549" s="20"/>
      <c r="L549" s="20"/>
      <c r="M549" s="20"/>
      <c r="N549" s="20"/>
      <c r="O549" s="20"/>
      <c r="P549" s="20"/>
      <c r="Q549" s="20"/>
      <c r="R549" s="20"/>
      <c r="S549" s="20"/>
      <c r="T549" s="20"/>
      <c r="U549" s="20"/>
      <c r="V549" s="20"/>
    </row>
    <row r="550" spans="5:22" ht="17.25" customHeight="1">
      <c r="E550" s="62"/>
      <c r="F550" s="58"/>
      <c r="G550" s="31"/>
      <c r="H550" s="20"/>
      <c r="I550" s="20"/>
      <c r="J550" s="20"/>
      <c r="K550" s="20"/>
      <c r="L550" s="20"/>
      <c r="M550" s="20"/>
      <c r="N550" s="20"/>
      <c r="O550" s="20"/>
      <c r="P550" s="20"/>
      <c r="Q550" s="20"/>
      <c r="R550" s="20"/>
      <c r="S550" s="20"/>
      <c r="T550" s="20"/>
      <c r="U550" s="20"/>
      <c r="V550" s="20"/>
    </row>
    <row r="551" spans="5:22" ht="17.25" customHeight="1">
      <c r="E551" s="62"/>
      <c r="F551" s="58"/>
      <c r="G551" s="31"/>
      <c r="H551" s="20"/>
      <c r="I551" s="20"/>
      <c r="J551" s="20"/>
      <c r="K551" s="20"/>
      <c r="L551" s="20"/>
      <c r="M551" s="20"/>
      <c r="N551" s="20"/>
      <c r="O551" s="20"/>
      <c r="P551" s="20"/>
      <c r="Q551" s="20"/>
      <c r="R551" s="20"/>
      <c r="S551" s="20"/>
      <c r="T551" s="20"/>
      <c r="U551" s="20"/>
      <c r="V551" s="20"/>
    </row>
    <row r="552" spans="5:22" ht="17.25" customHeight="1">
      <c r="E552" s="62"/>
      <c r="F552" s="58"/>
      <c r="G552" s="31"/>
      <c r="H552" s="20"/>
      <c r="I552" s="20"/>
      <c r="J552" s="20"/>
      <c r="K552" s="20"/>
      <c r="L552" s="20"/>
      <c r="M552" s="20"/>
      <c r="N552" s="20"/>
      <c r="O552" s="20"/>
      <c r="P552" s="20"/>
      <c r="Q552" s="20"/>
      <c r="R552" s="20"/>
      <c r="S552" s="20"/>
      <c r="T552" s="20"/>
      <c r="U552" s="20"/>
      <c r="V552" s="20"/>
    </row>
    <row r="553" spans="5:22" ht="17.25" customHeight="1">
      <c r="E553" s="62"/>
      <c r="F553" s="58"/>
      <c r="G553" s="31"/>
      <c r="H553" s="20"/>
      <c r="I553" s="20"/>
      <c r="J553" s="20"/>
      <c r="K553" s="20"/>
      <c r="L553" s="20"/>
      <c r="M553" s="20"/>
      <c r="N553" s="20"/>
      <c r="O553" s="20"/>
      <c r="P553" s="20"/>
      <c r="Q553" s="20"/>
      <c r="R553" s="20"/>
      <c r="S553" s="20"/>
      <c r="T553" s="20"/>
      <c r="U553" s="20"/>
      <c r="V553" s="20"/>
    </row>
    <row r="554" spans="5:22" ht="17.25" customHeight="1">
      <c r="E554" s="62"/>
      <c r="F554" s="58"/>
      <c r="G554" s="31"/>
      <c r="H554" s="20"/>
      <c r="I554" s="20"/>
      <c r="J554" s="20"/>
      <c r="K554" s="20"/>
      <c r="L554" s="20"/>
      <c r="M554" s="20"/>
      <c r="N554" s="20"/>
      <c r="O554" s="20"/>
      <c r="P554" s="20"/>
      <c r="Q554" s="20"/>
      <c r="R554" s="20"/>
      <c r="S554" s="20"/>
      <c r="T554" s="20"/>
      <c r="U554" s="20"/>
      <c r="V554" s="20"/>
    </row>
    <row r="555" spans="5:22" ht="17.25" customHeight="1">
      <c r="E555" s="62"/>
      <c r="F555" s="58"/>
      <c r="G555" s="31"/>
      <c r="H555" s="20"/>
      <c r="I555" s="20"/>
      <c r="J555" s="20"/>
      <c r="K555" s="20"/>
      <c r="L555" s="20"/>
      <c r="M555" s="20"/>
      <c r="N555" s="20"/>
      <c r="O555" s="20"/>
      <c r="P555" s="20"/>
      <c r="Q555" s="20"/>
      <c r="R555" s="20"/>
      <c r="S555" s="20"/>
      <c r="T555" s="20"/>
      <c r="U555" s="20"/>
      <c r="V555" s="20"/>
    </row>
    <row r="556" spans="5:22" ht="17.25" customHeight="1">
      <c r="E556" s="62"/>
      <c r="F556" s="58"/>
      <c r="G556" s="31"/>
      <c r="H556" s="20"/>
      <c r="I556" s="20"/>
      <c r="J556" s="20"/>
      <c r="K556" s="20"/>
      <c r="L556" s="20"/>
      <c r="M556" s="20"/>
      <c r="N556" s="20"/>
      <c r="O556" s="20"/>
      <c r="P556" s="20"/>
      <c r="Q556" s="20"/>
      <c r="R556" s="20"/>
      <c r="S556" s="20"/>
      <c r="T556" s="20"/>
      <c r="U556" s="20"/>
      <c r="V556" s="20"/>
    </row>
    <row r="557" spans="5:22" ht="17.25" customHeight="1">
      <c r="E557" s="62"/>
      <c r="F557" s="58"/>
      <c r="G557" s="31"/>
      <c r="H557" s="20"/>
      <c r="I557" s="20"/>
      <c r="J557" s="20"/>
      <c r="K557" s="20"/>
      <c r="L557" s="20"/>
      <c r="M557" s="20"/>
      <c r="N557" s="20"/>
      <c r="O557" s="20"/>
      <c r="P557" s="20"/>
      <c r="Q557" s="20"/>
      <c r="R557" s="20"/>
      <c r="S557" s="20"/>
      <c r="T557" s="20"/>
      <c r="U557" s="20"/>
      <c r="V557" s="20"/>
    </row>
    <row r="558" spans="5:22" ht="17.25" customHeight="1">
      <c r="E558" s="62"/>
      <c r="F558" s="58"/>
      <c r="G558" s="31"/>
      <c r="H558" s="20"/>
      <c r="I558" s="20"/>
      <c r="J558" s="20"/>
      <c r="K558" s="20"/>
      <c r="L558" s="20"/>
      <c r="M558" s="20"/>
      <c r="N558" s="20"/>
      <c r="O558" s="20"/>
      <c r="P558" s="20"/>
      <c r="Q558" s="20"/>
      <c r="R558" s="20"/>
      <c r="S558" s="20"/>
      <c r="T558" s="20"/>
      <c r="U558" s="20"/>
      <c r="V558" s="20"/>
    </row>
    <row r="559" spans="5:22" ht="17.25" customHeight="1">
      <c r="E559" s="62"/>
      <c r="F559" s="58"/>
      <c r="G559" s="31"/>
      <c r="H559" s="20"/>
      <c r="I559" s="20"/>
      <c r="J559" s="20"/>
      <c r="K559" s="20"/>
      <c r="L559" s="20"/>
      <c r="M559" s="20"/>
      <c r="N559" s="20"/>
      <c r="O559" s="20"/>
      <c r="P559" s="20"/>
      <c r="Q559" s="20"/>
      <c r="R559" s="20"/>
      <c r="S559" s="20"/>
      <c r="T559" s="20"/>
      <c r="U559" s="20"/>
      <c r="V559" s="20"/>
    </row>
    <row r="560" spans="5:22" ht="17.25" customHeight="1">
      <c r="E560" s="62"/>
      <c r="F560" s="58"/>
      <c r="G560" s="31"/>
      <c r="H560" s="20"/>
      <c r="I560" s="20"/>
      <c r="J560" s="20"/>
      <c r="K560" s="20"/>
      <c r="L560" s="20"/>
      <c r="M560" s="20"/>
      <c r="N560" s="20"/>
      <c r="O560" s="20"/>
      <c r="P560" s="20"/>
      <c r="Q560" s="20"/>
      <c r="R560" s="20"/>
      <c r="S560" s="20"/>
      <c r="T560" s="20"/>
      <c r="U560" s="20"/>
      <c r="V560" s="20"/>
    </row>
    <row r="561" spans="5:22" ht="17.25" customHeight="1">
      <c r="E561" s="62"/>
      <c r="F561" s="58"/>
      <c r="G561" s="31"/>
      <c r="H561" s="20"/>
      <c r="I561" s="20"/>
      <c r="J561" s="20"/>
      <c r="K561" s="20"/>
      <c r="L561" s="20"/>
      <c r="M561" s="20"/>
      <c r="N561" s="20"/>
      <c r="O561" s="20"/>
      <c r="P561" s="20"/>
      <c r="Q561" s="20"/>
      <c r="R561" s="20"/>
      <c r="S561" s="20"/>
      <c r="T561" s="20"/>
      <c r="U561" s="20"/>
      <c r="V561" s="20"/>
    </row>
    <row r="562" spans="5:22" ht="17.25" customHeight="1">
      <c r="E562" s="62"/>
      <c r="F562" s="58"/>
      <c r="G562" s="31"/>
      <c r="H562" s="20"/>
      <c r="I562" s="20"/>
      <c r="J562" s="20"/>
      <c r="K562" s="20"/>
      <c r="L562" s="20"/>
      <c r="M562" s="20"/>
      <c r="N562" s="20"/>
      <c r="O562" s="20"/>
      <c r="P562" s="20"/>
      <c r="Q562" s="20"/>
      <c r="R562" s="20"/>
      <c r="S562" s="20"/>
      <c r="T562" s="20"/>
      <c r="U562" s="20"/>
      <c r="V562" s="20"/>
    </row>
    <row r="563" spans="5:22" ht="17.25" customHeight="1">
      <c r="E563" s="62"/>
      <c r="F563" s="58"/>
      <c r="G563" s="31"/>
      <c r="H563" s="20"/>
      <c r="I563" s="20"/>
      <c r="J563" s="20"/>
      <c r="K563" s="20"/>
      <c r="L563" s="20"/>
      <c r="M563" s="20"/>
      <c r="N563" s="20"/>
      <c r="O563" s="20"/>
      <c r="P563" s="20"/>
      <c r="Q563" s="20"/>
      <c r="R563" s="20"/>
      <c r="S563" s="20"/>
      <c r="T563" s="20"/>
      <c r="U563" s="20"/>
      <c r="V563" s="20"/>
    </row>
    <row r="564" spans="5:22" ht="17.25" customHeight="1">
      <c r="E564" s="62"/>
      <c r="F564" s="58"/>
      <c r="G564" s="31"/>
      <c r="H564" s="20"/>
      <c r="I564" s="20"/>
      <c r="J564" s="20"/>
      <c r="K564" s="20"/>
      <c r="L564" s="20"/>
      <c r="M564" s="20"/>
      <c r="N564" s="20"/>
      <c r="O564" s="20"/>
      <c r="P564" s="20"/>
      <c r="Q564" s="20"/>
      <c r="R564" s="20"/>
      <c r="S564" s="20"/>
      <c r="T564" s="20"/>
      <c r="U564" s="20"/>
      <c r="V564" s="20"/>
    </row>
    <row r="565" spans="5:22" ht="17.25" customHeight="1">
      <c r="E565" s="62"/>
      <c r="F565" s="58"/>
      <c r="G565" s="31"/>
      <c r="H565" s="20"/>
      <c r="I565" s="20"/>
      <c r="J565" s="20"/>
      <c r="K565" s="20"/>
      <c r="L565" s="20"/>
      <c r="M565" s="20"/>
      <c r="N565" s="20"/>
      <c r="O565" s="20"/>
      <c r="P565" s="20"/>
      <c r="Q565" s="20"/>
      <c r="R565" s="20"/>
      <c r="S565" s="20"/>
      <c r="T565" s="20"/>
      <c r="U565" s="20"/>
      <c r="V565" s="20"/>
    </row>
    <row r="566" spans="5:22" ht="17.25" customHeight="1">
      <c r="E566" s="62"/>
      <c r="F566" s="58"/>
      <c r="G566" s="31"/>
      <c r="H566" s="20"/>
      <c r="I566" s="20"/>
      <c r="J566" s="20"/>
      <c r="K566" s="20"/>
      <c r="L566" s="20"/>
      <c r="M566" s="20"/>
      <c r="N566" s="20"/>
      <c r="O566" s="20"/>
      <c r="P566" s="20"/>
      <c r="Q566" s="20"/>
      <c r="R566" s="20"/>
      <c r="S566" s="20"/>
      <c r="T566" s="20"/>
      <c r="U566" s="20"/>
      <c r="V566" s="20"/>
    </row>
    <row r="567" spans="5:22" ht="17.25" customHeight="1">
      <c r="E567" s="62"/>
      <c r="F567" s="58"/>
      <c r="G567" s="31"/>
      <c r="H567" s="20"/>
      <c r="I567" s="20"/>
      <c r="J567" s="20"/>
      <c r="K567" s="20"/>
      <c r="L567" s="20"/>
      <c r="M567" s="20"/>
      <c r="N567" s="20"/>
      <c r="O567" s="20"/>
      <c r="P567" s="20"/>
      <c r="Q567" s="20"/>
      <c r="R567" s="20"/>
      <c r="S567" s="20"/>
      <c r="T567" s="20"/>
      <c r="U567" s="20"/>
      <c r="V567" s="20"/>
    </row>
    <row r="568" spans="5:22" ht="17.25" customHeight="1">
      <c r="E568" s="62"/>
      <c r="F568" s="58"/>
      <c r="G568" s="31"/>
      <c r="H568" s="20"/>
      <c r="I568" s="20"/>
      <c r="J568" s="20"/>
      <c r="K568" s="20"/>
      <c r="L568" s="20"/>
      <c r="M568" s="20"/>
      <c r="N568" s="20"/>
      <c r="O568" s="20"/>
      <c r="P568" s="20"/>
      <c r="Q568" s="20"/>
      <c r="R568" s="20"/>
      <c r="S568" s="20"/>
      <c r="T568" s="20"/>
      <c r="U568" s="20"/>
      <c r="V568" s="20"/>
    </row>
    <row r="569" spans="5:22" ht="17.25" customHeight="1">
      <c r="E569" s="62"/>
      <c r="F569" s="58"/>
      <c r="G569" s="31"/>
      <c r="H569" s="20"/>
      <c r="I569" s="20"/>
      <c r="J569" s="20"/>
      <c r="K569" s="20"/>
      <c r="L569" s="20"/>
      <c r="M569" s="20"/>
      <c r="N569" s="20"/>
      <c r="O569" s="20"/>
      <c r="P569" s="20"/>
      <c r="Q569" s="20"/>
      <c r="R569" s="20"/>
      <c r="S569" s="20"/>
      <c r="T569" s="20"/>
      <c r="U569" s="20"/>
      <c r="V569" s="20"/>
    </row>
    <row r="570" spans="5:22" ht="17.25" customHeight="1">
      <c r="E570" s="62"/>
      <c r="F570" s="58"/>
      <c r="G570" s="31"/>
      <c r="H570" s="20"/>
      <c r="I570" s="20"/>
      <c r="J570" s="20"/>
      <c r="K570" s="20"/>
      <c r="L570" s="20"/>
      <c r="M570" s="20"/>
      <c r="N570" s="20"/>
      <c r="O570" s="20"/>
      <c r="P570" s="20"/>
      <c r="Q570" s="20"/>
      <c r="R570" s="20"/>
      <c r="S570" s="20"/>
      <c r="T570" s="20"/>
      <c r="U570" s="20"/>
      <c r="V570" s="20"/>
    </row>
    <row r="571" spans="5:22" ht="17.25" customHeight="1">
      <c r="E571" s="62"/>
      <c r="F571" s="58"/>
      <c r="G571" s="31"/>
      <c r="H571" s="20"/>
      <c r="I571" s="20"/>
      <c r="J571" s="20"/>
      <c r="K571" s="20"/>
      <c r="L571" s="20"/>
      <c r="M571" s="20"/>
      <c r="N571" s="20"/>
      <c r="O571" s="20"/>
      <c r="P571" s="20"/>
      <c r="Q571" s="20"/>
      <c r="R571" s="20"/>
      <c r="S571" s="20"/>
      <c r="T571" s="20"/>
      <c r="U571" s="20"/>
      <c r="V571" s="20"/>
    </row>
    <row r="572" spans="5:22" ht="17.25" customHeight="1">
      <c r="E572" s="62"/>
      <c r="F572" s="58"/>
      <c r="G572" s="31"/>
      <c r="H572" s="20"/>
      <c r="I572" s="20"/>
      <c r="J572" s="20"/>
      <c r="K572" s="20"/>
      <c r="L572" s="20"/>
      <c r="M572" s="20"/>
      <c r="N572" s="20"/>
      <c r="O572" s="20"/>
      <c r="P572" s="20"/>
      <c r="Q572" s="20"/>
      <c r="R572" s="20"/>
      <c r="S572" s="20"/>
      <c r="T572" s="20"/>
      <c r="U572" s="20"/>
      <c r="V572" s="20"/>
    </row>
    <row r="573" spans="5:22" ht="17.25" customHeight="1">
      <c r="E573" s="62"/>
      <c r="F573" s="58"/>
      <c r="G573" s="31"/>
      <c r="H573" s="20"/>
      <c r="I573" s="20"/>
      <c r="J573" s="20"/>
      <c r="K573" s="20"/>
      <c r="L573" s="20"/>
      <c r="M573" s="20"/>
      <c r="N573" s="20"/>
      <c r="O573" s="20"/>
      <c r="P573" s="20"/>
      <c r="Q573" s="20"/>
      <c r="R573" s="20"/>
      <c r="S573" s="20"/>
      <c r="T573" s="20"/>
      <c r="U573" s="20"/>
      <c r="V573" s="20"/>
    </row>
    <row r="574" spans="5:22" ht="17.25" customHeight="1">
      <c r="E574" s="62"/>
      <c r="F574" s="58"/>
      <c r="G574" s="31"/>
      <c r="H574" s="20"/>
      <c r="I574" s="20"/>
      <c r="J574" s="20"/>
      <c r="K574" s="20"/>
      <c r="L574" s="20"/>
      <c r="M574" s="20"/>
      <c r="N574" s="20"/>
      <c r="O574" s="20"/>
      <c r="P574" s="20"/>
      <c r="Q574" s="20"/>
      <c r="R574" s="20"/>
      <c r="S574" s="20"/>
      <c r="T574" s="20"/>
      <c r="U574" s="20"/>
      <c r="V574" s="20"/>
    </row>
    <row r="575" spans="5:22" ht="17.25" customHeight="1">
      <c r="E575" s="62"/>
      <c r="F575" s="58"/>
      <c r="G575" s="31"/>
      <c r="H575" s="20"/>
      <c r="I575" s="20"/>
      <c r="J575" s="20"/>
      <c r="K575" s="20"/>
      <c r="L575" s="20"/>
      <c r="M575" s="20"/>
      <c r="N575" s="20"/>
      <c r="O575" s="20"/>
      <c r="P575" s="20"/>
      <c r="Q575" s="20"/>
      <c r="R575" s="20"/>
      <c r="S575" s="20"/>
      <c r="T575" s="20"/>
      <c r="U575" s="20"/>
      <c r="V575" s="20"/>
    </row>
    <row r="576" spans="5:22" ht="17.25" customHeight="1">
      <c r="E576" s="62"/>
      <c r="F576" s="58"/>
      <c r="G576" s="31"/>
      <c r="H576" s="20"/>
      <c r="I576" s="20"/>
      <c r="J576" s="20"/>
      <c r="K576" s="20"/>
      <c r="L576" s="20"/>
      <c r="M576" s="20"/>
      <c r="N576" s="20"/>
      <c r="O576" s="20"/>
      <c r="P576" s="20"/>
      <c r="Q576" s="20"/>
      <c r="R576" s="20"/>
      <c r="S576" s="20"/>
      <c r="T576" s="20"/>
      <c r="U576" s="20"/>
      <c r="V576" s="20"/>
    </row>
    <row r="577" spans="5:22" ht="17.25" customHeight="1">
      <c r="E577" s="62"/>
      <c r="F577" s="58"/>
      <c r="G577" s="31"/>
      <c r="H577" s="20"/>
      <c r="I577" s="20"/>
      <c r="J577" s="20"/>
      <c r="K577" s="20"/>
      <c r="L577" s="20"/>
      <c r="M577" s="20"/>
      <c r="N577" s="20"/>
      <c r="O577" s="20"/>
      <c r="P577" s="20"/>
      <c r="Q577" s="20"/>
      <c r="R577" s="20"/>
      <c r="S577" s="20"/>
      <c r="T577" s="20"/>
      <c r="U577" s="20"/>
      <c r="V577" s="20"/>
    </row>
    <row r="578" spans="5:22" ht="17.25" customHeight="1">
      <c r="E578" s="62"/>
      <c r="F578" s="58"/>
      <c r="G578" s="31"/>
      <c r="H578" s="20"/>
      <c r="I578" s="20"/>
      <c r="J578" s="20"/>
      <c r="K578" s="20"/>
      <c r="L578" s="20"/>
      <c r="M578" s="20"/>
      <c r="N578" s="20"/>
      <c r="O578" s="20"/>
      <c r="P578" s="20"/>
      <c r="Q578" s="20"/>
      <c r="R578" s="20"/>
      <c r="S578" s="20"/>
      <c r="T578" s="20"/>
      <c r="U578" s="20"/>
      <c r="V578" s="20"/>
    </row>
    <row r="579" spans="5:22" ht="17.25" customHeight="1">
      <c r="E579" s="62"/>
      <c r="F579" s="58"/>
      <c r="G579" s="31"/>
      <c r="H579" s="20"/>
      <c r="I579" s="20"/>
      <c r="J579" s="20"/>
      <c r="K579" s="20"/>
      <c r="L579" s="20"/>
      <c r="M579" s="20"/>
      <c r="N579" s="20"/>
      <c r="O579" s="20"/>
      <c r="P579" s="20"/>
      <c r="Q579" s="20"/>
      <c r="R579" s="20"/>
      <c r="S579" s="20"/>
      <c r="T579" s="20"/>
      <c r="U579" s="20"/>
      <c r="V579" s="20"/>
    </row>
    <row r="580" spans="5:22" ht="17.25" customHeight="1">
      <c r="E580" s="62"/>
      <c r="F580" s="58"/>
      <c r="G580" s="31"/>
      <c r="H580" s="20"/>
      <c r="I580" s="20"/>
      <c r="J580" s="20"/>
      <c r="K580" s="20"/>
      <c r="L580" s="20"/>
      <c r="M580" s="20"/>
      <c r="N580" s="20"/>
      <c r="O580" s="20"/>
      <c r="P580" s="20"/>
      <c r="Q580" s="20"/>
      <c r="R580" s="20"/>
      <c r="S580" s="20"/>
      <c r="T580" s="20"/>
      <c r="U580" s="20"/>
      <c r="V580" s="20"/>
    </row>
    <row r="581" spans="5:22" ht="17.25" customHeight="1">
      <c r="E581" s="62"/>
      <c r="F581" s="58"/>
      <c r="G581" s="31"/>
      <c r="H581" s="20"/>
      <c r="I581" s="20"/>
      <c r="J581" s="20"/>
      <c r="K581" s="20"/>
      <c r="L581" s="20"/>
      <c r="M581" s="20"/>
      <c r="N581" s="20"/>
      <c r="O581" s="20"/>
      <c r="P581" s="20"/>
      <c r="Q581" s="20"/>
      <c r="R581" s="20"/>
      <c r="S581" s="20"/>
      <c r="T581" s="20"/>
      <c r="U581" s="20"/>
      <c r="V581" s="20"/>
    </row>
    <row r="582" spans="5:22" ht="17.25" customHeight="1">
      <c r="E582" s="62"/>
      <c r="F582" s="58"/>
      <c r="G582" s="31"/>
      <c r="H582" s="20"/>
      <c r="I582" s="20"/>
      <c r="J582" s="20"/>
      <c r="K582" s="20"/>
      <c r="L582" s="20"/>
      <c r="M582" s="20"/>
      <c r="N582" s="20"/>
      <c r="O582" s="20"/>
      <c r="P582" s="20"/>
      <c r="Q582" s="20"/>
      <c r="R582" s="20"/>
      <c r="S582" s="20"/>
      <c r="T582" s="20"/>
      <c r="U582" s="20"/>
      <c r="V582" s="20"/>
    </row>
    <row r="583" spans="5:22" ht="17.25" customHeight="1">
      <c r="E583" s="62"/>
      <c r="F583" s="58"/>
      <c r="G583" s="31"/>
      <c r="H583" s="20"/>
      <c r="I583" s="20"/>
      <c r="J583" s="20"/>
      <c r="K583" s="20"/>
      <c r="L583" s="20"/>
      <c r="M583" s="20"/>
      <c r="N583" s="20"/>
      <c r="O583" s="20"/>
      <c r="P583" s="20"/>
      <c r="Q583" s="20"/>
      <c r="R583" s="20"/>
      <c r="S583" s="20"/>
      <c r="T583" s="20"/>
      <c r="U583" s="20"/>
      <c r="V583" s="20"/>
    </row>
    <row r="584" spans="5:22" ht="17.25" customHeight="1">
      <c r="E584" s="62"/>
      <c r="F584" s="58"/>
      <c r="G584" s="31"/>
      <c r="H584" s="20"/>
      <c r="I584" s="20"/>
      <c r="J584" s="20"/>
      <c r="K584" s="20"/>
      <c r="L584" s="20"/>
      <c r="M584" s="20"/>
      <c r="N584" s="20"/>
      <c r="O584" s="20"/>
      <c r="P584" s="20"/>
      <c r="Q584" s="20"/>
      <c r="R584" s="20"/>
      <c r="S584" s="20"/>
      <c r="T584" s="20"/>
      <c r="U584" s="20"/>
      <c r="V584" s="20"/>
    </row>
    <row r="585" spans="5:22" ht="17.25" customHeight="1">
      <c r="E585" s="62"/>
      <c r="F585" s="58"/>
      <c r="G585" s="31"/>
      <c r="H585" s="20"/>
      <c r="I585" s="20"/>
      <c r="J585" s="20"/>
      <c r="K585" s="20"/>
      <c r="L585" s="20"/>
      <c r="M585" s="20"/>
      <c r="N585" s="20"/>
      <c r="O585" s="20"/>
      <c r="P585" s="20"/>
      <c r="Q585" s="20"/>
      <c r="R585" s="20"/>
      <c r="S585" s="20"/>
      <c r="T585" s="20"/>
      <c r="U585" s="20"/>
      <c r="V585" s="20"/>
    </row>
    <row r="586" spans="5:22" ht="17.25" customHeight="1">
      <c r="E586" s="62"/>
      <c r="F586" s="58"/>
      <c r="G586" s="31"/>
      <c r="H586" s="20"/>
      <c r="I586" s="20"/>
      <c r="J586" s="20"/>
      <c r="K586" s="20"/>
      <c r="L586" s="20"/>
      <c r="M586" s="20"/>
      <c r="N586" s="20"/>
      <c r="O586" s="20"/>
      <c r="P586" s="20"/>
      <c r="Q586" s="20"/>
      <c r="R586" s="20"/>
      <c r="S586" s="20"/>
      <c r="T586" s="20"/>
      <c r="U586" s="20"/>
      <c r="V586" s="20"/>
    </row>
    <row r="587" spans="5:22" ht="17.25" customHeight="1">
      <c r="E587" s="62"/>
      <c r="F587" s="58"/>
      <c r="G587" s="31"/>
      <c r="H587" s="20"/>
      <c r="I587" s="20"/>
      <c r="J587" s="20"/>
      <c r="K587" s="20"/>
      <c r="L587" s="20"/>
      <c r="M587" s="20"/>
      <c r="N587" s="20"/>
      <c r="O587" s="20"/>
      <c r="P587" s="20"/>
      <c r="Q587" s="20"/>
      <c r="R587" s="20"/>
      <c r="S587" s="20"/>
      <c r="T587" s="20"/>
      <c r="U587" s="20"/>
      <c r="V587" s="20"/>
    </row>
    <row r="588" spans="5:22" ht="17.25" customHeight="1">
      <c r="E588" s="62"/>
      <c r="F588" s="58"/>
      <c r="G588" s="31"/>
      <c r="H588" s="20"/>
      <c r="I588" s="20"/>
      <c r="J588" s="20"/>
      <c r="K588" s="20"/>
      <c r="L588" s="20"/>
      <c r="M588" s="20"/>
      <c r="N588" s="20"/>
      <c r="O588" s="20"/>
      <c r="P588" s="20"/>
      <c r="Q588" s="20"/>
      <c r="R588" s="20"/>
      <c r="S588" s="20"/>
      <c r="T588" s="20"/>
      <c r="U588" s="20"/>
      <c r="V588" s="20"/>
    </row>
    <row r="589" spans="5:22" ht="17.25" customHeight="1">
      <c r="E589" s="62"/>
      <c r="F589" s="58"/>
      <c r="G589" s="31"/>
      <c r="H589" s="20"/>
      <c r="I589" s="20"/>
      <c r="J589" s="20"/>
      <c r="K589" s="20"/>
      <c r="L589" s="20"/>
      <c r="M589" s="20"/>
      <c r="N589" s="20"/>
      <c r="O589" s="20"/>
      <c r="P589" s="20"/>
      <c r="Q589" s="20"/>
      <c r="R589" s="20"/>
      <c r="S589" s="20"/>
      <c r="T589" s="20"/>
      <c r="U589" s="20"/>
      <c r="V589" s="20"/>
    </row>
    <row r="590" spans="5:22" ht="17.25" customHeight="1">
      <c r="E590" s="62"/>
      <c r="F590" s="58"/>
      <c r="G590" s="31"/>
      <c r="H590" s="20"/>
      <c r="I590" s="20"/>
      <c r="J590" s="20"/>
      <c r="K590" s="20"/>
      <c r="L590" s="20"/>
      <c r="M590" s="20"/>
      <c r="N590" s="20"/>
      <c r="O590" s="20"/>
      <c r="P590" s="20"/>
      <c r="Q590" s="20"/>
      <c r="R590" s="20"/>
      <c r="S590" s="20"/>
      <c r="T590" s="20"/>
      <c r="U590" s="20"/>
      <c r="V590" s="20"/>
    </row>
    <row r="591" spans="5:22" ht="17.25" customHeight="1">
      <c r="E591" s="62"/>
      <c r="F591" s="58"/>
      <c r="G591" s="31"/>
      <c r="H591" s="20"/>
      <c r="I591" s="20"/>
      <c r="J591" s="20"/>
      <c r="K591" s="20"/>
      <c r="L591" s="20"/>
      <c r="M591" s="20"/>
      <c r="N591" s="20"/>
      <c r="O591" s="20"/>
      <c r="P591" s="20"/>
      <c r="Q591" s="20"/>
      <c r="R591" s="20"/>
      <c r="S591" s="20"/>
      <c r="T591" s="20"/>
      <c r="U591" s="20"/>
      <c r="V591" s="20"/>
    </row>
    <row r="592" spans="5:22" ht="17.25" customHeight="1">
      <c r="E592" s="62"/>
      <c r="F592" s="58"/>
      <c r="G592" s="31"/>
      <c r="H592" s="20"/>
      <c r="I592" s="20"/>
      <c r="J592" s="20"/>
      <c r="K592" s="20"/>
      <c r="L592" s="20"/>
      <c r="M592" s="20"/>
      <c r="N592" s="20"/>
      <c r="O592" s="20"/>
      <c r="P592" s="20"/>
      <c r="Q592" s="20"/>
      <c r="R592" s="20"/>
      <c r="S592" s="20"/>
      <c r="T592" s="20"/>
      <c r="U592" s="20"/>
      <c r="V592" s="20"/>
    </row>
    <row r="593" spans="5:22" ht="17.25" customHeight="1">
      <c r="E593" s="62"/>
      <c r="F593" s="58"/>
      <c r="G593" s="31"/>
      <c r="H593" s="20"/>
      <c r="I593" s="20"/>
      <c r="J593" s="20"/>
      <c r="K593" s="20"/>
      <c r="L593" s="20"/>
      <c r="M593" s="20"/>
      <c r="N593" s="20"/>
      <c r="O593" s="20"/>
      <c r="P593" s="20"/>
      <c r="Q593" s="20"/>
      <c r="R593" s="20"/>
      <c r="S593" s="20"/>
      <c r="T593" s="20"/>
      <c r="U593" s="20"/>
      <c r="V593" s="20"/>
    </row>
    <row r="594" spans="5:22" ht="17.25" customHeight="1">
      <c r="E594" s="62"/>
      <c r="F594" s="58"/>
      <c r="G594" s="31"/>
      <c r="H594" s="20"/>
      <c r="I594" s="20"/>
      <c r="J594" s="20"/>
      <c r="K594" s="20"/>
      <c r="L594" s="20"/>
      <c r="M594" s="20"/>
      <c r="N594" s="20"/>
      <c r="O594" s="20"/>
      <c r="P594" s="20"/>
      <c r="Q594" s="20"/>
      <c r="R594" s="20"/>
      <c r="S594" s="20"/>
      <c r="T594" s="20"/>
      <c r="U594" s="20"/>
      <c r="V594" s="20"/>
    </row>
    <row r="595" spans="5:22" ht="17.25" customHeight="1">
      <c r="E595" s="62"/>
      <c r="F595" s="58"/>
      <c r="G595" s="31"/>
      <c r="H595" s="20"/>
      <c r="I595" s="20"/>
      <c r="J595" s="20"/>
      <c r="K595" s="20"/>
      <c r="L595" s="20"/>
      <c r="M595" s="20"/>
      <c r="N595" s="20"/>
      <c r="O595" s="20"/>
      <c r="P595" s="20"/>
      <c r="Q595" s="20"/>
      <c r="R595" s="20"/>
      <c r="S595" s="20"/>
      <c r="T595" s="20"/>
      <c r="U595" s="20"/>
      <c r="V595" s="20"/>
    </row>
    <row r="596" spans="5:22" ht="17.25" customHeight="1">
      <c r="E596" s="62"/>
      <c r="F596" s="58"/>
      <c r="G596" s="31"/>
      <c r="H596" s="20"/>
      <c r="I596" s="20"/>
      <c r="J596" s="20"/>
      <c r="K596" s="20"/>
      <c r="L596" s="20"/>
      <c r="M596" s="20"/>
      <c r="N596" s="20"/>
      <c r="O596" s="20"/>
      <c r="P596" s="20"/>
      <c r="Q596" s="20"/>
      <c r="R596" s="20"/>
      <c r="S596" s="20"/>
      <c r="T596" s="20"/>
      <c r="U596" s="20"/>
      <c r="V596" s="20"/>
    </row>
    <row r="597" spans="5:22" ht="17.25" customHeight="1">
      <c r="E597" s="62"/>
      <c r="F597" s="58"/>
      <c r="G597" s="31"/>
      <c r="H597" s="20"/>
      <c r="I597" s="20"/>
      <c r="J597" s="20"/>
      <c r="K597" s="20"/>
      <c r="L597" s="20"/>
      <c r="M597" s="20"/>
      <c r="N597" s="20"/>
      <c r="O597" s="20"/>
      <c r="P597" s="20"/>
      <c r="Q597" s="20"/>
      <c r="R597" s="20"/>
      <c r="S597" s="20"/>
      <c r="T597" s="20"/>
      <c r="U597" s="20"/>
      <c r="V597" s="20"/>
    </row>
    <row r="598" spans="5:22" ht="17.25" customHeight="1">
      <c r="E598" s="62"/>
      <c r="F598" s="58"/>
      <c r="G598" s="31"/>
      <c r="H598" s="20"/>
      <c r="I598" s="20"/>
      <c r="J598" s="20"/>
      <c r="K598" s="20"/>
      <c r="L598" s="20"/>
      <c r="M598" s="20"/>
      <c r="N598" s="20"/>
      <c r="O598" s="20"/>
      <c r="P598" s="20"/>
      <c r="Q598" s="20"/>
      <c r="R598" s="20"/>
      <c r="S598" s="20"/>
      <c r="T598" s="20"/>
      <c r="U598" s="20"/>
      <c r="V598" s="20"/>
    </row>
    <row r="599" spans="5:22" ht="17.25" customHeight="1">
      <c r="E599" s="62"/>
      <c r="F599" s="58"/>
      <c r="G599" s="31"/>
      <c r="H599" s="20"/>
      <c r="I599" s="20"/>
      <c r="J599" s="20"/>
      <c r="K599" s="20"/>
      <c r="L599" s="20"/>
      <c r="M599" s="20"/>
      <c r="N599" s="20"/>
      <c r="O599" s="20"/>
      <c r="P599" s="20"/>
      <c r="Q599" s="20"/>
      <c r="R599" s="20"/>
      <c r="S599" s="20"/>
      <c r="T599" s="20"/>
      <c r="U599" s="20"/>
      <c r="V599" s="20"/>
    </row>
    <row r="600" spans="5:22" ht="17.25" customHeight="1">
      <c r="E600" s="62"/>
      <c r="F600" s="58"/>
      <c r="G600" s="31"/>
      <c r="H600" s="20"/>
      <c r="I600" s="20"/>
      <c r="J600" s="20"/>
      <c r="K600" s="20"/>
      <c r="L600" s="20"/>
      <c r="M600" s="20"/>
      <c r="N600" s="20"/>
      <c r="O600" s="20"/>
      <c r="P600" s="20"/>
      <c r="Q600" s="20"/>
      <c r="R600" s="20"/>
      <c r="S600" s="20"/>
      <c r="T600" s="20"/>
      <c r="U600" s="20"/>
      <c r="V600" s="20"/>
    </row>
    <row r="601" spans="5:22" ht="17.25" customHeight="1">
      <c r="E601" s="62"/>
      <c r="F601" s="58"/>
      <c r="G601" s="31"/>
      <c r="H601" s="20"/>
      <c r="I601" s="20"/>
      <c r="J601" s="20"/>
      <c r="K601" s="20"/>
      <c r="L601" s="20"/>
      <c r="M601" s="20"/>
      <c r="N601" s="20"/>
      <c r="O601" s="20"/>
      <c r="P601" s="20"/>
      <c r="Q601" s="20"/>
      <c r="R601" s="20"/>
      <c r="S601" s="20"/>
      <c r="T601" s="20"/>
      <c r="U601" s="20"/>
      <c r="V601" s="20"/>
    </row>
    <row r="602" spans="5:22" ht="17.25" customHeight="1">
      <c r="E602" s="62"/>
      <c r="F602" s="58"/>
      <c r="G602" s="31"/>
      <c r="H602" s="20"/>
      <c r="I602" s="20"/>
      <c r="J602" s="20"/>
      <c r="K602" s="20"/>
      <c r="L602" s="20"/>
      <c r="M602" s="20"/>
      <c r="N602" s="20"/>
      <c r="O602" s="20"/>
      <c r="P602" s="20"/>
      <c r="Q602" s="20"/>
      <c r="R602" s="20"/>
      <c r="S602" s="20"/>
      <c r="T602" s="20"/>
      <c r="U602" s="20"/>
      <c r="V602" s="20"/>
    </row>
    <row r="603" spans="5:22" ht="17.25" customHeight="1">
      <c r="E603" s="62"/>
      <c r="F603" s="58"/>
      <c r="G603" s="31"/>
      <c r="H603" s="20"/>
      <c r="I603" s="20"/>
      <c r="J603" s="20"/>
      <c r="K603" s="20"/>
      <c r="L603" s="20"/>
      <c r="M603" s="20"/>
      <c r="N603" s="20"/>
      <c r="O603" s="20"/>
      <c r="P603" s="20"/>
      <c r="Q603" s="20"/>
      <c r="R603" s="20"/>
      <c r="S603" s="20"/>
      <c r="T603" s="20"/>
      <c r="U603" s="20"/>
      <c r="V603" s="20"/>
    </row>
    <row r="604" spans="5:22" ht="17.25" customHeight="1">
      <c r="E604" s="62"/>
      <c r="F604" s="58"/>
      <c r="G604" s="31"/>
      <c r="H604" s="20"/>
      <c r="I604" s="20"/>
      <c r="J604" s="20"/>
      <c r="K604" s="20"/>
      <c r="L604" s="20"/>
      <c r="M604" s="20"/>
      <c r="N604" s="20"/>
      <c r="O604" s="20"/>
      <c r="P604" s="20"/>
      <c r="Q604" s="20"/>
      <c r="R604" s="20"/>
      <c r="S604" s="20"/>
      <c r="T604" s="20"/>
      <c r="U604" s="20"/>
      <c r="V604" s="20"/>
    </row>
    <row r="605" spans="5:22" ht="17.25" customHeight="1">
      <c r="E605" s="62"/>
      <c r="F605" s="58"/>
      <c r="G605" s="31"/>
      <c r="H605" s="20"/>
      <c r="I605" s="20"/>
      <c r="J605" s="20"/>
      <c r="K605" s="20"/>
      <c r="L605" s="20"/>
      <c r="M605" s="20"/>
      <c r="N605" s="20"/>
      <c r="O605" s="20"/>
      <c r="P605" s="20"/>
      <c r="Q605" s="20"/>
      <c r="R605" s="20"/>
      <c r="S605" s="20"/>
      <c r="T605" s="20"/>
      <c r="U605" s="20"/>
      <c r="V605" s="20"/>
    </row>
    <row r="606" spans="5:22" ht="17.25" customHeight="1">
      <c r="E606" s="62"/>
      <c r="F606" s="58"/>
      <c r="G606" s="31"/>
      <c r="H606" s="20"/>
      <c r="I606" s="20"/>
      <c r="J606" s="20"/>
      <c r="K606" s="20"/>
      <c r="L606" s="20"/>
      <c r="M606" s="20"/>
      <c r="N606" s="20"/>
      <c r="O606" s="20"/>
      <c r="P606" s="20"/>
      <c r="Q606" s="20"/>
      <c r="R606" s="20"/>
      <c r="S606" s="20"/>
      <c r="T606" s="20"/>
      <c r="U606" s="20"/>
      <c r="V606" s="20"/>
    </row>
    <row r="607" spans="5:22" ht="17.25" customHeight="1">
      <c r="E607" s="62"/>
      <c r="F607" s="58"/>
      <c r="G607" s="31"/>
      <c r="H607" s="20"/>
      <c r="I607" s="20"/>
      <c r="J607" s="20"/>
      <c r="K607" s="20"/>
      <c r="L607" s="20"/>
      <c r="M607" s="20"/>
      <c r="N607" s="20"/>
      <c r="O607" s="20"/>
      <c r="P607" s="20"/>
      <c r="Q607" s="20"/>
      <c r="R607" s="20"/>
      <c r="S607" s="20"/>
      <c r="T607" s="20"/>
      <c r="U607" s="20"/>
      <c r="V607" s="20"/>
    </row>
    <row r="608" spans="5:22" ht="17.25" customHeight="1">
      <c r="E608" s="62"/>
      <c r="F608" s="58"/>
      <c r="G608" s="31"/>
      <c r="H608" s="20"/>
      <c r="I608" s="20"/>
      <c r="J608" s="20"/>
      <c r="K608" s="20"/>
      <c r="L608" s="20"/>
      <c r="M608" s="20"/>
      <c r="N608" s="20"/>
      <c r="O608" s="20"/>
      <c r="P608" s="20"/>
      <c r="Q608" s="20"/>
      <c r="R608" s="20"/>
      <c r="S608" s="20"/>
      <c r="T608" s="20"/>
      <c r="U608" s="20"/>
      <c r="V608" s="20"/>
    </row>
    <row r="609" spans="5:22" ht="17.25" customHeight="1">
      <c r="E609" s="62"/>
      <c r="F609" s="58"/>
      <c r="G609" s="31"/>
      <c r="H609" s="20"/>
      <c r="I609" s="20"/>
      <c r="J609" s="20"/>
      <c r="K609" s="20"/>
      <c r="L609" s="20"/>
      <c r="M609" s="20"/>
      <c r="N609" s="20"/>
      <c r="O609" s="20"/>
      <c r="P609" s="20"/>
      <c r="Q609" s="20"/>
      <c r="R609" s="20"/>
      <c r="S609" s="20"/>
      <c r="T609" s="20"/>
      <c r="U609" s="20"/>
      <c r="V609" s="20"/>
    </row>
    <row r="610" spans="5:22" ht="17.25" customHeight="1">
      <c r="E610" s="62"/>
      <c r="F610" s="58"/>
      <c r="G610" s="31"/>
      <c r="H610" s="20"/>
      <c r="I610" s="20"/>
      <c r="J610" s="20"/>
      <c r="K610" s="20"/>
      <c r="L610" s="20"/>
      <c r="M610" s="20"/>
      <c r="N610" s="20"/>
      <c r="O610" s="20"/>
      <c r="P610" s="20"/>
      <c r="Q610" s="20"/>
      <c r="R610" s="20"/>
      <c r="S610" s="20"/>
      <c r="T610" s="20"/>
      <c r="U610" s="20"/>
      <c r="V610" s="20"/>
    </row>
    <row r="611" spans="5:22" ht="17.25" customHeight="1">
      <c r="E611" s="62"/>
      <c r="F611" s="58"/>
      <c r="G611" s="31"/>
      <c r="H611" s="20"/>
      <c r="I611" s="20"/>
      <c r="J611" s="20"/>
      <c r="K611" s="20"/>
      <c r="L611" s="20"/>
      <c r="M611" s="20"/>
      <c r="N611" s="20"/>
      <c r="O611" s="20"/>
      <c r="P611" s="20"/>
      <c r="Q611" s="20"/>
      <c r="R611" s="20"/>
      <c r="S611" s="20"/>
      <c r="T611" s="20"/>
      <c r="U611" s="20"/>
      <c r="V611" s="20"/>
    </row>
    <row r="612" spans="5:22" ht="17.25" customHeight="1">
      <c r="E612" s="62"/>
      <c r="F612" s="58"/>
      <c r="G612" s="31"/>
      <c r="H612" s="20"/>
      <c r="I612" s="20"/>
      <c r="J612" s="20"/>
      <c r="K612" s="20"/>
      <c r="L612" s="20"/>
      <c r="M612" s="20"/>
      <c r="N612" s="20"/>
      <c r="O612" s="20"/>
      <c r="P612" s="20"/>
      <c r="Q612" s="20"/>
      <c r="R612" s="20"/>
      <c r="S612" s="20"/>
      <c r="T612" s="20"/>
      <c r="U612" s="20"/>
      <c r="V612" s="20"/>
    </row>
    <row r="613" spans="5:22" ht="17.25" customHeight="1">
      <c r="E613" s="62"/>
      <c r="F613" s="58"/>
      <c r="G613" s="31"/>
      <c r="H613" s="20"/>
      <c r="I613" s="20"/>
      <c r="J613" s="20"/>
      <c r="K613" s="20"/>
      <c r="L613" s="20"/>
      <c r="M613" s="20"/>
      <c r="N613" s="20"/>
      <c r="O613" s="20"/>
      <c r="P613" s="20"/>
      <c r="Q613" s="20"/>
      <c r="R613" s="20"/>
      <c r="S613" s="20"/>
      <c r="T613" s="20"/>
      <c r="U613" s="20"/>
      <c r="V613" s="20"/>
    </row>
    <row r="614" spans="5:22" ht="17.25" customHeight="1">
      <c r="E614" s="62"/>
      <c r="F614" s="58"/>
      <c r="G614" s="31"/>
      <c r="H614" s="20"/>
      <c r="I614" s="20"/>
      <c r="J614" s="20"/>
      <c r="K614" s="20"/>
      <c r="L614" s="20"/>
      <c r="M614" s="20"/>
      <c r="N614" s="20"/>
      <c r="O614" s="20"/>
      <c r="P614" s="20"/>
      <c r="Q614" s="20"/>
      <c r="R614" s="20"/>
      <c r="S614" s="20"/>
      <c r="T614" s="20"/>
      <c r="U614" s="20"/>
      <c r="V614" s="20"/>
    </row>
    <row r="615" spans="5:22" ht="17.25" customHeight="1">
      <c r="E615" s="62"/>
      <c r="F615" s="58"/>
      <c r="G615" s="31"/>
      <c r="H615" s="20"/>
      <c r="I615" s="20"/>
      <c r="J615" s="20"/>
      <c r="K615" s="20"/>
      <c r="L615" s="20"/>
      <c r="M615" s="20"/>
      <c r="N615" s="20"/>
      <c r="O615" s="20"/>
      <c r="P615" s="20"/>
      <c r="Q615" s="20"/>
      <c r="R615" s="20"/>
      <c r="S615" s="20"/>
      <c r="T615" s="20"/>
      <c r="U615" s="20"/>
      <c r="V615" s="20"/>
    </row>
    <row r="616" spans="5:22" ht="17.25" customHeight="1">
      <c r="E616" s="62"/>
      <c r="F616" s="58"/>
      <c r="G616" s="31"/>
      <c r="H616" s="20"/>
      <c r="I616" s="20"/>
      <c r="J616" s="20"/>
      <c r="K616" s="20"/>
      <c r="L616" s="20"/>
      <c r="M616" s="20"/>
      <c r="N616" s="20"/>
      <c r="O616" s="20"/>
      <c r="P616" s="20"/>
      <c r="Q616" s="20"/>
      <c r="R616" s="20"/>
      <c r="S616" s="20"/>
      <c r="T616" s="20"/>
      <c r="U616" s="20"/>
      <c r="V616" s="20"/>
    </row>
    <row r="617" spans="5:22" ht="17.25" customHeight="1">
      <c r="E617" s="62"/>
      <c r="F617" s="58"/>
      <c r="G617" s="31"/>
      <c r="H617" s="20"/>
      <c r="I617" s="20"/>
      <c r="J617" s="20"/>
      <c r="K617" s="20"/>
      <c r="L617" s="20"/>
      <c r="M617" s="20"/>
      <c r="N617" s="20"/>
      <c r="O617" s="20"/>
      <c r="P617" s="20"/>
      <c r="Q617" s="20"/>
      <c r="R617" s="20"/>
      <c r="S617" s="20"/>
      <c r="T617" s="20"/>
      <c r="U617" s="20"/>
      <c r="V617" s="20"/>
    </row>
    <row r="618" spans="5:22" ht="17.25" customHeight="1">
      <c r="E618" s="62"/>
      <c r="F618" s="58"/>
      <c r="G618" s="31"/>
      <c r="H618" s="20"/>
      <c r="I618" s="20"/>
      <c r="J618" s="20"/>
      <c r="K618" s="20"/>
      <c r="L618" s="20"/>
      <c r="M618" s="20"/>
      <c r="N618" s="20"/>
      <c r="O618" s="20"/>
      <c r="P618" s="20"/>
      <c r="Q618" s="20"/>
      <c r="R618" s="20"/>
      <c r="S618" s="20"/>
      <c r="T618" s="20"/>
      <c r="U618" s="20"/>
      <c r="V618" s="20"/>
    </row>
    <row r="619" spans="5:22" ht="17.25" customHeight="1">
      <c r="E619" s="62"/>
      <c r="F619" s="58"/>
      <c r="G619" s="31"/>
      <c r="H619" s="20"/>
      <c r="I619" s="20"/>
      <c r="J619" s="20"/>
      <c r="K619" s="20"/>
      <c r="L619" s="20"/>
      <c r="M619" s="20"/>
      <c r="N619" s="20"/>
      <c r="O619" s="20"/>
      <c r="P619" s="20"/>
      <c r="Q619" s="20"/>
      <c r="R619" s="20"/>
      <c r="S619" s="20"/>
      <c r="T619" s="20"/>
      <c r="U619" s="20"/>
      <c r="V619" s="20"/>
    </row>
    <row r="620" spans="5:22" ht="17.25" customHeight="1">
      <c r="E620" s="62"/>
      <c r="F620" s="58"/>
      <c r="G620" s="31"/>
      <c r="H620" s="20"/>
      <c r="I620" s="20"/>
      <c r="J620" s="20"/>
      <c r="K620" s="20"/>
      <c r="L620" s="20"/>
      <c r="M620" s="20"/>
      <c r="N620" s="20"/>
      <c r="O620" s="20"/>
      <c r="P620" s="20"/>
      <c r="Q620" s="20"/>
      <c r="R620" s="20"/>
      <c r="S620" s="20"/>
      <c r="T620" s="20"/>
      <c r="U620" s="20"/>
      <c r="V620" s="20"/>
    </row>
    <row r="621" spans="5:22" ht="17.25" customHeight="1">
      <c r="E621" s="62"/>
      <c r="F621" s="58"/>
      <c r="G621" s="31"/>
      <c r="H621" s="20"/>
      <c r="I621" s="20"/>
      <c r="J621" s="20"/>
      <c r="K621" s="20"/>
      <c r="L621" s="20"/>
      <c r="M621" s="20"/>
      <c r="N621" s="20"/>
      <c r="O621" s="20"/>
      <c r="P621" s="20"/>
      <c r="Q621" s="20"/>
      <c r="R621" s="20"/>
      <c r="S621" s="20"/>
      <c r="T621" s="20"/>
      <c r="U621" s="20"/>
      <c r="V621" s="20"/>
    </row>
    <row r="622" spans="5:22" ht="17.25" customHeight="1">
      <c r="E622" s="62"/>
      <c r="F622" s="58"/>
      <c r="G622" s="31"/>
      <c r="H622" s="20"/>
      <c r="I622" s="20"/>
      <c r="J622" s="20"/>
      <c r="K622" s="20"/>
      <c r="L622" s="20"/>
      <c r="M622" s="20"/>
      <c r="N622" s="20"/>
      <c r="O622" s="20"/>
      <c r="P622" s="20"/>
      <c r="Q622" s="20"/>
      <c r="R622" s="20"/>
      <c r="S622" s="20"/>
      <c r="T622" s="20"/>
      <c r="U622" s="20"/>
      <c r="V622" s="20"/>
    </row>
    <row r="623" spans="5:22" ht="17.25" customHeight="1">
      <c r="E623" s="62"/>
      <c r="F623" s="58"/>
      <c r="G623" s="31"/>
      <c r="H623" s="20"/>
      <c r="I623" s="20"/>
      <c r="J623" s="20"/>
      <c r="K623" s="20"/>
      <c r="L623" s="20"/>
      <c r="M623" s="20"/>
      <c r="N623" s="20"/>
      <c r="O623" s="20"/>
      <c r="P623" s="20"/>
      <c r="Q623" s="20"/>
      <c r="R623" s="20"/>
      <c r="S623" s="20"/>
      <c r="T623" s="20"/>
      <c r="U623" s="20"/>
      <c r="V623" s="20"/>
    </row>
    <row r="624" spans="5:22" ht="17.25" customHeight="1">
      <c r="E624" s="62"/>
      <c r="F624" s="58"/>
      <c r="G624" s="31"/>
      <c r="H624" s="20"/>
      <c r="I624" s="20"/>
      <c r="J624" s="20"/>
      <c r="K624" s="20"/>
      <c r="L624" s="20"/>
      <c r="M624" s="20"/>
      <c r="N624" s="20"/>
      <c r="O624" s="20"/>
      <c r="P624" s="20"/>
      <c r="Q624" s="20"/>
      <c r="R624" s="20"/>
      <c r="S624" s="20"/>
      <c r="T624" s="20"/>
      <c r="U624" s="20"/>
      <c r="V624" s="20"/>
    </row>
    <row r="625" spans="5:22" ht="17.25" customHeight="1">
      <c r="E625" s="62"/>
      <c r="F625" s="58"/>
      <c r="G625" s="31"/>
      <c r="H625" s="20"/>
      <c r="I625" s="20"/>
      <c r="J625" s="20"/>
      <c r="K625" s="20"/>
      <c r="L625" s="20"/>
      <c r="M625" s="20"/>
      <c r="N625" s="20"/>
      <c r="O625" s="20"/>
      <c r="P625" s="20"/>
      <c r="Q625" s="20"/>
      <c r="R625" s="20"/>
      <c r="S625" s="20"/>
      <c r="T625" s="20"/>
      <c r="U625" s="20"/>
      <c r="V625" s="20"/>
    </row>
    <row r="626" spans="5:22" ht="17.25" customHeight="1">
      <c r="E626" s="62"/>
      <c r="F626" s="58"/>
      <c r="G626" s="31"/>
      <c r="H626" s="20"/>
      <c r="I626" s="20"/>
      <c r="J626" s="20"/>
      <c r="K626" s="20"/>
      <c r="L626" s="20"/>
      <c r="M626" s="20"/>
      <c r="N626" s="20"/>
      <c r="O626" s="20"/>
      <c r="P626" s="20"/>
      <c r="Q626" s="20"/>
      <c r="R626" s="20"/>
      <c r="S626" s="20"/>
      <c r="T626" s="20"/>
      <c r="U626" s="20"/>
      <c r="V626" s="20"/>
    </row>
    <row r="627" spans="5:22" ht="17.25" customHeight="1">
      <c r="E627" s="62"/>
      <c r="F627" s="58"/>
      <c r="G627" s="31"/>
      <c r="H627" s="20"/>
      <c r="I627" s="20"/>
      <c r="J627" s="20"/>
      <c r="K627" s="20"/>
      <c r="L627" s="20"/>
      <c r="M627" s="20"/>
      <c r="N627" s="20"/>
      <c r="O627" s="20"/>
      <c r="P627" s="20"/>
      <c r="Q627" s="20"/>
      <c r="R627" s="20"/>
      <c r="S627" s="20"/>
      <c r="T627" s="20"/>
      <c r="U627" s="20"/>
      <c r="V627" s="20"/>
    </row>
    <row r="628" spans="5:22" ht="17.25" customHeight="1">
      <c r="E628" s="62"/>
      <c r="F628" s="58"/>
      <c r="G628" s="31"/>
      <c r="H628" s="20"/>
      <c r="I628" s="20"/>
      <c r="J628" s="20"/>
      <c r="K628" s="20"/>
      <c r="L628" s="20"/>
      <c r="M628" s="20"/>
      <c r="N628" s="20"/>
      <c r="O628" s="20"/>
      <c r="P628" s="20"/>
      <c r="Q628" s="20"/>
      <c r="R628" s="20"/>
      <c r="S628" s="20"/>
      <c r="T628" s="20"/>
      <c r="U628" s="20"/>
      <c r="V628" s="20"/>
    </row>
    <row r="629" spans="5:22" ht="17.25" customHeight="1">
      <c r="E629" s="62"/>
      <c r="F629" s="58"/>
      <c r="G629" s="31"/>
      <c r="H629" s="20"/>
      <c r="I629" s="20"/>
      <c r="J629" s="20"/>
      <c r="K629" s="20"/>
      <c r="L629" s="20"/>
      <c r="M629" s="20"/>
      <c r="N629" s="20"/>
      <c r="O629" s="20"/>
      <c r="P629" s="20"/>
      <c r="Q629" s="20"/>
      <c r="R629" s="20"/>
      <c r="S629" s="20"/>
      <c r="T629" s="20"/>
      <c r="U629" s="20"/>
      <c r="V629" s="20"/>
    </row>
    <row r="630" spans="5:22" ht="17.25" customHeight="1">
      <c r="E630" s="62"/>
      <c r="F630" s="58"/>
      <c r="G630" s="31"/>
      <c r="H630" s="20"/>
      <c r="I630" s="20"/>
      <c r="J630" s="20"/>
      <c r="K630" s="20"/>
      <c r="L630" s="20"/>
      <c r="M630" s="20"/>
      <c r="N630" s="20"/>
      <c r="O630" s="20"/>
      <c r="P630" s="20"/>
      <c r="Q630" s="20"/>
      <c r="R630" s="20"/>
      <c r="S630" s="20"/>
      <c r="T630" s="20"/>
      <c r="U630" s="20"/>
      <c r="V630" s="20"/>
    </row>
    <row r="631" spans="5:22" ht="17.25" customHeight="1">
      <c r="E631" s="62"/>
      <c r="F631" s="58"/>
      <c r="G631" s="31"/>
      <c r="H631" s="20"/>
      <c r="I631" s="20"/>
      <c r="J631" s="20"/>
      <c r="K631" s="20"/>
      <c r="L631" s="20"/>
      <c r="M631" s="20"/>
      <c r="N631" s="20"/>
      <c r="O631" s="20"/>
      <c r="P631" s="20"/>
      <c r="Q631" s="20"/>
      <c r="R631" s="20"/>
      <c r="S631" s="20"/>
      <c r="T631" s="20"/>
      <c r="U631" s="20"/>
      <c r="V631" s="20"/>
    </row>
    <row r="632" spans="5:22" ht="17.25" customHeight="1">
      <c r="E632" s="62"/>
      <c r="F632" s="58"/>
      <c r="G632" s="31"/>
      <c r="H632" s="20"/>
      <c r="I632" s="20"/>
      <c r="J632" s="20"/>
      <c r="K632" s="20"/>
      <c r="L632" s="20"/>
      <c r="M632" s="20"/>
      <c r="N632" s="20"/>
      <c r="O632" s="20"/>
      <c r="P632" s="20"/>
      <c r="Q632" s="20"/>
      <c r="R632" s="20"/>
      <c r="S632" s="20"/>
      <c r="T632" s="20"/>
      <c r="U632" s="20"/>
      <c r="V632" s="20"/>
    </row>
    <row r="633" spans="5:22" ht="17.25" customHeight="1">
      <c r="E633" s="62"/>
      <c r="F633" s="58"/>
      <c r="G633" s="31"/>
      <c r="H633" s="20"/>
      <c r="I633" s="20"/>
      <c r="J633" s="20"/>
      <c r="K633" s="20"/>
      <c r="L633" s="20"/>
      <c r="M633" s="20"/>
      <c r="N633" s="20"/>
      <c r="O633" s="20"/>
      <c r="P633" s="20"/>
      <c r="Q633" s="20"/>
      <c r="R633" s="20"/>
      <c r="S633" s="20"/>
      <c r="T633" s="20"/>
      <c r="U633" s="20"/>
      <c r="V633" s="20"/>
    </row>
    <row r="634" spans="5:22" ht="17.25" customHeight="1">
      <c r="E634" s="62"/>
      <c r="F634" s="58"/>
      <c r="G634" s="31"/>
      <c r="H634" s="20"/>
      <c r="I634" s="20"/>
      <c r="J634" s="20"/>
      <c r="K634" s="20"/>
      <c r="L634" s="20"/>
      <c r="M634" s="20"/>
      <c r="N634" s="20"/>
      <c r="O634" s="20"/>
      <c r="P634" s="20"/>
      <c r="Q634" s="20"/>
      <c r="R634" s="20"/>
      <c r="S634" s="20"/>
      <c r="T634" s="20"/>
      <c r="U634" s="20"/>
      <c r="V634" s="20"/>
    </row>
    <row r="635" spans="5:22" ht="17.25" customHeight="1">
      <c r="E635" s="62"/>
      <c r="F635" s="58"/>
      <c r="G635" s="31"/>
      <c r="H635" s="20"/>
      <c r="I635" s="20"/>
      <c r="J635" s="20"/>
      <c r="K635" s="20"/>
      <c r="L635" s="20"/>
      <c r="M635" s="20"/>
      <c r="N635" s="20"/>
      <c r="O635" s="20"/>
      <c r="P635" s="20"/>
      <c r="Q635" s="20"/>
      <c r="R635" s="20"/>
      <c r="S635" s="20"/>
      <c r="T635" s="20"/>
      <c r="U635" s="20"/>
      <c r="V635" s="20"/>
    </row>
    <row r="636" spans="5:22" ht="17.25" customHeight="1">
      <c r="E636" s="62"/>
      <c r="F636" s="58"/>
      <c r="G636" s="31"/>
      <c r="H636" s="20"/>
      <c r="I636" s="20"/>
      <c r="J636" s="20"/>
      <c r="K636" s="20"/>
      <c r="L636" s="20"/>
      <c r="M636" s="20"/>
      <c r="N636" s="20"/>
      <c r="O636" s="20"/>
      <c r="P636" s="20"/>
      <c r="Q636" s="20"/>
      <c r="R636" s="20"/>
      <c r="S636" s="20"/>
      <c r="T636" s="20"/>
      <c r="U636" s="20"/>
      <c r="V636" s="20"/>
    </row>
    <row r="637" spans="5:22" ht="17.25" customHeight="1">
      <c r="E637" s="62"/>
      <c r="F637" s="58"/>
      <c r="G637" s="31"/>
      <c r="H637" s="20"/>
      <c r="I637" s="20"/>
      <c r="J637" s="20"/>
      <c r="K637" s="20"/>
      <c r="L637" s="20"/>
      <c r="M637" s="20"/>
      <c r="N637" s="20"/>
      <c r="O637" s="20"/>
      <c r="P637" s="20"/>
      <c r="Q637" s="20"/>
      <c r="R637" s="20"/>
      <c r="S637" s="20"/>
      <c r="T637" s="20"/>
      <c r="U637" s="20"/>
      <c r="V637" s="20"/>
    </row>
    <row r="638" spans="5:22" ht="17.25" customHeight="1">
      <c r="E638" s="62"/>
      <c r="F638" s="58"/>
      <c r="G638" s="31"/>
      <c r="H638" s="20"/>
      <c r="I638" s="20"/>
      <c r="J638" s="20"/>
      <c r="K638" s="20"/>
      <c r="L638" s="20"/>
      <c r="M638" s="20"/>
      <c r="N638" s="20"/>
      <c r="O638" s="20"/>
      <c r="P638" s="20"/>
      <c r="Q638" s="20"/>
      <c r="R638" s="20"/>
      <c r="S638" s="20"/>
      <c r="T638" s="20"/>
      <c r="U638" s="20"/>
      <c r="V638" s="20"/>
    </row>
    <row r="639" spans="5:22" ht="17.25" customHeight="1">
      <c r="E639" s="62"/>
      <c r="F639" s="58"/>
      <c r="G639" s="31"/>
      <c r="H639" s="20"/>
      <c r="I639" s="20"/>
      <c r="J639" s="20"/>
      <c r="K639" s="20"/>
      <c r="L639" s="20"/>
      <c r="M639" s="20"/>
      <c r="N639" s="20"/>
      <c r="O639" s="20"/>
      <c r="P639" s="20"/>
      <c r="Q639" s="20"/>
      <c r="R639" s="20"/>
      <c r="S639" s="20"/>
      <c r="T639" s="20"/>
      <c r="U639" s="20"/>
      <c r="V639" s="20"/>
    </row>
    <row r="640" spans="5:22" ht="17.25" customHeight="1">
      <c r="E640" s="62"/>
      <c r="F640" s="58"/>
      <c r="G640" s="31"/>
      <c r="H640" s="20"/>
      <c r="I640" s="20"/>
      <c r="J640" s="20"/>
      <c r="K640" s="20"/>
      <c r="L640" s="20"/>
      <c r="M640" s="20"/>
      <c r="N640" s="20"/>
      <c r="O640" s="20"/>
      <c r="P640" s="20"/>
      <c r="Q640" s="20"/>
      <c r="R640" s="20"/>
      <c r="S640" s="20"/>
      <c r="T640" s="20"/>
      <c r="U640" s="20"/>
      <c r="V640" s="20"/>
    </row>
    <row r="641" spans="5:22" ht="17.25" customHeight="1">
      <c r="E641" s="62"/>
      <c r="F641" s="58"/>
      <c r="G641" s="31"/>
      <c r="H641" s="20"/>
      <c r="I641" s="20"/>
      <c r="J641" s="20"/>
      <c r="K641" s="20"/>
      <c r="L641" s="20"/>
      <c r="M641" s="20"/>
      <c r="N641" s="20"/>
      <c r="O641" s="20"/>
      <c r="P641" s="20"/>
      <c r="Q641" s="20"/>
      <c r="R641" s="20"/>
      <c r="S641" s="20"/>
      <c r="T641" s="20"/>
      <c r="U641" s="20"/>
      <c r="V641" s="20"/>
    </row>
    <row r="642" spans="5:22" ht="17.25" customHeight="1">
      <c r="E642" s="62"/>
      <c r="F642" s="58"/>
      <c r="G642" s="31"/>
      <c r="H642" s="20"/>
      <c r="I642" s="20"/>
      <c r="J642" s="20"/>
      <c r="K642" s="20"/>
      <c r="L642" s="20"/>
      <c r="M642" s="20"/>
      <c r="N642" s="20"/>
      <c r="O642" s="20"/>
      <c r="P642" s="20"/>
      <c r="Q642" s="20"/>
      <c r="R642" s="20"/>
      <c r="S642" s="20"/>
      <c r="T642" s="20"/>
      <c r="U642" s="20"/>
      <c r="V642" s="20"/>
    </row>
    <row r="643" spans="5:22" ht="17.25" customHeight="1">
      <c r="E643" s="62"/>
      <c r="F643" s="58"/>
      <c r="G643" s="31"/>
      <c r="H643" s="20"/>
      <c r="I643" s="20"/>
      <c r="J643" s="20"/>
      <c r="K643" s="20"/>
      <c r="L643" s="20"/>
      <c r="M643" s="20"/>
      <c r="N643" s="20"/>
      <c r="O643" s="20"/>
      <c r="P643" s="20"/>
      <c r="Q643" s="20"/>
      <c r="R643" s="20"/>
      <c r="S643" s="20"/>
      <c r="T643" s="20"/>
      <c r="U643" s="20"/>
      <c r="V643" s="20"/>
    </row>
    <row r="644" spans="5:22" ht="17.25" customHeight="1">
      <c r="E644" s="62"/>
      <c r="F644" s="58"/>
      <c r="G644" s="31"/>
      <c r="H644" s="20"/>
      <c r="I644" s="20"/>
      <c r="J644" s="20"/>
      <c r="K644" s="20"/>
      <c r="L644" s="20"/>
      <c r="M644" s="20"/>
      <c r="N644" s="20"/>
      <c r="O644" s="20"/>
      <c r="P644" s="20"/>
      <c r="Q644" s="20"/>
      <c r="R644" s="20"/>
      <c r="S644" s="20"/>
      <c r="T644" s="20"/>
      <c r="U644" s="20"/>
      <c r="V644" s="20"/>
    </row>
    <row r="645" spans="5:22" ht="17.25" customHeight="1">
      <c r="E645" s="62"/>
      <c r="F645" s="58"/>
      <c r="G645" s="31"/>
      <c r="H645" s="20"/>
      <c r="I645" s="20"/>
      <c r="J645" s="20"/>
      <c r="K645" s="20"/>
      <c r="L645" s="20"/>
      <c r="M645" s="20"/>
      <c r="N645" s="20"/>
      <c r="O645" s="20"/>
      <c r="P645" s="20"/>
      <c r="Q645" s="20"/>
      <c r="R645" s="20"/>
      <c r="S645" s="20"/>
      <c r="T645" s="20"/>
      <c r="U645" s="20"/>
      <c r="V645" s="20"/>
    </row>
    <row r="646" spans="5:22" ht="17.25" customHeight="1">
      <c r="E646" s="62"/>
      <c r="F646" s="58"/>
      <c r="G646" s="31"/>
      <c r="H646" s="20"/>
      <c r="I646" s="20"/>
      <c r="J646" s="20"/>
      <c r="K646" s="20"/>
      <c r="L646" s="20"/>
      <c r="M646" s="20"/>
      <c r="N646" s="20"/>
      <c r="O646" s="20"/>
      <c r="P646" s="20"/>
      <c r="Q646" s="20"/>
      <c r="R646" s="20"/>
      <c r="S646" s="20"/>
      <c r="T646" s="20"/>
      <c r="U646" s="20"/>
      <c r="V646" s="20"/>
    </row>
    <row r="647" spans="5:22" ht="17.25" customHeight="1">
      <c r="E647" s="62"/>
      <c r="F647" s="58"/>
      <c r="G647" s="31"/>
      <c r="H647" s="20"/>
      <c r="I647" s="20"/>
      <c r="J647" s="20"/>
      <c r="K647" s="20"/>
      <c r="L647" s="20"/>
      <c r="M647" s="20"/>
      <c r="N647" s="20"/>
      <c r="O647" s="20"/>
      <c r="P647" s="20"/>
      <c r="Q647" s="20"/>
      <c r="R647" s="20"/>
      <c r="S647" s="20"/>
      <c r="T647" s="20"/>
      <c r="U647" s="20"/>
      <c r="V647" s="20"/>
    </row>
    <row r="648" spans="5:22" ht="17.25" customHeight="1">
      <c r="E648" s="62"/>
      <c r="F648" s="58"/>
      <c r="G648" s="31"/>
      <c r="H648" s="20"/>
      <c r="I648" s="20"/>
      <c r="J648" s="20"/>
      <c r="K648" s="20"/>
      <c r="L648" s="20"/>
      <c r="M648" s="20"/>
      <c r="N648" s="20"/>
      <c r="O648" s="20"/>
      <c r="P648" s="20"/>
      <c r="Q648" s="20"/>
      <c r="R648" s="20"/>
      <c r="S648" s="20"/>
      <c r="T648" s="20"/>
      <c r="U648" s="20"/>
      <c r="V648" s="20"/>
    </row>
    <row r="649" spans="5:22" ht="17.25" customHeight="1">
      <c r="E649" s="62"/>
      <c r="F649" s="58"/>
      <c r="G649" s="31"/>
      <c r="H649" s="20"/>
      <c r="I649" s="20"/>
      <c r="J649" s="20"/>
      <c r="K649" s="20"/>
      <c r="L649" s="20"/>
      <c r="M649" s="20"/>
      <c r="N649" s="20"/>
      <c r="O649" s="20"/>
      <c r="P649" s="20"/>
      <c r="Q649" s="20"/>
      <c r="R649" s="20"/>
      <c r="S649" s="20"/>
      <c r="T649" s="20"/>
      <c r="U649" s="20"/>
      <c r="V649" s="20"/>
    </row>
    <row r="650" spans="5:22" ht="17.25" customHeight="1">
      <c r="E650" s="62"/>
      <c r="F650" s="58"/>
      <c r="G650" s="31"/>
      <c r="H650" s="20"/>
      <c r="I650" s="20"/>
      <c r="J650" s="20"/>
      <c r="K650" s="20"/>
      <c r="L650" s="20"/>
      <c r="M650" s="20"/>
      <c r="N650" s="20"/>
      <c r="O650" s="20"/>
      <c r="P650" s="20"/>
      <c r="Q650" s="20"/>
      <c r="R650" s="20"/>
      <c r="S650" s="20"/>
      <c r="T650" s="20"/>
      <c r="U650" s="20"/>
      <c r="V650" s="20"/>
    </row>
    <row r="651" spans="5:22" ht="17.25" customHeight="1">
      <c r="E651" s="62"/>
      <c r="F651" s="58"/>
      <c r="G651" s="31"/>
      <c r="H651" s="20"/>
      <c r="I651" s="20"/>
      <c r="J651" s="20"/>
      <c r="K651" s="20"/>
      <c r="L651" s="20"/>
      <c r="M651" s="20"/>
      <c r="N651" s="20"/>
      <c r="O651" s="20"/>
      <c r="P651" s="20"/>
      <c r="Q651" s="20"/>
      <c r="R651" s="20"/>
      <c r="S651" s="20"/>
      <c r="T651" s="20"/>
      <c r="U651" s="20"/>
      <c r="V651" s="20"/>
    </row>
    <row r="652" spans="5:22" ht="17.25" customHeight="1">
      <c r="E652" s="62"/>
      <c r="F652" s="58"/>
      <c r="G652" s="31"/>
      <c r="H652" s="20"/>
      <c r="I652" s="20"/>
      <c r="J652" s="20"/>
      <c r="K652" s="20"/>
      <c r="L652" s="20"/>
      <c r="M652" s="20"/>
      <c r="N652" s="20"/>
      <c r="O652" s="20"/>
      <c r="P652" s="20"/>
      <c r="Q652" s="20"/>
      <c r="R652" s="20"/>
      <c r="S652" s="20"/>
      <c r="T652" s="20"/>
      <c r="U652" s="20"/>
      <c r="V652" s="20"/>
    </row>
    <row r="653" spans="5:22" ht="17.25" customHeight="1">
      <c r="E653" s="62"/>
      <c r="F653" s="58"/>
      <c r="G653" s="31"/>
      <c r="H653" s="20"/>
      <c r="I653" s="20"/>
      <c r="J653" s="20"/>
      <c r="K653" s="20"/>
      <c r="L653" s="20"/>
      <c r="M653" s="20"/>
      <c r="N653" s="20"/>
      <c r="O653" s="20"/>
      <c r="P653" s="20"/>
      <c r="Q653" s="20"/>
      <c r="R653" s="20"/>
      <c r="S653" s="20"/>
      <c r="T653" s="20"/>
      <c r="U653" s="20"/>
      <c r="V653" s="20"/>
    </row>
    <row r="654" spans="5:22" ht="17.25" customHeight="1">
      <c r="E654" s="62"/>
      <c r="F654" s="58"/>
      <c r="G654" s="31"/>
      <c r="H654" s="20"/>
      <c r="I654" s="20"/>
      <c r="J654" s="20"/>
      <c r="K654" s="20"/>
      <c r="L654" s="20"/>
      <c r="M654" s="20"/>
      <c r="N654" s="20"/>
      <c r="O654" s="20"/>
      <c r="P654" s="20"/>
      <c r="Q654" s="20"/>
      <c r="R654" s="20"/>
      <c r="S654" s="20"/>
      <c r="T654" s="20"/>
      <c r="U654" s="20"/>
      <c r="V654" s="20"/>
    </row>
    <row r="655" spans="5:22" ht="17.25" customHeight="1">
      <c r="E655" s="62"/>
      <c r="F655" s="58"/>
      <c r="G655" s="31"/>
      <c r="H655" s="20"/>
      <c r="I655" s="20"/>
      <c r="J655" s="20"/>
      <c r="K655" s="20"/>
      <c r="L655" s="20"/>
      <c r="M655" s="20"/>
      <c r="N655" s="20"/>
      <c r="O655" s="20"/>
      <c r="P655" s="20"/>
      <c r="Q655" s="20"/>
      <c r="R655" s="20"/>
      <c r="S655" s="20"/>
      <c r="T655" s="20"/>
      <c r="U655" s="20"/>
      <c r="V655" s="20"/>
    </row>
    <row r="656" spans="5:22" ht="17.25" customHeight="1">
      <c r="E656" s="62"/>
      <c r="F656" s="58"/>
      <c r="G656" s="31"/>
      <c r="H656" s="20"/>
      <c r="I656" s="20"/>
      <c r="J656" s="20"/>
      <c r="K656" s="20"/>
      <c r="L656" s="20"/>
      <c r="M656" s="20"/>
      <c r="N656" s="20"/>
      <c r="O656" s="20"/>
      <c r="P656" s="20"/>
      <c r="Q656" s="20"/>
      <c r="R656" s="20"/>
      <c r="S656" s="20"/>
      <c r="T656" s="20"/>
      <c r="U656" s="20"/>
      <c r="V656" s="20"/>
    </row>
    <row r="657" spans="5:22" ht="17.25" customHeight="1">
      <c r="E657" s="62"/>
      <c r="F657" s="58"/>
      <c r="G657" s="31"/>
      <c r="H657" s="20"/>
      <c r="I657" s="20"/>
      <c r="J657" s="20"/>
      <c r="K657" s="20"/>
      <c r="L657" s="20"/>
      <c r="M657" s="20"/>
      <c r="N657" s="20"/>
      <c r="O657" s="20"/>
      <c r="P657" s="20"/>
      <c r="Q657" s="20"/>
      <c r="R657" s="20"/>
      <c r="S657" s="20"/>
      <c r="T657" s="20"/>
      <c r="U657" s="20"/>
      <c r="V657" s="20"/>
    </row>
    <row r="658" spans="5:22" ht="17.25" customHeight="1">
      <c r="E658" s="62"/>
      <c r="F658" s="58"/>
      <c r="G658" s="31"/>
      <c r="H658" s="20"/>
      <c r="I658" s="20"/>
      <c r="J658" s="20"/>
      <c r="K658" s="20"/>
      <c r="L658" s="20"/>
      <c r="M658" s="20"/>
      <c r="N658" s="20"/>
      <c r="O658" s="20"/>
      <c r="P658" s="20"/>
      <c r="Q658" s="20"/>
      <c r="R658" s="20"/>
      <c r="S658" s="20"/>
      <c r="T658" s="20"/>
      <c r="U658" s="20"/>
      <c r="V658" s="20"/>
    </row>
    <row r="659" spans="5:22" ht="17.25" customHeight="1">
      <c r="E659" s="62"/>
      <c r="F659" s="58"/>
      <c r="G659" s="31"/>
      <c r="H659" s="20"/>
      <c r="I659" s="20"/>
      <c r="J659" s="20"/>
      <c r="K659" s="20"/>
      <c r="L659" s="20"/>
      <c r="M659" s="20"/>
      <c r="N659" s="20"/>
      <c r="O659" s="20"/>
      <c r="P659" s="20"/>
      <c r="Q659" s="20"/>
      <c r="R659" s="20"/>
      <c r="S659" s="20"/>
      <c r="T659" s="20"/>
      <c r="U659" s="20"/>
      <c r="V659" s="20"/>
    </row>
    <row r="660" spans="5:22" ht="17.25" customHeight="1">
      <c r="E660" s="62"/>
      <c r="F660" s="58"/>
      <c r="G660" s="31"/>
      <c r="H660" s="20"/>
      <c r="I660" s="20"/>
      <c r="J660" s="20"/>
      <c r="K660" s="20"/>
      <c r="L660" s="20"/>
      <c r="M660" s="20"/>
      <c r="N660" s="20"/>
      <c r="O660" s="20"/>
      <c r="P660" s="20"/>
      <c r="Q660" s="20"/>
      <c r="R660" s="20"/>
      <c r="S660" s="20"/>
      <c r="T660" s="20"/>
      <c r="U660" s="20"/>
      <c r="V660" s="20"/>
    </row>
    <row r="661" spans="5:22" ht="17.25" customHeight="1">
      <c r="E661" s="62"/>
      <c r="F661" s="58"/>
      <c r="G661" s="31"/>
      <c r="H661" s="20"/>
      <c r="I661" s="20"/>
      <c r="J661" s="20"/>
      <c r="K661" s="20"/>
      <c r="L661" s="20"/>
      <c r="M661" s="20"/>
      <c r="N661" s="20"/>
      <c r="O661" s="20"/>
      <c r="P661" s="20"/>
      <c r="Q661" s="20"/>
      <c r="R661" s="20"/>
      <c r="S661" s="20"/>
      <c r="T661" s="20"/>
      <c r="U661" s="20"/>
      <c r="V661" s="20"/>
    </row>
    <row r="662" spans="5:22" ht="17.25" customHeight="1">
      <c r="E662" s="62"/>
      <c r="F662" s="58"/>
      <c r="G662" s="31"/>
      <c r="H662" s="20"/>
      <c r="I662" s="20"/>
      <c r="J662" s="20"/>
      <c r="K662" s="20"/>
      <c r="L662" s="20"/>
      <c r="M662" s="20"/>
      <c r="N662" s="20"/>
      <c r="O662" s="20"/>
      <c r="P662" s="20"/>
      <c r="Q662" s="20"/>
      <c r="R662" s="20"/>
      <c r="S662" s="20"/>
      <c r="T662" s="20"/>
      <c r="U662" s="20"/>
      <c r="V662" s="20"/>
    </row>
    <row r="663" spans="5:22" ht="17.25" customHeight="1">
      <c r="E663" s="62"/>
      <c r="F663" s="58"/>
      <c r="G663" s="31"/>
      <c r="H663" s="20"/>
      <c r="I663" s="20"/>
      <c r="J663" s="20"/>
      <c r="K663" s="20"/>
      <c r="L663" s="20"/>
      <c r="M663" s="20"/>
      <c r="N663" s="20"/>
      <c r="O663" s="20"/>
      <c r="P663" s="20"/>
      <c r="Q663" s="20"/>
      <c r="R663" s="20"/>
      <c r="S663" s="20"/>
      <c r="T663" s="20"/>
      <c r="U663" s="20"/>
      <c r="V663" s="20"/>
    </row>
    <row r="664" spans="5:22" ht="17.25" customHeight="1">
      <c r="E664" s="62"/>
      <c r="F664" s="58"/>
      <c r="G664" s="31"/>
      <c r="H664" s="20"/>
      <c r="I664" s="20"/>
      <c r="J664" s="20"/>
      <c r="K664" s="20"/>
      <c r="L664" s="20"/>
      <c r="M664" s="20"/>
      <c r="N664" s="20"/>
      <c r="O664" s="20"/>
      <c r="P664" s="20"/>
      <c r="Q664" s="20"/>
      <c r="R664" s="20"/>
      <c r="S664" s="20"/>
      <c r="T664" s="20"/>
      <c r="U664" s="20"/>
      <c r="V664" s="20"/>
    </row>
    <row r="665" spans="5:22" ht="17.25" customHeight="1">
      <c r="E665" s="62"/>
      <c r="F665" s="58"/>
      <c r="G665" s="31"/>
      <c r="H665" s="20"/>
      <c r="I665" s="20"/>
      <c r="J665" s="20"/>
      <c r="K665" s="20"/>
      <c r="L665" s="20"/>
      <c r="M665" s="20"/>
      <c r="N665" s="20"/>
      <c r="O665" s="20"/>
      <c r="P665" s="20"/>
      <c r="Q665" s="20"/>
      <c r="R665" s="20"/>
      <c r="S665" s="20"/>
      <c r="T665" s="20"/>
      <c r="U665" s="20"/>
      <c r="V665" s="20"/>
    </row>
    <row r="666" spans="5:22" ht="17.25" customHeight="1">
      <c r="E666" s="62"/>
      <c r="F666" s="58"/>
      <c r="G666" s="31"/>
      <c r="H666" s="20"/>
      <c r="I666" s="20"/>
      <c r="J666" s="20"/>
      <c r="K666" s="20"/>
      <c r="L666" s="20"/>
      <c r="M666" s="20"/>
      <c r="N666" s="20"/>
      <c r="O666" s="20"/>
      <c r="P666" s="20"/>
      <c r="Q666" s="20"/>
      <c r="R666" s="20"/>
      <c r="S666" s="20"/>
      <c r="T666" s="20"/>
      <c r="U666" s="20"/>
      <c r="V666" s="20"/>
    </row>
    <row r="667" spans="5:22" ht="17.25" customHeight="1">
      <c r="E667" s="62"/>
      <c r="F667" s="58"/>
      <c r="G667" s="31"/>
      <c r="H667" s="20"/>
      <c r="I667" s="20"/>
      <c r="J667" s="20"/>
      <c r="K667" s="20"/>
      <c r="L667" s="20"/>
      <c r="M667" s="20"/>
      <c r="N667" s="20"/>
      <c r="O667" s="20"/>
      <c r="P667" s="20"/>
      <c r="Q667" s="20"/>
      <c r="R667" s="20"/>
      <c r="S667" s="20"/>
      <c r="T667" s="20"/>
      <c r="U667" s="20"/>
      <c r="V667" s="20"/>
    </row>
    <row r="668" spans="5:22" ht="17.25" customHeight="1">
      <c r="E668" s="62"/>
      <c r="F668" s="58"/>
      <c r="G668" s="31"/>
      <c r="H668" s="20"/>
      <c r="I668" s="20"/>
      <c r="J668" s="20"/>
      <c r="K668" s="20"/>
      <c r="L668" s="20"/>
      <c r="M668" s="20"/>
      <c r="N668" s="20"/>
      <c r="O668" s="20"/>
      <c r="P668" s="20"/>
      <c r="Q668" s="20"/>
      <c r="R668" s="20"/>
      <c r="S668" s="20"/>
      <c r="T668" s="20"/>
      <c r="U668" s="20"/>
      <c r="V668" s="20"/>
    </row>
    <row r="669" spans="5:22" ht="17.25" customHeight="1">
      <c r="E669" s="62"/>
      <c r="F669" s="58"/>
      <c r="G669" s="31"/>
      <c r="H669" s="20"/>
      <c r="I669" s="20"/>
      <c r="J669" s="20"/>
      <c r="K669" s="20"/>
      <c r="L669" s="20"/>
      <c r="M669" s="20"/>
      <c r="N669" s="20"/>
      <c r="O669" s="20"/>
      <c r="P669" s="20"/>
      <c r="Q669" s="20"/>
      <c r="R669" s="20"/>
      <c r="S669" s="20"/>
      <c r="T669" s="20"/>
      <c r="U669" s="20"/>
      <c r="V669" s="20"/>
    </row>
    <row r="670" spans="5:22" ht="17.25" customHeight="1">
      <c r="E670" s="62"/>
      <c r="F670" s="58"/>
      <c r="G670" s="31"/>
      <c r="H670" s="20"/>
      <c r="I670" s="20"/>
      <c r="J670" s="20"/>
      <c r="K670" s="20"/>
      <c r="L670" s="20"/>
      <c r="M670" s="20"/>
      <c r="N670" s="20"/>
      <c r="O670" s="20"/>
      <c r="P670" s="20"/>
      <c r="Q670" s="20"/>
      <c r="R670" s="20"/>
      <c r="S670" s="20"/>
      <c r="T670" s="20"/>
      <c r="U670" s="20"/>
      <c r="V670" s="20"/>
    </row>
    <row r="671" spans="5:22" ht="17.25" customHeight="1">
      <c r="E671" s="62"/>
      <c r="F671" s="58"/>
      <c r="G671" s="31"/>
      <c r="H671" s="20"/>
      <c r="I671" s="20"/>
      <c r="J671" s="20"/>
      <c r="K671" s="20"/>
      <c r="L671" s="20"/>
      <c r="M671" s="20"/>
      <c r="N671" s="20"/>
      <c r="O671" s="20"/>
      <c r="P671" s="20"/>
      <c r="Q671" s="20"/>
      <c r="R671" s="20"/>
      <c r="S671" s="20"/>
      <c r="T671" s="20"/>
      <c r="U671" s="20"/>
      <c r="V671" s="20"/>
    </row>
    <row r="672" spans="5:22" ht="17.25" customHeight="1">
      <c r="E672" s="62"/>
      <c r="F672" s="58"/>
      <c r="G672" s="31"/>
      <c r="H672" s="20"/>
      <c r="I672" s="20"/>
      <c r="J672" s="20"/>
      <c r="K672" s="20"/>
      <c r="L672" s="20"/>
      <c r="M672" s="20"/>
      <c r="N672" s="20"/>
      <c r="O672" s="20"/>
      <c r="P672" s="20"/>
      <c r="Q672" s="20"/>
      <c r="R672" s="20"/>
      <c r="S672" s="20"/>
      <c r="T672" s="20"/>
      <c r="U672" s="20"/>
      <c r="V672" s="20"/>
    </row>
    <row r="673" spans="5:22" ht="17.25" customHeight="1">
      <c r="E673" s="62"/>
      <c r="F673" s="58"/>
      <c r="G673" s="31"/>
      <c r="H673" s="20"/>
      <c r="I673" s="20"/>
      <c r="J673" s="20"/>
      <c r="K673" s="20"/>
      <c r="L673" s="20"/>
      <c r="M673" s="20"/>
      <c r="N673" s="20"/>
      <c r="O673" s="20"/>
      <c r="P673" s="20"/>
      <c r="Q673" s="20"/>
      <c r="R673" s="20"/>
      <c r="S673" s="20"/>
      <c r="T673" s="20"/>
      <c r="U673" s="20"/>
      <c r="V673" s="20"/>
    </row>
    <row r="674" spans="5:22" ht="17.25" customHeight="1">
      <c r="E674" s="62"/>
      <c r="F674" s="58"/>
      <c r="G674" s="31"/>
      <c r="H674" s="20"/>
      <c r="I674" s="20"/>
      <c r="J674" s="20"/>
      <c r="K674" s="20"/>
      <c r="L674" s="20"/>
      <c r="M674" s="20"/>
      <c r="N674" s="20"/>
      <c r="O674" s="20"/>
      <c r="P674" s="20"/>
      <c r="Q674" s="20"/>
      <c r="R674" s="20"/>
      <c r="S674" s="20"/>
      <c r="T674" s="20"/>
      <c r="U674" s="20"/>
      <c r="V674" s="20"/>
    </row>
    <row r="675" spans="5:22" ht="17.25" customHeight="1">
      <c r="E675" s="62"/>
      <c r="F675" s="58"/>
      <c r="G675" s="31"/>
      <c r="H675" s="20"/>
      <c r="I675" s="20"/>
      <c r="J675" s="20"/>
      <c r="K675" s="20"/>
      <c r="L675" s="20"/>
      <c r="M675" s="20"/>
      <c r="N675" s="20"/>
      <c r="O675" s="20"/>
      <c r="P675" s="20"/>
      <c r="Q675" s="20"/>
      <c r="R675" s="20"/>
      <c r="S675" s="20"/>
      <c r="T675" s="20"/>
      <c r="U675" s="20"/>
      <c r="V675" s="20"/>
    </row>
    <row r="676" spans="5:22" ht="17.25" customHeight="1">
      <c r="E676" s="62"/>
      <c r="F676" s="58"/>
      <c r="G676" s="31"/>
      <c r="H676" s="20"/>
      <c r="I676" s="20"/>
      <c r="J676" s="20"/>
      <c r="K676" s="20"/>
      <c r="L676" s="20"/>
      <c r="M676" s="20"/>
      <c r="N676" s="20"/>
      <c r="O676" s="20"/>
      <c r="P676" s="20"/>
      <c r="Q676" s="20"/>
      <c r="R676" s="20"/>
      <c r="S676" s="20"/>
      <c r="T676" s="20"/>
      <c r="U676" s="20"/>
      <c r="V676" s="20"/>
    </row>
    <row r="677" spans="5:22" ht="17.25" customHeight="1">
      <c r="E677" s="62"/>
      <c r="F677" s="58"/>
      <c r="G677" s="31"/>
      <c r="H677" s="20"/>
      <c r="I677" s="20"/>
      <c r="J677" s="20"/>
      <c r="K677" s="20"/>
      <c r="L677" s="20"/>
      <c r="M677" s="20"/>
      <c r="N677" s="20"/>
      <c r="O677" s="20"/>
      <c r="P677" s="20"/>
      <c r="Q677" s="20"/>
      <c r="R677" s="20"/>
      <c r="S677" s="20"/>
      <c r="T677" s="20"/>
      <c r="U677" s="20"/>
      <c r="V677" s="20"/>
    </row>
    <row r="678" spans="5:22" ht="17.25" customHeight="1">
      <c r="E678" s="62"/>
      <c r="F678" s="58"/>
      <c r="G678" s="31"/>
      <c r="H678" s="20"/>
      <c r="I678" s="20"/>
      <c r="J678" s="20"/>
      <c r="K678" s="20"/>
      <c r="L678" s="20"/>
      <c r="M678" s="20"/>
      <c r="N678" s="20"/>
      <c r="O678" s="20"/>
      <c r="P678" s="20"/>
      <c r="Q678" s="20"/>
      <c r="R678" s="20"/>
      <c r="S678" s="20"/>
      <c r="T678" s="20"/>
      <c r="U678" s="20"/>
      <c r="V678" s="20"/>
    </row>
    <row r="679" spans="5:22" ht="17.25" customHeight="1">
      <c r="E679" s="62"/>
      <c r="F679" s="58"/>
      <c r="G679" s="31"/>
      <c r="H679" s="20"/>
      <c r="I679" s="20"/>
      <c r="J679" s="20"/>
      <c r="K679" s="20"/>
      <c r="L679" s="20"/>
      <c r="M679" s="20"/>
      <c r="N679" s="20"/>
      <c r="O679" s="20"/>
      <c r="P679" s="20"/>
      <c r="Q679" s="20"/>
      <c r="R679" s="20"/>
      <c r="S679" s="20"/>
      <c r="T679" s="20"/>
      <c r="U679" s="20"/>
      <c r="V679" s="20"/>
    </row>
    <row r="680" spans="5:22" ht="17.25" customHeight="1">
      <c r="E680" s="62"/>
      <c r="F680" s="58"/>
      <c r="G680" s="31"/>
      <c r="H680" s="20"/>
      <c r="I680" s="20"/>
      <c r="J680" s="20"/>
      <c r="K680" s="20"/>
      <c r="L680" s="20"/>
      <c r="M680" s="20"/>
      <c r="N680" s="20"/>
      <c r="O680" s="20"/>
      <c r="P680" s="20"/>
      <c r="Q680" s="20"/>
      <c r="R680" s="20"/>
      <c r="S680" s="20"/>
      <c r="T680" s="20"/>
      <c r="U680" s="20"/>
      <c r="V680" s="20"/>
    </row>
    <row r="681" spans="5:22" ht="17.25" customHeight="1">
      <c r="E681" s="62"/>
      <c r="F681" s="58"/>
      <c r="G681" s="31"/>
      <c r="H681" s="20"/>
      <c r="I681" s="20"/>
      <c r="J681" s="20"/>
      <c r="K681" s="20"/>
      <c r="L681" s="20"/>
      <c r="M681" s="20"/>
      <c r="N681" s="20"/>
      <c r="O681" s="20"/>
      <c r="P681" s="20"/>
      <c r="Q681" s="20"/>
      <c r="R681" s="20"/>
      <c r="S681" s="20"/>
      <c r="T681" s="20"/>
      <c r="U681" s="20"/>
      <c r="V681" s="20"/>
    </row>
    <row r="682" spans="5:22" ht="17.25" customHeight="1">
      <c r="E682" s="62"/>
      <c r="F682" s="58"/>
      <c r="G682" s="31"/>
      <c r="H682" s="20"/>
      <c r="I682" s="20"/>
      <c r="J682" s="20"/>
      <c r="K682" s="20"/>
      <c r="L682" s="20"/>
      <c r="M682" s="20"/>
      <c r="N682" s="20"/>
      <c r="O682" s="20"/>
      <c r="P682" s="20"/>
      <c r="Q682" s="20"/>
      <c r="R682" s="20"/>
      <c r="S682" s="20"/>
      <c r="T682" s="20"/>
      <c r="U682" s="20"/>
      <c r="V682" s="20"/>
    </row>
    <row r="683" spans="5:22" ht="17.25" customHeight="1">
      <c r="E683" s="62"/>
      <c r="F683" s="58"/>
      <c r="G683" s="31"/>
      <c r="H683" s="20"/>
      <c r="I683" s="20"/>
      <c r="J683" s="20"/>
      <c r="K683" s="20"/>
      <c r="L683" s="20"/>
      <c r="M683" s="20"/>
      <c r="N683" s="20"/>
      <c r="O683" s="20"/>
      <c r="P683" s="20"/>
      <c r="Q683" s="20"/>
      <c r="R683" s="20"/>
      <c r="S683" s="20"/>
      <c r="T683" s="20"/>
      <c r="U683" s="20"/>
      <c r="V683" s="20"/>
    </row>
    <row r="684" spans="5:22" ht="17.25" customHeight="1">
      <c r="E684" s="62"/>
      <c r="F684" s="58"/>
      <c r="G684" s="31"/>
      <c r="H684" s="20"/>
      <c r="I684" s="20"/>
      <c r="J684" s="20"/>
      <c r="K684" s="20"/>
      <c r="L684" s="20"/>
      <c r="M684" s="20"/>
      <c r="N684" s="20"/>
      <c r="O684" s="20"/>
      <c r="P684" s="20"/>
      <c r="Q684" s="20"/>
      <c r="R684" s="20"/>
      <c r="S684" s="20"/>
      <c r="T684" s="20"/>
      <c r="U684" s="20"/>
      <c r="V684" s="20"/>
    </row>
    <row r="685" spans="5:22" ht="17.25" customHeight="1">
      <c r="E685" s="62"/>
      <c r="F685" s="58"/>
      <c r="G685" s="31"/>
      <c r="H685" s="20"/>
      <c r="I685" s="20"/>
      <c r="J685" s="20"/>
      <c r="K685" s="20"/>
      <c r="L685" s="20"/>
      <c r="M685" s="20"/>
      <c r="N685" s="20"/>
      <c r="O685" s="20"/>
      <c r="P685" s="20"/>
      <c r="Q685" s="20"/>
      <c r="R685" s="20"/>
      <c r="S685" s="20"/>
      <c r="T685" s="20"/>
      <c r="U685" s="20"/>
      <c r="V685" s="20"/>
    </row>
    <row r="686" spans="5:22" ht="17.25" customHeight="1">
      <c r="E686" s="62"/>
      <c r="F686" s="58"/>
      <c r="G686" s="31"/>
      <c r="H686" s="20"/>
      <c r="I686" s="20"/>
      <c r="J686" s="20"/>
      <c r="K686" s="20"/>
      <c r="L686" s="20"/>
      <c r="M686" s="20"/>
      <c r="N686" s="20"/>
      <c r="O686" s="20"/>
      <c r="P686" s="20"/>
      <c r="Q686" s="20"/>
      <c r="R686" s="20"/>
      <c r="S686" s="20"/>
      <c r="T686" s="20"/>
      <c r="U686" s="20"/>
      <c r="V686" s="20"/>
    </row>
    <row r="687" spans="5:22" ht="17.25" customHeight="1">
      <c r="E687" s="62"/>
      <c r="F687" s="58"/>
      <c r="G687" s="31"/>
      <c r="H687" s="20"/>
      <c r="I687" s="20"/>
      <c r="J687" s="20"/>
      <c r="K687" s="20"/>
      <c r="L687" s="20"/>
      <c r="M687" s="20"/>
      <c r="N687" s="20"/>
      <c r="O687" s="20"/>
      <c r="P687" s="20"/>
      <c r="Q687" s="20"/>
      <c r="R687" s="20"/>
      <c r="S687" s="20"/>
      <c r="T687" s="20"/>
      <c r="U687" s="20"/>
      <c r="V687" s="20"/>
    </row>
    <row r="688" spans="5:22" ht="17.25" customHeight="1">
      <c r="E688" s="62"/>
      <c r="F688" s="58"/>
      <c r="G688" s="31"/>
      <c r="H688" s="20"/>
      <c r="I688" s="20"/>
      <c r="J688" s="20"/>
      <c r="K688" s="20"/>
      <c r="L688" s="20"/>
      <c r="M688" s="20"/>
      <c r="N688" s="20"/>
      <c r="O688" s="20"/>
      <c r="P688" s="20"/>
      <c r="Q688" s="20"/>
      <c r="R688" s="20"/>
      <c r="S688" s="20"/>
      <c r="T688" s="20"/>
      <c r="U688" s="20"/>
      <c r="V688" s="20"/>
    </row>
    <row r="689" spans="5:22" ht="17.25" customHeight="1">
      <c r="E689" s="62"/>
      <c r="F689" s="58"/>
      <c r="G689" s="31"/>
      <c r="H689" s="20"/>
      <c r="I689" s="20"/>
      <c r="J689" s="20"/>
      <c r="K689" s="20"/>
      <c r="L689" s="20"/>
      <c r="M689" s="20"/>
      <c r="N689" s="20"/>
      <c r="O689" s="20"/>
      <c r="P689" s="20"/>
      <c r="Q689" s="20"/>
      <c r="R689" s="20"/>
      <c r="S689" s="20"/>
      <c r="T689" s="20"/>
      <c r="U689" s="20"/>
      <c r="V689" s="20"/>
    </row>
    <row r="690" spans="5:22" ht="17.25" customHeight="1">
      <c r="E690" s="62"/>
      <c r="F690" s="58"/>
      <c r="G690" s="31"/>
      <c r="H690" s="20"/>
      <c r="I690" s="20"/>
      <c r="J690" s="20"/>
      <c r="K690" s="20"/>
      <c r="L690" s="20"/>
      <c r="M690" s="20"/>
      <c r="N690" s="20"/>
      <c r="O690" s="20"/>
      <c r="P690" s="20"/>
      <c r="Q690" s="20"/>
      <c r="R690" s="20"/>
      <c r="S690" s="20"/>
      <c r="T690" s="20"/>
      <c r="U690" s="20"/>
      <c r="V690" s="20"/>
    </row>
    <row r="691" spans="5:22" ht="17.25" customHeight="1">
      <c r="E691" s="62"/>
      <c r="F691" s="58"/>
      <c r="G691" s="31"/>
      <c r="H691" s="20"/>
      <c r="I691" s="20"/>
      <c r="J691" s="20"/>
      <c r="K691" s="20"/>
      <c r="L691" s="20"/>
      <c r="M691" s="20"/>
      <c r="N691" s="20"/>
      <c r="O691" s="20"/>
      <c r="P691" s="20"/>
      <c r="Q691" s="20"/>
      <c r="R691" s="20"/>
      <c r="S691" s="20"/>
      <c r="T691" s="20"/>
      <c r="U691" s="20"/>
      <c r="V691" s="20"/>
    </row>
    <row r="692" spans="5:22" ht="17.25" customHeight="1">
      <c r="E692" s="62"/>
      <c r="F692" s="58"/>
      <c r="G692" s="31"/>
      <c r="H692" s="20"/>
      <c r="I692" s="20"/>
      <c r="J692" s="20"/>
      <c r="K692" s="20"/>
      <c r="L692" s="20"/>
      <c r="M692" s="20"/>
      <c r="N692" s="20"/>
      <c r="O692" s="20"/>
      <c r="P692" s="20"/>
      <c r="Q692" s="20"/>
      <c r="R692" s="20"/>
      <c r="S692" s="20"/>
      <c r="T692" s="20"/>
      <c r="U692" s="20"/>
      <c r="V692" s="20"/>
    </row>
    <row r="693" spans="5:22" ht="17.25" customHeight="1">
      <c r="E693" s="62"/>
      <c r="F693" s="58"/>
      <c r="G693" s="31"/>
      <c r="H693" s="20"/>
      <c r="I693" s="20"/>
      <c r="J693" s="20"/>
      <c r="K693" s="20"/>
      <c r="L693" s="20"/>
      <c r="M693" s="20"/>
      <c r="N693" s="20"/>
      <c r="O693" s="20"/>
      <c r="P693" s="20"/>
      <c r="Q693" s="20"/>
      <c r="R693" s="20"/>
      <c r="S693" s="20"/>
      <c r="T693" s="20"/>
      <c r="U693" s="20"/>
      <c r="V693" s="20"/>
    </row>
    <row r="694" spans="5:22" ht="17.25" customHeight="1">
      <c r="E694" s="62"/>
      <c r="F694" s="58"/>
      <c r="G694" s="31"/>
      <c r="H694" s="20"/>
      <c r="I694" s="20"/>
      <c r="J694" s="20"/>
      <c r="K694" s="20"/>
      <c r="L694" s="20"/>
      <c r="M694" s="20"/>
      <c r="N694" s="20"/>
      <c r="O694" s="20"/>
      <c r="P694" s="20"/>
      <c r="Q694" s="20"/>
      <c r="R694" s="20"/>
      <c r="S694" s="20"/>
      <c r="T694" s="20"/>
      <c r="U694" s="20"/>
      <c r="V694" s="20"/>
    </row>
    <row r="695" spans="5:22" ht="17.25" customHeight="1">
      <c r="E695" s="62"/>
      <c r="F695" s="58"/>
      <c r="G695" s="31"/>
      <c r="H695" s="20"/>
      <c r="I695" s="20"/>
      <c r="J695" s="20"/>
      <c r="K695" s="20"/>
      <c r="L695" s="20"/>
      <c r="M695" s="20"/>
      <c r="N695" s="20"/>
      <c r="O695" s="20"/>
      <c r="P695" s="20"/>
      <c r="Q695" s="20"/>
      <c r="R695" s="20"/>
      <c r="S695" s="20"/>
      <c r="T695" s="20"/>
      <c r="U695" s="20"/>
      <c r="V695" s="20"/>
    </row>
    <row r="696" spans="5:22" ht="17.25" customHeight="1">
      <c r="E696" s="62"/>
      <c r="F696" s="58"/>
      <c r="G696" s="31"/>
      <c r="H696" s="20"/>
      <c r="I696" s="20"/>
      <c r="J696" s="20"/>
      <c r="K696" s="20"/>
      <c r="L696" s="20"/>
      <c r="M696" s="20"/>
      <c r="N696" s="20"/>
      <c r="O696" s="20"/>
      <c r="P696" s="20"/>
      <c r="Q696" s="20"/>
      <c r="R696" s="20"/>
      <c r="S696" s="20"/>
      <c r="T696" s="20"/>
      <c r="U696" s="20"/>
      <c r="V696" s="20"/>
    </row>
    <row r="697" spans="5:22" ht="17.25" customHeight="1">
      <c r="E697" s="62"/>
      <c r="F697" s="58"/>
      <c r="G697" s="31"/>
      <c r="H697" s="20"/>
      <c r="I697" s="20"/>
      <c r="J697" s="20"/>
      <c r="K697" s="20"/>
      <c r="L697" s="20"/>
      <c r="M697" s="20"/>
      <c r="N697" s="20"/>
      <c r="O697" s="20"/>
      <c r="P697" s="20"/>
      <c r="Q697" s="20"/>
      <c r="R697" s="20"/>
      <c r="S697" s="20"/>
      <c r="T697" s="20"/>
      <c r="U697" s="20"/>
      <c r="V697" s="20"/>
    </row>
    <row r="698" spans="5:22" ht="17.25" customHeight="1">
      <c r="E698" s="62"/>
      <c r="F698" s="58"/>
      <c r="G698" s="31"/>
      <c r="H698" s="20"/>
      <c r="I698" s="20"/>
      <c r="J698" s="20"/>
      <c r="K698" s="20"/>
      <c r="L698" s="20"/>
      <c r="M698" s="20"/>
      <c r="N698" s="20"/>
      <c r="O698" s="20"/>
      <c r="P698" s="20"/>
      <c r="Q698" s="20"/>
      <c r="R698" s="20"/>
      <c r="S698" s="20"/>
      <c r="T698" s="20"/>
      <c r="U698" s="20"/>
      <c r="V698" s="20"/>
    </row>
    <row r="699" spans="5:22" ht="17.25" customHeight="1">
      <c r="E699" s="62"/>
      <c r="F699" s="58"/>
      <c r="G699" s="31"/>
      <c r="H699" s="20"/>
      <c r="I699" s="20"/>
      <c r="J699" s="20"/>
      <c r="K699" s="20"/>
      <c r="L699" s="20"/>
      <c r="M699" s="20"/>
      <c r="N699" s="20"/>
      <c r="O699" s="20"/>
      <c r="P699" s="20"/>
      <c r="Q699" s="20"/>
      <c r="R699" s="20"/>
      <c r="S699" s="20"/>
      <c r="T699" s="20"/>
      <c r="U699" s="20"/>
      <c r="V699" s="20"/>
    </row>
    <row r="700" spans="5:22" ht="17.25" customHeight="1">
      <c r="E700" s="62"/>
      <c r="F700" s="58"/>
      <c r="G700" s="31"/>
      <c r="H700" s="20"/>
      <c r="I700" s="20"/>
      <c r="J700" s="20"/>
      <c r="K700" s="20"/>
      <c r="L700" s="20"/>
      <c r="M700" s="20"/>
      <c r="N700" s="20"/>
      <c r="O700" s="20"/>
      <c r="P700" s="20"/>
      <c r="Q700" s="20"/>
      <c r="R700" s="20"/>
      <c r="S700" s="20"/>
      <c r="T700" s="20"/>
      <c r="U700" s="20"/>
      <c r="V700" s="20"/>
    </row>
    <row r="701" spans="5:22" ht="17.25" customHeight="1">
      <c r="E701" s="62"/>
      <c r="F701" s="58"/>
      <c r="G701" s="31"/>
      <c r="H701" s="20"/>
      <c r="I701" s="20"/>
      <c r="J701" s="20"/>
      <c r="K701" s="20"/>
      <c r="L701" s="20"/>
      <c r="M701" s="20"/>
      <c r="N701" s="20"/>
      <c r="O701" s="20"/>
      <c r="P701" s="20"/>
      <c r="Q701" s="20"/>
      <c r="R701" s="20"/>
      <c r="S701" s="20"/>
      <c r="T701" s="20"/>
      <c r="U701" s="20"/>
      <c r="V701" s="20"/>
    </row>
    <row r="702" spans="5:22" ht="17.25" customHeight="1">
      <c r="E702" s="62"/>
      <c r="F702" s="58"/>
      <c r="G702" s="31"/>
      <c r="H702" s="20"/>
      <c r="I702" s="20"/>
      <c r="J702" s="20"/>
      <c r="K702" s="20"/>
      <c r="L702" s="20"/>
      <c r="M702" s="20"/>
      <c r="N702" s="20"/>
      <c r="O702" s="20"/>
      <c r="P702" s="20"/>
      <c r="Q702" s="20"/>
      <c r="R702" s="20"/>
      <c r="S702" s="20"/>
      <c r="T702" s="20"/>
      <c r="U702" s="20"/>
      <c r="V702" s="20"/>
    </row>
    <row r="703" spans="5:22" ht="17.25" customHeight="1">
      <c r="E703" s="62"/>
      <c r="F703" s="58"/>
      <c r="G703" s="31"/>
      <c r="H703" s="20"/>
      <c r="I703" s="20"/>
      <c r="J703" s="20"/>
      <c r="K703" s="20"/>
      <c r="L703" s="20"/>
      <c r="M703" s="20"/>
      <c r="N703" s="20"/>
      <c r="O703" s="20"/>
      <c r="P703" s="20"/>
      <c r="Q703" s="20"/>
      <c r="R703" s="20"/>
      <c r="S703" s="20"/>
      <c r="T703" s="20"/>
      <c r="U703" s="20"/>
      <c r="V703" s="20"/>
    </row>
    <row r="704" spans="5:22" ht="17.25" customHeight="1">
      <c r="E704" s="62"/>
      <c r="F704" s="58"/>
      <c r="G704" s="31"/>
      <c r="H704" s="20"/>
      <c r="I704" s="20"/>
      <c r="J704" s="20"/>
      <c r="K704" s="20"/>
      <c r="L704" s="20"/>
      <c r="M704" s="20"/>
      <c r="N704" s="20"/>
      <c r="O704" s="20"/>
      <c r="P704" s="20"/>
      <c r="Q704" s="20"/>
      <c r="R704" s="20"/>
      <c r="S704" s="20"/>
      <c r="T704" s="20"/>
      <c r="U704" s="20"/>
      <c r="V704" s="20"/>
    </row>
    <row r="705" spans="5:22" ht="17.25" customHeight="1">
      <c r="E705" s="62"/>
      <c r="F705" s="58"/>
      <c r="G705" s="31"/>
      <c r="H705" s="20"/>
      <c r="I705" s="20"/>
      <c r="J705" s="20"/>
      <c r="K705" s="20"/>
      <c r="L705" s="20"/>
      <c r="M705" s="20"/>
      <c r="N705" s="20"/>
      <c r="O705" s="20"/>
      <c r="P705" s="20"/>
      <c r="Q705" s="20"/>
      <c r="R705" s="20"/>
      <c r="S705" s="20"/>
      <c r="T705" s="20"/>
      <c r="U705" s="20"/>
      <c r="V705" s="20"/>
    </row>
    <row r="706" spans="5:22" ht="17.25" customHeight="1">
      <c r="E706" s="62"/>
      <c r="F706" s="58"/>
      <c r="G706" s="31"/>
      <c r="H706" s="20"/>
      <c r="I706" s="20"/>
      <c r="J706" s="20"/>
      <c r="K706" s="20"/>
      <c r="L706" s="20"/>
      <c r="M706" s="20"/>
      <c r="N706" s="20"/>
      <c r="O706" s="20"/>
      <c r="P706" s="20"/>
      <c r="Q706" s="20"/>
      <c r="R706" s="20"/>
      <c r="S706" s="20"/>
      <c r="T706" s="20"/>
      <c r="U706" s="20"/>
      <c r="V706" s="20"/>
    </row>
    <row r="707" spans="5:22" ht="17.25" customHeight="1">
      <c r="E707" s="62"/>
      <c r="F707" s="58"/>
      <c r="G707" s="31"/>
      <c r="H707" s="20"/>
      <c r="I707" s="20"/>
      <c r="J707" s="20"/>
      <c r="K707" s="20"/>
      <c r="L707" s="20"/>
      <c r="M707" s="20"/>
      <c r="N707" s="20"/>
      <c r="O707" s="20"/>
      <c r="P707" s="20"/>
      <c r="Q707" s="20"/>
      <c r="R707" s="20"/>
      <c r="S707" s="20"/>
      <c r="T707" s="20"/>
      <c r="U707" s="20"/>
      <c r="V707" s="20"/>
    </row>
    <row r="708" spans="5:22" ht="17.25" customHeight="1">
      <c r="E708" s="62"/>
      <c r="F708" s="58"/>
      <c r="G708" s="31"/>
      <c r="H708" s="20"/>
      <c r="I708" s="20"/>
      <c r="J708" s="20"/>
      <c r="K708" s="20"/>
      <c r="L708" s="20"/>
      <c r="M708" s="20"/>
      <c r="N708" s="20"/>
      <c r="O708" s="20"/>
      <c r="P708" s="20"/>
      <c r="Q708" s="20"/>
      <c r="R708" s="20"/>
      <c r="S708" s="20"/>
      <c r="T708" s="20"/>
      <c r="U708" s="20"/>
      <c r="V708" s="20"/>
    </row>
    <row r="709" spans="5:22" ht="17.25" customHeight="1">
      <c r="E709" s="62"/>
      <c r="F709" s="58"/>
      <c r="G709" s="31"/>
      <c r="H709" s="20"/>
      <c r="I709" s="20"/>
      <c r="J709" s="20"/>
      <c r="K709" s="20"/>
      <c r="L709" s="20"/>
      <c r="M709" s="20"/>
      <c r="N709" s="20"/>
      <c r="O709" s="20"/>
      <c r="P709" s="20"/>
      <c r="Q709" s="20"/>
      <c r="R709" s="20"/>
      <c r="S709" s="20"/>
      <c r="T709" s="20"/>
      <c r="U709" s="20"/>
      <c r="V709" s="20"/>
    </row>
    <row r="710" spans="5:22" ht="17.25" customHeight="1">
      <c r="E710" s="62"/>
      <c r="F710" s="58"/>
      <c r="G710" s="31"/>
      <c r="H710" s="20"/>
      <c r="I710" s="20"/>
      <c r="J710" s="20"/>
      <c r="K710" s="20"/>
      <c r="L710" s="20"/>
      <c r="M710" s="20"/>
      <c r="N710" s="20"/>
      <c r="O710" s="20"/>
      <c r="P710" s="20"/>
      <c r="Q710" s="20"/>
      <c r="R710" s="20"/>
      <c r="S710" s="20"/>
      <c r="T710" s="20"/>
      <c r="U710" s="20"/>
      <c r="V710" s="20"/>
    </row>
    <row r="711" spans="5:22" ht="17.25" customHeight="1">
      <c r="E711" s="62"/>
      <c r="F711" s="58"/>
      <c r="G711" s="31"/>
      <c r="H711" s="20"/>
      <c r="I711" s="20"/>
      <c r="J711" s="20"/>
      <c r="K711" s="20"/>
      <c r="L711" s="20"/>
      <c r="M711" s="20"/>
      <c r="N711" s="20"/>
      <c r="O711" s="20"/>
      <c r="P711" s="20"/>
      <c r="Q711" s="20"/>
      <c r="R711" s="20"/>
      <c r="S711" s="20"/>
      <c r="T711" s="20"/>
      <c r="U711" s="20"/>
      <c r="V711" s="20"/>
    </row>
    <row r="712" spans="5:22" ht="17.25" customHeight="1">
      <c r="E712" s="62"/>
      <c r="F712" s="58"/>
      <c r="G712" s="31"/>
      <c r="H712" s="20"/>
      <c r="I712" s="20"/>
      <c r="J712" s="20"/>
      <c r="K712" s="20"/>
      <c r="L712" s="20"/>
      <c r="M712" s="20"/>
      <c r="N712" s="20"/>
      <c r="O712" s="20"/>
      <c r="P712" s="20"/>
      <c r="Q712" s="20"/>
      <c r="R712" s="20"/>
      <c r="S712" s="20"/>
      <c r="T712" s="20"/>
      <c r="U712" s="20"/>
      <c r="V712" s="20"/>
    </row>
    <row r="713" spans="5:22" ht="17.25" customHeight="1">
      <c r="E713" s="62"/>
      <c r="F713" s="58"/>
      <c r="G713" s="31"/>
      <c r="H713" s="20"/>
      <c r="I713" s="20"/>
      <c r="J713" s="20"/>
      <c r="K713" s="20"/>
      <c r="L713" s="20"/>
      <c r="M713" s="20"/>
      <c r="N713" s="20"/>
      <c r="O713" s="20"/>
      <c r="P713" s="20"/>
      <c r="Q713" s="20"/>
      <c r="R713" s="20"/>
      <c r="S713" s="20"/>
      <c r="T713" s="20"/>
      <c r="U713" s="20"/>
      <c r="V713" s="20"/>
    </row>
    <row r="714" spans="5:22" ht="17.25" customHeight="1">
      <c r="E714" s="62"/>
      <c r="F714" s="58"/>
      <c r="G714" s="31"/>
      <c r="H714" s="20"/>
      <c r="I714" s="20"/>
      <c r="J714" s="20"/>
      <c r="K714" s="20"/>
      <c r="L714" s="20"/>
      <c r="M714" s="20"/>
      <c r="N714" s="20"/>
      <c r="O714" s="20"/>
      <c r="P714" s="20"/>
      <c r="Q714" s="20"/>
      <c r="R714" s="20"/>
      <c r="S714" s="20"/>
      <c r="T714" s="20"/>
      <c r="U714" s="20"/>
      <c r="V714" s="20"/>
    </row>
    <row r="715" spans="5:22" ht="17.25" customHeight="1">
      <c r="E715" s="62"/>
      <c r="F715" s="58"/>
      <c r="G715" s="31"/>
      <c r="H715" s="20"/>
      <c r="I715" s="20"/>
      <c r="J715" s="20"/>
      <c r="K715" s="20"/>
      <c r="L715" s="20"/>
      <c r="M715" s="20"/>
      <c r="N715" s="20"/>
      <c r="O715" s="20"/>
      <c r="P715" s="20"/>
      <c r="Q715" s="20"/>
      <c r="R715" s="20"/>
      <c r="S715" s="20"/>
      <c r="T715" s="20"/>
      <c r="U715" s="20"/>
      <c r="V715" s="20"/>
    </row>
    <row r="716" spans="5:22" ht="17.25" customHeight="1">
      <c r="E716" s="62"/>
      <c r="F716" s="58"/>
      <c r="G716" s="31"/>
      <c r="H716" s="20"/>
      <c r="I716" s="20"/>
      <c r="J716" s="20"/>
      <c r="K716" s="20"/>
      <c r="L716" s="20"/>
      <c r="M716" s="20"/>
      <c r="N716" s="20"/>
      <c r="O716" s="20"/>
      <c r="P716" s="20"/>
      <c r="Q716" s="20"/>
      <c r="R716" s="20"/>
      <c r="S716" s="20"/>
      <c r="T716" s="20"/>
      <c r="U716" s="20"/>
      <c r="V716" s="20"/>
    </row>
    <row r="717" spans="5:22" ht="17.25" customHeight="1">
      <c r="E717" s="62"/>
      <c r="F717" s="58"/>
      <c r="G717" s="31"/>
      <c r="H717" s="20"/>
      <c r="I717" s="20"/>
      <c r="J717" s="20"/>
      <c r="K717" s="20"/>
      <c r="L717" s="20"/>
      <c r="M717" s="20"/>
      <c r="N717" s="20"/>
      <c r="O717" s="20"/>
      <c r="P717" s="20"/>
      <c r="Q717" s="20"/>
      <c r="R717" s="20"/>
      <c r="S717" s="20"/>
      <c r="T717" s="20"/>
      <c r="U717" s="20"/>
      <c r="V717" s="20"/>
    </row>
    <row r="718" spans="5:22" ht="17.25" customHeight="1">
      <c r="E718" s="62"/>
      <c r="F718" s="58"/>
      <c r="G718" s="31"/>
      <c r="H718" s="20"/>
      <c r="I718" s="20"/>
      <c r="J718" s="20"/>
      <c r="K718" s="20"/>
      <c r="L718" s="20"/>
      <c r="M718" s="20"/>
      <c r="N718" s="20"/>
      <c r="O718" s="20"/>
      <c r="P718" s="20"/>
      <c r="Q718" s="20"/>
      <c r="R718" s="20"/>
      <c r="S718" s="20"/>
      <c r="T718" s="20"/>
      <c r="U718" s="20"/>
      <c r="V718" s="20"/>
    </row>
    <row r="719" spans="5:22" ht="17.25" customHeight="1">
      <c r="E719" s="62"/>
      <c r="F719" s="58"/>
      <c r="G719" s="31"/>
      <c r="H719" s="20"/>
      <c r="I719" s="20"/>
      <c r="J719" s="20"/>
      <c r="K719" s="20"/>
      <c r="L719" s="20"/>
      <c r="M719" s="20"/>
      <c r="N719" s="20"/>
      <c r="O719" s="20"/>
      <c r="P719" s="20"/>
      <c r="Q719" s="20"/>
      <c r="R719" s="20"/>
      <c r="S719" s="20"/>
      <c r="T719" s="20"/>
      <c r="U719" s="20"/>
      <c r="V719" s="20"/>
    </row>
    <row r="720" spans="5:22" ht="17.25" customHeight="1">
      <c r="E720" s="62"/>
      <c r="F720" s="58"/>
      <c r="G720" s="31"/>
      <c r="H720" s="20"/>
      <c r="I720" s="20"/>
      <c r="J720" s="20"/>
      <c r="K720" s="20"/>
      <c r="L720" s="20"/>
      <c r="M720" s="20"/>
      <c r="N720" s="20"/>
      <c r="O720" s="20"/>
      <c r="P720" s="20"/>
      <c r="Q720" s="20"/>
      <c r="R720" s="20"/>
      <c r="S720" s="20"/>
      <c r="T720" s="20"/>
      <c r="U720" s="20"/>
      <c r="V720" s="20"/>
    </row>
    <row r="721" spans="5:22" ht="17.25" customHeight="1">
      <c r="E721" s="62"/>
      <c r="F721" s="58"/>
      <c r="G721" s="31"/>
      <c r="H721" s="20"/>
      <c r="I721" s="20"/>
      <c r="J721" s="20"/>
      <c r="K721" s="20"/>
      <c r="L721" s="20"/>
      <c r="M721" s="20"/>
      <c r="N721" s="20"/>
      <c r="O721" s="20"/>
      <c r="P721" s="20"/>
      <c r="Q721" s="20"/>
      <c r="R721" s="20"/>
      <c r="S721" s="20"/>
      <c r="T721" s="20"/>
      <c r="U721" s="20"/>
      <c r="V721" s="20"/>
    </row>
    <row r="722" spans="5:22" ht="17.25" customHeight="1">
      <c r="E722" s="62"/>
      <c r="F722" s="58"/>
      <c r="G722" s="31"/>
      <c r="H722" s="20"/>
      <c r="I722" s="20"/>
      <c r="J722" s="20"/>
      <c r="K722" s="20"/>
      <c r="L722" s="20"/>
      <c r="M722" s="20"/>
      <c r="N722" s="20"/>
      <c r="O722" s="20"/>
      <c r="P722" s="20"/>
      <c r="Q722" s="20"/>
      <c r="R722" s="20"/>
      <c r="S722" s="20"/>
      <c r="T722" s="20"/>
      <c r="U722" s="20"/>
      <c r="V722" s="20"/>
    </row>
    <row r="723" spans="5:22" ht="17.25" customHeight="1">
      <c r="E723" s="62"/>
      <c r="F723" s="58"/>
      <c r="G723" s="31"/>
      <c r="H723" s="20"/>
      <c r="I723" s="20"/>
      <c r="J723" s="20"/>
      <c r="K723" s="20"/>
      <c r="L723" s="20"/>
      <c r="M723" s="20"/>
      <c r="N723" s="20"/>
      <c r="O723" s="20"/>
      <c r="P723" s="20"/>
      <c r="Q723" s="20"/>
      <c r="R723" s="20"/>
      <c r="S723" s="20"/>
      <c r="T723" s="20"/>
      <c r="U723" s="20"/>
      <c r="V723" s="20"/>
    </row>
    <row r="724" spans="5:22" ht="17.25" customHeight="1">
      <c r="E724" s="62"/>
      <c r="F724" s="58"/>
      <c r="G724" s="31"/>
      <c r="H724" s="20"/>
      <c r="I724" s="20"/>
      <c r="J724" s="20"/>
      <c r="K724" s="20"/>
      <c r="L724" s="20"/>
      <c r="M724" s="20"/>
      <c r="N724" s="20"/>
      <c r="O724" s="20"/>
      <c r="P724" s="20"/>
      <c r="Q724" s="20"/>
      <c r="R724" s="20"/>
      <c r="S724" s="20"/>
      <c r="T724" s="20"/>
      <c r="U724" s="20"/>
      <c r="V724" s="20"/>
    </row>
    <row r="725" spans="5:22" ht="17.25" customHeight="1">
      <c r="E725" s="62"/>
      <c r="F725" s="58"/>
      <c r="G725" s="31"/>
      <c r="H725" s="20"/>
      <c r="I725" s="20"/>
      <c r="J725" s="20"/>
      <c r="K725" s="20"/>
      <c r="L725" s="20"/>
      <c r="M725" s="20"/>
      <c r="N725" s="20"/>
      <c r="O725" s="20"/>
      <c r="P725" s="20"/>
      <c r="Q725" s="20"/>
      <c r="R725" s="20"/>
      <c r="S725" s="20"/>
      <c r="T725" s="20"/>
      <c r="U725" s="20"/>
      <c r="V725" s="20"/>
    </row>
    <row r="726" spans="5:22" ht="17.25" customHeight="1">
      <c r="E726" s="62"/>
      <c r="F726" s="58"/>
      <c r="G726" s="31"/>
      <c r="H726" s="20"/>
      <c r="I726" s="20"/>
      <c r="J726" s="20"/>
      <c r="K726" s="20"/>
      <c r="L726" s="20"/>
      <c r="M726" s="20"/>
      <c r="N726" s="20"/>
      <c r="O726" s="20"/>
      <c r="P726" s="20"/>
      <c r="Q726" s="20"/>
      <c r="R726" s="20"/>
      <c r="S726" s="20"/>
      <c r="T726" s="20"/>
      <c r="U726" s="20"/>
      <c r="V726" s="20"/>
    </row>
    <row r="727" spans="5:22" ht="17.25" customHeight="1">
      <c r="E727" s="62"/>
      <c r="F727" s="58"/>
      <c r="G727" s="31"/>
      <c r="H727" s="20"/>
      <c r="I727" s="20"/>
      <c r="J727" s="20"/>
      <c r="K727" s="20"/>
      <c r="L727" s="20"/>
      <c r="M727" s="20"/>
      <c r="N727" s="20"/>
      <c r="O727" s="20"/>
      <c r="P727" s="20"/>
      <c r="Q727" s="20"/>
      <c r="R727" s="20"/>
      <c r="S727" s="20"/>
      <c r="T727" s="20"/>
      <c r="U727" s="20"/>
      <c r="V727" s="20"/>
    </row>
    <row r="728" spans="5:22" ht="17.25" customHeight="1">
      <c r="E728" s="62"/>
      <c r="F728" s="58"/>
      <c r="G728" s="31"/>
      <c r="H728" s="20"/>
      <c r="I728" s="20"/>
      <c r="J728" s="20"/>
      <c r="K728" s="20"/>
      <c r="L728" s="20"/>
      <c r="M728" s="20"/>
      <c r="N728" s="20"/>
      <c r="O728" s="20"/>
      <c r="P728" s="20"/>
      <c r="Q728" s="20"/>
      <c r="R728" s="20"/>
      <c r="S728" s="20"/>
      <c r="T728" s="20"/>
      <c r="U728" s="20"/>
      <c r="V728" s="20"/>
    </row>
    <row r="729" spans="5:22" ht="17.25" customHeight="1">
      <c r="E729" s="62"/>
      <c r="F729" s="58"/>
      <c r="G729" s="31"/>
      <c r="H729" s="20"/>
      <c r="I729" s="20"/>
      <c r="J729" s="20"/>
      <c r="K729" s="20"/>
      <c r="L729" s="20"/>
      <c r="M729" s="20"/>
      <c r="N729" s="20"/>
      <c r="O729" s="20"/>
      <c r="P729" s="20"/>
      <c r="Q729" s="20"/>
      <c r="R729" s="20"/>
      <c r="S729" s="20"/>
      <c r="T729" s="20"/>
      <c r="U729" s="20"/>
      <c r="V729" s="20"/>
    </row>
    <row r="730" spans="5:22" ht="17.25" customHeight="1">
      <c r="E730" s="62"/>
      <c r="F730" s="58"/>
      <c r="G730" s="31"/>
      <c r="H730" s="20"/>
      <c r="I730" s="20"/>
      <c r="J730" s="20"/>
      <c r="K730" s="20"/>
      <c r="L730" s="20"/>
      <c r="M730" s="20"/>
      <c r="N730" s="20"/>
      <c r="O730" s="20"/>
      <c r="P730" s="20"/>
      <c r="Q730" s="20"/>
      <c r="R730" s="20"/>
      <c r="S730" s="20"/>
      <c r="T730" s="20"/>
      <c r="U730" s="20"/>
      <c r="V730" s="20"/>
    </row>
    <row r="731" spans="5:22" ht="17.25" customHeight="1">
      <c r="E731" s="62"/>
      <c r="F731" s="58"/>
      <c r="G731" s="31"/>
      <c r="H731" s="20"/>
      <c r="I731" s="20"/>
      <c r="J731" s="20"/>
      <c r="K731" s="20"/>
      <c r="L731" s="20"/>
      <c r="M731" s="20"/>
      <c r="N731" s="20"/>
      <c r="O731" s="20"/>
      <c r="P731" s="20"/>
      <c r="Q731" s="20"/>
      <c r="R731" s="20"/>
      <c r="S731" s="20"/>
      <c r="T731" s="20"/>
      <c r="U731" s="20"/>
      <c r="V731" s="20"/>
    </row>
    <row r="732" spans="5:22" ht="17.25" customHeight="1">
      <c r="E732" s="62"/>
      <c r="F732" s="58"/>
      <c r="G732" s="31"/>
      <c r="H732" s="20"/>
      <c r="I732" s="20"/>
      <c r="J732" s="20"/>
      <c r="K732" s="20"/>
      <c r="L732" s="20"/>
      <c r="M732" s="20"/>
      <c r="N732" s="20"/>
      <c r="O732" s="20"/>
      <c r="P732" s="20"/>
      <c r="Q732" s="20"/>
      <c r="R732" s="20"/>
      <c r="S732" s="20"/>
      <c r="T732" s="20"/>
      <c r="U732" s="20"/>
      <c r="V732" s="20"/>
    </row>
    <row r="733" spans="5:22" ht="17.25" customHeight="1">
      <c r="E733" s="62"/>
      <c r="F733" s="58"/>
      <c r="G733" s="31"/>
      <c r="H733" s="20"/>
      <c r="I733" s="20"/>
      <c r="J733" s="20"/>
      <c r="K733" s="20"/>
      <c r="L733" s="20"/>
      <c r="M733" s="20"/>
      <c r="N733" s="20"/>
      <c r="O733" s="20"/>
      <c r="P733" s="20"/>
      <c r="Q733" s="20"/>
      <c r="R733" s="20"/>
      <c r="S733" s="20"/>
      <c r="T733" s="20"/>
      <c r="U733" s="20"/>
      <c r="V733" s="20"/>
    </row>
    <row r="734" spans="5:22" ht="17.25" customHeight="1">
      <c r="E734" s="62"/>
      <c r="F734" s="58"/>
      <c r="G734" s="31"/>
      <c r="H734" s="20"/>
      <c r="I734" s="20"/>
      <c r="J734" s="20"/>
      <c r="K734" s="20"/>
      <c r="L734" s="20"/>
      <c r="M734" s="20"/>
      <c r="N734" s="20"/>
      <c r="O734" s="20"/>
      <c r="P734" s="20"/>
      <c r="Q734" s="20"/>
      <c r="R734" s="20"/>
      <c r="S734" s="20"/>
      <c r="T734" s="20"/>
      <c r="U734" s="20"/>
      <c r="V734" s="20"/>
    </row>
    <row r="735" spans="5:22" ht="17.25" customHeight="1">
      <c r="E735" s="62"/>
      <c r="F735" s="58"/>
      <c r="G735" s="31"/>
      <c r="H735" s="20"/>
      <c r="I735" s="20"/>
      <c r="J735" s="20"/>
      <c r="K735" s="20"/>
      <c r="L735" s="20"/>
      <c r="M735" s="20"/>
      <c r="N735" s="20"/>
      <c r="O735" s="20"/>
      <c r="P735" s="20"/>
      <c r="Q735" s="20"/>
      <c r="R735" s="20"/>
      <c r="S735" s="20"/>
      <c r="T735" s="20"/>
      <c r="U735" s="20"/>
      <c r="V735" s="20"/>
    </row>
    <row r="736" spans="5:22" ht="17.25" customHeight="1">
      <c r="E736" s="62"/>
      <c r="F736" s="58"/>
      <c r="G736" s="31"/>
      <c r="H736" s="20"/>
      <c r="I736" s="20"/>
      <c r="J736" s="20"/>
      <c r="K736" s="20"/>
      <c r="L736" s="20"/>
      <c r="M736" s="20"/>
      <c r="N736" s="20"/>
      <c r="O736" s="20"/>
      <c r="P736" s="20"/>
      <c r="Q736" s="20"/>
      <c r="R736" s="20"/>
      <c r="S736" s="20"/>
      <c r="T736" s="20"/>
      <c r="U736" s="20"/>
      <c r="V736" s="20"/>
    </row>
    <row r="737" spans="5:22" ht="17.25" customHeight="1">
      <c r="E737" s="62"/>
      <c r="F737" s="58"/>
      <c r="G737" s="31"/>
      <c r="H737" s="20"/>
      <c r="I737" s="20"/>
      <c r="J737" s="20"/>
      <c r="K737" s="20"/>
      <c r="L737" s="20"/>
      <c r="M737" s="20"/>
      <c r="N737" s="20"/>
      <c r="O737" s="20"/>
      <c r="P737" s="20"/>
      <c r="Q737" s="20"/>
      <c r="R737" s="20"/>
      <c r="S737" s="20"/>
      <c r="T737" s="20"/>
      <c r="U737" s="20"/>
      <c r="V737" s="20"/>
    </row>
    <row r="738" spans="5:22" ht="17.25" customHeight="1">
      <c r="E738" s="62"/>
      <c r="F738" s="58"/>
      <c r="G738" s="31"/>
      <c r="H738" s="20"/>
      <c r="I738" s="20"/>
      <c r="J738" s="20"/>
      <c r="K738" s="20"/>
      <c r="L738" s="20"/>
      <c r="M738" s="20"/>
      <c r="N738" s="20"/>
      <c r="O738" s="20"/>
      <c r="P738" s="20"/>
      <c r="Q738" s="20"/>
      <c r="R738" s="20"/>
      <c r="S738" s="20"/>
      <c r="T738" s="20"/>
      <c r="U738" s="20"/>
      <c r="V738" s="20"/>
    </row>
    <row r="739" spans="5:22" ht="17.25" customHeight="1">
      <c r="E739" s="62"/>
      <c r="F739" s="58"/>
      <c r="G739" s="31"/>
      <c r="H739" s="20"/>
      <c r="I739" s="20"/>
      <c r="J739" s="20"/>
      <c r="K739" s="20"/>
      <c r="L739" s="20"/>
      <c r="M739" s="20"/>
      <c r="N739" s="20"/>
      <c r="O739" s="20"/>
      <c r="P739" s="20"/>
      <c r="Q739" s="20"/>
      <c r="R739" s="20"/>
      <c r="S739" s="20"/>
      <c r="T739" s="20"/>
      <c r="U739" s="20"/>
      <c r="V739" s="20"/>
    </row>
    <row r="740" spans="5:22" ht="17.25" customHeight="1">
      <c r="E740" s="62"/>
      <c r="F740" s="58"/>
      <c r="G740" s="31"/>
      <c r="H740" s="20"/>
      <c r="I740" s="20"/>
      <c r="J740" s="20"/>
      <c r="K740" s="20"/>
      <c r="L740" s="20"/>
      <c r="M740" s="20"/>
      <c r="N740" s="20"/>
      <c r="O740" s="20"/>
      <c r="P740" s="20"/>
      <c r="Q740" s="20"/>
      <c r="R740" s="20"/>
      <c r="S740" s="20"/>
      <c r="T740" s="20"/>
      <c r="U740" s="20"/>
      <c r="V740" s="20"/>
    </row>
    <row r="741" spans="5:22" ht="17.25" customHeight="1">
      <c r="E741" s="62"/>
      <c r="F741" s="58"/>
      <c r="G741" s="31"/>
      <c r="H741" s="20"/>
      <c r="I741" s="20"/>
      <c r="J741" s="20"/>
      <c r="K741" s="20"/>
      <c r="L741" s="20"/>
      <c r="M741" s="20"/>
      <c r="N741" s="20"/>
      <c r="O741" s="20"/>
      <c r="P741" s="20"/>
      <c r="Q741" s="20"/>
      <c r="R741" s="20"/>
      <c r="S741" s="20"/>
      <c r="T741" s="20"/>
      <c r="U741" s="20"/>
      <c r="V741" s="20"/>
    </row>
    <row r="742" spans="5:22" ht="17.25" customHeight="1">
      <c r="E742" s="62"/>
      <c r="F742" s="58"/>
      <c r="G742" s="31"/>
      <c r="H742" s="20"/>
      <c r="I742" s="20"/>
      <c r="J742" s="20"/>
      <c r="K742" s="20"/>
      <c r="L742" s="20"/>
      <c r="M742" s="20"/>
      <c r="N742" s="20"/>
      <c r="O742" s="20"/>
      <c r="P742" s="20"/>
      <c r="Q742" s="20"/>
      <c r="R742" s="20"/>
      <c r="S742" s="20"/>
      <c r="T742" s="20"/>
      <c r="U742" s="20"/>
      <c r="V742" s="20"/>
    </row>
    <row r="743" spans="5:22" ht="17.25" customHeight="1">
      <c r="E743" s="62"/>
      <c r="F743" s="58"/>
      <c r="G743" s="31"/>
      <c r="H743" s="20"/>
      <c r="I743" s="20"/>
      <c r="J743" s="20"/>
      <c r="K743" s="20"/>
      <c r="L743" s="20"/>
      <c r="M743" s="20"/>
      <c r="N743" s="20"/>
      <c r="O743" s="20"/>
      <c r="P743" s="20"/>
      <c r="Q743" s="20"/>
      <c r="R743" s="20"/>
      <c r="S743" s="20"/>
      <c r="T743" s="20"/>
      <c r="U743" s="20"/>
      <c r="V743" s="20"/>
    </row>
    <row r="744" spans="5:22" ht="17.25" customHeight="1">
      <c r="E744" s="62"/>
      <c r="F744" s="58"/>
      <c r="G744" s="31"/>
      <c r="H744" s="20"/>
      <c r="I744" s="20"/>
      <c r="J744" s="20"/>
      <c r="K744" s="20"/>
      <c r="L744" s="20"/>
      <c r="M744" s="20"/>
      <c r="N744" s="20"/>
      <c r="O744" s="20"/>
      <c r="P744" s="20"/>
      <c r="Q744" s="20"/>
      <c r="R744" s="20"/>
      <c r="S744" s="20"/>
      <c r="T744" s="20"/>
      <c r="U744" s="20"/>
      <c r="V744" s="20"/>
    </row>
    <row r="745" spans="5:22" ht="17.25" customHeight="1">
      <c r="E745" s="62"/>
      <c r="F745" s="58"/>
      <c r="G745" s="31"/>
      <c r="H745" s="20"/>
      <c r="I745" s="20"/>
      <c r="J745" s="20"/>
      <c r="K745" s="20"/>
      <c r="L745" s="20"/>
      <c r="M745" s="20"/>
      <c r="N745" s="20"/>
      <c r="O745" s="20"/>
      <c r="P745" s="20"/>
      <c r="Q745" s="20"/>
      <c r="R745" s="20"/>
      <c r="S745" s="20"/>
      <c r="T745" s="20"/>
      <c r="U745" s="20"/>
      <c r="V745" s="20"/>
    </row>
    <row r="746" spans="5:22" ht="17.25" customHeight="1">
      <c r="E746" s="62"/>
      <c r="F746" s="58"/>
      <c r="G746" s="31"/>
      <c r="H746" s="20"/>
      <c r="I746" s="20"/>
      <c r="J746" s="20"/>
      <c r="K746" s="20"/>
      <c r="L746" s="20"/>
      <c r="M746" s="20"/>
      <c r="N746" s="20"/>
      <c r="O746" s="20"/>
      <c r="P746" s="20"/>
      <c r="Q746" s="20"/>
      <c r="R746" s="20"/>
      <c r="S746" s="20"/>
      <c r="T746" s="20"/>
      <c r="U746" s="20"/>
      <c r="V746" s="20"/>
    </row>
    <row r="747" spans="5:22" ht="17.25" customHeight="1">
      <c r="E747" s="62"/>
      <c r="F747" s="58"/>
      <c r="G747" s="31"/>
      <c r="H747" s="20"/>
      <c r="I747" s="20"/>
      <c r="J747" s="20"/>
      <c r="K747" s="20"/>
      <c r="L747" s="20"/>
      <c r="M747" s="20"/>
      <c r="N747" s="20"/>
      <c r="O747" s="20"/>
      <c r="P747" s="20"/>
      <c r="Q747" s="20"/>
      <c r="R747" s="20"/>
      <c r="S747" s="20"/>
      <c r="T747" s="20"/>
      <c r="U747" s="20"/>
      <c r="V747" s="20"/>
    </row>
    <row r="748" spans="5:22" ht="17.25" customHeight="1">
      <c r="E748" s="62"/>
      <c r="F748" s="58"/>
      <c r="G748" s="31"/>
      <c r="H748" s="20"/>
      <c r="I748" s="20"/>
      <c r="J748" s="20"/>
      <c r="K748" s="20"/>
      <c r="L748" s="20"/>
      <c r="M748" s="20"/>
      <c r="N748" s="20"/>
      <c r="O748" s="20"/>
      <c r="P748" s="20"/>
      <c r="Q748" s="20"/>
      <c r="R748" s="20"/>
      <c r="S748" s="20"/>
      <c r="T748" s="20"/>
      <c r="U748" s="20"/>
      <c r="V748" s="20"/>
    </row>
    <row r="749" spans="5:22" ht="17.25" customHeight="1">
      <c r="E749" s="62"/>
      <c r="F749" s="58"/>
      <c r="G749" s="31"/>
      <c r="H749" s="20"/>
      <c r="I749" s="20"/>
      <c r="J749" s="20"/>
      <c r="K749" s="20"/>
      <c r="L749" s="20"/>
      <c r="M749" s="20"/>
      <c r="N749" s="20"/>
      <c r="O749" s="20"/>
      <c r="P749" s="20"/>
      <c r="Q749" s="20"/>
      <c r="R749" s="20"/>
      <c r="S749" s="20"/>
      <c r="T749" s="20"/>
      <c r="U749" s="20"/>
      <c r="V749" s="20"/>
    </row>
    <row r="750" spans="5:22" ht="17.25" customHeight="1">
      <c r="E750" s="62"/>
      <c r="F750" s="58"/>
      <c r="G750" s="31"/>
      <c r="H750" s="20"/>
      <c r="I750" s="20"/>
      <c r="J750" s="20"/>
      <c r="K750" s="20"/>
      <c r="L750" s="20"/>
      <c r="M750" s="20"/>
      <c r="N750" s="20"/>
      <c r="O750" s="20"/>
      <c r="P750" s="20"/>
      <c r="Q750" s="20"/>
      <c r="R750" s="20"/>
      <c r="S750" s="20"/>
      <c r="T750" s="20"/>
      <c r="U750" s="20"/>
      <c r="V750" s="20"/>
    </row>
    <row r="751" spans="5:22" ht="17.25" customHeight="1">
      <c r="E751" s="62"/>
      <c r="F751" s="58"/>
      <c r="G751" s="31"/>
      <c r="H751" s="20"/>
      <c r="I751" s="20"/>
      <c r="J751" s="20"/>
      <c r="K751" s="20"/>
      <c r="L751" s="20"/>
      <c r="M751" s="20"/>
      <c r="N751" s="20"/>
      <c r="O751" s="20"/>
      <c r="P751" s="20"/>
      <c r="Q751" s="20"/>
      <c r="R751" s="20"/>
      <c r="S751" s="20"/>
      <c r="T751" s="20"/>
      <c r="U751" s="20"/>
      <c r="V751" s="20"/>
    </row>
    <row r="752" spans="5:22" ht="17.25" customHeight="1">
      <c r="E752" s="62"/>
      <c r="F752" s="58"/>
      <c r="G752" s="31"/>
      <c r="H752" s="20"/>
      <c r="I752" s="20"/>
      <c r="J752" s="20"/>
      <c r="K752" s="20"/>
      <c r="L752" s="20"/>
      <c r="M752" s="20"/>
      <c r="N752" s="20"/>
      <c r="O752" s="20"/>
      <c r="P752" s="20"/>
      <c r="Q752" s="20"/>
      <c r="R752" s="20"/>
      <c r="S752" s="20"/>
      <c r="T752" s="20"/>
      <c r="U752" s="20"/>
      <c r="V752" s="20"/>
    </row>
    <row r="753" spans="5:22" ht="17.25" customHeight="1">
      <c r="E753" s="62"/>
      <c r="F753" s="58"/>
      <c r="G753" s="31"/>
      <c r="H753" s="20"/>
      <c r="I753" s="20"/>
      <c r="J753" s="20"/>
      <c r="K753" s="20"/>
      <c r="L753" s="20"/>
      <c r="M753" s="20"/>
      <c r="N753" s="20"/>
      <c r="O753" s="20"/>
      <c r="P753" s="20"/>
      <c r="Q753" s="20"/>
      <c r="R753" s="20"/>
      <c r="S753" s="20"/>
      <c r="T753" s="20"/>
      <c r="U753" s="20"/>
      <c r="V753" s="20"/>
    </row>
    <row r="754" spans="5:22" ht="17.25" customHeight="1">
      <c r="E754" s="62"/>
      <c r="F754" s="58"/>
      <c r="G754" s="31"/>
      <c r="H754" s="20"/>
      <c r="I754" s="20"/>
      <c r="J754" s="20"/>
      <c r="K754" s="20"/>
      <c r="L754" s="20"/>
      <c r="M754" s="20"/>
      <c r="N754" s="20"/>
      <c r="O754" s="20"/>
      <c r="P754" s="20"/>
      <c r="Q754" s="20"/>
      <c r="R754" s="20"/>
      <c r="S754" s="20"/>
      <c r="T754" s="20"/>
      <c r="U754" s="20"/>
      <c r="V754" s="20"/>
    </row>
    <row r="755" spans="5:22" ht="17.25" customHeight="1">
      <c r="E755" s="62"/>
      <c r="F755" s="58"/>
      <c r="G755" s="31"/>
      <c r="H755" s="20"/>
      <c r="I755" s="20"/>
      <c r="J755" s="20"/>
      <c r="K755" s="20"/>
      <c r="L755" s="20"/>
      <c r="M755" s="20"/>
      <c r="N755" s="20"/>
      <c r="O755" s="20"/>
      <c r="P755" s="20"/>
      <c r="Q755" s="20"/>
      <c r="R755" s="20"/>
      <c r="S755" s="20"/>
      <c r="T755" s="20"/>
      <c r="U755" s="20"/>
      <c r="V755" s="20"/>
    </row>
    <row r="756" spans="5:22" ht="17.25" customHeight="1">
      <c r="E756" s="62"/>
      <c r="F756" s="58"/>
      <c r="G756" s="31"/>
      <c r="H756" s="20"/>
      <c r="I756" s="20"/>
      <c r="J756" s="20"/>
      <c r="K756" s="20"/>
      <c r="L756" s="20"/>
      <c r="M756" s="20"/>
      <c r="N756" s="20"/>
      <c r="O756" s="20"/>
      <c r="P756" s="20"/>
      <c r="Q756" s="20"/>
      <c r="R756" s="20"/>
      <c r="S756" s="20"/>
      <c r="T756" s="20"/>
      <c r="U756" s="20"/>
      <c r="V756" s="20"/>
    </row>
    <row r="757" spans="5:22" ht="17.25" customHeight="1">
      <c r="E757" s="62"/>
      <c r="F757" s="58"/>
      <c r="G757" s="31"/>
      <c r="H757" s="20"/>
      <c r="I757" s="20"/>
      <c r="J757" s="20"/>
      <c r="K757" s="20"/>
      <c r="L757" s="20"/>
      <c r="M757" s="20"/>
      <c r="N757" s="20"/>
      <c r="O757" s="20"/>
      <c r="P757" s="20"/>
      <c r="Q757" s="20"/>
      <c r="R757" s="20"/>
      <c r="S757" s="20"/>
      <c r="T757" s="20"/>
      <c r="U757" s="20"/>
      <c r="V757" s="20"/>
    </row>
    <row r="758" spans="5:22" ht="17.25" customHeight="1">
      <c r="E758" s="62"/>
      <c r="F758" s="58"/>
      <c r="G758" s="31"/>
      <c r="H758" s="20"/>
      <c r="I758" s="20"/>
      <c r="J758" s="20"/>
      <c r="K758" s="20"/>
      <c r="L758" s="20"/>
      <c r="M758" s="20"/>
      <c r="N758" s="20"/>
      <c r="O758" s="20"/>
      <c r="P758" s="20"/>
      <c r="Q758" s="20"/>
      <c r="R758" s="20"/>
      <c r="S758" s="20"/>
      <c r="T758" s="20"/>
      <c r="U758" s="20"/>
      <c r="V758" s="20"/>
    </row>
    <row r="759" spans="5:22" ht="17.25" customHeight="1">
      <c r="E759" s="62"/>
      <c r="F759" s="58"/>
      <c r="G759" s="31"/>
      <c r="H759" s="20"/>
      <c r="I759" s="20"/>
      <c r="J759" s="20"/>
      <c r="K759" s="20"/>
      <c r="L759" s="20"/>
      <c r="M759" s="20"/>
      <c r="N759" s="20"/>
      <c r="O759" s="20"/>
      <c r="P759" s="20"/>
      <c r="Q759" s="20"/>
      <c r="R759" s="20"/>
      <c r="S759" s="20"/>
      <c r="T759" s="20"/>
      <c r="U759" s="20"/>
      <c r="V759" s="20"/>
    </row>
    <row r="760" spans="5:22" ht="17.25" customHeight="1">
      <c r="E760" s="62"/>
      <c r="F760" s="58"/>
      <c r="G760" s="31"/>
      <c r="H760" s="20"/>
      <c r="I760" s="20"/>
      <c r="J760" s="20"/>
      <c r="K760" s="20"/>
      <c r="L760" s="20"/>
      <c r="M760" s="20"/>
      <c r="N760" s="20"/>
      <c r="O760" s="20"/>
      <c r="P760" s="20"/>
      <c r="Q760" s="20"/>
      <c r="R760" s="20"/>
      <c r="S760" s="20"/>
      <c r="T760" s="20"/>
      <c r="U760" s="20"/>
      <c r="V760" s="20"/>
    </row>
    <row r="761" spans="5:22" ht="17.25" customHeight="1">
      <c r="E761" s="62"/>
      <c r="F761" s="58"/>
      <c r="G761" s="31"/>
      <c r="H761" s="20"/>
      <c r="I761" s="20"/>
      <c r="J761" s="20"/>
      <c r="K761" s="20"/>
      <c r="L761" s="20"/>
      <c r="M761" s="20"/>
      <c r="N761" s="20"/>
      <c r="O761" s="20"/>
      <c r="P761" s="20"/>
      <c r="Q761" s="20"/>
      <c r="R761" s="20"/>
      <c r="S761" s="20"/>
      <c r="T761" s="20"/>
      <c r="U761" s="20"/>
      <c r="V761" s="20"/>
    </row>
    <row r="762" spans="5:22" ht="17.25" customHeight="1">
      <c r="E762" s="62"/>
      <c r="F762" s="58"/>
      <c r="G762" s="31"/>
      <c r="H762" s="20"/>
      <c r="I762" s="20"/>
      <c r="J762" s="20"/>
      <c r="K762" s="20"/>
      <c r="L762" s="20"/>
      <c r="M762" s="20"/>
      <c r="N762" s="20"/>
      <c r="O762" s="20"/>
      <c r="P762" s="20"/>
      <c r="Q762" s="20"/>
      <c r="R762" s="20"/>
      <c r="S762" s="20"/>
      <c r="T762" s="20"/>
      <c r="U762" s="20"/>
      <c r="V762" s="20"/>
    </row>
    <row r="763" spans="5:22" ht="17.25" customHeight="1">
      <c r="E763" s="62"/>
      <c r="F763" s="58"/>
      <c r="G763" s="31"/>
      <c r="H763" s="20"/>
      <c r="I763" s="20"/>
      <c r="J763" s="20"/>
      <c r="K763" s="20"/>
      <c r="L763" s="20"/>
      <c r="M763" s="20"/>
      <c r="N763" s="20"/>
      <c r="O763" s="20"/>
      <c r="P763" s="20"/>
      <c r="Q763" s="20"/>
      <c r="R763" s="20"/>
      <c r="S763" s="20"/>
      <c r="T763" s="20"/>
      <c r="U763" s="20"/>
      <c r="V763" s="20"/>
    </row>
    <row r="764" spans="5:22" ht="17.25" customHeight="1">
      <c r="E764" s="62"/>
      <c r="F764" s="58"/>
      <c r="G764" s="31"/>
      <c r="H764" s="20"/>
      <c r="I764" s="20"/>
      <c r="J764" s="20"/>
      <c r="K764" s="20"/>
      <c r="L764" s="20"/>
      <c r="M764" s="20"/>
      <c r="N764" s="20"/>
      <c r="O764" s="20"/>
      <c r="P764" s="20"/>
      <c r="Q764" s="20"/>
      <c r="R764" s="20"/>
      <c r="S764" s="20"/>
      <c r="T764" s="20"/>
      <c r="U764" s="20"/>
      <c r="V764" s="20"/>
    </row>
    <row r="765" spans="5:22" ht="17.25" customHeight="1">
      <c r="E765" s="62"/>
      <c r="F765" s="58"/>
      <c r="G765" s="31"/>
      <c r="H765" s="20"/>
      <c r="I765" s="20"/>
      <c r="J765" s="20"/>
      <c r="K765" s="20"/>
      <c r="L765" s="20"/>
      <c r="M765" s="20"/>
      <c r="N765" s="20"/>
      <c r="O765" s="20"/>
      <c r="P765" s="20"/>
      <c r="Q765" s="20"/>
      <c r="R765" s="20"/>
      <c r="S765" s="20"/>
      <c r="T765" s="20"/>
      <c r="U765" s="20"/>
      <c r="V765" s="20"/>
    </row>
    <row r="766" spans="5:22" ht="17.25" customHeight="1">
      <c r="E766" s="62"/>
      <c r="F766" s="58"/>
      <c r="G766" s="31"/>
      <c r="H766" s="20"/>
      <c r="I766" s="20"/>
      <c r="J766" s="20"/>
      <c r="K766" s="20"/>
      <c r="L766" s="20"/>
      <c r="M766" s="20"/>
      <c r="N766" s="20"/>
      <c r="O766" s="20"/>
      <c r="P766" s="20"/>
      <c r="Q766" s="20"/>
      <c r="R766" s="20"/>
      <c r="S766" s="20"/>
      <c r="T766" s="20"/>
      <c r="U766" s="20"/>
      <c r="V766" s="20"/>
    </row>
    <row r="767" spans="5:22" ht="17.25" customHeight="1">
      <c r="E767" s="62"/>
      <c r="F767" s="58"/>
      <c r="G767" s="31"/>
      <c r="H767" s="20"/>
      <c r="I767" s="20"/>
      <c r="J767" s="20"/>
      <c r="K767" s="20"/>
      <c r="L767" s="20"/>
      <c r="M767" s="20"/>
      <c r="N767" s="20"/>
      <c r="O767" s="20"/>
      <c r="P767" s="20"/>
      <c r="Q767" s="20"/>
      <c r="R767" s="20"/>
      <c r="S767" s="20"/>
      <c r="T767" s="20"/>
      <c r="U767" s="20"/>
      <c r="V767" s="20"/>
    </row>
    <row r="768" spans="5:22" ht="17.25" customHeight="1">
      <c r="E768" s="62"/>
      <c r="F768" s="58"/>
      <c r="G768" s="31"/>
      <c r="H768" s="20"/>
      <c r="I768" s="20"/>
      <c r="J768" s="20"/>
      <c r="K768" s="20"/>
      <c r="L768" s="20"/>
      <c r="M768" s="20"/>
      <c r="N768" s="20"/>
      <c r="O768" s="20"/>
      <c r="P768" s="20"/>
      <c r="Q768" s="20"/>
      <c r="R768" s="20"/>
      <c r="S768" s="20"/>
      <c r="T768" s="20"/>
      <c r="U768" s="20"/>
      <c r="V768" s="20"/>
    </row>
    <row r="769" spans="5:22" ht="17.25" customHeight="1">
      <c r="E769" s="62"/>
      <c r="F769" s="58"/>
      <c r="G769" s="31"/>
      <c r="H769" s="20"/>
      <c r="I769" s="20"/>
      <c r="J769" s="20"/>
      <c r="K769" s="20"/>
      <c r="L769" s="20"/>
      <c r="M769" s="20"/>
      <c r="N769" s="20"/>
      <c r="O769" s="20"/>
      <c r="P769" s="20"/>
      <c r="Q769" s="20"/>
      <c r="R769" s="20"/>
      <c r="S769" s="20"/>
      <c r="T769" s="20"/>
      <c r="U769" s="20"/>
      <c r="V769" s="20"/>
    </row>
    <row r="770" spans="5:22" ht="17.25" customHeight="1">
      <c r="E770" s="62"/>
      <c r="F770" s="58"/>
      <c r="G770" s="31"/>
      <c r="H770" s="20"/>
      <c r="I770" s="20"/>
      <c r="J770" s="20"/>
      <c r="K770" s="20"/>
      <c r="L770" s="20"/>
      <c r="M770" s="20"/>
      <c r="N770" s="20"/>
      <c r="O770" s="20"/>
      <c r="P770" s="20"/>
      <c r="Q770" s="20"/>
      <c r="R770" s="20"/>
      <c r="S770" s="20"/>
      <c r="T770" s="20"/>
      <c r="U770" s="20"/>
      <c r="V770" s="20"/>
    </row>
    <row r="771" spans="5:22" ht="17.25" customHeight="1">
      <c r="E771" s="62"/>
      <c r="F771" s="58"/>
      <c r="G771" s="31"/>
      <c r="H771" s="20"/>
      <c r="I771" s="20"/>
      <c r="J771" s="20"/>
      <c r="K771" s="20"/>
      <c r="L771" s="20"/>
      <c r="M771" s="20"/>
      <c r="N771" s="20"/>
      <c r="O771" s="20"/>
      <c r="P771" s="20"/>
      <c r="Q771" s="20"/>
      <c r="R771" s="20"/>
      <c r="S771" s="20"/>
      <c r="T771" s="20"/>
      <c r="U771" s="20"/>
      <c r="V771" s="20"/>
    </row>
    <row r="772" spans="5:22" ht="17.25" customHeight="1">
      <c r="E772" s="62"/>
      <c r="F772" s="58"/>
      <c r="G772" s="31"/>
      <c r="H772" s="20"/>
      <c r="I772" s="20"/>
      <c r="J772" s="20"/>
      <c r="K772" s="20"/>
      <c r="L772" s="20"/>
      <c r="M772" s="20"/>
      <c r="N772" s="20"/>
      <c r="O772" s="20"/>
      <c r="P772" s="20"/>
      <c r="Q772" s="20"/>
      <c r="R772" s="20"/>
      <c r="S772" s="20"/>
      <c r="T772" s="20"/>
      <c r="U772" s="20"/>
      <c r="V772" s="20"/>
    </row>
    <row r="773" spans="5:22" ht="17.25" customHeight="1">
      <c r="E773" s="62"/>
      <c r="F773" s="58"/>
      <c r="G773" s="31"/>
      <c r="H773" s="20"/>
      <c r="I773" s="20"/>
      <c r="J773" s="20"/>
      <c r="K773" s="20"/>
      <c r="L773" s="20"/>
      <c r="M773" s="20"/>
      <c r="N773" s="20"/>
      <c r="O773" s="20"/>
      <c r="P773" s="20"/>
      <c r="Q773" s="20"/>
      <c r="R773" s="20"/>
      <c r="S773" s="20"/>
      <c r="T773" s="20"/>
      <c r="U773" s="20"/>
      <c r="V773" s="20"/>
    </row>
    <row r="774" spans="5:22" ht="17.25" customHeight="1">
      <c r="E774" s="62"/>
      <c r="F774" s="58"/>
      <c r="G774" s="31"/>
      <c r="H774" s="20"/>
      <c r="I774" s="20"/>
      <c r="J774" s="20"/>
      <c r="K774" s="20"/>
      <c r="L774" s="20"/>
      <c r="M774" s="20"/>
      <c r="N774" s="20"/>
      <c r="O774" s="20"/>
      <c r="P774" s="20"/>
      <c r="Q774" s="20"/>
      <c r="R774" s="20"/>
      <c r="S774" s="20"/>
      <c r="T774" s="20"/>
      <c r="U774" s="20"/>
      <c r="V774" s="20"/>
    </row>
    <row r="775" spans="5:22" ht="17.25" customHeight="1">
      <c r="E775" s="62"/>
      <c r="F775" s="58"/>
      <c r="G775" s="31"/>
      <c r="H775" s="20"/>
      <c r="I775" s="20"/>
      <c r="J775" s="20"/>
      <c r="K775" s="20"/>
      <c r="L775" s="20"/>
      <c r="M775" s="20"/>
      <c r="N775" s="20"/>
      <c r="O775" s="20"/>
      <c r="P775" s="20"/>
      <c r="Q775" s="20"/>
      <c r="R775" s="20"/>
      <c r="S775" s="20"/>
      <c r="T775" s="20"/>
      <c r="U775" s="20"/>
      <c r="V775" s="20"/>
    </row>
    <row r="776" spans="5:22" ht="17.25" customHeight="1">
      <c r="E776" s="62"/>
      <c r="F776" s="58"/>
      <c r="G776" s="31"/>
      <c r="H776" s="20"/>
      <c r="I776" s="20"/>
      <c r="J776" s="20"/>
      <c r="K776" s="20"/>
      <c r="L776" s="20"/>
      <c r="M776" s="20"/>
      <c r="N776" s="20"/>
      <c r="O776" s="20"/>
      <c r="P776" s="20"/>
      <c r="Q776" s="20"/>
      <c r="R776" s="20"/>
      <c r="S776" s="20"/>
      <c r="T776" s="20"/>
      <c r="U776" s="20"/>
      <c r="V776" s="20"/>
    </row>
    <row r="777" spans="5:22" ht="17.25" customHeight="1">
      <c r="E777" s="62"/>
      <c r="F777" s="58"/>
      <c r="G777" s="31"/>
      <c r="H777" s="20"/>
      <c r="I777" s="20"/>
      <c r="J777" s="20"/>
      <c r="K777" s="20"/>
      <c r="L777" s="20"/>
      <c r="M777" s="20"/>
      <c r="N777" s="20"/>
      <c r="O777" s="20"/>
      <c r="P777" s="20"/>
      <c r="Q777" s="20"/>
      <c r="R777" s="20"/>
      <c r="S777" s="20"/>
      <c r="T777" s="20"/>
      <c r="U777" s="20"/>
      <c r="V777" s="20"/>
    </row>
    <row r="778" spans="5:22" ht="17.25" customHeight="1">
      <c r="E778" s="62"/>
      <c r="F778" s="58"/>
      <c r="G778" s="31"/>
      <c r="H778" s="20"/>
      <c r="I778" s="20"/>
      <c r="J778" s="20"/>
      <c r="K778" s="20"/>
      <c r="L778" s="20"/>
      <c r="M778" s="20"/>
      <c r="N778" s="20"/>
      <c r="O778" s="20"/>
      <c r="P778" s="20"/>
      <c r="Q778" s="20"/>
      <c r="R778" s="20"/>
      <c r="S778" s="20"/>
      <c r="T778" s="20"/>
      <c r="U778" s="20"/>
      <c r="V778" s="20"/>
    </row>
    <row r="779" spans="5:22" ht="17.25" customHeight="1">
      <c r="E779" s="62"/>
      <c r="F779" s="58"/>
      <c r="G779" s="31"/>
      <c r="H779" s="20"/>
      <c r="I779" s="20"/>
      <c r="J779" s="20"/>
      <c r="K779" s="20"/>
      <c r="L779" s="20"/>
      <c r="M779" s="20"/>
      <c r="N779" s="20"/>
      <c r="O779" s="20"/>
      <c r="P779" s="20"/>
      <c r="Q779" s="20"/>
      <c r="R779" s="20"/>
      <c r="S779" s="20"/>
      <c r="T779" s="20"/>
      <c r="U779" s="20"/>
      <c r="V779" s="20"/>
    </row>
    <row r="780" spans="5:22" ht="17.25" customHeight="1">
      <c r="E780" s="62"/>
      <c r="F780" s="58"/>
      <c r="G780" s="31"/>
      <c r="H780" s="20"/>
      <c r="I780" s="20"/>
      <c r="J780" s="20"/>
      <c r="K780" s="20"/>
      <c r="L780" s="20"/>
      <c r="M780" s="20"/>
      <c r="N780" s="20"/>
      <c r="O780" s="20"/>
      <c r="P780" s="20"/>
      <c r="Q780" s="20"/>
      <c r="R780" s="20"/>
      <c r="S780" s="20"/>
      <c r="T780" s="20"/>
      <c r="U780" s="20"/>
      <c r="V780" s="20"/>
    </row>
    <row r="781" spans="5:22" ht="17.25" customHeight="1">
      <c r="E781" s="62"/>
      <c r="F781" s="58"/>
      <c r="G781" s="31"/>
      <c r="H781" s="20"/>
      <c r="I781" s="20"/>
      <c r="J781" s="20"/>
      <c r="K781" s="20"/>
      <c r="L781" s="20"/>
      <c r="M781" s="20"/>
      <c r="N781" s="20"/>
      <c r="O781" s="20"/>
      <c r="P781" s="20"/>
      <c r="Q781" s="20"/>
      <c r="R781" s="20"/>
      <c r="S781" s="20"/>
      <c r="T781" s="20"/>
      <c r="U781" s="20"/>
      <c r="V781" s="20"/>
    </row>
    <row r="782" spans="5:22" ht="17.25" customHeight="1">
      <c r="E782" s="62"/>
      <c r="F782" s="58"/>
      <c r="G782" s="31"/>
      <c r="H782" s="20"/>
      <c r="I782" s="20"/>
      <c r="J782" s="20"/>
      <c r="K782" s="20"/>
      <c r="L782" s="20"/>
      <c r="M782" s="20"/>
      <c r="N782" s="20"/>
      <c r="O782" s="20"/>
      <c r="P782" s="20"/>
      <c r="Q782" s="20"/>
      <c r="R782" s="20"/>
      <c r="S782" s="20"/>
      <c r="T782" s="20"/>
      <c r="U782" s="20"/>
      <c r="V782" s="20"/>
    </row>
    <row r="783" spans="5:22" ht="17.25" customHeight="1">
      <c r="E783" s="62"/>
      <c r="F783" s="58"/>
      <c r="G783" s="31"/>
      <c r="H783" s="20"/>
      <c r="I783" s="20"/>
      <c r="J783" s="20"/>
      <c r="K783" s="20"/>
      <c r="L783" s="20"/>
      <c r="M783" s="20"/>
      <c r="N783" s="20"/>
      <c r="O783" s="20"/>
      <c r="P783" s="20"/>
      <c r="Q783" s="20"/>
      <c r="R783" s="20"/>
      <c r="S783" s="20"/>
      <c r="T783" s="20"/>
      <c r="U783" s="20"/>
      <c r="V783" s="20"/>
    </row>
    <row r="784" spans="5:22" ht="17.25" customHeight="1">
      <c r="E784" s="62"/>
      <c r="F784" s="58"/>
      <c r="G784" s="31"/>
      <c r="H784" s="20"/>
      <c r="I784" s="20"/>
      <c r="J784" s="20"/>
      <c r="K784" s="20"/>
      <c r="L784" s="20"/>
      <c r="M784" s="20"/>
      <c r="N784" s="20"/>
      <c r="O784" s="20"/>
      <c r="P784" s="20"/>
      <c r="Q784" s="20"/>
      <c r="R784" s="20"/>
      <c r="S784" s="20"/>
      <c r="T784" s="20"/>
      <c r="U784" s="20"/>
      <c r="V784" s="20"/>
    </row>
    <row r="785" spans="5:22" ht="17.25" customHeight="1">
      <c r="E785" s="62"/>
      <c r="F785" s="58"/>
      <c r="G785" s="31"/>
      <c r="H785" s="20"/>
      <c r="I785" s="20"/>
      <c r="J785" s="20"/>
      <c r="K785" s="20"/>
      <c r="L785" s="20"/>
      <c r="M785" s="20"/>
      <c r="N785" s="20"/>
      <c r="O785" s="20"/>
      <c r="P785" s="20"/>
      <c r="Q785" s="20"/>
      <c r="R785" s="20"/>
      <c r="S785" s="20"/>
      <c r="T785" s="20"/>
      <c r="U785" s="20"/>
      <c r="V785" s="20"/>
    </row>
    <row r="786" spans="5:22" ht="17.25" customHeight="1">
      <c r="E786" s="62"/>
      <c r="F786" s="58"/>
      <c r="G786" s="31"/>
      <c r="H786" s="20"/>
      <c r="I786" s="20"/>
      <c r="J786" s="20"/>
      <c r="K786" s="20"/>
      <c r="L786" s="20"/>
      <c r="M786" s="20"/>
      <c r="N786" s="20"/>
      <c r="O786" s="20"/>
      <c r="P786" s="20"/>
      <c r="Q786" s="20"/>
      <c r="R786" s="20"/>
      <c r="S786" s="20"/>
      <c r="T786" s="20"/>
      <c r="U786" s="20"/>
      <c r="V786" s="20"/>
    </row>
    <row r="787" spans="5:22" ht="17.25" customHeight="1">
      <c r="E787" s="62"/>
      <c r="F787" s="58"/>
      <c r="G787" s="31"/>
      <c r="H787" s="20"/>
      <c r="I787" s="20"/>
      <c r="J787" s="20"/>
      <c r="K787" s="20"/>
      <c r="L787" s="20"/>
      <c r="M787" s="20"/>
      <c r="N787" s="20"/>
      <c r="O787" s="20"/>
      <c r="P787" s="20"/>
      <c r="Q787" s="20"/>
      <c r="R787" s="20"/>
      <c r="S787" s="20"/>
      <c r="T787" s="20"/>
      <c r="U787" s="20"/>
      <c r="V787" s="20"/>
    </row>
    <row r="788" spans="5:22" ht="17.25" customHeight="1">
      <c r="E788" s="62"/>
      <c r="F788" s="58"/>
      <c r="G788" s="31"/>
      <c r="H788" s="20"/>
      <c r="I788" s="20"/>
      <c r="J788" s="20"/>
      <c r="K788" s="20"/>
      <c r="L788" s="20"/>
      <c r="M788" s="20"/>
      <c r="N788" s="20"/>
      <c r="O788" s="20"/>
      <c r="P788" s="20"/>
      <c r="Q788" s="20"/>
      <c r="R788" s="20"/>
      <c r="S788" s="20"/>
      <c r="T788" s="20"/>
      <c r="U788" s="20"/>
      <c r="V788" s="20"/>
    </row>
    <row r="789" spans="5:22" ht="17.25" customHeight="1">
      <c r="E789" s="62"/>
      <c r="F789" s="58"/>
      <c r="G789" s="31"/>
      <c r="H789" s="20"/>
      <c r="I789" s="20"/>
      <c r="J789" s="20"/>
      <c r="K789" s="20"/>
      <c r="L789" s="20"/>
      <c r="M789" s="20"/>
      <c r="N789" s="20"/>
      <c r="O789" s="20"/>
      <c r="P789" s="20"/>
      <c r="Q789" s="20"/>
      <c r="R789" s="20"/>
      <c r="S789" s="20"/>
      <c r="T789" s="20"/>
      <c r="U789" s="20"/>
      <c r="V789" s="20"/>
    </row>
    <row r="790" spans="5:22" ht="17.25" customHeight="1">
      <c r="E790" s="62"/>
      <c r="F790" s="58"/>
      <c r="G790" s="31"/>
      <c r="H790" s="20"/>
      <c r="I790" s="20"/>
      <c r="J790" s="20"/>
      <c r="K790" s="20"/>
      <c r="L790" s="20"/>
      <c r="M790" s="20"/>
      <c r="N790" s="20"/>
      <c r="O790" s="20"/>
      <c r="P790" s="20"/>
      <c r="Q790" s="20"/>
      <c r="R790" s="20"/>
      <c r="S790" s="20"/>
      <c r="T790" s="20"/>
      <c r="U790" s="20"/>
      <c r="V790" s="20"/>
    </row>
    <row r="791" spans="5:22" ht="17.25" customHeight="1">
      <c r="E791" s="62"/>
      <c r="F791" s="58"/>
      <c r="G791" s="31"/>
      <c r="H791" s="20"/>
      <c r="I791" s="20"/>
      <c r="J791" s="20"/>
      <c r="K791" s="20"/>
      <c r="L791" s="20"/>
      <c r="M791" s="20"/>
      <c r="N791" s="20"/>
      <c r="O791" s="20"/>
      <c r="P791" s="20"/>
      <c r="Q791" s="20"/>
      <c r="R791" s="20"/>
      <c r="S791" s="20"/>
      <c r="T791" s="20"/>
      <c r="U791" s="20"/>
      <c r="V791" s="20"/>
    </row>
    <row r="792" spans="5:22" ht="17.25" customHeight="1">
      <c r="E792" s="62"/>
      <c r="F792" s="58"/>
      <c r="G792" s="31"/>
      <c r="H792" s="20"/>
      <c r="I792" s="20"/>
      <c r="J792" s="20"/>
      <c r="K792" s="20"/>
      <c r="L792" s="20"/>
      <c r="M792" s="20"/>
      <c r="N792" s="20"/>
      <c r="O792" s="20"/>
      <c r="P792" s="20"/>
      <c r="Q792" s="20"/>
      <c r="R792" s="20"/>
      <c r="S792" s="20"/>
      <c r="T792" s="20"/>
      <c r="U792" s="20"/>
      <c r="V792" s="20"/>
    </row>
    <row r="793" spans="5:22" ht="17.25" customHeight="1">
      <c r="E793" s="62"/>
      <c r="F793" s="58"/>
      <c r="G793" s="31"/>
      <c r="H793" s="20"/>
      <c r="I793" s="20"/>
      <c r="J793" s="20"/>
      <c r="K793" s="20"/>
      <c r="L793" s="20"/>
      <c r="M793" s="20"/>
      <c r="N793" s="20"/>
      <c r="O793" s="20"/>
      <c r="P793" s="20"/>
      <c r="Q793" s="20"/>
      <c r="R793" s="20"/>
      <c r="S793" s="20"/>
      <c r="T793" s="20"/>
      <c r="U793" s="20"/>
      <c r="V793" s="20"/>
    </row>
    <row r="794" spans="5:22" ht="17.25" customHeight="1">
      <c r="E794" s="62"/>
      <c r="F794" s="58"/>
      <c r="G794" s="31"/>
      <c r="H794" s="20"/>
      <c r="I794" s="20"/>
      <c r="J794" s="20"/>
      <c r="K794" s="20"/>
      <c r="L794" s="20"/>
      <c r="M794" s="20"/>
      <c r="N794" s="20"/>
      <c r="O794" s="20"/>
      <c r="P794" s="20"/>
      <c r="Q794" s="20"/>
      <c r="R794" s="20"/>
      <c r="S794" s="20"/>
      <c r="T794" s="20"/>
      <c r="U794" s="20"/>
      <c r="V794" s="20"/>
    </row>
    <row r="795" spans="5:22" ht="17.25" customHeight="1">
      <c r="E795" s="62"/>
      <c r="F795" s="58"/>
      <c r="G795" s="31"/>
      <c r="H795" s="20"/>
      <c r="I795" s="20"/>
      <c r="J795" s="20"/>
      <c r="K795" s="20"/>
      <c r="L795" s="20"/>
      <c r="M795" s="20"/>
      <c r="N795" s="20"/>
      <c r="O795" s="20"/>
      <c r="P795" s="20"/>
      <c r="Q795" s="20"/>
      <c r="R795" s="20"/>
      <c r="S795" s="20"/>
      <c r="T795" s="20"/>
      <c r="U795" s="20"/>
      <c r="V795" s="20"/>
    </row>
    <row r="796" spans="5:22" ht="17.25" customHeight="1">
      <c r="E796" s="62"/>
      <c r="F796" s="58"/>
      <c r="G796" s="31"/>
      <c r="H796" s="20"/>
      <c r="I796" s="20"/>
      <c r="J796" s="20"/>
      <c r="K796" s="20"/>
      <c r="L796" s="20"/>
      <c r="M796" s="20"/>
      <c r="N796" s="20"/>
      <c r="O796" s="20"/>
      <c r="P796" s="20"/>
      <c r="Q796" s="20"/>
      <c r="R796" s="20"/>
      <c r="S796" s="20"/>
      <c r="T796" s="20"/>
      <c r="U796" s="20"/>
      <c r="V796" s="20"/>
    </row>
    <row r="797" spans="5:22" ht="17.25" customHeight="1">
      <c r="E797" s="62"/>
      <c r="F797" s="58"/>
      <c r="G797" s="31"/>
      <c r="H797" s="20"/>
      <c r="I797" s="20"/>
      <c r="J797" s="20"/>
      <c r="K797" s="20"/>
      <c r="L797" s="20"/>
      <c r="M797" s="20"/>
      <c r="N797" s="20"/>
      <c r="O797" s="20"/>
      <c r="P797" s="20"/>
      <c r="Q797" s="20"/>
      <c r="R797" s="20"/>
      <c r="S797" s="20"/>
      <c r="T797" s="20"/>
      <c r="U797" s="20"/>
      <c r="V797" s="20"/>
    </row>
    <row r="798" spans="5:22" ht="17.25" customHeight="1">
      <c r="E798" s="62"/>
      <c r="F798" s="58"/>
      <c r="G798" s="31"/>
      <c r="H798" s="20"/>
      <c r="I798" s="20"/>
      <c r="J798" s="20"/>
      <c r="K798" s="20"/>
      <c r="L798" s="20"/>
      <c r="M798" s="20"/>
      <c r="N798" s="20"/>
      <c r="O798" s="20"/>
      <c r="P798" s="20"/>
      <c r="Q798" s="20"/>
      <c r="R798" s="20"/>
      <c r="S798" s="20"/>
      <c r="T798" s="20"/>
      <c r="U798" s="20"/>
      <c r="V798" s="20"/>
    </row>
    <row r="799" spans="5:22" ht="17.25" customHeight="1">
      <c r="E799" s="62"/>
      <c r="F799" s="58"/>
      <c r="G799" s="31"/>
      <c r="H799" s="20"/>
      <c r="I799" s="20"/>
      <c r="J799" s="20"/>
      <c r="K799" s="20"/>
      <c r="L799" s="20"/>
      <c r="M799" s="20"/>
      <c r="N799" s="20"/>
      <c r="O799" s="20"/>
      <c r="P799" s="20"/>
      <c r="Q799" s="20"/>
      <c r="R799" s="20"/>
      <c r="S799" s="20"/>
      <c r="T799" s="20"/>
      <c r="U799" s="20"/>
      <c r="V799" s="20"/>
    </row>
    <row r="800" spans="5:22" ht="17.25" customHeight="1">
      <c r="E800" s="62"/>
      <c r="F800" s="58"/>
      <c r="G800" s="31"/>
      <c r="H800" s="20"/>
      <c r="I800" s="20"/>
      <c r="J800" s="20"/>
      <c r="K800" s="20"/>
      <c r="L800" s="20"/>
      <c r="M800" s="20"/>
      <c r="N800" s="20"/>
      <c r="O800" s="20"/>
      <c r="P800" s="20"/>
      <c r="Q800" s="20"/>
      <c r="R800" s="20"/>
      <c r="S800" s="20"/>
      <c r="T800" s="20"/>
      <c r="U800" s="20"/>
      <c r="V800" s="20"/>
    </row>
    <row r="801" spans="5:22" ht="17.25" customHeight="1">
      <c r="E801" s="62"/>
      <c r="F801" s="58"/>
      <c r="G801" s="31"/>
      <c r="H801" s="20"/>
      <c r="I801" s="20"/>
      <c r="J801" s="20"/>
      <c r="K801" s="20"/>
      <c r="L801" s="20"/>
      <c r="M801" s="20"/>
      <c r="N801" s="20"/>
      <c r="O801" s="20"/>
      <c r="P801" s="20"/>
      <c r="Q801" s="20"/>
      <c r="R801" s="20"/>
      <c r="S801" s="20"/>
      <c r="T801" s="20"/>
      <c r="U801" s="20"/>
      <c r="V801" s="20"/>
    </row>
    <row r="802" spans="5:22" ht="17.25" customHeight="1">
      <c r="E802" s="62"/>
      <c r="F802" s="58"/>
      <c r="G802" s="31"/>
      <c r="H802" s="20"/>
      <c r="I802" s="20"/>
      <c r="J802" s="20"/>
      <c r="K802" s="20"/>
      <c r="L802" s="20"/>
      <c r="M802" s="20"/>
      <c r="N802" s="20"/>
      <c r="O802" s="20"/>
      <c r="P802" s="20"/>
      <c r="Q802" s="20"/>
      <c r="R802" s="20"/>
      <c r="S802" s="20"/>
      <c r="T802" s="20"/>
      <c r="U802" s="20"/>
      <c r="V802" s="20"/>
    </row>
    <row r="803" spans="5:22" ht="17.25" customHeight="1">
      <c r="E803" s="62"/>
      <c r="F803" s="58"/>
      <c r="G803" s="31"/>
      <c r="H803" s="20"/>
      <c r="I803" s="20"/>
      <c r="J803" s="20"/>
      <c r="K803" s="20"/>
      <c r="L803" s="20"/>
      <c r="M803" s="20"/>
      <c r="N803" s="20"/>
      <c r="O803" s="20"/>
      <c r="P803" s="20"/>
      <c r="Q803" s="20"/>
      <c r="R803" s="20"/>
      <c r="S803" s="20"/>
      <c r="T803" s="20"/>
      <c r="U803" s="20"/>
      <c r="V803" s="20"/>
    </row>
    <row r="804" spans="5:22" ht="17.25" customHeight="1">
      <c r="E804" s="62"/>
      <c r="F804" s="58"/>
      <c r="G804" s="31"/>
      <c r="H804" s="20"/>
      <c r="I804" s="20"/>
      <c r="J804" s="20"/>
      <c r="K804" s="20"/>
      <c r="L804" s="20"/>
      <c r="M804" s="20"/>
      <c r="N804" s="20"/>
      <c r="O804" s="20"/>
      <c r="P804" s="20"/>
      <c r="Q804" s="20"/>
      <c r="R804" s="20"/>
      <c r="S804" s="20"/>
      <c r="T804" s="20"/>
      <c r="U804" s="20"/>
      <c r="V804" s="20"/>
    </row>
    <row r="805" spans="5:22" ht="17.25" customHeight="1">
      <c r="E805" s="62"/>
      <c r="F805" s="58"/>
      <c r="G805" s="31"/>
      <c r="H805" s="20"/>
      <c r="I805" s="20"/>
      <c r="J805" s="20"/>
      <c r="K805" s="20"/>
      <c r="L805" s="20"/>
      <c r="M805" s="20"/>
      <c r="N805" s="20"/>
      <c r="O805" s="20"/>
      <c r="P805" s="20"/>
      <c r="Q805" s="20"/>
      <c r="R805" s="20"/>
      <c r="S805" s="20"/>
      <c r="T805" s="20"/>
      <c r="U805" s="20"/>
      <c r="V805" s="20"/>
    </row>
    <row r="806" spans="5:22" ht="17.25" customHeight="1">
      <c r="E806" s="62"/>
      <c r="F806" s="58"/>
      <c r="G806" s="31"/>
      <c r="H806" s="20"/>
      <c r="I806" s="20"/>
      <c r="J806" s="20"/>
      <c r="K806" s="20"/>
      <c r="L806" s="20"/>
      <c r="M806" s="20"/>
      <c r="N806" s="20"/>
      <c r="O806" s="20"/>
      <c r="P806" s="20"/>
      <c r="Q806" s="20"/>
      <c r="R806" s="20"/>
      <c r="S806" s="20"/>
      <c r="T806" s="20"/>
      <c r="U806" s="20"/>
      <c r="V806" s="20"/>
    </row>
    <row r="807" spans="5:22" ht="17.25" customHeight="1">
      <c r="E807" s="62"/>
      <c r="F807" s="58"/>
      <c r="G807" s="31"/>
      <c r="H807" s="20"/>
      <c r="I807" s="20"/>
      <c r="J807" s="20"/>
      <c r="K807" s="20"/>
      <c r="L807" s="20"/>
      <c r="M807" s="20"/>
      <c r="N807" s="20"/>
      <c r="O807" s="20"/>
      <c r="P807" s="20"/>
      <c r="Q807" s="20"/>
      <c r="R807" s="20"/>
      <c r="S807" s="20"/>
      <c r="T807" s="20"/>
      <c r="U807" s="20"/>
      <c r="V807" s="20"/>
    </row>
    <row r="808" spans="5:22" ht="17.25" customHeight="1">
      <c r="E808" s="62"/>
      <c r="F808" s="58"/>
      <c r="G808" s="31"/>
      <c r="H808" s="20"/>
      <c r="I808" s="20"/>
      <c r="J808" s="20"/>
      <c r="K808" s="20"/>
      <c r="L808" s="20"/>
      <c r="M808" s="20"/>
      <c r="N808" s="20"/>
      <c r="O808" s="20"/>
      <c r="P808" s="20"/>
      <c r="Q808" s="20"/>
      <c r="R808" s="20"/>
      <c r="S808" s="20"/>
      <c r="T808" s="20"/>
      <c r="U808" s="20"/>
      <c r="V808" s="20"/>
    </row>
    <row r="809" spans="5:22" ht="17.25" customHeight="1">
      <c r="E809" s="62"/>
      <c r="F809" s="58"/>
      <c r="G809" s="31"/>
      <c r="H809" s="20"/>
      <c r="I809" s="20"/>
      <c r="J809" s="20"/>
      <c r="K809" s="20"/>
      <c r="L809" s="20"/>
      <c r="M809" s="20"/>
      <c r="N809" s="20"/>
      <c r="O809" s="20"/>
      <c r="P809" s="20"/>
      <c r="Q809" s="20"/>
      <c r="R809" s="20"/>
      <c r="S809" s="20"/>
      <c r="T809" s="20"/>
      <c r="U809" s="20"/>
      <c r="V809" s="20"/>
    </row>
    <row r="810" spans="5:22" ht="17.25" customHeight="1">
      <c r="E810" s="62"/>
      <c r="F810" s="58"/>
      <c r="G810" s="31"/>
      <c r="H810" s="20"/>
      <c r="I810" s="20"/>
      <c r="J810" s="20"/>
      <c r="K810" s="20"/>
      <c r="L810" s="20"/>
      <c r="M810" s="20"/>
      <c r="N810" s="20"/>
      <c r="O810" s="20"/>
      <c r="P810" s="20"/>
      <c r="Q810" s="20"/>
      <c r="R810" s="20"/>
      <c r="S810" s="20"/>
      <c r="T810" s="20"/>
      <c r="U810" s="20"/>
      <c r="V810" s="20"/>
    </row>
    <row r="811" spans="5:22" ht="17.25" customHeight="1">
      <c r="E811" s="62"/>
      <c r="F811" s="58"/>
      <c r="G811" s="31"/>
      <c r="H811" s="20"/>
      <c r="I811" s="20"/>
      <c r="J811" s="20"/>
      <c r="K811" s="20"/>
      <c r="L811" s="20"/>
      <c r="M811" s="20"/>
      <c r="N811" s="20"/>
      <c r="O811" s="20"/>
      <c r="P811" s="20"/>
      <c r="Q811" s="20"/>
      <c r="R811" s="20"/>
      <c r="S811" s="20"/>
      <c r="T811" s="20"/>
      <c r="U811" s="20"/>
      <c r="V811" s="20"/>
    </row>
    <row r="812" spans="5:22" ht="17.25" customHeight="1">
      <c r="E812" s="62"/>
      <c r="F812" s="58"/>
      <c r="G812" s="31"/>
      <c r="H812" s="20"/>
      <c r="I812" s="20"/>
      <c r="J812" s="20"/>
      <c r="K812" s="20"/>
      <c r="L812" s="20"/>
      <c r="M812" s="20"/>
      <c r="N812" s="20"/>
      <c r="O812" s="20"/>
      <c r="P812" s="20"/>
      <c r="Q812" s="20"/>
      <c r="R812" s="20"/>
      <c r="S812" s="20"/>
      <c r="T812" s="20"/>
      <c r="U812" s="20"/>
      <c r="V812" s="20"/>
    </row>
    <row r="813" spans="5:22" ht="17.25" customHeight="1">
      <c r="E813" s="62"/>
      <c r="F813" s="58"/>
      <c r="G813" s="31"/>
      <c r="H813" s="20"/>
      <c r="I813" s="20"/>
      <c r="J813" s="20"/>
      <c r="K813" s="20"/>
      <c r="L813" s="20"/>
      <c r="M813" s="20"/>
      <c r="N813" s="20"/>
      <c r="O813" s="20"/>
      <c r="P813" s="20"/>
      <c r="Q813" s="20"/>
      <c r="R813" s="20"/>
      <c r="S813" s="20"/>
      <c r="T813" s="20"/>
      <c r="U813" s="20"/>
      <c r="V813" s="20"/>
    </row>
    <row r="814" spans="5:22" ht="17.25" customHeight="1">
      <c r="E814" s="62"/>
      <c r="F814" s="58"/>
      <c r="G814" s="31"/>
      <c r="H814" s="20"/>
      <c r="I814" s="20"/>
      <c r="J814" s="20"/>
      <c r="K814" s="20"/>
      <c r="L814" s="20"/>
      <c r="M814" s="20"/>
      <c r="N814" s="20"/>
      <c r="O814" s="20"/>
      <c r="P814" s="20"/>
      <c r="Q814" s="20"/>
      <c r="R814" s="20"/>
      <c r="S814" s="20"/>
      <c r="T814" s="20"/>
      <c r="U814" s="20"/>
      <c r="V814" s="20"/>
    </row>
    <row r="815" spans="5:22" ht="17.25" customHeight="1">
      <c r="E815" s="62"/>
      <c r="F815" s="58"/>
      <c r="G815" s="31"/>
      <c r="H815" s="20"/>
      <c r="I815" s="20"/>
      <c r="J815" s="20"/>
      <c r="K815" s="20"/>
      <c r="L815" s="20"/>
      <c r="M815" s="20"/>
      <c r="N815" s="20"/>
      <c r="O815" s="20"/>
      <c r="P815" s="20"/>
      <c r="Q815" s="20"/>
      <c r="R815" s="20"/>
      <c r="S815" s="20"/>
      <c r="T815" s="20"/>
      <c r="U815" s="20"/>
      <c r="V815" s="20"/>
    </row>
    <row r="816" spans="5:22" ht="17.25" customHeight="1">
      <c r="E816" s="62"/>
      <c r="F816" s="58"/>
      <c r="G816" s="31"/>
      <c r="H816" s="20"/>
      <c r="I816" s="20"/>
      <c r="J816" s="20"/>
      <c r="K816" s="20"/>
      <c r="L816" s="20"/>
      <c r="M816" s="20"/>
      <c r="N816" s="20"/>
      <c r="O816" s="20"/>
      <c r="P816" s="20"/>
      <c r="Q816" s="20"/>
      <c r="R816" s="20"/>
      <c r="S816" s="20"/>
      <c r="T816" s="20"/>
      <c r="U816" s="20"/>
      <c r="V816" s="20"/>
    </row>
    <row r="817" spans="5:22" ht="17.25" customHeight="1">
      <c r="E817" s="62"/>
      <c r="F817" s="58"/>
      <c r="G817" s="31"/>
      <c r="H817" s="20"/>
      <c r="I817" s="20"/>
      <c r="J817" s="20"/>
      <c r="K817" s="20"/>
      <c r="L817" s="20"/>
      <c r="M817" s="20"/>
      <c r="N817" s="20"/>
      <c r="O817" s="20"/>
      <c r="P817" s="20"/>
      <c r="Q817" s="20"/>
      <c r="R817" s="20"/>
      <c r="S817" s="20"/>
      <c r="T817" s="20"/>
      <c r="U817" s="20"/>
      <c r="V817" s="20"/>
    </row>
    <row r="818" spans="5:22" ht="17.25" customHeight="1">
      <c r="E818" s="62"/>
      <c r="F818" s="58"/>
      <c r="G818" s="31"/>
      <c r="H818" s="20"/>
      <c r="I818" s="20"/>
      <c r="J818" s="20"/>
      <c r="K818" s="20"/>
      <c r="L818" s="20"/>
      <c r="M818" s="20"/>
      <c r="N818" s="20"/>
      <c r="O818" s="20"/>
      <c r="P818" s="20"/>
      <c r="Q818" s="20"/>
      <c r="R818" s="20"/>
      <c r="S818" s="20"/>
      <c r="T818" s="20"/>
      <c r="U818" s="20"/>
      <c r="V818" s="20"/>
    </row>
    <row r="819" spans="5:22" ht="17.25" customHeight="1">
      <c r="E819" s="62"/>
      <c r="F819" s="58"/>
      <c r="G819" s="31"/>
      <c r="H819" s="20"/>
      <c r="I819" s="20"/>
      <c r="J819" s="20"/>
      <c r="K819" s="20"/>
      <c r="L819" s="20"/>
      <c r="M819" s="20"/>
      <c r="N819" s="20"/>
      <c r="O819" s="20"/>
      <c r="P819" s="20"/>
      <c r="Q819" s="20"/>
      <c r="R819" s="20"/>
      <c r="S819" s="20"/>
      <c r="T819" s="20"/>
      <c r="U819" s="20"/>
      <c r="V819" s="20"/>
    </row>
    <row r="820" spans="5:22" ht="17.25" customHeight="1">
      <c r="E820" s="62"/>
      <c r="F820" s="58"/>
      <c r="G820" s="31"/>
      <c r="H820" s="20"/>
      <c r="I820" s="20"/>
      <c r="J820" s="20"/>
      <c r="K820" s="20"/>
      <c r="L820" s="20"/>
      <c r="M820" s="20"/>
      <c r="N820" s="20"/>
      <c r="O820" s="20"/>
      <c r="P820" s="20"/>
      <c r="Q820" s="20"/>
      <c r="R820" s="20"/>
      <c r="S820" s="20"/>
      <c r="T820" s="20"/>
      <c r="U820" s="20"/>
      <c r="V820" s="20"/>
    </row>
    <row r="821" spans="5:22" ht="17.25" customHeight="1">
      <c r="E821" s="62"/>
      <c r="F821" s="58"/>
      <c r="G821" s="31"/>
      <c r="H821" s="20"/>
      <c r="I821" s="20"/>
      <c r="J821" s="20"/>
      <c r="K821" s="20"/>
      <c r="L821" s="20"/>
      <c r="M821" s="20"/>
      <c r="N821" s="20"/>
      <c r="O821" s="20"/>
      <c r="P821" s="20"/>
      <c r="Q821" s="20"/>
      <c r="R821" s="20"/>
      <c r="S821" s="20"/>
      <c r="T821" s="20"/>
      <c r="U821" s="20"/>
      <c r="V821" s="20"/>
    </row>
    <row r="822" spans="5:22" ht="17.25" customHeight="1">
      <c r="E822" s="62"/>
      <c r="F822" s="58"/>
      <c r="G822" s="31"/>
      <c r="H822" s="20"/>
      <c r="I822" s="20"/>
      <c r="J822" s="20"/>
      <c r="K822" s="20"/>
      <c r="L822" s="20"/>
      <c r="M822" s="20"/>
      <c r="N822" s="20"/>
      <c r="O822" s="20"/>
      <c r="P822" s="20"/>
      <c r="Q822" s="20"/>
      <c r="R822" s="20"/>
      <c r="S822" s="20"/>
      <c r="T822" s="20"/>
      <c r="U822" s="20"/>
      <c r="V822" s="20"/>
    </row>
    <row r="823" spans="5:22" ht="17.25" customHeight="1">
      <c r="E823" s="62"/>
      <c r="F823" s="58"/>
      <c r="G823" s="31"/>
      <c r="H823" s="20"/>
      <c r="I823" s="20"/>
      <c r="J823" s="20"/>
      <c r="K823" s="20"/>
      <c r="L823" s="20"/>
      <c r="M823" s="20"/>
      <c r="N823" s="20"/>
      <c r="O823" s="20"/>
      <c r="P823" s="20"/>
      <c r="Q823" s="20"/>
      <c r="R823" s="20"/>
      <c r="S823" s="20"/>
      <c r="T823" s="20"/>
      <c r="U823" s="20"/>
      <c r="V823" s="20"/>
    </row>
    <row r="824" spans="5:22" ht="17.25" customHeight="1">
      <c r="E824" s="62"/>
      <c r="F824" s="58"/>
      <c r="G824" s="31"/>
      <c r="H824" s="20"/>
      <c r="I824" s="20"/>
      <c r="J824" s="20"/>
      <c r="K824" s="20"/>
      <c r="L824" s="20"/>
      <c r="M824" s="20"/>
      <c r="N824" s="20"/>
      <c r="O824" s="20"/>
      <c r="P824" s="20"/>
      <c r="Q824" s="20"/>
      <c r="R824" s="20"/>
      <c r="S824" s="20"/>
      <c r="T824" s="20"/>
      <c r="U824" s="20"/>
      <c r="V824" s="20"/>
    </row>
    <row r="825" spans="5:22" ht="17.25" customHeight="1">
      <c r="E825" s="62"/>
      <c r="F825" s="58"/>
      <c r="G825" s="31"/>
      <c r="H825" s="20"/>
      <c r="I825" s="20"/>
      <c r="J825" s="20"/>
      <c r="K825" s="20"/>
      <c r="L825" s="20"/>
      <c r="M825" s="20"/>
      <c r="N825" s="20"/>
      <c r="O825" s="20"/>
      <c r="P825" s="20"/>
      <c r="Q825" s="20"/>
      <c r="R825" s="20"/>
      <c r="S825" s="20"/>
      <c r="T825" s="20"/>
      <c r="U825" s="20"/>
      <c r="V825" s="20"/>
    </row>
    <row r="826" spans="5:22" ht="17.25" customHeight="1">
      <c r="E826" s="62"/>
      <c r="F826" s="58"/>
      <c r="G826" s="31"/>
      <c r="H826" s="20"/>
      <c r="I826" s="20"/>
      <c r="J826" s="20"/>
      <c r="K826" s="20"/>
      <c r="L826" s="20"/>
      <c r="M826" s="20"/>
      <c r="N826" s="20"/>
      <c r="O826" s="20"/>
      <c r="P826" s="20"/>
      <c r="Q826" s="20"/>
      <c r="R826" s="20"/>
      <c r="S826" s="20"/>
      <c r="T826" s="20"/>
      <c r="U826" s="20"/>
      <c r="V826" s="20"/>
    </row>
    <row r="827" spans="5:22" ht="17.25" customHeight="1">
      <c r="E827" s="62"/>
      <c r="F827" s="58"/>
      <c r="G827" s="31"/>
      <c r="H827" s="20"/>
      <c r="I827" s="20"/>
      <c r="J827" s="20"/>
      <c r="K827" s="20"/>
      <c r="L827" s="20"/>
      <c r="M827" s="20"/>
      <c r="N827" s="20"/>
      <c r="O827" s="20"/>
      <c r="P827" s="20"/>
      <c r="Q827" s="20"/>
      <c r="R827" s="20"/>
      <c r="S827" s="20"/>
      <c r="T827" s="20"/>
      <c r="U827" s="20"/>
      <c r="V827" s="20"/>
    </row>
    <row r="828" spans="5:22" ht="17.25" customHeight="1">
      <c r="E828" s="62"/>
      <c r="F828" s="58"/>
      <c r="G828" s="31"/>
      <c r="H828" s="20"/>
      <c r="I828" s="20"/>
      <c r="J828" s="20"/>
      <c r="K828" s="20"/>
      <c r="L828" s="20"/>
      <c r="M828" s="20"/>
      <c r="N828" s="20"/>
      <c r="O828" s="20"/>
      <c r="P828" s="20"/>
      <c r="Q828" s="20"/>
      <c r="R828" s="20"/>
      <c r="S828" s="20"/>
      <c r="T828" s="20"/>
      <c r="U828" s="20"/>
      <c r="V828" s="20"/>
    </row>
    <row r="829" spans="5:22" ht="17.25" customHeight="1">
      <c r="E829" s="62"/>
      <c r="F829" s="58"/>
      <c r="G829" s="31"/>
      <c r="H829" s="20"/>
      <c r="I829" s="20"/>
      <c r="J829" s="20"/>
      <c r="K829" s="20"/>
      <c r="L829" s="20"/>
      <c r="M829" s="20"/>
      <c r="N829" s="20"/>
      <c r="O829" s="20"/>
      <c r="P829" s="20"/>
      <c r="Q829" s="20"/>
      <c r="R829" s="20"/>
      <c r="S829" s="20"/>
      <c r="T829" s="20"/>
      <c r="U829" s="20"/>
      <c r="V829" s="20"/>
    </row>
    <row r="830" spans="5:22" ht="17.25" customHeight="1">
      <c r="E830" s="62"/>
      <c r="F830" s="58"/>
      <c r="G830" s="31"/>
      <c r="H830" s="20"/>
      <c r="I830" s="20"/>
      <c r="J830" s="20"/>
      <c r="K830" s="20"/>
      <c r="L830" s="20"/>
      <c r="M830" s="20"/>
      <c r="N830" s="20"/>
      <c r="O830" s="20"/>
      <c r="P830" s="20"/>
      <c r="Q830" s="20"/>
      <c r="R830" s="20"/>
      <c r="S830" s="20"/>
      <c r="T830" s="20"/>
      <c r="U830" s="20"/>
      <c r="V830" s="20"/>
    </row>
    <row r="831" spans="5:22" ht="17.25" customHeight="1">
      <c r="E831" s="62"/>
      <c r="F831" s="58"/>
      <c r="G831" s="31"/>
      <c r="H831" s="20"/>
      <c r="I831" s="20"/>
      <c r="J831" s="20"/>
      <c r="K831" s="20"/>
      <c r="L831" s="20"/>
      <c r="M831" s="20"/>
      <c r="N831" s="20"/>
      <c r="O831" s="20"/>
      <c r="P831" s="20"/>
      <c r="Q831" s="20"/>
      <c r="R831" s="20"/>
      <c r="S831" s="20"/>
      <c r="T831" s="20"/>
      <c r="U831" s="20"/>
      <c r="V831" s="20"/>
    </row>
    <row r="832" spans="5:22" ht="17.25" customHeight="1">
      <c r="E832" s="62"/>
      <c r="F832" s="58"/>
      <c r="G832" s="31"/>
      <c r="H832" s="20"/>
      <c r="I832" s="20"/>
      <c r="J832" s="20"/>
      <c r="K832" s="20"/>
      <c r="L832" s="20"/>
      <c r="M832" s="20"/>
      <c r="N832" s="20"/>
      <c r="O832" s="20"/>
      <c r="P832" s="20"/>
      <c r="Q832" s="20"/>
      <c r="R832" s="20"/>
      <c r="S832" s="20"/>
      <c r="T832" s="20"/>
      <c r="U832" s="20"/>
      <c r="V832" s="20"/>
    </row>
    <row r="833" spans="5:22" ht="17.25" customHeight="1">
      <c r="E833" s="62"/>
      <c r="F833" s="58"/>
      <c r="G833" s="31"/>
      <c r="H833" s="20"/>
      <c r="I833" s="20"/>
      <c r="J833" s="20"/>
      <c r="K833" s="20"/>
      <c r="L833" s="20"/>
      <c r="M833" s="20"/>
      <c r="N833" s="20"/>
      <c r="O833" s="20"/>
      <c r="P833" s="20"/>
      <c r="Q833" s="20"/>
      <c r="R833" s="20"/>
      <c r="S833" s="20"/>
      <c r="T833" s="20"/>
      <c r="U833" s="20"/>
      <c r="V833" s="20"/>
    </row>
    <row r="834" spans="5:22" ht="17.25" customHeight="1">
      <c r="E834" s="62"/>
      <c r="F834" s="58"/>
      <c r="G834" s="31"/>
      <c r="H834" s="20"/>
      <c r="I834" s="20"/>
      <c r="J834" s="20"/>
      <c r="K834" s="20"/>
      <c r="L834" s="20"/>
      <c r="M834" s="20"/>
      <c r="N834" s="20"/>
      <c r="O834" s="20"/>
      <c r="P834" s="20"/>
      <c r="Q834" s="20"/>
      <c r="R834" s="20"/>
      <c r="S834" s="20"/>
      <c r="T834" s="20"/>
      <c r="U834" s="20"/>
      <c r="V834" s="20"/>
    </row>
    <row r="835" spans="5:22" ht="17.25" customHeight="1">
      <c r="E835" s="62"/>
      <c r="F835" s="58"/>
      <c r="G835" s="31"/>
      <c r="H835" s="20"/>
      <c r="I835" s="20"/>
      <c r="J835" s="20"/>
      <c r="K835" s="20"/>
      <c r="L835" s="20"/>
      <c r="M835" s="20"/>
      <c r="N835" s="20"/>
      <c r="O835" s="20"/>
      <c r="P835" s="20"/>
      <c r="Q835" s="20"/>
      <c r="R835" s="20"/>
      <c r="S835" s="20"/>
      <c r="T835" s="20"/>
      <c r="U835" s="20"/>
      <c r="V835" s="20"/>
    </row>
    <row r="836" spans="5:22" ht="17.25" customHeight="1">
      <c r="E836" s="62"/>
      <c r="F836" s="58"/>
      <c r="G836" s="31"/>
      <c r="H836" s="20"/>
      <c r="I836" s="20"/>
      <c r="J836" s="20"/>
      <c r="K836" s="20"/>
      <c r="L836" s="20"/>
      <c r="M836" s="20"/>
      <c r="N836" s="20"/>
      <c r="O836" s="20"/>
      <c r="P836" s="20"/>
      <c r="Q836" s="20"/>
      <c r="R836" s="20"/>
      <c r="S836" s="20"/>
      <c r="T836" s="20"/>
      <c r="U836" s="20"/>
      <c r="V836" s="20"/>
    </row>
    <row r="837" spans="5:22" ht="17.25" customHeight="1">
      <c r="E837" s="62"/>
      <c r="F837" s="58"/>
      <c r="G837" s="31"/>
      <c r="H837" s="20"/>
      <c r="I837" s="20"/>
      <c r="J837" s="20"/>
      <c r="K837" s="20"/>
      <c r="L837" s="20"/>
      <c r="M837" s="20"/>
      <c r="N837" s="20"/>
      <c r="O837" s="20"/>
      <c r="P837" s="20"/>
      <c r="Q837" s="20"/>
      <c r="R837" s="20"/>
      <c r="S837" s="20"/>
      <c r="T837" s="20"/>
      <c r="U837" s="20"/>
      <c r="V837" s="20"/>
    </row>
    <row r="838" spans="5:22" ht="17.25" customHeight="1">
      <c r="E838" s="62"/>
      <c r="F838" s="58"/>
      <c r="G838" s="31"/>
      <c r="H838" s="20"/>
      <c r="I838" s="20"/>
      <c r="J838" s="20"/>
      <c r="K838" s="20"/>
      <c r="L838" s="20"/>
      <c r="M838" s="20"/>
      <c r="N838" s="20"/>
      <c r="O838" s="20"/>
      <c r="P838" s="20"/>
      <c r="Q838" s="20"/>
      <c r="R838" s="20"/>
      <c r="S838" s="20"/>
      <c r="T838" s="20"/>
      <c r="U838" s="20"/>
      <c r="V838" s="20"/>
    </row>
    <row r="839" spans="5:22" ht="17.25" customHeight="1">
      <c r="E839" s="62"/>
      <c r="F839" s="58"/>
      <c r="G839" s="31"/>
      <c r="H839" s="20"/>
      <c r="I839" s="20"/>
      <c r="J839" s="20"/>
      <c r="K839" s="20"/>
      <c r="L839" s="20"/>
      <c r="M839" s="20"/>
      <c r="N839" s="20"/>
      <c r="O839" s="20"/>
      <c r="P839" s="20"/>
      <c r="Q839" s="20"/>
      <c r="R839" s="20"/>
      <c r="S839" s="20"/>
      <c r="T839" s="20"/>
      <c r="U839" s="20"/>
      <c r="V839" s="20"/>
    </row>
    <row r="840" spans="5:22" ht="17.25" customHeight="1">
      <c r="E840" s="62"/>
      <c r="F840" s="58"/>
      <c r="G840" s="31"/>
      <c r="H840" s="20"/>
      <c r="I840" s="20"/>
      <c r="J840" s="20"/>
      <c r="K840" s="20"/>
      <c r="L840" s="20"/>
      <c r="M840" s="20"/>
      <c r="N840" s="20"/>
      <c r="O840" s="20"/>
      <c r="P840" s="20"/>
      <c r="Q840" s="20"/>
      <c r="R840" s="20"/>
      <c r="S840" s="20"/>
      <c r="T840" s="20"/>
      <c r="U840" s="20"/>
      <c r="V840" s="20"/>
    </row>
    <row r="841" spans="5:22" ht="17.25" customHeight="1">
      <c r="E841" s="62"/>
      <c r="F841" s="58"/>
      <c r="G841" s="31"/>
      <c r="H841" s="20"/>
      <c r="I841" s="20"/>
      <c r="J841" s="20"/>
      <c r="K841" s="20"/>
      <c r="L841" s="20"/>
      <c r="M841" s="20"/>
      <c r="N841" s="20"/>
      <c r="O841" s="20"/>
      <c r="P841" s="20"/>
      <c r="Q841" s="20"/>
      <c r="R841" s="20"/>
      <c r="S841" s="20"/>
      <c r="T841" s="20"/>
      <c r="U841" s="20"/>
      <c r="V841" s="20"/>
    </row>
    <row r="842" spans="5:22" ht="17.25" customHeight="1">
      <c r="E842" s="62"/>
      <c r="F842" s="58"/>
      <c r="G842" s="31"/>
      <c r="H842" s="20"/>
      <c r="I842" s="20"/>
      <c r="J842" s="20"/>
      <c r="K842" s="20"/>
      <c r="L842" s="20"/>
      <c r="M842" s="20"/>
      <c r="N842" s="20"/>
      <c r="O842" s="20"/>
      <c r="P842" s="20"/>
      <c r="Q842" s="20"/>
      <c r="R842" s="20"/>
      <c r="S842" s="20"/>
      <c r="T842" s="20"/>
      <c r="U842" s="20"/>
      <c r="V842" s="20"/>
    </row>
    <row r="843" spans="5:22" ht="17.25" customHeight="1">
      <c r="E843" s="62"/>
      <c r="F843" s="58"/>
      <c r="G843" s="31"/>
      <c r="H843" s="20"/>
      <c r="I843" s="20"/>
      <c r="J843" s="20"/>
      <c r="K843" s="20"/>
      <c r="L843" s="20"/>
      <c r="M843" s="20"/>
      <c r="N843" s="20"/>
      <c r="O843" s="20"/>
      <c r="P843" s="20"/>
      <c r="Q843" s="20"/>
      <c r="R843" s="20"/>
      <c r="S843" s="20"/>
      <c r="T843" s="20"/>
      <c r="U843" s="20"/>
      <c r="V843" s="20"/>
    </row>
    <row r="844" spans="5:22" ht="17.25" customHeight="1">
      <c r="E844" s="62"/>
      <c r="F844" s="58"/>
      <c r="G844" s="31"/>
      <c r="H844" s="20"/>
      <c r="I844" s="20"/>
      <c r="J844" s="20"/>
      <c r="K844" s="20"/>
      <c r="L844" s="20"/>
      <c r="M844" s="20"/>
      <c r="N844" s="20"/>
      <c r="O844" s="20"/>
      <c r="P844" s="20"/>
      <c r="Q844" s="20"/>
      <c r="R844" s="20"/>
      <c r="S844" s="20"/>
      <c r="T844" s="20"/>
      <c r="U844" s="20"/>
      <c r="V844" s="20"/>
    </row>
    <row r="845" spans="5:22" ht="17.25" customHeight="1">
      <c r="E845" s="62"/>
      <c r="F845" s="58"/>
      <c r="G845" s="31"/>
      <c r="H845" s="20"/>
      <c r="I845" s="20"/>
      <c r="J845" s="20"/>
      <c r="K845" s="20"/>
      <c r="L845" s="20"/>
      <c r="M845" s="20"/>
      <c r="N845" s="20"/>
      <c r="O845" s="20"/>
      <c r="P845" s="20"/>
      <c r="Q845" s="20"/>
      <c r="R845" s="20"/>
      <c r="S845" s="20"/>
      <c r="T845" s="20"/>
      <c r="U845" s="20"/>
      <c r="V845" s="20"/>
    </row>
    <row r="846" spans="5:22" ht="17.25" customHeight="1">
      <c r="E846" s="62"/>
      <c r="F846" s="58"/>
      <c r="G846" s="31"/>
      <c r="H846" s="20"/>
      <c r="I846" s="20"/>
      <c r="J846" s="20"/>
      <c r="K846" s="20"/>
      <c r="L846" s="20"/>
      <c r="M846" s="20"/>
      <c r="N846" s="20"/>
      <c r="O846" s="20"/>
      <c r="P846" s="20"/>
      <c r="Q846" s="20"/>
      <c r="R846" s="20"/>
      <c r="S846" s="20"/>
      <c r="T846" s="20"/>
      <c r="U846" s="20"/>
      <c r="V846" s="20"/>
    </row>
    <row r="847" spans="5:22" ht="17.25" customHeight="1">
      <c r="E847" s="62"/>
      <c r="F847" s="58"/>
      <c r="G847" s="31"/>
      <c r="H847" s="20"/>
      <c r="I847" s="20"/>
      <c r="J847" s="20"/>
      <c r="K847" s="20"/>
      <c r="L847" s="20"/>
      <c r="M847" s="20"/>
      <c r="N847" s="20"/>
      <c r="O847" s="20"/>
      <c r="P847" s="20"/>
      <c r="Q847" s="20"/>
      <c r="R847" s="20"/>
      <c r="S847" s="20"/>
      <c r="T847" s="20"/>
      <c r="U847" s="20"/>
      <c r="V847" s="20"/>
    </row>
    <row r="848" spans="5:22" ht="17.25" customHeight="1">
      <c r="E848" s="62"/>
      <c r="F848" s="58"/>
      <c r="G848" s="31"/>
      <c r="H848" s="20"/>
      <c r="I848" s="20"/>
      <c r="J848" s="20"/>
      <c r="K848" s="20"/>
      <c r="L848" s="20"/>
      <c r="M848" s="20"/>
      <c r="N848" s="20"/>
      <c r="O848" s="20"/>
      <c r="P848" s="20"/>
      <c r="Q848" s="20"/>
      <c r="R848" s="20"/>
      <c r="S848" s="20"/>
      <c r="T848" s="20"/>
      <c r="U848" s="20"/>
      <c r="V848" s="20"/>
    </row>
    <row r="849" spans="5:22" ht="17.25" customHeight="1">
      <c r="E849" s="62"/>
      <c r="F849" s="58"/>
      <c r="G849" s="31"/>
      <c r="H849" s="20"/>
      <c r="I849" s="20"/>
      <c r="J849" s="20"/>
      <c r="K849" s="20"/>
      <c r="L849" s="20"/>
      <c r="M849" s="20"/>
      <c r="N849" s="20"/>
      <c r="O849" s="20"/>
      <c r="P849" s="20"/>
      <c r="Q849" s="20"/>
      <c r="R849" s="20"/>
      <c r="S849" s="20"/>
      <c r="T849" s="20"/>
      <c r="U849" s="20"/>
      <c r="V849" s="20"/>
    </row>
    <row r="850" spans="5:22" ht="17.25" customHeight="1">
      <c r="E850" s="62"/>
      <c r="F850" s="58"/>
      <c r="G850" s="31"/>
      <c r="H850" s="20"/>
      <c r="I850" s="20"/>
      <c r="J850" s="20"/>
      <c r="K850" s="20"/>
      <c r="L850" s="20"/>
      <c r="M850" s="20"/>
      <c r="N850" s="20"/>
      <c r="O850" s="20"/>
      <c r="P850" s="20"/>
      <c r="Q850" s="20"/>
      <c r="R850" s="20"/>
      <c r="S850" s="20"/>
      <c r="T850" s="20"/>
      <c r="U850" s="20"/>
      <c r="V850" s="20"/>
    </row>
    <row r="851" spans="5:22" ht="17.25" customHeight="1">
      <c r="E851" s="62"/>
      <c r="F851" s="58"/>
      <c r="G851" s="31"/>
      <c r="H851" s="20"/>
      <c r="I851" s="20"/>
      <c r="J851" s="20"/>
      <c r="K851" s="20"/>
      <c r="L851" s="20"/>
      <c r="M851" s="20"/>
      <c r="N851" s="20"/>
      <c r="O851" s="20"/>
      <c r="P851" s="20"/>
      <c r="Q851" s="20"/>
      <c r="R851" s="20"/>
      <c r="S851" s="20"/>
      <c r="T851" s="20"/>
      <c r="U851" s="20"/>
      <c r="V851" s="20"/>
    </row>
    <row r="852" spans="5:22" ht="17.25" customHeight="1">
      <c r="E852" s="62"/>
      <c r="F852" s="58"/>
      <c r="G852" s="31"/>
      <c r="H852" s="20"/>
      <c r="I852" s="20"/>
      <c r="J852" s="20"/>
      <c r="K852" s="20"/>
      <c r="L852" s="20"/>
      <c r="M852" s="20"/>
      <c r="N852" s="20"/>
      <c r="O852" s="20"/>
      <c r="P852" s="20"/>
      <c r="Q852" s="20"/>
      <c r="R852" s="20"/>
      <c r="S852" s="20"/>
      <c r="T852" s="20"/>
      <c r="U852" s="20"/>
      <c r="V852" s="20"/>
    </row>
    <row r="853" spans="5:22" ht="17.25" customHeight="1">
      <c r="E853" s="62"/>
      <c r="F853" s="58"/>
      <c r="G853" s="31"/>
      <c r="H853" s="20"/>
      <c r="I853" s="20"/>
      <c r="J853" s="20"/>
      <c r="K853" s="20"/>
      <c r="L853" s="20"/>
      <c r="M853" s="20"/>
      <c r="N853" s="20"/>
      <c r="O853" s="20"/>
      <c r="P853" s="20"/>
      <c r="Q853" s="20"/>
      <c r="R853" s="20"/>
      <c r="S853" s="20"/>
      <c r="T853" s="20"/>
      <c r="U853" s="20"/>
      <c r="V853" s="20"/>
    </row>
    <row r="854" spans="5:22" ht="17.25" customHeight="1">
      <c r="E854" s="62"/>
      <c r="F854" s="58"/>
      <c r="G854" s="31"/>
      <c r="H854" s="20"/>
      <c r="I854" s="20"/>
      <c r="J854" s="20"/>
      <c r="K854" s="20"/>
      <c r="L854" s="20"/>
      <c r="M854" s="20"/>
      <c r="N854" s="20"/>
      <c r="O854" s="20"/>
      <c r="P854" s="20"/>
      <c r="Q854" s="20"/>
      <c r="R854" s="20"/>
      <c r="S854" s="20"/>
      <c r="T854" s="20"/>
      <c r="U854" s="20"/>
      <c r="V854" s="20"/>
    </row>
    <row r="855" spans="5:22" ht="17.25" customHeight="1">
      <c r="E855" s="62"/>
      <c r="F855" s="58"/>
      <c r="G855" s="31"/>
      <c r="H855" s="20"/>
      <c r="I855" s="20"/>
      <c r="J855" s="20"/>
      <c r="K855" s="20"/>
      <c r="L855" s="20"/>
      <c r="M855" s="20"/>
      <c r="N855" s="20"/>
      <c r="O855" s="20"/>
      <c r="P855" s="20"/>
      <c r="Q855" s="20"/>
      <c r="R855" s="20"/>
      <c r="S855" s="20"/>
      <c r="T855" s="20"/>
      <c r="U855" s="20"/>
      <c r="V855" s="20"/>
    </row>
    <row r="856" spans="5:22" ht="17.25" customHeight="1">
      <c r="E856" s="62"/>
      <c r="F856" s="58"/>
      <c r="G856" s="31"/>
      <c r="H856" s="20"/>
      <c r="I856" s="20"/>
      <c r="J856" s="20"/>
      <c r="K856" s="20"/>
      <c r="L856" s="20"/>
      <c r="M856" s="20"/>
      <c r="N856" s="20"/>
      <c r="O856" s="20"/>
      <c r="P856" s="20"/>
      <c r="Q856" s="20"/>
      <c r="R856" s="20"/>
      <c r="S856" s="20"/>
      <c r="T856" s="20"/>
      <c r="U856" s="20"/>
      <c r="V856" s="20"/>
    </row>
    <row r="857" spans="5:22" ht="17.25" customHeight="1">
      <c r="E857" s="62"/>
      <c r="F857" s="58"/>
      <c r="G857" s="31"/>
      <c r="H857" s="20"/>
      <c r="I857" s="20"/>
      <c r="J857" s="20"/>
      <c r="K857" s="20"/>
      <c r="L857" s="20"/>
      <c r="M857" s="20"/>
      <c r="N857" s="20"/>
      <c r="O857" s="20"/>
      <c r="P857" s="20"/>
      <c r="Q857" s="20"/>
      <c r="R857" s="20"/>
      <c r="S857" s="20"/>
      <c r="T857" s="20"/>
      <c r="U857" s="20"/>
      <c r="V857" s="20"/>
    </row>
    <row r="858" spans="5:22" ht="17.25" customHeight="1">
      <c r="E858" s="62"/>
      <c r="F858" s="58"/>
      <c r="G858" s="31"/>
      <c r="H858" s="20"/>
      <c r="I858" s="20"/>
      <c r="J858" s="20"/>
      <c r="K858" s="20"/>
      <c r="L858" s="20"/>
      <c r="M858" s="20"/>
      <c r="N858" s="20"/>
      <c r="O858" s="20"/>
      <c r="P858" s="20"/>
      <c r="Q858" s="20"/>
      <c r="R858" s="20"/>
      <c r="S858" s="20"/>
      <c r="T858" s="20"/>
      <c r="U858" s="20"/>
      <c r="V858" s="20"/>
    </row>
    <row r="859" spans="5:22" ht="17.25" customHeight="1">
      <c r="E859" s="62"/>
      <c r="F859" s="58"/>
      <c r="G859" s="31"/>
      <c r="H859" s="20"/>
      <c r="I859" s="20"/>
      <c r="J859" s="20"/>
      <c r="K859" s="20"/>
      <c r="L859" s="20"/>
      <c r="M859" s="20"/>
      <c r="N859" s="20"/>
      <c r="O859" s="20"/>
      <c r="P859" s="20"/>
      <c r="Q859" s="20"/>
      <c r="R859" s="20"/>
      <c r="S859" s="20"/>
      <c r="T859" s="20"/>
      <c r="U859" s="20"/>
      <c r="V859" s="20"/>
    </row>
    <row r="860" spans="5:22" ht="17.25" customHeight="1">
      <c r="E860" s="62"/>
      <c r="F860" s="58"/>
      <c r="G860" s="31"/>
      <c r="H860" s="20"/>
      <c r="I860" s="20"/>
      <c r="J860" s="20"/>
      <c r="K860" s="20"/>
      <c r="L860" s="20"/>
      <c r="M860" s="20"/>
      <c r="N860" s="20"/>
      <c r="O860" s="20"/>
      <c r="P860" s="20"/>
      <c r="Q860" s="20"/>
      <c r="R860" s="20"/>
      <c r="S860" s="20"/>
      <c r="T860" s="20"/>
      <c r="U860" s="20"/>
      <c r="V860" s="20"/>
    </row>
    <row r="861" spans="5:22" ht="17.25" customHeight="1">
      <c r="E861" s="62"/>
      <c r="F861" s="58"/>
      <c r="G861" s="31"/>
      <c r="H861" s="20"/>
      <c r="I861" s="20"/>
      <c r="J861" s="20"/>
      <c r="K861" s="20"/>
      <c r="L861" s="20"/>
      <c r="M861" s="20"/>
      <c r="N861" s="20"/>
      <c r="O861" s="20"/>
      <c r="P861" s="20"/>
      <c r="Q861" s="20"/>
      <c r="R861" s="20"/>
      <c r="S861" s="20"/>
      <c r="T861" s="20"/>
      <c r="U861" s="20"/>
      <c r="V861" s="20"/>
    </row>
    <row r="862" spans="5:22" ht="17.25" customHeight="1">
      <c r="E862" s="62"/>
      <c r="F862" s="58"/>
      <c r="G862" s="31"/>
      <c r="H862" s="20"/>
      <c r="I862" s="20"/>
      <c r="J862" s="20"/>
      <c r="K862" s="20"/>
      <c r="L862" s="20"/>
      <c r="M862" s="20"/>
      <c r="N862" s="20"/>
      <c r="O862" s="20"/>
      <c r="P862" s="20"/>
      <c r="Q862" s="20"/>
      <c r="R862" s="20"/>
      <c r="S862" s="20"/>
      <c r="T862" s="20"/>
      <c r="U862" s="20"/>
      <c r="V862" s="20"/>
    </row>
    <row r="863" spans="5:22" ht="17.25" customHeight="1">
      <c r="E863" s="62"/>
      <c r="F863" s="58"/>
      <c r="G863" s="31"/>
      <c r="H863" s="20"/>
      <c r="I863" s="20"/>
      <c r="J863" s="20"/>
      <c r="K863" s="20"/>
      <c r="L863" s="20"/>
      <c r="M863" s="20"/>
      <c r="N863" s="20"/>
      <c r="O863" s="20"/>
      <c r="P863" s="20"/>
      <c r="Q863" s="20"/>
      <c r="R863" s="20"/>
      <c r="S863" s="20"/>
      <c r="T863" s="20"/>
      <c r="U863" s="20"/>
      <c r="V863" s="20"/>
    </row>
    <row r="864" spans="5:22" ht="17.25" customHeight="1">
      <c r="E864" s="62"/>
      <c r="F864" s="58"/>
      <c r="G864" s="31"/>
      <c r="H864" s="20"/>
      <c r="I864" s="20"/>
      <c r="J864" s="20"/>
      <c r="K864" s="20"/>
      <c r="L864" s="20"/>
      <c r="M864" s="20"/>
      <c r="N864" s="20"/>
      <c r="O864" s="20"/>
      <c r="P864" s="20"/>
      <c r="Q864" s="20"/>
      <c r="R864" s="20"/>
      <c r="S864" s="20"/>
      <c r="T864" s="20"/>
      <c r="U864" s="20"/>
      <c r="V864" s="20"/>
    </row>
    <row r="865" spans="5:22" ht="17.25" customHeight="1">
      <c r="E865" s="62"/>
      <c r="F865" s="58"/>
      <c r="G865" s="31"/>
      <c r="H865" s="20"/>
      <c r="I865" s="20"/>
      <c r="J865" s="20"/>
      <c r="K865" s="20"/>
      <c r="L865" s="20"/>
      <c r="M865" s="20"/>
      <c r="N865" s="20"/>
      <c r="O865" s="20"/>
      <c r="P865" s="20"/>
      <c r="Q865" s="20"/>
      <c r="R865" s="20"/>
      <c r="S865" s="20"/>
      <c r="T865" s="20"/>
      <c r="U865" s="20"/>
      <c r="V865" s="20"/>
    </row>
    <row r="866" spans="5:22" ht="17.25" customHeight="1">
      <c r="E866" s="62"/>
      <c r="F866" s="58"/>
      <c r="G866" s="31"/>
      <c r="H866" s="20"/>
      <c r="I866" s="20"/>
      <c r="J866" s="20"/>
      <c r="K866" s="20"/>
      <c r="L866" s="20"/>
      <c r="M866" s="20"/>
      <c r="N866" s="20"/>
      <c r="O866" s="20"/>
      <c r="P866" s="20"/>
      <c r="Q866" s="20"/>
      <c r="R866" s="20"/>
      <c r="S866" s="20"/>
      <c r="T866" s="20"/>
      <c r="U866" s="20"/>
      <c r="V866" s="20"/>
    </row>
    <row r="867" spans="5:22" ht="17.25" customHeight="1">
      <c r="E867" s="62"/>
      <c r="F867" s="58"/>
      <c r="G867" s="31"/>
      <c r="H867" s="20"/>
      <c r="I867" s="20"/>
      <c r="J867" s="20"/>
      <c r="K867" s="20"/>
      <c r="L867" s="20"/>
      <c r="M867" s="20"/>
      <c r="N867" s="20"/>
      <c r="O867" s="20"/>
      <c r="P867" s="20"/>
      <c r="Q867" s="20"/>
      <c r="R867" s="20"/>
      <c r="S867" s="20"/>
      <c r="T867" s="20"/>
      <c r="U867" s="20"/>
      <c r="V867" s="20"/>
    </row>
    <row r="868" spans="5:22" ht="17.25" customHeight="1">
      <c r="E868" s="62"/>
      <c r="F868" s="58"/>
      <c r="G868" s="31"/>
      <c r="H868" s="20"/>
      <c r="I868" s="20"/>
      <c r="J868" s="20"/>
      <c r="K868" s="20"/>
      <c r="L868" s="20"/>
      <c r="M868" s="20"/>
      <c r="N868" s="20"/>
      <c r="O868" s="20"/>
      <c r="P868" s="20"/>
      <c r="Q868" s="20"/>
      <c r="R868" s="20"/>
      <c r="S868" s="20"/>
      <c r="T868" s="20"/>
      <c r="U868" s="20"/>
      <c r="V868" s="20"/>
    </row>
    <row r="869" spans="5:22" ht="17.25" customHeight="1">
      <c r="E869" s="62"/>
      <c r="F869" s="58"/>
      <c r="G869" s="31"/>
      <c r="H869" s="20"/>
      <c r="I869" s="20"/>
      <c r="J869" s="20"/>
      <c r="K869" s="20"/>
      <c r="L869" s="20"/>
      <c r="M869" s="20"/>
      <c r="N869" s="20"/>
      <c r="O869" s="20"/>
      <c r="P869" s="20"/>
      <c r="Q869" s="20"/>
      <c r="R869" s="20"/>
      <c r="S869" s="20"/>
      <c r="T869" s="20"/>
      <c r="U869" s="20"/>
      <c r="V869" s="20"/>
    </row>
    <row r="870" spans="5:22" ht="17.25" customHeight="1">
      <c r="E870" s="62"/>
      <c r="F870" s="58"/>
      <c r="G870" s="31"/>
      <c r="H870" s="20"/>
      <c r="I870" s="20"/>
      <c r="J870" s="20"/>
      <c r="K870" s="20"/>
      <c r="L870" s="20"/>
      <c r="M870" s="20"/>
      <c r="N870" s="20"/>
      <c r="O870" s="20"/>
      <c r="P870" s="20"/>
      <c r="Q870" s="20"/>
      <c r="R870" s="20"/>
      <c r="S870" s="20"/>
      <c r="T870" s="20"/>
      <c r="U870" s="20"/>
      <c r="V870" s="20"/>
    </row>
    <row r="871" spans="5:22" ht="17.25" customHeight="1">
      <c r="E871" s="62"/>
      <c r="F871" s="58"/>
      <c r="G871" s="31"/>
      <c r="H871" s="20"/>
      <c r="I871" s="20"/>
      <c r="J871" s="20"/>
      <c r="K871" s="20"/>
      <c r="L871" s="20"/>
      <c r="M871" s="20"/>
      <c r="N871" s="20"/>
      <c r="O871" s="20"/>
      <c r="P871" s="20"/>
      <c r="Q871" s="20"/>
      <c r="R871" s="20"/>
      <c r="S871" s="20"/>
      <c r="T871" s="20"/>
      <c r="U871" s="20"/>
      <c r="V871" s="20"/>
    </row>
    <row r="872" spans="5:22" ht="17.25" customHeight="1">
      <c r="E872" s="62"/>
      <c r="F872" s="58"/>
      <c r="G872" s="31"/>
      <c r="H872" s="20"/>
      <c r="I872" s="20"/>
      <c r="J872" s="20"/>
      <c r="K872" s="20"/>
      <c r="L872" s="20"/>
      <c r="M872" s="20"/>
      <c r="N872" s="20"/>
      <c r="O872" s="20"/>
      <c r="P872" s="20"/>
      <c r="Q872" s="20"/>
      <c r="R872" s="20"/>
      <c r="S872" s="20"/>
      <c r="T872" s="20"/>
      <c r="U872" s="20"/>
      <c r="V872" s="20"/>
    </row>
    <row r="873" spans="5:22" ht="17.25" customHeight="1">
      <c r="E873" s="62"/>
      <c r="F873" s="58"/>
      <c r="G873" s="31"/>
      <c r="H873" s="20"/>
      <c r="I873" s="20"/>
      <c r="J873" s="20"/>
      <c r="K873" s="20"/>
      <c r="L873" s="20"/>
      <c r="M873" s="20"/>
      <c r="N873" s="20"/>
      <c r="O873" s="20"/>
      <c r="P873" s="20"/>
      <c r="Q873" s="20"/>
      <c r="R873" s="20"/>
      <c r="S873" s="20"/>
      <c r="T873" s="20"/>
      <c r="U873" s="20"/>
      <c r="V873" s="20"/>
    </row>
    <row r="874" spans="5:22" ht="17.25" customHeight="1">
      <c r="E874" s="62"/>
      <c r="F874" s="58"/>
      <c r="G874" s="31"/>
      <c r="H874" s="20"/>
      <c r="I874" s="20"/>
      <c r="J874" s="20"/>
      <c r="K874" s="20"/>
      <c r="L874" s="20"/>
      <c r="M874" s="20"/>
      <c r="N874" s="20"/>
      <c r="O874" s="20"/>
      <c r="P874" s="20"/>
      <c r="Q874" s="20"/>
      <c r="R874" s="20"/>
      <c r="S874" s="20"/>
      <c r="T874" s="20"/>
      <c r="U874" s="20"/>
      <c r="V874" s="20"/>
    </row>
    <row r="875" spans="5:22" ht="17.25" customHeight="1">
      <c r="E875" s="62"/>
      <c r="F875" s="58"/>
      <c r="G875" s="31"/>
      <c r="H875" s="20"/>
      <c r="I875" s="20"/>
      <c r="J875" s="20"/>
      <c r="K875" s="20"/>
      <c r="L875" s="20"/>
      <c r="M875" s="20"/>
      <c r="N875" s="20"/>
      <c r="O875" s="20"/>
      <c r="P875" s="20"/>
      <c r="Q875" s="20"/>
      <c r="R875" s="20"/>
      <c r="S875" s="20"/>
      <c r="T875" s="20"/>
      <c r="U875" s="20"/>
      <c r="V875" s="20"/>
    </row>
    <row r="876" spans="5:22" ht="17.25" customHeight="1">
      <c r="E876" s="62"/>
      <c r="F876" s="58"/>
      <c r="G876" s="31"/>
      <c r="H876" s="20"/>
      <c r="I876" s="20"/>
      <c r="J876" s="20"/>
      <c r="K876" s="20"/>
      <c r="L876" s="20"/>
      <c r="M876" s="20"/>
      <c r="N876" s="20"/>
      <c r="O876" s="20"/>
      <c r="P876" s="20"/>
      <c r="Q876" s="20"/>
      <c r="R876" s="20"/>
      <c r="S876" s="20"/>
      <c r="T876" s="20"/>
      <c r="U876" s="20"/>
      <c r="V876" s="20"/>
    </row>
    <row r="877" spans="5:22" ht="17.25" customHeight="1">
      <c r="E877" s="62"/>
      <c r="F877" s="58"/>
      <c r="G877" s="31"/>
      <c r="H877" s="20"/>
      <c r="I877" s="20"/>
      <c r="J877" s="20"/>
      <c r="K877" s="20"/>
      <c r="L877" s="20"/>
      <c r="M877" s="20"/>
      <c r="N877" s="20"/>
      <c r="O877" s="20"/>
      <c r="P877" s="20"/>
      <c r="Q877" s="20"/>
      <c r="R877" s="20"/>
      <c r="S877" s="20"/>
      <c r="T877" s="20"/>
      <c r="U877" s="20"/>
      <c r="V877" s="20"/>
    </row>
    <row r="878" spans="5:22" ht="17.25" customHeight="1">
      <c r="E878" s="62"/>
      <c r="F878" s="58"/>
      <c r="G878" s="31"/>
      <c r="H878" s="20"/>
      <c r="I878" s="20"/>
      <c r="J878" s="20"/>
      <c r="K878" s="20"/>
      <c r="L878" s="20"/>
      <c r="M878" s="20"/>
      <c r="N878" s="20"/>
      <c r="O878" s="20"/>
      <c r="P878" s="20"/>
      <c r="Q878" s="20"/>
      <c r="R878" s="20"/>
      <c r="S878" s="20"/>
      <c r="T878" s="20"/>
      <c r="U878" s="20"/>
      <c r="V878" s="20"/>
    </row>
    <row r="879" spans="5:22" ht="17.25" customHeight="1">
      <c r="E879" s="62"/>
      <c r="F879" s="58"/>
      <c r="G879" s="31"/>
      <c r="H879" s="20"/>
      <c r="I879" s="20"/>
      <c r="J879" s="20"/>
      <c r="K879" s="20"/>
      <c r="L879" s="20"/>
      <c r="M879" s="20"/>
      <c r="N879" s="20"/>
      <c r="O879" s="20"/>
      <c r="P879" s="20"/>
      <c r="Q879" s="20"/>
      <c r="R879" s="20"/>
      <c r="S879" s="20"/>
      <c r="T879" s="20"/>
      <c r="U879" s="20"/>
      <c r="V879" s="20"/>
    </row>
    <row r="880" spans="5:22" ht="17.25" customHeight="1">
      <c r="E880" s="62"/>
      <c r="F880" s="58"/>
      <c r="G880" s="31"/>
      <c r="H880" s="20"/>
      <c r="I880" s="20"/>
      <c r="J880" s="20"/>
      <c r="K880" s="20"/>
      <c r="L880" s="20"/>
      <c r="M880" s="20"/>
      <c r="N880" s="20"/>
      <c r="O880" s="20"/>
      <c r="P880" s="20"/>
      <c r="Q880" s="20"/>
      <c r="R880" s="20"/>
      <c r="S880" s="20"/>
      <c r="T880" s="20"/>
      <c r="U880" s="20"/>
      <c r="V880" s="20"/>
    </row>
    <row r="881" spans="5:22" ht="17.25" customHeight="1">
      <c r="E881" s="62"/>
      <c r="F881" s="58"/>
      <c r="G881" s="31"/>
      <c r="H881" s="20"/>
      <c r="I881" s="20"/>
      <c r="J881" s="20"/>
      <c r="K881" s="20"/>
      <c r="L881" s="20"/>
      <c r="M881" s="20"/>
      <c r="N881" s="20"/>
      <c r="O881" s="20"/>
      <c r="P881" s="20"/>
      <c r="Q881" s="20"/>
      <c r="R881" s="20"/>
      <c r="S881" s="20"/>
      <c r="T881" s="20"/>
      <c r="U881" s="20"/>
      <c r="V881" s="20"/>
    </row>
    <row r="882" spans="5:22" ht="17.25" customHeight="1">
      <c r="E882" s="62"/>
      <c r="F882" s="58"/>
      <c r="G882" s="31"/>
      <c r="H882" s="20"/>
      <c r="I882" s="20"/>
      <c r="J882" s="20"/>
      <c r="K882" s="20"/>
      <c r="L882" s="20"/>
      <c r="M882" s="20"/>
      <c r="N882" s="20"/>
      <c r="O882" s="20"/>
      <c r="P882" s="20"/>
      <c r="Q882" s="20"/>
      <c r="R882" s="20"/>
      <c r="S882" s="20"/>
      <c r="T882" s="20"/>
      <c r="U882" s="20"/>
      <c r="V882" s="20"/>
    </row>
    <row r="883" spans="5:22" ht="17.25" customHeight="1">
      <c r="E883" s="62"/>
      <c r="F883" s="58"/>
      <c r="G883" s="31"/>
      <c r="H883" s="20"/>
      <c r="I883" s="20"/>
      <c r="J883" s="20"/>
      <c r="K883" s="20"/>
      <c r="L883" s="20"/>
      <c r="M883" s="20"/>
      <c r="N883" s="20"/>
      <c r="O883" s="20"/>
      <c r="P883" s="20"/>
      <c r="Q883" s="20"/>
      <c r="R883" s="20"/>
      <c r="S883" s="20"/>
      <c r="T883" s="20"/>
      <c r="U883" s="20"/>
      <c r="V883" s="20"/>
    </row>
    <row r="884" spans="5:22" ht="17.25" customHeight="1">
      <c r="E884" s="62"/>
      <c r="F884" s="58"/>
      <c r="G884" s="31"/>
      <c r="H884" s="20"/>
      <c r="I884" s="20"/>
      <c r="J884" s="20"/>
      <c r="K884" s="20"/>
      <c r="L884" s="20"/>
      <c r="M884" s="20"/>
      <c r="N884" s="20"/>
      <c r="O884" s="20"/>
      <c r="P884" s="20"/>
      <c r="Q884" s="20"/>
      <c r="R884" s="20"/>
      <c r="S884" s="20"/>
      <c r="T884" s="20"/>
      <c r="U884" s="20"/>
      <c r="V884" s="20"/>
    </row>
    <row r="885" spans="5:22" ht="17.25" customHeight="1">
      <c r="E885" s="62"/>
      <c r="F885" s="58"/>
      <c r="G885" s="31"/>
      <c r="H885" s="20"/>
      <c r="I885" s="20"/>
      <c r="J885" s="20"/>
      <c r="K885" s="20"/>
      <c r="L885" s="20"/>
      <c r="M885" s="20"/>
      <c r="N885" s="20"/>
      <c r="O885" s="20"/>
      <c r="P885" s="20"/>
      <c r="Q885" s="20"/>
      <c r="R885" s="20"/>
      <c r="S885" s="20"/>
      <c r="T885" s="20"/>
      <c r="U885" s="20"/>
      <c r="V885" s="20"/>
    </row>
    <row r="886" spans="5:22" ht="17.25" customHeight="1">
      <c r="E886" s="62"/>
      <c r="F886" s="58"/>
      <c r="G886" s="31"/>
      <c r="H886" s="20"/>
      <c r="I886" s="20"/>
      <c r="J886" s="20"/>
      <c r="K886" s="20"/>
      <c r="L886" s="20"/>
      <c r="M886" s="20"/>
      <c r="N886" s="20"/>
      <c r="O886" s="20"/>
      <c r="P886" s="20"/>
      <c r="Q886" s="20"/>
      <c r="R886" s="20"/>
      <c r="S886" s="20"/>
      <c r="T886" s="20"/>
      <c r="U886" s="20"/>
      <c r="V886" s="20"/>
    </row>
    <row r="887" spans="5:22" ht="17.25" customHeight="1">
      <c r="E887" s="62"/>
      <c r="F887" s="58"/>
      <c r="G887" s="31"/>
      <c r="H887" s="20"/>
      <c r="I887" s="20"/>
      <c r="J887" s="20"/>
      <c r="K887" s="20"/>
      <c r="L887" s="20"/>
      <c r="M887" s="20"/>
      <c r="N887" s="20"/>
      <c r="O887" s="20"/>
      <c r="P887" s="20"/>
      <c r="Q887" s="20"/>
      <c r="R887" s="20"/>
      <c r="S887" s="20"/>
      <c r="T887" s="20"/>
      <c r="U887" s="20"/>
      <c r="V887" s="20"/>
    </row>
    <row r="888" spans="5:22" ht="17.25" customHeight="1">
      <c r="E888" s="62"/>
      <c r="F888" s="58"/>
      <c r="G888" s="31"/>
      <c r="H888" s="20"/>
      <c r="I888" s="20"/>
      <c r="J888" s="20"/>
      <c r="K888" s="20"/>
      <c r="L888" s="20"/>
      <c r="M888" s="20"/>
      <c r="N888" s="20"/>
      <c r="O888" s="20"/>
      <c r="P888" s="20"/>
      <c r="Q888" s="20"/>
      <c r="R888" s="20"/>
      <c r="S888" s="20"/>
      <c r="T888" s="20"/>
      <c r="U888" s="20"/>
      <c r="V888" s="20"/>
    </row>
    <row r="889" spans="5:22" ht="17.25" customHeight="1">
      <c r="E889" s="62"/>
      <c r="F889" s="58"/>
      <c r="G889" s="31"/>
      <c r="H889" s="20"/>
      <c r="I889" s="20"/>
      <c r="J889" s="20"/>
      <c r="K889" s="20"/>
      <c r="L889" s="20"/>
      <c r="M889" s="20"/>
      <c r="N889" s="20"/>
      <c r="O889" s="20"/>
      <c r="P889" s="20"/>
      <c r="Q889" s="20"/>
      <c r="R889" s="20"/>
      <c r="S889" s="20"/>
      <c r="T889" s="20"/>
      <c r="U889" s="20"/>
      <c r="V889" s="20"/>
    </row>
    <row r="890" spans="5:22" ht="17.25" customHeight="1">
      <c r="E890" s="62"/>
      <c r="F890" s="58"/>
      <c r="G890" s="31"/>
      <c r="H890" s="20"/>
      <c r="I890" s="20"/>
      <c r="J890" s="20"/>
      <c r="K890" s="20"/>
      <c r="L890" s="20"/>
      <c r="M890" s="20"/>
      <c r="N890" s="20"/>
      <c r="O890" s="20"/>
      <c r="P890" s="20"/>
      <c r="Q890" s="20"/>
      <c r="R890" s="20"/>
      <c r="S890" s="20"/>
      <c r="T890" s="20"/>
      <c r="U890" s="20"/>
      <c r="V890" s="20"/>
    </row>
    <row r="891" spans="5:22" ht="17.25" customHeight="1">
      <c r="E891" s="62"/>
      <c r="F891" s="58"/>
      <c r="G891" s="31"/>
      <c r="H891" s="20"/>
      <c r="I891" s="20"/>
      <c r="J891" s="20"/>
      <c r="K891" s="20"/>
      <c r="L891" s="20"/>
      <c r="M891" s="20"/>
      <c r="N891" s="20"/>
      <c r="O891" s="20"/>
      <c r="P891" s="20"/>
      <c r="Q891" s="20"/>
      <c r="R891" s="20"/>
      <c r="S891" s="20"/>
      <c r="T891" s="20"/>
      <c r="U891" s="20"/>
      <c r="V891" s="20"/>
    </row>
    <row r="892" spans="5:22" ht="17.25" customHeight="1">
      <c r="E892" s="62"/>
      <c r="F892" s="58"/>
      <c r="G892" s="31"/>
      <c r="H892" s="20"/>
      <c r="I892" s="20"/>
      <c r="J892" s="20"/>
      <c r="K892" s="20"/>
      <c r="L892" s="20"/>
      <c r="M892" s="20"/>
      <c r="N892" s="20"/>
      <c r="O892" s="20"/>
      <c r="P892" s="20"/>
      <c r="Q892" s="20"/>
      <c r="R892" s="20"/>
      <c r="S892" s="20"/>
      <c r="T892" s="20"/>
      <c r="U892" s="20"/>
      <c r="V892" s="20"/>
    </row>
    <row r="893" spans="5:22" ht="17.25" customHeight="1">
      <c r="E893" s="62"/>
      <c r="F893" s="58"/>
      <c r="G893" s="31"/>
      <c r="H893" s="20"/>
      <c r="I893" s="20"/>
      <c r="J893" s="20"/>
      <c r="K893" s="20"/>
      <c r="L893" s="20"/>
      <c r="M893" s="20"/>
      <c r="N893" s="20"/>
      <c r="O893" s="20"/>
      <c r="P893" s="20"/>
      <c r="Q893" s="20"/>
      <c r="R893" s="20"/>
      <c r="S893" s="20"/>
      <c r="T893" s="20"/>
      <c r="U893" s="20"/>
      <c r="V893" s="20"/>
    </row>
    <row r="894" spans="5:22" ht="17.25" customHeight="1">
      <c r="E894" s="62"/>
      <c r="F894" s="58"/>
      <c r="G894" s="31"/>
      <c r="H894" s="20"/>
      <c r="I894" s="20"/>
      <c r="J894" s="20"/>
      <c r="K894" s="20"/>
      <c r="L894" s="20"/>
      <c r="M894" s="20"/>
      <c r="N894" s="20"/>
      <c r="O894" s="20"/>
      <c r="P894" s="20"/>
      <c r="Q894" s="20"/>
      <c r="R894" s="20"/>
      <c r="S894" s="20"/>
      <c r="T894" s="20"/>
      <c r="U894" s="20"/>
      <c r="V894" s="20"/>
    </row>
    <row r="895" spans="5:22" ht="17.25" customHeight="1">
      <c r="E895" s="62"/>
      <c r="F895" s="58"/>
      <c r="G895" s="31"/>
      <c r="H895" s="20"/>
      <c r="I895" s="20"/>
      <c r="J895" s="20"/>
      <c r="K895" s="20"/>
      <c r="L895" s="20"/>
      <c r="M895" s="20"/>
      <c r="N895" s="20"/>
      <c r="O895" s="20"/>
      <c r="P895" s="20"/>
      <c r="Q895" s="20"/>
      <c r="R895" s="20"/>
      <c r="S895" s="20"/>
      <c r="T895" s="20"/>
      <c r="U895" s="20"/>
      <c r="V895" s="20"/>
    </row>
    <row r="896" spans="5:22" ht="17.25" customHeight="1">
      <c r="E896" s="62"/>
      <c r="F896" s="58"/>
      <c r="G896" s="31"/>
      <c r="H896" s="20"/>
      <c r="I896" s="20"/>
      <c r="J896" s="20"/>
      <c r="K896" s="20"/>
      <c r="L896" s="20"/>
      <c r="M896" s="20"/>
      <c r="N896" s="20"/>
      <c r="O896" s="20"/>
      <c r="P896" s="20"/>
      <c r="Q896" s="20"/>
      <c r="R896" s="20"/>
      <c r="S896" s="20"/>
      <c r="T896" s="20"/>
      <c r="U896" s="20"/>
      <c r="V896" s="20"/>
    </row>
    <row r="897" spans="5:22" ht="17.25" customHeight="1">
      <c r="E897" s="62"/>
      <c r="F897" s="58"/>
      <c r="G897" s="31"/>
      <c r="H897" s="20"/>
      <c r="I897" s="20"/>
      <c r="J897" s="20"/>
      <c r="K897" s="20"/>
      <c r="L897" s="20"/>
      <c r="M897" s="20"/>
      <c r="N897" s="20"/>
      <c r="O897" s="20"/>
      <c r="P897" s="20"/>
      <c r="Q897" s="20"/>
      <c r="R897" s="20"/>
      <c r="S897" s="20"/>
      <c r="T897" s="20"/>
      <c r="U897" s="20"/>
      <c r="V897" s="20"/>
    </row>
    <row r="898" spans="5:22" ht="17.25" customHeight="1">
      <c r="E898" s="62"/>
      <c r="F898" s="58"/>
      <c r="G898" s="31"/>
      <c r="H898" s="20"/>
      <c r="I898" s="20"/>
      <c r="J898" s="20"/>
      <c r="K898" s="20"/>
      <c r="L898" s="20"/>
      <c r="M898" s="20"/>
      <c r="N898" s="20"/>
      <c r="O898" s="20"/>
      <c r="P898" s="20"/>
      <c r="Q898" s="20"/>
      <c r="R898" s="20"/>
      <c r="S898" s="20"/>
      <c r="T898" s="20"/>
      <c r="U898" s="20"/>
      <c r="V898" s="20"/>
    </row>
    <row r="899" spans="5:22" ht="17.25" customHeight="1">
      <c r="E899" s="62"/>
      <c r="F899" s="58"/>
      <c r="G899" s="31"/>
      <c r="H899" s="20"/>
      <c r="I899" s="20"/>
      <c r="J899" s="20"/>
      <c r="K899" s="20"/>
      <c r="L899" s="20"/>
      <c r="M899" s="20"/>
      <c r="N899" s="20"/>
      <c r="O899" s="20"/>
      <c r="P899" s="20"/>
      <c r="Q899" s="20"/>
      <c r="R899" s="20"/>
      <c r="S899" s="20"/>
      <c r="T899" s="20"/>
      <c r="U899" s="20"/>
      <c r="V899" s="20"/>
    </row>
    <row r="900" spans="5:22" ht="17.25" customHeight="1">
      <c r="E900" s="62"/>
      <c r="F900" s="58"/>
      <c r="G900" s="31"/>
      <c r="H900" s="20"/>
      <c r="I900" s="20"/>
      <c r="J900" s="20"/>
      <c r="K900" s="20"/>
      <c r="L900" s="20"/>
      <c r="M900" s="20"/>
      <c r="N900" s="20"/>
      <c r="O900" s="20"/>
      <c r="P900" s="20"/>
      <c r="Q900" s="20"/>
      <c r="R900" s="20"/>
      <c r="S900" s="20"/>
      <c r="T900" s="20"/>
      <c r="U900" s="20"/>
      <c r="V900" s="20"/>
    </row>
    <row r="901" spans="5:22" ht="17.25" customHeight="1">
      <c r="E901" s="62"/>
      <c r="F901" s="58"/>
      <c r="G901" s="31"/>
      <c r="H901" s="20"/>
      <c r="I901" s="20"/>
      <c r="J901" s="20"/>
      <c r="K901" s="20"/>
      <c r="L901" s="20"/>
      <c r="M901" s="20"/>
      <c r="N901" s="20"/>
      <c r="O901" s="20"/>
      <c r="P901" s="20"/>
      <c r="Q901" s="20"/>
      <c r="R901" s="20"/>
      <c r="S901" s="20"/>
      <c r="T901" s="20"/>
      <c r="U901" s="20"/>
      <c r="V901" s="20"/>
    </row>
    <row r="902" spans="5:22" ht="17.25" customHeight="1">
      <c r="E902" s="62"/>
      <c r="F902" s="58"/>
      <c r="G902" s="31"/>
      <c r="H902" s="20"/>
      <c r="I902" s="20"/>
      <c r="J902" s="20"/>
      <c r="K902" s="20"/>
      <c r="L902" s="20"/>
      <c r="M902" s="20"/>
      <c r="N902" s="20"/>
      <c r="O902" s="20"/>
      <c r="P902" s="20"/>
      <c r="Q902" s="20"/>
      <c r="R902" s="20"/>
      <c r="S902" s="20"/>
      <c r="T902" s="20"/>
      <c r="U902" s="20"/>
      <c r="V902" s="20"/>
    </row>
    <row r="903" spans="5:22" ht="17.25" customHeight="1">
      <c r="E903" s="62"/>
      <c r="F903" s="58"/>
      <c r="G903" s="31"/>
      <c r="H903" s="20"/>
      <c r="I903" s="20"/>
      <c r="J903" s="20"/>
      <c r="K903" s="20"/>
      <c r="L903" s="20"/>
      <c r="M903" s="20"/>
      <c r="N903" s="20"/>
      <c r="O903" s="20"/>
      <c r="P903" s="20"/>
      <c r="Q903" s="20"/>
      <c r="R903" s="20"/>
      <c r="S903" s="20"/>
      <c r="T903" s="20"/>
      <c r="U903" s="20"/>
      <c r="V903" s="20"/>
    </row>
    <row r="904" spans="5:22" ht="17.25" customHeight="1">
      <c r="E904" s="62"/>
      <c r="F904" s="58"/>
      <c r="G904" s="31"/>
      <c r="H904" s="20"/>
      <c r="I904" s="20"/>
      <c r="J904" s="20"/>
      <c r="K904" s="20"/>
      <c r="L904" s="20"/>
      <c r="M904" s="20"/>
      <c r="N904" s="20"/>
      <c r="O904" s="20"/>
      <c r="P904" s="20"/>
      <c r="Q904" s="20"/>
      <c r="R904" s="20"/>
      <c r="S904" s="20"/>
      <c r="T904" s="20"/>
      <c r="U904" s="20"/>
      <c r="V904" s="20"/>
    </row>
    <row r="905" spans="5:22" ht="17.25" customHeight="1">
      <c r="E905" s="62"/>
      <c r="F905" s="58"/>
      <c r="G905" s="31"/>
      <c r="H905" s="20"/>
      <c r="I905" s="20"/>
      <c r="J905" s="20"/>
      <c r="K905" s="20"/>
      <c r="L905" s="20"/>
      <c r="M905" s="20"/>
      <c r="N905" s="20"/>
      <c r="O905" s="20"/>
      <c r="P905" s="20"/>
      <c r="Q905" s="20"/>
      <c r="R905" s="20"/>
      <c r="S905" s="20"/>
      <c r="T905" s="20"/>
      <c r="U905" s="20"/>
      <c r="V905" s="20"/>
    </row>
    <row r="906" spans="5:22" ht="17.25" customHeight="1">
      <c r="E906" s="62"/>
      <c r="F906" s="58"/>
      <c r="G906" s="31"/>
      <c r="H906" s="20"/>
      <c r="I906" s="20"/>
      <c r="J906" s="20"/>
      <c r="K906" s="20"/>
      <c r="L906" s="20"/>
      <c r="M906" s="20"/>
      <c r="N906" s="20"/>
      <c r="O906" s="20"/>
      <c r="P906" s="20"/>
      <c r="Q906" s="20"/>
      <c r="R906" s="20"/>
      <c r="S906" s="20"/>
      <c r="T906" s="20"/>
      <c r="U906" s="20"/>
      <c r="V906" s="20"/>
    </row>
    <row r="907" spans="5:22" ht="17.25" customHeight="1">
      <c r="E907" s="62"/>
      <c r="F907" s="58"/>
      <c r="G907" s="31"/>
      <c r="H907" s="20"/>
      <c r="I907" s="20"/>
      <c r="J907" s="20"/>
      <c r="K907" s="20"/>
      <c r="L907" s="20"/>
      <c r="M907" s="20"/>
      <c r="N907" s="20"/>
      <c r="O907" s="20"/>
      <c r="P907" s="20"/>
      <c r="Q907" s="20"/>
      <c r="R907" s="20"/>
      <c r="S907" s="20"/>
      <c r="T907" s="20"/>
      <c r="U907" s="20"/>
      <c r="V907" s="20"/>
    </row>
    <row r="908" spans="5:22" ht="17.25" customHeight="1">
      <c r="E908" s="62"/>
      <c r="F908" s="58"/>
      <c r="G908" s="31"/>
      <c r="H908" s="20"/>
      <c r="I908" s="20"/>
      <c r="J908" s="20"/>
      <c r="K908" s="20"/>
      <c r="L908" s="20"/>
      <c r="M908" s="20"/>
      <c r="N908" s="20"/>
      <c r="O908" s="20"/>
      <c r="P908" s="20"/>
      <c r="Q908" s="20"/>
      <c r="R908" s="20"/>
      <c r="S908" s="20"/>
      <c r="T908" s="20"/>
      <c r="U908" s="20"/>
      <c r="V908" s="20"/>
    </row>
    <row r="909" spans="5:22" ht="17.25" customHeight="1">
      <c r="E909" s="62"/>
      <c r="F909" s="58"/>
      <c r="G909" s="31"/>
      <c r="H909" s="20"/>
      <c r="I909" s="20"/>
      <c r="J909" s="20"/>
      <c r="K909" s="20"/>
      <c r="L909" s="20"/>
      <c r="M909" s="20"/>
      <c r="N909" s="20"/>
      <c r="O909" s="20"/>
      <c r="P909" s="20"/>
      <c r="Q909" s="20"/>
      <c r="R909" s="20"/>
      <c r="S909" s="20"/>
      <c r="T909" s="20"/>
      <c r="U909" s="20"/>
      <c r="V909" s="20"/>
    </row>
    <row r="910" spans="5:22" ht="17.25" customHeight="1">
      <c r="E910" s="62"/>
      <c r="F910" s="58"/>
      <c r="G910" s="31"/>
      <c r="H910" s="20"/>
      <c r="I910" s="20"/>
      <c r="J910" s="20"/>
      <c r="K910" s="20"/>
      <c r="L910" s="20"/>
      <c r="M910" s="20"/>
      <c r="N910" s="20"/>
      <c r="O910" s="20"/>
      <c r="P910" s="20"/>
      <c r="Q910" s="20"/>
      <c r="R910" s="20"/>
      <c r="S910" s="20"/>
      <c r="T910" s="20"/>
      <c r="U910" s="20"/>
      <c r="V910" s="20"/>
    </row>
    <row r="911" spans="5:22" ht="17.25" customHeight="1">
      <c r="E911" s="62"/>
      <c r="F911" s="58"/>
      <c r="G911" s="31"/>
      <c r="H911" s="20"/>
      <c r="I911" s="20"/>
      <c r="J911" s="20"/>
      <c r="K911" s="20"/>
      <c r="L911" s="20"/>
      <c r="M911" s="20"/>
      <c r="N911" s="20"/>
      <c r="O911" s="20"/>
      <c r="P911" s="20"/>
      <c r="Q911" s="20"/>
      <c r="R911" s="20"/>
      <c r="S911" s="20"/>
      <c r="T911" s="20"/>
      <c r="U911" s="20"/>
      <c r="V911" s="20"/>
    </row>
    <row r="912" spans="5:22" ht="17.25" customHeight="1">
      <c r="E912" s="62"/>
      <c r="F912" s="58"/>
      <c r="G912" s="31"/>
      <c r="H912" s="20"/>
      <c r="I912" s="20"/>
      <c r="J912" s="20"/>
      <c r="K912" s="20"/>
      <c r="L912" s="20"/>
      <c r="M912" s="20"/>
      <c r="N912" s="20"/>
      <c r="O912" s="20"/>
      <c r="P912" s="20"/>
      <c r="Q912" s="20"/>
      <c r="R912" s="20"/>
      <c r="S912" s="20"/>
      <c r="T912" s="20"/>
      <c r="U912" s="20"/>
      <c r="V912" s="20"/>
    </row>
    <row r="913" spans="5:22" ht="17.25" customHeight="1">
      <c r="E913" s="62"/>
      <c r="F913" s="58"/>
      <c r="G913" s="31"/>
      <c r="H913" s="20"/>
      <c r="I913" s="20"/>
      <c r="J913" s="20"/>
      <c r="K913" s="20"/>
      <c r="L913" s="20"/>
      <c r="M913" s="20"/>
      <c r="N913" s="20"/>
      <c r="O913" s="20"/>
      <c r="P913" s="20"/>
      <c r="Q913" s="20"/>
      <c r="R913" s="20"/>
      <c r="S913" s="20"/>
      <c r="T913" s="20"/>
      <c r="U913" s="20"/>
      <c r="V913" s="20"/>
    </row>
    <row r="914" spans="5:22" ht="17.25" customHeight="1">
      <c r="E914" s="62"/>
      <c r="F914" s="58"/>
      <c r="G914" s="31"/>
      <c r="H914" s="20"/>
      <c r="I914" s="20"/>
      <c r="J914" s="20"/>
      <c r="K914" s="20"/>
      <c r="L914" s="20"/>
      <c r="M914" s="20"/>
      <c r="N914" s="20"/>
      <c r="O914" s="20"/>
      <c r="P914" s="20"/>
      <c r="Q914" s="20"/>
      <c r="R914" s="20"/>
      <c r="S914" s="20"/>
      <c r="T914" s="20"/>
      <c r="U914" s="20"/>
      <c r="V914" s="20"/>
    </row>
    <row r="915" spans="5:22" ht="17.25" customHeight="1">
      <c r="E915" s="62"/>
      <c r="F915" s="58"/>
      <c r="G915" s="31"/>
      <c r="H915" s="20"/>
      <c r="I915" s="20"/>
      <c r="J915" s="20"/>
      <c r="K915" s="20"/>
      <c r="L915" s="20"/>
      <c r="M915" s="20"/>
      <c r="N915" s="20"/>
      <c r="O915" s="20"/>
      <c r="P915" s="20"/>
      <c r="Q915" s="20"/>
      <c r="R915" s="20"/>
      <c r="S915" s="20"/>
      <c r="T915" s="20"/>
      <c r="U915" s="20"/>
      <c r="V915" s="20"/>
    </row>
    <row r="916" spans="5:22" ht="17.25" customHeight="1">
      <c r="E916" s="62"/>
      <c r="F916" s="58"/>
      <c r="G916" s="31"/>
      <c r="H916" s="20"/>
      <c r="I916" s="20"/>
      <c r="J916" s="20"/>
      <c r="K916" s="20"/>
      <c r="L916" s="20"/>
      <c r="M916" s="20"/>
      <c r="N916" s="20"/>
      <c r="O916" s="20"/>
      <c r="P916" s="20"/>
      <c r="Q916" s="20"/>
      <c r="R916" s="20"/>
      <c r="S916" s="20"/>
      <c r="T916" s="20"/>
      <c r="U916" s="20"/>
      <c r="V916" s="20"/>
    </row>
    <row r="917" spans="5:22" ht="17.25" customHeight="1">
      <c r="E917" s="62"/>
      <c r="F917" s="58"/>
      <c r="G917" s="31"/>
      <c r="H917" s="20"/>
      <c r="I917" s="20"/>
      <c r="J917" s="20"/>
      <c r="K917" s="20"/>
      <c r="L917" s="20"/>
      <c r="M917" s="20"/>
      <c r="N917" s="20"/>
      <c r="O917" s="20"/>
      <c r="P917" s="20"/>
      <c r="Q917" s="20"/>
      <c r="R917" s="20"/>
      <c r="S917" s="20"/>
      <c r="T917" s="20"/>
      <c r="U917" s="20"/>
      <c r="V917" s="20"/>
    </row>
    <row r="918" spans="5:22" ht="17.25" customHeight="1">
      <c r="E918" s="62"/>
      <c r="F918" s="58"/>
      <c r="G918" s="31"/>
      <c r="H918" s="20"/>
      <c r="I918" s="20"/>
      <c r="J918" s="20"/>
      <c r="K918" s="20"/>
      <c r="L918" s="20"/>
      <c r="M918" s="20"/>
      <c r="N918" s="20"/>
      <c r="O918" s="20"/>
      <c r="P918" s="20"/>
      <c r="Q918" s="20"/>
      <c r="R918" s="20"/>
      <c r="S918" s="20"/>
      <c r="T918" s="20"/>
      <c r="U918" s="20"/>
      <c r="V918" s="20"/>
    </row>
    <row r="919" spans="5:22" ht="17.25" customHeight="1">
      <c r="E919" s="62"/>
      <c r="F919" s="58"/>
      <c r="G919" s="31"/>
      <c r="H919" s="20"/>
      <c r="I919" s="20"/>
      <c r="J919" s="20"/>
      <c r="K919" s="20"/>
      <c r="L919" s="20"/>
      <c r="M919" s="20"/>
      <c r="N919" s="20"/>
      <c r="O919" s="20"/>
      <c r="P919" s="20"/>
      <c r="Q919" s="20"/>
      <c r="R919" s="20"/>
      <c r="S919" s="20"/>
      <c r="T919" s="20"/>
      <c r="U919" s="20"/>
      <c r="V919" s="20"/>
    </row>
    <row r="920" spans="5:22" ht="17.25" customHeight="1">
      <c r="E920" s="62"/>
      <c r="F920" s="58"/>
      <c r="G920" s="31"/>
      <c r="H920" s="20"/>
      <c r="I920" s="20"/>
      <c r="J920" s="20"/>
      <c r="K920" s="20"/>
      <c r="L920" s="20"/>
      <c r="M920" s="20"/>
      <c r="N920" s="20"/>
      <c r="O920" s="20"/>
      <c r="P920" s="20"/>
      <c r="Q920" s="20"/>
      <c r="R920" s="20"/>
      <c r="S920" s="20"/>
      <c r="T920" s="20"/>
      <c r="U920" s="20"/>
      <c r="V920" s="20"/>
    </row>
    <row r="921" spans="5:22" ht="17.25" customHeight="1">
      <c r="E921" s="62"/>
      <c r="F921" s="58"/>
      <c r="G921" s="31"/>
      <c r="H921" s="20"/>
      <c r="I921" s="20"/>
      <c r="J921" s="20"/>
      <c r="K921" s="20"/>
      <c r="L921" s="20"/>
      <c r="M921" s="20"/>
      <c r="N921" s="20"/>
      <c r="O921" s="20"/>
      <c r="P921" s="20"/>
      <c r="Q921" s="20"/>
      <c r="R921" s="20"/>
      <c r="S921" s="20"/>
      <c r="T921" s="20"/>
      <c r="U921" s="20"/>
      <c r="V921" s="20"/>
    </row>
    <row r="922" spans="5:22" ht="17.25" customHeight="1">
      <c r="E922" s="62"/>
      <c r="F922" s="58"/>
      <c r="G922" s="31"/>
      <c r="H922" s="20"/>
      <c r="I922" s="20"/>
      <c r="J922" s="20"/>
      <c r="K922" s="20"/>
      <c r="L922" s="20"/>
      <c r="M922" s="20"/>
      <c r="N922" s="20"/>
      <c r="O922" s="20"/>
      <c r="P922" s="20"/>
      <c r="Q922" s="20"/>
      <c r="R922" s="20"/>
      <c r="S922" s="20"/>
      <c r="T922" s="20"/>
      <c r="U922" s="20"/>
      <c r="V922" s="20"/>
    </row>
    <row r="923" spans="5:22" ht="17.25" customHeight="1">
      <c r="E923" s="62"/>
      <c r="F923" s="58"/>
      <c r="G923" s="31"/>
      <c r="H923" s="20"/>
      <c r="I923" s="20"/>
      <c r="J923" s="20"/>
      <c r="K923" s="20"/>
      <c r="L923" s="20"/>
      <c r="M923" s="20"/>
      <c r="N923" s="20"/>
      <c r="O923" s="20"/>
      <c r="P923" s="20"/>
      <c r="Q923" s="20"/>
      <c r="R923" s="20"/>
      <c r="S923" s="20"/>
      <c r="T923" s="20"/>
      <c r="U923" s="20"/>
      <c r="V923" s="20"/>
    </row>
    <row r="924" spans="5:22" ht="17.25" customHeight="1">
      <c r="E924" s="62"/>
      <c r="F924" s="58"/>
      <c r="G924" s="31"/>
      <c r="H924" s="20"/>
      <c r="I924" s="20"/>
      <c r="J924" s="20"/>
      <c r="K924" s="20"/>
      <c r="L924" s="20"/>
      <c r="M924" s="20"/>
      <c r="N924" s="20"/>
      <c r="O924" s="20"/>
      <c r="P924" s="20"/>
      <c r="Q924" s="20"/>
      <c r="R924" s="20"/>
      <c r="S924" s="20"/>
      <c r="T924" s="20"/>
      <c r="U924" s="20"/>
      <c r="V924" s="20"/>
    </row>
    <row r="925" spans="5:22" ht="17.25" customHeight="1">
      <c r="E925" s="62"/>
      <c r="F925" s="58"/>
      <c r="G925" s="31"/>
      <c r="H925" s="20"/>
      <c r="I925" s="20"/>
      <c r="J925" s="20"/>
      <c r="K925" s="20"/>
      <c r="L925" s="20"/>
      <c r="M925" s="20"/>
      <c r="N925" s="20"/>
      <c r="O925" s="20"/>
      <c r="P925" s="20"/>
      <c r="Q925" s="20"/>
      <c r="R925" s="20"/>
      <c r="S925" s="20"/>
      <c r="T925" s="20"/>
      <c r="U925" s="20"/>
      <c r="V925" s="20"/>
    </row>
    <row r="926" spans="5:22" ht="17.25" customHeight="1">
      <c r="E926" s="62"/>
      <c r="F926" s="58"/>
      <c r="G926" s="31"/>
      <c r="H926" s="20"/>
      <c r="I926" s="20"/>
      <c r="J926" s="20"/>
      <c r="K926" s="20"/>
      <c r="L926" s="20"/>
      <c r="M926" s="20"/>
      <c r="N926" s="20"/>
      <c r="O926" s="20"/>
      <c r="P926" s="20"/>
      <c r="Q926" s="20"/>
      <c r="R926" s="20"/>
      <c r="S926" s="20"/>
      <c r="T926" s="20"/>
      <c r="U926" s="20"/>
      <c r="V926" s="20"/>
    </row>
    <row r="927" spans="5:22" ht="17.25" customHeight="1">
      <c r="E927" s="62"/>
      <c r="F927" s="58"/>
      <c r="G927" s="31"/>
      <c r="H927" s="20"/>
      <c r="I927" s="20"/>
      <c r="J927" s="20"/>
      <c r="K927" s="20"/>
      <c r="L927" s="20"/>
      <c r="M927" s="20"/>
      <c r="N927" s="20"/>
      <c r="O927" s="20"/>
      <c r="P927" s="20"/>
      <c r="Q927" s="20"/>
      <c r="R927" s="20"/>
      <c r="S927" s="20"/>
      <c r="T927" s="20"/>
      <c r="U927" s="20"/>
      <c r="V927" s="20"/>
    </row>
    <row r="928" spans="5:22" ht="17.25" customHeight="1">
      <c r="E928" s="62"/>
      <c r="F928" s="58"/>
      <c r="G928" s="31"/>
      <c r="H928" s="20"/>
      <c r="I928" s="20"/>
      <c r="J928" s="20"/>
      <c r="K928" s="20"/>
      <c r="L928" s="20"/>
      <c r="M928" s="20"/>
      <c r="N928" s="20"/>
      <c r="O928" s="20"/>
      <c r="P928" s="20"/>
      <c r="Q928" s="20"/>
      <c r="R928" s="20"/>
      <c r="S928" s="20"/>
      <c r="T928" s="20"/>
      <c r="U928" s="20"/>
      <c r="V928" s="20"/>
    </row>
    <row r="929" spans="5:22" ht="17.25" customHeight="1">
      <c r="E929" s="62"/>
      <c r="F929" s="58"/>
      <c r="G929" s="31"/>
      <c r="H929" s="20"/>
      <c r="I929" s="20"/>
      <c r="J929" s="20"/>
      <c r="K929" s="20"/>
      <c r="L929" s="20"/>
      <c r="M929" s="20"/>
      <c r="N929" s="20"/>
      <c r="O929" s="20"/>
      <c r="P929" s="20"/>
      <c r="Q929" s="20"/>
      <c r="R929" s="20"/>
      <c r="S929" s="20"/>
      <c r="T929" s="20"/>
      <c r="U929" s="20"/>
      <c r="V929" s="20"/>
    </row>
    <row r="930" spans="5:22" ht="17.25" customHeight="1">
      <c r="E930" s="62"/>
      <c r="F930" s="58"/>
      <c r="G930" s="31"/>
      <c r="H930" s="20"/>
      <c r="I930" s="20"/>
      <c r="J930" s="20"/>
      <c r="K930" s="20"/>
      <c r="L930" s="20"/>
      <c r="M930" s="20"/>
      <c r="N930" s="20"/>
      <c r="O930" s="20"/>
      <c r="P930" s="20"/>
      <c r="Q930" s="20"/>
      <c r="R930" s="20"/>
      <c r="S930" s="20"/>
      <c r="T930" s="20"/>
      <c r="U930" s="20"/>
      <c r="V930" s="20"/>
    </row>
    <row r="931" spans="5:22" ht="17.25" customHeight="1">
      <c r="E931" s="62"/>
      <c r="F931" s="58"/>
      <c r="G931" s="31"/>
      <c r="H931" s="20"/>
      <c r="I931" s="20"/>
      <c r="J931" s="20"/>
      <c r="K931" s="20"/>
      <c r="L931" s="20"/>
      <c r="M931" s="20"/>
      <c r="N931" s="20"/>
      <c r="O931" s="20"/>
      <c r="P931" s="20"/>
      <c r="Q931" s="20"/>
      <c r="R931" s="20"/>
      <c r="S931" s="20"/>
      <c r="T931" s="20"/>
      <c r="U931" s="20"/>
      <c r="V931" s="20"/>
    </row>
    <row r="932" spans="5:22" ht="17.25" customHeight="1">
      <c r="E932" s="62"/>
      <c r="F932" s="58"/>
      <c r="G932" s="31"/>
      <c r="H932" s="20"/>
      <c r="I932" s="20"/>
      <c r="J932" s="20"/>
      <c r="K932" s="20"/>
      <c r="L932" s="20"/>
      <c r="M932" s="20"/>
      <c r="N932" s="20"/>
      <c r="O932" s="20"/>
      <c r="P932" s="20"/>
      <c r="Q932" s="20"/>
      <c r="R932" s="20"/>
      <c r="S932" s="20"/>
      <c r="T932" s="20"/>
      <c r="U932" s="20"/>
      <c r="V932" s="20"/>
    </row>
    <row r="933" spans="5:22" ht="17.25" customHeight="1">
      <c r="E933" s="62"/>
      <c r="F933" s="58"/>
      <c r="G933" s="31"/>
      <c r="H933" s="20"/>
      <c r="I933" s="20"/>
      <c r="J933" s="20"/>
      <c r="K933" s="20"/>
      <c r="L933" s="20"/>
      <c r="M933" s="20"/>
      <c r="N933" s="20"/>
      <c r="O933" s="20"/>
      <c r="P933" s="20"/>
      <c r="Q933" s="20"/>
      <c r="R933" s="20"/>
      <c r="S933" s="20"/>
      <c r="T933" s="20"/>
      <c r="U933" s="20"/>
      <c r="V933" s="20"/>
    </row>
    <row r="934" spans="5:22" ht="17.25" customHeight="1">
      <c r="E934" s="62"/>
      <c r="F934" s="58"/>
      <c r="G934" s="31"/>
      <c r="H934" s="20"/>
      <c r="I934" s="20"/>
      <c r="J934" s="20"/>
      <c r="K934" s="20"/>
      <c r="L934" s="20"/>
      <c r="M934" s="20"/>
      <c r="N934" s="20"/>
      <c r="O934" s="20"/>
      <c r="P934" s="20"/>
      <c r="Q934" s="20"/>
      <c r="R934" s="20"/>
      <c r="S934" s="20"/>
      <c r="T934" s="20"/>
      <c r="U934" s="20"/>
      <c r="V934" s="20"/>
    </row>
    <row r="935" spans="5:22" ht="17.25" customHeight="1">
      <c r="E935" s="62"/>
      <c r="F935" s="58"/>
      <c r="G935" s="31"/>
      <c r="H935" s="20"/>
      <c r="I935" s="20"/>
      <c r="J935" s="20"/>
      <c r="K935" s="20"/>
      <c r="L935" s="20"/>
      <c r="M935" s="20"/>
      <c r="N935" s="20"/>
      <c r="O935" s="20"/>
      <c r="P935" s="20"/>
      <c r="Q935" s="20"/>
      <c r="R935" s="20"/>
      <c r="S935" s="20"/>
      <c r="T935" s="20"/>
      <c r="U935" s="20"/>
      <c r="V935" s="20"/>
    </row>
    <row r="936" spans="5:22" ht="17.25" customHeight="1">
      <c r="E936" s="62"/>
      <c r="F936" s="58"/>
      <c r="G936" s="31"/>
      <c r="H936" s="20"/>
      <c r="I936" s="20"/>
      <c r="J936" s="20"/>
      <c r="K936" s="20"/>
      <c r="L936" s="20"/>
      <c r="M936" s="20"/>
      <c r="N936" s="20"/>
      <c r="O936" s="20"/>
      <c r="P936" s="20"/>
      <c r="Q936" s="20"/>
      <c r="R936" s="20"/>
      <c r="S936" s="20"/>
      <c r="T936" s="20"/>
      <c r="U936" s="20"/>
      <c r="V936" s="20"/>
    </row>
    <row r="937" spans="5:22" ht="17.25" customHeight="1">
      <c r="E937" s="62"/>
      <c r="F937" s="58"/>
      <c r="G937" s="31"/>
      <c r="H937" s="20"/>
      <c r="I937" s="20"/>
      <c r="J937" s="20"/>
      <c r="K937" s="20"/>
      <c r="L937" s="20"/>
      <c r="M937" s="20"/>
      <c r="N937" s="20"/>
      <c r="O937" s="20"/>
      <c r="P937" s="20"/>
      <c r="Q937" s="20"/>
      <c r="R937" s="20"/>
      <c r="S937" s="20"/>
      <c r="T937" s="20"/>
      <c r="U937" s="20"/>
      <c r="V937" s="20"/>
    </row>
    <row r="938" spans="5:22" ht="17.25" customHeight="1">
      <c r="E938" s="62"/>
      <c r="F938" s="58"/>
      <c r="G938" s="31"/>
      <c r="H938" s="20"/>
      <c r="I938" s="20"/>
      <c r="J938" s="20"/>
      <c r="K938" s="20"/>
      <c r="L938" s="20"/>
      <c r="M938" s="20"/>
      <c r="N938" s="20"/>
      <c r="O938" s="20"/>
      <c r="P938" s="20"/>
      <c r="Q938" s="20"/>
      <c r="R938" s="20"/>
      <c r="S938" s="20"/>
      <c r="T938" s="20"/>
      <c r="U938" s="20"/>
      <c r="V938" s="20"/>
    </row>
    <row r="939" spans="5:22" ht="17.25" customHeight="1">
      <c r="E939" s="62"/>
      <c r="F939" s="58"/>
      <c r="G939" s="31"/>
      <c r="H939" s="20"/>
      <c r="I939" s="20"/>
      <c r="J939" s="20"/>
      <c r="K939" s="20"/>
      <c r="L939" s="20"/>
      <c r="M939" s="20"/>
      <c r="N939" s="20"/>
      <c r="O939" s="20"/>
      <c r="P939" s="20"/>
      <c r="Q939" s="20"/>
      <c r="R939" s="20"/>
      <c r="S939" s="20"/>
      <c r="T939" s="20"/>
      <c r="U939" s="20"/>
      <c r="V939" s="20"/>
    </row>
    <row r="940" spans="5:22" ht="17.25" customHeight="1">
      <c r="E940" s="62"/>
      <c r="F940" s="58"/>
      <c r="G940" s="31"/>
      <c r="H940" s="20"/>
      <c r="I940" s="20"/>
      <c r="J940" s="20"/>
      <c r="K940" s="20"/>
      <c r="L940" s="20"/>
      <c r="M940" s="20"/>
      <c r="N940" s="20"/>
      <c r="O940" s="20"/>
      <c r="P940" s="20"/>
      <c r="Q940" s="20"/>
      <c r="R940" s="20"/>
      <c r="S940" s="20"/>
      <c r="T940" s="20"/>
      <c r="U940" s="20"/>
      <c r="V940" s="20"/>
    </row>
    <row r="941" spans="5:22" ht="17.25" customHeight="1">
      <c r="E941" s="62"/>
      <c r="F941" s="58"/>
      <c r="G941" s="31"/>
      <c r="H941" s="20"/>
      <c r="I941" s="20"/>
      <c r="J941" s="20"/>
      <c r="K941" s="20"/>
      <c r="L941" s="20"/>
      <c r="M941" s="20"/>
      <c r="N941" s="20"/>
      <c r="O941" s="20"/>
      <c r="P941" s="20"/>
      <c r="Q941" s="20"/>
      <c r="R941" s="20"/>
      <c r="S941" s="20"/>
      <c r="T941" s="20"/>
      <c r="U941" s="20"/>
      <c r="V941" s="20"/>
    </row>
    <row r="942" spans="5:22" ht="17.25" customHeight="1">
      <c r="E942" s="62"/>
      <c r="F942" s="58"/>
      <c r="G942" s="31"/>
      <c r="H942" s="20"/>
      <c r="I942" s="20"/>
      <c r="J942" s="20"/>
      <c r="K942" s="20"/>
      <c r="L942" s="20"/>
      <c r="M942" s="20"/>
      <c r="N942" s="20"/>
      <c r="O942" s="20"/>
      <c r="P942" s="20"/>
      <c r="Q942" s="20"/>
      <c r="R942" s="20"/>
      <c r="S942" s="20"/>
      <c r="T942" s="20"/>
      <c r="U942" s="20"/>
      <c r="V942" s="20"/>
    </row>
    <row r="943" spans="5:22" ht="17.25" customHeight="1">
      <c r="E943" s="62"/>
      <c r="F943" s="58"/>
      <c r="G943" s="31"/>
      <c r="H943" s="20"/>
      <c r="I943" s="20"/>
      <c r="J943" s="20"/>
      <c r="K943" s="20"/>
      <c r="L943" s="20"/>
      <c r="M943" s="20"/>
      <c r="N943" s="20"/>
      <c r="O943" s="20"/>
      <c r="P943" s="20"/>
      <c r="Q943" s="20"/>
      <c r="R943" s="20"/>
      <c r="S943" s="20"/>
      <c r="T943" s="20"/>
      <c r="U943" s="20"/>
      <c r="V943" s="20"/>
    </row>
    <row r="944" spans="5:22" ht="17.25" customHeight="1">
      <c r="E944" s="62"/>
      <c r="F944" s="58"/>
      <c r="G944" s="31"/>
      <c r="H944" s="20"/>
      <c r="I944" s="20"/>
      <c r="J944" s="20"/>
      <c r="K944" s="20"/>
      <c r="L944" s="20"/>
      <c r="M944" s="20"/>
      <c r="N944" s="20"/>
      <c r="O944" s="20"/>
      <c r="P944" s="20"/>
      <c r="Q944" s="20"/>
      <c r="R944" s="20"/>
      <c r="S944" s="20"/>
      <c r="T944" s="20"/>
      <c r="U944" s="20"/>
      <c r="V944" s="20"/>
    </row>
    <row r="945" spans="5:22" ht="17.25" customHeight="1">
      <c r="E945" s="62"/>
      <c r="F945" s="58"/>
      <c r="G945" s="31"/>
      <c r="H945" s="20"/>
      <c r="I945" s="20"/>
      <c r="J945" s="20"/>
      <c r="K945" s="20"/>
      <c r="L945" s="20"/>
      <c r="M945" s="20"/>
      <c r="N945" s="20"/>
      <c r="O945" s="20"/>
      <c r="P945" s="20"/>
      <c r="Q945" s="20"/>
      <c r="R945" s="20"/>
      <c r="S945" s="20"/>
      <c r="T945" s="20"/>
      <c r="U945" s="20"/>
      <c r="V945" s="20"/>
    </row>
    <row r="946" spans="5:22" ht="17.25" customHeight="1">
      <c r="E946" s="62"/>
      <c r="F946" s="58"/>
      <c r="G946" s="31"/>
      <c r="H946" s="20"/>
      <c r="I946" s="20"/>
      <c r="J946" s="20"/>
      <c r="K946" s="20"/>
      <c r="L946" s="20"/>
      <c r="M946" s="20"/>
      <c r="N946" s="20"/>
      <c r="O946" s="20"/>
      <c r="P946" s="20"/>
      <c r="Q946" s="20"/>
      <c r="R946" s="20"/>
      <c r="S946" s="20"/>
      <c r="T946" s="20"/>
      <c r="U946" s="20"/>
      <c r="V946" s="20"/>
    </row>
    <row r="947" spans="5:22" ht="17.25" customHeight="1">
      <c r="E947" s="62"/>
      <c r="F947" s="58"/>
      <c r="G947" s="31"/>
      <c r="H947" s="20"/>
      <c r="I947" s="20"/>
      <c r="J947" s="20"/>
      <c r="K947" s="20"/>
      <c r="L947" s="20"/>
      <c r="M947" s="20"/>
      <c r="N947" s="20"/>
      <c r="O947" s="20"/>
      <c r="P947" s="20"/>
      <c r="Q947" s="20"/>
      <c r="R947" s="20"/>
      <c r="S947" s="20"/>
      <c r="T947" s="20"/>
      <c r="U947" s="20"/>
      <c r="V947" s="20"/>
    </row>
    <row r="948" spans="5:22" ht="17.25" customHeight="1">
      <c r="E948" s="62"/>
      <c r="F948" s="58"/>
      <c r="G948" s="31"/>
      <c r="H948" s="20"/>
      <c r="I948" s="20"/>
      <c r="J948" s="20"/>
      <c r="K948" s="20"/>
      <c r="L948" s="20"/>
      <c r="M948" s="20"/>
      <c r="N948" s="20"/>
      <c r="O948" s="20"/>
      <c r="P948" s="20"/>
      <c r="Q948" s="20"/>
      <c r="R948" s="20"/>
      <c r="S948" s="20"/>
      <c r="T948" s="20"/>
      <c r="U948" s="20"/>
      <c r="V948" s="20"/>
    </row>
    <row r="949" spans="5:22" ht="17.25" customHeight="1">
      <c r="E949" s="62"/>
      <c r="F949" s="58"/>
      <c r="G949" s="31"/>
      <c r="H949" s="20"/>
      <c r="I949" s="20"/>
      <c r="J949" s="20"/>
      <c r="K949" s="20"/>
      <c r="L949" s="20"/>
      <c r="M949" s="20"/>
      <c r="N949" s="20"/>
      <c r="O949" s="20"/>
      <c r="P949" s="20"/>
      <c r="Q949" s="20"/>
      <c r="R949" s="20"/>
      <c r="S949" s="20"/>
      <c r="T949" s="20"/>
      <c r="U949" s="20"/>
      <c r="V949" s="20"/>
    </row>
    <row r="950" spans="5:22" ht="17.25" customHeight="1">
      <c r="E950" s="62"/>
      <c r="F950" s="58"/>
      <c r="G950" s="31"/>
      <c r="H950" s="20"/>
      <c r="I950" s="20"/>
      <c r="J950" s="20"/>
      <c r="K950" s="20"/>
      <c r="L950" s="20"/>
      <c r="M950" s="20"/>
      <c r="N950" s="20"/>
      <c r="O950" s="20"/>
      <c r="P950" s="20"/>
      <c r="Q950" s="20"/>
      <c r="R950" s="20"/>
      <c r="S950" s="20"/>
      <c r="T950" s="20"/>
      <c r="U950" s="20"/>
      <c r="V950" s="20"/>
    </row>
    <row r="951" spans="5:22" ht="17.25" customHeight="1">
      <c r="E951" s="62"/>
      <c r="F951" s="58"/>
      <c r="G951" s="31"/>
      <c r="H951" s="20"/>
      <c r="I951" s="20"/>
      <c r="J951" s="20"/>
      <c r="K951" s="20"/>
      <c r="L951" s="20"/>
      <c r="M951" s="20"/>
      <c r="N951" s="20"/>
      <c r="O951" s="20"/>
      <c r="P951" s="20"/>
      <c r="Q951" s="20"/>
      <c r="R951" s="20"/>
      <c r="S951" s="20"/>
      <c r="T951" s="20"/>
      <c r="U951" s="20"/>
      <c r="V951" s="20"/>
    </row>
    <row r="952" spans="5:22" ht="17.25" customHeight="1">
      <c r="E952" s="62"/>
      <c r="F952" s="58"/>
      <c r="G952" s="31"/>
      <c r="H952" s="20"/>
      <c r="I952" s="20"/>
      <c r="J952" s="20"/>
      <c r="K952" s="20"/>
      <c r="L952" s="20"/>
      <c r="M952" s="20"/>
      <c r="N952" s="20"/>
      <c r="O952" s="20"/>
      <c r="P952" s="20"/>
      <c r="Q952" s="20"/>
      <c r="R952" s="20"/>
      <c r="S952" s="20"/>
      <c r="T952" s="20"/>
      <c r="U952" s="20"/>
      <c r="V952" s="20"/>
    </row>
    <row r="953" spans="5:22" ht="17.25" customHeight="1">
      <c r="E953" s="62"/>
      <c r="F953" s="58"/>
      <c r="G953" s="31"/>
      <c r="H953" s="20"/>
      <c r="I953" s="20"/>
      <c r="J953" s="20"/>
      <c r="K953" s="20"/>
      <c r="L953" s="20"/>
      <c r="M953" s="20"/>
      <c r="N953" s="20"/>
      <c r="O953" s="20"/>
      <c r="P953" s="20"/>
      <c r="Q953" s="20"/>
      <c r="R953" s="20"/>
      <c r="S953" s="20"/>
      <c r="T953" s="20"/>
      <c r="U953" s="20"/>
      <c r="V953" s="20"/>
    </row>
    <row r="954" spans="5:22" ht="17.25" customHeight="1">
      <c r="E954" s="62"/>
      <c r="F954" s="58"/>
      <c r="G954" s="31"/>
      <c r="H954" s="20"/>
      <c r="I954" s="20"/>
      <c r="J954" s="20"/>
      <c r="K954" s="20"/>
      <c r="L954" s="20"/>
      <c r="M954" s="20"/>
      <c r="N954" s="20"/>
      <c r="O954" s="20"/>
      <c r="P954" s="20"/>
      <c r="Q954" s="20"/>
      <c r="R954" s="20"/>
      <c r="S954" s="20"/>
      <c r="T954" s="20"/>
      <c r="U954" s="20"/>
      <c r="V954" s="20"/>
    </row>
    <row r="955" spans="5:22" ht="17.25" customHeight="1">
      <c r="E955" s="62"/>
      <c r="F955" s="58"/>
      <c r="G955" s="31"/>
      <c r="H955" s="20"/>
      <c r="I955" s="20"/>
      <c r="J955" s="20"/>
      <c r="K955" s="20"/>
      <c r="L955" s="20"/>
      <c r="M955" s="20"/>
      <c r="N955" s="20"/>
      <c r="O955" s="20"/>
      <c r="P955" s="20"/>
      <c r="Q955" s="20"/>
      <c r="R955" s="20"/>
      <c r="S955" s="20"/>
      <c r="T955" s="20"/>
      <c r="U955" s="20"/>
      <c r="V955" s="20"/>
    </row>
    <row r="956" spans="5:22" ht="17.25" customHeight="1">
      <c r="E956" s="62"/>
      <c r="F956" s="58"/>
      <c r="G956" s="31"/>
      <c r="H956" s="20"/>
      <c r="I956" s="20"/>
      <c r="J956" s="20"/>
      <c r="K956" s="20"/>
      <c r="L956" s="20"/>
      <c r="M956" s="20"/>
      <c r="N956" s="20"/>
      <c r="O956" s="20"/>
      <c r="P956" s="20"/>
      <c r="Q956" s="20"/>
      <c r="R956" s="20"/>
      <c r="S956" s="20"/>
      <c r="T956" s="20"/>
      <c r="U956" s="20"/>
      <c r="V956" s="20"/>
    </row>
    <row r="957" spans="5:22" ht="17.25" customHeight="1">
      <c r="E957" s="62"/>
      <c r="F957" s="58"/>
      <c r="G957" s="31"/>
      <c r="H957" s="20"/>
      <c r="I957" s="20"/>
      <c r="J957" s="20"/>
      <c r="K957" s="20"/>
      <c r="L957" s="20"/>
      <c r="M957" s="20"/>
      <c r="N957" s="20"/>
      <c r="O957" s="20"/>
      <c r="P957" s="20"/>
      <c r="Q957" s="20"/>
      <c r="R957" s="20"/>
      <c r="S957" s="20"/>
      <c r="T957" s="20"/>
      <c r="U957" s="20"/>
      <c r="V957" s="20"/>
    </row>
    <row r="958" spans="5:22" ht="17.25" customHeight="1">
      <c r="E958" s="62"/>
      <c r="F958" s="58"/>
      <c r="G958" s="31"/>
      <c r="H958" s="20"/>
      <c r="I958" s="20"/>
      <c r="J958" s="20"/>
      <c r="K958" s="20"/>
      <c r="L958" s="20"/>
      <c r="M958" s="20"/>
      <c r="N958" s="20"/>
      <c r="O958" s="20"/>
      <c r="P958" s="20"/>
      <c r="Q958" s="20"/>
      <c r="R958" s="20"/>
      <c r="S958" s="20"/>
      <c r="T958" s="20"/>
      <c r="U958" s="20"/>
      <c r="V958" s="20"/>
    </row>
    <row r="959" spans="5:22" ht="17.25" customHeight="1">
      <c r="E959" s="62"/>
      <c r="F959" s="58"/>
      <c r="G959" s="31"/>
      <c r="H959" s="20"/>
      <c r="I959" s="20"/>
      <c r="J959" s="20"/>
      <c r="K959" s="20"/>
      <c r="L959" s="20"/>
      <c r="M959" s="20"/>
      <c r="N959" s="20"/>
      <c r="O959" s="20"/>
      <c r="P959" s="20"/>
      <c r="Q959" s="20"/>
      <c r="R959" s="20"/>
      <c r="S959" s="20"/>
      <c r="T959" s="20"/>
      <c r="U959" s="20"/>
      <c r="V959" s="20"/>
    </row>
    <row r="960" spans="5:22" ht="17.25" customHeight="1">
      <c r="E960" s="62"/>
      <c r="F960" s="58"/>
      <c r="G960" s="31"/>
      <c r="H960" s="20"/>
      <c r="I960" s="20"/>
      <c r="J960" s="20"/>
      <c r="K960" s="20"/>
      <c r="L960" s="20"/>
      <c r="M960" s="20"/>
      <c r="N960" s="20"/>
      <c r="O960" s="20"/>
      <c r="P960" s="20"/>
      <c r="Q960" s="20"/>
      <c r="R960" s="20"/>
      <c r="S960" s="20"/>
      <c r="T960" s="20"/>
      <c r="U960" s="20"/>
      <c r="V960" s="20"/>
    </row>
    <row r="961" spans="5:22" ht="17.25" customHeight="1">
      <c r="E961" s="62"/>
      <c r="F961" s="58"/>
      <c r="G961" s="31"/>
      <c r="H961" s="20"/>
      <c r="I961" s="20"/>
      <c r="J961" s="20"/>
      <c r="K961" s="20"/>
      <c r="L961" s="20"/>
      <c r="M961" s="20"/>
      <c r="N961" s="20"/>
      <c r="O961" s="20"/>
      <c r="P961" s="20"/>
      <c r="Q961" s="20"/>
      <c r="R961" s="20"/>
      <c r="S961" s="20"/>
      <c r="T961" s="20"/>
      <c r="U961" s="20"/>
      <c r="V961" s="20"/>
    </row>
    <row r="962" spans="5:22" ht="17.25" customHeight="1">
      <c r="E962" s="62"/>
      <c r="F962" s="58"/>
      <c r="G962" s="31"/>
      <c r="H962" s="20"/>
      <c r="I962" s="20"/>
      <c r="J962" s="20"/>
      <c r="K962" s="20"/>
      <c r="L962" s="20"/>
      <c r="M962" s="20"/>
      <c r="N962" s="20"/>
      <c r="O962" s="20"/>
      <c r="P962" s="20"/>
      <c r="Q962" s="20"/>
      <c r="R962" s="20"/>
      <c r="S962" s="20"/>
      <c r="T962" s="20"/>
      <c r="U962" s="20"/>
      <c r="V962" s="20"/>
    </row>
    <row r="963" spans="5:22" ht="17.25" customHeight="1">
      <c r="E963" s="62"/>
      <c r="F963" s="58"/>
      <c r="G963" s="31"/>
      <c r="H963" s="20"/>
      <c r="I963" s="20"/>
      <c r="J963" s="20"/>
      <c r="K963" s="20"/>
      <c r="L963" s="20"/>
      <c r="M963" s="20"/>
      <c r="N963" s="20"/>
      <c r="O963" s="20"/>
      <c r="P963" s="20"/>
      <c r="Q963" s="20"/>
      <c r="R963" s="20"/>
      <c r="S963" s="20"/>
      <c r="T963" s="20"/>
      <c r="U963" s="20"/>
      <c r="V963" s="20"/>
    </row>
    <row r="964" spans="5:22" ht="17.25" customHeight="1">
      <c r="E964" s="62"/>
      <c r="F964" s="58"/>
      <c r="G964" s="31"/>
      <c r="H964" s="20"/>
      <c r="I964" s="20"/>
      <c r="J964" s="20"/>
      <c r="K964" s="20"/>
      <c r="L964" s="20"/>
      <c r="M964" s="20"/>
      <c r="N964" s="20"/>
      <c r="O964" s="20"/>
      <c r="P964" s="20"/>
      <c r="Q964" s="20"/>
      <c r="R964" s="20"/>
      <c r="S964" s="20"/>
      <c r="T964" s="20"/>
      <c r="U964" s="20"/>
      <c r="V964" s="20"/>
    </row>
    <row r="965" spans="5:22" ht="17.25" customHeight="1">
      <c r="E965" s="62"/>
      <c r="F965" s="58"/>
      <c r="G965" s="31"/>
      <c r="H965" s="20"/>
      <c r="I965" s="20"/>
      <c r="J965" s="20"/>
      <c r="K965" s="20"/>
      <c r="L965" s="20"/>
      <c r="M965" s="20"/>
      <c r="N965" s="20"/>
      <c r="O965" s="20"/>
      <c r="P965" s="20"/>
      <c r="Q965" s="20"/>
      <c r="R965" s="20"/>
      <c r="S965" s="20"/>
      <c r="T965" s="20"/>
      <c r="U965" s="20"/>
      <c r="V965" s="20"/>
    </row>
    <row r="966" spans="5:22" ht="17.25" customHeight="1">
      <c r="E966" s="62"/>
      <c r="F966" s="58"/>
      <c r="G966" s="31"/>
      <c r="H966" s="20"/>
      <c r="I966" s="20"/>
      <c r="J966" s="20"/>
      <c r="K966" s="20"/>
      <c r="L966" s="20"/>
      <c r="M966" s="20"/>
      <c r="N966" s="20"/>
      <c r="O966" s="20"/>
      <c r="P966" s="20"/>
      <c r="Q966" s="20"/>
      <c r="R966" s="20"/>
      <c r="S966" s="20"/>
      <c r="T966" s="20"/>
      <c r="U966" s="20"/>
      <c r="V966" s="20"/>
    </row>
    <row r="967" spans="5:22" ht="17.25" customHeight="1">
      <c r="E967" s="62"/>
      <c r="F967" s="58"/>
      <c r="G967" s="31"/>
      <c r="H967" s="20"/>
      <c r="I967" s="20"/>
      <c r="J967" s="20"/>
      <c r="K967" s="20"/>
      <c r="L967" s="20"/>
      <c r="M967" s="20"/>
      <c r="N967" s="20"/>
      <c r="O967" s="20"/>
      <c r="P967" s="20"/>
      <c r="Q967" s="20"/>
      <c r="R967" s="20"/>
      <c r="S967" s="20"/>
      <c r="T967" s="20"/>
      <c r="U967" s="20"/>
      <c r="V967" s="20"/>
    </row>
    <row r="968" spans="5:22" ht="17.25" customHeight="1">
      <c r="E968" s="62"/>
      <c r="F968" s="58"/>
      <c r="G968" s="31"/>
      <c r="H968" s="20"/>
      <c r="I968" s="20"/>
      <c r="J968" s="20"/>
      <c r="K968" s="20"/>
      <c r="L968" s="20"/>
      <c r="M968" s="20"/>
      <c r="N968" s="20"/>
      <c r="O968" s="20"/>
      <c r="P968" s="20"/>
      <c r="Q968" s="20"/>
      <c r="R968" s="20"/>
      <c r="S968" s="20"/>
      <c r="T968" s="20"/>
      <c r="U968" s="20"/>
      <c r="V968" s="20"/>
    </row>
    <row r="969" spans="5:22" ht="17.25" customHeight="1">
      <c r="E969" s="62"/>
      <c r="F969" s="58"/>
      <c r="G969" s="31"/>
      <c r="H969" s="20"/>
      <c r="I969" s="20"/>
      <c r="J969" s="20"/>
      <c r="K969" s="20"/>
      <c r="L969" s="20"/>
      <c r="M969" s="20"/>
      <c r="N969" s="20"/>
      <c r="O969" s="20"/>
      <c r="P969" s="20"/>
      <c r="Q969" s="20"/>
      <c r="R969" s="20"/>
      <c r="S969" s="20"/>
      <c r="T969" s="20"/>
      <c r="U969" s="20"/>
      <c r="V969" s="20"/>
    </row>
    <row r="970" spans="5:22" ht="17.25" customHeight="1">
      <c r="E970" s="62"/>
      <c r="F970" s="58"/>
      <c r="G970" s="31"/>
      <c r="H970" s="20"/>
      <c r="I970" s="20"/>
      <c r="J970" s="20"/>
      <c r="K970" s="20"/>
      <c r="L970" s="20"/>
      <c r="M970" s="20"/>
      <c r="N970" s="20"/>
      <c r="O970" s="20"/>
      <c r="P970" s="20"/>
      <c r="Q970" s="20"/>
      <c r="R970" s="20"/>
      <c r="S970" s="20"/>
      <c r="T970" s="20"/>
      <c r="U970" s="20"/>
      <c r="V970" s="20"/>
    </row>
    <row r="971" spans="5:22" ht="17.25" customHeight="1">
      <c r="E971" s="62"/>
      <c r="F971" s="58"/>
      <c r="G971" s="31"/>
      <c r="H971" s="20"/>
      <c r="I971" s="20"/>
      <c r="J971" s="20"/>
      <c r="K971" s="20"/>
      <c r="L971" s="20"/>
      <c r="M971" s="20"/>
      <c r="N971" s="20"/>
      <c r="O971" s="20"/>
      <c r="P971" s="20"/>
      <c r="Q971" s="20"/>
      <c r="R971" s="20"/>
      <c r="S971" s="20"/>
      <c r="T971" s="20"/>
      <c r="U971" s="20"/>
      <c r="V971" s="20"/>
    </row>
    <row r="972" spans="5:22" ht="17.25" customHeight="1">
      <c r="E972" s="62"/>
      <c r="F972" s="58"/>
      <c r="G972" s="31"/>
      <c r="H972" s="20"/>
      <c r="I972" s="20"/>
      <c r="J972" s="20"/>
      <c r="K972" s="20"/>
      <c r="L972" s="20"/>
      <c r="M972" s="20"/>
      <c r="N972" s="20"/>
      <c r="O972" s="20"/>
      <c r="P972" s="20"/>
      <c r="Q972" s="20"/>
      <c r="R972" s="20"/>
      <c r="S972" s="20"/>
      <c r="T972" s="20"/>
      <c r="U972" s="20"/>
      <c r="V972" s="20"/>
    </row>
    <row r="973" spans="5:22" ht="17.25" customHeight="1">
      <c r="E973" s="62"/>
      <c r="F973" s="58"/>
      <c r="G973" s="31"/>
      <c r="H973" s="20"/>
      <c r="I973" s="20"/>
      <c r="J973" s="20"/>
      <c r="K973" s="20"/>
      <c r="L973" s="20"/>
      <c r="M973" s="20"/>
      <c r="N973" s="20"/>
      <c r="O973" s="20"/>
      <c r="P973" s="20"/>
      <c r="Q973" s="20"/>
      <c r="R973" s="20"/>
      <c r="S973" s="20"/>
      <c r="T973" s="20"/>
      <c r="U973" s="20"/>
      <c r="V973" s="20"/>
    </row>
    <row r="974" spans="5:22" ht="17.25" customHeight="1">
      <c r="E974" s="62"/>
      <c r="F974" s="58"/>
      <c r="G974" s="31"/>
      <c r="H974" s="20"/>
      <c r="I974" s="20"/>
      <c r="J974" s="20"/>
      <c r="K974" s="20"/>
      <c r="L974" s="20"/>
      <c r="M974" s="20"/>
      <c r="N974" s="20"/>
      <c r="O974" s="20"/>
      <c r="P974" s="20"/>
      <c r="Q974" s="20"/>
      <c r="R974" s="20"/>
      <c r="S974" s="20"/>
      <c r="T974" s="20"/>
      <c r="U974" s="20"/>
      <c r="V974" s="20"/>
    </row>
    <row r="975" spans="5:22" ht="17.25" customHeight="1">
      <c r="E975" s="62"/>
      <c r="F975" s="58"/>
      <c r="G975" s="31"/>
      <c r="H975" s="20"/>
      <c r="I975" s="20"/>
      <c r="J975" s="20"/>
      <c r="K975" s="20"/>
      <c r="L975" s="20"/>
      <c r="M975" s="20"/>
      <c r="N975" s="20"/>
      <c r="O975" s="20"/>
      <c r="P975" s="20"/>
      <c r="Q975" s="20"/>
      <c r="R975" s="20"/>
      <c r="S975" s="20"/>
      <c r="T975" s="20"/>
      <c r="U975" s="20"/>
      <c r="V975" s="20"/>
    </row>
    <row r="976" spans="5:22" ht="17.25" customHeight="1">
      <c r="E976" s="62"/>
      <c r="F976" s="58"/>
      <c r="G976" s="31"/>
      <c r="H976" s="20"/>
      <c r="I976" s="20"/>
      <c r="J976" s="20"/>
      <c r="K976" s="20"/>
      <c r="L976" s="20"/>
      <c r="M976" s="20"/>
      <c r="N976" s="20"/>
      <c r="O976" s="20"/>
      <c r="P976" s="20"/>
      <c r="Q976" s="20"/>
      <c r="R976" s="20"/>
      <c r="S976" s="20"/>
      <c r="T976" s="20"/>
      <c r="U976" s="20"/>
      <c r="V976" s="20"/>
    </row>
    <row r="977" spans="5:22" ht="17.25" customHeight="1">
      <c r="E977" s="62"/>
      <c r="F977" s="58"/>
      <c r="G977" s="31"/>
      <c r="H977" s="20"/>
      <c r="I977" s="20"/>
      <c r="J977" s="20"/>
      <c r="K977" s="20"/>
      <c r="L977" s="20"/>
      <c r="M977" s="20"/>
      <c r="N977" s="20"/>
      <c r="O977" s="20"/>
      <c r="P977" s="20"/>
      <c r="Q977" s="20"/>
      <c r="R977" s="20"/>
      <c r="S977" s="20"/>
      <c r="T977" s="20"/>
      <c r="U977" s="20"/>
      <c r="V977" s="20"/>
    </row>
    <row r="978" spans="5:22" ht="17.25" customHeight="1">
      <c r="E978" s="62"/>
      <c r="F978" s="58"/>
      <c r="G978" s="31"/>
      <c r="H978" s="20"/>
      <c r="I978" s="20"/>
      <c r="J978" s="20"/>
      <c r="K978" s="20"/>
      <c r="L978" s="20"/>
      <c r="M978" s="20"/>
      <c r="N978" s="20"/>
      <c r="O978" s="20"/>
      <c r="P978" s="20"/>
      <c r="Q978" s="20"/>
      <c r="R978" s="20"/>
      <c r="S978" s="20"/>
      <c r="T978" s="20"/>
      <c r="U978" s="20"/>
      <c r="V978" s="20"/>
    </row>
    <row r="979" spans="5:22" ht="17.25" customHeight="1">
      <c r="E979" s="62"/>
      <c r="F979" s="58"/>
      <c r="G979" s="31"/>
      <c r="H979" s="20"/>
      <c r="I979" s="20"/>
      <c r="J979" s="20"/>
      <c r="K979" s="20"/>
      <c r="L979" s="20"/>
      <c r="M979" s="20"/>
      <c r="N979" s="20"/>
      <c r="O979" s="20"/>
      <c r="P979" s="20"/>
      <c r="Q979" s="20"/>
      <c r="R979" s="20"/>
      <c r="S979" s="20"/>
      <c r="T979" s="20"/>
      <c r="U979" s="20"/>
      <c r="V979" s="20"/>
    </row>
    <row r="980" spans="5:22" ht="17.25" customHeight="1">
      <c r="E980" s="62"/>
      <c r="F980" s="58"/>
      <c r="G980" s="31"/>
      <c r="H980" s="20"/>
      <c r="I980" s="20"/>
      <c r="J980" s="20"/>
      <c r="K980" s="20"/>
      <c r="L980" s="20"/>
      <c r="M980" s="20"/>
      <c r="N980" s="20"/>
      <c r="O980" s="20"/>
      <c r="P980" s="20"/>
      <c r="Q980" s="20"/>
      <c r="R980" s="20"/>
      <c r="S980" s="20"/>
      <c r="T980" s="20"/>
      <c r="U980" s="20"/>
      <c r="V980" s="20"/>
    </row>
    <row r="981" spans="5:22" ht="17.25" customHeight="1">
      <c r="E981" s="62"/>
      <c r="F981" s="58"/>
      <c r="G981" s="31"/>
      <c r="H981" s="20"/>
      <c r="I981" s="20"/>
      <c r="J981" s="20"/>
      <c r="K981" s="20"/>
      <c r="L981" s="20"/>
      <c r="M981" s="20"/>
      <c r="N981" s="20"/>
      <c r="O981" s="20"/>
      <c r="P981" s="20"/>
      <c r="Q981" s="20"/>
      <c r="R981" s="20"/>
      <c r="S981" s="20"/>
      <c r="T981" s="20"/>
      <c r="U981" s="20"/>
      <c r="V981" s="20"/>
    </row>
    <row r="982" spans="5:22" ht="17.25" customHeight="1">
      <c r="E982" s="62"/>
      <c r="F982" s="58"/>
      <c r="G982" s="31"/>
      <c r="H982" s="20"/>
      <c r="I982" s="20"/>
      <c r="J982" s="20"/>
      <c r="K982" s="20"/>
      <c r="L982" s="20"/>
      <c r="M982" s="20"/>
      <c r="N982" s="20"/>
      <c r="O982" s="20"/>
      <c r="P982" s="20"/>
      <c r="Q982" s="20"/>
      <c r="R982" s="20"/>
      <c r="S982" s="20"/>
      <c r="T982" s="20"/>
      <c r="U982" s="20"/>
      <c r="V982" s="20"/>
    </row>
    <row r="983" spans="5:22" ht="17.25" customHeight="1">
      <c r="E983" s="62"/>
      <c r="F983" s="58"/>
      <c r="G983" s="31"/>
      <c r="H983" s="20"/>
      <c r="I983" s="20"/>
      <c r="J983" s="20"/>
      <c r="K983" s="20"/>
      <c r="L983" s="20"/>
      <c r="M983" s="20"/>
      <c r="N983" s="20"/>
      <c r="O983" s="20"/>
      <c r="P983" s="20"/>
      <c r="Q983" s="20"/>
      <c r="R983" s="20"/>
      <c r="S983" s="20"/>
      <c r="T983" s="20"/>
      <c r="U983" s="20"/>
      <c r="V983" s="20"/>
    </row>
    <row r="984" spans="5:22" ht="17.25" customHeight="1">
      <c r="E984" s="62"/>
      <c r="F984" s="58"/>
      <c r="G984" s="31"/>
      <c r="H984" s="20"/>
      <c r="I984" s="20"/>
      <c r="J984" s="20"/>
      <c r="K984" s="20"/>
      <c r="L984" s="20"/>
      <c r="M984" s="20"/>
      <c r="N984" s="20"/>
      <c r="O984" s="20"/>
      <c r="P984" s="20"/>
      <c r="Q984" s="20"/>
      <c r="R984" s="20"/>
      <c r="S984" s="20"/>
      <c r="T984" s="20"/>
      <c r="U984" s="20"/>
      <c r="V984" s="20"/>
    </row>
    <row r="985" spans="5:22" ht="17.25" customHeight="1">
      <c r="E985" s="62"/>
      <c r="F985" s="58"/>
      <c r="G985" s="31"/>
      <c r="H985" s="20"/>
      <c r="I985" s="20"/>
      <c r="J985" s="20"/>
      <c r="K985" s="20"/>
      <c r="L985" s="20"/>
      <c r="M985" s="20"/>
      <c r="N985" s="20"/>
      <c r="O985" s="20"/>
      <c r="P985" s="20"/>
      <c r="Q985" s="20"/>
      <c r="R985" s="20"/>
      <c r="S985" s="20"/>
      <c r="T985" s="20"/>
      <c r="U985" s="20"/>
      <c r="V985" s="20"/>
    </row>
    <row r="986" spans="5:22" ht="17.25" customHeight="1">
      <c r="E986" s="62"/>
      <c r="F986" s="58"/>
      <c r="G986" s="31"/>
      <c r="H986" s="20"/>
      <c r="I986" s="20"/>
      <c r="J986" s="20"/>
      <c r="K986" s="20"/>
      <c r="L986" s="20"/>
      <c r="M986" s="20"/>
      <c r="N986" s="20"/>
      <c r="O986" s="20"/>
      <c r="P986" s="20"/>
      <c r="Q986" s="20"/>
      <c r="R986" s="20"/>
      <c r="S986" s="20"/>
      <c r="T986" s="20"/>
      <c r="U986" s="20"/>
      <c r="V986" s="20"/>
    </row>
    <row r="987" spans="5:22" ht="17.25" customHeight="1">
      <c r="E987" s="62"/>
      <c r="F987" s="58"/>
      <c r="G987" s="31"/>
      <c r="H987" s="20"/>
      <c r="I987" s="20"/>
      <c r="J987" s="20"/>
      <c r="K987" s="20"/>
      <c r="L987" s="20"/>
      <c r="M987" s="20"/>
      <c r="N987" s="20"/>
      <c r="O987" s="20"/>
      <c r="P987" s="20"/>
      <c r="Q987" s="20"/>
      <c r="R987" s="20"/>
      <c r="S987" s="20"/>
      <c r="T987" s="20"/>
      <c r="U987" s="20"/>
      <c r="V987" s="20"/>
    </row>
    <row r="988" spans="5:22" ht="17.25" customHeight="1">
      <c r="E988" s="62"/>
      <c r="F988" s="58"/>
      <c r="G988" s="31"/>
      <c r="H988" s="20"/>
      <c r="I988" s="20"/>
      <c r="J988" s="20"/>
      <c r="K988" s="20"/>
      <c r="L988" s="20"/>
      <c r="M988" s="20"/>
      <c r="N988" s="20"/>
      <c r="O988" s="20"/>
      <c r="P988" s="20"/>
      <c r="Q988" s="20"/>
      <c r="R988" s="20"/>
      <c r="S988" s="20"/>
      <c r="T988" s="20"/>
      <c r="U988" s="20"/>
      <c r="V988" s="20"/>
    </row>
    <row r="989" spans="5:22" ht="17.25" customHeight="1">
      <c r="E989" s="62"/>
      <c r="F989" s="58"/>
      <c r="G989" s="31"/>
      <c r="H989" s="20"/>
      <c r="I989" s="20"/>
      <c r="J989" s="20"/>
      <c r="K989" s="20"/>
      <c r="L989" s="20"/>
      <c r="M989" s="20"/>
      <c r="N989" s="20"/>
      <c r="O989" s="20"/>
      <c r="P989" s="20"/>
      <c r="Q989" s="20"/>
      <c r="R989" s="20"/>
      <c r="S989" s="20"/>
      <c r="T989" s="20"/>
      <c r="U989" s="20"/>
      <c r="V989" s="20"/>
    </row>
    <row r="990" spans="5:22" ht="17.25" customHeight="1">
      <c r="E990" s="62"/>
      <c r="F990" s="58"/>
      <c r="G990" s="31"/>
      <c r="H990" s="20"/>
      <c r="I990" s="20"/>
      <c r="J990" s="20"/>
      <c r="K990" s="20"/>
      <c r="L990" s="20"/>
      <c r="M990" s="20"/>
      <c r="N990" s="20"/>
      <c r="O990" s="20"/>
      <c r="P990" s="20"/>
      <c r="Q990" s="20"/>
      <c r="R990" s="20"/>
      <c r="S990" s="20"/>
      <c r="T990" s="20"/>
      <c r="U990" s="20"/>
      <c r="V990" s="20"/>
    </row>
    <row r="991" spans="5:22" ht="17.25" customHeight="1">
      <c r="E991" s="62"/>
      <c r="F991" s="58"/>
      <c r="G991" s="31"/>
      <c r="H991" s="20"/>
      <c r="I991" s="20"/>
      <c r="J991" s="20"/>
      <c r="K991" s="20"/>
      <c r="L991" s="20"/>
      <c r="M991" s="20"/>
      <c r="N991" s="20"/>
      <c r="O991" s="20"/>
      <c r="P991" s="20"/>
      <c r="Q991" s="20"/>
      <c r="R991" s="20"/>
      <c r="S991" s="20"/>
      <c r="T991" s="20"/>
      <c r="U991" s="20"/>
      <c r="V991" s="20"/>
    </row>
    <row r="992" spans="5:22" ht="17.25" customHeight="1">
      <c r="E992" s="62"/>
      <c r="F992" s="58"/>
      <c r="G992" s="31"/>
      <c r="H992" s="20"/>
      <c r="I992" s="20"/>
      <c r="J992" s="20"/>
      <c r="K992" s="20"/>
      <c r="L992" s="20"/>
      <c r="M992" s="20"/>
      <c r="N992" s="20"/>
      <c r="O992" s="20"/>
      <c r="P992" s="20"/>
      <c r="Q992" s="20"/>
      <c r="R992" s="20"/>
      <c r="S992" s="20"/>
      <c r="T992" s="20"/>
      <c r="U992" s="20"/>
      <c r="V992" s="20"/>
    </row>
    <row r="993" spans="5:22" ht="17.25" customHeight="1">
      <c r="E993" s="62"/>
      <c r="F993" s="58"/>
      <c r="G993" s="31"/>
      <c r="H993" s="20"/>
      <c r="I993" s="20"/>
      <c r="J993" s="20"/>
      <c r="K993" s="20"/>
      <c r="L993" s="20"/>
      <c r="M993" s="20"/>
      <c r="N993" s="20"/>
      <c r="O993" s="20"/>
      <c r="P993" s="20"/>
      <c r="Q993" s="20"/>
      <c r="R993" s="20"/>
      <c r="S993" s="20"/>
      <c r="T993" s="20"/>
      <c r="U993" s="20"/>
      <c r="V993" s="20"/>
    </row>
    <row r="994" spans="5:22" ht="17.25" customHeight="1">
      <c r="E994" s="62"/>
      <c r="F994" s="58"/>
      <c r="G994" s="31"/>
      <c r="H994" s="20"/>
      <c r="I994" s="20"/>
      <c r="J994" s="20"/>
      <c r="K994" s="20"/>
      <c r="L994" s="20"/>
      <c r="M994" s="20"/>
      <c r="N994" s="20"/>
      <c r="O994" s="20"/>
      <c r="P994" s="20"/>
      <c r="Q994" s="20"/>
      <c r="R994" s="20"/>
      <c r="S994" s="20"/>
      <c r="T994" s="20"/>
      <c r="U994" s="20"/>
      <c r="V994" s="20"/>
    </row>
    <row r="995" spans="5:22" ht="17.25" customHeight="1">
      <c r="E995" s="62"/>
      <c r="F995" s="58"/>
      <c r="G995" s="31"/>
      <c r="H995" s="20"/>
      <c r="I995" s="20"/>
      <c r="J995" s="20"/>
      <c r="K995" s="20"/>
      <c r="L995" s="20"/>
      <c r="M995" s="20"/>
      <c r="N995" s="20"/>
      <c r="O995" s="20"/>
      <c r="P995" s="20"/>
      <c r="Q995" s="20"/>
      <c r="R995" s="20"/>
      <c r="S995" s="20"/>
      <c r="T995" s="20"/>
      <c r="U995" s="20"/>
      <c r="V995" s="20"/>
    </row>
    <row r="996" spans="5:22" ht="17.25" customHeight="1">
      <c r="E996" s="62"/>
      <c r="F996" s="58"/>
      <c r="G996" s="31"/>
      <c r="H996" s="20"/>
      <c r="I996" s="20"/>
      <c r="J996" s="20"/>
      <c r="K996" s="20"/>
      <c r="L996" s="20"/>
      <c r="M996" s="20"/>
      <c r="N996" s="20"/>
      <c r="O996" s="20"/>
      <c r="P996" s="20"/>
      <c r="Q996" s="20"/>
      <c r="R996" s="20"/>
      <c r="S996" s="20"/>
      <c r="T996" s="20"/>
      <c r="U996" s="20"/>
      <c r="V996" s="20"/>
    </row>
    <row r="997" spans="5:22" ht="17.25" customHeight="1">
      <c r="E997" s="62"/>
      <c r="F997" s="58"/>
      <c r="G997" s="31"/>
      <c r="H997" s="20"/>
      <c r="I997" s="20"/>
      <c r="J997" s="20"/>
      <c r="K997" s="20"/>
      <c r="L997" s="20"/>
      <c r="M997" s="20"/>
      <c r="N997" s="20"/>
      <c r="O997" s="20"/>
      <c r="P997" s="20"/>
      <c r="Q997" s="20"/>
      <c r="R997" s="20"/>
      <c r="S997" s="20"/>
      <c r="T997" s="20"/>
      <c r="U997" s="20"/>
      <c r="V997" s="20"/>
    </row>
    <row r="998" spans="5:22" ht="17.25" customHeight="1">
      <c r="E998" s="62"/>
      <c r="F998" s="58"/>
      <c r="G998" s="31"/>
      <c r="H998" s="20"/>
      <c r="I998" s="20"/>
      <c r="J998" s="20"/>
      <c r="K998" s="20"/>
      <c r="L998" s="20"/>
      <c r="M998" s="20"/>
      <c r="N998" s="20"/>
      <c r="O998" s="20"/>
      <c r="P998" s="20"/>
      <c r="Q998" s="20"/>
      <c r="R998" s="20"/>
      <c r="S998" s="20"/>
      <c r="T998" s="20"/>
      <c r="U998" s="20"/>
      <c r="V998" s="20"/>
    </row>
    <row r="999" spans="5:22" ht="17.25" customHeight="1">
      <c r="E999" s="62"/>
      <c r="F999" s="58"/>
      <c r="G999" s="31"/>
      <c r="H999" s="20"/>
      <c r="I999" s="20"/>
      <c r="J999" s="20"/>
      <c r="K999" s="20"/>
      <c r="L999" s="20"/>
      <c r="M999" s="20"/>
      <c r="N999" s="20"/>
      <c r="O999" s="20"/>
      <c r="P999" s="20"/>
      <c r="Q999" s="20"/>
      <c r="R999" s="20"/>
      <c r="S999" s="20"/>
      <c r="T999" s="20"/>
      <c r="U999" s="20"/>
      <c r="V999" s="20"/>
    </row>
    <row r="1000" spans="5:22" ht="17.25" customHeight="1">
      <c r="E1000" s="62"/>
      <c r="F1000" s="58"/>
      <c r="G1000" s="31"/>
      <c r="H1000" s="20"/>
      <c r="I1000" s="20"/>
      <c r="J1000" s="20"/>
      <c r="K1000" s="20"/>
      <c r="L1000" s="20"/>
      <c r="M1000" s="20"/>
      <c r="N1000" s="20"/>
      <c r="O1000" s="20"/>
      <c r="P1000" s="20"/>
      <c r="Q1000" s="20"/>
      <c r="R1000" s="20"/>
      <c r="S1000" s="20"/>
      <c r="T1000" s="20"/>
      <c r="U1000" s="20"/>
      <c r="V1000" s="20"/>
    </row>
  </sheetData>
  <conditionalFormatting sqref="B3:E4 C5:C21">
    <cfRule type="containsBlanks" dxfId="60" priority="1">
      <formula>LEN(TRIM(B3))=0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Year_schedules!$A$3:$A$1048576</xm:f>
          </x14:formula1>
          <xm:sqref>E3:E1000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Z1000"/>
  <sheetViews>
    <sheetView topLeftCell="A28" workbookViewId="0">
      <selection activeCell="A53" sqref="A53"/>
    </sheetView>
  </sheetViews>
  <sheetFormatPr baseColWidth="10" defaultColWidth="11.28515625" defaultRowHeight="15" customHeight="1"/>
  <cols>
    <col min="1" max="1" width="43.85546875" customWidth="1"/>
    <col min="2" max="3" width="27.7109375" customWidth="1"/>
    <col min="4" max="5" width="27.42578125" customWidth="1"/>
    <col min="6" max="6" width="11.140625" customWidth="1"/>
    <col min="7" max="26" width="8.85546875" customWidth="1"/>
  </cols>
  <sheetData>
    <row r="1" spans="1:26" ht="17.25" customHeight="1">
      <c r="A1" s="48" t="s">
        <v>4814</v>
      </c>
      <c r="B1" s="49" t="s">
        <v>4866</v>
      </c>
      <c r="C1" s="50"/>
      <c r="D1" s="50"/>
      <c r="E1" s="49" t="s">
        <v>4867</v>
      </c>
      <c r="F1" s="63"/>
      <c r="G1" s="20"/>
      <c r="H1" s="20"/>
      <c r="I1" s="20"/>
      <c r="J1" s="20"/>
      <c r="K1" s="20"/>
      <c r="L1" s="20"/>
      <c r="M1" s="20"/>
      <c r="N1" s="20"/>
      <c r="O1" s="20"/>
      <c r="P1" s="20"/>
      <c r="Q1" s="20"/>
      <c r="R1" s="20"/>
      <c r="S1" s="20"/>
      <c r="T1" s="20"/>
      <c r="U1" s="20"/>
      <c r="V1" s="20"/>
      <c r="W1" s="20"/>
      <c r="X1" s="20"/>
      <c r="Y1" s="20"/>
      <c r="Z1" s="20"/>
    </row>
    <row r="2" spans="1:26" ht="17.25" customHeight="1">
      <c r="A2" s="41" t="s">
        <v>4832</v>
      </c>
      <c r="B2" s="43" t="s">
        <v>4868</v>
      </c>
      <c r="C2" s="43" t="s">
        <v>4869</v>
      </c>
      <c r="D2" s="44" t="s">
        <v>4870</v>
      </c>
      <c r="E2" s="64" t="s">
        <v>4871</v>
      </c>
      <c r="F2" s="65" t="s">
        <v>4836</v>
      </c>
      <c r="G2" s="31"/>
      <c r="H2" s="20"/>
      <c r="I2" s="20"/>
      <c r="J2" s="20"/>
      <c r="K2" s="20"/>
      <c r="L2" s="20"/>
      <c r="M2" s="20"/>
      <c r="N2" s="20"/>
      <c r="O2" s="20"/>
      <c r="P2" s="20"/>
      <c r="Q2" s="20"/>
      <c r="R2" s="20"/>
      <c r="S2" s="20"/>
      <c r="T2" s="20"/>
      <c r="U2" s="20"/>
      <c r="V2" s="20"/>
      <c r="W2" s="20"/>
      <c r="X2" s="20"/>
      <c r="Y2" s="20"/>
      <c r="Z2" s="20"/>
    </row>
    <row r="3" spans="1:26" ht="17.25" customHeight="1">
      <c r="A3" s="66" t="s">
        <v>4872</v>
      </c>
      <c r="B3" s="67">
        <v>4.57</v>
      </c>
      <c r="C3" s="37" t="s">
        <v>4873</v>
      </c>
      <c r="D3" s="68" t="s">
        <v>4874</v>
      </c>
      <c r="E3" s="47" t="s">
        <v>4875</v>
      </c>
      <c r="F3" s="69" t="s">
        <v>4876</v>
      </c>
      <c r="G3" s="70"/>
      <c r="H3" s="70"/>
      <c r="I3" s="70"/>
      <c r="J3" s="55"/>
      <c r="K3" s="70"/>
      <c r="L3" s="20"/>
      <c r="M3" s="20"/>
      <c r="N3" s="20"/>
      <c r="O3" s="20"/>
      <c r="P3" s="20"/>
      <c r="Q3" s="20"/>
      <c r="R3" s="20"/>
      <c r="S3" s="20"/>
      <c r="T3" s="20"/>
      <c r="U3" s="20"/>
      <c r="V3" s="20"/>
      <c r="W3" s="20"/>
      <c r="X3" s="20"/>
      <c r="Y3" s="20"/>
      <c r="Z3" s="20"/>
    </row>
    <row r="4" spans="1:26" ht="17.25" customHeight="1">
      <c r="A4" s="66" t="s">
        <v>4877</v>
      </c>
      <c r="B4" s="67">
        <v>3.39</v>
      </c>
      <c r="C4" s="37" t="s">
        <v>4873</v>
      </c>
      <c r="D4" s="68" t="s">
        <v>4874</v>
      </c>
      <c r="E4" s="47" t="s">
        <v>4875</v>
      </c>
      <c r="F4" s="69" t="s">
        <v>4876</v>
      </c>
      <c r="G4" s="70"/>
      <c r="H4" s="70"/>
      <c r="I4" s="70"/>
      <c r="J4" s="55"/>
      <c r="K4" s="70"/>
      <c r="L4" s="20"/>
      <c r="M4" s="20"/>
      <c r="N4" s="20"/>
      <c r="O4" s="20"/>
      <c r="P4" s="20"/>
      <c r="Q4" s="20"/>
      <c r="R4" s="20"/>
      <c r="S4" s="20"/>
      <c r="T4" s="20"/>
      <c r="U4" s="20"/>
      <c r="V4" s="20"/>
      <c r="W4" s="20"/>
      <c r="X4" s="20"/>
      <c r="Y4" s="20"/>
      <c r="Z4" s="20"/>
    </row>
    <row r="5" spans="1:26" ht="17.25" customHeight="1">
      <c r="A5" s="66" t="s">
        <v>4878</v>
      </c>
      <c r="B5" s="67">
        <v>1.52</v>
      </c>
      <c r="C5" s="37" t="s">
        <v>4873</v>
      </c>
      <c r="D5" s="68" t="s">
        <v>4874</v>
      </c>
      <c r="E5" s="47" t="s">
        <v>4875</v>
      </c>
      <c r="F5" s="69" t="s">
        <v>4876</v>
      </c>
      <c r="G5" s="70"/>
      <c r="H5" s="70"/>
      <c r="I5" s="70"/>
      <c r="J5" s="55"/>
      <c r="K5" s="70"/>
      <c r="L5" s="20"/>
      <c r="M5" s="20"/>
      <c r="N5" s="20"/>
      <c r="O5" s="20"/>
      <c r="P5" s="20"/>
      <c r="Q5" s="20"/>
      <c r="R5" s="20"/>
      <c r="S5" s="20"/>
      <c r="T5" s="20"/>
      <c r="U5" s="20"/>
      <c r="V5" s="20"/>
      <c r="W5" s="20"/>
      <c r="X5" s="20"/>
      <c r="Y5" s="20"/>
      <c r="Z5" s="20"/>
    </row>
    <row r="6" spans="1:26" ht="17.25" customHeight="1">
      <c r="A6" s="66" t="s">
        <v>4879</v>
      </c>
      <c r="B6" s="67">
        <v>4.38</v>
      </c>
      <c r="C6" s="37" t="s">
        <v>4873</v>
      </c>
      <c r="D6" s="68" t="s">
        <v>4874</v>
      </c>
      <c r="E6" s="47" t="s">
        <v>4875</v>
      </c>
      <c r="F6" s="69" t="s">
        <v>4876</v>
      </c>
      <c r="G6" s="70"/>
      <c r="H6" s="70"/>
      <c r="I6" s="70"/>
      <c r="J6" s="55"/>
      <c r="K6" s="70"/>
      <c r="L6" s="20"/>
      <c r="M6" s="20"/>
      <c r="N6" s="20"/>
      <c r="O6" s="20"/>
      <c r="P6" s="20"/>
      <c r="Q6" s="20"/>
      <c r="R6" s="20"/>
      <c r="S6" s="20"/>
      <c r="T6" s="20"/>
      <c r="U6" s="20"/>
      <c r="V6" s="20"/>
      <c r="W6" s="20"/>
      <c r="X6" s="20"/>
      <c r="Y6" s="20"/>
      <c r="Z6" s="20"/>
    </row>
    <row r="7" spans="1:26" ht="17.25" customHeight="1">
      <c r="A7" s="66" t="s">
        <v>4880</v>
      </c>
      <c r="B7" s="67">
        <v>3.31</v>
      </c>
      <c r="C7" s="37" t="s">
        <v>4873</v>
      </c>
      <c r="D7" s="68" t="s">
        <v>4874</v>
      </c>
      <c r="E7" s="47" t="s">
        <v>4875</v>
      </c>
      <c r="F7" s="69" t="s">
        <v>4876</v>
      </c>
      <c r="G7" s="70"/>
      <c r="H7" s="70"/>
      <c r="I7" s="70"/>
      <c r="J7" s="55"/>
      <c r="K7" s="70"/>
      <c r="L7" s="20"/>
      <c r="M7" s="20"/>
      <c r="N7" s="20"/>
      <c r="O7" s="20"/>
      <c r="P7" s="20"/>
      <c r="Q7" s="20"/>
      <c r="R7" s="20"/>
      <c r="S7" s="20"/>
      <c r="T7" s="20"/>
      <c r="U7" s="20"/>
      <c r="V7" s="20"/>
      <c r="W7" s="20"/>
      <c r="X7" s="20"/>
      <c r="Y7" s="20"/>
      <c r="Z7" s="20"/>
    </row>
    <row r="8" spans="1:26" ht="17.25" customHeight="1">
      <c r="A8" s="66" t="s">
        <v>4881</v>
      </c>
      <c r="B8" s="67">
        <v>2</v>
      </c>
      <c r="C8" s="37" t="s">
        <v>4873</v>
      </c>
      <c r="D8" s="68" t="s">
        <v>4874</v>
      </c>
      <c r="E8" s="47" t="s">
        <v>4875</v>
      </c>
      <c r="F8" s="69" t="s">
        <v>4876</v>
      </c>
      <c r="G8" s="70"/>
      <c r="H8" s="70"/>
      <c r="I8" s="70"/>
      <c r="J8" s="55"/>
      <c r="K8" s="70"/>
      <c r="L8" s="20"/>
      <c r="M8" s="20"/>
      <c r="N8" s="20"/>
      <c r="O8" s="20"/>
      <c r="P8" s="20"/>
      <c r="Q8" s="20"/>
      <c r="R8" s="20"/>
      <c r="S8" s="20"/>
      <c r="T8" s="20"/>
      <c r="U8" s="20"/>
      <c r="V8" s="20"/>
      <c r="W8" s="20"/>
      <c r="X8" s="20"/>
      <c r="Y8" s="20"/>
      <c r="Z8" s="20"/>
    </row>
    <row r="9" spans="1:26" ht="17.25" customHeight="1">
      <c r="A9" s="66" t="s">
        <v>4882</v>
      </c>
      <c r="B9" s="67">
        <v>4.63</v>
      </c>
      <c r="C9" s="37" t="s">
        <v>4873</v>
      </c>
      <c r="D9" s="68" t="s">
        <v>4874</v>
      </c>
      <c r="E9" s="47" t="s">
        <v>4875</v>
      </c>
      <c r="F9" s="69" t="s">
        <v>4876</v>
      </c>
      <c r="G9" s="70"/>
      <c r="H9" s="70"/>
      <c r="I9" s="70"/>
      <c r="J9" s="55"/>
      <c r="K9" s="70"/>
      <c r="L9" s="20"/>
      <c r="M9" s="20"/>
      <c r="N9" s="20"/>
      <c r="O9" s="20"/>
      <c r="P9" s="20"/>
      <c r="Q9" s="20"/>
      <c r="R9" s="20"/>
      <c r="S9" s="20"/>
      <c r="T9" s="20"/>
      <c r="U9" s="20"/>
      <c r="V9" s="20"/>
      <c r="W9" s="20"/>
      <c r="X9" s="20"/>
      <c r="Y9" s="20"/>
      <c r="Z9" s="20"/>
    </row>
    <row r="10" spans="1:26" ht="17.25" customHeight="1">
      <c r="A10" s="66" t="s">
        <v>4883</v>
      </c>
      <c r="B10" s="67">
        <v>3.34</v>
      </c>
      <c r="C10" s="37" t="s">
        <v>4873</v>
      </c>
      <c r="D10" s="68" t="s">
        <v>4874</v>
      </c>
      <c r="E10" s="47" t="s">
        <v>4875</v>
      </c>
      <c r="F10" s="69" t="s">
        <v>4876</v>
      </c>
      <c r="G10" s="70"/>
      <c r="H10" s="70"/>
      <c r="I10" s="70"/>
      <c r="J10" s="55"/>
      <c r="K10" s="70"/>
      <c r="L10" s="20"/>
      <c r="M10" s="20"/>
      <c r="N10" s="20"/>
      <c r="O10" s="20"/>
      <c r="P10" s="20"/>
      <c r="Q10" s="20"/>
      <c r="R10" s="20"/>
      <c r="S10" s="20"/>
      <c r="T10" s="20"/>
      <c r="U10" s="20"/>
      <c r="V10" s="20"/>
      <c r="W10" s="20"/>
      <c r="X10" s="20"/>
      <c r="Y10" s="20"/>
      <c r="Z10" s="20"/>
    </row>
    <row r="11" spans="1:26" ht="17.25" customHeight="1">
      <c r="A11" s="66" t="s">
        <v>4884</v>
      </c>
      <c r="B11" s="67">
        <v>1.97</v>
      </c>
      <c r="C11" s="37" t="s">
        <v>4873</v>
      </c>
      <c r="D11" s="68" t="s">
        <v>4874</v>
      </c>
      <c r="E11" s="47" t="s">
        <v>4875</v>
      </c>
      <c r="F11" s="69" t="s">
        <v>4876</v>
      </c>
      <c r="G11" s="70"/>
      <c r="H11" s="70"/>
      <c r="I11" s="70"/>
      <c r="J11" s="55"/>
      <c r="K11" s="70"/>
      <c r="L11" s="20"/>
      <c r="M11" s="20"/>
      <c r="N11" s="20"/>
      <c r="O11" s="20"/>
      <c r="P11" s="20"/>
      <c r="Q11" s="20"/>
      <c r="R11" s="20"/>
      <c r="S11" s="20"/>
      <c r="T11" s="20"/>
      <c r="U11" s="20"/>
      <c r="V11" s="20"/>
      <c r="W11" s="20"/>
      <c r="X11" s="20"/>
      <c r="Y11" s="20"/>
      <c r="Z11" s="20"/>
    </row>
    <row r="12" spans="1:26" ht="17.25" customHeight="1">
      <c r="A12" s="66" t="s">
        <v>4885</v>
      </c>
      <c r="B12" s="67">
        <v>6.69</v>
      </c>
      <c r="C12" s="37" t="s">
        <v>4873</v>
      </c>
      <c r="D12" s="68" t="s">
        <v>4886</v>
      </c>
      <c r="E12" s="47" t="s">
        <v>4875</v>
      </c>
      <c r="F12" s="69" t="s">
        <v>4876</v>
      </c>
      <c r="G12" s="70"/>
      <c r="H12" s="70"/>
      <c r="I12" s="70"/>
      <c r="J12" s="55"/>
      <c r="K12" s="70"/>
      <c r="L12" s="20"/>
      <c r="M12" s="20"/>
      <c r="N12" s="20"/>
      <c r="O12" s="20"/>
      <c r="P12" s="20"/>
      <c r="Q12" s="20"/>
      <c r="R12" s="20"/>
      <c r="S12" s="20"/>
      <c r="T12" s="20"/>
      <c r="U12" s="20"/>
      <c r="V12" s="20"/>
      <c r="W12" s="20"/>
      <c r="X12" s="20"/>
      <c r="Y12" s="20"/>
      <c r="Z12" s="20"/>
    </row>
    <row r="13" spans="1:26" ht="17.25" customHeight="1">
      <c r="A13" s="66" t="s">
        <v>4887</v>
      </c>
      <c r="B13" s="67">
        <v>4.75</v>
      </c>
      <c r="C13" s="37" t="s">
        <v>4873</v>
      </c>
      <c r="D13" s="68" t="s">
        <v>4886</v>
      </c>
      <c r="E13" s="47" t="s">
        <v>4875</v>
      </c>
      <c r="F13" s="69" t="s">
        <v>4876</v>
      </c>
      <c r="G13" s="70"/>
      <c r="H13" s="70"/>
      <c r="I13" s="70"/>
      <c r="J13" s="55"/>
      <c r="K13" s="70"/>
      <c r="L13" s="20"/>
      <c r="M13" s="20"/>
      <c r="N13" s="20"/>
      <c r="O13" s="20"/>
      <c r="P13" s="20"/>
      <c r="Q13" s="20"/>
      <c r="R13" s="20"/>
      <c r="S13" s="20"/>
      <c r="T13" s="20"/>
      <c r="U13" s="20"/>
      <c r="V13" s="20"/>
      <c r="W13" s="20"/>
      <c r="X13" s="20"/>
      <c r="Y13" s="20"/>
      <c r="Z13" s="20"/>
    </row>
    <row r="14" spans="1:26" ht="17.25" customHeight="1">
      <c r="A14" s="66" t="s">
        <v>4888</v>
      </c>
      <c r="B14" s="67">
        <v>3.23</v>
      </c>
      <c r="C14" s="37" t="s">
        <v>4873</v>
      </c>
      <c r="D14" s="68" t="s">
        <v>4886</v>
      </c>
      <c r="E14" s="47" t="s">
        <v>4875</v>
      </c>
      <c r="F14" s="69" t="s">
        <v>4876</v>
      </c>
      <c r="G14" s="70"/>
      <c r="H14" s="70"/>
      <c r="I14" s="70"/>
      <c r="J14" s="55"/>
      <c r="K14" s="70"/>
      <c r="L14" s="20"/>
      <c r="M14" s="20"/>
      <c r="N14" s="20"/>
      <c r="O14" s="20"/>
      <c r="P14" s="20"/>
      <c r="Q14" s="20"/>
      <c r="R14" s="20"/>
      <c r="S14" s="20"/>
      <c r="T14" s="20"/>
      <c r="U14" s="20"/>
      <c r="V14" s="20"/>
      <c r="W14" s="20"/>
      <c r="X14" s="20"/>
      <c r="Y14" s="20"/>
      <c r="Z14" s="20"/>
    </row>
    <row r="15" spans="1:26" ht="17.25" customHeight="1">
      <c r="A15" s="66" t="s">
        <v>4889</v>
      </c>
      <c r="B15" s="67">
        <v>6.69</v>
      </c>
      <c r="C15" s="37" t="s">
        <v>4873</v>
      </c>
      <c r="D15" s="68" t="s">
        <v>4886</v>
      </c>
      <c r="E15" s="47" t="s">
        <v>4875</v>
      </c>
      <c r="F15" s="69" t="s">
        <v>4876</v>
      </c>
      <c r="G15" s="70"/>
      <c r="H15" s="70"/>
      <c r="I15" s="70"/>
      <c r="J15" s="55"/>
      <c r="K15" s="70"/>
      <c r="L15" s="20"/>
      <c r="M15" s="20"/>
      <c r="N15" s="20"/>
      <c r="O15" s="20"/>
      <c r="P15" s="20"/>
      <c r="Q15" s="20"/>
      <c r="R15" s="20"/>
      <c r="S15" s="20"/>
      <c r="T15" s="20"/>
      <c r="U15" s="20"/>
      <c r="V15" s="20"/>
      <c r="W15" s="20"/>
      <c r="X15" s="20"/>
      <c r="Y15" s="20"/>
      <c r="Z15" s="20"/>
    </row>
    <row r="16" spans="1:26" ht="17.25" customHeight="1">
      <c r="A16" s="66" t="s">
        <v>4890</v>
      </c>
      <c r="B16" s="67">
        <v>4.75</v>
      </c>
      <c r="C16" s="37" t="s">
        <v>4873</v>
      </c>
      <c r="D16" s="68" t="s">
        <v>4886</v>
      </c>
      <c r="E16" s="47" t="s">
        <v>4875</v>
      </c>
      <c r="F16" s="69" t="s">
        <v>4876</v>
      </c>
      <c r="G16" s="70"/>
      <c r="H16" s="70"/>
      <c r="I16" s="70"/>
      <c r="J16" s="55"/>
      <c r="K16" s="70"/>
      <c r="L16" s="20"/>
      <c r="M16" s="20"/>
      <c r="N16" s="20"/>
      <c r="O16" s="20"/>
      <c r="P16" s="20"/>
      <c r="Q16" s="20"/>
      <c r="R16" s="20"/>
      <c r="S16" s="20"/>
      <c r="T16" s="20"/>
      <c r="U16" s="20"/>
      <c r="V16" s="20"/>
      <c r="W16" s="20"/>
      <c r="X16" s="20"/>
      <c r="Y16" s="20"/>
      <c r="Z16" s="20"/>
    </row>
    <row r="17" spans="1:26" ht="17.25" customHeight="1">
      <c r="A17" s="66" t="s">
        <v>4891</v>
      </c>
      <c r="B17" s="67">
        <v>3.23</v>
      </c>
      <c r="C17" s="37" t="s">
        <v>4873</v>
      </c>
      <c r="D17" s="68" t="s">
        <v>4886</v>
      </c>
      <c r="E17" s="47" t="s">
        <v>4875</v>
      </c>
      <c r="F17" s="69" t="s">
        <v>4876</v>
      </c>
      <c r="G17" s="70"/>
      <c r="H17" s="70"/>
      <c r="I17" s="70"/>
      <c r="J17" s="55"/>
      <c r="K17" s="70"/>
      <c r="L17" s="20"/>
      <c r="M17" s="20"/>
      <c r="N17" s="20"/>
      <c r="O17" s="20"/>
      <c r="P17" s="20"/>
      <c r="Q17" s="20"/>
      <c r="R17" s="20"/>
      <c r="S17" s="20"/>
      <c r="T17" s="20"/>
      <c r="U17" s="20"/>
      <c r="V17" s="20"/>
      <c r="W17" s="20"/>
      <c r="X17" s="20"/>
      <c r="Y17" s="20"/>
      <c r="Z17" s="20"/>
    </row>
    <row r="18" spans="1:26" ht="17.25" customHeight="1">
      <c r="A18" s="66" t="s">
        <v>4892</v>
      </c>
      <c r="B18" s="67">
        <v>7.26</v>
      </c>
      <c r="C18" s="37" t="s">
        <v>4873</v>
      </c>
      <c r="D18" s="68" t="s">
        <v>4886</v>
      </c>
      <c r="E18" s="47" t="s">
        <v>4875</v>
      </c>
      <c r="F18" s="69" t="s">
        <v>4876</v>
      </c>
      <c r="G18" s="70"/>
      <c r="H18" s="70"/>
      <c r="I18" s="70"/>
      <c r="J18" s="55"/>
      <c r="K18" s="70"/>
      <c r="L18" s="20"/>
      <c r="M18" s="20"/>
      <c r="N18" s="20"/>
      <c r="O18" s="20"/>
      <c r="P18" s="20"/>
      <c r="Q18" s="20"/>
      <c r="R18" s="20"/>
      <c r="S18" s="20"/>
      <c r="T18" s="20"/>
      <c r="U18" s="20"/>
      <c r="V18" s="20"/>
      <c r="W18" s="20"/>
      <c r="X18" s="20"/>
      <c r="Y18" s="20"/>
      <c r="Z18" s="20"/>
    </row>
    <row r="19" spans="1:26" ht="17.25" customHeight="1">
      <c r="A19" s="66" t="s">
        <v>4893</v>
      </c>
      <c r="B19" s="67">
        <v>5.14</v>
      </c>
      <c r="C19" s="37" t="s">
        <v>4873</v>
      </c>
      <c r="D19" s="68" t="s">
        <v>4886</v>
      </c>
      <c r="E19" s="47" t="s">
        <v>4875</v>
      </c>
      <c r="F19" s="69" t="s">
        <v>4876</v>
      </c>
      <c r="G19" s="70"/>
      <c r="H19" s="70"/>
      <c r="I19" s="70"/>
      <c r="J19" s="55"/>
      <c r="K19" s="70"/>
      <c r="L19" s="20"/>
      <c r="M19" s="20"/>
      <c r="N19" s="20"/>
      <c r="O19" s="20"/>
      <c r="P19" s="20"/>
      <c r="Q19" s="20"/>
      <c r="R19" s="20"/>
      <c r="S19" s="20"/>
      <c r="T19" s="20"/>
      <c r="U19" s="20"/>
      <c r="V19" s="20"/>
      <c r="W19" s="20"/>
      <c r="X19" s="20"/>
      <c r="Y19" s="20"/>
      <c r="Z19" s="20"/>
    </row>
    <row r="20" spans="1:26" ht="17.25" customHeight="1">
      <c r="A20" s="66" t="s">
        <v>4894</v>
      </c>
      <c r="B20" s="67">
        <v>3.83</v>
      </c>
      <c r="C20" s="37" t="s">
        <v>4873</v>
      </c>
      <c r="D20" s="68" t="s">
        <v>4886</v>
      </c>
      <c r="E20" s="47" t="s">
        <v>4875</v>
      </c>
      <c r="F20" s="69" t="s">
        <v>4876</v>
      </c>
      <c r="G20" s="70"/>
      <c r="H20" s="70"/>
      <c r="I20" s="70"/>
      <c r="J20" s="55"/>
      <c r="K20" s="70"/>
      <c r="L20" s="20"/>
      <c r="M20" s="20"/>
      <c r="N20" s="20"/>
      <c r="O20" s="20"/>
      <c r="P20" s="20"/>
      <c r="Q20" s="20"/>
      <c r="R20" s="20"/>
      <c r="S20" s="20"/>
      <c r="T20" s="20"/>
      <c r="U20" s="20"/>
      <c r="V20" s="20"/>
      <c r="W20" s="20"/>
      <c r="X20" s="20"/>
      <c r="Y20" s="20"/>
      <c r="Z20" s="20"/>
    </row>
    <row r="21" spans="1:26" ht="17.25" customHeight="1">
      <c r="A21" s="66" t="s">
        <v>4895</v>
      </c>
      <c r="B21" s="67">
        <v>12.29</v>
      </c>
      <c r="C21" s="37" t="s">
        <v>4873</v>
      </c>
      <c r="D21" s="68" t="s">
        <v>4896</v>
      </c>
      <c r="E21" s="47" t="s">
        <v>4875</v>
      </c>
      <c r="F21" s="69" t="s">
        <v>4876</v>
      </c>
      <c r="G21" s="70"/>
      <c r="H21" s="70"/>
      <c r="I21" s="70"/>
      <c r="J21" s="55"/>
      <c r="K21" s="70"/>
      <c r="L21" s="20"/>
      <c r="M21" s="20"/>
      <c r="N21" s="20"/>
      <c r="O21" s="20"/>
      <c r="P21" s="20"/>
      <c r="Q21" s="20"/>
      <c r="R21" s="20"/>
      <c r="S21" s="20"/>
      <c r="T21" s="20"/>
      <c r="U21" s="20"/>
      <c r="V21" s="20"/>
      <c r="W21" s="20"/>
      <c r="X21" s="20"/>
      <c r="Y21" s="20"/>
      <c r="Z21" s="20"/>
    </row>
    <row r="22" spans="1:26" ht="17.25" customHeight="1">
      <c r="A22" s="66" t="s">
        <v>4897</v>
      </c>
      <c r="B22" s="67">
        <v>7.16</v>
      </c>
      <c r="C22" s="37" t="s">
        <v>4873</v>
      </c>
      <c r="D22" s="68" t="s">
        <v>4896</v>
      </c>
      <c r="E22" s="47" t="s">
        <v>4875</v>
      </c>
      <c r="F22" s="69" t="s">
        <v>4876</v>
      </c>
      <c r="G22" s="70"/>
      <c r="H22" s="70"/>
      <c r="I22" s="70"/>
      <c r="J22" s="70"/>
      <c r="K22" s="70"/>
      <c r="L22" s="20"/>
      <c r="M22" s="20"/>
      <c r="N22" s="20"/>
      <c r="O22" s="20"/>
      <c r="P22" s="20"/>
      <c r="Q22" s="20"/>
      <c r="R22" s="20"/>
      <c r="S22" s="20"/>
      <c r="T22" s="20"/>
      <c r="U22" s="20"/>
      <c r="V22" s="20"/>
      <c r="W22" s="20"/>
      <c r="X22" s="20"/>
      <c r="Y22" s="20"/>
      <c r="Z22" s="20"/>
    </row>
    <row r="23" spans="1:26" ht="17.25" customHeight="1">
      <c r="A23" s="66" t="s">
        <v>4898</v>
      </c>
      <c r="B23" s="67">
        <v>3.58</v>
      </c>
      <c r="C23" s="37" t="s">
        <v>4873</v>
      </c>
      <c r="D23" s="68" t="s">
        <v>4896</v>
      </c>
      <c r="E23" s="47" t="s">
        <v>4875</v>
      </c>
      <c r="F23" s="69" t="s">
        <v>4876</v>
      </c>
      <c r="G23" s="70"/>
      <c r="H23" s="70"/>
      <c r="I23" s="70"/>
      <c r="J23" s="70"/>
      <c r="K23" s="70"/>
      <c r="L23" s="20"/>
      <c r="M23" s="20"/>
      <c r="N23" s="20"/>
      <c r="O23" s="20"/>
      <c r="P23" s="20"/>
      <c r="Q23" s="20"/>
      <c r="R23" s="20"/>
      <c r="S23" s="20"/>
      <c r="T23" s="20"/>
      <c r="U23" s="20"/>
      <c r="V23" s="20"/>
      <c r="W23" s="20"/>
      <c r="X23" s="20"/>
      <c r="Y23" s="20"/>
      <c r="Z23" s="20"/>
    </row>
    <row r="24" spans="1:26" ht="17.25" customHeight="1">
      <c r="A24" s="66" t="s">
        <v>4899</v>
      </c>
      <c r="B24" s="67">
        <v>12.29</v>
      </c>
      <c r="C24" s="37" t="s">
        <v>4873</v>
      </c>
      <c r="D24" s="68" t="s">
        <v>4896</v>
      </c>
      <c r="E24" s="47" t="s">
        <v>4875</v>
      </c>
      <c r="F24" s="69" t="s">
        <v>4876</v>
      </c>
      <c r="G24" s="70"/>
      <c r="H24" s="70"/>
      <c r="I24" s="70"/>
      <c r="J24" s="70"/>
      <c r="K24" s="70"/>
      <c r="L24" s="20"/>
      <c r="M24" s="20"/>
      <c r="N24" s="20"/>
      <c r="O24" s="20"/>
      <c r="P24" s="20"/>
      <c r="Q24" s="20"/>
      <c r="R24" s="20"/>
      <c r="S24" s="20"/>
      <c r="T24" s="20"/>
      <c r="U24" s="20"/>
      <c r="V24" s="20"/>
      <c r="W24" s="20"/>
      <c r="X24" s="20"/>
      <c r="Y24" s="20"/>
      <c r="Z24" s="20"/>
    </row>
    <row r="25" spans="1:26" ht="17.25" customHeight="1">
      <c r="A25" s="66" t="s">
        <v>4900</v>
      </c>
      <c r="B25" s="67">
        <v>7.16</v>
      </c>
      <c r="C25" s="37" t="s">
        <v>4873</v>
      </c>
      <c r="D25" s="68" t="s">
        <v>4896</v>
      </c>
      <c r="E25" s="47" t="s">
        <v>4875</v>
      </c>
      <c r="F25" s="69" t="s">
        <v>4876</v>
      </c>
      <c r="G25" s="70"/>
      <c r="H25" s="70"/>
      <c r="I25" s="70"/>
      <c r="J25" s="70"/>
      <c r="K25" s="70"/>
      <c r="L25" s="20"/>
      <c r="M25" s="20"/>
      <c r="N25" s="20"/>
      <c r="O25" s="20"/>
      <c r="P25" s="20"/>
      <c r="Q25" s="20"/>
      <c r="R25" s="20"/>
      <c r="S25" s="20"/>
      <c r="T25" s="20"/>
      <c r="U25" s="20"/>
      <c r="V25" s="20"/>
      <c r="W25" s="20"/>
      <c r="X25" s="20"/>
      <c r="Y25" s="20"/>
      <c r="Z25" s="20"/>
    </row>
    <row r="26" spans="1:26" ht="17.25" customHeight="1">
      <c r="A26" s="66" t="s">
        <v>4901</v>
      </c>
      <c r="B26" s="67">
        <v>3.58</v>
      </c>
      <c r="C26" s="37" t="s">
        <v>4873</v>
      </c>
      <c r="D26" s="68" t="s">
        <v>4896</v>
      </c>
      <c r="E26" s="47" t="s">
        <v>4875</v>
      </c>
      <c r="F26" s="69" t="s">
        <v>4876</v>
      </c>
      <c r="G26" s="70"/>
      <c r="H26" s="70"/>
      <c r="I26" s="70"/>
      <c r="J26" s="70"/>
      <c r="K26" s="70"/>
      <c r="L26" s="20"/>
      <c r="M26" s="20"/>
      <c r="N26" s="20"/>
      <c r="O26" s="20"/>
      <c r="P26" s="20"/>
      <c r="Q26" s="20"/>
      <c r="R26" s="20"/>
      <c r="S26" s="20"/>
      <c r="T26" s="20"/>
      <c r="U26" s="20"/>
      <c r="V26" s="20"/>
      <c r="W26" s="20"/>
      <c r="X26" s="20"/>
      <c r="Y26" s="20"/>
      <c r="Z26" s="20"/>
    </row>
    <row r="27" spans="1:26" ht="17.25" customHeight="1">
      <c r="A27" s="66" t="s">
        <v>4902</v>
      </c>
      <c r="B27" s="67">
        <v>7.25</v>
      </c>
      <c r="C27" s="37" t="s">
        <v>4873</v>
      </c>
      <c r="D27" s="68" t="s">
        <v>4896</v>
      </c>
      <c r="E27" s="47" t="s">
        <v>4875</v>
      </c>
      <c r="F27" s="69" t="s">
        <v>4876</v>
      </c>
      <c r="G27" s="70"/>
      <c r="H27" s="70"/>
      <c r="I27" s="70"/>
      <c r="J27" s="70"/>
      <c r="K27" s="70"/>
      <c r="L27" s="20"/>
      <c r="M27" s="20"/>
      <c r="N27" s="20"/>
      <c r="O27" s="20"/>
      <c r="P27" s="20"/>
      <c r="Q27" s="20"/>
      <c r="R27" s="20"/>
      <c r="S27" s="20"/>
      <c r="T27" s="20"/>
      <c r="U27" s="20"/>
      <c r="V27" s="20"/>
      <c r="W27" s="20"/>
      <c r="X27" s="20"/>
      <c r="Y27" s="20"/>
      <c r="Z27" s="20"/>
    </row>
    <row r="28" spans="1:26" ht="17.25" customHeight="1">
      <c r="A28" s="66" t="s">
        <v>4903</v>
      </c>
      <c r="B28" s="67">
        <v>3.61</v>
      </c>
      <c r="C28" s="37" t="s">
        <v>4873</v>
      </c>
      <c r="D28" s="68" t="s">
        <v>4896</v>
      </c>
      <c r="E28" s="47" t="s">
        <v>4875</v>
      </c>
      <c r="F28" s="69" t="s">
        <v>4876</v>
      </c>
      <c r="G28" s="70"/>
      <c r="H28" s="70"/>
      <c r="I28" s="70"/>
      <c r="J28" s="70"/>
      <c r="K28" s="70"/>
      <c r="L28" s="20"/>
      <c r="M28" s="20"/>
      <c r="N28" s="20"/>
      <c r="O28" s="20"/>
      <c r="P28" s="20"/>
      <c r="Q28" s="20"/>
      <c r="R28" s="20"/>
      <c r="S28" s="20"/>
      <c r="T28" s="20"/>
      <c r="U28" s="20"/>
      <c r="V28" s="20"/>
      <c r="W28" s="20"/>
      <c r="X28" s="20"/>
      <c r="Y28" s="20"/>
      <c r="Z28" s="20"/>
    </row>
    <row r="29" spans="1:26" ht="17.25" customHeight="1">
      <c r="A29" s="66" t="s">
        <v>4904</v>
      </c>
      <c r="B29" s="67">
        <v>2.11</v>
      </c>
      <c r="C29" s="37" t="s">
        <v>4873</v>
      </c>
      <c r="D29" s="68" t="s">
        <v>4896</v>
      </c>
      <c r="E29" s="47" t="s">
        <v>4875</v>
      </c>
      <c r="F29" s="69" t="s">
        <v>4876</v>
      </c>
      <c r="G29" s="70"/>
      <c r="H29" s="70"/>
      <c r="I29" s="70"/>
      <c r="J29" s="70"/>
      <c r="K29" s="70"/>
      <c r="L29" s="20"/>
      <c r="M29" s="20"/>
      <c r="N29" s="20"/>
      <c r="O29" s="20"/>
      <c r="P29" s="20"/>
      <c r="Q29" s="20"/>
      <c r="R29" s="20"/>
      <c r="S29" s="20"/>
      <c r="T29" s="20"/>
      <c r="U29" s="20"/>
      <c r="V29" s="20"/>
      <c r="W29" s="20"/>
      <c r="X29" s="20"/>
      <c r="Y29" s="20"/>
      <c r="Z29" s="20"/>
    </row>
    <row r="30" spans="1:26" ht="17.25" customHeight="1">
      <c r="A30" s="66" t="s">
        <v>4905</v>
      </c>
      <c r="B30" s="67">
        <v>5.37</v>
      </c>
      <c r="C30" s="37" t="s">
        <v>4873</v>
      </c>
      <c r="D30" s="68" t="s">
        <v>4906</v>
      </c>
      <c r="E30" s="47" t="s">
        <v>4875</v>
      </c>
      <c r="F30" s="69" t="s">
        <v>4876</v>
      </c>
      <c r="G30" s="70"/>
      <c r="H30" s="70"/>
      <c r="I30" s="70"/>
      <c r="J30" s="70"/>
      <c r="K30" s="70"/>
      <c r="L30" s="20"/>
      <c r="M30" s="20"/>
      <c r="N30" s="20"/>
      <c r="O30" s="20"/>
      <c r="P30" s="20"/>
      <c r="Q30" s="20"/>
      <c r="R30" s="20"/>
      <c r="S30" s="20"/>
      <c r="T30" s="20"/>
      <c r="U30" s="20"/>
      <c r="V30" s="20"/>
      <c r="W30" s="20"/>
      <c r="X30" s="20"/>
      <c r="Y30" s="20"/>
      <c r="Z30" s="20"/>
    </row>
    <row r="31" spans="1:26" ht="17.25" customHeight="1">
      <c r="A31" s="66" t="s">
        <v>4907</v>
      </c>
      <c r="B31" s="67">
        <v>4.3099999999999996</v>
      </c>
      <c r="C31" s="37" t="s">
        <v>4873</v>
      </c>
      <c r="D31" s="68" t="s">
        <v>4906</v>
      </c>
      <c r="E31" s="47" t="s">
        <v>4875</v>
      </c>
      <c r="F31" s="69" t="s">
        <v>4876</v>
      </c>
      <c r="G31" s="70"/>
      <c r="H31" s="70"/>
      <c r="I31" s="70"/>
      <c r="J31" s="70"/>
      <c r="K31" s="70"/>
      <c r="L31" s="20"/>
      <c r="M31" s="20"/>
      <c r="N31" s="20"/>
      <c r="O31" s="20"/>
      <c r="P31" s="20"/>
      <c r="Q31" s="20"/>
      <c r="R31" s="20"/>
      <c r="S31" s="20"/>
      <c r="T31" s="20"/>
      <c r="U31" s="20"/>
      <c r="V31" s="20"/>
      <c r="W31" s="20"/>
      <c r="X31" s="20"/>
      <c r="Y31" s="20"/>
      <c r="Z31" s="20"/>
    </row>
    <row r="32" spans="1:26" ht="17.25" customHeight="1">
      <c r="A32" s="66" t="s">
        <v>4908</v>
      </c>
      <c r="B32" s="67">
        <v>2.57</v>
      </c>
      <c r="C32" s="37" t="s">
        <v>4873</v>
      </c>
      <c r="D32" s="68" t="s">
        <v>4906</v>
      </c>
      <c r="E32" s="47" t="s">
        <v>4875</v>
      </c>
      <c r="F32" s="69" t="s">
        <v>4876</v>
      </c>
      <c r="G32" s="70"/>
      <c r="H32" s="70"/>
      <c r="I32" s="70"/>
      <c r="J32" s="70"/>
      <c r="K32" s="70"/>
      <c r="L32" s="20"/>
      <c r="M32" s="20"/>
      <c r="N32" s="20"/>
      <c r="O32" s="20"/>
      <c r="P32" s="20"/>
      <c r="Q32" s="20"/>
      <c r="R32" s="20"/>
      <c r="S32" s="20"/>
      <c r="T32" s="20"/>
      <c r="U32" s="20"/>
      <c r="V32" s="20"/>
      <c r="W32" s="20"/>
      <c r="X32" s="20"/>
      <c r="Y32" s="20"/>
      <c r="Z32" s="20"/>
    </row>
    <row r="33" spans="1:26" ht="17.25" customHeight="1">
      <c r="A33" s="66" t="s">
        <v>4909</v>
      </c>
      <c r="B33" s="67">
        <v>6.57</v>
      </c>
      <c r="C33" s="37" t="s">
        <v>4873</v>
      </c>
      <c r="D33" s="68" t="s">
        <v>4910</v>
      </c>
      <c r="E33" s="47" t="s">
        <v>4875</v>
      </c>
      <c r="F33" s="69" t="s">
        <v>4876</v>
      </c>
      <c r="G33" s="70"/>
      <c r="H33" s="70"/>
      <c r="I33" s="70"/>
      <c r="J33" s="70"/>
      <c r="K33" s="70"/>
      <c r="L33" s="20"/>
      <c r="M33" s="20"/>
      <c r="N33" s="20"/>
      <c r="O33" s="20"/>
      <c r="P33" s="20"/>
      <c r="Q33" s="20"/>
      <c r="R33" s="20"/>
      <c r="S33" s="20"/>
      <c r="T33" s="20"/>
      <c r="U33" s="20"/>
      <c r="V33" s="20"/>
      <c r="W33" s="20"/>
      <c r="X33" s="20"/>
      <c r="Y33" s="20"/>
      <c r="Z33" s="20"/>
    </row>
    <row r="34" spans="1:26" ht="17.25" customHeight="1">
      <c r="A34" s="66" t="s">
        <v>4911</v>
      </c>
      <c r="B34" s="67">
        <v>4.12</v>
      </c>
      <c r="C34" s="37" t="s">
        <v>4873</v>
      </c>
      <c r="D34" s="68" t="s">
        <v>4910</v>
      </c>
      <c r="E34" s="47" t="s">
        <v>4875</v>
      </c>
      <c r="F34" s="69" t="s">
        <v>4876</v>
      </c>
      <c r="G34" s="70"/>
      <c r="H34" s="70"/>
      <c r="I34" s="70"/>
      <c r="J34" s="70"/>
      <c r="K34" s="70"/>
      <c r="L34" s="20"/>
      <c r="M34" s="20"/>
      <c r="N34" s="20"/>
      <c r="O34" s="20"/>
      <c r="P34" s="20"/>
      <c r="Q34" s="20"/>
      <c r="R34" s="20"/>
      <c r="S34" s="20"/>
      <c r="T34" s="20"/>
      <c r="U34" s="20"/>
      <c r="V34" s="20"/>
      <c r="W34" s="20"/>
      <c r="X34" s="20"/>
      <c r="Y34" s="20"/>
      <c r="Z34" s="20"/>
    </row>
    <row r="35" spans="1:26" ht="17.25" customHeight="1">
      <c r="A35" s="66" t="s">
        <v>4912</v>
      </c>
      <c r="B35" s="67">
        <v>2.4900000000000002</v>
      </c>
      <c r="C35" s="37" t="s">
        <v>4873</v>
      </c>
      <c r="D35" s="68" t="s">
        <v>4910</v>
      </c>
      <c r="E35" s="47" t="s">
        <v>4875</v>
      </c>
      <c r="F35" s="69" t="s">
        <v>4876</v>
      </c>
      <c r="G35" s="70"/>
      <c r="H35" s="70"/>
      <c r="I35" s="70"/>
      <c r="J35" s="70"/>
      <c r="K35" s="70"/>
      <c r="L35" s="20"/>
      <c r="M35" s="20"/>
      <c r="N35" s="20"/>
      <c r="O35" s="20"/>
      <c r="P35" s="20"/>
      <c r="Q35" s="20"/>
      <c r="R35" s="20"/>
      <c r="S35" s="20"/>
      <c r="T35" s="20"/>
      <c r="U35" s="20"/>
      <c r="V35" s="20"/>
      <c r="W35" s="20"/>
      <c r="X35" s="20"/>
      <c r="Y35" s="20"/>
      <c r="Z35" s="20"/>
    </row>
    <row r="36" spans="1:26" ht="17.25" customHeight="1">
      <c r="A36" s="66" t="s">
        <v>4913</v>
      </c>
      <c r="B36" s="67">
        <v>5.26</v>
      </c>
      <c r="C36" s="37" t="s">
        <v>4873</v>
      </c>
      <c r="D36" s="68" t="s">
        <v>4910</v>
      </c>
      <c r="E36" s="47" t="s">
        <v>4875</v>
      </c>
      <c r="F36" s="69" t="s">
        <v>4876</v>
      </c>
      <c r="G36" s="70"/>
      <c r="H36" s="70"/>
      <c r="I36" s="70"/>
      <c r="J36" s="70"/>
      <c r="K36" s="70"/>
      <c r="L36" s="20"/>
      <c r="M36" s="20"/>
      <c r="N36" s="20"/>
      <c r="O36" s="20"/>
      <c r="P36" s="20"/>
      <c r="Q36" s="20"/>
      <c r="R36" s="20"/>
      <c r="S36" s="20"/>
      <c r="T36" s="20"/>
      <c r="U36" s="20"/>
      <c r="V36" s="20"/>
      <c r="W36" s="20"/>
      <c r="X36" s="20"/>
      <c r="Y36" s="20"/>
      <c r="Z36" s="20"/>
    </row>
    <row r="37" spans="1:26" ht="17.25" customHeight="1">
      <c r="A37" s="66" t="s">
        <v>4914</v>
      </c>
      <c r="B37" s="67">
        <v>3.3</v>
      </c>
      <c r="C37" s="37" t="s">
        <v>4873</v>
      </c>
      <c r="D37" s="68" t="s">
        <v>4910</v>
      </c>
      <c r="E37" s="47" t="s">
        <v>4875</v>
      </c>
      <c r="F37" s="69" t="s">
        <v>4876</v>
      </c>
      <c r="G37" s="70"/>
      <c r="H37" s="70"/>
      <c r="I37" s="70"/>
      <c r="J37" s="70"/>
      <c r="K37" s="70"/>
      <c r="L37" s="20"/>
      <c r="M37" s="20"/>
      <c r="N37" s="20"/>
      <c r="O37" s="20"/>
      <c r="P37" s="20"/>
      <c r="Q37" s="20"/>
      <c r="R37" s="20"/>
      <c r="S37" s="20"/>
      <c r="T37" s="20"/>
      <c r="U37" s="20"/>
      <c r="V37" s="20"/>
      <c r="W37" s="20"/>
      <c r="X37" s="20"/>
      <c r="Y37" s="20"/>
      <c r="Z37" s="20"/>
    </row>
    <row r="38" spans="1:26" ht="17.25" customHeight="1">
      <c r="A38" s="66" t="s">
        <v>4915</v>
      </c>
      <c r="B38" s="67">
        <v>1.99</v>
      </c>
      <c r="C38" s="37" t="s">
        <v>4873</v>
      </c>
      <c r="D38" s="68" t="s">
        <v>4910</v>
      </c>
      <c r="E38" s="47" t="s">
        <v>4875</v>
      </c>
      <c r="F38" s="69" t="s">
        <v>4876</v>
      </c>
      <c r="G38" s="70"/>
      <c r="H38" s="70"/>
      <c r="I38" s="70"/>
      <c r="J38" s="70"/>
      <c r="K38" s="70"/>
      <c r="L38" s="20"/>
      <c r="M38" s="20"/>
      <c r="N38" s="20"/>
      <c r="O38" s="20"/>
      <c r="P38" s="20"/>
      <c r="Q38" s="20"/>
      <c r="R38" s="20"/>
      <c r="S38" s="20"/>
      <c r="T38" s="20"/>
      <c r="U38" s="20"/>
      <c r="V38" s="20"/>
      <c r="W38" s="20"/>
      <c r="X38" s="20"/>
      <c r="Y38" s="20"/>
      <c r="Z38" s="20"/>
    </row>
    <row r="39" spans="1:26" ht="17.25" customHeight="1">
      <c r="A39" s="66" t="s">
        <v>4916</v>
      </c>
      <c r="B39" s="67">
        <v>5.31</v>
      </c>
      <c r="C39" s="37" t="s">
        <v>4873</v>
      </c>
      <c r="D39" s="68" t="s">
        <v>4906</v>
      </c>
      <c r="E39" s="47" t="s">
        <v>4875</v>
      </c>
      <c r="F39" s="69" t="s">
        <v>4876</v>
      </c>
      <c r="G39" s="70"/>
      <c r="H39" s="70"/>
      <c r="I39" s="70"/>
      <c r="J39" s="70"/>
      <c r="K39" s="70"/>
      <c r="L39" s="20"/>
      <c r="M39" s="20"/>
      <c r="N39" s="20"/>
      <c r="O39" s="20"/>
      <c r="P39" s="20"/>
      <c r="Q39" s="20"/>
      <c r="R39" s="20"/>
      <c r="S39" s="20"/>
      <c r="T39" s="20"/>
      <c r="U39" s="20"/>
      <c r="V39" s="20"/>
      <c r="W39" s="20"/>
      <c r="X39" s="20"/>
      <c r="Y39" s="20"/>
      <c r="Z39" s="20"/>
    </row>
    <row r="40" spans="1:26" ht="17.25" customHeight="1">
      <c r="A40" s="66" t="s">
        <v>4917</v>
      </c>
      <c r="B40" s="67">
        <v>3.71</v>
      </c>
      <c r="C40" s="37" t="s">
        <v>4873</v>
      </c>
      <c r="D40" s="68" t="s">
        <v>4906</v>
      </c>
      <c r="E40" s="47" t="s">
        <v>4875</v>
      </c>
      <c r="F40" s="69" t="s">
        <v>4876</v>
      </c>
      <c r="G40" s="70"/>
      <c r="H40" s="70"/>
      <c r="I40" s="70"/>
      <c r="J40" s="70"/>
      <c r="K40" s="70"/>
      <c r="L40" s="20"/>
      <c r="M40" s="20"/>
      <c r="N40" s="20"/>
      <c r="O40" s="20"/>
      <c r="P40" s="20"/>
      <c r="Q40" s="20"/>
      <c r="R40" s="20"/>
      <c r="S40" s="20"/>
      <c r="T40" s="20"/>
      <c r="U40" s="20"/>
      <c r="V40" s="20"/>
      <c r="W40" s="20"/>
      <c r="X40" s="20"/>
      <c r="Y40" s="20"/>
      <c r="Z40" s="20"/>
    </row>
    <row r="41" spans="1:26" ht="17.25" customHeight="1">
      <c r="A41" s="66" t="s">
        <v>4918</v>
      </c>
      <c r="B41" s="67">
        <v>2.1800000000000002</v>
      </c>
      <c r="C41" s="37" t="s">
        <v>4873</v>
      </c>
      <c r="D41" s="68" t="s">
        <v>4906</v>
      </c>
      <c r="E41" s="47" t="s">
        <v>4875</v>
      </c>
      <c r="F41" s="69" t="s">
        <v>4876</v>
      </c>
      <c r="G41" s="70"/>
      <c r="H41" s="70"/>
      <c r="I41" s="70"/>
      <c r="J41" s="70"/>
      <c r="K41" s="70"/>
      <c r="L41" s="20"/>
      <c r="M41" s="20"/>
      <c r="N41" s="20"/>
      <c r="O41" s="20"/>
      <c r="P41" s="20"/>
      <c r="Q41" s="20"/>
      <c r="R41" s="20"/>
      <c r="S41" s="20"/>
      <c r="T41" s="20"/>
      <c r="U41" s="20"/>
      <c r="V41" s="20"/>
      <c r="W41" s="20"/>
      <c r="X41" s="20"/>
      <c r="Y41" s="20"/>
      <c r="Z41" s="20"/>
    </row>
    <row r="42" spans="1:26" ht="17.25" customHeight="1">
      <c r="A42" s="66" t="s">
        <v>4919</v>
      </c>
      <c r="B42" s="67">
        <v>3.32</v>
      </c>
      <c r="C42" s="37" t="s">
        <v>4873</v>
      </c>
      <c r="D42" s="68" t="s">
        <v>4906</v>
      </c>
      <c r="E42" s="47" t="s">
        <v>4875</v>
      </c>
      <c r="F42" s="69" t="s">
        <v>4876</v>
      </c>
      <c r="G42" s="70"/>
      <c r="H42" s="70"/>
      <c r="I42" s="70"/>
      <c r="J42" s="70"/>
      <c r="K42" s="70"/>
      <c r="L42" s="20"/>
      <c r="M42" s="20"/>
      <c r="N42" s="20"/>
      <c r="O42" s="20"/>
      <c r="P42" s="20"/>
      <c r="Q42" s="20"/>
      <c r="R42" s="20"/>
      <c r="S42" s="20"/>
      <c r="T42" s="20"/>
      <c r="U42" s="20"/>
      <c r="V42" s="20"/>
      <c r="W42" s="20"/>
      <c r="X42" s="20"/>
      <c r="Y42" s="20"/>
      <c r="Z42" s="20"/>
    </row>
    <row r="43" spans="1:26" ht="17.25" customHeight="1">
      <c r="A43" s="66" t="s">
        <v>4920</v>
      </c>
      <c r="B43" s="67">
        <v>2.88</v>
      </c>
      <c r="C43" s="37" t="s">
        <v>4873</v>
      </c>
      <c r="D43" s="68" t="s">
        <v>4906</v>
      </c>
      <c r="E43" s="47" t="s">
        <v>4875</v>
      </c>
      <c r="F43" s="69" t="s">
        <v>4876</v>
      </c>
      <c r="G43" s="70"/>
      <c r="H43" s="70"/>
      <c r="I43" s="70"/>
      <c r="J43" s="70"/>
      <c r="K43" s="70"/>
      <c r="L43" s="20"/>
      <c r="M43" s="20"/>
      <c r="N43" s="20"/>
      <c r="O43" s="20"/>
      <c r="P43" s="20"/>
      <c r="Q43" s="20"/>
      <c r="R43" s="20"/>
      <c r="S43" s="20"/>
      <c r="T43" s="20"/>
      <c r="U43" s="20"/>
      <c r="V43" s="20"/>
      <c r="W43" s="20"/>
      <c r="X43" s="20"/>
      <c r="Y43" s="20"/>
      <c r="Z43" s="20"/>
    </row>
    <row r="44" spans="1:26" ht="17.25" customHeight="1">
      <c r="A44" s="66" t="s">
        <v>4921</v>
      </c>
      <c r="B44" s="67">
        <v>1.79</v>
      </c>
      <c r="C44" s="37" t="s">
        <v>4873</v>
      </c>
      <c r="D44" s="68" t="s">
        <v>4906</v>
      </c>
      <c r="E44" s="47" t="s">
        <v>4875</v>
      </c>
      <c r="F44" s="69" t="s">
        <v>4876</v>
      </c>
      <c r="G44" s="70"/>
      <c r="H44" s="70"/>
      <c r="I44" s="70"/>
      <c r="J44" s="70"/>
      <c r="K44" s="70"/>
      <c r="L44" s="20"/>
      <c r="M44" s="20"/>
      <c r="N44" s="20"/>
      <c r="O44" s="20"/>
      <c r="P44" s="20"/>
      <c r="Q44" s="20"/>
      <c r="R44" s="20"/>
      <c r="S44" s="20"/>
      <c r="T44" s="20"/>
      <c r="U44" s="20"/>
      <c r="V44" s="20"/>
      <c r="W44" s="20"/>
      <c r="X44" s="20"/>
      <c r="Y44" s="20"/>
      <c r="Z44" s="20"/>
    </row>
    <row r="45" spans="1:26" ht="17.25" customHeight="1">
      <c r="A45" s="66" t="s">
        <v>4922</v>
      </c>
      <c r="B45" s="67">
        <v>3.62</v>
      </c>
      <c r="C45" s="37" t="s">
        <v>4873</v>
      </c>
      <c r="D45" s="68" t="s">
        <v>4923</v>
      </c>
      <c r="E45" s="47" t="s">
        <v>4875</v>
      </c>
      <c r="F45" s="69" t="s">
        <v>4876</v>
      </c>
      <c r="G45" s="70"/>
      <c r="H45" s="70"/>
      <c r="I45" s="70"/>
      <c r="J45" s="70"/>
      <c r="K45" s="70"/>
      <c r="L45" s="20"/>
      <c r="M45" s="20"/>
      <c r="N45" s="20"/>
      <c r="O45" s="20"/>
      <c r="P45" s="20"/>
      <c r="Q45" s="20"/>
      <c r="R45" s="20"/>
      <c r="S45" s="20"/>
      <c r="T45" s="20"/>
      <c r="U45" s="20"/>
      <c r="V45" s="20"/>
      <c r="W45" s="20"/>
      <c r="X45" s="20"/>
      <c r="Y45" s="20"/>
      <c r="Z45" s="20"/>
    </row>
    <row r="46" spans="1:26" ht="17.25" customHeight="1">
      <c r="A46" s="66" t="s">
        <v>4924</v>
      </c>
      <c r="B46" s="67">
        <v>1.8</v>
      </c>
      <c r="C46" s="37" t="s">
        <v>4873</v>
      </c>
      <c r="D46" s="68" t="s">
        <v>4923</v>
      </c>
      <c r="E46" s="47" t="s">
        <v>4875</v>
      </c>
      <c r="F46" s="69" t="s">
        <v>4876</v>
      </c>
      <c r="G46" s="70"/>
      <c r="H46" s="70"/>
      <c r="I46" s="70"/>
      <c r="J46" s="70"/>
      <c r="K46" s="70"/>
      <c r="L46" s="20"/>
      <c r="M46" s="20"/>
      <c r="N46" s="20"/>
      <c r="O46" s="20"/>
      <c r="P46" s="20"/>
      <c r="Q46" s="20"/>
      <c r="R46" s="20"/>
      <c r="S46" s="20"/>
      <c r="T46" s="20"/>
      <c r="U46" s="20"/>
      <c r="V46" s="20"/>
      <c r="W46" s="20"/>
      <c r="X46" s="20"/>
      <c r="Y46" s="20"/>
      <c r="Z46" s="20"/>
    </row>
    <row r="47" spans="1:26" ht="17.25" customHeight="1">
      <c r="A47" s="66" t="s">
        <v>4925</v>
      </c>
      <c r="B47" s="67">
        <v>1.05</v>
      </c>
      <c r="C47" s="37" t="s">
        <v>4873</v>
      </c>
      <c r="D47" s="68" t="s">
        <v>4923</v>
      </c>
      <c r="E47" s="47" t="s">
        <v>4875</v>
      </c>
      <c r="F47" s="69" t="s">
        <v>4876</v>
      </c>
      <c r="G47" s="70"/>
      <c r="H47" s="70"/>
      <c r="I47" s="70"/>
      <c r="J47" s="70"/>
      <c r="K47" s="70"/>
      <c r="L47" s="20"/>
      <c r="M47" s="20"/>
      <c r="N47" s="20"/>
      <c r="O47" s="20"/>
      <c r="P47" s="20"/>
      <c r="Q47" s="20"/>
      <c r="R47" s="20"/>
      <c r="S47" s="20"/>
      <c r="T47" s="20"/>
      <c r="U47" s="20"/>
      <c r="V47" s="20"/>
      <c r="W47" s="20"/>
      <c r="X47" s="20"/>
      <c r="Y47" s="20"/>
      <c r="Z47" s="20"/>
    </row>
    <row r="48" spans="1:26" ht="17.25" customHeight="1">
      <c r="A48" s="66" t="s">
        <v>4926</v>
      </c>
      <c r="B48" s="67">
        <v>2.17</v>
      </c>
      <c r="C48" s="37" t="s">
        <v>4873</v>
      </c>
      <c r="D48" s="68" t="s">
        <v>4923</v>
      </c>
      <c r="E48" s="47" t="s">
        <v>4875</v>
      </c>
      <c r="F48" s="69" t="s">
        <v>4876</v>
      </c>
      <c r="G48" s="70"/>
      <c r="H48" s="70"/>
      <c r="I48" s="70"/>
      <c r="J48" s="70"/>
      <c r="K48" s="70"/>
      <c r="L48" s="20"/>
      <c r="M48" s="20"/>
      <c r="N48" s="20"/>
      <c r="O48" s="20"/>
      <c r="P48" s="20"/>
      <c r="Q48" s="20"/>
      <c r="R48" s="20"/>
      <c r="S48" s="20"/>
      <c r="T48" s="20"/>
      <c r="U48" s="20"/>
      <c r="V48" s="20"/>
      <c r="W48" s="20"/>
      <c r="X48" s="20"/>
      <c r="Y48" s="20"/>
      <c r="Z48" s="20"/>
    </row>
    <row r="49" spans="1:26" ht="17.25" customHeight="1">
      <c r="A49" s="66" t="s">
        <v>4927</v>
      </c>
      <c r="B49" s="67">
        <v>1.08</v>
      </c>
      <c r="C49" s="37" t="s">
        <v>4873</v>
      </c>
      <c r="D49" s="68" t="s">
        <v>4923</v>
      </c>
      <c r="E49" s="47" t="s">
        <v>4875</v>
      </c>
      <c r="F49" s="69" t="s">
        <v>4876</v>
      </c>
      <c r="G49" s="70"/>
      <c r="H49" s="70"/>
      <c r="I49" s="70"/>
      <c r="J49" s="70"/>
      <c r="K49" s="70"/>
      <c r="L49" s="20"/>
      <c r="M49" s="20"/>
      <c r="N49" s="20"/>
      <c r="O49" s="20"/>
      <c r="P49" s="20"/>
      <c r="Q49" s="20"/>
      <c r="R49" s="20"/>
      <c r="S49" s="20"/>
      <c r="T49" s="20"/>
      <c r="U49" s="20"/>
      <c r="V49" s="20"/>
      <c r="W49" s="20"/>
      <c r="X49" s="20"/>
      <c r="Y49" s="20"/>
      <c r="Z49" s="20"/>
    </row>
    <row r="50" spans="1:26" ht="17.25" customHeight="1">
      <c r="A50" s="66" t="s">
        <v>4928</v>
      </c>
      <c r="B50" s="67">
        <v>0.63</v>
      </c>
      <c r="C50" s="37" t="s">
        <v>4873</v>
      </c>
      <c r="D50" s="68" t="s">
        <v>4923</v>
      </c>
      <c r="E50" s="47" t="s">
        <v>4875</v>
      </c>
      <c r="F50" s="69" t="s">
        <v>4876</v>
      </c>
      <c r="G50" s="70"/>
      <c r="H50" s="70"/>
      <c r="I50" s="70"/>
      <c r="J50" s="70"/>
      <c r="K50" s="70"/>
      <c r="L50" s="20"/>
      <c r="M50" s="20"/>
      <c r="N50" s="20"/>
      <c r="O50" s="20"/>
      <c r="P50" s="20"/>
      <c r="Q50" s="20"/>
      <c r="R50" s="20"/>
      <c r="S50" s="20"/>
      <c r="T50" s="20"/>
      <c r="U50" s="20"/>
      <c r="V50" s="20"/>
      <c r="W50" s="20"/>
      <c r="X50" s="20"/>
      <c r="Y50" s="20"/>
      <c r="Z50" s="20"/>
    </row>
    <row r="51" spans="1:26" ht="17.25" customHeight="1">
      <c r="A51" s="66" t="s">
        <v>4929</v>
      </c>
      <c r="B51" s="67">
        <v>5.96</v>
      </c>
      <c r="C51" s="37" t="s">
        <v>4873</v>
      </c>
      <c r="D51" s="68" t="s">
        <v>4930</v>
      </c>
      <c r="E51" s="47" t="s">
        <v>4875</v>
      </c>
      <c r="F51" s="69" t="s">
        <v>4876</v>
      </c>
      <c r="G51" s="70"/>
      <c r="H51" s="70"/>
      <c r="I51" s="70"/>
      <c r="J51" s="70"/>
      <c r="K51" s="70"/>
      <c r="L51" s="20"/>
      <c r="M51" s="20"/>
      <c r="N51" s="20"/>
      <c r="O51" s="20"/>
      <c r="P51" s="20"/>
      <c r="Q51" s="20"/>
      <c r="R51" s="20"/>
      <c r="S51" s="20"/>
      <c r="T51" s="20"/>
      <c r="U51" s="20"/>
      <c r="V51" s="20"/>
      <c r="W51" s="20"/>
      <c r="X51" s="20"/>
      <c r="Y51" s="20"/>
      <c r="Z51" s="20"/>
    </row>
    <row r="52" spans="1:26" ht="17.25" customHeight="1">
      <c r="A52" s="66" t="s">
        <v>4931</v>
      </c>
      <c r="B52" s="67">
        <v>4.03</v>
      </c>
      <c r="C52" s="37" t="s">
        <v>4873</v>
      </c>
      <c r="D52" s="68" t="s">
        <v>4930</v>
      </c>
      <c r="E52" s="47" t="s">
        <v>4875</v>
      </c>
      <c r="F52" s="69" t="s">
        <v>4876</v>
      </c>
      <c r="G52" s="70"/>
      <c r="H52" s="70"/>
      <c r="I52" s="70"/>
      <c r="J52" s="70"/>
      <c r="K52" s="70"/>
      <c r="L52" s="20"/>
      <c r="M52" s="20"/>
      <c r="N52" s="20"/>
      <c r="O52" s="20"/>
      <c r="P52" s="20"/>
      <c r="Q52" s="20"/>
      <c r="R52" s="20"/>
      <c r="S52" s="20"/>
      <c r="T52" s="20"/>
      <c r="U52" s="20"/>
      <c r="V52" s="20"/>
      <c r="W52" s="20"/>
      <c r="X52" s="20"/>
      <c r="Y52" s="20"/>
      <c r="Z52" s="20"/>
    </row>
    <row r="53" spans="1:26" ht="17.25" customHeight="1">
      <c r="A53" s="66" t="s">
        <v>4932</v>
      </c>
      <c r="B53" s="67">
        <v>2.41</v>
      </c>
      <c r="C53" s="37" t="s">
        <v>4873</v>
      </c>
      <c r="D53" s="68" t="s">
        <v>4930</v>
      </c>
      <c r="E53" s="47" t="s">
        <v>4875</v>
      </c>
      <c r="F53" s="69" t="s">
        <v>4876</v>
      </c>
      <c r="G53" s="70"/>
      <c r="H53" s="70"/>
      <c r="I53" s="70"/>
      <c r="J53" s="70"/>
      <c r="K53" s="70"/>
      <c r="L53" s="20"/>
      <c r="M53" s="20"/>
      <c r="N53" s="20"/>
      <c r="O53" s="20"/>
      <c r="P53" s="20"/>
      <c r="Q53" s="20"/>
      <c r="R53" s="20"/>
      <c r="S53" s="20"/>
      <c r="T53" s="20"/>
      <c r="U53" s="20"/>
      <c r="V53" s="20"/>
      <c r="W53" s="20"/>
      <c r="X53" s="20"/>
      <c r="Y53" s="20"/>
      <c r="Z53" s="20"/>
    </row>
    <row r="54" spans="1:26" ht="17.25" customHeight="1">
      <c r="A54" s="66" t="s">
        <v>4933</v>
      </c>
      <c r="B54" s="67">
        <v>2.9</v>
      </c>
      <c r="C54" s="37" t="s">
        <v>4873</v>
      </c>
      <c r="D54" s="68" t="s">
        <v>4934</v>
      </c>
      <c r="E54" s="47" t="s">
        <v>4875</v>
      </c>
      <c r="F54" s="69" t="s">
        <v>4876</v>
      </c>
      <c r="G54" s="70"/>
      <c r="H54" s="70"/>
      <c r="I54" s="70"/>
      <c r="J54" s="70"/>
      <c r="K54" s="70"/>
      <c r="L54" s="20"/>
      <c r="M54" s="20"/>
      <c r="N54" s="20"/>
      <c r="O54" s="20"/>
      <c r="P54" s="20"/>
      <c r="Q54" s="20"/>
      <c r="R54" s="20"/>
      <c r="S54" s="20"/>
      <c r="T54" s="20"/>
      <c r="U54" s="20"/>
      <c r="V54" s="20"/>
      <c r="W54" s="20"/>
      <c r="X54" s="20"/>
      <c r="Y54" s="20"/>
      <c r="Z54" s="20"/>
    </row>
    <row r="55" spans="1:26" ht="17.25" customHeight="1">
      <c r="A55" s="66" t="s">
        <v>4935</v>
      </c>
      <c r="B55" s="67">
        <v>2.06</v>
      </c>
      <c r="C55" s="37" t="s">
        <v>4873</v>
      </c>
      <c r="D55" s="68" t="s">
        <v>4934</v>
      </c>
      <c r="E55" s="47" t="s">
        <v>4875</v>
      </c>
      <c r="F55" s="69" t="s">
        <v>4876</v>
      </c>
      <c r="G55" s="70"/>
      <c r="H55" s="70"/>
      <c r="I55" s="70"/>
      <c r="J55" s="70"/>
      <c r="K55" s="70"/>
      <c r="L55" s="20"/>
      <c r="M55" s="20"/>
      <c r="N55" s="20"/>
      <c r="O55" s="20"/>
      <c r="P55" s="20"/>
      <c r="Q55" s="20"/>
      <c r="R55" s="20"/>
      <c r="S55" s="20"/>
      <c r="T55" s="20"/>
      <c r="U55" s="20"/>
      <c r="V55" s="20"/>
      <c r="W55" s="20"/>
      <c r="X55" s="20"/>
      <c r="Y55" s="20"/>
      <c r="Z55" s="20"/>
    </row>
    <row r="56" spans="1:26" ht="17.25" customHeight="1">
      <c r="A56" s="66" t="s">
        <v>4936</v>
      </c>
      <c r="B56" s="67">
        <v>1.53</v>
      </c>
      <c r="C56" s="37" t="s">
        <v>4873</v>
      </c>
      <c r="D56" s="68" t="s">
        <v>4934</v>
      </c>
      <c r="E56" s="47" t="s">
        <v>4875</v>
      </c>
      <c r="F56" s="69" t="s">
        <v>4876</v>
      </c>
      <c r="G56" s="70"/>
      <c r="H56" s="70"/>
      <c r="I56" s="70"/>
      <c r="J56" s="70"/>
      <c r="K56" s="70"/>
      <c r="L56" s="20"/>
      <c r="M56" s="20"/>
      <c r="N56" s="20"/>
      <c r="O56" s="20"/>
      <c r="P56" s="20"/>
      <c r="Q56" s="20"/>
      <c r="R56" s="20"/>
      <c r="S56" s="20"/>
      <c r="T56" s="20"/>
      <c r="U56" s="20"/>
      <c r="V56" s="20"/>
      <c r="W56" s="20"/>
      <c r="X56" s="20"/>
      <c r="Y56" s="20"/>
      <c r="Z56" s="20"/>
    </row>
    <row r="57" spans="1:26" ht="17.25" customHeight="1">
      <c r="A57" s="66" t="s">
        <v>4937</v>
      </c>
      <c r="B57" s="67">
        <v>6.69</v>
      </c>
      <c r="C57" s="37" t="s">
        <v>4873</v>
      </c>
      <c r="D57" s="68" t="s">
        <v>4923</v>
      </c>
      <c r="E57" s="47" t="s">
        <v>4875</v>
      </c>
      <c r="F57" s="69" t="s">
        <v>4876</v>
      </c>
      <c r="G57" s="70"/>
      <c r="H57" s="70"/>
      <c r="I57" s="70"/>
      <c r="J57" s="70"/>
      <c r="K57" s="70"/>
      <c r="L57" s="20"/>
      <c r="M57" s="20"/>
      <c r="N57" s="20"/>
      <c r="O57" s="20"/>
      <c r="P57" s="20"/>
      <c r="Q57" s="20"/>
      <c r="R57" s="20"/>
      <c r="S57" s="20"/>
      <c r="T57" s="20"/>
      <c r="U57" s="20"/>
      <c r="V57" s="20"/>
      <c r="W57" s="20"/>
      <c r="X57" s="20"/>
      <c r="Y57" s="20"/>
      <c r="Z57" s="20"/>
    </row>
    <row r="58" spans="1:26" ht="17.25" customHeight="1">
      <c r="A58" s="66" t="s">
        <v>4938</v>
      </c>
      <c r="B58" s="67">
        <v>4.75</v>
      </c>
      <c r="C58" s="37" t="s">
        <v>4873</v>
      </c>
      <c r="D58" s="68" t="s">
        <v>4923</v>
      </c>
      <c r="E58" s="47" t="s">
        <v>4875</v>
      </c>
      <c r="F58" s="69" t="s">
        <v>4876</v>
      </c>
      <c r="G58" s="70"/>
      <c r="H58" s="70"/>
      <c r="I58" s="70"/>
      <c r="J58" s="70"/>
      <c r="K58" s="70"/>
      <c r="L58" s="20"/>
      <c r="M58" s="20"/>
      <c r="N58" s="20"/>
      <c r="O58" s="20"/>
      <c r="P58" s="20"/>
      <c r="Q58" s="20"/>
      <c r="R58" s="20"/>
      <c r="S58" s="20"/>
      <c r="T58" s="20"/>
      <c r="U58" s="20"/>
      <c r="V58" s="20"/>
      <c r="W58" s="20"/>
      <c r="X58" s="20"/>
      <c r="Y58" s="20"/>
      <c r="Z58" s="20"/>
    </row>
    <row r="59" spans="1:26" ht="17.25" customHeight="1">
      <c r="A59" s="66" t="s">
        <v>4939</v>
      </c>
      <c r="B59" s="67">
        <v>3.23</v>
      </c>
      <c r="C59" s="37" t="s">
        <v>4873</v>
      </c>
      <c r="D59" s="68" t="s">
        <v>4923</v>
      </c>
      <c r="E59" s="47" t="s">
        <v>4875</v>
      </c>
      <c r="F59" s="69" t="s">
        <v>4876</v>
      </c>
      <c r="G59" s="70"/>
      <c r="H59" s="70"/>
      <c r="I59" s="70"/>
      <c r="J59" s="70"/>
      <c r="K59" s="70"/>
      <c r="L59" s="20"/>
      <c r="M59" s="20"/>
      <c r="N59" s="20"/>
      <c r="O59" s="20"/>
      <c r="P59" s="20"/>
      <c r="Q59" s="20"/>
      <c r="R59" s="20"/>
      <c r="S59" s="20"/>
      <c r="T59" s="20"/>
      <c r="U59" s="20"/>
      <c r="V59" s="20"/>
      <c r="W59" s="20"/>
      <c r="X59" s="20"/>
      <c r="Y59" s="20"/>
      <c r="Z59" s="20"/>
    </row>
    <row r="60" spans="1:26" ht="17.25" customHeight="1">
      <c r="E60" s="47"/>
      <c r="F60" s="20"/>
      <c r="G60" s="20"/>
      <c r="H60" s="20"/>
      <c r="I60" s="20"/>
      <c r="J60" s="20"/>
      <c r="K60" s="20"/>
      <c r="L60" s="20"/>
      <c r="M60" s="20"/>
      <c r="N60" s="20"/>
      <c r="O60" s="20"/>
      <c r="P60" s="20"/>
      <c r="Q60" s="20"/>
      <c r="R60" s="20"/>
      <c r="S60" s="20"/>
      <c r="T60" s="20"/>
      <c r="U60" s="20"/>
      <c r="V60" s="20"/>
      <c r="W60" s="20"/>
      <c r="X60" s="20"/>
      <c r="Y60" s="20"/>
      <c r="Z60" s="20"/>
    </row>
    <row r="61" spans="1:26" ht="17.25" customHeight="1">
      <c r="E61" s="47"/>
      <c r="F61" s="20"/>
      <c r="G61" s="20"/>
      <c r="H61" s="20"/>
      <c r="I61" s="20"/>
      <c r="J61" s="20"/>
      <c r="K61" s="20"/>
      <c r="L61" s="20"/>
      <c r="M61" s="20"/>
      <c r="N61" s="20"/>
      <c r="O61" s="20"/>
      <c r="P61" s="20"/>
      <c r="Q61" s="20"/>
      <c r="R61" s="20"/>
      <c r="S61" s="20"/>
      <c r="T61" s="20"/>
      <c r="U61" s="20"/>
      <c r="V61" s="20"/>
      <c r="W61" s="20"/>
      <c r="X61" s="20"/>
      <c r="Y61" s="20"/>
      <c r="Z61" s="20"/>
    </row>
    <row r="62" spans="1:26" ht="17.25" customHeight="1">
      <c r="E62" s="47"/>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5"/>
      <c r="E63" s="47"/>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37"/>
      <c r="E64" s="47"/>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37"/>
      <c r="E65" s="47"/>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37"/>
      <c r="E66" s="47"/>
      <c r="F66" s="20"/>
      <c r="G66" s="20"/>
      <c r="H66" s="20"/>
      <c r="I66" s="20"/>
      <c r="J66" s="20"/>
      <c r="K66" s="20"/>
      <c r="L66" s="20"/>
      <c r="M66" s="20"/>
      <c r="N66" s="20"/>
      <c r="O66" s="20"/>
      <c r="P66" s="20"/>
      <c r="Q66" s="20"/>
      <c r="R66" s="20"/>
      <c r="S66" s="20"/>
      <c r="T66" s="20"/>
      <c r="U66" s="20"/>
      <c r="V66" s="20"/>
      <c r="W66" s="20"/>
      <c r="X66" s="20"/>
      <c r="Y66" s="20"/>
      <c r="Z66" s="20"/>
    </row>
    <row r="67" spans="1:26" ht="17.25" customHeight="1">
      <c r="E67" s="47"/>
      <c r="F67" s="20"/>
      <c r="G67" s="20"/>
      <c r="H67" s="20"/>
      <c r="I67" s="20"/>
      <c r="J67" s="20"/>
      <c r="K67" s="20"/>
      <c r="L67" s="20"/>
      <c r="M67" s="20"/>
      <c r="N67" s="20"/>
      <c r="O67" s="20"/>
      <c r="P67" s="20"/>
      <c r="Q67" s="20"/>
      <c r="R67" s="20"/>
      <c r="S67" s="20"/>
      <c r="T67" s="20"/>
      <c r="U67" s="20"/>
      <c r="V67" s="20"/>
      <c r="W67" s="20"/>
      <c r="X67" s="20"/>
      <c r="Y67" s="20"/>
      <c r="Z67" s="20"/>
    </row>
    <row r="68" spans="1:26" ht="17.25" customHeight="1">
      <c r="E68" s="47"/>
      <c r="F68" s="20"/>
      <c r="G68" s="20"/>
      <c r="H68" s="20"/>
      <c r="I68" s="20"/>
      <c r="J68" s="20"/>
      <c r="K68" s="20"/>
      <c r="L68" s="20"/>
      <c r="M68" s="20"/>
      <c r="N68" s="20"/>
      <c r="O68" s="20"/>
      <c r="P68" s="20"/>
      <c r="Q68" s="20"/>
      <c r="R68" s="20"/>
      <c r="S68" s="20"/>
      <c r="T68" s="20"/>
      <c r="U68" s="20"/>
      <c r="V68" s="20"/>
      <c r="W68" s="20"/>
      <c r="X68" s="20"/>
      <c r="Y68" s="20"/>
      <c r="Z68" s="20"/>
    </row>
    <row r="69" spans="1:26" ht="17.25" customHeight="1">
      <c r="E69" s="47"/>
      <c r="F69" s="20"/>
      <c r="G69" s="20"/>
      <c r="H69" s="20"/>
      <c r="I69" s="20"/>
      <c r="J69" s="20"/>
      <c r="K69" s="20"/>
      <c r="L69" s="20"/>
      <c r="M69" s="20"/>
      <c r="N69" s="20"/>
      <c r="O69" s="20"/>
      <c r="P69" s="20"/>
      <c r="Q69" s="20"/>
      <c r="R69" s="20"/>
      <c r="S69" s="20"/>
      <c r="T69" s="20"/>
      <c r="U69" s="20"/>
      <c r="V69" s="20"/>
      <c r="W69" s="20"/>
      <c r="X69" s="20"/>
      <c r="Y69" s="20"/>
      <c r="Z69" s="20"/>
    </row>
    <row r="70" spans="1:26" ht="17.25" customHeight="1">
      <c r="E70" s="47"/>
      <c r="F70" s="20"/>
      <c r="G70" s="20"/>
      <c r="H70" s="20"/>
      <c r="I70" s="20"/>
      <c r="J70" s="20"/>
      <c r="K70" s="20"/>
      <c r="L70" s="20"/>
      <c r="M70" s="20"/>
      <c r="N70" s="20"/>
      <c r="O70" s="20"/>
      <c r="P70" s="20"/>
      <c r="Q70" s="20"/>
      <c r="R70" s="20"/>
      <c r="S70" s="20"/>
      <c r="T70" s="20"/>
      <c r="U70" s="20"/>
      <c r="V70" s="20"/>
      <c r="W70" s="20"/>
      <c r="X70" s="20"/>
      <c r="Y70" s="20"/>
      <c r="Z70" s="20"/>
    </row>
    <row r="71" spans="1:26" ht="17.25" customHeight="1">
      <c r="E71" s="47"/>
      <c r="F71" s="20"/>
      <c r="G71" s="20"/>
      <c r="H71" s="20"/>
      <c r="I71" s="20"/>
      <c r="J71" s="20"/>
      <c r="K71" s="20"/>
      <c r="L71" s="20"/>
      <c r="M71" s="20"/>
      <c r="N71" s="20"/>
      <c r="O71" s="20"/>
      <c r="P71" s="20"/>
      <c r="Q71" s="20"/>
      <c r="R71" s="20"/>
      <c r="S71" s="20"/>
      <c r="T71" s="20"/>
      <c r="U71" s="20"/>
      <c r="V71" s="20"/>
      <c r="W71" s="20"/>
      <c r="X71" s="20"/>
      <c r="Y71" s="20"/>
      <c r="Z71" s="20"/>
    </row>
    <row r="72" spans="1:26" ht="17.25" customHeight="1">
      <c r="E72" s="47"/>
      <c r="F72" s="20"/>
      <c r="G72" s="20"/>
      <c r="H72" s="20"/>
      <c r="I72" s="20"/>
      <c r="J72" s="20"/>
      <c r="K72" s="20"/>
      <c r="L72" s="20"/>
      <c r="M72" s="20"/>
      <c r="N72" s="20"/>
      <c r="O72" s="20"/>
      <c r="P72" s="20"/>
      <c r="Q72" s="20"/>
      <c r="R72" s="20"/>
      <c r="S72" s="20"/>
      <c r="T72" s="20"/>
      <c r="U72" s="20"/>
      <c r="V72" s="20"/>
      <c r="W72" s="20"/>
      <c r="X72" s="20"/>
      <c r="Y72" s="20"/>
      <c r="Z72" s="20"/>
    </row>
    <row r="73" spans="1:26" ht="17.25" customHeight="1">
      <c r="E73" s="47"/>
      <c r="F73" s="20"/>
      <c r="G73" s="20"/>
      <c r="H73" s="20"/>
      <c r="I73" s="20"/>
      <c r="J73" s="20"/>
      <c r="K73" s="20"/>
      <c r="L73" s="20"/>
      <c r="M73" s="20"/>
      <c r="N73" s="20"/>
      <c r="O73" s="20"/>
      <c r="P73" s="20"/>
      <c r="Q73" s="20"/>
      <c r="R73" s="20"/>
      <c r="S73" s="20"/>
      <c r="T73" s="20"/>
      <c r="U73" s="20"/>
      <c r="V73" s="20"/>
      <c r="W73" s="20"/>
      <c r="X73" s="20"/>
      <c r="Y73" s="20"/>
      <c r="Z73" s="20"/>
    </row>
    <row r="74" spans="1:26" ht="17.25" customHeight="1">
      <c r="E74" s="47"/>
      <c r="F74" s="20"/>
      <c r="G74" s="20"/>
      <c r="H74" s="20"/>
      <c r="I74" s="20"/>
      <c r="J74" s="20"/>
      <c r="K74" s="20"/>
      <c r="L74" s="20"/>
      <c r="M74" s="20"/>
      <c r="N74" s="20"/>
      <c r="O74" s="20"/>
      <c r="P74" s="20"/>
      <c r="Q74" s="20"/>
      <c r="R74" s="20"/>
      <c r="S74" s="20"/>
      <c r="T74" s="20"/>
      <c r="U74" s="20"/>
      <c r="V74" s="20"/>
      <c r="W74" s="20"/>
      <c r="X74" s="20"/>
      <c r="Y74" s="20"/>
      <c r="Z74" s="20"/>
    </row>
    <row r="75" spans="1:26" ht="17.25" customHeight="1">
      <c r="E75" s="47"/>
      <c r="F75" s="20"/>
      <c r="G75" s="20"/>
      <c r="H75" s="20"/>
      <c r="I75" s="20"/>
      <c r="J75" s="20"/>
      <c r="K75" s="20"/>
      <c r="L75" s="20"/>
      <c r="M75" s="20"/>
      <c r="N75" s="20"/>
      <c r="O75" s="20"/>
      <c r="P75" s="20"/>
      <c r="Q75" s="20"/>
      <c r="R75" s="20"/>
      <c r="S75" s="20"/>
      <c r="T75" s="20"/>
      <c r="U75" s="20"/>
      <c r="V75" s="20"/>
      <c r="W75" s="20"/>
      <c r="X75" s="20"/>
      <c r="Y75" s="20"/>
      <c r="Z75" s="20"/>
    </row>
    <row r="76" spans="1:26" ht="17.25" customHeight="1">
      <c r="E76" s="47"/>
      <c r="F76" s="20"/>
      <c r="G76" s="20"/>
      <c r="H76" s="20"/>
      <c r="I76" s="20"/>
      <c r="J76" s="20"/>
      <c r="K76" s="20"/>
      <c r="L76" s="20"/>
      <c r="M76" s="20"/>
      <c r="N76" s="20"/>
      <c r="O76" s="20"/>
      <c r="P76" s="20"/>
      <c r="Q76" s="20"/>
      <c r="R76" s="20"/>
      <c r="S76" s="20"/>
      <c r="T76" s="20"/>
      <c r="U76" s="20"/>
      <c r="V76" s="20"/>
      <c r="W76" s="20"/>
      <c r="X76" s="20"/>
      <c r="Y76" s="20"/>
      <c r="Z76" s="20"/>
    </row>
    <row r="77" spans="1:26" ht="17.25" customHeight="1">
      <c r="E77" s="47"/>
      <c r="F77" s="20"/>
      <c r="G77" s="20"/>
      <c r="H77" s="20"/>
      <c r="I77" s="20"/>
      <c r="J77" s="20"/>
      <c r="K77" s="20"/>
      <c r="L77" s="20"/>
      <c r="M77" s="20"/>
      <c r="N77" s="20"/>
      <c r="O77" s="20"/>
      <c r="P77" s="20"/>
      <c r="Q77" s="20"/>
      <c r="R77" s="20"/>
      <c r="S77" s="20"/>
      <c r="T77" s="20"/>
      <c r="U77" s="20"/>
      <c r="V77" s="20"/>
      <c r="W77" s="20"/>
      <c r="X77" s="20"/>
      <c r="Y77" s="20"/>
      <c r="Z77" s="20"/>
    </row>
    <row r="78" spans="1:26" ht="17.25" customHeight="1">
      <c r="E78" s="47"/>
      <c r="F78" s="20"/>
      <c r="G78" s="20"/>
      <c r="H78" s="20"/>
      <c r="I78" s="20"/>
      <c r="J78" s="20"/>
      <c r="K78" s="20"/>
      <c r="L78" s="20"/>
      <c r="M78" s="20"/>
      <c r="N78" s="20"/>
      <c r="O78" s="20"/>
      <c r="P78" s="20"/>
      <c r="Q78" s="20"/>
      <c r="R78" s="20"/>
      <c r="S78" s="20"/>
      <c r="T78" s="20"/>
      <c r="U78" s="20"/>
      <c r="V78" s="20"/>
      <c r="W78" s="20"/>
      <c r="X78" s="20"/>
      <c r="Y78" s="20"/>
      <c r="Z78" s="20"/>
    </row>
    <row r="79" spans="1:26" ht="17.25" customHeight="1">
      <c r="E79" s="47"/>
      <c r="F79" s="20"/>
      <c r="G79" s="20"/>
      <c r="H79" s="20"/>
      <c r="I79" s="20"/>
      <c r="J79" s="20"/>
      <c r="K79" s="20"/>
      <c r="L79" s="20"/>
      <c r="M79" s="20"/>
      <c r="N79" s="20"/>
      <c r="O79" s="20"/>
      <c r="P79" s="20"/>
      <c r="Q79" s="20"/>
      <c r="R79" s="20"/>
      <c r="S79" s="20"/>
      <c r="T79" s="20"/>
      <c r="U79" s="20"/>
      <c r="V79" s="20"/>
      <c r="W79" s="20"/>
      <c r="X79" s="20"/>
      <c r="Y79" s="20"/>
      <c r="Z79" s="20"/>
    </row>
    <row r="80" spans="1:26" ht="17.25" customHeight="1">
      <c r="E80" s="47"/>
      <c r="F80" s="20"/>
      <c r="G80" s="20"/>
      <c r="H80" s="20"/>
      <c r="I80" s="20"/>
      <c r="J80" s="20"/>
      <c r="K80" s="20"/>
      <c r="L80" s="20"/>
      <c r="M80" s="20"/>
      <c r="N80" s="20"/>
      <c r="O80" s="20"/>
      <c r="P80" s="20"/>
      <c r="Q80" s="20"/>
      <c r="R80" s="20"/>
      <c r="S80" s="20"/>
      <c r="T80" s="20"/>
      <c r="U80" s="20"/>
      <c r="V80" s="20"/>
      <c r="W80" s="20"/>
      <c r="X80" s="20"/>
      <c r="Y80" s="20"/>
      <c r="Z80" s="20"/>
    </row>
    <row r="81" spans="5:26" ht="17.25" customHeight="1">
      <c r="E81" s="47"/>
      <c r="F81" s="20"/>
      <c r="G81" s="20"/>
      <c r="H81" s="20"/>
      <c r="I81" s="20"/>
      <c r="J81" s="20"/>
      <c r="K81" s="20"/>
      <c r="L81" s="20"/>
      <c r="M81" s="20"/>
      <c r="N81" s="20"/>
      <c r="O81" s="20"/>
      <c r="P81" s="20"/>
      <c r="Q81" s="20"/>
      <c r="R81" s="20"/>
      <c r="S81" s="20"/>
      <c r="T81" s="20"/>
      <c r="U81" s="20"/>
      <c r="V81" s="20"/>
      <c r="W81" s="20"/>
      <c r="X81" s="20"/>
      <c r="Y81" s="20"/>
      <c r="Z81" s="20"/>
    </row>
    <row r="82" spans="5:26" ht="17.25" customHeight="1">
      <c r="E82" s="47"/>
      <c r="F82" s="20"/>
      <c r="G82" s="20"/>
      <c r="H82" s="20"/>
      <c r="I82" s="20"/>
      <c r="J82" s="20"/>
      <c r="K82" s="20"/>
      <c r="L82" s="20"/>
      <c r="M82" s="20"/>
      <c r="N82" s="20"/>
      <c r="O82" s="20"/>
      <c r="P82" s="20"/>
      <c r="Q82" s="20"/>
      <c r="R82" s="20"/>
      <c r="S82" s="20"/>
      <c r="T82" s="20"/>
      <c r="U82" s="20"/>
      <c r="V82" s="20"/>
      <c r="W82" s="20"/>
      <c r="X82" s="20"/>
      <c r="Y82" s="20"/>
      <c r="Z82" s="20"/>
    </row>
    <row r="83" spans="5:26" ht="17.25" customHeight="1">
      <c r="E83" s="47"/>
      <c r="F83" s="20"/>
      <c r="G83" s="20"/>
      <c r="H83" s="20"/>
      <c r="I83" s="20"/>
      <c r="J83" s="20"/>
      <c r="K83" s="20"/>
      <c r="L83" s="20"/>
      <c r="M83" s="20"/>
      <c r="N83" s="20"/>
      <c r="O83" s="20"/>
      <c r="P83" s="20"/>
      <c r="Q83" s="20"/>
      <c r="R83" s="20"/>
      <c r="S83" s="20"/>
      <c r="T83" s="20"/>
      <c r="U83" s="20"/>
      <c r="V83" s="20"/>
      <c r="W83" s="20"/>
      <c r="X83" s="20"/>
      <c r="Y83" s="20"/>
      <c r="Z83" s="20"/>
    </row>
    <row r="84" spans="5:26" ht="17.25" customHeight="1">
      <c r="E84" s="47"/>
      <c r="F84" s="20"/>
      <c r="G84" s="20"/>
      <c r="H84" s="20"/>
      <c r="I84" s="20"/>
      <c r="J84" s="20"/>
      <c r="K84" s="20"/>
      <c r="L84" s="20"/>
      <c r="M84" s="20"/>
      <c r="N84" s="20"/>
      <c r="O84" s="20"/>
      <c r="P84" s="20"/>
      <c r="Q84" s="20"/>
      <c r="R84" s="20"/>
      <c r="S84" s="20"/>
      <c r="T84" s="20"/>
      <c r="U84" s="20"/>
      <c r="V84" s="20"/>
      <c r="W84" s="20"/>
      <c r="X84" s="20"/>
      <c r="Y84" s="20"/>
      <c r="Z84" s="20"/>
    </row>
    <row r="85" spans="5:26" ht="17.25" customHeight="1">
      <c r="E85" s="47"/>
      <c r="F85" s="20"/>
      <c r="G85" s="20"/>
      <c r="H85" s="20"/>
      <c r="I85" s="20"/>
      <c r="J85" s="20"/>
      <c r="K85" s="20"/>
      <c r="L85" s="20"/>
      <c r="M85" s="20"/>
      <c r="N85" s="20"/>
      <c r="O85" s="20"/>
      <c r="P85" s="20"/>
      <c r="Q85" s="20"/>
      <c r="R85" s="20"/>
      <c r="S85" s="20"/>
      <c r="T85" s="20"/>
      <c r="U85" s="20"/>
      <c r="V85" s="20"/>
      <c r="W85" s="20"/>
      <c r="X85" s="20"/>
      <c r="Y85" s="20"/>
      <c r="Z85" s="20"/>
    </row>
    <row r="86" spans="5:26" ht="17.25" customHeight="1">
      <c r="E86" s="47"/>
      <c r="F86" s="20"/>
      <c r="G86" s="20"/>
      <c r="H86" s="20"/>
      <c r="I86" s="20"/>
      <c r="J86" s="20"/>
      <c r="K86" s="20"/>
      <c r="L86" s="20"/>
      <c r="M86" s="20"/>
      <c r="N86" s="20"/>
      <c r="O86" s="20"/>
      <c r="P86" s="20"/>
      <c r="Q86" s="20"/>
      <c r="R86" s="20"/>
      <c r="S86" s="20"/>
      <c r="T86" s="20"/>
      <c r="U86" s="20"/>
      <c r="V86" s="20"/>
      <c r="W86" s="20"/>
      <c r="X86" s="20"/>
      <c r="Y86" s="20"/>
      <c r="Z86" s="20"/>
    </row>
    <row r="87" spans="5:26" ht="17.25" customHeight="1">
      <c r="E87" s="47"/>
      <c r="F87" s="20"/>
      <c r="G87" s="20"/>
      <c r="H87" s="20"/>
      <c r="I87" s="20"/>
      <c r="J87" s="20"/>
      <c r="K87" s="20"/>
      <c r="L87" s="20"/>
      <c r="M87" s="20"/>
      <c r="N87" s="20"/>
      <c r="O87" s="20"/>
      <c r="P87" s="20"/>
      <c r="Q87" s="20"/>
      <c r="R87" s="20"/>
      <c r="S87" s="20"/>
      <c r="T87" s="20"/>
      <c r="U87" s="20"/>
      <c r="V87" s="20"/>
      <c r="W87" s="20"/>
      <c r="X87" s="20"/>
      <c r="Y87" s="20"/>
      <c r="Z87" s="20"/>
    </row>
    <row r="88" spans="5:26" ht="17.25" customHeight="1">
      <c r="E88" s="47"/>
      <c r="F88" s="20"/>
      <c r="G88" s="20"/>
      <c r="H88" s="20"/>
      <c r="I88" s="20"/>
      <c r="J88" s="20"/>
      <c r="K88" s="20"/>
      <c r="L88" s="20"/>
      <c r="M88" s="20"/>
      <c r="N88" s="20"/>
      <c r="O88" s="20"/>
      <c r="P88" s="20"/>
      <c r="Q88" s="20"/>
      <c r="R88" s="20"/>
      <c r="S88" s="20"/>
      <c r="T88" s="20"/>
      <c r="U88" s="20"/>
      <c r="V88" s="20"/>
      <c r="W88" s="20"/>
      <c r="X88" s="20"/>
      <c r="Y88" s="20"/>
      <c r="Z88" s="20"/>
    </row>
    <row r="89" spans="5:26" ht="17.25" customHeight="1">
      <c r="E89" s="47"/>
      <c r="F89" s="20"/>
      <c r="G89" s="20"/>
      <c r="H89" s="20"/>
      <c r="I89" s="20"/>
      <c r="J89" s="20"/>
      <c r="K89" s="20"/>
      <c r="L89" s="20"/>
      <c r="M89" s="20"/>
      <c r="N89" s="20"/>
      <c r="O89" s="20"/>
      <c r="P89" s="20"/>
      <c r="Q89" s="20"/>
      <c r="R89" s="20"/>
      <c r="S89" s="20"/>
      <c r="T89" s="20"/>
      <c r="U89" s="20"/>
      <c r="V89" s="20"/>
      <c r="W89" s="20"/>
      <c r="X89" s="20"/>
      <c r="Y89" s="20"/>
      <c r="Z89" s="20"/>
    </row>
    <row r="90" spans="5:26" ht="17.25" customHeight="1">
      <c r="E90" s="47"/>
      <c r="F90" s="20"/>
      <c r="G90" s="20"/>
      <c r="H90" s="20"/>
      <c r="I90" s="20"/>
      <c r="J90" s="20"/>
      <c r="K90" s="20"/>
      <c r="L90" s="20"/>
      <c r="M90" s="20"/>
      <c r="N90" s="20"/>
      <c r="O90" s="20"/>
      <c r="P90" s="20"/>
      <c r="Q90" s="20"/>
      <c r="R90" s="20"/>
      <c r="S90" s="20"/>
      <c r="T90" s="20"/>
      <c r="U90" s="20"/>
      <c r="V90" s="20"/>
      <c r="W90" s="20"/>
      <c r="X90" s="20"/>
      <c r="Y90" s="20"/>
      <c r="Z90" s="20"/>
    </row>
    <row r="91" spans="5:26" ht="17.25" customHeight="1">
      <c r="E91" s="47"/>
      <c r="F91" s="20"/>
      <c r="G91" s="20"/>
      <c r="H91" s="20"/>
      <c r="I91" s="20"/>
      <c r="J91" s="20"/>
      <c r="K91" s="20"/>
      <c r="L91" s="20"/>
      <c r="M91" s="20"/>
      <c r="N91" s="20"/>
      <c r="O91" s="20"/>
      <c r="P91" s="20"/>
      <c r="Q91" s="20"/>
      <c r="R91" s="20"/>
      <c r="S91" s="20"/>
      <c r="T91" s="20"/>
      <c r="U91" s="20"/>
      <c r="V91" s="20"/>
      <c r="W91" s="20"/>
      <c r="X91" s="20"/>
      <c r="Y91" s="20"/>
      <c r="Z91" s="20"/>
    </row>
    <row r="92" spans="5:26" ht="17.25" customHeight="1">
      <c r="E92" s="47"/>
      <c r="F92" s="20"/>
      <c r="G92" s="20"/>
      <c r="H92" s="20"/>
      <c r="I92" s="20"/>
      <c r="J92" s="20"/>
      <c r="K92" s="20"/>
      <c r="L92" s="20"/>
      <c r="M92" s="20"/>
      <c r="N92" s="20"/>
      <c r="O92" s="20"/>
      <c r="P92" s="20"/>
      <c r="Q92" s="20"/>
      <c r="R92" s="20"/>
      <c r="S92" s="20"/>
      <c r="T92" s="20"/>
      <c r="U92" s="20"/>
      <c r="V92" s="20"/>
      <c r="W92" s="20"/>
      <c r="X92" s="20"/>
      <c r="Y92" s="20"/>
      <c r="Z92" s="20"/>
    </row>
    <row r="93" spans="5:26" ht="17.25" customHeight="1">
      <c r="E93" s="47"/>
      <c r="F93" s="20"/>
      <c r="G93" s="20"/>
      <c r="H93" s="20"/>
      <c r="I93" s="20"/>
      <c r="J93" s="20"/>
      <c r="K93" s="20"/>
      <c r="L93" s="20"/>
      <c r="M93" s="20"/>
      <c r="N93" s="20"/>
      <c r="O93" s="20"/>
      <c r="P93" s="20"/>
      <c r="Q93" s="20"/>
      <c r="R93" s="20"/>
      <c r="S93" s="20"/>
      <c r="T93" s="20"/>
      <c r="U93" s="20"/>
      <c r="V93" s="20"/>
      <c r="W93" s="20"/>
      <c r="X93" s="20"/>
      <c r="Y93" s="20"/>
      <c r="Z93" s="20"/>
    </row>
    <row r="94" spans="5:26" ht="17.25" customHeight="1">
      <c r="E94" s="47"/>
      <c r="F94" s="20"/>
      <c r="G94" s="20"/>
      <c r="H94" s="20"/>
      <c r="I94" s="20"/>
      <c r="J94" s="20"/>
      <c r="K94" s="20"/>
      <c r="L94" s="20"/>
      <c r="M94" s="20"/>
      <c r="N94" s="20"/>
      <c r="O94" s="20"/>
      <c r="P94" s="20"/>
      <c r="Q94" s="20"/>
      <c r="R94" s="20"/>
      <c r="S94" s="20"/>
      <c r="T94" s="20"/>
      <c r="U94" s="20"/>
      <c r="V94" s="20"/>
      <c r="W94" s="20"/>
      <c r="X94" s="20"/>
      <c r="Y94" s="20"/>
      <c r="Z94" s="20"/>
    </row>
    <row r="95" spans="5:26" ht="17.25" customHeight="1">
      <c r="E95" s="47"/>
      <c r="F95" s="20"/>
      <c r="G95" s="20"/>
      <c r="H95" s="20"/>
      <c r="I95" s="20"/>
      <c r="J95" s="20"/>
      <c r="K95" s="20"/>
      <c r="L95" s="20"/>
      <c r="M95" s="20"/>
      <c r="N95" s="20"/>
      <c r="O95" s="20"/>
      <c r="P95" s="20"/>
      <c r="Q95" s="20"/>
      <c r="R95" s="20"/>
      <c r="S95" s="20"/>
      <c r="T95" s="20"/>
      <c r="U95" s="20"/>
      <c r="V95" s="20"/>
      <c r="W95" s="20"/>
      <c r="X95" s="20"/>
      <c r="Y95" s="20"/>
      <c r="Z95" s="20"/>
    </row>
    <row r="96" spans="5:26" ht="17.25" customHeight="1">
      <c r="E96" s="47"/>
      <c r="F96" s="20"/>
      <c r="G96" s="20"/>
      <c r="H96" s="20"/>
      <c r="I96" s="20"/>
      <c r="J96" s="20"/>
      <c r="K96" s="20"/>
      <c r="L96" s="20"/>
      <c r="M96" s="20"/>
      <c r="N96" s="20"/>
      <c r="O96" s="20"/>
      <c r="P96" s="20"/>
      <c r="Q96" s="20"/>
      <c r="R96" s="20"/>
      <c r="S96" s="20"/>
      <c r="T96" s="20"/>
      <c r="U96" s="20"/>
      <c r="V96" s="20"/>
      <c r="W96" s="20"/>
      <c r="X96" s="20"/>
      <c r="Y96" s="20"/>
      <c r="Z96" s="20"/>
    </row>
    <row r="97" spans="5:26" ht="17.25" customHeight="1">
      <c r="E97" s="47"/>
      <c r="F97" s="20"/>
      <c r="G97" s="20"/>
      <c r="H97" s="20"/>
      <c r="I97" s="20"/>
      <c r="J97" s="20"/>
      <c r="K97" s="20"/>
      <c r="L97" s="20"/>
      <c r="M97" s="20"/>
      <c r="N97" s="20"/>
      <c r="O97" s="20"/>
      <c r="P97" s="20"/>
      <c r="Q97" s="20"/>
      <c r="R97" s="20"/>
      <c r="S97" s="20"/>
      <c r="T97" s="20"/>
      <c r="U97" s="20"/>
      <c r="V97" s="20"/>
      <c r="W97" s="20"/>
      <c r="X97" s="20"/>
      <c r="Y97" s="20"/>
      <c r="Z97" s="20"/>
    </row>
    <row r="98" spans="5:26" ht="17.25" customHeight="1">
      <c r="E98" s="47"/>
      <c r="F98" s="20"/>
      <c r="G98" s="20"/>
      <c r="H98" s="20"/>
      <c r="I98" s="20"/>
      <c r="J98" s="20"/>
      <c r="K98" s="20"/>
      <c r="L98" s="20"/>
      <c r="M98" s="20"/>
      <c r="N98" s="20"/>
      <c r="O98" s="20"/>
      <c r="P98" s="20"/>
      <c r="Q98" s="20"/>
      <c r="R98" s="20"/>
      <c r="S98" s="20"/>
      <c r="T98" s="20"/>
      <c r="U98" s="20"/>
      <c r="V98" s="20"/>
      <c r="W98" s="20"/>
      <c r="X98" s="20"/>
      <c r="Y98" s="20"/>
      <c r="Z98" s="20"/>
    </row>
    <row r="99" spans="5:26" ht="17.25" customHeight="1">
      <c r="E99" s="47"/>
      <c r="F99" s="20"/>
      <c r="G99" s="20"/>
      <c r="H99" s="20"/>
      <c r="I99" s="20"/>
      <c r="J99" s="20"/>
      <c r="K99" s="20"/>
      <c r="L99" s="20"/>
      <c r="M99" s="20"/>
      <c r="N99" s="20"/>
      <c r="O99" s="20"/>
      <c r="P99" s="20"/>
      <c r="Q99" s="20"/>
      <c r="R99" s="20"/>
      <c r="S99" s="20"/>
      <c r="T99" s="20"/>
      <c r="U99" s="20"/>
      <c r="V99" s="20"/>
      <c r="W99" s="20"/>
      <c r="X99" s="20"/>
      <c r="Y99" s="20"/>
      <c r="Z99" s="20"/>
    </row>
    <row r="100" spans="5:26" ht="17.25" customHeight="1">
      <c r="E100" s="47"/>
      <c r="F100" s="20"/>
      <c r="G100" s="20"/>
      <c r="H100" s="20"/>
      <c r="I100" s="20"/>
      <c r="J100" s="20"/>
      <c r="K100" s="20"/>
      <c r="L100" s="20"/>
      <c r="M100" s="20"/>
      <c r="N100" s="20"/>
      <c r="O100" s="20"/>
      <c r="P100" s="20"/>
      <c r="Q100" s="20"/>
      <c r="R100" s="20"/>
      <c r="S100" s="20"/>
      <c r="T100" s="20"/>
      <c r="U100" s="20"/>
      <c r="V100" s="20"/>
      <c r="W100" s="20"/>
      <c r="X100" s="20"/>
      <c r="Y100" s="20"/>
      <c r="Z100" s="20"/>
    </row>
    <row r="101" spans="5:26" ht="17.25" customHeight="1">
      <c r="E101" s="47"/>
      <c r="F101" s="20"/>
      <c r="G101" s="20"/>
      <c r="H101" s="20"/>
      <c r="I101" s="20"/>
      <c r="J101" s="20"/>
      <c r="K101" s="20"/>
      <c r="L101" s="20"/>
      <c r="M101" s="20"/>
      <c r="N101" s="20"/>
      <c r="O101" s="20"/>
      <c r="P101" s="20"/>
      <c r="Q101" s="20"/>
      <c r="R101" s="20"/>
      <c r="S101" s="20"/>
      <c r="T101" s="20"/>
      <c r="U101" s="20"/>
      <c r="V101" s="20"/>
      <c r="W101" s="20"/>
      <c r="X101" s="20"/>
      <c r="Y101" s="20"/>
      <c r="Z101" s="20"/>
    </row>
    <row r="102" spans="5:26" ht="17.25" customHeight="1">
      <c r="E102" s="47"/>
      <c r="F102" s="20"/>
      <c r="G102" s="20"/>
      <c r="H102" s="20"/>
      <c r="I102" s="20"/>
      <c r="J102" s="20"/>
      <c r="K102" s="20"/>
      <c r="L102" s="20"/>
      <c r="M102" s="20"/>
      <c r="N102" s="20"/>
      <c r="O102" s="20"/>
      <c r="P102" s="20"/>
      <c r="Q102" s="20"/>
      <c r="R102" s="20"/>
      <c r="S102" s="20"/>
      <c r="T102" s="20"/>
      <c r="U102" s="20"/>
      <c r="V102" s="20"/>
      <c r="W102" s="20"/>
      <c r="X102" s="20"/>
      <c r="Y102" s="20"/>
      <c r="Z102" s="20"/>
    </row>
    <row r="103" spans="5:26" ht="17.25" customHeight="1">
      <c r="E103" s="47"/>
      <c r="F103" s="20"/>
      <c r="G103" s="20"/>
      <c r="H103" s="20"/>
      <c r="I103" s="20"/>
      <c r="J103" s="20"/>
      <c r="K103" s="20"/>
      <c r="L103" s="20"/>
      <c r="M103" s="20"/>
      <c r="N103" s="20"/>
      <c r="O103" s="20"/>
      <c r="P103" s="20"/>
      <c r="Q103" s="20"/>
      <c r="R103" s="20"/>
      <c r="S103" s="20"/>
      <c r="T103" s="20"/>
      <c r="U103" s="20"/>
      <c r="V103" s="20"/>
      <c r="W103" s="20"/>
      <c r="X103" s="20"/>
      <c r="Y103" s="20"/>
      <c r="Z103" s="20"/>
    </row>
    <row r="104" spans="5:26" ht="17.25" customHeight="1">
      <c r="E104" s="47"/>
      <c r="F104" s="20"/>
      <c r="G104" s="20"/>
      <c r="H104" s="20"/>
      <c r="I104" s="20"/>
      <c r="J104" s="20"/>
      <c r="K104" s="20"/>
      <c r="L104" s="20"/>
      <c r="M104" s="20"/>
      <c r="N104" s="20"/>
      <c r="O104" s="20"/>
      <c r="P104" s="20"/>
      <c r="Q104" s="20"/>
      <c r="R104" s="20"/>
      <c r="S104" s="20"/>
      <c r="T104" s="20"/>
      <c r="U104" s="20"/>
      <c r="V104" s="20"/>
      <c r="W104" s="20"/>
      <c r="X104" s="20"/>
      <c r="Y104" s="20"/>
      <c r="Z104" s="20"/>
    </row>
    <row r="105" spans="5:26" ht="17.25" customHeight="1">
      <c r="E105" s="47"/>
      <c r="F105" s="20"/>
      <c r="G105" s="20"/>
      <c r="H105" s="20"/>
      <c r="I105" s="20"/>
      <c r="J105" s="20"/>
      <c r="K105" s="20"/>
      <c r="L105" s="20"/>
      <c r="M105" s="20"/>
      <c r="N105" s="20"/>
      <c r="O105" s="20"/>
      <c r="P105" s="20"/>
      <c r="Q105" s="20"/>
      <c r="R105" s="20"/>
      <c r="S105" s="20"/>
      <c r="T105" s="20"/>
      <c r="U105" s="20"/>
      <c r="V105" s="20"/>
      <c r="W105" s="20"/>
      <c r="X105" s="20"/>
      <c r="Y105" s="20"/>
      <c r="Z105" s="20"/>
    </row>
    <row r="106" spans="5:26" ht="17.25" customHeight="1">
      <c r="E106" s="47"/>
      <c r="F106" s="20"/>
      <c r="G106" s="20"/>
      <c r="H106" s="20"/>
      <c r="I106" s="20"/>
      <c r="J106" s="20"/>
      <c r="K106" s="20"/>
      <c r="L106" s="20"/>
      <c r="M106" s="20"/>
      <c r="N106" s="20"/>
      <c r="O106" s="20"/>
      <c r="P106" s="20"/>
      <c r="Q106" s="20"/>
      <c r="R106" s="20"/>
      <c r="S106" s="20"/>
      <c r="T106" s="20"/>
      <c r="U106" s="20"/>
      <c r="V106" s="20"/>
      <c r="W106" s="20"/>
      <c r="X106" s="20"/>
      <c r="Y106" s="20"/>
      <c r="Z106" s="20"/>
    </row>
    <row r="107" spans="5:26" ht="17.25" customHeight="1">
      <c r="E107" s="47"/>
      <c r="F107" s="20"/>
      <c r="G107" s="20"/>
      <c r="H107" s="20"/>
      <c r="I107" s="20"/>
      <c r="J107" s="20"/>
      <c r="K107" s="20"/>
      <c r="L107" s="20"/>
      <c r="M107" s="20"/>
      <c r="N107" s="20"/>
      <c r="O107" s="20"/>
      <c r="P107" s="20"/>
      <c r="Q107" s="20"/>
      <c r="R107" s="20"/>
      <c r="S107" s="20"/>
      <c r="T107" s="20"/>
      <c r="U107" s="20"/>
      <c r="V107" s="20"/>
      <c r="W107" s="20"/>
      <c r="X107" s="20"/>
      <c r="Y107" s="20"/>
      <c r="Z107" s="20"/>
    </row>
    <row r="108" spans="5:26" ht="17.25" customHeight="1">
      <c r="E108" s="47"/>
      <c r="F108" s="20"/>
      <c r="G108" s="20"/>
      <c r="H108" s="20"/>
      <c r="I108" s="20"/>
      <c r="J108" s="20"/>
      <c r="K108" s="20"/>
      <c r="L108" s="20"/>
      <c r="M108" s="20"/>
      <c r="N108" s="20"/>
      <c r="O108" s="20"/>
      <c r="P108" s="20"/>
      <c r="Q108" s="20"/>
      <c r="R108" s="20"/>
      <c r="S108" s="20"/>
      <c r="T108" s="20"/>
      <c r="U108" s="20"/>
      <c r="V108" s="20"/>
      <c r="W108" s="20"/>
      <c r="X108" s="20"/>
      <c r="Y108" s="20"/>
      <c r="Z108" s="20"/>
    </row>
    <row r="109" spans="5:26" ht="17.25" customHeight="1">
      <c r="E109" s="47"/>
      <c r="F109" s="20"/>
      <c r="G109" s="20"/>
      <c r="H109" s="20"/>
      <c r="I109" s="20"/>
      <c r="J109" s="20"/>
      <c r="K109" s="20"/>
      <c r="L109" s="20"/>
      <c r="M109" s="20"/>
      <c r="N109" s="20"/>
      <c r="O109" s="20"/>
      <c r="P109" s="20"/>
      <c r="Q109" s="20"/>
      <c r="R109" s="20"/>
      <c r="S109" s="20"/>
      <c r="T109" s="20"/>
      <c r="U109" s="20"/>
      <c r="V109" s="20"/>
      <c r="W109" s="20"/>
      <c r="X109" s="20"/>
      <c r="Y109" s="20"/>
      <c r="Z109" s="20"/>
    </row>
    <row r="110" spans="5:26" ht="17.25" customHeight="1">
      <c r="E110" s="47"/>
      <c r="F110" s="20"/>
      <c r="G110" s="20"/>
      <c r="H110" s="20"/>
      <c r="I110" s="20"/>
      <c r="J110" s="20"/>
      <c r="K110" s="20"/>
      <c r="L110" s="20"/>
      <c r="M110" s="20"/>
      <c r="N110" s="20"/>
      <c r="O110" s="20"/>
      <c r="P110" s="20"/>
      <c r="Q110" s="20"/>
      <c r="R110" s="20"/>
      <c r="S110" s="20"/>
      <c r="T110" s="20"/>
      <c r="U110" s="20"/>
      <c r="V110" s="20"/>
      <c r="W110" s="20"/>
      <c r="X110" s="20"/>
      <c r="Y110" s="20"/>
      <c r="Z110" s="20"/>
    </row>
    <row r="111" spans="5:26" ht="17.25" customHeight="1">
      <c r="E111" s="47"/>
      <c r="F111" s="20"/>
      <c r="G111" s="20"/>
      <c r="H111" s="20"/>
      <c r="I111" s="20"/>
      <c r="J111" s="20"/>
      <c r="K111" s="20"/>
      <c r="L111" s="20"/>
      <c r="M111" s="20"/>
      <c r="N111" s="20"/>
      <c r="O111" s="20"/>
      <c r="P111" s="20"/>
      <c r="Q111" s="20"/>
      <c r="R111" s="20"/>
      <c r="S111" s="20"/>
      <c r="T111" s="20"/>
      <c r="U111" s="20"/>
      <c r="V111" s="20"/>
      <c r="W111" s="20"/>
      <c r="X111" s="20"/>
      <c r="Y111" s="20"/>
      <c r="Z111" s="20"/>
    </row>
    <row r="112" spans="5:26" ht="17.25" customHeight="1">
      <c r="E112" s="47"/>
      <c r="F112" s="20"/>
      <c r="G112" s="20"/>
      <c r="H112" s="20"/>
      <c r="I112" s="20"/>
      <c r="J112" s="20"/>
      <c r="K112" s="20"/>
      <c r="L112" s="20"/>
      <c r="M112" s="20"/>
      <c r="N112" s="20"/>
      <c r="O112" s="20"/>
      <c r="P112" s="20"/>
      <c r="Q112" s="20"/>
      <c r="R112" s="20"/>
      <c r="S112" s="20"/>
      <c r="T112" s="20"/>
      <c r="U112" s="20"/>
      <c r="V112" s="20"/>
      <c r="W112" s="20"/>
      <c r="X112" s="20"/>
      <c r="Y112" s="20"/>
      <c r="Z112" s="20"/>
    </row>
    <row r="113" spans="5:26" ht="17.25" customHeight="1">
      <c r="E113" s="47"/>
      <c r="F113" s="20"/>
      <c r="G113" s="20"/>
      <c r="H113" s="20"/>
      <c r="I113" s="20"/>
      <c r="J113" s="20"/>
      <c r="K113" s="20"/>
      <c r="L113" s="20"/>
      <c r="M113" s="20"/>
      <c r="N113" s="20"/>
      <c r="O113" s="20"/>
      <c r="P113" s="20"/>
      <c r="Q113" s="20"/>
      <c r="R113" s="20"/>
      <c r="S113" s="20"/>
      <c r="T113" s="20"/>
      <c r="U113" s="20"/>
      <c r="V113" s="20"/>
      <c r="W113" s="20"/>
      <c r="X113" s="20"/>
      <c r="Y113" s="20"/>
      <c r="Z113" s="20"/>
    </row>
    <row r="114" spans="5:26" ht="17.25" customHeight="1">
      <c r="E114" s="47"/>
      <c r="F114" s="20"/>
      <c r="G114" s="20"/>
      <c r="H114" s="20"/>
      <c r="I114" s="20"/>
      <c r="J114" s="20"/>
      <c r="K114" s="20"/>
      <c r="L114" s="20"/>
      <c r="M114" s="20"/>
      <c r="N114" s="20"/>
      <c r="O114" s="20"/>
      <c r="P114" s="20"/>
      <c r="Q114" s="20"/>
      <c r="R114" s="20"/>
      <c r="S114" s="20"/>
      <c r="T114" s="20"/>
      <c r="U114" s="20"/>
      <c r="V114" s="20"/>
      <c r="W114" s="20"/>
      <c r="X114" s="20"/>
      <c r="Y114" s="20"/>
      <c r="Z114" s="20"/>
    </row>
    <row r="115" spans="5:26" ht="17.25" customHeight="1">
      <c r="E115" s="47"/>
      <c r="F115" s="20"/>
      <c r="G115" s="20"/>
      <c r="H115" s="20"/>
      <c r="I115" s="20"/>
      <c r="J115" s="20"/>
      <c r="K115" s="20"/>
      <c r="L115" s="20"/>
      <c r="M115" s="20"/>
      <c r="N115" s="20"/>
      <c r="O115" s="20"/>
      <c r="P115" s="20"/>
      <c r="Q115" s="20"/>
      <c r="R115" s="20"/>
      <c r="S115" s="20"/>
      <c r="T115" s="20"/>
      <c r="U115" s="20"/>
      <c r="V115" s="20"/>
      <c r="W115" s="20"/>
      <c r="X115" s="20"/>
      <c r="Y115" s="20"/>
      <c r="Z115" s="20"/>
    </row>
    <row r="116" spans="5:26" ht="17.25" customHeight="1">
      <c r="E116" s="47"/>
      <c r="F116" s="20"/>
      <c r="G116" s="20"/>
      <c r="H116" s="20"/>
      <c r="I116" s="20"/>
      <c r="J116" s="20"/>
      <c r="K116" s="20"/>
      <c r="L116" s="20"/>
      <c r="M116" s="20"/>
      <c r="N116" s="20"/>
      <c r="O116" s="20"/>
      <c r="P116" s="20"/>
      <c r="Q116" s="20"/>
      <c r="R116" s="20"/>
      <c r="S116" s="20"/>
      <c r="T116" s="20"/>
      <c r="U116" s="20"/>
      <c r="V116" s="20"/>
      <c r="W116" s="20"/>
      <c r="X116" s="20"/>
      <c r="Y116" s="20"/>
      <c r="Z116" s="20"/>
    </row>
    <row r="117" spans="5:26" ht="17.25" customHeight="1">
      <c r="E117" s="47"/>
      <c r="F117" s="20"/>
      <c r="G117" s="20"/>
      <c r="H117" s="20"/>
      <c r="I117" s="20"/>
      <c r="J117" s="20"/>
      <c r="K117" s="20"/>
      <c r="L117" s="20"/>
      <c r="M117" s="20"/>
      <c r="N117" s="20"/>
      <c r="O117" s="20"/>
      <c r="P117" s="20"/>
      <c r="Q117" s="20"/>
      <c r="R117" s="20"/>
      <c r="S117" s="20"/>
      <c r="T117" s="20"/>
      <c r="U117" s="20"/>
      <c r="V117" s="20"/>
      <c r="W117" s="20"/>
      <c r="X117" s="20"/>
      <c r="Y117" s="20"/>
      <c r="Z117" s="20"/>
    </row>
    <row r="118" spans="5:26" ht="17.25" customHeight="1">
      <c r="E118" s="47"/>
      <c r="F118" s="20"/>
      <c r="G118" s="20"/>
      <c r="H118" s="20"/>
      <c r="I118" s="20"/>
      <c r="J118" s="20"/>
      <c r="K118" s="20"/>
      <c r="L118" s="20"/>
      <c r="M118" s="20"/>
      <c r="N118" s="20"/>
      <c r="O118" s="20"/>
      <c r="P118" s="20"/>
      <c r="Q118" s="20"/>
      <c r="R118" s="20"/>
      <c r="S118" s="20"/>
      <c r="T118" s="20"/>
      <c r="U118" s="20"/>
      <c r="V118" s="20"/>
      <c r="W118" s="20"/>
      <c r="X118" s="20"/>
      <c r="Y118" s="20"/>
      <c r="Z118" s="20"/>
    </row>
    <row r="119" spans="5:26" ht="17.25" customHeight="1">
      <c r="E119" s="47"/>
      <c r="F119" s="20"/>
      <c r="G119" s="20"/>
      <c r="H119" s="20"/>
      <c r="I119" s="20"/>
      <c r="J119" s="20"/>
      <c r="K119" s="20"/>
      <c r="L119" s="20"/>
      <c r="M119" s="20"/>
      <c r="N119" s="20"/>
      <c r="O119" s="20"/>
      <c r="P119" s="20"/>
      <c r="Q119" s="20"/>
      <c r="R119" s="20"/>
      <c r="S119" s="20"/>
      <c r="T119" s="20"/>
      <c r="U119" s="20"/>
      <c r="V119" s="20"/>
      <c r="W119" s="20"/>
      <c r="X119" s="20"/>
      <c r="Y119" s="20"/>
      <c r="Z119" s="20"/>
    </row>
    <row r="120" spans="5:26" ht="17.25" customHeight="1">
      <c r="E120" s="47"/>
      <c r="F120" s="20"/>
      <c r="G120" s="20"/>
      <c r="H120" s="20"/>
      <c r="I120" s="20"/>
      <c r="J120" s="20"/>
      <c r="K120" s="20"/>
      <c r="L120" s="20"/>
      <c r="M120" s="20"/>
      <c r="N120" s="20"/>
      <c r="O120" s="20"/>
      <c r="P120" s="20"/>
      <c r="Q120" s="20"/>
      <c r="R120" s="20"/>
      <c r="S120" s="20"/>
      <c r="T120" s="20"/>
      <c r="U120" s="20"/>
      <c r="V120" s="20"/>
      <c r="W120" s="20"/>
      <c r="X120" s="20"/>
      <c r="Y120" s="20"/>
      <c r="Z120" s="20"/>
    </row>
    <row r="121" spans="5:26" ht="17.25" customHeight="1">
      <c r="E121" s="47"/>
      <c r="F121" s="20"/>
      <c r="G121" s="20"/>
      <c r="H121" s="20"/>
      <c r="I121" s="20"/>
      <c r="J121" s="20"/>
      <c r="K121" s="20"/>
      <c r="L121" s="20"/>
      <c r="M121" s="20"/>
      <c r="N121" s="20"/>
      <c r="O121" s="20"/>
      <c r="P121" s="20"/>
      <c r="Q121" s="20"/>
      <c r="R121" s="20"/>
      <c r="S121" s="20"/>
      <c r="T121" s="20"/>
      <c r="U121" s="20"/>
      <c r="V121" s="20"/>
      <c r="W121" s="20"/>
      <c r="X121" s="20"/>
      <c r="Y121" s="20"/>
      <c r="Z121" s="20"/>
    </row>
    <row r="122" spans="5:26" ht="17.25" customHeight="1">
      <c r="E122" s="47"/>
      <c r="F122" s="20"/>
      <c r="G122" s="20"/>
      <c r="H122" s="20"/>
      <c r="I122" s="20"/>
      <c r="J122" s="20"/>
      <c r="K122" s="20"/>
      <c r="L122" s="20"/>
      <c r="M122" s="20"/>
      <c r="N122" s="20"/>
      <c r="O122" s="20"/>
      <c r="P122" s="20"/>
      <c r="Q122" s="20"/>
      <c r="R122" s="20"/>
      <c r="S122" s="20"/>
      <c r="T122" s="20"/>
      <c r="U122" s="20"/>
      <c r="V122" s="20"/>
      <c r="W122" s="20"/>
      <c r="X122" s="20"/>
      <c r="Y122" s="20"/>
      <c r="Z122" s="20"/>
    </row>
    <row r="123" spans="5:26" ht="17.25" customHeight="1">
      <c r="E123" s="47"/>
      <c r="F123" s="20"/>
      <c r="G123" s="20"/>
      <c r="H123" s="20"/>
      <c r="I123" s="20"/>
      <c r="J123" s="20"/>
      <c r="K123" s="20"/>
      <c r="L123" s="20"/>
      <c r="M123" s="20"/>
      <c r="N123" s="20"/>
      <c r="O123" s="20"/>
      <c r="P123" s="20"/>
      <c r="Q123" s="20"/>
      <c r="R123" s="20"/>
      <c r="S123" s="20"/>
      <c r="T123" s="20"/>
      <c r="U123" s="20"/>
      <c r="V123" s="20"/>
      <c r="W123" s="20"/>
      <c r="X123" s="20"/>
      <c r="Y123" s="20"/>
      <c r="Z123" s="20"/>
    </row>
    <row r="124" spans="5:26" ht="17.25" customHeight="1">
      <c r="E124" s="47"/>
      <c r="F124" s="20"/>
      <c r="G124" s="20"/>
      <c r="H124" s="20"/>
      <c r="I124" s="20"/>
      <c r="J124" s="20"/>
      <c r="K124" s="20"/>
      <c r="L124" s="20"/>
      <c r="M124" s="20"/>
      <c r="N124" s="20"/>
      <c r="O124" s="20"/>
      <c r="P124" s="20"/>
      <c r="Q124" s="20"/>
      <c r="R124" s="20"/>
      <c r="S124" s="20"/>
      <c r="T124" s="20"/>
      <c r="U124" s="20"/>
      <c r="V124" s="20"/>
      <c r="W124" s="20"/>
      <c r="X124" s="20"/>
      <c r="Y124" s="20"/>
      <c r="Z124" s="20"/>
    </row>
    <row r="125" spans="5:26" ht="17.25" customHeight="1">
      <c r="E125" s="47"/>
      <c r="F125" s="20"/>
      <c r="G125" s="20"/>
      <c r="H125" s="20"/>
      <c r="I125" s="20"/>
      <c r="J125" s="20"/>
      <c r="K125" s="20"/>
      <c r="L125" s="20"/>
      <c r="M125" s="20"/>
      <c r="N125" s="20"/>
      <c r="O125" s="20"/>
      <c r="P125" s="20"/>
      <c r="Q125" s="20"/>
      <c r="R125" s="20"/>
      <c r="S125" s="20"/>
      <c r="T125" s="20"/>
      <c r="U125" s="20"/>
      <c r="V125" s="20"/>
      <c r="W125" s="20"/>
      <c r="X125" s="20"/>
      <c r="Y125" s="20"/>
      <c r="Z125" s="20"/>
    </row>
    <row r="126" spans="5:26" ht="17.25" customHeight="1">
      <c r="E126" s="47"/>
      <c r="F126" s="20"/>
      <c r="G126" s="20"/>
      <c r="H126" s="20"/>
      <c r="I126" s="20"/>
      <c r="J126" s="20"/>
      <c r="K126" s="20"/>
      <c r="L126" s="20"/>
      <c r="M126" s="20"/>
      <c r="N126" s="20"/>
      <c r="O126" s="20"/>
      <c r="P126" s="20"/>
      <c r="Q126" s="20"/>
      <c r="R126" s="20"/>
      <c r="S126" s="20"/>
      <c r="T126" s="20"/>
      <c r="U126" s="20"/>
      <c r="V126" s="20"/>
      <c r="W126" s="20"/>
      <c r="X126" s="20"/>
      <c r="Y126" s="20"/>
      <c r="Z126" s="20"/>
    </row>
    <row r="127" spans="5:26" ht="17.25" customHeight="1">
      <c r="E127" s="47"/>
      <c r="F127" s="20"/>
      <c r="G127" s="20"/>
      <c r="H127" s="20"/>
      <c r="I127" s="20"/>
      <c r="J127" s="20"/>
      <c r="K127" s="20"/>
      <c r="L127" s="20"/>
      <c r="M127" s="20"/>
      <c r="N127" s="20"/>
      <c r="O127" s="20"/>
      <c r="P127" s="20"/>
      <c r="Q127" s="20"/>
      <c r="R127" s="20"/>
      <c r="S127" s="20"/>
      <c r="T127" s="20"/>
      <c r="U127" s="20"/>
      <c r="V127" s="20"/>
      <c r="W127" s="20"/>
      <c r="X127" s="20"/>
      <c r="Y127" s="20"/>
      <c r="Z127" s="20"/>
    </row>
    <row r="128" spans="5:26" ht="17.25" customHeight="1">
      <c r="E128" s="47"/>
      <c r="F128" s="20"/>
      <c r="G128" s="20"/>
      <c r="H128" s="20"/>
      <c r="I128" s="20"/>
      <c r="J128" s="20"/>
      <c r="K128" s="20"/>
      <c r="L128" s="20"/>
      <c r="M128" s="20"/>
      <c r="N128" s="20"/>
      <c r="O128" s="20"/>
      <c r="P128" s="20"/>
      <c r="Q128" s="20"/>
      <c r="R128" s="20"/>
      <c r="S128" s="20"/>
      <c r="T128" s="20"/>
      <c r="U128" s="20"/>
      <c r="V128" s="20"/>
      <c r="W128" s="20"/>
      <c r="X128" s="20"/>
      <c r="Y128" s="20"/>
      <c r="Z128" s="20"/>
    </row>
    <row r="129" spans="5:26" ht="17.25" customHeight="1">
      <c r="E129" s="47"/>
      <c r="F129" s="20"/>
      <c r="G129" s="20"/>
      <c r="H129" s="20"/>
      <c r="I129" s="20"/>
      <c r="J129" s="20"/>
      <c r="K129" s="20"/>
      <c r="L129" s="20"/>
      <c r="M129" s="20"/>
      <c r="N129" s="20"/>
      <c r="O129" s="20"/>
      <c r="P129" s="20"/>
      <c r="Q129" s="20"/>
      <c r="R129" s="20"/>
      <c r="S129" s="20"/>
      <c r="T129" s="20"/>
      <c r="U129" s="20"/>
      <c r="V129" s="20"/>
      <c r="W129" s="20"/>
      <c r="X129" s="20"/>
      <c r="Y129" s="20"/>
      <c r="Z129" s="20"/>
    </row>
    <row r="130" spans="5:26" ht="17.25" customHeight="1">
      <c r="E130" s="47"/>
      <c r="F130" s="20"/>
      <c r="G130" s="20"/>
      <c r="H130" s="20"/>
      <c r="I130" s="20"/>
      <c r="J130" s="20"/>
      <c r="K130" s="20"/>
      <c r="L130" s="20"/>
      <c r="M130" s="20"/>
      <c r="N130" s="20"/>
      <c r="O130" s="20"/>
      <c r="P130" s="20"/>
      <c r="Q130" s="20"/>
      <c r="R130" s="20"/>
      <c r="S130" s="20"/>
      <c r="T130" s="20"/>
      <c r="U130" s="20"/>
      <c r="V130" s="20"/>
      <c r="W130" s="20"/>
      <c r="X130" s="20"/>
      <c r="Y130" s="20"/>
      <c r="Z130" s="20"/>
    </row>
    <row r="131" spans="5:26" ht="17.25" customHeight="1">
      <c r="E131" s="47"/>
      <c r="F131" s="20"/>
      <c r="G131" s="20"/>
      <c r="H131" s="20"/>
      <c r="I131" s="20"/>
      <c r="J131" s="20"/>
      <c r="K131" s="20"/>
      <c r="L131" s="20"/>
      <c r="M131" s="20"/>
      <c r="N131" s="20"/>
      <c r="O131" s="20"/>
      <c r="P131" s="20"/>
      <c r="Q131" s="20"/>
      <c r="R131" s="20"/>
      <c r="S131" s="20"/>
      <c r="T131" s="20"/>
      <c r="U131" s="20"/>
      <c r="V131" s="20"/>
      <c r="W131" s="20"/>
      <c r="X131" s="20"/>
      <c r="Y131" s="20"/>
      <c r="Z131" s="20"/>
    </row>
    <row r="132" spans="5:26" ht="17.25" customHeight="1">
      <c r="E132" s="47"/>
      <c r="F132" s="20"/>
      <c r="G132" s="20"/>
      <c r="H132" s="20"/>
      <c r="I132" s="20"/>
      <c r="J132" s="20"/>
      <c r="K132" s="20"/>
      <c r="L132" s="20"/>
      <c r="M132" s="20"/>
      <c r="N132" s="20"/>
      <c r="O132" s="20"/>
      <c r="P132" s="20"/>
      <c r="Q132" s="20"/>
      <c r="R132" s="20"/>
      <c r="S132" s="20"/>
      <c r="T132" s="20"/>
      <c r="U132" s="20"/>
      <c r="V132" s="20"/>
      <c r="W132" s="20"/>
      <c r="X132" s="20"/>
      <c r="Y132" s="20"/>
      <c r="Z132" s="20"/>
    </row>
    <row r="133" spans="5:26" ht="17.25" customHeight="1">
      <c r="E133" s="47"/>
      <c r="F133" s="20"/>
      <c r="G133" s="20"/>
      <c r="H133" s="20"/>
      <c r="I133" s="20"/>
      <c r="J133" s="20"/>
      <c r="K133" s="20"/>
      <c r="L133" s="20"/>
      <c r="M133" s="20"/>
      <c r="N133" s="20"/>
      <c r="O133" s="20"/>
      <c r="P133" s="20"/>
      <c r="Q133" s="20"/>
      <c r="R133" s="20"/>
      <c r="S133" s="20"/>
      <c r="T133" s="20"/>
      <c r="U133" s="20"/>
      <c r="V133" s="20"/>
      <c r="W133" s="20"/>
      <c r="X133" s="20"/>
      <c r="Y133" s="20"/>
      <c r="Z133" s="20"/>
    </row>
    <row r="134" spans="5:26" ht="17.25" customHeight="1">
      <c r="E134" s="47"/>
      <c r="F134" s="20"/>
      <c r="G134" s="20"/>
      <c r="H134" s="20"/>
      <c r="I134" s="20"/>
      <c r="J134" s="20"/>
      <c r="K134" s="20"/>
      <c r="L134" s="20"/>
      <c r="M134" s="20"/>
      <c r="N134" s="20"/>
      <c r="O134" s="20"/>
      <c r="P134" s="20"/>
      <c r="Q134" s="20"/>
      <c r="R134" s="20"/>
      <c r="S134" s="20"/>
      <c r="T134" s="20"/>
      <c r="U134" s="20"/>
      <c r="V134" s="20"/>
      <c r="W134" s="20"/>
      <c r="X134" s="20"/>
      <c r="Y134" s="20"/>
      <c r="Z134" s="20"/>
    </row>
    <row r="135" spans="5:26" ht="17.25" customHeight="1">
      <c r="E135" s="47"/>
      <c r="F135" s="20"/>
      <c r="G135" s="20"/>
      <c r="H135" s="20"/>
      <c r="I135" s="20"/>
      <c r="J135" s="20"/>
      <c r="K135" s="20"/>
      <c r="L135" s="20"/>
      <c r="M135" s="20"/>
      <c r="N135" s="20"/>
      <c r="O135" s="20"/>
      <c r="P135" s="20"/>
      <c r="Q135" s="20"/>
      <c r="R135" s="20"/>
      <c r="S135" s="20"/>
      <c r="T135" s="20"/>
      <c r="U135" s="20"/>
      <c r="V135" s="20"/>
      <c r="W135" s="20"/>
      <c r="X135" s="20"/>
      <c r="Y135" s="20"/>
      <c r="Z135" s="20"/>
    </row>
    <row r="136" spans="5:26" ht="17.25" customHeight="1">
      <c r="E136" s="47"/>
      <c r="F136" s="20"/>
      <c r="G136" s="20"/>
      <c r="H136" s="20"/>
      <c r="I136" s="20"/>
      <c r="J136" s="20"/>
      <c r="K136" s="20"/>
      <c r="L136" s="20"/>
      <c r="M136" s="20"/>
      <c r="N136" s="20"/>
      <c r="O136" s="20"/>
      <c r="P136" s="20"/>
      <c r="Q136" s="20"/>
      <c r="R136" s="20"/>
      <c r="S136" s="20"/>
      <c r="T136" s="20"/>
      <c r="U136" s="20"/>
      <c r="V136" s="20"/>
      <c r="W136" s="20"/>
      <c r="X136" s="20"/>
      <c r="Y136" s="20"/>
      <c r="Z136" s="20"/>
    </row>
    <row r="137" spans="5:26" ht="17.25" customHeight="1">
      <c r="E137" s="47"/>
      <c r="F137" s="20"/>
      <c r="G137" s="20"/>
      <c r="H137" s="20"/>
      <c r="I137" s="20"/>
      <c r="J137" s="20"/>
      <c r="K137" s="20"/>
      <c r="L137" s="20"/>
      <c r="M137" s="20"/>
      <c r="N137" s="20"/>
      <c r="O137" s="20"/>
      <c r="P137" s="20"/>
      <c r="Q137" s="20"/>
      <c r="R137" s="20"/>
      <c r="S137" s="20"/>
      <c r="T137" s="20"/>
      <c r="U137" s="20"/>
      <c r="V137" s="20"/>
      <c r="W137" s="20"/>
      <c r="X137" s="20"/>
      <c r="Y137" s="20"/>
      <c r="Z137" s="20"/>
    </row>
    <row r="138" spans="5:26" ht="17.25" customHeight="1">
      <c r="E138" s="47"/>
      <c r="F138" s="20"/>
      <c r="G138" s="20"/>
      <c r="H138" s="20"/>
      <c r="I138" s="20"/>
      <c r="J138" s="20"/>
      <c r="K138" s="20"/>
      <c r="L138" s="20"/>
      <c r="M138" s="20"/>
      <c r="N138" s="20"/>
      <c r="O138" s="20"/>
      <c r="P138" s="20"/>
      <c r="Q138" s="20"/>
      <c r="R138" s="20"/>
      <c r="S138" s="20"/>
      <c r="T138" s="20"/>
      <c r="U138" s="20"/>
      <c r="V138" s="20"/>
      <c r="W138" s="20"/>
      <c r="X138" s="20"/>
      <c r="Y138" s="20"/>
      <c r="Z138" s="20"/>
    </row>
    <row r="139" spans="5:26" ht="17.25" customHeight="1">
      <c r="E139" s="47"/>
      <c r="F139" s="20"/>
      <c r="G139" s="20"/>
      <c r="H139" s="20"/>
      <c r="I139" s="20"/>
      <c r="J139" s="20"/>
      <c r="K139" s="20"/>
      <c r="L139" s="20"/>
      <c r="M139" s="20"/>
      <c r="N139" s="20"/>
      <c r="O139" s="20"/>
      <c r="P139" s="20"/>
      <c r="Q139" s="20"/>
      <c r="R139" s="20"/>
      <c r="S139" s="20"/>
      <c r="T139" s="20"/>
      <c r="U139" s="20"/>
      <c r="V139" s="20"/>
      <c r="W139" s="20"/>
      <c r="X139" s="20"/>
      <c r="Y139" s="20"/>
      <c r="Z139" s="20"/>
    </row>
    <row r="140" spans="5:26" ht="17.25" customHeight="1">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5:26" ht="17.25" customHeight="1">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5:26" ht="17.25" customHeight="1">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5:26" ht="17.25" customHeight="1">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5:26" ht="17.25" customHeight="1">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5:26" ht="17.25" customHeight="1">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5:26" ht="17.25" customHeight="1">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5:26" ht="17.25" customHeight="1">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5:26" ht="17.25" customHeight="1">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5:26" ht="17.25" customHeight="1">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5:26" ht="17.25" customHeight="1">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5:26" ht="17.25" customHeight="1">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5:26" ht="17.25" customHeight="1">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5:26" ht="17.25" customHeight="1">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5:26" ht="17.25" customHeight="1">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5:26" ht="17.25" customHeight="1">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5:26" ht="17.25" customHeight="1">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5:26" ht="17.25" customHeight="1">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5:26" ht="17.25" customHeight="1">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5:26" ht="17.25" customHeight="1">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5:26" ht="17.25" customHeight="1">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5:26" ht="17.25" customHeight="1">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5:26" ht="17.25" customHeight="1">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5:26" ht="17.25" customHeight="1">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5:26" ht="17.25" customHeight="1">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5:26" ht="17.25" customHeight="1">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5:26" ht="17.25" customHeight="1">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5:26" ht="17.25" customHeight="1">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5:26" ht="17.25" customHeight="1">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5:26" ht="17.25" customHeight="1">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5:26" ht="17.25" customHeight="1">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5:26" ht="17.25" customHeight="1">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5:26" ht="17.25" customHeight="1">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5:26" ht="17.25" customHeight="1">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5:26" ht="17.25" customHeight="1">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5:26" ht="17.25" customHeight="1">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5:26" ht="17.25" customHeight="1">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5:26" ht="17.25" customHeight="1">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5:26" ht="17.25" customHeight="1">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5:26" ht="17.25" customHeight="1">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5:26" ht="17.25" customHeight="1">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5:26" ht="17.25" customHeight="1">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5:26" ht="17.25" customHeight="1">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5:26" ht="17.25" customHeight="1">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5:26" ht="17.25" customHeight="1">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5:26" ht="17.25" customHeight="1">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5:26" ht="17.25" customHeight="1">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5:26" ht="17.25" customHeight="1">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5:26" ht="17.25" customHeight="1">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5:26" ht="17.25" customHeight="1">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5:26" ht="17.25" customHeight="1">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5:26" ht="17.25" customHeight="1">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5:26" ht="17.25" customHeight="1">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5:26" ht="17.25" customHeight="1">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5:26" ht="17.25" customHeight="1">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5:26" ht="17.25" customHeight="1">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5:26" ht="17.25" customHeight="1">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5:26" ht="17.25" customHeight="1">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5:26" ht="17.25" customHeight="1">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5:26" ht="17.25" customHeight="1">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5:26" ht="17.25" customHeight="1">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5:26" ht="17.25" customHeight="1">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5:26" ht="17.25" customHeight="1">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5:26" ht="17.25" customHeight="1">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5:26" ht="17.25" customHeight="1">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5:26" ht="17.25" customHeight="1">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5:26" ht="17.25" customHeight="1">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5:26" ht="17.25" customHeight="1">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5:26" ht="17.25" customHeight="1">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5:26" ht="17.25" customHeight="1">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5:26" ht="17.25" customHeight="1">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5:26" ht="17.25" customHeight="1">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5:26" ht="17.25" customHeight="1">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5:26" ht="17.25" customHeight="1">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5:26" ht="17.25" customHeight="1">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5:26" ht="17.25" customHeight="1">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5:26" ht="17.25" customHeight="1">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5:26" ht="17.25" customHeight="1">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5:26" ht="17.25" customHeight="1">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5:26" ht="17.25" customHeight="1">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5:26" ht="17.25" customHeight="1">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5:26" ht="17.25" customHeight="1">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5:26" ht="17.25" customHeight="1">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5:26" ht="17.25" customHeight="1">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5:26" ht="17.25" customHeight="1">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5:26" ht="17.25" customHeight="1">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5:26" ht="17.25" customHeight="1">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5:26" ht="17.25" customHeight="1">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5:26" ht="17.25" customHeight="1">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5:26" ht="17.25" customHeight="1">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5:26" ht="17.25" customHeight="1">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5:26" ht="17.25" customHeight="1">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5:26" ht="17.25" customHeight="1">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5:26" ht="17.25" customHeight="1">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5:26" ht="17.25" customHeight="1">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5:26" ht="17.25" customHeight="1">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5:26" ht="17.25" customHeight="1">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5:26" ht="17.25" customHeight="1">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5:26" ht="17.25" customHeight="1">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5:26" ht="17.25" customHeight="1">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5:26" ht="17.25" customHeight="1">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5:26" ht="17.25" customHeight="1">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5:26" ht="17.25" customHeight="1">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5:26" ht="17.25" customHeight="1">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5:26" ht="17.25" customHeight="1">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5:26" ht="17.25" customHeight="1">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5:26" ht="17.25" customHeight="1">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5:26" ht="17.25" customHeight="1">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5:26" ht="17.25" customHeight="1">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5:26" ht="17.25" customHeight="1">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5:26" ht="17.25" customHeight="1">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5:26" ht="17.25" customHeight="1">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5:26" ht="17.25" customHeight="1">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5:26" ht="17.25" customHeight="1">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5:26" ht="17.25" customHeight="1">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5:26" ht="17.25" customHeight="1">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5:26" ht="17.25" customHeight="1">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5:26" ht="17.25" customHeight="1">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5:26" ht="17.25" customHeight="1">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5:26" ht="17.25" customHeight="1">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5:26" ht="17.25" customHeight="1">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5:26" ht="17.25" customHeight="1">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5:26" ht="17.25" customHeight="1">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5:26" ht="17.25" customHeight="1">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5:26" ht="17.25" customHeight="1">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5:26" ht="17.25" customHeight="1">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5:26" ht="17.25" customHeight="1">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5:26" ht="17.25" customHeight="1">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5:26" ht="17.25" customHeight="1">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5:26" ht="17.25" customHeight="1">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5:26" ht="17.25" customHeight="1">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5:26" ht="17.25" customHeight="1">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5:26" ht="17.25" customHeight="1">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5:26" ht="17.25" customHeight="1">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5:26" ht="17.25" customHeight="1">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5:26" ht="17.25" customHeight="1">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5:26" ht="17.25" customHeight="1">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5:26" ht="17.25" customHeight="1">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5:26" ht="17.25" customHeight="1">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5:26" ht="17.25" customHeight="1">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5:26" ht="17.25" customHeight="1">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5:26" ht="17.25" customHeight="1">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5:26" ht="17.25" customHeight="1">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5:26" ht="17.25" customHeight="1">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5:26" ht="17.25" customHeight="1">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5:26" ht="17.25" customHeight="1">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5:26" ht="17.25" customHeight="1">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5:26" ht="17.25" customHeight="1">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5:26" ht="17.25" customHeight="1">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5:26" ht="17.25" customHeight="1">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5:26" ht="17.25" customHeight="1">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5:26" ht="17.25" customHeight="1">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5:26" ht="17.25" customHeight="1">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5:26" ht="17.25" customHeight="1">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5:26" ht="17.25" customHeight="1">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5:26" ht="17.25" customHeight="1">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5:26" ht="17.25" customHeight="1">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5:26" ht="17.25" customHeight="1">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5:26" ht="17.25" customHeight="1">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5:26" ht="17.25" customHeight="1">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5:26" ht="17.25" customHeight="1">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5:26" ht="17.25" customHeight="1">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5:26" ht="17.25" customHeight="1">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5:26" ht="17.25" customHeight="1">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5:26" ht="17.25" customHeight="1">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5:26" ht="17.25" customHeight="1">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5:26" ht="17.25" customHeight="1">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5:26" ht="17.25" customHeight="1">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5:26" ht="17.25" customHeight="1">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5:26" ht="17.25" customHeight="1">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5:26" ht="17.25" customHeight="1">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5:26" ht="17.25" customHeight="1">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5:26" ht="17.25" customHeight="1">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5:26" ht="17.25" customHeight="1">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5:26" ht="17.25" customHeight="1">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5:26" ht="17.25" customHeight="1">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5:26" ht="17.25" customHeight="1">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5:26" ht="17.25" customHeight="1">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5:26" ht="17.25" customHeight="1">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5:26" ht="17.25" customHeight="1">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5:26" ht="17.25" customHeight="1">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5:26" ht="17.25" customHeight="1">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5:26" ht="17.25" customHeight="1">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5:26" ht="17.25" customHeight="1">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5:26" ht="17.25" customHeight="1">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5:26" ht="17.25" customHeight="1">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5:26" ht="17.25" customHeight="1">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5:26" ht="17.25" customHeight="1">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5:26" ht="17.25" customHeight="1">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5:26" ht="17.25" customHeight="1">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5:26" ht="17.25" customHeight="1">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5:26" ht="17.25" customHeight="1">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5:26" ht="17.25" customHeight="1">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5:26" ht="17.25" customHeight="1">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5:26" ht="17.25" customHeight="1">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5:26" ht="17.25" customHeight="1">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5:26" ht="17.25" customHeight="1">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5:26" ht="17.25" customHeight="1">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5:26" ht="17.25" customHeight="1">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5:26" ht="17.25" customHeight="1">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5:26" ht="17.25" customHeight="1">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5:26" ht="17.25" customHeight="1">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5:26" ht="17.25" customHeight="1">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5:26" ht="17.25" customHeight="1">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5:26" ht="17.25" customHeight="1">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5:26" ht="17.25" customHeight="1">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5:26" ht="17.25" customHeight="1">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5:26" ht="17.25" customHeight="1">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5:26" ht="17.25" customHeight="1">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5:26" ht="17.25" customHeight="1">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5:26" ht="17.25" customHeight="1">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5:26" ht="17.25" customHeight="1">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5:26" ht="17.25" customHeight="1">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5:26" ht="17.25" customHeight="1">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5:26" ht="17.25" customHeight="1">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5:26" ht="17.25" customHeight="1">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5:26" ht="17.25" customHeight="1">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5:26" ht="17.25" customHeight="1">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5:26" ht="17.25" customHeight="1">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5:26" ht="17.25" customHeight="1">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5:26" ht="17.25" customHeight="1">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5:26" ht="17.25" customHeight="1">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5:26" ht="17.25" customHeight="1">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5:26" ht="17.25" customHeight="1">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5:26" ht="17.25" customHeight="1">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5:26" ht="17.25" customHeight="1">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5:26" ht="17.25" customHeight="1">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5:26" ht="17.25" customHeight="1">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5:26" ht="17.25" customHeight="1">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5:26" ht="17.25" customHeight="1">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5:26" ht="17.25" customHeight="1">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5:26" ht="17.25" customHeight="1">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5:26" ht="17.25" customHeight="1">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5:26" ht="17.25" customHeight="1">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5:26" ht="17.25" customHeight="1">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5:26" ht="17.25" customHeight="1">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5:26" ht="17.25" customHeight="1">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5:26" ht="17.25" customHeight="1">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5:26" ht="17.25" customHeight="1">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5:26" ht="17.25" customHeight="1">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5:26" ht="17.25" customHeight="1">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5:26" ht="17.25" customHeight="1">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5:26" ht="17.25" customHeight="1">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5:26" ht="17.25" customHeight="1">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5:26" ht="17.25" customHeight="1">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5:26" ht="17.25" customHeight="1">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5:26" ht="17.25" customHeight="1">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5:26" ht="17.25" customHeight="1">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5:26" ht="17.25" customHeight="1">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5:26" ht="17.25" customHeight="1">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5:26" ht="17.25" customHeight="1">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5:26" ht="17.25" customHeight="1">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5:26" ht="17.25" customHeight="1">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5:26" ht="17.25" customHeight="1">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5:26" ht="17.25" customHeight="1">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5:26" ht="17.25" customHeight="1">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5:26" ht="17.25" customHeight="1">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5:26" ht="17.25" customHeight="1">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5:26" ht="17.25" customHeight="1">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5:26" ht="17.25" customHeight="1">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5:26" ht="17.25" customHeight="1">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5:26" ht="17.25" customHeight="1">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5:26" ht="17.25" customHeight="1">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5:26" ht="17.25" customHeight="1">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5:26" ht="17.25" customHeight="1">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5:26" ht="17.25" customHeight="1">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5:26" ht="17.25" customHeight="1">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5:26" ht="17.25" customHeight="1">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5:26" ht="17.25" customHeight="1">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5:26" ht="17.25" customHeight="1">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5:26" ht="17.25" customHeight="1">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5:26" ht="17.25" customHeight="1">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5:26" ht="17.25" customHeight="1">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5:26" ht="17.25" customHeight="1">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5:26" ht="17.25" customHeight="1">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5:26" ht="17.25" customHeight="1">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5:26" ht="17.25" customHeight="1">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5:26" ht="17.25" customHeight="1">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5:26" ht="17.25" customHeight="1">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5:26" ht="17.25" customHeight="1">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5:26" ht="17.25" customHeight="1">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5:26" ht="17.25" customHeight="1">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5:26" ht="17.25" customHeight="1">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5:26" ht="17.25" customHeight="1">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5:26" ht="17.25" customHeight="1">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5:26" ht="17.25" customHeight="1">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5:26" ht="17.25" customHeight="1">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5:26" ht="17.25" customHeight="1">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5:26" ht="17.25" customHeight="1">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5:26" ht="17.25" customHeight="1">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5:26" ht="17.25" customHeight="1">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5:26" ht="17.25" customHeight="1">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5:26" ht="17.25" customHeight="1">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5:26" ht="17.25" customHeight="1">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5:26" ht="17.25" customHeight="1">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5:26" ht="17.25" customHeight="1">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5:26" ht="17.25" customHeight="1">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5:26" ht="17.25" customHeight="1">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5:26" ht="17.25" customHeight="1">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5:26" ht="17.25" customHeight="1">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5:26" ht="17.25" customHeight="1">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5:26" ht="17.25" customHeight="1">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5:26" ht="17.25" customHeight="1">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5:26" ht="17.25" customHeight="1">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5:26" ht="17.25" customHeight="1">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5:26" ht="17.25" customHeight="1">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5:26" ht="17.25" customHeight="1">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5:26" ht="17.25" customHeight="1">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5:26" ht="17.25" customHeight="1">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5:26" ht="17.25" customHeight="1">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5:26" ht="17.25" customHeight="1">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5:26" ht="17.25" customHeight="1">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5:26" ht="17.25" customHeight="1">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5:26" ht="17.25" customHeight="1">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5:26" ht="17.25" customHeight="1">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5:26" ht="17.25" customHeight="1">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5:26" ht="17.25" customHeight="1">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5:26" ht="17.25" customHeight="1">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5:26" ht="17.25" customHeight="1">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5:26" ht="17.25" customHeight="1">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5:26" ht="17.25" customHeight="1">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5:26" ht="17.25" customHeight="1">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5:26" ht="17.25" customHeight="1">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5:26" ht="17.25" customHeight="1">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5:26" ht="17.25" customHeight="1">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5:26" ht="17.25" customHeight="1">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5:26" ht="17.25" customHeight="1">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5:26" ht="17.25" customHeight="1">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5:26" ht="17.25" customHeight="1">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5:26" ht="17.25" customHeight="1">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5:26" ht="17.25" customHeight="1">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5:26" ht="17.25" customHeight="1">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5:26" ht="17.25" customHeight="1">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5:26" ht="17.25" customHeight="1">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5:26" ht="17.25" customHeight="1">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5:26" ht="17.25" customHeight="1">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5:26" ht="17.25" customHeight="1">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5:26" ht="17.25" customHeight="1">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5:26" ht="17.25" customHeight="1">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5:26" ht="17.25" customHeight="1">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5:26" ht="17.25" customHeight="1">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5:26" ht="17.25" customHeight="1">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5:26" ht="17.25" customHeight="1">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5:26" ht="17.25" customHeight="1">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5:26" ht="17.25" customHeight="1">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5:26" ht="17.25" customHeight="1">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5:26" ht="17.25" customHeight="1">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5:26" ht="17.25" customHeight="1">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5:26" ht="17.25" customHeight="1">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5:26" ht="17.25" customHeight="1">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5:26" ht="17.25" customHeight="1">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5:26" ht="17.25" customHeight="1">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5:26" ht="17.25" customHeight="1">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5:26" ht="17.25" customHeight="1">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5:26" ht="17.25" customHeight="1">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5:26" ht="17.25" customHeight="1">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5:26" ht="17.25" customHeight="1">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5:26" ht="17.25" customHeight="1">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5:26" ht="17.25" customHeight="1">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5:26" ht="17.25" customHeight="1">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5:26" ht="17.25" customHeight="1">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5:26" ht="17.25" customHeight="1">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5:26" ht="17.25" customHeight="1">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5:26" ht="17.25" customHeight="1">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5:26" ht="17.25" customHeight="1">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5:26" ht="17.25" customHeight="1">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5:26" ht="17.25" customHeight="1">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5:26" ht="17.25" customHeight="1">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5:26" ht="17.25" customHeight="1">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5:26" ht="17.25" customHeight="1">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5:26" ht="17.25" customHeight="1">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5:26" ht="17.25" customHeight="1">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5:26" ht="17.25" customHeight="1">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5:26" ht="17.25" customHeight="1">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5:26" ht="17.25" customHeight="1">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5:26" ht="17.25" customHeight="1">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5:26" ht="17.25" customHeight="1">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5:26" ht="17.25" customHeight="1">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5:26" ht="17.25" customHeight="1">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5:26" ht="17.25" customHeight="1">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5:26" ht="17.25" customHeight="1">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5:26" ht="17.25" customHeight="1">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5:26" ht="17.25" customHeight="1">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5:26" ht="17.25" customHeight="1">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5:26" ht="17.25" customHeight="1">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5:26" ht="17.25" customHeight="1">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5:26" ht="17.25" customHeight="1">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5:26" ht="17.25" customHeight="1">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5:26" ht="17.25" customHeight="1">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5:26" ht="17.25" customHeight="1">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5:26" ht="17.25" customHeight="1">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5:26" ht="17.25" customHeight="1">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5:26" ht="17.25" customHeight="1">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5:26" ht="17.25" customHeight="1">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5:26" ht="17.25" customHeight="1">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5:26" ht="17.25" customHeight="1">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5:26" ht="17.25" customHeight="1">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5:26" ht="17.25" customHeight="1">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5:26" ht="17.25" customHeight="1">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5:26" ht="17.25" customHeight="1">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5:26" ht="17.25" customHeight="1">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5:26" ht="17.25" customHeight="1">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5:26" ht="17.25" customHeight="1">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5:26" ht="17.25" customHeight="1">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5:26" ht="17.25" customHeight="1">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5:26" ht="17.25" customHeight="1">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5:26" ht="17.25" customHeight="1">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5:26" ht="17.25" customHeight="1">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5:26" ht="17.25" customHeight="1">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5:26" ht="17.25" customHeight="1">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5:26" ht="17.25" customHeight="1">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5:26" ht="17.25" customHeight="1">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5:26" ht="17.25" customHeight="1">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5:26" ht="17.25" customHeight="1">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5:26" ht="17.25" customHeight="1">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5:26" ht="17.25" customHeight="1">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5:26" ht="17.25" customHeight="1">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5:26" ht="17.25" customHeight="1">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5:26" ht="17.25" customHeight="1">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5:26" ht="17.25" customHeight="1">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5:26" ht="17.25" customHeight="1">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5:26" ht="17.25" customHeight="1">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5:26" ht="17.25" customHeight="1">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5:26" ht="17.25" customHeight="1">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5:26" ht="17.25" customHeight="1">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5:26" ht="17.25" customHeight="1">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5:26" ht="17.25" customHeight="1">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5:26" ht="17.25" customHeight="1">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5:26" ht="17.25" customHeight="1">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5:26" ht="17.25" customHeight="1">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5:26" ht="17.25" customHeight="1">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5:26" ht="17.25" customHeight="1">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5:26" ht="17.25" customHeight="1">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5:26" ht="17.25" customHeight="1">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5:26" ht="17.25" customHeight="1">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5:26" ht="17.25" customHeight="1">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5:26" ht="17.25" customHeight="1">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5:26" ht="17.25" customHeight="1">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5:26" ht="17.25" customHeight="1">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5:26" ht="17.25" customHeight="1">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5:26" ht="17.25" customHeight="1">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5:26" ht="17.25" customHeight="1">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5:26" ht="17.25" customHeight="1">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5:26" ht="17.25" customHeight="1">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5:26" ht="17.25" customHeight="1">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5:26" ht="17.25" customHeight="1">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5:26" ht="17.25" customHeight="1">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5:26" ht="17.25" customHeight="1">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5:26" ht="17.25" customHeight="1">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5:26" ht="17.25" customHeight="1">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5:26" ht="17.25" customHeight="1">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5:26" ht="17.25" customHeight="1">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5:26" ht="17.25" customHeight="1">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5:26" ht="17.25" customHeight="1">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5:26" ht="17.25" customHeight="1">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5:26" ht="17.25" customHeight="1">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5:26" ht="17.25" customHeight="1">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5:26" ht="17.25" customHeight="1">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5:26" ht="17.25" customHeight="1">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5:26" ht="17.25" customHeight="1">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5:26" ht="17.25" customHeight="1">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5:26" ht="17.25" customHeight="1">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5:26" ht="17.25" customHeight="1">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5:26" ht="17.25" customHeight="1">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5:26" ht="17.25" customHeight="1">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5:26" ht="17.25" customHeight="1">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5:26" ht="17.25" customHeight="1">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5:26" ht="17.25" customHeight="1">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5:26" ht="17.25" customHeight="1">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5:26" ht="17.25" customHeight="1">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5:26" ht="17.25" customHeight="1">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5:26" ht="17.25" customHeight="1">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5:26" ht="17.25" customHeight="1">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5:26" ht="17.25" customHeight="1">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5:26" ht="17.25" customHeight="1">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5:26" ht="17.25" customHeight="1">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5:26" ht="17.25" customHeight="1">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5:26" ht="17.25" customHeight="1">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5:26" ht="17.25" customHeight="1">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5:26" ht="17.25" customHeight="1">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5:26" ht="17.25" customHeight="1">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5:26" ht="17.25" customHeight="1">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5:26" ht="17.25" customHeight="1">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5:26" ht="17.25" customHeight="1">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5:26" ht="17.25" customHeight="1">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5:26" ht="17.25" customHeight="1">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5:26" ht="17.25" customHeight="1">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5:26" ht="17.25" customHeight="1">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5:26" ht="17.25" customHeight="1">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5:26" ht="17.25" customHeight="1">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5:26" ht="17.25" customHeight="1">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5:26" ht="17.25" customHeight="1">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5:26" ht="17.25" customHeight="1">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5:26" ht="17.25" customHeight="1">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5:26" ht="17.25" customHeight="1">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5:26" ht="17.25" customHeight="1">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5:26" ht="17.25" customHeight="1">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5:26" ht="17.25" customHeight="1">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5:26" ht="17.25" customHeight="1">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5:26" ht="17.25" customHeight="1">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5:26" ht="17.25" customHeight="1">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5:26" ht="17.25" customHeight="1">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5:26" ht="17.25" customHeight="1">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5:26" ht="17.25" customHeight="1">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5:26" ht="17.25" customHeight="1">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5:26" ht="17.25" customHeight="1">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5:26" ht="17.25" customHeight="1">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5:26" ht="17.25" customHeight="1">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5:26" ht="17.25" customHeight="1">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5:26" ht="17.25" customHeight="1">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5:26" ht="17.25" customHeight="1">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5:26" ht="17.25" customHeight="1">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5:26" ht="17.25" customHeight="1">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5:26" ht="17.25" customHeight="1">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5:26" ht="17.25" customHeight="1">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5:26" ht="17.25" customHeight="1">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5:26" ht="17.25" customHeight="1">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5:26" ht="17.25" customHeight="1">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5:26" ht="17.25" customHeight="1">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5:26" ht="17.25" customHeight="1">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5:26" ht="17.25" customHeight="1">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5:26" ht="17.25" customHeight="1">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5:26" ht="17.25" customHeight="1">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5:26" ht="17.25" customHeight="1">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5:26" ht="17.25" customHeight="1">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5:26" ht="17.25" customHeight="1">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5:26" ht="17.25" customHeight="1">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5:26" ht="17.25" customHeight="1">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5:26" ht="17.25" customHeight="1">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5:26" ht="17.25" customHeight="1">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5:26" ht="17.25" customHeight="1">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5:26" ht="17.25" customHeight="1">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5:26" ht="17.25" customHeight="1">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5:26" ht="17.25" customHeight="1">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5:26" ht="17.25" customHeight="1">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5:26" ht="17.25" customHeight="1">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5:26" ht="17.25" customHeight="1">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5:26" ht="17.25" customHeight="1">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5:26" ht="17.25" customHeight="1">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5:26" ht="17.25" customHeight="1">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5:26" ht="17.25" customHeight="1">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5:26" ht="17.25" customHeight="1">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5:26" ht="17.25" customHeight="1">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5:26" ht="17.25" customHeight="1">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5:26" ht="17.25" customHeight="1">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5:26" ht="17.25" customHeight="1">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5:26" ht="17.25" customHeight="1">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5:26" ht="17.25" customHeight="1">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5:26" ht="17.25" customHeight="1">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5:26" ht="17.25" customHeight="1">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5:26" ht="17.25" customHeight="1">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5:26" ht="17.25" customHeight="1">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5:26" ht="17.25" customHeight="1">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5:26" ht="17.25" customHeight="1">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5:26" ht="17.25" customHeight="1">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5:26" ht="17.25" customHeight="1">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5:26" ht="17.25" customHeight="1">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5:26" ht="17.25" customHeight="1">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5:26" ht="17.25" customHeight="1">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5:26" ht="17.25" customHeight="1">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5:26" ht="17.25" customHeight="1">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5:26" ht="17.25" customHeight="1">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5:26" ht="17.25" customHeight="1">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5:26" ht="17.25" customHeight="1">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5:26" ht="17.25" customHeight="1">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5:26" ht="17.25" customHeight="1">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5:26" ht="17.25" customHeight="1">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5:26" ht="17.25" customHeight="1">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5:26" ht="17.25" customHeight="1">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5:26" ht="17.25" customHeight="1">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5:26" ht="17.25" customHeight="1">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5:26" ht="17.25" customHeight="1">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5:26" ht="17.25" customHeight="1">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5:26" ht="17.25" customHeight="1">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5:26" ht="17.25" customHeight="1">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5:26" ht="17.25" customHeight="1">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5:26" ht="17.25" customHeight="1">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5:26" ht="17.25" customHeight="1">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5:26" ht="17.25" customHeight="1">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5:26" ht="17.25" customHeight="1">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5:26" ht="17.25" customHeight="1">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5:26" ht="17.25" customHeight="1">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5:26" ht="17.25" customHeight="1">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5:26" ht="17.25" customHeight="1">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5:26" ht="17.25" customHeight="1">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5:26" ht="17.25" customHeight="1">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5:26" ht="17.25" customHeight="1">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5:26" ht="17.25" customHeight="1">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5:26" ht="17.25" customHeight="1">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5:26" ht="17.25" customHeight="1">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5:26" ht="17.25" customHeight="1">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5:26" ht="17.25" customHeight="1">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5:26" ht="17.25" customHeight="1">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5:26" ht="17.25" customHeight="1">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5:26" ht="17.25" customHeight="1">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5:26" ht="17.25" customHeight="1">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5:26" ht="17.25" customHeight="1">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5:26" ht="17.25" customHeight="1">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5:26" ht="17.25" customHeight="1">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5:26" ht="17.25" customHeight="1">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5:26" ht="17.25" customHeight="1">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5:26" ht="17.25" customHeight="1">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5:26" ht="17.25" customHeight="1">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5:26" ht="17.25" customHeight="1">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5:26" ht="17.25" customHeight="1">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5:26" ht="17.25" customHeight="1">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5:26" ht="17.25" customHeight="1">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5:26" ht="17.25" customHeight="1">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5:26" ht="17.25" customHeight="1">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5:26" ht="17.25" customHeight="1">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5:26" ht="17.25" customHeight="1">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5:26" ht="17.25" customHeight="1">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5:26" ht="17.25" customHeight="1">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5:26" ht="17.25" customHeight="1">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5:26" ht="17.25" customHeight="1">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5:26" ht="17.25" customHeight="1">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5:26" ht="17.25" customHeight="1">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5:26" ht="17.25" customHeight="1">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5:26" ht="17.25" customHeight="1">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5:26" ht="17.25" customHeight="1">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5:26" ht="17.25" customHeight="1">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5:26" ht="17.25" customHeight="1">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5:26" ht="17.25" customHeight="1">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5:26" ht="17.25" customHeight="1">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5:26" ht="17.25" customHeight="1">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5:26" ht="17.25" customHeight="1">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5:26" ht="17.25" customHeight="1">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5:26" ht="17.25" customHeight="1">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5:26" ht="17.25" customHeight="1">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5:26" ht="17.25" customHeight="1">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5:26" ht="17.25" customHeight="1">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5:26" ht="17.25" customHeight="1">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5:26" ht="17.25" customHeight="1">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5:26" ht="17.25" customHeight="1">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5:26" ht="17.25" customHeight="1">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5:26" ht="17.25" customHeight="1">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5:26" ht="17.25" customHeight="1">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5:26" ht="17.25" customHeight="1">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5:26" ht="17.25" customHeight="1">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5:26" ht="17.25" customHeight="1">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5:26" ht="17.25" customHeight="1">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5:26" ht="17.25" customHeight="1">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5:26" ht="17.25" customHeight="1">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5:26" ht="17.25" customHeight="1">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5:26" ht="17.25" customHeight="1">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5:26" ht="17.25" customHeight="1">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5:26" ht="17.25" customHeight="1">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5:26" ht="17.25" customHeight="1">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5:26" ht="17.25" customHeight="1">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5:26" ht="17.25" customHeight="1">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5:26" ht="17.25" customHeight="1">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5:26" ht="17.25" customHeight="1">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5:26" ht="17.25" customHeight="1">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5:26" ht="17.25" customHeight="1">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5:26" ht="17.25" customHeight="1">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5:26" ht="17.25" customHeight="1">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5:26" ht="17.25" customHeight="1">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5:26" ht="17.25" customHeight="1">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5:26" ht="17.25" customHeight="1">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5:26" ht="17.25" customHeight="1">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5:26" ht="17.25" customHeight="1">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5:26" ht="17.25" customHeight="1">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5:26" ht="17.25" customHeight="1">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5:26" ht="17.25" customHeight="1">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5:26" ht="17.25" customHeight="1">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5:26" ht="17.25" customHeight="1">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5:26" ht="17.25" customHeight="1">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5:26" ht="17.25" customHeight="1">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5:26" ht="17.25" customHeight="1">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5:26" ht="17.25" customHeight="1">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5:26" ht="17.25" customHeight="1">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5:26" ht="17.25" customHeight="1">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5:26" ht="17.25" customHeight="1">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5:26" ht="17.25" customHeight="1">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5:26" ht="17.25" customHeight="1">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5:26" ht="17.25" customHeight="1">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5:26" ht="17.25" customHeight="1">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5:26" ht="17.25" customHeight="1">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5:26" ht="17.25" customHeight="1">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5:26" ht="17.25" customHeight="1">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5:26" ht="17.25" customHeight="1">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5:26" ht="17.25" customHeight="1">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5:26" ht="17.25" customHeight="1">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5:26" ht="17.25" customHeight="1">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5:26" ht="17.25" customHeight="1">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5:26" ht="17.25" customHeight="1">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5:26" ht="17.25" customHeight="1">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5:26" ht="17.25" customHeight="1">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5:26" ht="17.25" customHeight="1">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5:26" ht="17.25" customHeight="1">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5:26" ht="17.25" customHeight="1">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5:26" ht="17.25" customHeight="1">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5:26" ht="17.25" customHeight="1">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5:26" ht="17.25" customHeight="1">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5:26" ht="17.25" customHeight="1">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5:26" ht="17.25" customHeight="1">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5:26" ht="17.25" customHeight="1">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5:26" ht="17.25" customHeight="1">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5:26" ht="17.25" customHeight="1">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5:26" ht="17.25" customHeight="1">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5:26" ht="17.25" customHeight="1">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5:26" ht="17.25" customHeight="1">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5:26" ht="17.25" customHeight="1">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5:26" ht="17.25" customHeight="1">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5:26" ht="17.25" customHeight="1">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5:26" ht="17.25" customHeight="1">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5:26" ht="17.25" customHeight="1">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5:26" ht="17.25" customHeight="1">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5:26" ht="17.25" customHeight="1">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5:26" ht="17.25" customHeight="1">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5:26" ht="17.25" customHeight="1">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5:26" ht="17.25" customHeight="1">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5:26" ht="17.25" customHeight="1">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5:26" ht="17.25" customHeight="1">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5:26" ht="17.25" customHeight="1">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5:26" ht="17.25" customHeight="1">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5:26" ht="17.25" customHeight="1">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5:26" ht="17.25" customHeight="1">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5:26" ht="17.25" customHeight="1">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5:26" ht="17.25" customHeight="1">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5:26" ht="17.25" customHeight="1">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5:26" ht="17.25" customHeight="1">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5:26" ht="17.25" customHeight="1">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5:26" ht="17.25" customHeight="1">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5:26" ht="17.25" customHeight="1">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5:26" ht="17.25" customHeight="1">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5:26" ht="17.25" customHeight="1">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5:26" ht="17.25" customHeight="1">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5:26" ht="17.25" customHeight="1">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5:26" ht="17.25" customHeight="1">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5:26" ht="17.25" customHeight="1">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5:26" ht="17.25" customHeight="1">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5:26" ht="17.25" customHeight="1">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5:26" ht="17.25" customHeight="1">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5:26" ht="17.25" customHeight="1">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5:26" ht="17.25" customHeight="1">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5:26" ht="17.25" customHeight="1">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5:26" ht="17.25" customHeight="1">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5:26" ht="17.25" customHeight="1">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5:26" ht="17.25" customHeight="1">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5:26" ht="17.25" customHeight="1">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5:26" ht="17.25" customHeight="1">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5:26" ht="17.25" customHeight="1">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5:26" ht="17.25" customHeight="1">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5:26" ht="17.25" customHeight="1">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5:26" ht="17.25" customHeight="1">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5:26" ht="17.25" customHeight="1">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5:26" ht="17.25" customHeight="1">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5:26" ht="17.25" customHeight="1">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5:26" ht="17.25" customHeight="1">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5:26" ht="17.25" customHeight="1">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5:26" ht="17.25" customHeight="1">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5:26" ht="17.25" customHeight="1">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5:26" ht="17.25" customHeight="1">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5:26" ht="17.25" customHeight="1">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5:26" ht="17.25" customHeight="1">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5:26" ht="17.25" customHeight="1">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5:26" ht="17.25" customHeight="1">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5:26" ht="17.25" customHeight="1">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5:26" ht="17.25" customHeight="1">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5:26" ht="17.25" customHeight="1">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5:26" ht="17.25" customHeight="1">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5:26" ht="17.25" customHeight="1">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5:26" ht="17.25" customHeight="1">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5:26" ht="17.25" customHeight="1">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5:26" ht="17.25" customHeight="1">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5:26" ht="17.25" customHeight="1">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5:26" ht="17.25" customHeight="1">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5:26" ht="17.25" customHeight="1">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5:26" ht="17.25" customHeight="1">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5:26" ht="17.25" customHeight="1">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5:26" ht="17.25" customHeight="1">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5:26" ht="17.25" customHeight="1">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5:26" ht="17.25" customHeight="1">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5:26" ht="17.25" customHeight="1">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5:26" ht="17.25" customHeight="1">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5:26" ht="17.25" customHeight="1">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5:26" ht="17.25" customHeight="1">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5:26" ht="17.25" customHeight="1">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5:26" ht="17.25" customHeight="1">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5:26" ht="17.25" customHeight="1">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5:26" ht="17.25" customHeight="1">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5:26" ht="17.25" customHeight="1">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5:26" ht="17.25" customHeight="1">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5:26" ht="17.25" customHeight="1">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5:26" ht="17.25" customHeight="1">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5:26" ht="17.25" customHeight="1">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5:26" ht="17.25" customHeight="1">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5:26" ht="17.25" customHeight="1">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5:26" ht="17.25" customHeight="1">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5:26" ht="17.25" customHeight="1">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5:26" ht="17.25" customHeight="1">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5:26" ht="17.25" customHeight="1">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5:26" ht="17.25" customHeight="1">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5:26" ht="17.25" customHeight="1">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5:26" ht="17.25" customHeight="1">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5:26" ht="17.25" customHeight="1">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5:26" ht="17.25" customHeight="1">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5:26" ht="17.25" customHeight="1">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5:26" ht="17.25" customHeight="1">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5:26" ht="17.25" customHeight="1">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5:26" ht="17.25" customHeight="1">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5:26" ht="17.25" customHeight="1">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5:26" ht="17.25" customHeight="1">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5:26" ht="17.25" customHeight="1">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5:26" ht="17.25" customHeight="1">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5:26" ht="17.25" customHeight="1">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5:26" ht="17.25" customHeight="1">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5:26" ht="17.25" customHeight="1">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5:26" ht="17.25" customHeight="1">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5:26" ht="17.25" customHeight="1">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5:26" ht="17.25" customHeight="1">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5:26" ht="17.25" customHeight="1">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5:26" ht="17.25" customHeight="1">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5:26" ht="17.25" customHeight="1">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5:26" ht="17.25" customHeight="1">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5:26" ht="17.25" customHeight="1">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5:26" ht="17.25" customHeight="1">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5:26" ht="17.25" customHeight="1">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5:26" ht="17.25" customHeight="1">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5:26" ht="17.25" customHeight="1">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5:26" ht="17.25" customHeight="1">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5:26" ht="17.25" customHeight="1">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5:26" ht="17.25" customHeight="1">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5:26" ht="17.25" customHeight="1">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5:26" ht="17.25" customHeight="1">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5:26" ht="17.25" customHeight="1">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5:26" ht="17.25" customHeight="1">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5:26" ht="17.25" customHeight="1">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5:26" ht="17.25" customHeight="1">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5:26" ht="17.25" customHeight="1">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5:26" ht="17.25" customHeight="1">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5:26" ht="17.25" customHeight="1">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5:26" ht="17.25" customHeight="1">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5:26" ht="17.25" customHeight="1">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5:26" ht="17.25" customHeight="1">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5:26" ht="17.25" customHeight="1">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5:26" ht="17.25" customHeight="1">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5:26" ht="17.25" customHeight="1">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5:26" ht="17.25" customHeight="1">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5:26" ht="17.25" customHeight="1">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5:26" ht="17.25" customHeight="1">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5:26" ht="17.25" customHeight="1">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5:26" ht="17.25" customHeight="1">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5:26" ht="17.25" customHeight="1">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5:26" ht="17.25" customHeight="1">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5:26" ht="17.25" customHeight="1">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5:26" ht="17.25" customHeight="1">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5:26" ht="17.25" customHeight="1">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5:26" ht="17.25" customHeight="1">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5:26" ht="17.25" customHeight="1">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5:26" ht="17.25" customHeight="1">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5:26" ht="17.25" customHeight="1">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5:26" ht="17.25" customHeight="1">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5:26" ht="17.25" customHeight="1">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5:26" ht="17.25" customHeight="1">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5:26" ht="17.25" customHeight="1">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5:26" ht="17.25" customHeight="1">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5:26" ht="17.25" customHeight="1">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5:26" ht="17.25" customHeight="1">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5:26" ht="17.25" customHeight="1">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7:B39 C7:E59 B46 B51:B55">
    <cfRule type="containsBlanks" dxfId="59" priority="1">
      <formula>LEN(TRIM(B7))=0</formula>
    </cfRule>
  </conditionalFormatting>
  <conditionalFormatting sqref="C3:C6 E3:E6 D3:D59">
    <cfRule type="containsBlanks" dxfId="58" priority="2">
      <formula>LEN(TRIM(C3))=0</formula>
    </cfRule>
  </conditionalFormatting>
  <conditionalFormatting sqref="D7:D59">
    <cfRule type="containsBlanks" dxfId="57" priority="3">
      <formula>LEN(TRIM(D7))=0</formula>
    </cfRule>
  </conditionalFormatting>
  <dataValidations count="1">
    <dataValidation type="list" allowBlank="1" showErrorMessage="1" sqref="C3:C59" xr:uid="{00000000-0002-0000-0900-000000000000}">
      <formula1>"Stepped,Continuous,Off"</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900-000001000000}">
          <x14:formula1>
            <xm:f>Year_schedules!$A$3:$A$42</xm:f>
          </x14:formula1>
          <xm:sqref>D3:D59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AA1000"/>
  <sheetViews>
    <sheetView workbookViewId="0">
      <selection activeCell="A21" sqref="A21"/>
    </sheetView>
  </sheetViews>
  <sheetFormatPr baseColWidth="10" defaultColWidth="11.28515625" defaultRowHeight="15" customHeight="1"/>
  <cols>
    <col min="1" max="1" width="43.85546875" customWidth="1"/>
    <col min="2" max="2" width="40.7109375" customWidth="1"/>
    <col min="3" max="4" width="43.85546875" customWidth="1"/>
    <col min="5" max="5" width="8.85546875" customWidth="1"/>
    <col min="6" max="6" width="18.85546875" customWidth="1"/>
    <col min="7" max="8" width="11.85546875" customWidth="1"/>
    <col min="9" max="9" width="11" customWidth="1"/>
    <col min="10" max="27" width="8.85546875" customWidth="1"/>
  </cols>
  <sheetData>
    <row r="1" spans="1:27" ht="17.25" customHeight="1">
      <c r="A1" s="48" t="s">
        <v>4814</v>
      </c>
      <c r="B1" s="71" t="s">
        <v>4940</v>
      </c>
      <c r="C1" s="72"/>
      <c r="D1" s="73" t="s">
        <v>4941</v>
      </c>
      <c r="E1" s="58"/>
      <c r="F1" s="58"/>
      <c r="G1" s="58"/>
      <c r="H1" s="58"/>
      <c r="I1" s="58"/>
      <c r="J1" s="31"/>
      <c r="K1" s="20"/>
      <c r="L1" s="20"/>
      <c r="M1" s="20"/>
      <c r="N1" s="20"/>
      <c r="O1" s="20"/>
      <c r="P1" s="20"/>
      <c r="Q1" s="20"/>
      <c r="R1" s="20"/>
      <c r="S1" s="20"/>
      <c r="T1" s="20"/>
      <c r="U1" s="20"/>
      <c r="V1" s="20"/>
      <c r="W1" s="20"/>
      <c r="X1" s="20"/>
      <c r="Y1" s="20"/>
      <c r="Z1" s="20"/>
      <c r="AA1" s="20"/>
    </row>
    <row r="2" spans="1:27" ht="17.25" customHeight="1">
      <c r="A2" s="41" t="s">
        <v>4832</v>
      </c>
      <c r="B2" s="43" t="s">
        <v>4942</v>
      </c>
      <c r="C2" s="43" t="s">
        <v>4943</v>
      </c>
      <c r="D2" s="74" t="s">
        <v>4944</v>
      </c>
      <c r="E2" s="75" t="s">
        <v>4945</v>
      </c>
      <c r="F2" s="58"/>
      <c r="G2" s="58"/>
      <c r="H2" s="58"/>
      <c r="I2" s="58"/>
      <c r="J2" s="31"/>
      <c r="K2" s="20"/>
      <c r="L2" s="20"/>
      <c r="M2" s="20"/>
      <c r="N2" s="20"/>
      <c r="O2" s="20"/>
      <c r="P2" s="20"/>
      <c r="Q2" s="20"/>
      <c r="R2" s="20"/>
      <c r="S2" s="20"/>
      <c r="T2" s="20"/>
      <c r="U2" s="20"/>
      <c r="V2" s="20"/>
      <c r="W2" s="20"/>
      <c r="X2" s="20"/>
      <c r="Y2" s="20"/>
      <c r="Z2" s="20"/>
      <c r="AA2" s="20"/>
    </row>
    <row r="3" spans="1:27" ht="17.25" customHeight="1">
      <c r="A3" s="15" t="s">
        <v>4837</v>
      </c>
      <c r="B3" s="15">
        <v>2.17</v>
      </c>
      <c r="C3" s="15" t="s">
        <v>4875</v>
      </c>
      <c r="D3" s="15" t="s">
        <v>4946</v>
      </c>
      <c r="E3" s="56" t="s">
        <v>4840</v>
      </c>
      <c r="F3" s="58"/>
      <c r="G3" s="58"/>
      <c r="H3" s="58"/>
      <c r="I3" s="58"/>
      <c r="J3" s="31"/>
      <c r="K3" s="20"/>
      <c r="L3" s="20"/>
      <c r="M3" s="20"/>
      <c r="N3" s="20"/>
      <c r="O3" s="20"/>
      <c r="P3" s="20"/>
      <c r="Q3" s="20"/>
      <c r="R3" s="20"/>
      <c r="S3" s="20"/>
      <c r="T3" s="20"/>
      <c r="U3" s="20"/>
      <c r="V3" s="20"/>
      <c r="W3" s="20"/>
      <c r="X3" s="20"/>
      <c r="Y3" s="20"/>
      <c r="Z3" s="20"/>
      <c r="AA3" s="20"/>
    </row>
    <row r="4" spans="1:27" ht="17.25" customHeight="1">
      <c r="A4" s="15" t="s">
        <v>4841</v>
      </c>
      <c r="B4" s="15">
        <v>2.17</v>
      </c>
      <c r="C4" s="15" t="s">
        <v>4875</v>
      </c>
      <c r="D4" s="15" t="s">
        <v>4946</v>
      </c>
      <c r="E4" s="56" t="s">
        <v>4840</v>
      </c>
      <c r="F4" s="58"/>
      <c r="G4" s="58"/>
      <c r="H4" s="58"/>
      <c r="I4" s="58"/>
      <c r="J4" s="31"/>
      <c r="K4" s="20"/>
      <c r="L4" s="20"/>
      <c r="M4" s="20"/>
      <c r="N4" s="20"/>
      <c r="O4" s="20"/>
      <c r="P4" s="20"/>
      <c r="Q4" s="20"/>
      <c r="R4" s="20"/>
      <c r="S4" s="20"/>
      <c r="T4" s="20"/>
      <c r="U4" s="20"/>
      <c r="V4" s="20"/>
      <c r="W4" s="20"/>
      <c r="X4" s="20"/>
      <c r="Y4" s="20"/>
      <c r="Z4" s="20"/>
      <c r="AA4" s="20"/>
    </row>
    <row r="5" spans="1:27" ht="17.25" customHeight="1">
      <c r="A5" s="15" t="s">
        <v>4842</v>
      </c>
      <c r="B5" s="15">
        <v>2.17</v>
      </c>
      <c r="C5" s="15" t="s">
        <v>4875</v>
      </c>
      <c r="D5" s="15" t="s">
        <v>4946</v>
      </c>
      <c r="E5" s="56" t="s">
        <v>4840</v>
      </c>
      <c r="F5" s="58"/>
      <c r="G5" s="58"/>
      <c r="H5" s="58"/>
      <c r="I5" s="58"/>
      <c r="J5" s="31"/>
      <c r="K5" s="20"/>
      <c r="L5" s="20"/>
      <c r="M5" s="20"/>
      <c r="N5" s="20"/>
      <c r="O5" s="20"/>
      <c r="P5" s="20"/>
      <c r="Q5" s="20"/>
      <c r="R5" s="20"/>
      <c r="S5" s="20"/>
      <c r="T5" s="20"/>
      <c r="U5" s="20"/>
      <c r="V5" s="20"/>
      <c r="W5" s="20"/>
      <c r="X5" s="20"/>
      <c r="Y5" s="20"/>
      <c r="Z5" s="20"/>
      <c r="AA5" s="20"/>
    </row>
    <row r="6" spans="1:27" ht="17.25" customHeight="1">
      <c r="A6" s="15" t="s">
        <v>4843</v>
      </c>
      <c r="B6" s="15">
        <v>7.64</v>
      </c>
      <c r="C6" s="15" t="s">
        <v>4875</v>
      </c>
      <c r="D6" s="15" t="s">
        <v>4947</v>
      </c>
      <c r="E6" s="56" t="s">
        <v>4840</v>
      </c>
      <c r="F6" s="58"/>
      <c r="G6" s="58"/>
      <c r="H6" s="58"/>
      <c r="I6" s="58"/>
      <c r="J6" s="31"/>
      <c r="K6" s="20"/>
      <c r="L6" s="20"/>
      <c r="M6" s="20"/>
      <c r="N6" s="20"/>
      <c r="O6" s="20"/>
      <c r="P6" s="20"/>
      <c r="Q6" s="20"/>
      <c r="R6" s="20"/>
      <c r="S6" s="20"/>
      <c r="T6" s="20"/>
      <c r="U6" s="20"/>
      <c r="V6" s="20"/>
      <c r="W6" s="20"/>
      <c r="X6" s="20"/>
      <c r="Y6" s="20"/>
      <c r="Z6" s="20"/>
      <c r="AA6" s="20"/>
    </row>
    <row r="7" spans="1:27" ht="17.25" customHeight="1">
      <c r="A7" s="15" t="s">
        <v>4845</v>
      </c>
      <c r="B7" s="15">
        <v>7.64</v>
      </c>
      <c r="C7" s="15" t="s">
        <v>4875</v>
      </c>
      <c r="D7" s="15" t="s">
        <v>4947</v>
      </c>
      <c r="E7" s="56" t="s">
        <v>4840</v>
      </c>
      <c r="F7" s="58"/>
      <c r="G7" s="58"/>
      <c r="H7" s="58"/>
      <c r="I7" s="58"/>
      <c r="J7" s="31"/>
      <c r="K7" s="20"/>
      <c r="L7" s="20"/>
      <c r="M7" s="20"/>
      <c r="N7" s="20"/>
      <c r="O7" s="20"/>
      <c r="P7" s="20"/>
      <c r="Q7" s="20"/>
      <c r="R7" s="20"/>
      <c r="S7" s="20"/>
      <c r="T7" s="20"/>
      <c r="U7" s="20"/>
      <c r="V7" s="20"/>
      <c r="W7" s="20"/>
      <c r="X7" s="20"/>
      <c r="Y7" s="20"/>
      <c r="Z7" s="20"/>
      <c r="AA7" s="20"/>
    </row>
    <row r="8" spans="1:27" ht="17.25" customHeight="1">
      <c r="A8" s="15" t="s">
        <v>4846</v>
      </c>
      <c r="B8" s="15">
        <v>7.64</v>
      </c>
      <c r="C8" s="15" t="s">
        <v>4875</v>
      </c>
      <c r="D8" s="15" t="s">
        <v>4947</v>
      </c>
      <c r="E8" s="56" t="s">
        <v>4840</v>
      </c>
      <c r="F8" s="58"/>
      <c r="G8" s="58"/>
      <c r="H8" s="58"/>
      <c r="I8" s="58"/>
      <c r="J8" s="31"/>
      <c r="K8" s="20"/>
      <c r="L8" s="20"/>
      <c r="M8" s="20"/>
      <c r="N8" s="20"/>
      <c r="O8" s="20"/>
      <c r="P8" s="20"/>
      <c r="Q8" s="20"/>
      <c r="R8" s="20"/>
      <c r="S8" s="20"/>
      <c r="T8" s="20"/>
      <c r="U8" s="20"/>
      <c r="V8" s="20"/>
      <c r="W8" s="20"/>
      <c r="X8" s="20"/>
      <c r="Y8" s="20"/>
      <c r="Z8" s="20"/>
      <c r="AA8" s="20"/>
    </row>
    <row r="9" spans="1:27" ht="17.25" customHeight="1">
      <c r="A9" s="15" t="s">
        <v>4847</v>
      </c>
      <c r="B9" s="15">
        <v>2.7</v>
      </c>
      <c r="C9" s="15" t="s">
        <v>4875</v>
      </c>
      <c r="D9" s="15" t="s">
        <v>4948</v>
      </c>
      <c r="E9" s="58" t="s">
        <v>4949</v>
      </c>
      <c r="F9" s="58"/>
      <c r="G9" s="58"/>
      <c r="H9" s="58"/>
      <c r="I9" s="58"/>
      <c r="J9" s="31"/>
      <c r="K9" s="20"/>
      <c r="L9" s="20"/>
      <c r="M9" s="20"/>
      <c r="N9" s="20"/>
      <c r="O9" s="20"/>
      <c r="P9" s="20"/>
      <c r="Q9" s="20"/>
      <c r="R9" s="20"/>
      <c r="S9" s="20"/>
      <c r="T9" s="20"/>
      <c r="U9" s="20"/>
      <c r="V9" s="20"/>
      <c r="W9" s="20"/>
      <c r="X9" s="20"/>
      <c r="Y9" s="20"/>
      <c r="Z9" s="20"/>
      <c r="AA9" s="20"/>
    </row>
    <row r="10" spans="1:27" ht="17.25" customHeight="1">
      <c r="A10" s="15" t="s">
        <v>4849</v>
      </c>
      <c r="B10" s="15">
        <v>2.7</v>
      </c>
      <c r="C10" s="15" t="s">
        <v>4875</v>
      </c>
      <c r="D10" s="15" t="s">
        <v>4948</v>
      </c>
      <c r="E10" s="58" t="s">
        <v>4949</v>
      </c>
      <c r="F10" s="58"/>
      <c r="G10" s="58"/>
      <c r="H10" s="58"/>
      <c r="I10" s="58"/>
      <c r="J10" s="31"/>
      <c r="K10" s="20"/>
      <c r="L10" s="20"/>
      <c r="M10" s="20"/>
      <c r="N10" s="20"/>
      <c r="O10" s="20"/>
      <c r="P10" s="20"/>
      <c r="Q10" s="20"/>
      <c r="R10" s="20"/>
      <c r="S10" s="20"/>
      <c r="T10" s="20"/>
      <c r="U10" s="20"/>
      <c r="V10" s="20"/>
      <c r="W10" s="20"/>
      <c r="X10" s="20"/>
      <c r="Y10" s="20"/>
      <c r="Z10" s="20"/>
      <c r="AA10" s="20"/>
    </row>
    <row r="11" spans="1:27" ht="17.25" customHeight="1">
      <c r="A11" s="15" t="s">
        <v>4850</v>
      </c>
      <c r="B11" s="15">
        <v>2.7</v>
      </c>
      <c r="C11" s="15" t="s">
        <v>4875</v>
      </c>
      <c r="D11" s="15" t="s">
        <v>4948</v>
      </c>
      <c r="E11" s="58" t="s">
        <v>4949</v>
      </c>
      <c r="F11" s="58"/>
      <c r="G11" s="58"/>
      <c r="H11" s="58"/>
      <c r="I11" s="58"/>
      <c r="J11" s="31"/>
      <c r="K11" s="20"/>
      <c r="L11" s="20"/>
      <c r="M11" s="20"/>
      <c r="N11" s="20"/>
      <c r="O11" s="20"/>
      <c r="P11" s="20"/>
      <c r="Q11" s="20"/>
      <c r="R11" s="20"/>
      <c r="S11" s="20"/>
      <c r="T11" s="20"/>
      <c r="U11" s="20"/>
      <c r="V11" s="20"/>
      <c r="W11" s="20"/>
      <c r="X11" s="20"/>
      <c r="Y11" s="20"/>
      <c r="Z11" s="20"/>
      <c r="AA11" s="20"/>
    </row>
    <row r="12" spans="1:27" ht="17.25" customHeight="1">
      <c r="A12" s="15" t="s">
        <v>4851</v>
      </c>
      <c r="B12" s="15">
        <v>2.77</v>
      </c>
      <c r="C12" s="15" t="s">
        <v>4875</v>
      </c>
      <c r="D12" s="15" t="s">
        <v>4950</v>
      </c>
      <c r="E12" s="56" t="s">
        <v>4840</v>
      </c>
      <c r="F12" s="58"/>
      <c r="G12" s="58"/>
      <c r="H12" s="58"/>
      <c r="I12" s="58"/>
      <c r="J12" s="31"/>
      <c r="K12" s="20"/>
      <c r="L12" s="20"/>
      <c r="M12" s="20"/>
      <c r="N12" s="20"/>
      <c r="O12" s="20"/>
      <c r="P12" s="20"/>
      <c r="Q12" s="20"/>
      <c r="R12" s="20"/>
      <c r="S12" s="20"/>
      <c r="T12" s="20"/>
      <c r="U12" s="20"/>
      <c r="V12" s="20"/>
      <c r="W12" s="20"/>
      <c r="X12" s="20"/>
      <c r="Y12" s="20"/>
      <c r="Z12" s="20"/>
      <c r="AA12" s="20"/>
    </row>
    <row r="13" spans="1:27" ht="17.25" customHeight="1">
      <c r="A13" s="15" t="s">
        <v>4853</v>
      </c>
      <c r="B13" s="15">
        <v>10.8</v>
      </c>
      <c r="C13" s="15" t="s">
        <v>4875</v>
      </c>
      <c r="D13" s="15" t="s">
        <v>4951</v>
      </c>
      <c r="E13" s="58" t="s">
        <v>4949</v>
      </c>
      <c r="F13" s="58"/>
      <c r="G13" s="58"/>
      <c r="H13" s="58"/>
      <c r="I13" s="58"/>
      <c r="J13" s="31"/>
      <c r="K13" s="20"/>
      <c r="L13" s="20"/>
      <c r="M13" s="20"/>
      <c r="N13" s="20"/>
      <c r="O13" s="20"/>
      <c r="P13" s="20"/>
      <c r="Q13" s="20"/>
      <c r="R13" s="20"/>
      <c r="S13" s="20"/>
      <c r="T13" s="20"/>
      <c r="U13" s="20"/>
      <c r="V13" s="20"/>
      <c r="W13" s="20"/>
      <c r="X13" s="20"/>
      <c r="Y13" s="20"/>
      <c r="Z13" s="20"/>
      <c r="AA13" s="20"/>
    </row>
    <row r="14" spans="1:27" ht="17.25" customHeight="1">
      <c r="A14" s="15" t="s">
        <v>4855</v>
      </c>
      <c r="B14" s="15">
        <v>10.8</v>
      </c>
      <c r="C14" s="15" t="s">
        <v>4875</v>
      </c>
      <c r="D14" s="15" t="s">
        <v>4951</v>
      </c>
      <c r="E14" s="58" t="s">
        <v>4949</v>
      </c>
      <c r="F14" s="58"/>
      <c r="G14" s="58"/>
      <c r="H14" s="58"/>
      <c r="I14" s="58"/>
      <c r="J14" s="31"/>
      <c r="K14" s="20"/>
      <c r="L14" s="20"/>
      <c r="M14" s="20"/>
      <c r="N14" s="20"/>
      <c r="O14" s="20"/>
      <c r="P14" s="20"/>
      <c r="Q14" s="20"/>
      <c r="R14" s="20"/>
      <c r="S14" s="20"/>
      <c r="T14" s="20"/>
      <c r="U14" s="20"/>
      <c r="V14" s="20"/>
      <c r="W14" s="20"/>
      <c r="X14" s="20"/>
      <c r="Y14" s="20"/>
      <c r="Z14" s="20"/>
      <c r="AA14" s="20"/>
    </row>
    <row r="15" spans="1:27" ht="17.25" customHeight="1">
      <c r="A15" s="15" t="s">
        <v>4856</v>
      </c>
      <c r="B15" s="15">
        <v>2.77</v>
      </c>
      <c r="C15" s="15" t="s">
        <v>4875</v>
      </c>
      <c r="D15" s="15" t="s">
        <v>4950</v>
      </c>
      <c r="E15" s="56" t="s">
        <v>4840</v>
      </c>
      <c r="F15" s="58"/>
      <c r="G15" s="58"/>
      <c r="H15" s="58"/>
      <c r="I15" s="58"/>
      <c r="J15" s="31"/>
      <c r="K15" s="20"/>
      <c r="L15" s="20"/>
      <c r="M15" s="20"/>
      <c r="N15" s="20"/>
      <c r="O15" s="20"/>
      <c r="P15" s="20"/>
      <c r="Q15" s="20"/>
      <c r="R15" s="20"/>
      <c r="S15" s="20"/>
      <c r="T15" s="20"/>
      <c r="U15" s="20"/>
      <c r="V15" s="20"/>
      <c r="W15" s="20"/>
      <c r="X15" s="20"/>
      <c r="Y15" s="20"/>
      <c r="Z15" s="20"/>
      <c r="AA15" s="20"/>
    </row>
    <row r="16" spans="1:27" ht="17.25" customHeight="1">
      <c r="A16" s="15" t="s">
        <v>4857</v>
      </c>
      <c r="B16" s="15">
        <v>2.77</v>
      </c>
      <c r="C16" s="15" t="s">
        <v>4875</v>
      </c>
      <c r="D16" s="15" t="s">
        <v>4950</v>
      </c>
      <c r="E16" s="56" t="s">
        <v>4840</v>
      </c>
      <c r="F16" s="58"/>
      <c r="G16" s="58"/>
      <c r="H16" s="58"/>
      <c r="I16" s="58"/>
      <c r="J16" s="31"/>
      <c r="K16" s="20"/>
      <c r="L16" s="20"/>
      <c r="M16" s="20"/>
      <c r="N16" s="20"/>
      <c r="O16" s="20"/>
      <c r="P16" s="20"/>
      <c r="Q16" s="20"/>
      <c r="R16" s="20"/>
      <c r="S16" s="20"/>
      <c r="T16" s="20"/>
      <c r="U16" s="20"/>
      <c r="V16" s="20"/>
      <c r="W16" s="20"/>
      <c r="X16" s="20"/>
      <c r="Y16" s="20"/>
      <c r="Z16" s="20"/>
      <c r="AA16" s="20"/>
    </row>
    <row r="17" spans="1:27" ht="17.25" customHeight="1">
      <c r="A17" s="15" t="s">
        <v>4858</v>
      </c>
      <c r="B17" s="15">
        <v>2.7</v>
      </c>
      <c r="C17" s="15" t="s">
        <v>4875</v>
      </c>
      <c r="D17" s="15" t="s">
        <v>4952</v>
      </c>
      <c r="E17" s="56" t="s">
        <v>4840</v>
      </c>
      <c r="F17" s="58"/>
      <c r="G17" s="58"/>
      <c r="H17" s="58"/>
      <c r="I17" s="58"/>
      <c r="J17" s="31"/>
      <c r="K17" s="20"/>
      <c r="L17" s="20"/>
      <c r="M17" s="20"/>
      <c r="N17" s="20"/>
      <c r="O17" s="20"/>
      <c r="P17" s="20"/>
      <c r="Q17" s="20"/>
      <c r="R17" s="20"/>
      <c r="S17" s="20"/>
      <c r="T17" s="20"/>
      <c r="U17" s="20"/>
      <c r="V17" s="20"/>
      <c r="W17" s="20"/>
      <c r="X17" s="20"/>
      <c r="Y17" s="20"/>
      <c r="Z17" s="20"/>
      <c r="AA17" s="20"/>
    </row>
    <row r="18" spans="1:27" ht="17.25" customHeight="1">
      <c r="A18" s="15" t="s">
        <v>4860</v>
      </c>
      <c r="B18" s="15">
        <v>0</v>
      </c>
      <c r="C18" s="15" t="s">
        <v>4875</v>
      </c>
      <c r="D18" s="15" t="s">
        <v>4952</v>
      </c>
      <c r="E18" s="56" t="s">
        <v>4840</v>
      </c>
      <c r="F18" s="58"/>
      <c r="G18" s="58"/>
      <c r="H18" s="58"/>
      <c r="I18" s="58"/>
      <c r="J18" s="31"/>
      <c r="K18" s="20"/>
      <c r="L18" s="20"/>
      <c r="M18" s="20"/>
      <c r="N18" s="20"/>
      <c r="O18" s="20"/>
      <c r="P18" s="20"/>
      <c r="Q18" s="20"/>
      <c r="R18" s="20"/>
      <c r="S18" s="20"/>
      <c r="T18" s="20"/>
      <c r="U18" s="20"/>
      <c r="V18" s="20"/>
      <c r="W18" s="20"/>
      <c r="X18" s="20"/>
      <c r="Y18" s="20"/>
      <c r="Z18" s="20"/>
      <c r="AA18" s="20"/>
    </row>
    <row r="19" spans="1:27" ht="17.25" customHeight="1">
      <c r="A19" s="15" t="s">
        <v>4861</v>
      </c>
      <c r="B19" s="15">
        <v>4</v>
      </c>
      <c r="C19" s="15" t="s">
        <v>4875</v>
      </c>
      <c r="D19" s="15" t="s">
        <v>4953</v>
      </c>
      <c r="E19" s="56" t="s">
        <v>4840</v>
      </c>
      <c r="F19" s="58"/>
      <c r="G19" s="58"/>
      <c r="H19" s="58"/>
      <c r="I19" s="58"/>
      <c r="J19" s="31"/>
      <c r="K19" s="20"/>
      <c r="L19" s="20"/>
      <c r="M19" s="20"/>
      <c r="N19" s="20"/>
      <c r="O19" s="20"/>
      <c r="P19" s="20"/>
      <c r="Q19" s="20"/>
      <c r="R19" s="20"/>
      <c r="S19" s="20"/>
      <c r="T19" s="20"/>
      <c r="U19" s="20"/>
      <c r="V19" s="20"/>
      <c r="W19" s="20"/>
      <c r="X19" s="20"/>
      <c r="Y19" s="20"/>
      <c r="Z19" s="20"/>
      <c r="AA19" s="20"/>
    </row>
    <row r="20" spans="1:27" ht="17.25" customHeight="1">
      <c r="A20" s="15" t="s">
        <v>4863</v>
      </c>
      <c r="B20" s="15">
        <v>0</v>
      </c>
      <c r="C20" s="15" t="s">
        <v>4875</v>
      </c>
      <c r="D20" s="15" t="s">
        <v>4954</v>
      </c>
      <c r="E20" s="56" t="s">
        <v>4840</v>
      </c>
      <c r="F20" s="57"/>
      <c r="G20" s="58"/>
      <c r="H20" s="58"/>
      <c r="I20" s="58"/>
      <c r="J20" s="31"/>
      <c r="K20" s="20"/>
      <c r="L20" s="20"/>
      <c r="M20" s="20"/>
      <c r="N20" s="20"/>
      <c r="O20" s="20"/>
      <c r="P20" s="20"/>
      <c r="Q20" s="20"/>
      <c r="R20" s="20"/>
      <c r="S20" s="20"/>
      <c r="T20" s="20"/>
      <c r="U20" s="20"/>
      <c r="V20" s="20"/>
      <c r="W20" s="20"/>
      <c r="X20" s="20"/>
      <c r="Y20" s="20"/>
      <c r="Z20" s="20"/>
      <c r="AA20" s="20"/>
    </row>
    <row r="21" spans="1:27" ht="17.25" customHeight="1">
      <c r="A21" s="15" t="s">
        <v>4865</v>
      </c>
      <c r="B21" s="15">
        <v>0</v>
      </c>
      <c r="C21" s="15" t="s">
        <v>4875</v>
      </c>
      <c r="D21" s="15" t="s">
        <v>4952</v>
      </c>
      <c r="E21" s="56" t="s">
        <v>4840</v>
      </c>
      <c r="F21" s="58"/>
      <c r="G21" s="58"/>
      <c r="H21" s="58"/>
      <c r="I21" s="58"/>
      <c r="J21" s="31"/>
      <c r="K21" s="20"/>
      <c r="L21" s="20"/>
      <c r="M21" s="20"/>
      <c r="N21" s="20"/>
      <c r="O21" s="20"/>
      <c r="P21" s="20"/>
      <c r="Q21" s="20"/>
      <c r="R21" s="20"/>
      <c r="S21" s="20"/>
      <c r="T21" s="20"/>
      <c r="U21" s="20"/>
      <c r="V21" s="20"/>
      <c r="W21" s="20"/>
      <c r="X21" s="20"/>
      <c r="Y21" s="20"/>
      <c r="Z21" s="20"/>
      <c r="AA21" s="20"/>
    </row>
    <row r="22" spans="1:27" ht="17.25" customHeight="1">
      <c r="B22" s="57"/>
      <c r="C22" s="57"/>
      <c r="D22" s="57"/>
      <c r="E22" s="57"/>
      <c r="F22" s="58"/>
      <c r="G22" s="58"/>
      <c r="H22" s="58"/>
      <c r="I22" s="58"/>
      <c r="J22" s="31"/>
      <c r="K22" s="20"/>
      <c r="L22" s="20"/>
      <c r="M22" s="20"/>
      <c r="N22" s="20"/>
      <c r="O22" s="20"/>
      <c r="P22" s="20"/>
      <c r="Q22" s="20"/>
      <c r="R22" s="20"/>
      <c r="S22" s="20"/>
      <c r="T22" s="20"/>
      <c r="U22" s="20"/>
      <c r="V22" s="20"/>
      <c r="W22" s="20"/>
      <c r="X22" s="20"/>
      <c r="Y22" s="20"/>
      <c r="Z22" s="20"/>
      <c r="AA22" s="20"/>
    </row>
    <row r="23" spans="1:27" ht="17.25" customHeight="1">
      <c r="B23" s="57"/>
      <c r="C23" s="57"/>
      <c r="D23" s="57"/>
      <c r="E23" s="57"/>
      <c r="F23" s="76"/>
      <c r="G23" s="76"/>
      <c r="H23" s="76"/>
      <c r="I23" s="76"/>
      <c r="J23" s="31"/>
      <c r="K23" s="20"/>
      <c r="L23" s="20"/>
      <c r="M23" s="20"/>
      <c r="N23" s="20"/>
      <c r="O23" s="20"/>
      <c r="P23" s="20"/>
      <c r="Q23" s="20"/>
      <c r="R23" s="20"/>
      <c r="S23" s="20"/>
      <c r="T23" s="20"/>
      <c r="U23" s="20"/>
      <c r="V23" s="20"/>
      <c r="W23" s="20"/>
      <c r="X23" s="20"/>
      <c r="Y23" s="20"/>
      <c r="Z23" s="20"/>
      <c r="AA23" s="20"/>
    </row>
    <row r="24" spans="1:27" ht="17.25" customHeight="1">
      <c r="B24" s="57"/>
      <c r="C24" s="57"/>
      <c r="D24" s="57"/>
      <c r="E24" s="57"/>
      <c r="F24" s="57"/>
      <c r="G24" s="58"/>
      <c r="H24" s="58"/>
      <c r="I24" s="58"/>
      <c r="J24" s="31"/>
      <c r="K24" s="20"/>
      <c r="L24" s="20"/>
      <c r="M24" s="20"/>
      <c r="N24" s="20"/>
      <c r="O24" s="20"/>
      <c r="P24" s="20"/>
      <c r="Q24" s="20"/>
      <c r="R24" s="20"/>
      <c r="S24" s="20"/>
      <c r="T24" s="20"/>
      <c r="U24" s="20"/>
      <c r="V24" s="20"/>
      <c r="W24" s="20"/>
      <c r="X24" s="20"/>
      <c r="Y24" s="20"/>
      <c r="Z24" s="20"/>
      <c r="AA24" s="20"/>
    </row>
    <row r="25" spans="1:27" ht="17.25" customHeight="1">
      <c r="B25" s="57"/>
      <c r="C25" s="57"/>
      <c r="D25" s="57"/>
      <c r="E25" s="57"/>
      <c r="F25" s="58"/>
      <c r="G25" s="58"/>
      <c r="H25" s="58"/>
      <c r="I25" s="58"/>
      <c r="J25" s="31"/>
      <c r="K25" s="20"/>
      <c r="L25" s="20"/>
      <c r="M25" s="20"/>
      <c r="N25" s="20"/>
      <c r="O25" s="20"/>
      <c r="P25" s="20"/>
      <c r="Q25" s="20"/>
      <c r="R25" s="20"/>
      <c r="S25" s="20"/>
      <c r="T25" s="20"/>
      <c r="U25" s="20"/>
      <c r="V25" s="20"/>
      <c r="W25" s="20"/>
      <c r="X25" s="20"/>
      <c r="Y25" s="20"/>
      <c r="Z25" s="20"/>
      <c r="AA25" s="20"/>
    </row>
    <row r="26" spans="1:27" ht="17.25" customHeight="1">
      <c r="A26" s="55"/>
      <c r="B26" s="57"/>
      <c r="C26" s="57"/>
      <c r="D26" s="57"/>
      <c r="E26" s="57"/>
      <c r="F26" s="58"/>
      <c r="G26" s="58"/>
      <c r="H26" s="58"/>
      <c r="I26" s="58"/>
      <c r="J26" s="31"/>
      <c r="K26" s="20"/>
      <c r="L26" s="20"/>
      <c r="M26" s="20"/>
      <c r="N26" s="20"/>
      <c r="O26" s="20"/>
      <c r="P26" s="20"/>
      <c r="Q26" s="20"/>
      <c r="R26" s="20"/>
      <c r="S26" s="20"/>
      <c r="T26" s="20"/>
      <c r="U26" s="20"/>
      <c r="V26" s="20"/>
      <c r="W26" s="20"/>
      <c r="X26" s="20"/>
      <c r="Y26" s="20"/>
      <c r="Z26" s="20"/>
      <c r="AA26" s="20"/>
    </row>
    <row r="27" spans="1:27" ht="17.25" customHeight="1">
      <c r="A27" s="77"/>
      <c r="B27" s="57"/>
      <c r="C27" s="57"/>
      <c r="D27" s="57"/>
      <c r="E27" s="57"/>
      <c r="F27" s="76"/>
      <c r="G27" s="76"/>
      <c r="H27" s="76"/>
      <c r="I27" s="76"/>
      <c r="J27" s="31"/>
      <c r="K27" s="20"/>
      <c r="L27" s="20"/>
      <c r="M27" s="20"/>
      <c r="N27" s="20"/>
      <c r="O27" s="20"/>
      <c r="P27" s="20"/>
      <c r="Q27" s="20"/>
      <c r="R27" s="20"/>
      <c r="S27" s="20"/>
      <c r="T27" s="20"/>
      <c r="U27" s="20"/>
      <c r="V27" s="20"/>
      <c r="W27" s="20"/>
      <c r="X27" s="20"/>
      <c r="Y27" s="20"/>
      <c r="Z27" s="20"/>
      <c r="AA27" s="20"/>
    </row>
    <row r="28" spans="1:27" ht="17.25" customHeight="1">
      <c r="A28" s="77"/>
      <c r="B28" s="57"/>
      <c r="C28" s="57"/>
      <c r="D28" s="57"/>
      <c r="E28" s="57"/>
      <c r="F28" s="57"/>
      <c r="G28" s="58"/>
      <c r="H28" s="58"/>
      <c r="I28" s="58"/>
      <c r="J28" s="31"/>
      <c r="K28" s="20"/>
      <c r="L28" s="20"/>
      <c r="M28" s="20"/>
      <c r="N28" s="20"/>
      <c r="O28" s="20"/>
      <c r="P28" s="20"/>
      <c r="Q28" s="20"/>
      <c r="R28" s="20"/>
      <c r="S28" s="20"/>
      <c r="T28" s="20"/>
      <c r="U28" s="20"/>
      <c r="V28" s="20"/>
      <c r="W28" s="20"/>
      <c r="X28" s="20"/>
      <c r="Y28" s="20"/>
      <c r="Z28" s="20"/>
      <c r="AA28" s="20"/>
    </row>
    <row r="29" spans="1:27" ht="17.25" customHeight="1">
      <c r="A29" s="77"/>
      <c r="B29" s="57"/>
      <c r="C29" s="57"/>
      <c r="D29" s="57"/>
      <c r="E29" s="57"/>
      <c r="F29" s="58"/>
      <c r="G29" s="58"/>
      <c r="H29" s="58"/>
      <c r="I29" s="58"/>
      <c r="J29" s="31"/>
      <c r="K29" s="20"/>
      <c r="L29" s="20"/>
      <c r="M29" s="20"/>
      <c r="N29" s="20"/>
      <c r="O29" s="20"/>
      <c r="P29" s="20"/>
      <c r="Q29" s="20"/>
      <c r="R29" s="20"/>
      <c r="S29" s="20"/>
      <c r="T29" s="20"/>
      <c r="U29" s="20"/>
      <c r="V29" s="20"/>
      <c r="W29" s="20"/>
      <c r="X29" s="20"/>
      <c r="Y29" s="20"/>
      <c r="Z29" s="20"/>
      <c r="AA29" s="20"/>
    </row>
    <row r="30" spans="1:27" ht="17.25" customHeight="1">
      <c r="B30" s="57"/>
      <c r="C30" s="57"/>
      <c r="D30" s="57"/>
      <c r="E30" s="57"/>
      <c r="F30" s="58"/>
      <c r="G30" s="58"/>
      <c r="H30" s="58"/>
      <c r="I30" s="58"/>
      <c r="J30" s="31"/>
      <c r="K30" s="20"/>
      <c r="L30" s="20"/>
      <c r="M30" s="20"/>
      <c r="N30" s="20"/>
      <c r="O30" s="20"/>
      <c r="P30" s="20"/>
      <c r="Q30" s="20"/>
      <c r="R30" s="20"/>
      <c r="S30" s="20"/>
      <c r="T30" s="20"/>
      <c r="U30" s="20"/>
      <c r="V30" s="20"/>
      <c r="W30" s="20"/>
      <c r="X30" s="20"/>
      <c r="Y30" s="20"/>
      <c r="Z30" s="20"/>
      <c r="AA30" s="20"/>
    </row>
    <row r="31" spans="1:27" ht="17.25" customHeight="1">
      <c r="B31" s="57"/>
      <c r="C31" s="57"/>
      <c r="D31" s="57"/>
      <c r="E31" s="57"/>
      <c r="F31" s="76"/>
      <c r="G31" s="76"/>
      <c r="H31" s="76"/>
      <c r="I31" s="76"/>
      <c r="J31" s="31"/>
      <c r="K31" s="20"/>
      <c r="L31" s="20"/>
      <c r="M31" s="20"/>
      <c r="N31" s="20"/>
      <c r="O31" s="20"/>
      <c r="P31" s="20"/>
      <c r="Q31" s="20"/>
      <c r="R31" s="20"/>
      <c r="S31" s="20"/>
      <c r="T31" s="20"/>
      <c r="U31" s="20"/>
      <c r="V31" s="20"/>
      <c r="W31" s="20"/>
      <c r="X31" s="20"/>
      <c r="Y31" s="20"/>
      <c r="Z31" s="20"/>
      <c r="AA31" s="20"/>
    </row>
    <row r="32" spans="1:27" ht="17.25" customHeight="1">
      <c r="B32" s="57"/>
      <c r="C32" s="57"/>
      <c r="D32" s="57"/>
      <c r="E32" s="57"/>
      <c r="F32" s="57"/>
      <c r="G32" s="58"/>
      <c r="H32" s="58"/>
      <c r="I32" s="58"/>
      <c r="J32" s="31"/>
      <c r="K32" s="20"/>
      <c r="L32" s="20"/>
      <c r="M32" s="20"/>
      <c r="N32" s="20"/>
      <c r="O32" s="20"/>
      <c r="P32" s="20"/>
      <c r="Q32" s="20"/>
      <c r="R32" s="20"/>
      <c r="S32" s="20"/>
      <c r="T32" s="20"/>
      <c r="U32" s="20"/>
      <c r="V32" s="20"/>
      <c r="W32" s="20"/>
      <c r="X32" s="20"/>
      <c r="Y32" s="20"/>
      <c r="Z32" s="20"/>
      <c r="AA32" s="20"/>
    </row>
    <row r="33" spans="2:27" ht="17.25" customHeight="1">
      <c r="B33" s="57"/>
      <c r="C33" s="57"/>
      <c r="D33" s="57"/>
      <c r="E33" s="57"/>
      <c r="F33" s="58"/>
      <c r="G33" s="58"/>
      <c r="H33" s="58"/>
      <c r="I33" s="58"/>
      <c r="J33" s="31"/>
      <c r="K33" s="20"/>
      <c r="L33" s="20"/>
      <c r="M33" s="20"/>
      <c r="N33" s="20"/>
      <c r="O33" s="20"/>
      <c r="P33" s="20"/>
      <c r="Q33" s="20"/>
      <c r="R33" s="20"/>
      <c r="S33" s="20"/>
      <c r="T33" s="20"/>
      <c r="U33" s="20"/>
      <c r="V33" s="20"/>
      <c r="W33" s="20"/>
      <c r="X33" s="20"/>
      <c r="Y33" s="20"/>
      <c r="Z33" s="20"/>
      <c r="AA33" s="20"/>
    </row>
    <row r="34" spans="2:27" ht="17.25" customHeight="1">
      <c r="B34" s="57"/>
      <c r="C34" s="57"/>
      <c r="D34" s="57"/>
      <c r="E34" s="57"/>
      <c r="F34" s="58"/>
      <c r="G34" s="58"/>
      <c r="H34" s="58"/>
      <c r="I34" s="58"/>
      <c r="J34" s="31"/>
      <c r="K34" s="20"/>
      <c r="L34" s="20"/>
      <c r="M34" s="20"/>
      <c r="N34" s="20"/>
      <c r="O34" s="20"/>
      <c r="P34" s="20"/>
      <c r="Q34" s="20"/>
      <c r="R34" s="20"/>
      <c r="S34" s="20"/>
      <c r="T34" s="20"/>
      <c r="U34" s="20"/>
      <c r="V34" s="20"/>
      <c r="W34" s="20"/>
      <c r="X34" s="20"/>
      <c r="Y34" s="20"/>
      <c r="Z34" s="20"/>
      <c r="AA34" s="20"/>
    </row>
    <row r="35" spans="2:27" ht="17.25" customHeight="1">
      <c r="B35" s="57"/>
      <c r="C35" s="57"/>
      <c r="D35" s="57"/>
      <c r="E35" s="57"/>
      <c r="F35" s="76"/>
      <c r="G35" s="76"/>
      <c r="H35" s="76"/>
      <c r="I35" s="76"/>
      <c r="J35" s="31"/>
      <c r="K35" s="20"/>
      <c r="L35" s="20"/>
      <c r="M35" s="20"/>
      <c r="N35" s="20"/>
      <c r="O35" s="20"/>
      <c r="P35" s="20"/>
      <c r="Q35" s="20"/>
      <c r="R35" s="20"/>
      <c r="S35" s="20"/>
      <c r="T35" s="20"/>
      <c r="U35" s="20"/>
      <c r="V35" s="20"/>
      <c r="W35" s="20"/>
      <c r="X35" s="20"/>
      <c r="Y35" s="20"/>
      <c r="Z35" s="20"/>
      <c r="AA35" s="20"/>
    </row>
    <row r="36" spans="2:27" ht="17.25" customHeight="1">
      <c r="B36" s="57"/>
      <c r="C36" s="57"/>
      <c r="D36" s="57"/>
      <c r="E36" s="57"/>
      <c r="F36" s="76"/>
      <c r="G36" s="76"/>
      <c r="H36" s="76"/>
      <c r="I36" s="76"/>
      <c r="J36" s="31"/>
      <c r="K36" s="20"/>
      <c r="L36" s="20"/>
      <c r="M36" s="20"/>
      <c r="N36" s="20"/>
      <c r="O36" s="20"/>
      <c r="P36" s="20"/>
      <c r="Q36" s="20"/>
      <c r="R36" s="20"/>
      <c r="S36" s="20"/>
      <c r="T36" s="20"/>
      <c r="U36" s="20"/>
      <c r="V36" s="20"/>
      <c r="W36" s="20"/>
      <c r="X36" s="20"/>
      <c r="Y36" s="20"/>
      <c r="Z36" s="20"/>
      <c r="AA36" s="20"/>
    </row>
    <row r="37" spans="2:27" ht="17.25" customHeight="1">
      <c r="B37" s="57"/>
      <c r="C37" s="57"/>
      <c r="D37" s="57"/>
      <c r="E37" s="57"/>
      <c r="F37" s="76"/>
      <c r="G37" s="76"/>
      <c r="H37" s="76"/>
      <c r="I37" s="76"/>
      <c r="J37" s="31"/>
      <c r="K37" s="20"/>
      <c r="L37" s="20"/>
      <c r="M37" s="20"/>
      <c r="N37" s="20"/>
      <c r="O37" s="20"/>
      <c r="P37" s="20"/>
      <c r="Q37" s="20"/>
      <c r="R37" s="20"/>
      <c r="S37" s="20"/>
      <c r="T37" s="20"/>
      <c r="U37" s="20"/>
      <c r="V37" s="20"/>
      <c r="W37" s="20"/>
      <c r="X37" s="20"/>
      <c r="Y37" s="20"/>
      <c r="Z37" s="20"/>
      <c r="AA37" s="20"/>
    </row>
    <row r="38" spans="2:27" ht="17.25" customHeight="1">
      <c r="B38" s="57"/>
      <c r="C38" s="57"/>
      <c r="D38" s="57"/>
      <c r="E38" s="57"/>
      <c r="F38" s="76"/>
      <c r="G38" s="76"/>
      <c r="H38" s="76"/>
      <c r="I38" s="76"/>
      <c r="J38" s="31"/>
      <c r="K38" s="20"/>
      <c r="L38" s="20"/>
      <c r="M38" s="20"/>
      <c r="N38" s="20"/>
      <c r="O38" s="20"/>
      <c r="P38" s="20"/>
      <c r="Q38" s="20"/>
      <c r="R38" s="20"/>
      <c r="S38" s="20"/>
      <c r="T38" s="20"/>
      <c r="U38" s="20"/>
      <c r="V38" s="20"/>
      <c r="W38" s="20"/>
      <c r="X38" s="20"/>
      <c r="Y38" s="20"/>
      <c r="Z38" s="20"/>
      <c r="AA38" s="20"/>
    </row>
    <row r="39" spans="2:27" ht="17.25" customHeight="1">
      <c r="B39" s="57"/>
      <c r="C39" s="57"/>
      <c r="D39" s="57"/>
      <c r="E39" s="57"/>
      <c r="F39" s="76"/>
      <c r="G39" s="76"/>
      <c r="H39" s="76"/>
      <c r="I39" s="76"/>
      <c r="J39" s="31"/>
      <c r="K39" s="20"/>
      <c r="L39" s="20"/>
      <c r="M39" s="20"/>
      <c r="N39" s="20"/>
      <c r="O39" s="20"/>
      <c r="P39" s="20"/>
      <c r="Q39" s="20"/>
      <c r="R39" s="20"/>
      <c r="S39" s="20"/>
      <c r="T39" s="20"/>
      <c r="U39" s="20"/>
      <c r="V39" s="20"/>
      <c r="W39" s="20"/>
      <c r="X39" s="20"/>
      <c r="Y39" s="20"/>
      <c r="Z39" s="20"/>
      <c r="AA39" s="20"/>
    </row>
    <row r="40" spans="2:27" ht="17.25" customHeight="1">
      <c r="B40" s="57"/>
      <c r="C40" s="57"/>
      <c r="D40" s="57"/>
      <c r="E40" s="57"/>
      <c r="F40" s="76"/>
      <c r="G40" s="76"/>
      <c r="H40" s="76"/>
      <c r="I40" s="76"/>
      <c r="J40" s="31"/>
      <c r="K40" s="20"/>
      <c r="L40" s="20"/>
      <c r="M40" s="20"/>
      <c r="N40" s="20"/>
      <c r="O40" s="20"/>
      <c r="P40" s="20"/>
      <c r="Q40" s="20"/>
      <c r="R40" s="20"/>
      <c r="S40" s="20"/>
      <c r="T40" s="20"/>
      <c r="U40" s="20"/>
      <c r="V40" s="20"/>
      <c r="W40" s="20"/>
      <c r="X40" s="20"/>
      <c r="Y40" s="20"/>
      <c r="Z40" s="20"/>
      <c r="AA40" s="20"/>
    </row>
    <row r="41" spans="2:27" ht="17.25" customHeight="1">
      <c r="B41" s="57"/>
      <c r="C41" s="57"/>
      <c r="D41" s="57"/>
      <c r="E41" s="57"/>
      <c r="F41" s="76"/>
      <c r="G41" s="76"/>
      <c r="H41" s="76"/>
      <c r="I41" s="76"/>
      <c r="J41" s="31"/>
      <c r="K41" s="20"/>
      <c r="L41" s="20"/>
      <c r="M41" s="20"/>
      <c r="N41" s="20"/>
      <c r="O41" s="20"/>
      <c r="P41" s="20"/>
      <c r="Q41" s="20"/>
      <c r="R41" s="20"/>
      <c r="S41" s="20"/>
      <c r="T41" s="20"/>
      <c r="U41" s="20"/>
      <c r="V41" s="20"/>
      <c r="W41" s="20"/>
      <c r="X41" s="20"/>
      <c r="Y41" s="20"/>
      <c r="Z41" s="20"/>
      <c r="AA41" s="20"/>
    </row>
    <row r="42" spans="2:27" ht="17.25" customHeight="1">
      <c r="B42" s="57"/>
      <c r="C42" s="57"/>
      <c r="D42" s="57"/>
      <c r="E42" s="57"/>
      <c r="F42" s="76"/>
      <c r="G42" s="76"/>
      <c r="H42" s="76"/>
      <c r="I42" s="76"/>
      <c r="J42" s="31"/>
      <c r="K42" s="20"/>
      <c r="L42" s="20"/>
      <c r="M42" s="20"/>
      <c r="N42" s="20"/>
      <c r="O42" s="20"/>
      <c r="P42" s="20"/>
      <c r="Q42" s="20"/>
      <c r="R42" s="20"/>
      <c r="S42" s="20"/>
      <c r="T42" s="20"/>
      <c r="U42" s="20"/>
      <c r="V42" s="20"/>
      <c r="W42" s="20"/>
      <c r="X42" s="20"/>
      <c r="Y42" s="20"/>
      <c r="Z42" s="20"/>
      <c r="AA42" s="20"/>
    </row>
    <row r="43" spans="2:27" ht="17.25" customHeight="1">
      <c r="B43" s="57"/>
      <c r="C43" s="57"/>
      <c r="D43" s="57"/>
      <c r="E43" s="57"/>
      <c r="F43" s="76"/>
      <c r="G43" s="76"/>
      <c r="H43" s="76"/>
      <c r="I43" s="76"/>
      <c r="J43" s="31"/>
      <c r="K43" s="20"/>
      <c r="L43" s="20"/>
      <c r="M43" s="20"/>
      <c r="N43" s="20"/>
      <c r="O43" s="20"/>
      <c r="P43" s="20"/>
      <c r="Q43" s="20"/>
      <c r="R43" s="20"/>
      <c r="S43" s="20"/>
      <c r="T43" s="20"/>
      <c r="U43" s="20"/>
      <c r="V43" s="20"/>
      <c r="W43" s="20"/>
      <c r="X43" s="20"/>
      <c r="Y43" s="20"/>
      <c r="Z43" s="20"/>
      <c r="AA43" s="20"/>
    </row>
    <row r="44" spans="2:27" ht="17.25" customHeight="1">
      <c r="B44" s="57"/>
      <c r="C44" s="57"/>
      <c r="D44" s="57"/>
      <c r="E44" s="57"/>
      <c r="F44" s="76"/>
      <c r="G44" s="76"/>
      <c r="H44" s="76"/>
      <c r="I44" s="76"/>
      <c r="J44" s="31"/>
      <c r="K44" s="20"/>
      <c r="L44" s="20"/>
      <c r="M44" s="20"/>
      <c r="N44" s="20"/>
      <c r="O44" s="20"/>
      <c r="P44" s="20"/>
      <c r="Q44" s="20"/>
      <c r="R44" s="20"/>
      <c r="S44" s="20"/>
      <c r="T44" s="20"/>
      <c r="U44" s="20"/>
      <c r="V44" s="20"/>
      <c r="W44" s="20"/>
      <c r="X44" s="20"/>
      <c r="Y44" s="20"/>
      <c r="Z44" s="20"/>
      <c r="AA44" s="20"/>
    </row>
    <row r="45" spans="2:27" ht="17.25" customHeight="1">
      <c r="B45" s="57"/>
      <c r="C45" s="57"/>
      <c r="D45" s="57"/>
      <c r="E45" s="57"/>
      <c r="F45" s="76"/>
      <c r="G45" s="76"/>
      <c r="H45" s="76"/>
      <c r="I45" s="76"/>
      <c r="J45" s="31"/>
      <c r="K45" s="20"/>
      <c r="L45" s="20"/>
      <c r="M45" s="20"/>
      <c r="N45" s="20"/>
      <c r="O45" s="20"/>
      <c r="P45" s="20"/>
      <c r="Q45" s="20"/>
      <c r="R45" s="20"/>
      <c r="S45" s="20"/>
      <c r="T45" s="20"/>
      <c r="U45" s="20"/>
      <c r="V45" s="20"/>
      <c r="W45" s="20"/>
      <c r="X45" s="20"/>
      <c r="Y45" s="20"/>
      <c r="Z45" s="20"/>
      <c r="AA45" s="20"/>
    </row>
    <row r="46" spans="2:27" ht="17.25" customHeight="1">
      <c r="B46" s="57"/>
      <c r="C46" s="57"/>
      <c r="D46" s="57"/>
      <c r="E46" s="57"/>
      <c r="F46" s="76"/>
      <c r="G46" s="76"/>
      <c r="H46" s="76"/>
      <c r="I46" s="76"/>
      <c r="J46" s="31"/>
      <c r="K46" s="20"/>
      <c r="L46" s="20"/>
      <c r="M46" s="20"/>
      <c r="N46" s="20"/>
      <c r="O46" s="20"/>
      <c r="P46" s="20"/>
      <c r="Q46" s="20"/>
      <c r="R46" s="20"/>
      <c r="S46" s="20"/>
      <c r="T46" s="20"/>
      <c r="U46" s="20"/>
      <c r="V46" s="20"/>
      <c r="W46" s="20"/>
      <c r="X46" s="20"/>
      <c r="Y46" s="20"/>
      <c r="Z46" s="20"/>
      <c r="AA46" s="20"/>
    </row>
    <row r="47" spans="2:27" ht="17.25" customHeight="1">
      <c r="B47" s="57"/>
      <c r="C47" s="57"/>
      <c r="D47" s="57"/>
      <c r="E47" s="57"/>
      <c r="F47" s="76"/>
      <c r="G47" s="76"/>
      <c r="H47" s="76"/>
      <c r="I47" s="76"/>
      <c r="J47" s="31"/>
      <c r="K47" s="20"/>
      <c r="L47" s="20"/>
      <c r="M47" s="20"/>
      <c r="N47" s="20"/>
      <c r="O47" s="20"/>
      <c r="P47" s="20"/>
      <c r="Q47" s="20"/>
      <c r="R47" s="20"/>
      <c r="S47" s="20"/>
      <c r="T47" s="20"/>
      <c r="U47" s="20"/>
      <c r="V47" s="20"/>
      <c r="W47" s="20"/>
      <c r="X47" s="20"/>
      <c r="Y47" s="20"/>
      <c r="Z47" s="20"/>
      <c r="AA47" s="20"/>
    </row>
    <row r="48" spans="2:27" ht="17.25" customHeight="1">
      <c r="B48" s="57"/>
      <c r="C48" s="57"/>
      <c r="D48" s="57"/>
      <c r="E48" s="57"/>
      <c r="F48" s="76"/>
      <c r="G48" s="76"/>
      <c r="H48" s="76"/>
      <c r="I48" s="76"/>
      <c r="J48" s="31"/>
      <c r="K48" s="20"/>
      <c r="L48" s="20"/>
      <c r="M48" s="20"/>
      <c r="N48" s="20"/>
      <c r="O48" s="20"/>
      <c r="P48" s="20"/>
      <c r="Q48" s="20"/>
      <c r="R48" s="20"/>
      <c r="S48" s="20"/>
      <c r="T48" s="20"/>
      <c r="U48" s="20"/>
      <c r="V48" s="20"/>
      <c r="W48" s="20"/>
      <c r="X48" s="20"/>
      <c r="Y48" s="20"/>
      <c r="Z48" s="20"/>
      <c r="AA48" s="20"/>
    </row>
    <row r="49" spans="2:27" ht="17.25" customHeight="1">
      <c r="B49" s="57"/>
      <c r="C49" s="57"/>
      <c r="D49" s="57"/>
      <c r="E49" s="57"/>
      <c r="F49" s="76"/>
      <c r="G49" s="76"/>
      <c r="H49" s="76"/>
      <c r="I49" s="76"/>
      <c r="J49" s="31"/>
      <c r="K49" s="20"/>
      <c r="L49" s="20"/>
      <c r="M49" s="20"/>
      <c r="N49" s="20"/>
      <c r="O49" s="20"/>
      <c r="P49" s="20"/>
      <c r="Q49" s="20"/>
      <c r="R49" s="20"/>
      <c r="S49" s="20"/>
      <c r="T49" s="20"/>
      <c r="U49" s="20"/>
      <c r="V49" s="20"/>
      <c r="W49" s="20"/>
      <c r="X49" s="20"/>
      <c r="Y49" s="20"/>
      <c r="Z49" s="20"/>
      <c r="AA49" s="20"/>
    </row>
    <row r="50" spans="2:27" ht="17.25" customHeight="1">
      <c r="B50" s="57"/>
      <c r="C50" s="57"/>
      <c r="D50" s="57"/>
      <c r="E50" s="57"/>
      <c r="F50" s="76"/>
      <c r="G50" s="76"/>
      <c r="H50" s="76"/>
      <c r="I50" s="76"/>
      <c r="J50" s="31"/>
      <c r="K50" s="20"/>
      <c r="L50" s="20"/>
      <c r="M50" s="20"/>
      <c r="N50" s="20"/>
      <c r="O50" s="20"/>
      <c r="P50" s="20"/>
      <c r="Q50" s="20"/>
      <c r="R50" s="20"/>
      <c r="S50" s="20"/>
      <c r="T50" s="20"/>
      <c r="U50" s="20"/>
      <c r="V50" s="20"/>
      <c r="W50" s="20"/>
      <c r="X50" s="20"/>
      <c r="Y50" s="20"/>
      <c r="Z50" s="20"/>
      <c r="AA50" s="20"/>
    </row>
    <row r="51" spans="2:27" ht="17.25" customHeight="1">
      <c r="B51" s="57"/>
      <c r="C51" s="57"/>
      <c r="D51" s="57"/>
      <c r="E51" s="57"/>
      <c r="F51" s="76"/>
      <c r="G51" s="76"/>
      <c r="H51" s="76"/>
      <c r="I51" s="76"/>
      <c r="J51" s="31"/>
      <c r="K51" s="20"/>
      <c r="L51" s="20"/>
      <c r="M51" s="20"/>
      <c r="N51" s="20"/>
      <c r="O51" s="20"/>
      <c r="P51" s="20"/>
      <c r="Q51" s="20"/>
      <c r="R51" s="20"/>
      <c r="S51" s="20"/>
      <c r="T51" s="20"/>
      <c r="U51" s="20"/>
      <c r="V51" s="20"/>
      <c r="W51" s="20"/>
      <c r="X51" s="20"/>
      <c r="Y51" s="20"/>
      <c r="Z51" s="20"/>
      <c r="AA51" s="20"/>
    </row>
    <row r="52" spans="2:27" ht="17.25" customHeight="1">
      <c r="B52" s="57"/>
      <c r="C52" s="57"/>
      <c r="D52" s="57"/>
      <c r="E52" s="57"/>
      <c r="F52" s="76"/>
      <c r="G52" s="76"/>
      <c r="H52" s="76"/>
      <c r="I52" s="76"/>
      <c r="J52" s="31"/>
      <c r="K52" s="20"/>
      <c r="L52" s="20"/>
      <c r="M52" s="20"/>
      <c r="N52" s="20"/>
      <c r="O52" s="20"/>
      <c r="P52" s="20"/>
      <c r="Q52" s="20"/>
      <c r="R52" s="20"/>
      <c r="S52" s="20"/>
      <c r="T52" s="20"/>
      <c r="U52" s="20"/>
      <c r="V52" s="20"/>
      <c r="W52" s="20"/>
      <c r="X52" s="20"/>
      <c r="Y52" s="20"/>
      <c r="Z52" s="20"/>
      <c r="AA52" s="20"/>
    </row>
    <row r="53" spans="2:27" ht="17.25" customHeight="1">
      <c r="B53" s="57"/>
      <c r="C53" s="57"/>
      <c r="D53" s="57"/>
      <c r="E53" s="57"/>
      <c r="F53" s="76"/>
      <c r="G53" s="76"/>
      <c r="H53" s="76"/>
      <c r="I53" s="76"/>
      <c r="J53" s="31"/>
      <c r="K53" s="20"/>
      <c r="L53" s="20"/>
      <c r="M53" s="20"/>
      <c r="N53" s="20"/>
      <c r="O53" s="20"/>
      <c r="P53" s="20"/>
      <c r="Q53" s="20"/>
      <c r="R53" s="20"/>
      <c r="S53" s="20"/>
      <c r="T53" s="20"/>
      <c r="U53" s="20"/>
      <c r="V53" s="20"/>
      <c r="W53" s="20"/>
      <c r="X53" s="20"/>
      <c r="Y53" s="20"/>
      <c r="Z53" s="20"/>
      <c r="AA53" s="20"/>
    </row>
    <row r="54" spans="2:27" ht="17.25" customHeight="1">
      <c r="B54" s="57"/>
      <c r="C54" s="57"/>
      <c r="D54" s="57"/>
      <c r="E54" s="57"/>
      <c r="F54" s="76"/>
      <c r="G54" s="76"/>
      <c r="H54" s="76"/>
      <c r="I54" s="76"/>
      <c r="J54" s="31"/>
      <c r="K54" s="20"/>
      <c r="L54" s="20"/>
      <c r="M54" s="20"/>
      <c r="N54" s="20"/>
      <c r="O54" s="20"/>
      <c r="P54" s="20"/>
      <c r="Q54" s="20"/>
      <c r="R54" s="20"/>
      <c r="S54" s="20"/>
      <c r="T54" s="20"/>
      <c r="U54" s="20"/>
      <c r="V54" s="20"/>
      <c r="W54" s="20"/>
      <c r="X54" s="20"/>
      <c r="Y54" s="20"/>
      <c r="Z54" s="20"/>
      <c r="AA54" s="20"/>
    </row>
    <row r="55" spans="2:27" ht="17.25" customHeight="1">
      <c r="B55" s="57"/>
      <c r="C55" s="57"/>
      <c r="D55" s="57"/>
      <c r="E55" s="57"/>
      <c r="F55" s="76"/>
      <c r="G55" s="76"/>
      <c r="H55" s="76"/>
      <c r="I55" s="76"/>
      <c r="J55" s="31"/>
      <c r="K55" s="20"/>
      <c r="L55" s="20"/>
      <c r="M55" s="20"/>
      <c r="N55" s="20"/>
      <c r="O55" s="20"/>
      <c r="P55" s="20"/>
      <c r="Q55" s="20"/>
      <c r="R55" s="20"/>
      <c r="S55" s="20"/>
      <c r="T55" s="20"/>
      <c r="U55" s="20"/>
      <c r="V55" s="20"/>
      <c r="W55" s="20"/>
      <c r="X55" s="20"/>
      <c r="Y55" s="20"/>
      <c r="Z55" s="20"/>
      <c r="AA55" s="20"/>
    </row>
    <row r="56" spans="2:27" ht="17.25" customHeight="1">
      <c r="D56" s="57"/>
      <c r="E56" s="57"/>
      <c r="F56" s="76"/>
      <c r="G56" s="76"/>
      <c r="H56" s="76"/>
      <c r="I56" s="76"/>
      <c r="J56" s="31"/>
      <c r="K56" s="20"/>
      <c r="L56" s="20"/>
      <c r="M56" s="20"/>
      <c r="N56" s="20"/>
      <c r="O56" s="20"/>
      <c r="P56" s="20"/>
      <c r="Q56" s="20"/>
      <c r="R56" s="20"/>
      <c r="S56" s="20"/>
      <c r="T56" s="20"/>
      <c r="U56" s="20"/>
      <c r="V56" s="20"/>
      <c r="W56" s="20"/>
      <c r="X56" s="20"/>
      <c r="Y56" s="20"/>
      <c r="Z56" s="20"/>
      <c r="AA56" s="20"/>
    </row>
    <row r="57" spans="2:27" ht="17.25" customHeight="1">
      <c r="D57" s="57"/>
      <c r="E57" s="57"/>
      <c r="F57" s="58"/>
      <c r="G57" s="58"/>
      <c r="H57" s="58"/>
      <c r="I57" s="58"/>
      <c r="J57" s="31"/>
      <c r="K57" s="20"/>
      <c r="L57" s="20"/>
      <c r="M57" s="20"/>
      <c r="N57" s="20"/>
      <c r="O57" s="20"/>
      <c r="P57" s="20"/>
      <c r="Q57" s="20"/>
      <c r="R57" s="20"/>
      <c r="S57" s="20"/>
      <c r="T57" s="20"/>
      <c r="U57" s="20"/>
      <c r="V57" s="20"/>
      <c r="W57" s="20"/>
      <c r="X57" s="20"/>
      <c r="Y57" s="20"/>
      <c r="Z57" s="20"/>
      <c r="AA57" s="20"/>
    </row>
    <row r="58" spans="2:27" ht="17.25" customHeight="1">
      <c r="D58" s="57"/>
      <c r="E58" s="57"/>
      <c r="F58" s="58"/>
      <c r="G58" s="58"/>
      <c r="H58" s="58"/>
      <c r="I58" s="58"/>
      <c r="J58" s="31"/>
      <c r="K58" s="20"/>
      <c r="L58" s="20"/>
      <c r="M58" s="20"/>
      <c r="N58" s="20"/>
      <c r="O58" s="20"/>
      <c r="P58" s="20"/>
      <c r="Q58" s="20"/>
      <c r="R58" s="20"/>
      <c r="S58" s="20"/>
      <c r="T58" s="20"/>
      <c r="U58" s="20"/>
      <c r="V58" s="20"/>
      <c r="W58" s="20"/>
      <c r="X58" s="20"/>
      <c r="Y58" s="20"/>
      <c r="Z58" s="20"/>
      <c r="AA58" s="20"/>
    </row>
    <row r="59" spans="2:27" ht="17.25" customHeight="1">
      <c r="D59" s="57"/>
      <c r="E59" s="57"/>
      <c r="F59" s="58"/>
      <c r="G59" s="58"/>
      <c r="H59" s="58"/>
      <c r="I59" s="58"/>
      <c r="J59" s="31"/>
      <c r="K59" s="20"/>
      <c r="L59" s="20"/>
      <c r="M59" s="20"/>
      <c r="N59" s="20"/>
      <c r="O59" s="20"/>
      <c r="P59" s="20"/>
      <c r="Q59" s="20"/>
      <c r="R59" s="20"/>
      <c r="S59" s="20"/>
      <c r="T59" s="20"/>
      <c r="U59" s="20"/>
      <c r="V59" s="20"/>
      <c r="W59" s="20"/>
      <c r="X59" s="20"/>
      <c r="Y59" s="20"/>
      <c r="Z59" s="20"/>
      <c r="AA59" s="20"/>
    </row>
    <row r="60" spans="2:27" ht="17.25" customHeight="1">
      <c r="D60" s="57"/>
      <c r="E60" s="57"/>
      <c r="F60" s="58"/>
      <c r="G60" s="58"/>
      <c r="H60" s="58"/>
      <c r="I60" s="58"/>
      <c r="J60" s="31"/>
      <c r="K60" s="20"/>
      <c r="L60" s="20"/>
      <c r="M60" s="20"/>
      <c r="N60" s="20"/>
      <c r="O60" s="20"/>
      <c r="P60" s="20"/>
      <c r="Q60" s="20"/>
      <c r="R60" s="20"/>
      <c r="S60" s="20"/>
      <c r="T60" s="20"/>
      <c r="U60" s="20"/>
      <c r="V60" s="20"/>
      <c r="W60" s="20"/>
      <c r="X60" s="20"/>
      <c r="Y60" s="20"/>
      <c r="Z60" s="20"/>
      <c r="AA60" s="20"/>
    </row>
    <row r="61" spans="2:27" ht="17.25" customHeight="1">
      <c r="D61" s="57"/>
      <c r="E61" s="57"/>
      <c r="F61" s="58"/>
      <c r="G61" s="58"/>
      <c r="H61" s="58"/>
      <c r="I61" s="58"/>
      <c r="J61" s="31"/>
      <c r="K61" s="20"/>
      <c r="L61" s="20"/>
      <c r="M61" s="20"/>
      <c r="N61" s="20"/>
      <c r="O61" s="20"/>
      <c r="P61" s="20"/>
      <c r="Q61" s="20"/>
      <c r="R61" s="20"/>
      <c r="S61" s="20"/>
      <c r="T61" s="20"/>
      <c r="U61" s="20"/>
      <c r="V61" s="20"/>
      <c r="W61" s="20"/>
      <c r="X61" s="20"/>
      <c r="Y61" s="20"/>
      <c r="Z61" s="20"/>
      <c r="AA61" s="20"/>
    </row>
    <row r="62" spans="2:27" ht="17.25" customHeight="1">
      <c r="D62" s="57"/>
      <c r="E62" s="57"/>
      <c r="F62" s="58"/>
      <c r="G62" s="58"/>
      <c r="H62" s="58"/>
      <c r="I62" s="58"/>
      <c r="J62" s="31"/>
      <c r="K62" s="20"/>
      <c r="L62" s="20"/>
      <c r="M62" s="20"/>
      <c r="N62" s="20"/>
      <c r="O62" s="20"/>
      <c r="P62" s="20"/>
      <c r="Q62" s="20"/>
      <c r="R62" s="20"/>
      <c r="S62" s="20"/>
      <c r="T62" s="20"/>
      <c r="U62" s="20"/>
      <c r="V62" s="20"/>
      <c r="W62" s="20"/>
      <c r="X62" s="20"/>
      <c r="Y62" s="20"/>
      <c r="Z62" s="20"/>
      <c r="AA62" s="20"/>
    </row>
    <row r="63" spans="2:27" ht="17.25" customHeight="1">
      <c r="D63" s="57"/>
      <c r="E63" s="57"/>
      <c r="F63" s="58"/>
      <c r="G63" s="58"/>
      <c r="H63" s="58"/>
      <c r="I63" s="58"/>
      <c r="J63" s="31"/>
      <c r="K63" s="20"/>
      <c r="L63" s="20"/>
      <c r="M63" s="20"/>
      <c r="N63" s="20"/>
      <c r="O63" s="20"/>
      <c r="P63" s="20"/>
      <c r="Q63" s="20"/>
      <c r="R63" s="20"/>
      <c r="S63" s="20"/>
      <c r="T63" s="20"/>
      <c r="U63" s="20"/>
      <c r="V63" s="20"/>
      <c r="W63" s="20"/>
      <c r="X63" s="20"/>
      <c r="Y63" s="20"/>
      <c r="Z63" s="20"/>
      <c r="AA63" s="20"/>
    </row>
    <row r="64" spans="2:27" ht="17.25" customHeight="1">
      <c r="D64" s="57"/>
      <c r="E64" s="57"/>
      <c r="F64" s="58"/>
      <c r="G64" s="58"/>
      <c r="H64" s="58"/>
      <c r="I64" s="58"/>
      <c r="J64" s="31"/>
      <c r="K64" s="20"/>
      <c r="L64" s="20"/>
      <c r="M64" s="20"/>
      <c r="N64" s="20"/>
      <c r="O64" s="20"/>
      <c r="P64" s="20"/>
      <c r="Q64" s="20"/>
      <c r="R64" s="20"/>
      <c r="S64" s="20"/>
      <c r="T64" s="20"/>
      <c r="U64" s="20"/>
      <c r="V64" s="20"/>
      <c r="W64" s="20"/>
      <c r="X64" s="20"/>
      <c r="Y64" s="20"/>
      <c r="Z64" s="20"/>
      <c r="AA64" s="20"/>
    </row>
    <row r="65" spans="4:27" ht="17.25" customHeight="1">
      <c r="D65" s="57"/>
      <c r="E65" s="57"/>
      <c r="F65" s="58"/>
      <c r="G65" s="58"/>
      <c r="H65" s="58"/>
      <c r="I65" s="58"/>
      <c r="J65" s="31"/>
      <c r="K65" s="20"/>
      <c r="L65" s="20"/>
      <c r="M65" s="20"/>
      <c r="N65" s="20"/>
      <c r="O65" s="20"/>
      <c r="P65" s="20"/>
      <c r="Q65" s="20"/>
      <c r="R65" s="20"/>
      <c r="S65" s="20"/>
      <c r="T65" s="20"/>
      <c r="U65" s="20"/>
      <c r="V65" s="20"/>
      <c r="W65" s="20"/>
      <c r="X65" s="20"/>
      <c r="Y65" s="20"/>
      <c r="Z65" s="20"/>
      <c r="AA65" s="20"/>
    </row>
    <row r="66" spans="4:27" ht="17.25" customHeight="1">
      <c r="D66" s="57"/>
      <c r="E66" s="57"/>
      <c r="F66" s="58"/>
      <c r="G66" s="58"/>
      <c r="H66" s="58"/>
      <c r="I66" s="58"/>
      <c r="J66" s="31"/>
      <c r="K66" s="20"/>
      <c r="L66" s="20"/>
      <c r="M66" s="20"/>
      <c r="N66" s="20"/>
      <c r="O66" s="20"/>
      <c r="P66" s="20"/>
      <c r="Q66" s="20"/>
      <c r="R66" s="20"/>
      <c r="S66" s="20"/>
      <c r="T66" s="20"/>
      <c r="U66" s="20"/>
      <c r="V66" s="20"/>
      <c r="W66" s="20"/>
      <c r="X66" s="20"/>
      <c r="Y66" s="20"/>
      <c r="Z66" s="20"/>
      <c r="AA66" s="20"/>
    </row>
    <row r="67" spans="4:27" ht="17.25" customHeight="1">
      <c r="D67" s="57"/>
      <c r="E67" s="57"/>
      <c r="F67" s="58"/>
      <c r="G67" s="58"/>
      <c r="H67" s="58"/>
      <c r="I67" s="58"/>
      <c r="J67" s="31"/>
      <c r="K67" s="20"/>
      <c r="L67" s="20"/>
      <c r="M67" s="20"/>
      <c r="N67" s="20"/>
      <c r="O67" s="20"/>
      <c r="P67" s="20"/>
      <c r="Q67" s="20"/>
      <c r="R67" s="20"/>
      <c r="S67" s="20"/>
      <c r="T67" s="20"/>
      <c r="U67" s="20"/>
      <c r="V67" s="20"/>
      <c r="W67" s="20"/>
      <c r="X67" s="20"/>
      <c r="Y67" s="20"/>
      <c r="Z67" s="20"/>
      <c r="AA67" s="20"/>
    </row>
    <row r="68" spans="4:27" ht="17.25" customHeight="1">
      <c r="D68" s="57"/>
      <c r="E68" s="57"/>
      <c r="F68" s="58"/>
      <c r="G68" s="58"/>
      <c r="H68" s="58"/>
      <c r="I68" s="58"/>
      <c r="J68" s="31"/>
      <c r="K68" s="20"/>
      <c r="L68" s="20"/>
      <c r="M68" s="20"/>
      <c r="N68" s="20"/>
      <c r="O68" s="20"/>
      <c r="P68" s="20"/>
      <c r="Q68" s="20"/>
      <c r="R68" s="20"/>
      <c r="S68" s="20"/>
      <c r="T68" s="20"/>
      <c r="U68" s="20"/>
      <c r="V68" s="20"/>
      <c r="W68" s="20"/>
      <c r="X68" s="20"/>
      <c r="Y68" s="20"/>
      <c r="Z68" s="20"/>
      <c r="AA68" s="20"/>
    </row>
    <row r="69" spans="4:27" ht="17.25" customHeight="1">
      <c r="D69" s="57"/>
      <c r="E69" s="57"/>
      <c r="F69" s="58"/>
      <c r="G69" s="58"/>
      <c r="H69" s="58"/>
      <c r="I69" s="58"/>
      <c r="J69" s="31"/>
      <c r="K69" s="20"/>
      <c r="L69" s="20"/>
      <c r="M69" s="20"/>
      <c r="N69" s="20"/>
      <c r="O69" s="20"/>
      <c r="P69" s="20"/>
      <c r="Q69" s="20"/>
      <c r="R69" s="20"/>
      <c r="S69" s="20"/>
      <c r="T69" s="20"/>
      <c r="U69" s="20"/>
      <c r="V69" s="20"/>
      <c r="W69" s="20"/>
      <c r="X69" s="20"/>
      <c r="Y69" s="20"/>
      <c r="Z69" s="20"/>
      <c r="AA69" s="20"/>
    </row>
    <row r="70" spans="4:27" ht="17.25" customHeight="1">
      <c r="D70" s="57"/>
      <c r="E70" s="57"/>
      <c r="F70" s="58"/>
      <c r="G70" s="58"/>
      <c r="H70" s="58"/>
      <c r="I70" s="58"/>
      <c r="J70" s="31"/>
      <c r="K70" s="20"/>
      <c r="L70" s="20"/>
      <c r="M70" s="20"/>
      <c r="N70" s="20"/>
      <c r="O70" s="20"/>
      <c r="P70" s="20"/>
      <c r="Q70" s="20"/>
      <c r="R70" s="20"/>
      <c r="S70" s="20"/>
      <c r="T70" s="20"/>
      <c r="U70" s="20"/>
      <c r="V70" s="20"/>
      <c r="W70" s="20"/>
      <c r="X70" s="20"/>
      <c r="Y70" s="20"/>
      <c r="Z70" s="20"/>
      <c r="AA70" s="20"/>
    </row>
    <row r="71" spans="4:27" ht="17.25" customHeight="1">
      <c r="D71" s="57"/>
      <c r="E71" s="57"/>
      <c r="F71" s="58"/>
      <c r="G71" s="58"/>
      <c r="H71" s="58"/>
      <c r="I71" s="58"/>
      <c r="J71" s="31"/>
      <c r="K71" s="20"/>
      <c r="L71" s="20"/>
      <c r="M71" s="20"/>
      <c r="N71" s="20"/>
      <c r="O71" s="20"/>
      <c r="P71" s="20"/>
      <c r="Q71" s="20"/>
      <c r="R71" s="20"/>
      <c r="S71" s="20"/>
      <c r="T71" s="20"/>
      <c r="U71" s="20"/>
      <c r="V71" s="20"/>
      <c r="W71" s="20"/>
      <c r="X71" s="20"/>
      <c r="Y71" s="20"/>
      <c r="Z71" s="20"/>
      <c r="AA71" s="20"/>
    </row>
    <row r="72" spans="4:27" ht="17.25" customHeight="1">
      <c r="D72" s="57"/>
      <c r="E72" s="57"/>
      <c r="F72" s="58"/>
      <c r="G72" s="58"/>
      <c r="H72" s="58"/>
      <c r="I72" s="58"/>
      <c r="J72" s="31"/>
      <c r="K72" s="20"/>
      <c r="L72" s="20"/>
      <c r="M72" s="20"/>
      <c r="N72" s="20"/>
      <c r="O72" s="20"/>
      <c r="P72" s="20"/>
      <c r="Q72" s="20"/>
      <c r="R72" s="20"/>
      <c r="S72" s="20"/>
      <c r="T72" s="20"/>
      <c r="U72" s="20"/>
      <c r="V72" s="20"/>
      <c r="W72" s="20"/>
      <c r="X72" s="20"/>
      <c r="Y72" s="20"/>
      <c r="Z72" s="20"/>
      <c r="AA72" s="20"/>
    </row>
    <row r="73" spans="4:27" ht="17.25" customHeight="1">
      <c r="D73" s="57"/>
      <c r="E73" s="57"/>
      <c r="F73" s="58"/>
      <c r="G73" s="58"/>
      <c r="H73" s="58"/>
      <c r="I73" s="58"/>
      <c r="J73" s="31"/>
      <c r="K73" s="20"/>
      <c r="L73" s="20"/>
      <c r="M73" s="20"/>
      <c r="N73" s="20"/>
      <c r="O73" s="20"/>
      <c r="P73" s="20"/>
      <c r="Q73" s="20"/>
      <c r="R73" s="20"/>
      <c r="S73" s="20"/>
      <c r="T73" s="20"/>
      <c r="U73" s="20"/>
      <c r="V73" s="20"/>
      <c r="W73" s="20"/>
      <c r="X73" s="20"/>
      <c r="Y73" s="20"/>
      <c r="Z73" s="20"/>
      <c r="AA73" s="20"/>
    </row>
    <row r="74" spans="4:27" ht="17.25" customHeight="1">
      <c r="D74" s="57"/>
      <c r="E74" s="57"/>
      <c r="F74" s="58"/>
      <c r="G74" s="58"/>
      <c r="H74" s="58"/>
      <c r="I74" s="58"/>
      <c r="J74" s="31"/>
      <c r="K74" s="20"/>
      <c r="L74" s="20"/>
      <c r="M74" s="20"/>
      <c r="N74" s="20"/>
      <c r="O74" s="20"/>
      <c r="P74" s="20"/>
      <c r="Q74" s="20"/>
      <c r="R74" s="20"/>
      <c r="S74" s="20"/>
      <c r="T74" s="20"/>
      <c r="U74" s="20"/>
      <c r="V74" s="20"/>
      <c r="W74" s="20"/>
      <c r="X74" s="20"/>
      <c r="Y74" s="20"/>
      <c r="Z74" s="20"/>
      <c r="AA74" s="20"/>
    </row>
    <row r="75" spans="4:27" ht="17.25" customHeight="1">
      <c r="D75" s="57"/>
      <c r="E75" s="57"/>
      <c r="F75" s="58"/>
      <c r="G75" s="58"/>
      <c r="H75" s="58"/>
      <c r="I75" s="58"/>
      <c r="J75" s="31"/>
      <c r="K75" s="20"/>
      <c r="L75" s="20"/>
      <c r="M75" s="20"/>
      <c r="N75" s="20"/>
      <c r="O75" s="20"/>
      <c r="P75" s="20"/>
      <c r="Q75" s="20"/>
      <c r="R75" s="20"/>
      <c r="S75" s="20"/>
      <c r="T75" s="20"/>
      <c r="U75" s="20"/>
      <c r="V75" s="20"/>
      <c r="W75" s="20"/>
      <c r="X75" s="20"/>
      <c r="Y75" s="20"/>
      <c r="Z75" s="20"/>
      <c r="AA75" s="20"/>
    </row>
    <row r="76" spans="4:27" ht="17.25" customHeight="1">
      <c r="D76" s="57"/>
      <c r="E76" s="57"/>
      <c r="F76" s="58"/>
      <c r="G76" s="58"/>
      <c r="H76" s="58"/>
      <c r="I76" s="58"/>
      <c r="J76" s="31"/>
      <c r="K76" s="20"/>
      <c r="L76" s="20"/>
      <c r="M76" s="20"/>
      <c r="N76" s="20"/>
      <c r="O76" s="20"/>
      <c r="P76" s="20"/>
      <c r="Q76" s="20"/>
      <c r="R76" s="20"/>
      <c r="S76" s="20"/>
      <c r="T76" s="20"/>
      <c r="U76" s="20"/>
      <c r="V76" s="20"/>
      <c r="W76" s="20"/>
      <c r="X76" s="20"/>
      <c r="Y76" s="20"/>
      <c r="Z76" s="20"/>
      <c r="AA76" s="20"/>
    </row>
    <row r="77" spans="4:27" ht="17.25" customHeight="1">
      <c r="D77" s="57"/>
      <c r="E77" s="57"/>
      <c r="F77" s="58"/>
      <c r="G77" s="58"/>
      <c r="H77" s="58"/>
      <c r="I77" s="58"/>
      <c r="J77" s="31"/>
      <c r="K77" s="20"/>
      <c r="L77" s="20"/>
      <c r="M77" s="20"/>
      <c r="N77" s="20"/>
      <c r="O77" s="20"/>
      <c r="P77" s="20"/>
      <c r="Q77" s="20"/>
      <c r="R77" s="20"/>
      <c r="S77" s="20"/>
      <c r="T77" s="20"/>
      <c r="U77" s="20"/>
      <c r="V77" s="20"/>
      <c r="W77" s="20"/>
      <c r="X77" s="20"/>
      <c r="Y77" s="20"/>
      <c r="Z77" s="20"/>
      <c r="AA77" s="20"/>
    </row>
    <row r="78" spans="4:27" ht="17.25" customHeight="1">
      <c r="D78" s="57"/>
      <c r="E78" s="57"/>
      <c r="F78" s="58"/>
      <c r="G78" s="58"/>
      <c r="H78" s="58"/>
      <c r="I78" s="58"/>
      <c r="J78" s="31"/>
      <c r="K78" s="20"/>
      <c r="L78" s="20"/>
      <c r="M78" s="20"/>
      <c r="N78" s="20"/>
      <c r="O78" s="20"/>
      <c r="P78" s="20"/>
      <c r="Q78" s="20"/>
      <c r="R78" s="20"/>
      <c r="S78" s="20"/>
      <c r="T78" s="20"/>
      <c r="U78" s="20"/>
      <c r="V78" s="20"/>
      <c r="W78" s="20"/>
      <c r="X78" s="20"/>
      <c r="Y78" s="20"/>
      <c r="Z78" s="20"/>
      <c r="AA78" s="20"/>
    </row>
    <row r="79" spans="4:27" ht="17.25" customHeight="1">
      <c r="D79" s="57"/>
      <c r="E79" s="57"/>
      <c r="F79" s="58"/>
      <c r="G79" s="58"/>
      <c r="H79" s="58"/>
      <c r="I79" s="58"/>
      <c r="J79" s="31"/>
      <c r="K79" s="20"/>
      <c r="L79" s="20"/>
      <c r="M79" s="20"/>
      <c r="N79" s="20"/>
      <c r="O79" s="20"/>
      <c r="P79" s="20"/>
      <c r="Q79" s="20"/>
      <c r="R79" s="20"/>
      <c r="S79" s="20"/>
      <c r="T79" s="20"/>
      <c r="U79" s="20"/>
      <c r="V79" s="20"/>
      <c r="W79" s="20"/>
      <c r="X79" s="20"/>
      <c r="Y79" s="20"/>
      <c r="Z79" s="20"/>
      <c r="AA79" s="20"/>
    </row>
    <row r="80" spans="4:27" ht="17.25" customHeight="1">
      <c r="D80" s="57"/>
      <c r="E80" s="57"/>
      <c r="F80" s="58"/>
      <c r="G80" s="58"/>
      <c r="H80" s="58"/>
      <c r="I80" s="58"/>
      <c r="J80" s="31"/>
      <c r="K80" s="20"/>
      <c r="L80" s="20"/>
      <c r="M80" s="20"/>
      <c r="N80" s="20"/>
      <c r="O80" s="20"/>
      <c r="P80" s="20"/>
      <c r="Q80" s="20"/>
      <c r="R80" s="20"/>
      <c r="S80" s="20"/>
      <c r="T80" s="20"/>
      <c r="U80" s="20"/>
      <c r="V80" s="20"/>
      <c r="W80" s="20"/>
      <c r="X80" s="20"/>
      <c r="Y80" s="20"/>
      <c r="Z80" s="20"/>
      <c r="AA80" s="20"/>
    </row>
    <row r="81" spans="4:27" ht="17.25" customHeight="1">
      <c r="D81" s="57"/>
      <c r="E81" s="57"/>
      <c r="F81" s="58"/>
      <c r="G81" s="58"/>
      <c r="H81" s="58"/>
      <c r="I81" s="58"/>
      <c r="J81" s="31"/>
      <c r="K81" s="20"/>
      <c r="L81" s="20"/>
      <c r="M81" s="20"/>
      <c r="N81" s="20"/>
      <c r="O81" s="20"/>
      <c r="P81" s="20"/>
      <c r="Q81" s="20"/>
      <c r="R81" s="20"/>
      <c r="S81" s="20"/>
      <c r="T81" s="20"/>
      <c r="U81" s="20"/>
      <c r="V81" s="20"/>
      <c r="W81" s="20"/>
      <c r="X81" s="20"/>
      <c r="Y81" s="20"/>
      <c r="Z81" s="20"/>
      <c r="AA81" s="20"/>
    </row>
    <row r="82" spans="4:27" ht="17.25" customHeight="1">
      <c r="D82" s="57"/>
      <c r="E82" s="57"/>
      <c r="F82" s="58"/>
      <c r="G82" s="58"/>
      <c r="H82" s="58"/>
      <c r="I82" s="58"/>
      <c r="J82" s="31"/>
      <c r="K82" s="20"/>
      <c r="L82" s="20"/>
      <c r="M82" s="20"/>
      <c r="N82" s="20"/>
      <c r="O82" s="20"/>
      <c r="P82" s="20"/>
      <c r="Q82" s="20"/>
      <c r="R82" s="20"/>
      <c r="S82" s="20"/>
      <c r="T82" s="20"/>
      <c r="U82" s="20"/>
      <c r="V82" s="20"/>
      <c r="W82" s="20"/>
      <c r="X82" s="20"/>
      <c r="Y82" s="20"/>
      <c r="Z82" s="20"/>
      <c r="AA82" s="20"/>
    </row>
    <row r="83" spans="4:27" ht="17.25" customHeight="1">
      <c r="D83" s="57"/>
      <c r="E83" s="57"/>
      <c r="F83" s="58"/>
      <c r="G83" s="58"/>
      <c r="H83" s="58"/>
      <c r="I83" s="58"/>
      <c r="J83" s="31"/>
      <c r="K83" s="20"/>
      <c r="L83" s="20"/>
      <c r="M83" s="20"/>
      <c r="N83" s="20"/>
      <c r="O83" s="20"/>
      <c r="P83" s="20"/>
      <c r="Q83" s="20"/>
      <c r="R83" s="20"/>
      <c r="S83" s="20"/>
      <c r="T83" s="20"/>
      <c r="U83" s="20"/>
      <c r="V83" s="20"/>
      <c r="W83" s="20"/>
      <c r="X83" s="20"/>
      <c r="Y83" s="20"/>
      <c r="Z83" s="20"/>
      <c r="AA83" s="20"/>
    </row>
    <row r="84" spans="4:27" ht="17.25" customHeight="1">
      <c r="D84" s="57"/>
      <c r="E84" s="57"/>
      <c r="F84" s="58"/>
      <c r="G84" s="58"/>
      <c r="H84" s="58"/>
      <c r="I84" s="58"/>
      <c r="J84" s="31"/>
      <c r="K84" s="20"/>
      <c r="L84" s="20"/>
      <c r="M84" s="20"/>
      <c r="N84" s="20"/>
      <c r="O84" s="20"/>
      <c r="P84" s="20"/>
      <c r="Q84" s="20"/>
      <c r="R84" s="20"/>
      <c r="S84" s="20"/>
      <c r="T84" s="20"/>
      <c r="U84" s="20"/>
      <c r="V84" s="20"/>
      <c r="W84" s="20"/>
      <c r="X84" s="20"/>
      <c r="Y84" s="20"/>
      <c r="Z84" s="20"/>
      <c r="AA84" s="20"/>
    </row>
    <row r="85" spans="4:27" ht="17.25" customHeight="1">
      <c r="D85" s="57"/>
      <c r="E85" s="57"/>
      <c r="F85" s="58"/>
      <c r="G85" s="58"/>
      <c r="H85" s="58"/>
      <c r="I85" s="58"/>
      <c r="J85" s="31"/>
      <c r="K85" s="20"/>
      <c r="L85" s="20"/>
      <c r="M85" s="20"/>
      <c r="N85" s="20"/>
      <c r="O85" s="20"/>
      <c r="P85" s="20"/>
      <c r="Q85" s="20"/>
      <c r="R85" s="20"/>
      <c r="S85" s="20"/>
      <c r="T85" s="20"/>
      <c r="U85" s="20"/>
      <c r="V85" s="20"/>
      <c r="W85" s="20"/>
      <c r="X85" s="20"/>
      <c r="Y85" s="20"/>
      <c r="Z85" s="20"/>
      <c r="AA85" s="20"/>
    </row>
    <row r="86" spans="4:27" ht="17.25" customHeight="1">
      <c r="D86" s="57"/>
      <c r="E86" s="57"/>
      <c r="F86" s="58"/>
      <c r="G86" s="58"/>
      <c r="H86" s="58"/>
      <c r="I86" s="58"/>
      <c r="J86" s="31"/>
      <c r="K86" s="20"/>
      <c r="L86" s="20"/>
      <c r="M86" s="20"/>
      <c r="N86" s="20"/>
      <c r="O86" s="20"/>
      <c r="P86" s="20"/>
      <c r="Q86" s="20"/>
      <c r="R86" s="20"/>
      <c r="S86" s="20"/>
      <c r="T86" s="20"/>
      <c r="U86" s="20"/>
      <c r="V86" s="20"/>
      <c r="W86" s="20"/>
      <c r="X86" s="20"/>
      <c r="Y86" s="20"/>
      <c r="Z86" s="20"/>
      <c r="AA86" s="20"/>
    </row>
    <row r="87" spans="4:27" ht="17.25" customHeight="1">
      <c r="D87" s="57"/>
      <c r="E87" s="57"/>
      <c r="F87" s="58"/>
      <c r="G87" s="58"/>
      <c r="H87" s="58"/>
      <c r="I87" s="58"/>
      <c r="J87" s="31"/>
      <c r="K87" s="20"/>
      <c r="L87" s="20"/>
      <c r="M87" s="20"/>
      <c r="N87" s="20"/>
      <c r="O87" s="20"/>
      <c r="P87" s="20"/>
      <c r="Q87" s="20"/>
      <c r="R87" s="20"/>
      <c r="S87" s="20"/>
      <c r="T87" s="20"/>
      <c r="U87" s="20"/>
      <c r="V87" s="20"/>
      <c r="W87" s="20"/>
      <c r="X87" s="20"/>
      <c r="Y87" s="20"/>
      <c r="Z87" s="20"/>
      <c r="AA87" s="20"/>
    </row>
    <row r="88" spans="4:27" ht="17.25" customHeight="1">
      <c r="D88" s="57"/>
      <c r="E88" s="57"/>
      <c r="F88" s="58"/>
      <c r="G88" s="58"/>
      <c r="H88" s="58"/>
      <c r="I88" s="58"/>
      <c r="J88" s="31"/>
      <c r="K88" s="20"/>
      <c r="L88" s="20"/>
      <c r="M88" s="20"/>
      <c r="N88" s="20"/>
      <c r="O88" s="20"/>
      <c r="P88" s="20"/>
      <c r="Q88" s="20"/>
      <c r="R88" s="20"/>
      <c r="S88" s="20"/>
      <c r="T88" s="20"/>
      <c r="U88" s="20"/>
      <c r="V88" s="20"/>
      <c r="W88" s="20"/>
      <c r="X88" s="20"/>
      <c r="Y88" s="20"/>
      <c r="Z88" s="20"/>
      <c r="AA88" s="20"/>
    </row>
    <row r="89" spans="4:27" ht="17.25" customHeight="1">
      <c r="D89" s="57"/>
      <c r="E89" s="57"/>
      <c r="F89" s="58"/>
      <c r="G89" s="58"/>
      <c r="H89" s="58"/>
      <c r="I89" s="58"/>
      <c r="J89" s="31"/>
      <c r="K89" s="20"/>
      <c r="L89" s="20"/>
      <c r="M89" s="20"/>
      <c r="N89" s="20"/>
      <c r="O89" s="20"/>
      <c r="P89" s="20"/>
      <c r="Q89" s="20"/>
      <c r="R89" s="20"/>
      <c r="S89" s="20"/>
      <c r="T89" s="20"/>
      <c r="U89" s="20"/>
      <c r="V89" s="20"/>
      <c r="W89" s="20"/>
      <c r="X89" s="20"/>
      <c r="Y89" s="20"/>
      <c r="Z89" s="20"/>
      <c r="AA89" s="20"/>
    </row>
    <row r="90" spans="4:27" ht="17.25" customHeight="1">
      <c r="D90" s="57"/>
      <c r="E90" s="57"/>
      <c r="F90" s="58"/>
      <c r="G90" s="58"/>
      <c r="H90" s="58"/>
      <c r="I90" s="58"/>
      <c r="J90" s="31"/>
      <c r="K90" s="20"/>
      <c r="L90" s="20"/>
      <c r="M90" s="20"/>
      <c r="N90" s="20"/>
      <c r="O90" s="20"/>
      <c r="P90" s="20"/>
      <c r="Q90" s="20"/>
      <c r="R90" s="20"/>
      <c r="S90" s="20"/>
      <c r="T90" s="20"/>
      <c r="U90" s="20"/>
      <c r="V90" s="20"/>
      <c r="W90" s="20"/>
      <c r="X90" s="20"/>
      <c r="Y90" s="20"/>
      <c r="Z90" s="20"/>
      <c r="AA90" s="20"/>
    </row>
    <row r="91" spans="4:27" ht="17.25" customHeight="1">
      <c r="D91" s="57"/>
      <c r="E91" s="57"/>
      <c r="F91" s="58"/>
      <c r="G91" s="58"/>
      <c r="H91" s="58"/>
      <c r="I91" s="58"/>
      <c r="J91" s="31"/>
      <c r="K91" s="20"/>
      <c r="L91" s="20"/>
      <c r="M91" s="20"/>
      <c r="N91" s="20"/>
      <c r="O91" s="20"/>
      <c r="P91" s="20"/>
      <c r="Q91" s="20"/>
      <c r="R91" s="20"/>
      <c r="S91" s="20"/>
      <c r="T91" s="20"/>
      <c r="U91" s="20"/>
      <c r="V91" s="20"/>
      <c r="W91" s="20"/>
      <c r="X91" s="20"/>
      <c r="Y91" s="20"/>
      <c r="Z91" s="20"/>
      <c r="AA91" s="20"/>
    </row>
    <row r="92" spans="4:27" ht="17.25" customHeight="1">
      <c r="D92" s="57"/>
      <c r="E92" s="57"/>
      <c r="F92" s="58"/>
      <c r="G92" s="58"/>
      <c r="H92" s="58"/>
      <c r="I92" s="58"/>
      <c r="J92" s="31"/>
      <c r="K92" s="20"/>
      <c r="L92" s="20"/>
      <c r="M92" s="20"/>
      <c r="N92" s="20"/>
      <c r="O92" s="20"/>
      <c r="P92" s="20"/>
      <c r="Q92" s="20"/>
      <c r="R92" s="20"/>
      <c r="S92" s="20"/>
      <c r="T92" s="20"/>
      <c r="U92" s="20"/>
      <c r="V92" s="20"/>
      <c r="W92" s="20"/>
      <c r="X92" s="20"/>
      <c r="Y92" s="20"/>
      <c r="Z92" s="20"/>
      <c r="AA92" s="20"/>
    </row>
    <row r="93" spans="4:27" ht="17.25" customHeight="1">
      <c r="D93" s="57"/>
      <c r="E93" s="57"/>
      <c r="F93" s="58"/>
      <c r="G93" s="58"/>
      <c r="H93" s="58"/>
      <c r="I93" s="58"/>
      <c r="J93" s="31"/>
      <c r="K93" s="20"/>
      <c r="L93" s="20"/>
      <c r="M93" s="20"/>
      <c r="N93" s="20"/>
      <c r="O93" s="20"/>
      <c r="P93" s="20"/>
      <c r="Q93" s="20"/>
      <c r="R93" s="20"/>
      <c r="S93" s="20"/>
      <c r="T93" s="20"/>
      <c r="U93" s="20"/>
      <c r="V93" s="20"/>
      <c r="W93" s="20"/>
      <c r="X93" s="20"/>
      <c r="Y93" s="20"/>
      <c r="Z93" s="20"/>
      <c r="AA93" s="20"/>
    </row>
    <row r="94" spans="4:27" ht="17.25" customHeight="1">
      <c r="D94" s="57"/>
      <c r="E94" s="57"/>
      <c r="F94" s="58"/>
      <c r="G94" s="58"/>
      <c r="H94" s="58"/>
      <c r="I94" s="58"/>
      <c r="J94" s="31"/>
      <c r="K94" s="20"/>
      <c r="L94" s="20"/>
      <c r="M94" s="20"/>
      <c r="N94" s="20"/>
      <c r="O94" s="20"/>
      <c r="P94" s="20"/>
      <c r="Q94" s="20"/>
      <c r="R94" s="20"/>
      <c r="S94" s="20"/>
      <c r="T94" s="20"/>
      <c r="U94" s="20"/>
      <c r="V94" s="20"/>
      <c r="W94" s="20"/>
      <c r="X94" s="20"/>
      <c r="Y94" s="20"/>
      <c r="Z94" s="20"/>
      <c r="AA94" s="20"/>
    </row>
    <row r="95" spans="4:27" ht="17.25" customHeight="1">
      <c r="D95" s="57"/>
      <c r="E95" s="57"/>
      <c r="F95" s="58"/>
      <c r="G95" s="58"/>
      <c r="H95" s="58"/>
      <c r="I95" s="58"/>
      <c r="J95" s="31"/>
      <c r="K95" s="20"/>
      <c r="L95" s="20"/>
      <c r="M95" s="20"/>
      <c r="N95" s="20"/>
      <c r="O95" s="20"/>
      <c r="P95" s="20"/>
      <c r="Q95" s="20"/>
      <c r="R95" s="20"/>
      <c r="S95" s="20"/>
      <c r="T95" s="20"/>
      <c r="U95" s="20"/>
      <c r="V95" s="20"/>
      <c r="W95" s="20"/>
      <c r="X95" s="20"/>
      <c r="Y95" s="20"/>
      <c r="Z95" s="20"/>
      <c r="AA95" s="20"/>
    </row>
    <row r="96" spans="4:27" ht="17.25" customHeight="1">
      <c r="D96" s="57"/>
      <c r="E96" s="57"/>
      <c r="F96" s="58"/>
      <c r="G96" s="58"/>
      <c r="H96" s="58"/>
      <c r="I96" s="58"/>
      <c r="J96" s="31"/>
      <c r="K96" s="20"/>
      <c r="L96" s="20"/>
      <c r="M96" s="20"/>
      <c r="N96" s="20"/>
      <c r="O96" s="20"/>
      <c r="P96" s="20"/>
      <c r="Q96" s="20"/>
      <c r="R96" s="20"/>
      <c r="S96" s="20"/>
      <c r="T96" s="20"/>
      <c r="U96" s="20"/>
      <c r="V96" s="20"/>
      <c r="W96" s="20"/>
      <c r="X96" s="20"/>
      <c r="Y96" s="20"/>
      <c r="Z96" s="20"/>
      <c r="AA96" s="20"/>
    </row>
    <row r="97" spans="4:27" ht="17.25" customHeight="1">
      <c r="D97" s="57"/>
      <c r="E97" s="57"/>
      <c r="F97" s="58"/>
      <c r="G97" s="58"/>
      <c r="H97" s="58"/>
      <c r="I97" s="58"/>
      <c r="J97" s="31"/>
      <c r="K97" s="20"/>
      <c r="L97" s="20"/>
      <c r="M97" s="20"/>
      <c r="N97" s="20"/>
      <c r="O97" s="20"/>
      <c r="P97" s="20"/>
      <c r="Q97" s="20"/>
      <c r="R97" s="20"/>
      <c r="S97" s="20"/>
      <c r="T97" s="20"/>
      <c r="U97" s="20"/>
      <c r="V97" s="20"/>
      <c r="W97" s="20"/>
      <c r="X97" s="20"/>
      <c r="Y97" s="20"/>
      <c r="Z97" s="20"/>
      <c r="AA97" s="20"/>
    </row>
    <row r="98" spans="4:27" ht="17.25" customHeight="1">
      <c r="D98" s="57"/>
      <c r="E98" s="57"/>
      <c r="F98" s="58"/>
      <c r="G98" s="58"/>
      <c r="H98" s="58"/>
      <c r="I98" s="58"/>
      <c r="J98" s="31"/>
      <c r="K98" s="20"/>
      <c r="L98" s="20"/>
      <c r="M98" s="20"/>
      <c r="N98" s="20"/>
      <c r="O98" s="20"/>
      <c r="P98" s="20"/>
      <c r="Q98" s="20"/>
      <c r="R98" s="20"/>
      <c r="S98" s="20"/>
      <c r="T98" s="20"/>
      <c r="U98" s="20"/>
      <c r="V98" s="20"/>
      <c r="W98" s="20"/>
      <c r="X98" s="20"/>
      <c r="Y98" s="20"/>
      <c r="Z98" s="20"/>
      <c r="AA98" s="20"/>
    </row>
    <row r="99" spans="4:27" ht="17.25" customHeight="1">
      <c r="D99" s="57"/>
      <c r="E99" s="57"/>
      <c r="F99" s="58"/>
      <c r="G99" s="58"/>
      <c r="H99" s="58"/>
      <c r="I99" s="58"/>
      <c r="J99" s="31"/>
      <c r="K99" s="20"/>
      <c r="L99" s="20"/>
      <c r="M99" s="20"/>
      <c r="N99" s="20"/>
      <c r="O99" s="20"/>
      <c r="P99" s="20"/>
      <c r="Q99" s="20"/>
      <c r="R99" s="20"/>
      <c r="S99" s="20"/>
      <c r="T99" s="20"/>
      <c r="U99" s="20"/>
      <c r="V99" s="20"/>
      <c r="W99" s="20"/>
      <c r="X99" s="20"/>
      <c r="Y99" s="20"/>
      <c r="Z99" s="20"/>
      <c r="AA99" s="20"/>
    </row>
    <row r="100" spans="4:27" ht="17.25" customHeight="1">
      <c r="D100" s="57"/>
      <c r="E100" s="57"/>
      <c r="F100" s="58"/>
      <c r="G100" s="58"/>
      <c r="H100" s="58"/>
      <c r="I100" s="58"/>
      <c r="J100" s="31"/>
      <c r="K100" s="20"/>
      <c r="L100" s="20"/>
      <c r="M100" s="20"/>
      <c r="N100" s="20"/>
      <c r="O100" s="20"/>
      <c r="P100" s="20"/>
      <c r="Q100" s="20"/>
      <c r="R100" s="20"/>
      <c r="S100" s="20"/>
      <c r="T100" s="20"/>
      <c r="U100" s="20"/>
      <c r="V100" s="20"/>
      <c r="W100" s="20"/>
      <c r="X100" s="20"/>
      <c r="Y100" s="20"/>
      <c r="Z100" s="20"/>
      <c r="AA100" s="20"/>
    </row>
    <row r="101" spans="4:27" ht="17.25" customHeight="1">
      <c r="D101" s="57"/>
      <c r="E101" s="57"/>
      <c r="F101" s="58"/>
      <c r="G101" s="58"/>
      <c r="H101" s="58"/>
      <c r="I101" s="58"/>
      <c r="J101" s="31"/>
      <c r="K101" s="20"/>
      <c r="L101" s="20"/>
      <c r="M101" s="20"/>
      <c r="N101" s="20"/>
      <c r="O101" s="20"/>
      <c r="P101" s="20"/>
      <c r="Q101" s="20"/>
      <c r="R101" s="20"/>
      <c r="S101" s="20"/>
      <c r="T101" s="20"/>
      <c r="U101" s="20"/>
      <c r="V101" s="20"/>
      <c r="W101" s="20"/>
      <c r="X101" s="20"/>
      <c r="Y101" s="20"/>
      <c r="Z101" s="20"/>
      <c r="AA101" s="20"/>
    </row>
    <row r="102" spans="4:27" ht="17.25" customHeight="1">
      <c r="D102" s="57"/>
      <c r="E102" s="57"/>
      <c r="F102" s="58"/>
      <c r="G102" s="58"/>
      <c r="H102" s="58"/>
      <c r="I102" s="58"/>
      <c r="J102" s="31"/>
      <c r="K102" s="20"/>
      <c r="L102" s="20"/>
      <c r="M102" s="20"/>
      <c r="N102" s="20"/>
      <c r="O102" s="20"/>
      <c r="P102" s="20"/>
      <c r="Q102" s="20"/>
      <c r="R102" s="20"/>
      <c r="S102" s="20"/>
      <c r="T102" s="20"/>
      <c r="U102" s="20"/>
      <c r="V102" s="20"/>
      <c r="W102" s="20"/>
      <c r="X102" s="20"/>
      <c r="Y102" s="20"/>
      <c r="Z102" s="20"/>
      <c r="AA102" s="20"/>
    </row>
    <row r="103" spans="4:27" ht="17.25" customHeight="1">
      <c r="D103" s="57"/>
      <c r="E103" s="57"/>
      <c r="F103" s="58"/>
      <c r="G103" s="58"/>
      <c r="H103" s="58"/>
      <c r="I103" s="58"/>
      <c r="J103" s="31"/>
      <c r="K103" s="20"/>
      <c r="L103" s="20"/>
      <c r="M103" s="20"/>
      <c r="N103" s="20"/>
      <c r="O103" s="20"/>
      <c r="P103" s="20"/>
      <c r="Q103" s="20"/>
      <c r="R103" s="20"/>
      <c r="S103" s="20"/>
      <c r="T103" s="20"/>
      <c r="U103" s="20"/>
      <c r="V103" s="20"/>
      <c r="W103" s="20"/>
      <c r="X103" s="20"/>
      <c r="Y103" s="20"/>
      <c r="Z103" s="20"/>
      <c r="AA103" s="20"/>
    </row>
    <row r="104" spans="4:27" ht="17.25" customHeight="1">
      <c r="D104" s="57"/>
      <c r="E104" s="57"/>
      <c r="F104" s="58"/>
      <c r="G104" s="58"/>
      <c r="H104" s="58"/>
      <c r="I104" s="58"/>
      <c r="J104" s="31"/>
      <c r="K104" s="20"/>
      <c r="L104" s="20"/>
      <c r="M104" s="20"/>
      <c r="N104" s="20"/>
      <c r="O104" s="20"/>
      <c r="P104" s="20"/>
      <c r="Q104" s="20"/>
      <c r="R104" s="20"/>
      <c r="S104" s="20"/>
      <c r="T104" s="20"/>
      <c r="U104" s="20"/>
      <c r="V104" s="20"/>
      <c r="W104" s="20"/>
      <c r="X104" s="20"/>
      <c r="Y104" s="20"/>
      <c r="Z104" s="20"/>
      <c r="AA104" s="20"/>
    </row>
    <row r="105" spans="4:27" ht="17.25" customHeight="1">
      <c r="D105" s="57"/>
      <c r="E105" s="57"/>
      <c r="F105" s="58"/>
      <c r="G105" s="58"/>
      <c r="H105" s="58"/>
      <c r="I105" s="58"/>
      <c r="J105" s="31"/>
      <c r="K105" s="20"/>
      <c r="L105" s="20"/>
      <c r="M105" s="20"/>
      <c r="N105" s="20"/>
      <c r="O105" s="20"/>
      <c r="P105" s="20"/>
      <c r="Q105" s="20"/>
      <c r="R105" s="20"/>
      <c r="S105" s="20"/>
      <c r="T105" s="20"/>
      <c r="U105" s="20"/>
      <c r="V105" s="20"/>
      <c r="W105" s="20"/>
      <c r="X105" s="20"/>
      <c r="Y105" s="20"/>
      <c r="Z105" s="20"/>
      <c r="AA105" s="20"/>
    </row>
    <row r="106" spans="4:27" ht="17.25" customHeight="1">
      <c r="D106" s="57"/>
      <c r="E106" s="57"/>
      <c r="F106" s="58"/>
      <c r="G106" s="58"/>
      <c r="H106" s="58"/>
      <c r="I106" s="58"/>
      <c r="J106" s="31"/>
      <c r="K106" s="20"/>
      <c r="L106" s="20"/>
      <c r="M106" s="20"/>
      <c r="N106" s="20"/>
      <c r="O106" s="20"/>
      <c r="P106" s="20"/>
      <c r="Q106" s="20"/>
      <c r="R106" s="20"/>
      <c r="S106" s="20"/>
      <c r="T106" s="20"/>
      <c r="U106" s="20"/>
      <c r="V106" s="20"/>
      <c r="W106" s="20"/>
      <c r="X106" s="20"/>
      <c r="Y106" s="20"/>
      <c r="Z106" s="20"/>
      <c r="AA106" s="20"/>
    </row>
    <row r="107" spans="4:27" ht="17.25" customHeight="1">
      <c r="D107" s="57"/>
      <c r="E107" s="57"/>
      <c r="F107" s="58"/>
      <c r="G107" s="58"/>
      <c r="H107" s="58"/>
      <c r="I107" s="58"/>
      <c r="J107" s="31"/>
      <c r="K107" s="20"/>
      <c r="L107" s="20"/>
      <c r="M107" s="20"/>
      <c r="N107" s="20"/>
      <c r="O107" s="20"/>
      <c r="P107" s="20"/>
      <c r="Q107" s="20"/>
      <c r="R107" s="20"/>
      <c r="S107" s="20"/>
      <c r="T107" s="20"/>
      <c r="U107" s="20"/>
      <c r="V107" s="20"/>
      <c r="W107" s="20"/>
      <c r="X107" s="20"/>
      <c r="Y107" s="20"/>
      <c r="Z107" s="20"/>
      <c r="AA107" s="20"/>
    </row>
    <row r="108" spans="4:27" ht="17.25" customHeight="1">
      <c r="D108" s="57"/>
      <c r="E108" s="57"/>
      <c r="F108" s="58"/>
      <c r="G108" s="58"/>
      <c r="H108" s="58"/>
      <c r="I108" s="58"/>
      <c r="J108" s="31"/>
      <c r="K108" s="20"/>
      <c r="L108" s="20"/>
      <c r="M108" s="20"/>
      <c r="N108" s="20"/>
      <c r="O108" s="20"/>
      <c r="P108" s="20"/>
      <c r="Q108" s="20"/>
      <c r="R108" s="20"/>
      <c r="S108" s="20"/>
      <c r="T108" s="20"/>
      <c r="U108" s="20"/>
      <c r="V108" s="20"/>
      <c r="W108" s="20"/>
      <c r="X108" s="20"/>
      <c r="Y108" s="20"/>
      <c r="Z108" s="20"/>
      <c r="AA108" s="20"/>
    </row>
    <row r="109" spans="4:27" ht="17.25" customHeight="1">
      <c r="D109" s="57"/>
      <c r="E109" s="57"/>
      <c r="F109" s="58"/>
      <c r="G109" s="58"/>
      <c r="H109" s="58"/>
      <c r="I109" s="58"/>
      <c r="J109" s="31"/>
      <c r="K109" s="20"/>
      <c r="L109" s="20"/>
      <c r="M109" s="20"/>
      <c r="N109" s="20"/>
      <c r="O109" s="20"/>
      <c r="P109" s="20"/>
      <c r="Q109" s="20"/>
      <c r="R109" s="20"/>
      <c r="S109" s="20"/>
      <c r="T109" s="20"/>
      <c r="U109" s="20"/>
      <c r="V109" s="20"/>
      <c r="W109" s="20"/>
      <c r="X109" s="20"/>
      <c r="Y109" s="20"/>
      <c r="Z109" s="20"/>
      <c r="AA109" s="20"/>
    </row>
    <row r="110" spans="4:27" ht="17.25" customHeight="1">
      <c r="D110" s="57"/>
      <c r="E110" s="57"/>
      <c r="F110" s="58"/>
      <c r="G110" s="58"/>
      <c r="H110" s="58"/>
      <c r="I110" s="58"/>
      <c r="J110" s="31"/>
      <c r="K110" s="20"/>
      <c r="L110" s="20"/>
      <c r="M110" s="20"/>
      <c r="N110" s="20"/>
      <c r="O110" s="20"/>
      <c r="P110" s="20"/>
      <c r="Q110" s="20"/>
      <c r="R110" s="20"/>
      <c r="S110" s="20"/>
      <c r="T110" s="20"/>
      <c r="U110" s="20"/>
      <c r="V110" s="20"/>
      <c r="W110" s="20"/>
      <c r="X110" s="20"/>
      <c r="Y110" s="20"/>
      <c r="Z110" s="20"/>
      <c r="AA110" s="20"/>
    </row>
    <row r="111" spans="4:27" ht="17.25" customHeight="1">
      <c r="D111" s="57"/>
      <c r="E111" s="57"/>
      <c r="F111" s="58"/>
      <c r="G111" s="58"/>
      <c r="H111" s="58"/>
      <c r="I111" s="58"/>
      <c r="J111" s="31"/>
      <c r="K111" s="20"/>
      <c r="L111" s="20"/>
      <c r="M111" s="20"/>
      <c r="N111" s="20"/>
      <c r="O111" s="20"/>
      <c r="P111" s="20"/>
      <c r="Q111" s="20"/>
      <c r="R111" s="20"/>
      <c r="S111" s="20"/>
      <c r="T111" s="20"/>
      <c r="U111" s="20"/>
      <c r="V111" s="20"/>
      <c r="W111" s="20"/>
      <c r="X111" s="20"/>
      <c r="Y111" s="20"/>
      <c r="Z111" s="20"/>
      <c r="AA111" s="20"/>
    </row>
    <row r="112" spans="4:27" ht="17.25" customHeight="1">
      <c r="D112" s="57"/>
      <c r="E112" s="57"/>
      <c r="F112" s="58"/>
      <c r="G112" s="58"/>
      <c r="H112" s="58"/>
      <c r="I112" s="58"/>
      <c r="J112" s="31"/>
      <c r="K112" s="20"/>
      <c r="L112" s="20"/>
      <c r="M112" s="20"/>
      <c r="N112" s="20"/>
      <c r="O112" s="20"/>
      <c r="P112" s="20"/>
      <c r="Q112" s="20"/>
      <c r="R112" s="20"/>
      <c r="S112" s="20"/>
      <c r="T112" s="20"/>
      <c r="U112" s="20"/>
      <c r="V112" s="20"/>
      <c r="W112" s="20"/>
      <c r="X112" s="20"/>
      <c r="Y112" s="20"/>
      <c r="Z112" s="20"/>
      <c r="AA112" s="20"/>
    </row>
    <row r="113" spans="4:27" ht="17.25" customHeight="1">
      <c r="D113" s="57"/>
      <c r="E113" s="57"/>
      <c r="F113" s="58"/>
      <c r="G113" s="58"/>
      <c r="H113" s="58"/>
      <c r="I113" s="58"/>
      <c r="J113" s="31"/>
      <c r="K113" s="20"/>
      <c r="L113" s="20"/>
      <c r="M113" s="20"/>
      <c r="N113" s="20"/>
      <c r="O113" s="20"/>
      <c r="P113" s="20"/>
      <c r="Q113" s="20"/>
      <c r="R113" s="20"/>
      <c r="S113" s="20"/>
      <c r="T113" s="20"/>
      <c r="U113" s="20"/>
      <c r="V113" s="20"/>
      <c r="W113" s="20"/>
      <c r="X113" s="20"/>
      <c r="Y113" s="20"/>
      <c r="Z113" s="20"/>
      <c r="AA113" s="20"/>
    </row>
    <row r="114" spans="4:27" ht="17.25" customHeight="1">
      <c r="D114" s="57"/>
      <c r="E114" s="57"/>
      <c r="F114" s="58"/>
      <c r="G114" s="58"/>
      <c r="H114" s="58"/>
      <c r="I114" s="58"/>
      <c r="J114" s="31"/>
      <c r="K114" s="20"/>
      <c r="L114" s="20"/>
      <c r="M114" s="20"/>
      <c r="N114" s="20"/>
      <c r="O114" s="20"/>
      <c r="P114" s="20"/>
      <c r="Q114" s="20"/>
      <c r="R114" s="20"/>
      <c r="S114" s="20"/>
      <c r="T114" s="20"/>
      <c r="U114" s="20"/>
      <c r="V114" s="20"/>
      <c r="W114" s="20"/>
      <c r="X114" s="20"/>
      <c r="Y114" s="20"/>
      <c r="Z114" s="20"/>
      <c r="AA114" s="20"/>
    </row>
    <row r="115" spans="4:27" ht="17.25" customHeight="1">
      <c r="D115" s="57"/>
      <c r="E115" s="57"/>
      <c r="F115" s="58"/>
      <c r="G115" s="58"/>
      <c r="H115" s="58"/>
      <c r="I115" s="58"/>
      <c r="J115" s="31"/>
      <c r="K115" s="20"/>
      <c r="L115" s="20"/>
      <c r="M115" s="20"/>
      <c r="N115" s="20"/>
      <c r="O115" s="20"/>
      <c r="P115" s="20"/>
      <c r="Q115" s="20"/>
      <c r="R115" s="20"/>
      <c r="S115" s="20"/>
      <c r="T115" s="20"/>
      <c r="U115" s="20"/>
      <c r="V115" s="20"/>
      <c r="W115" s="20"/>
      <c r="X115" s="20"/>
      <c r="Y115" s="20"/>
      <c r="Z115" s="20"/>
      <c r="AA115" s="20"/>
    </row>
    <row r="116" spans="4:27" ht="17.25" customHeight="1">
      <c r="D116" s="57"/>
      <c r="E116" s="57"/>
      <c r="F116" s="58"/>
      <c r="G116" s="58"/>
      <c r="H116" s="58"/>
      <c r="I116" s="58"/>
      <c r="J116" s="31"/>
      <c r="K116" s="20"/>
      <c r="L116" s="20"/>
      <c r="M116" s="20"/>
      <c r="N116" s="20"/>
      <c r="O116" s="20"/>
      <c r="P116" s="20"/>
      <c r="Q116" s="20"/>
      <c r="R116" s="20"/>
      <c r="S116" s="20"/>
      <c r="T116" s="20"/>
      <c r="U116" s="20"/>
      <c r="V116" s="20"/>
      <c r="W116" s="20"/>
      <c r="X116" s="20"/>
      <c r="Y116" s="20"/>
      <c r="Z116" s="20"/>
      <c r="AA116" s="20"/>
    </row>
    <row r="117" spans="4:27" ht="17.25" customHeight="1">
      <c r="D117" s="57"/>
      <c r="E117" s="57"/>
      <c r="F117" s="58"/>
      <c r="G117" s="58"/>
      <c r="H117" s="58"/>
      <c r="I117" s="58"/>
      <c r="J117" s="31"/>
      <c r="K117" s="20"/>
      <c r="L117" s="20"/>
      <c r="M117" s="20"/>
      <c r="N117" s="20"/>
      <c r="O117" s="20"/>
      <c r="P117" s="20"/>
      <c r="Q117" s="20"/>
      <c r="R117" s="20"/>
      <c r="S117" s="20"/>
      <c r="T117" s="20"/>
      <c r="U117" s="20"/>
      <c r="V117" s="20"/>
      <c r="W117" s="20"/>
      <c r="X117" s="20"/>
      <c r="Y117" s="20"/>
      <c r="Z117" s="20"/>
      <c r="AA117" s="20"/>
    </row>
    <row r="118" spans="4:27" ht="17.25" customHeight="1">
      <c r="D118" s="57"/>
      <c r="E118" s="57"/>
      <c r="F118" s="58"/>
      <c r="G118" s="58"/>
      <c r="H118" s="58"/>
      <c r="I118" s="58"/>
      <c r="J118" s="31"/>
      <c r="K118" s="20"/>
      <c r="L118" s="20"/>
      <c r="M118" s="20"/>
      <c r="N118" s="20"/>
      <c r="O118" s="20"/>
      <c r="P118" s="20"/>
      <c r="Q118" s="20"/>
      <c r="R118" s="20"/>
      <c r="S118" s="20"/>
      <c r="T118" s="20"/>
      <c r="U118" s="20"/>
      <c r="V118" s="20"/>
      <c r="W118" s="20"/>
      <c r="X118" s="20"/>
      <c r="Y118" s="20"/>
      <c r="Z118" s="20"/>
      <c r="AA118" s="20"/>
    </row>
    <row r="119" spans="4:27" ht="17.25" customHeight="1">
      <c r="D119" s="57"/>
      <c r="E119" s="57"/>
      <c r="F119" s="58"/>
      <c r="G119" s="58"/>
      <c r="H119" s="58"/>
      <c r="I119" s="58"/>
      <c r="J119" s="31"/>
      <c r="K119" s="20"/>
      <c r="L119" s="20"/>
      <c r="M119" s="20"/>
      <c r="N119" s="20"/>
      <c r="O119" s="20"/>
      <c r="P119" s="20"/>
      <c r="Q119" s="20"/>
      <c r="R119" s="20"/>
      <c r="S119" s="20"/>
      <c r="T119" s="20"/>
      <c r="U119" s="20"/>
      <c r="V119" s="20"/>
      <c r="W119" s="20"/>
      <c r="X119" s="20"/>
      <c r="Y119" s="20"/>
      <c r="Z119" s="20"/>
      <c r="AA119" s="20"/>
    </row>
    <row r="120" spans="4:27" ht="17.25" customHeight="1">
      <c r="D120" s="57"/>
      <c r="E120" s="57"/>
      <c r="F120" s="58"/>
      <c r="G120" s="58"/>
      <c r="H120" s="58"/>
      <c r="I120" s="58"/>
      <c r="J120" s="31"/>
      <c r="K120" s="20"/>
      <c r="L120" s="20"/>
      <c r="M120" s="20"/>
      <c r="N120" s="20"/>
      <c r="O120" s="20"/>
      <c r="P120" s="20"/>
      <c r="Q120" s="20"/>
      <c r="R120" s="20"/>
      <c r="S120" s="20"/>
      <c r="T120" s="20"/>
      <c r="U120" s="20"/>
      <c r="V120" s="20"/>
      <c r="W120" s="20"/>
      <c r="X120" s="20"/>
      <c r="Y120" s="20"/>
      <c r="Z120" s="20"/>
      <c r="AA120" s="20"/>
    </row>
    <row r="121" spans="4:27" ht="17.25" customHeight="1">
      <c r="D121" s="57"/>
      <c r="E121" s="57"/>
      <c r="F121" s="58"/>
      <c r="G121" s="58"/>
      <c r="H121" s="58"/>
      <c r="I121" s="58"/>
      <c r="J121" s="31"/>
      <c r="K121" s="20"/>
      <c r="L121" s="20"/>
      <c r="M121" s="20"/>
      <c r="N121" s="20"/>
      <c r="O121" s="20"/>
      <c r="P121" s="20"/>
      <c r="Q121" s="20"/>
      <c r="R121" s="20"/>
      <c r="S121" s="20"/>
      <c r="T121" s="20"/>
      <c r="U121" s="20"/>
      <c r="V121" s="20"/>
      <c r="W121" s="20"/>
      <c r="X121" s="20"/>
      <c r="Y121" s="20"/>
      <c r="Z121" s="20"/>
      <c r="AA121" s="20"/>
    </row>
    <row r="122" spans="4:27" ht="17.25" customHeight="1">
      <c r="D122" s="57"/>
      <c r="E122" s="57"/>
      <c r="F122" s="58"/>
      <c r="G122" s="58"/>
      <c r="H122" s="58"/>
      <c r="I122" s="58"/>
      <c r="J122" s="31"/>
      <c r="K122" s="20"/>
      <c r="L122" s="20"/>
      <c r="M122" s="20"/>
      <c r="N122" s="20"/>
      <c r="O122" s="20"/>
      <c r="P122" s="20"/>
      <c r="Q122" s="20"/>
      <c r="R122" s="20"/>
      <c r="S122" s="20"/>
      <c r="T122" s="20"/>
      <c r="U122" s="20"/>
      <c r="V122" s="20"/>
      <c r="W122" s="20"/>
      <c r="X122" s="20"/>
      <c r="Y122" s="20"/>
      <c r="Z122" s="20"/>
      <c r="AA122" s="20"/>
    </row>
    <row r="123" spans="4:27" ht="17.25" customHeight="1">
      <c r="D123" s="57"/>
      <c r="E123" s="57"/>
      <c r="F123" s="58"/>
      <c r="G123" s="58"/>
      <c r="H123" s="58"/>
      <c r="I123" s="58"/>
      <c r="J123" s="31"/>
      <c r="K123" s="20"/>
      <c r="L123" s="20"/>
      <c r="M123" s="20"/>
      <c r="N123" s="20"/>
      <c r="O123" s="20"/>
      <c r="P123" s="20"/>
      <c r="Q123" s="20"/>
      <c r="R123" s="20"/>
      <c r="S123" s="20"/>
      <c r="T123" s="20"/>
      <c r="U123" s="20"/>
      <c r="V123" s="20"/>
      <c r="W123" s="20"/>
      <c r="X123" s="20"/>
      <c r="Y123" s="20"/>
      <c r="Z123" s="20"/>
      <c r="AA123" s="20"/>
    </row>
    <row r="124" spans="4:27" ht="17.25" customHeight="1">
      <c r="D124" s="57"/>
      <c r="E124" s="57"/>
      <c r="F124" s="58"/>
      <c r="G124" s="58"/>
      <c r="H124" s="58"/>
      <c r="I124" s="58"/>
      <c r="J124" s="31"/>
      <c r="K124" s="20"/>
      <c r="L124" s="20"/>
      <c r="M124" s="20"/>
      <c r="N124" s="20"/>
      <c r="O124" s="20"/>
      <c r="P124" s="20"/>
      <c r="Q124" s="20"/>
      <c r="R124" s="20"/>
      <c r="S124" s="20"/>
      <c r="T124" s="20"/>
      <c r="U124" s="20"/>
      <c r="V124" s="20"/>
      <c r="W124" s="20"/>
      <c r="X124" s="20"/>
      <c r="Y124" s="20"/>
      <c r="Z124" s="20"/>
      <c r="AA124" s="20"/>
    </row>
    <row r="125" spans="4:27" ht="17.25" customHeight="1">
      <c r="D125" s="57"/>
      <c r="E125" s="57"/>
      <c r="F125" s="58"/>
      <c r="G125" s="58"/>
      <c r="H125" s="58"/>
      <c r="I125" s="58"/>
      <c r="J125" s="31"/>
      <c r="K125" s="20"/>
      <c r="L125" s="20"/>
      <c r="M125" s="20"/>
      <c r="N125" s="20"/>
      <c r="O125" s="20"/>
      <c r="P125" s="20"/>
      <c r="Q125" s="20"/>
      <c r="R125" s="20"/>
      <c r="S125" s="20"/>
      <c r="T125" s="20"/>
      <c r="U125" s="20"/>
      <c r="V125" s="20"/>
      <c r="W125" s="20"/>
      <c r="X125" s="20"/>
      <c r="Y125" s="20"/>
      <c r="Z125" s="20"/>
      <c r="AA125" s="20"/>
    </row>
    <row r="126" spans="4:27" ht="17.25" customHeight="1">
      <c r="D126" s="57"/>
      <c r="E126" s="57"/>
      <c r="F126" s="58"/>
      <c r="G126" s="58"/>
      <c r="H126" s="58"/>
      <c r="I126" s="58"/>
      <c r="J126" s="31"/>
      <c r="K126" s="20"/>
      <c r="L126" s="20"/>
      <c r="M126" s="20"/>
      <c r="N126" s="20"/>
      <c r="O126" s="20"/>
      <c r="P126" s="20"/>
      <c r="Q126" s="20"/>
      <c r="R126" s="20"/>
      <c r="S126" s="20"/>
      <c r="T126" s="20"/>
      <c r="U126" s="20"/>
      <c r="V126" s="20"/>
      <c r="W126" s="20"/>
      <c r="X126" s="20"/>
      <c r="Y126" s="20"/>
      <c r="Z126" s="20"/>
      <c r="AA126" s="20"/>
    </row>
    <row r="127" spans="4:27" ht="17.25" customHeight="1">
      <c r="D127" s="57"/>
      <c r="E127" s="57"/>
      <c r="F127" s="58"/>
      <c r="G127" s="58"/>
      <c r="H127" s="58"/>
      <c r="I127" s="58"/>
      <c r="J127" s="31"/>
      <c r="K127" s="20"/>
      <c r="L127" s="20"/>
      <c r="M127" s="20"/>
      <c r="N127" s="20"/>
      <c r="O127" s="20"/>
      <c r="P127" s="20"/>
      <c r="Q127" s="20"/>
      <c r="R127" s="20"/>
      <c r="S127" s="20"/>
      <c r="T127" s="20"/>
      <c r="U127" s="20"/>
      <c r="V127" s="20"/>
      <c r="W127" s="20"/>
      <c r="X127" s="20"/>
      <c r="Y127" s="20"/>
      <c r="Z127" s="20"/>
      <c r="AA127" s="20"/>
    </row>
    <row r="128" spans="4:27" ht="17.25" customHeight="1">
      <c r="D128" s="57"/>
      <c r="E128" s="57"/>
      <c r="F128" s="58"/>
      <c r="G128" s="58"/>
      <c r="H128" s="58"/>
      <c r="I128" s="58"/>
      <c r="J128" s="31"/>
      <c r="K128" s="20"/>
      <c r="L128" s="20"/>
      <c r="M128" s="20"/>
      <c r="N128" s="20"/>
      <c r="O128" s="20"/>
      <c r="P128" s="20"/>
      <c r="Q128" s="20"/>
      <c r="R128" s="20"/>
      <c r="S128" s="20"/>
      <c r="T128" s="20"/>
      <c r="U128" s="20"/>
      <c r="V128" s="20"/>
      <c r="W128" s="20"/>
      <c r="X128" s="20"/>
      <c r="Y128" s="20"/>
      <c r="Z128" s="20"/>
      <c r="AA128" s="20"/>
    </row>
    <row r="129" spans="4:27" ht="17.25" customHeight="1">
      <c r="D129" s="57"/>
      <c r="E129" s="57"/>
      <c r="F129" s="58"/>
      <c r="G129" s="58"/>
      <c r="H129" s="58"/>
      <c r="I129" s="58"/>
      <c r="J129" s="31"/>
      <c r="K129" s="20"/>
      <c r="L129" s="20"/>
      <c r="M129" s="20"/>
      <c r="N129" s="20"/>
      <c r="O129" s="20"/>
      <c r="P129" s="20"/>
      <c r="Q129" s="20"/>
      <c r="R129" s="20"/>
      <c r="S129" s="20"/>
      <c r="T129" s="20"/>
      <c r="U129" s="20"/>
      <c r="V129" s="20"/>
      <c r="W129" s="20"/>
      <c r="X129" s="20"/>
      <c r="Y129" s="20"/>
      <c r="Z129" s="20"/>
      <c r="AA129" s="20"/>
    </row>
    <row r="130" spans="4:27" ht="17.25" customHeight="1">
      <c r="D130" s="57"/>
      <c r="E130" s="57"/>
      <c r="F130" s="58"/>
      <c r="G130" s="58"/>
      <c r="H130" s="58"/>
      <c r="I130" s="58"/>
      <c r="J130" s="31"/>
      <c r="K130" s="20"/>
      <c r="L130" s="20"/>
      <c r="M130" s="20"/>
      <c r="N130" s="20"/>
      <c r="O130" s="20"/>
      <c r="P130" s="20"/>
      <c r="Q130" s="20"/>
      <c r="R130" s="20"/>
      <c r="S130" s="20"/>
      <c r="T130" s="20"/>
      <c r="U130" s="20"/>
      <c r="V130" s="20"/>
      <c r="W130" s="20"/>
      <c r="X130" s="20"/>
      <c r="Y130" s="20"/>
      <c r="Z130" s="20"/>
      <c r="AA130" s="20"/>
    </row>
    <row r="131" spans="4:27" ht="17.25" customHeight="1">
      <c r="D131" s="57"/>
      <c r="E131" s="57"/>
      <c r="F131" s="58"/>
      <c r="G131" s="58"/>
      <c r="H131" s="58"/>
      <c r="I131" s="58"/>
      <c r="J131" s="31"/>
      <c r="K131" s="20"/>
      <c r="L131" s="20"/>
      <c r="M131" s="20"/>
      <c r="N131" s="20"/>
      <c r="O131" s="20"/>
      <c r="P131" s="20"/>
      <c r="Q131" s="20"/>
      <c r="R131" s="20"/>
      <c r="S131" s="20"/>
      <c r="T131" s="20"/>
      <c r="U131" s="20"/>
      <c r="V131" s="20"/>
      <c r="W131" s="20"/>
      <c r="X131" s="20"/>
      <c r="Y131" s="20"/>
      <c r="Z131" s="20"/>
      <c r="AA131" s="20"/>
    </row>
    <row r="132" spans="4:27" ht="17.25" customHeight="1">
      <c r="D132" s="57"/>
      <c r="E132" s="57"/>
      <c r="F132" s="58"/>
      <c r="G132" s="58"/>
      <c r="H132" s="58"/>
      <c r="I132" s="58"/>
      <c r="J132" s="31"/>
      <c r="K132" s="20"/>
      <c r="L132" s="20"/>
      <c r="M132" s="20"/>
      <c r="N132" s="20"/>
      <c r="O132" s="20"/>
      <c r="P132" s="20"/>
      <c r="Q132" s="20"/>
      <c r="R132" s="20"/>
      <c r="S132" s="20"/>
      <c r="T132" s="20"/>
      <c r="U132" s="20"/>
      <c r="V132" s="20"/>
      <c r="W132" s="20"/>
      <c r="X132" s="20"/>
      <c r="Y132" s="20"/>
      <c r="Z132" s="20"/>
      <c r="AA132" s="20"/>
    </row>
    <row r="133" spans="4:27" ht="17.25" customHeight="1">
      <c r="D133" s="57"/>
      <c r="E133" s="57"/>
      <c r="F133" s="58"/>
      <c r="G133" s="58"/>
      <c r="H133" s="58"/>
      <c r="I133" s="58"/>
      <c r="J133" s="31"/>
      <c r="K133" s="20"/>
      <c r="L133" s="20"/>
      <c r="M133" s="20"/>
      <c r="N133" s="20"/>
      <c r="O133" s="20"/>
      <c r="P133" s="20"/>
      <c r="Q133" s="20"/>
      <c r="R133" s="20"/>
      <c r="S133" s="20"/>
      <c r="T133" s="20"/>
      <c r="U133" s="20"/>
      <c r="V133" s="20"/>
      <c r="W133" s="20"/>
      <c r="X133" s="20"/>
      <c r="Y133" s="20"/>
      <c r="Z133" s="20"/>
      <c r="AA133" s="20"/>
    </row>
    <row r="134" spans="4:27" ht="17.25" customHeight="1">
      <c r="D134" s="57"/>
      <c r="E134" s="57"/>
      <c r="F134" s="58"/>
      <c r="G134" s="58"/>
      <c r="H134" s="58"/>
      <c r="I134" s="58"/>
      <c r="J134" s="31"/>
      <c r="K134" s="20"/>
      <c r="L134" s="20"/>
      <c r="M134" s="20"/>
      <c r="N134" s="20"/>
      <c r="O134" s="20"/>
      <c r="P134" s="20"/>
      <c r="Q134" s="20"/>
      <c r="R134" s="20"/>
      <c r="S134" s="20"/>
      <c r="T134" s="20"/>
      <c r="U134" s="20"/>
      <c r="V134" s="20"/>
      <c r="W134" s="20"/>
      <c r="X134" s="20"/>
      <c r="Y134" s="20"/>
      <c r="Z134" s="20"/>
      <c r="AA134" s="20"/>
    </row>
    <row r="135" spans="4:27" ht="17.25" customHeight="1">
      <c r="D135" s="57"/>
      <c r="E135" s="57"/>
      <c r="F135" s="58"/>
      <c r="G135" s="58"/>
      <c r="H135" s="58"/>
      <c r="I135" s="58"/>
      <c r="J135" s="31"/>
      <c r="K135" s="20"/>
      <c r="L135" s="20"/>
      <c r="M135" s="20"/>
      <c r="N135" s="20"/>
      <c r="O135" s="20"/>
      <c r="P135" s="20"/>
      <c r="Q135" s="20"/>
      <c r="R135" s="20"/>
      <c r="S135" s="20"/>
      <c r="T135" s="20"/>
      <c r="U135" s="20"/>
      <c r="V135" s="20"/>
      <c r="W135" s="20"/>
      <c r="X135" s="20"/>
      <c r="Y135" s="20"/>
      <c r="Z135" s="20"/>
      <c r="AA135" s="20"/>
    </row>
    <row r="136" spans="4:27" ht="17.25" customHeight="1">
      <c r="D136" s="57"/>
      <c r="E136" s="57"/>
      <c r="F136" s="58"/>
      <c r="G136" s="58"/>
      <c r="H136" s="58"/>
      <c r="I136" s="58"/>
      <c r="J136" s="31"/>
      <c r="K136" s="20"/>
      <c r="L136" s="20"/>
      <c r="M136" s="20"/>
      <c r="N136" s="20"/>
      <c r="O136" s="20"/>
      <c r="P136" s="20"/>
      <c r="Q136" s="20"/>
      <c r="R136" s="20"/>
      <c r="S136" s="20"/>
      <c r="T136" s="20"/>
      <c r="U136" s="20"/>
      <c r="V136" s="20"/>
      <c r="W136" s="20"/>
      <c r="X136" s="20"/>
      <c r="Y136" s="20"/>
      <c r="Z136" s="20"/>
      <c r="AA136" s="20"/>
    </row>
    <row r="137" spans="4:27" ht="17.25" customHeight="1">
      <c r="D137" s="57"/>
      <c r="E137" s="57"/>
      <c r="F137" s="58"/>
      <c r="G137" s="58"/>
      <c r="H137" s="58"/>
      <c r="I137" s="58"/>
      <c r="J137" s="31"/>
      <c r="K137" s="20"/>
      <c r="L137" s="20"/>
      <c r="M137" s="20"/>
      <c r="N137" s="20"/>
      <c r="O137" s="20"/>
      <c r="P137" s="20"/>
      <c r="Q137" s="20"/>
      <c r="R137" s="20"/>
      <c r="S137" s="20"/>
      <c r="T137" s="20"/>
      <c r="U137" s="20"/>
      <c r="V137" s="20"/>
      <c r="W137" s="20"/>
      <c r="X137" s="20"/>
      <c r="Y137" s="20"/>
      <c r="Z137" s="20"/>
      <c r="AA137" s="20"/>
    </row>
    <row r="138" spans="4:27" ht="17.25" customHeight="1">
      <c r="D138" s="57"/>
      <c r="E138" s="57"/>
      <c r="F138" s="58"/>
      <c r="G138" s="58"/>
      <c r="H138" s="58"/>
      <c r="I138" s="58"/>
      <c r="J138" s="31"/>
      <c r="K138" s="20"/>
      <c r="L138" s="20"/>
      <c r="M138" s="20"/>
      <c r="N138" s="20"/>
      <c r="O138" s="20"/>
      <c r="P138" s="20"/>
      <c r="Q138" s="20"/>
      <c r="R138" s="20"/>
      <c r="S138" s="20"/>
      <c r="T138" s="20"/>
      <c r="U138" s="20"/>
      <c r="V138" s="20"/>
      <c r="W138" s="20"/>
      <c r="X138" s="20"/>
      <c r="Y138" s="20"/>
      <c r="Z138" s="20"/>
      <c r="AA138" s="20"/>
    </row>
    <row r="139" spans="4:27" ht="17.25" customHeight="1">
      <c r="D139" s="57"/>
      <c r="E139" s="57"/>
      <c r="F139" s="58"/>
      <c r="G139" s="58"/>
      <c r="H139" s="58"/>
      <c r="I139" s="58"/>
      <c r="J139" s="31"/>
      <c r="K139" s="20"/>
      <c r="L139" s="20"/>
      <c r="M139" s="20"/>
      <c r="N139" s="20"/>
      <c r="O139" s="20"/>
      <c r="P139" s="20"/>
      <c r="Q139" s="20"/>
      <c r="R139" s="20"/>
      <c r="S139" s="20"/>
      <c r="T139" s="20"/>
      <c r="U139" s="20"/>
      <c r="V139" s="20"/>
      <c r="W139" s="20"/>
      <c r="X139" s="20"/>
      <c r="Y139" s="20"/>
      <c r="Z139" s="20"/>
      <c r="AA139" s="20"/>
    </row>
    <row r="140" spans="4:27" ht="17.25" customHeight="1">
      <c r="D140" s="57"/>
      <c r="E140" s="57"/>
      <c r="F140" s="58"/>
      <c r="G140" s="58"/>
      <c r="H140" s="58"/>
      <c r="I140" s="58"/>
      <c r="J140" s="31"/>
      <c r="K140" s="20"/>
      <c r="L140" s="20"/>
      <c r="M140" s="20"/>
      <c r="N140" s="20"/>
      <c r="O140" s="20"/>
      <c r="P140" s="20"/>
      <c r="Q140" s="20"/>
      <c r="R140" s="20"/>
      <c r="S140" s="20"/>
      <c r="T140" s="20"/>
      <c r="U140" s="20"/>
      <c r="V140" s="20"/>
      <c r="W140" s="20"/>
      <c r="X140" s="20"/>
      <c r="Y140" s="20"/>
      <c r="Z140" s="20"/>
      <c r="AA140" s="20"/>
    </row>
    <row r="141" spans="4:27" ht="17.25" customHeight="1">
      <c r="D141" s="57"/>
      <c r="E141" s="57"/>
      <c r="F141" s="58"/>
      <c r="G141" s="58"/>
      <c r="H141" s="58"/>
      <c r="I141" s="58"/>
      <c r="J141" s="31"/>
      <c r="K141" s="20"/>
      <c r="L141" s="20"/>
      <c r="M141" s="20"/>
      <c r="N141" s="20"/>
      <c r="O141" s="20"/>
      <c r="P141" s="20"/>
      <c r="Q141" s="20"/>
      <c r="R141" s="20"/>
      <c r="S141" s="20"/>
      <c r="T141" s="20"/>
      <c r="U141" s="20"/>
      <c r="V141" s="20"/>
      <c r="W141" s="20"/>
      <c r="X141" s="20"/>
      <c r="Y141" s="20"/>
      <c r="Z141" s="20"/>
      <c r="AA141" s="20"/>
    </row>
    <row r="142" spans="4:27" ht="17.25" customHeight="1">
      <c r="D142" s="57"/>
      <c r="E142" s="57"/>
      <c r="F142" s="58"/>
      <c r="G142" s="58"/>
      <c r="H142" s="58"/>
      <c r="I142" s="58"/>
      <c r="J142" s="31"/>
      <c r="K142" s="20"/>
      <c r="L142" s="20"/>
      <c r="M142" s="20"/>
      <c r="N142" s="20"/>
      <c r="O142" s="20"/>
      <c r="P142" s="20"/>
      <c r="Q142" s="20"/>
      <c r="R142" s="20"/>
      <c r="S142" s="20"/>
      <c r="T142" s="20"/>
      <c r="U142" s="20"/>
      <c r="V142" s="20"/>
      <c r="W142" s="20"/>
      <c r="X142" s="20"/>
      <c r="Y142" s="20"/>
      <c r="Z142" s="20"/>
      <c r="AA142" s="20"/>
    </row>
    <row r="143" spans="4:27" ht="17.25" customHeight="1">
      <c r="D143" s="57"/>
      <c r="E143" s="57"/>
      <c r="F143" s="58"/>
      <c r="G143" s="58"/>
      <c r="H143" s="58"/>
      <c r="I143" s="58"/>
      <c r="J143" s="31"/>
      <c r="K143" s="20"/>
      <c r="L143" s="20"/>
      <c r="M143" s="20"/>
      <c r="N143" s="20"/>
      <c r="O143" s="20"/>
      <c r="P143" s="20"/>
      <c r="Q143" s="20"/>
      <c r="R143" s="20"/>
      <c r="S143" s="20"/>
      <c r="T143" s="20"/>
      <c r="U143" s="20"/>
      <c r="V143" s="20"/>
      <c r="W143" s="20"/>
      <c r="X143" s="20"/>
      <c r="Y143" s="20"/>
      <c r="Z143" s="20"/>
      <c r="AA143" s="20"/>
    </row>
    <row r="144" spans="4:27" ht="17.25" customHeight="1">
      <c r="D144" s="57"/>
      <c r="E144" s="57"/>
      <c r="F144" s="58"/>
      <c r="G144" s="58"/>
      <c r="H144" s="58"/>
      <c r="I144" s="58"/>
      <c r="J144" s="31"/>
      <c r="K144" s="20"/>
      <c r="L144" s="20"/>
      <c r="M144" s="20"/>
      <c r="N144" s="20"/>
      <c r="O144" s="20"/>
      <c r="P144" s="20"/>
      <c r="Q144" s="20"/>
      <c r="R144" s="20"/>
      <c r="S144" s="20"/>
      <c r="T144" s="20"/>
      <c r="U144" s="20"/>
      <c r="V144" s="20"/>
      <c r="W144" s="20"/>
      <c r="X144" s="20"/>
      <c r="Y144" s="20"/>
      <c r="Z144" s="20"/>
      <c r="AA144" s="20"/>
    </row>
    <row r="145" spans="4:27" ht="17.25" customHeight="1">
      <c r="D145" s="57"/>
      <c r="E145" s="57"/>
      <c r="F145" s="58"/>
      <c r="G145" s="58"/>
      <c r="H145" s="58"/>
      <c r="I145" s="58"/>
      <c r="J145" s="31"/>
      <c r="K145" s="20"/>
      <c r="L145" s="20"/>
      <c r="M145" s="20"/>
      <c r="N145" s="20"/>
      <c r="O145" s="20"/>
      <c r="P145" s="20"/>
      <c r="Q145" s="20"/>
      <c r="R145" s="20"/>
      <c r="S145" s="20"/>
      <c r="T145" s="20"/>
      <c r="U145" s="20"/>
      <c r="V145" s="20"/>
      <c r="W145" s="20"/>
      <c r="X145" s="20"/>
      <c r="Y145" s="20"/>
      <c r="Z145" s="20"/>
      <c r="AA145" s="20"/>
    </row>
    <row r="146" spans="4:27" ht="17.25" customHeight="1">
      <c r="D146" s="57"/>
      <c r="E146" s="57"/>
      <c r="F146" s="58"/>
      <c r="G146" s="58"/>
      <c r="H146" s="58"/>
      <c r="I146" s="58"/>
      <c r="J146" s="31"/>
      <c r="K146" s="20"/>
      <c r="L146" s="20"/>
      <c r="M146" s="20"/>
      <c r="N146" s="20"/>
      <c r="O146" s="20"/>
      <c r="P146" s="20"/>
      <c r="Q146" s="20"/>
      <c r="R146" s="20"/>
      <c r="S146" s="20"/>
      <c r="T146" s="20"/>
      <c r="U146" s="20"/>
      <c r="V146" s="20"/>
      <c r="W146" s="20"/>
      <c r="X146" s="20"/>
      <c r="Y146" s="20"/>
      <c r="Z146" s="20"/>
      <c r="AA146" s="20"/>
    </row>
    <row r="147" spans="4:27" ht="17.25" customHeight="1">
      <c r="D147" s="57"/>
      <c r="E147" s="57"/>
      <c r="F147" s="58"/>
      <c r="G147" s="58"/>
      <c r="H147" s="58"/>
      <c r="I147" s="58"/>
      <c r="J147" s="31"/>
      <c r="K147" s="20"/>
      <c r="L147" s="20"/>
      <c r="M147" s="20"/>
      <c r="N147" s="20"/>
      <c r="O147" s="20"/>
      <c r="P147" s="20"/>
      <c r="Q147" s="20"/>
      <c r="R147" s="20"/>
      <c r="S147" s="20"/>
      <c r="T147" s="20"/>
      <c r="U147" s="20"/>
      <c r="V147" s="20"/>
      <c r="W147" s="20"/>
      <c r="X147" s="20"/>
      <c r="Y147" s="20"/>
      <c r="Z147" s="20"/>
      <c r="AA147" s="20"/>
    </row>
    <row r="148" spans="4:27" ht="17.25" customHeight="1">
      <c r="D148" s="57"/>
      <c r="E148" s="57"/>
      <c r="F148" s="58"/>
      <c r="G148" s="58"/>
      <c r="H148" s="58"/>
      <c r="I148" s="58"/>
      <c r="J148" s="31"/>
      <c r="K148" s="20"/>
      <c r="L148" s="20"/>
      <c r="M148" s="20"/>
      <c r="N148" s="20"/>
      <c r="O148" s="20"/>
      <c r="P148" s="20"/>
      <c r="Q148" s="20"/>
      <c r="R148" s="20"/>
      <c r="S148" s="20"/>
      <c r="T148" s="20"/>
      <c r="U148" s="20"/>
      <c r="V148" s="20"/>
      <c r="W148" s="20"/>
      <c r="X148" s="20"/>
      <c r="Y148" s="20"/>
      <c r="Z148" s="20"/>
      <c r="AA148" s="20"/>
    </row>
    <row r="149" spans="4:27" ht="17.25" customHeight="1">
      <c r="D149" s="57"/>
      <c r="E149" s="57"/>
      <c r="F149" s="58"/>
      <c r="G149" s="58"/>
      <c r="H149" s="58"/>
      <c r="I149" s="58"/>
      <c r="J149" s="31"/>
      <c r="K149" s="20"/>
      <c r="L149" s="20"/>
      <c r="M149" s="20"/>
      <c r="N149" s="20"/>
      <c r="O149" s="20"/>
      <c r="P149" s="20"/>
      <c r="Q149" s="20"/>
      <c r="R149" s="20"/>
      <c r="S149" s="20"/>
      <c r="T149" s="20"/>
      <c r="U149" s="20"/>
      <c r="V149" s="20"/>
      <c r="W149" s="20"/>
      <c r="X149" s="20"/>
      <c r="Y149" s="20"/>
      <c r="Z149" s="20"/>
      <c r="AA149" s="20"/>
    </row>
    <row r="150" spans="4:27" ht="17.25" customHeight="1">
      <c r="D150" s="57"/>
      <c r="E150" s="57"/>
      <c r="F150" s="58"/>
      <c r="G150" s="58"/>
      <c r="H150" s="58"/>
      <c r="I150" s="58"/>
      <c r="J150" s="31"/>
      <c r="K150" s="20"/>
      <c r="L150" s="20"/>
      <c r="M150" s="20"/>
      <c r="N150" s="20"/>
      <c r="O150" s="20"/>
      <c r="P150" s="20"/>
      <c r="Q150" s="20"/>
      <c r="R150" s="20"/>
      <c r="S150" s="20"/>
      <c r="T150" s="20"/>
      <c r="U150" s="20"/>
      <c r="V150" s="20"/>
      <c r="W150" s="20"/>
      <c r="X150" s="20"/>
      <c r="Y150" s="20"/>
      <c r="Z150" s="20"/>
      <c r="AA150" s="20"/>
    </row>
    <row r="151" spans="4:27" ht="17.25" customHeight="1">
      <c r="D151" s="57"/>
      <c r="E151" s="57"/>
      <c r="F151" s="58"/>
      <c r="G151" s="58"/>
      <c r="H151" s="58"/>
      <c r="I151" s="58"/>
      <c r="J151" s="31"/>
      <c r="K151" s="20"/>
      <c r="L151" s="20"/>
      <c r="M151" s="20"/>
      <c r="N151" s="20"/>
      <c r="O151" s="20"/>
      <c r="P151" s="20"/>
      <c r="Q151" s="20"/>
      <c r="R151" s="20"/>
      <c r="S151" s="20"/>
      <c r="T151" s="20"/>
      <c r="U151" s="20"/>
      <c r="V151" s="20"/>
      <c r="W151" s="20"/>
      <c r="X151" s="20"/>
      <c r="Y151" s="20"/>
      <c r="Z151" s="20"/>
      <c r="AA151" s="20"/>
    </row>
    <row r="152" spans="4:27" ht="17.25" customHeight="1">
      <c r="D152" s="57"/>
      <c r="E152" s="57"/>
      <c r="F152" s="58"/>
      <c r="G152" s="58"/>
      <c r="H152" s="58"/>
      <c r="I152" s="58"/>
      <c r="J152" s="31"/>
      <c r="K152" s="20"/>
      <c r="L152" s="20"/>
      <c r="M152" s="20"/>
      <c r="N152" s="20"/>
      <c r="O152" s="20"/>
      <c r="P152" s="20"/>
      <c r="Q152" s="20"/>
      <c r="R152" s="20"/>
      <c r="S152" s="20"/>
      <c r="T152" s="20"/>
      <c r="U152" s="20"/>
      <c r="V152" s="20"/>
      <c r="W152" s="20"/>
      <c r="X152" s="20"/>
      <c r="Y152" s="20"/>
      <c r="Z152" s="20"/>
      <c r="AA152" s="20"/>
    </row>
    <row r="153" spans="4:27" ht="17.25" customHeight="1">
      <c r="D153" s="57"/>
      <c r="E153" s="57"/>
      <c r="F153" s="58"/>
      <c r="G153" s="58"/>
      <c r="H153" s="58"/>
      <c r="I153" s="58"/>
      <c r="J153" s="31"/>
      <c r="K153" s="20"/>
      <c r="L153" s="20"/>
      <c r="M153" s="20"/>
      <c r="N153" s="20"/>
      <c r="O153" s="20"/>
      <c r="P153" s="20"/>
      <c r="Q153" s="20"/>
      <c r="R153" s="20"/>
      <c r="S153" s="20"/>
      <c r="T153" s="20"/>
      <c r="U153" s="20"/>
      <c r="V153" s="20"/>
      <c r="W153" s="20"/>
      <c r="X153" s="20"/>
      <c r="Y153" s="20"/>
      <c r="Z153" s="20"/>
      <c r="AA153" s="20"/>
    </row>
    <row r="154" spans="4:27" ht="17.25" customHeight="1">
      <c r="D154" s="57"/>
      <c r="E154" s="57"/>
      <c r="F154" s="58"/>
      <c r="G154" s="58"/>
      <c r="H154" s="58"/>
      <c r="I154" s="58"/>
      <c r="J154" s="31"/>
      <c r="K154" s="20"/>
      <c r="L154" s="20"/>
      <c r="M154" s="20"/>
      <c r="N154" s="20"/>
      <c r="O154" s="20"/>
      <c r="P154" s="20"/>
      <c r="Q154" s="20"/>
      <c r="R154" s="20"/>
      <c r="S154" s="20"/>
      <c r="T154" s="20"/>
      <c r="U154" s="20"/>
      <c r="V154" s="20"/>
      <c r="W154" s="20"/>
      <c r="X154" s="20"/>
      <c r="Y154" s="20"/>
      <c r="Z154" s="20"/>
      <c r="AA154" s="20"/>
    </row>
    <row r="155" spans="4:27" ht="17.25" customHeight="1">
      <c r="D155" s="57"/>
      <c r="E155" s="57"/>
      <c r="F155" s="58"/>
      <c r="G155" s="58"/>
      <c r="H155" s="58"/>
      <c r="I155" s="58"/>
      <c r="J155" s="31"/>
      <c r="K155" s="20"/>
      <c r="L155" s="20"/>
      <c r="M155" s="20"/>
      <c r="N155" s="20"/>
      <c r="O155" s="20"/>
      <c r="P155" s="20"/>
      <c r="Q155" s="20"/>
      <c r="R155" s="20"/>
      <c r="S155" s="20"/>
      <c r="T155" s="20"/>
      <c r="U155" s="20"/>
      <c r="V155" s="20"/>
      <c r="W155" s="20"/>
      <c r="X155" s="20"/>
      <c r="Y155" s="20"/>
      <c r="Z155" s="20"/>
      <c r="AA155" s="20"/>
    </row>
    <row r="156" spans="4:27" ht="17.25" customHeight="1">
      <c r="D156" s="57"/>
      <c r="E156" s="57"/>
      <c r="F156" s="58"/>
      <c r="G156" s="58"/>
      <c r="H156" s="58"/>
      <c r="I156" s="58"/>
      <c r="J156" s="31"/>
      <c r="K156" s="20"/>
      <c r="L156" s="20"/>
      <c r="M156" s="20"/>
      <c r="N156" s="20"/>
      <c r="O156" s="20"/>
      <c r="P156" s="20"/>
      <c r="Q156" s="20"/>
      <c r="R156" s="20"/>
      <c r="S156" s="20"/>
      <c r="T156" s="20"/>
      <c r="U156" s="20"/>
      <c r="V156" s="20"/>
      <c r="W156" s="20"/>
      <c r="X156" s="20"/>
      <c r="Y156" s="20"/>
      <c r="Z156" s="20"/>
      <c r="AA156" s="20"/>
    </row>
    <row r="157" spans="4:27" ht="17.25" customHeight="1">
      <c r="D157" s="57"/>
      <c r="E157" s="57"/>
      <c r="F157" s="58"/>
      <c r="G157" s="58"/>
      <c r="H157" s="58"/>
      <c r="I157" s="58"/>
      <c r="J157" s="31"/>
      <c r="K157" s="20"/>
      <c r="L157" s="20"/>
      <c r="M157" s="20"/>
      <c r="N157" s="20"/>
      <c r="O157" s="20"/>
      <c r="P157" s="20"/>
      <c r="Q157" s="20"/>
      <c r="R157" s="20"/>
      <c r="S157" s="20"/>
      <c r="T157" s="20"/>
      <c r="U157" s="20"/>
      <c r="V157" s="20"/>
      <c r="W157" s="20"/>
      <c r="X157" s="20"/>
      <c r="Y157" s="20"/>
      <c r="Z157" s="20"/>
      <c r="AA157" s="20"/>
    </row>
    <row r="158" spans="4:27" ht="17.25" customHeight="1">
      <c r="D158" s="57"/>
      <c r="E158" s="57"/>
      <c r="F158" s="58"/>
      <c r="G158" s="58"/>
      <c r="H158" s="58"/>
      <c r="I158" s="58"/>
      <c r="J158" s="31"/>
      <c r="K158" s="20"/>
      <c r="L158" s="20"/>
      <c r="M158" s="20"/>
      <c r="N158" s="20"/>
      <c r="O158" s="20"/>
      <c r="P158" s="20"/>
      <c r="Q158" s="20"/>
      <c r="R158" s="20"/>
      <c r="S158" s="20"/>
      <c r="T158" s="20"/>
      <c r="U158" s="20"/>
      <c r="V158" s="20"/>
      <c r="W158" s="20"/>
      <c r="X158" s="20"/>
      <c r="Y158" s="20"/>
      <c r="Z158" s="20"/>
      <c r="AA158" s="20"/>
    </row>
    <row r="159" spans="4:27" ht="17.25" customHeight="1">
      <c r="D159" s="57"/>
      <c r="E159" s="57"/>
      <c r="F159" s="58"/>
      <c r="G159" s="58"/>
      <c r="H159" s="58"/>
      <c r="I159" s="58"/>
      <c r="J159" s="31"/>
      <c r="K159" s="20"/>
      <c r="L159" s="20"/>
      <c r="M159" s="20"/>
      <c r="N159" s="20"/>
      <c r="O159" s="20"/>
      <c r="P159" s="20"/>
      <c r="Q159" s="20"/>
      <c r="R159" s="20"/>
      <c r="S159" s="20"/>
      <c r="T159" s="20"/>
      <c r="U159" s="20"/>
      <c r="V159" s="20"/>
      <c r="W159" s="20"/>
      <c r="X159" s="20"/>
      <c r="Y159" s="20"/>
      <c r="Z159" s="20"/>
      <c r="AA159" s="20"/>
    </row>
    <row r="160" spans="4:27" ht="17.25" customHeight="1">
      <c r="D160" s="57"/>
      <c r="E160" s="57"/>
      <c r="F160" s="58"/>
      <c r="G160" s="58"/>
      <c r="H160" s="58"/>
      <c r="I160" s="58"/>
      <c r="J160" s="31"/>
      <c r="K160" s="20"/>
      <c r="L160" s="20"/>
      <c r="M160" s="20"/>
      <c r="N160" s="20"/>
      <c r="O160" s="20"/>
      <c r="P160" s="20"/>
      <c r="Q160" s="20"/>
      <c r="R160" s="20"/>
      <c r="S160" s="20"/>
      <c r="T160" s="20"/>
      <c r="U160" s="20"/>
      <c r="V160" s="20"/>
      <c r="W160" s="20"/>
      <c r="X160" s="20"/>
      <c r="Y160" s="20"/>
      <c r="Z160" s="20"/>
      <c r="AA160" s="20"/>
    </row>
    <row r="161" spans="4:27" ht="17.25" customHeight="1">
      <c r="D161" s="57"/>
      <c r="E161" s="57"/>
      <c r="F161" s="58"/>
      <c r="G161" s="58"/>
      <c r="H161" s="58"/>
      <c r="I161" s="58"/>
      <c r="J161" s="31"/>
      <c r="K161" s="20"/>
      <c r="L161" s="20"/>
      <c r="M161" s="20"/>
      <c r="N161" s="20"/>
      <c r="O161" s="20"/>
      <c r="P161" s="20"/>
      <c r="Q161" s="20"/>
      <c r="R161" s="20"/>
      <c r="S161" s="20"/>
      <c r="T161" s="20"/>
      <c r="U161" s="20"/>
      <c r="V161" s="20"/>
      <c r="W161" s="20"/>
      <c r="X161" s="20"/>
      <c r="Y161" s="20"/>
      <c r="Z161" s="20"/>
      <c r="AA161" s="20"/>
    </row>
    <row r="162" spans="4:27" ht="17.25" customHeight="1">
      <c r="D162" s="57"/>
      <c r="E162" s="57"/>
      <c r="F162" s="58"/>
      <c r="G162" s="58"/>
      <c r="H162" s="58"/>
      <c r="I162" s="58"/>
      <c r="J162" s="31"/>
      <c r="K162" s="20"/>
      <c r="L162" s="20"/>
      <c r="M162" s="20"/>
      <c r="N162" s="20"/>
      <c r="O162" s="20"/>
      <c r="P162" s="20"/>
      <c r="Q162" s="20"/>
      <c r="R162" s="20"/>
      <c r="S162" s="20"/>
      <c r="T162" s="20"/>
      <c r="U162" s="20"/>
      <c r="V162" s="20"/>
      <c r="W162" s="20"/>
      <c r="X162" s="20"/>
      <c r="Y162" s="20"/>
      <c r="Z162" s="20"/>
      <c r="AA162" s="20"/>
    </row>
    <row r="163" spans="4:27" ht="17.25" customHeight="1">
      <c r="D163" s="57"/>
      <c r="E163" s="57"/>
      <c r="F163" s="58"/>
      <c r="G163" s="58"/>
      <c r="H163" s="58"/>
      <c r="I163" s="58"/>
      <c r="J163" s="31"/>
      <c r="K163" s="20"/>
      <c r="L163" s="20"/>
      <c r="M163" s="20"/>
      <c r="N163" s="20"/>
      <c r="O163" s="20"/>
      <c r="P163" s="20"/>
      <c r="Q163" s="20"/>
      <c r="R163" s="20"/>
      <c r="S163" s="20"/>
      <c r="T163" s="20"/>
      <c r="U163" s="20"/>
      <c r="V163" s="20"/>
      <c r="W163" s="20"/>
      <c r="X163" s="20"/>
      <c r="Y163" s="20"/>
      <c r="Z163" s="20"/>
      <c r="AA163" s="20"/>
    </row>
    <row r="164" spans="4:27" ht="17.25" customHeight="1">
      <c r="D164" s="57"/>
      <c r="E164" s="57"/>
      <c r="F164" s="58"/>
      <c r="G164" s="58"/>
      <c r="H164" s="58"/>
      <c r="I164" s="58"/>
      <c r="J164" s="31"/>
      <c r="K164" s="20"/>
      <c r="L164" s="20"/>
      <c r="M164" s="20"/>
      <c r="N164" s="20"/>
      <c r="O164" s="20"/>
      <c r="P164" s="20"/>
      <c r="Q164" s="20"/>
      <c r="R164" s="20"/>
      <c r="S164" s="20"/>
      <c r="T164" s="20"/>
      <c r="U164" s="20"/>
      <c r="V164" s="20"/>
      <c r="W164" s="20"/>
      <c r="X164" s="20"/>
      <c r="Y164" s="20"/>
      <c r="Z164" s="20"/>
      <c r="AA164" s="20"/>
    </row>
    <row r="165" spans="4:27" ht="17.25" customHeight="1">
      <c r="D165" s="57"/>
      <c r="E165" s="57"/>
      <c r="F165" s="58"/>
      <c r="G165" s="58"/>
      <c r="H165" s="58"/>
      <c r="I165" s="58"/>
      <c r="J165" s="31"/>
      <c r="K165" s="20"/>
      <c r="L165" s="20"/>
      <c r="M165" s="20"/>
      <c r="N165" s="20"/>
      <c r="O165" s="20"/>
      <c r="P165" s="20"/>
      <c r="Q165" s="20"/>
      <c r="R165" s="20"/>
      <c r="S165" s="20"/>
      <c r="T165" s="20"/>
      <c r="U165" s="20"/>
      <c r="V165" s="20"/>
      <c r="W165" s="20"/>
      <c r="X165" s="20"/>
      <c r="Y165" s="20"/>
      <c r="Z165" s="20"/>
      <c r="AA165" s="20"/>
    </row>
    <row r="166" spans="4:27" ht="17.25" customHeight="1">
      <c r="D166" s="57"/>
      <c r="E166" s="57"/>
      <c r="F166" s="58"/>
      <c r="G166" s="58"/>
      <c r="H166" s="58"/>
      <c r="I166" s="58"/>
      <c r="J166" s="31"/>
      <c r="K166" s="20"/>
      <c r="L166" s="20"/>
      <c r="M166" s="20"/>
      <c r="N166" s="20"/>
      <c r="O166" s="20"/>
      <c r="P166" s="20"/>
      <c r="Q166" s="20"/>
      <c r="R166" s="20"/>
      <c r="S166" s="20"/>
      <c r="T166" s="20"/>
      <c r="U166" s="20"/>
      <c r="V166" s="20"/>
      <c r="W166" s="20"/>
      <c r="X166" s="20"/>
      <c r="Y166" s="20"/>
      <c r="Z166" s="20"/>
      <c r="AA166" s="20"/>
    </row>
    <row r="167" spans="4:27" ht="17.25" customHeight="1">
      <c r="D167" s="57"/>
      <c r="E167" s="57"/>
      <c r="F167" s="58"/>
      <c r="G167" s="58"/>
      <c r="H167" s="58"/>
      <c r="I167" s="58"/>
      <c r="J167" s="31"/>
      <c r="K167" s="20"/>
      <c r="L167" s="20"/>
      <c r="M167" s="20"/>
      <c r="N167" s="20"/>
      <c r="O167" s="20"/>
      <c r="P167" s="20"/>
      <c r="Q167" s="20"/>
      <c r="R167" s="20"/>
      <c r="S167" s="20"/>
      <c r="T167" s="20"/>
      <c r="U167" s="20"/>
      <c r="V167" s="20"/>
      <c r="W167" s="20"/>
      <c r="X167" s="20"/>
      <c r="Y167" s="20"/>
      <c r="Z167" s="20"/>
      <c r="AA167" s="20"/>
    </row>
    <row r="168" spans="4:27" ht="17.25" customHeight="1">
      <c r="D168" s="57"/>
      <c r="E168" s="57"/>
      <c r="F168" s="58"/>
      <c r="G168" s="58"/>
      <c r="H168" s="58"/>
      <c r="I168" s="58"/>
      <c r="J168" s="31"/>
      <c r="K168" s="20"/>
      <c r="L168" s="20"/>
      <c r="M168" s="20"/>
      <c r="N168" s="20"/>
      <c r="O168" s="20"/>
      <c r="P168" s="20"/>
      <c r="Q168" s="20"/>
      <c r="R168" s="20"/>
      <c r="S168" s="20"/>
      <c r="T168" s="20"/>
      <c r="U168" s="20"/>
      <c r="V168" s="20"/>
      <c r="W168" s="20"/>
      <c r="X168" s="20"/>
      <c r="Y168" s="20"/>
      <c r="Z168" s="20"/>
      <c r="AA168" s="20"/>
    </row>
    <row r="169" spans="4:27" ht="17.25" customHeight="1">
      <c r="D169" s="57"/>
      <c r="E169" s="57"/>
      <c r="F169" s="58"/>
      <c r="G169" s="58"/>
      <c r="H169" s="58"/>
      <c r="I169" s="58"/>
      <c r="J169" s="31"/>
      <c r="K169" s="20"/>
      <c r="L169" s="20"/>
      <c r="M169" s="20"/>
      <c r="N169" s="20"/>
      <c r="O169" s="20"/>
      <c r="P169" s="20"/>
      <c r="Q169" s="20"/>
      <c r="R169" s="20"/>
      <c r="S169" s="20"/>
      <c r="T169" s="20"/>
      <c r="U169" s="20"/>
      <c r="V169" s="20"/>
      <c r="W169" s="20"/>
      <c r="X169" s="20"/>
      <c r="Y169" s="20"/>
      <c r="Z169" s="20"/>
      <c r="AA169" s="20"/>
    </row>
    <row r="170" spans="4:27" ht="17.25" customHeight="1">
      <c r="D170" s="57"/>
      <c r="E170" s="57"/>
      <c r="F170" s="58"/>
      <c r="G170" s="58"/>
      <c r="H170" s="58"/>
      <c r="I170" s="58"/>
      <c r="J170" s="31"/>
      <c r="K170" s="20"/>
      <c r="L170" s="20"/>
      <c r="M170" s="20"/>
      <c r="N170" s="20"/>
      <c r="O170" s="20"/>
      <c r="P170" s="20"/>
      <c r="Q170" s="20"/>
      <c r="R170" s="20"/>
      <c r="S170" s="20"/>
      <c r="T170" s="20"/>
      <c r="U170" s="20"/>
      <c r="V170" s="20"/>
      <c r="W170" s="20"/>
      <c r="X170" s="20"/>
      <c r="Y170" s="20"/>
      <c r="Z170" s="20"/>
      <c r="AA170" s="20"/>
    </row>
    <row r="171" spans="4:27" ht="17.25" customHeight="1">
      <c r="D171" s="57"/>
      <c r="E171" s="57"/>
      <c r="F171" s="58"/>
      <c r="G171" s="58"/>
      <c r="H171" s="58"/>
      <c r="I171" s="58"/>
      <c r="J171" s="31"/>
      <c r="K171" s="20"/>
      <c r="L171" s="20"/>
      <c r="M171" s="20"/>
      <c r="N171" s="20"/>
      <c r="O171" s="20"/>
      <c r="P171" s="20"/>
      <c r="Q171" s="20"/>
      <c r="R171" s="20"/>
      <c r="S171" s="20"/>
      <c r="T171" s="20"/>
      <c r="U171" s="20"/>
      <c r="V171" s="20"/>
      <c r="W171" s="20"/>
      <c r="X171" s="20"/>
      <c r="Y171" s="20"/>
      <c r="Z171" s="20"/>
      <c r="AA171" s="20"/>
    </row>
    <row r="172" spans="4:27" ht="17.25" customHeight="1">
      <c r="D172" s="57"/>
      <c r="E172" s="57"/>
      <c r="F172" s="58"/>
      <c r="G172" s="58"/>
      <c r="H172" s="58"/>
      <c r="I172" s="58"/>
      <c r="J172" s="31"/>
      <c r="K172" s="20"/>
      <c r="L172" s="20"/>
      <c r="M172" s="20"/>
      <c r="N172" s="20"/>
      <c r="O172" s="20"/>
      <c r="P172" s="20"/>
      <c r="Q172" s="20"/>
      <c r="R172" s="20"/>
      <c r="S172" s="20"/>
      <c r="T172" s="20"/>
      <c r="U172" s="20"/>
      <c r="V172" s="20"/>
      <c r="W172" s="20"/>
      <c r="X172" s="20"/>
      <c r="Y172" s="20"/>
      <c r="Z172" s="20"/>
      <c r="AA172" s="20"/>
    </row>
    <row r="173" spans="4:27" ht="17.25" customHeight="1">
      <c r="D173" s="57"/>
      <c r="E173" s="57"/>
      <c r="F173" s="58"/>
      <c r="G173" s="58"/>
      <c r="H173" s="58"/>
      <c r="I173" s="58"/>
      <c r="J173" s="31"/>
      <c r="K173" s="20"/>
      <c r="L173" s="20"/>
      <c r="M173" s="20"/>
      <c r="N173" s="20"/>
      <c r="O173" s="20"/>
      <c r="P173" s="20"/>
      <c r="Q173" s="20"/>
      <c r="R173" s="20"/>
      <c r="S173" s="20"/>
      <c r="T173" s="20"/>
      <c r="U173" s="20"/>
      <c r="V173" s="20"/>
      <c r="W173" s="20"/>
      <c r="X173" s="20"/>
      <c r="Y173" s="20"/>
      <c r="Z173" s="20"/>
      <c r="AA173" s="20"/>
    </row>
    <row r="174" spans="4:27" ht="17.25" customHeight="1">
      <c r="D174" s="57"/>
      <c r="E174" s="57"/>
      <c r="F174" s="58"/>
      <c r="G174" s="58"/>
      <c r="H174" s="58"/>
      <c r="I174" s="58"/>
      <c r="J174" s="31"/>
      <c r="K174" s="20"/>
      <c r="L174" s="20"/>
      <c r="M174" s="20"/>
      <c r="N174" s="20"/>
      <c r="O174" s="20"/>
      <c r="P174" s="20"/>
      <c r="Q174" s="20"/>
      <c r="R174" s="20"/>
      <c r="S174" s="20"/>
      <c r="T174" s="20"/>
      <c r="U174" s="20"/>
      <c r="V174" s="20"/>
      <c r="W174" s="20"/>
      <c r="X174" s="20"/>
      <c r="Y174" s="20"/>
      <c r="Z174" s="20"/>
      <c r="AA174" s="20"/>
    </row>
    <row r="175" spans="4:27" ht="17.25" customHeight="1">
      <c r="D175" s="57"/>
      <c r="E175" s="57"/>
      <c r="F175" s="58"/>
      <c r="G175" s="58"/>
      <c r="H175" s="58"/>
      <c r="I175" s="58"/>
      <c r="J175" s="31"/>
      <c r="K175" s="20"/>
      <c r="L175" s="20"/>
      <c r="M175" s="20"/>
      <c r="N175" s="20"/>
      <c r="O175" s="20"/>
      <c r="P175" s="20"/>
      <c r="Q175" s="20"/>
      <c r="R175" s="20"/>
      <c r="S175" s="20"/>
      <c r="T175" s="20"/>
      <c r="U175" s="20"/>
      <c r="V175" s="20"/>
      <c r="W175" s="20"/>
      <c r="X175" s="20"/>
      <c r="Y175" s="20"/>
      <c r="Z175" s="20"/>
      <c r="AA175" s="20"/>
    </row>
    <row r="176" spans="4:27" ht="17.25" customHeight="1">
      <c r="D176" s="57"/>
      <c r="E176" s="57"/>
      <c r="F176" s="58"/>
      <c r="G176" s="58"/>
      <c r="H176" s="58"/>
      <c r="I176" s="58"/>
      <c r="J176" s="31"/>
      <c r="K176" s="20"/>
      <c r="L176" s="20"/>
      <c r="M176" s="20"/>
      <c r="N176" s="20"/>
      <c r="O176" s="20"/>
      <c r="P176" s="20"/>
      <c r="Q176" s="20"/>
      <c r="R176" s="20"/>
      <c r="S176" s="20"/>
      <c r="T176" s="20"/>
      <c r="U176" s="20"/>
      <c r="V176" s="20"/>
      <c r="W176" s="20"/>
      <c r="X176" s="20"/>
      <c r="Y176" s="20"/>
      <c r="Z176" s="20"/>
      <c r="AA176" s="20"/>
    </row>
    <row r="177" spans="4:27" ht="17.25" customHeight="1">
      <c r="D177" s="57"/>
      <c r="E177" s="57"/>
      <c r="F177" s="58"/>
      <c r="G177" s="58"/>
      <c r="H177" s="58"/>
      <c r="I177" s="58"/>
      <c r="J177" s="31"/>
      <c r="K177" s="20"/>
      <c r="L177" s="20"/>
      <c r="M177" s="20"/>
      <c r="N177" s="20"/>
      <c r="O177" s="20"/>
      <c r="P177" s="20"/>
      <c r="Q177" s="20"/>
      <c r="R177" s="20"/>
      <c r="S177" s="20"/>
      <c r="T177" s="20"/>
      <c r="U177" s="20"/>
      <c r="V177" s="20"/>
      <c r="W177" s="20"/>
      <c r="X177" s="20"/>
      <c r="Y177" s="20"/>
      <c r="Z177" s="20"/>
      <c r="AA177" s="20"/>
    </row>
    <row r="178" spans="4:27" ht="17.25" customHeight="1">
      <c r="D178" s="57"/>
      <c r="E178" s="57"/>
      <c r="F178" s="58"/>
      <c r="G178" s="58"/>
      <c r="H178" s="58"/>
      <c r="I178" s="58"/>
      <c r="J178" s="31"/>
      <c r="K178" s="20"/>
      <c r="L178" s="20"/>
      <c r="M178" s="20"/>
      <c r="N178" s="20"/>
      <c r="O178" s="20"/>
      <c r="P178" s="20"/>
      <c r="Q178" s="20"/>
      <c r="R178" s="20"/>
      <c r="S178" s="20"/>
      <c r="T178" s="20"/>
      <c r="U178" s="20"/>
      <c r="V178" s="20"/>
      <c r="W178" s="20"/>
      <c r="X178" s="20"/>
      <c r="Y178" s="20"/>
      <c r="Z178" s="20"/>
      <c r="AA178" s="20"/>
    </row>
    <row r="179" spans="4:27" ht="17.25" customHeight="1">
      <c r="D179" s="57"/>
      <c r="E179" s="57"/>
      <c r="F179" s="58"/>
      <c r="G179" s="58"/>
      <c r="H179" s="58"/>
      <c r="I179" s="58"/>
      <c r="J179" s="31"/>
      <c r="K179" s="20"/>
      <c r="L179" s="20"/>
      <c r="M179" s="20"/>
      <c r="N179" s="20"/>
      <c r="O179" s="20"/>
      <c r="P179" s="20"/>
      <c r="Q179" s="20"/>
      <c r="R179" s="20"/>
      <c r="S179" s="20"/>
      <c r="T179" s="20"/>
      <c r="U179" s="20"/>
      <c r="V179" s="20"/>
      <c r="W179" s="20"/>
      <c r="X179" s="20"/>
      <c r="Y179" s="20"/>
      <c r="Z179" s="20"/>
      <c r="AA179" s="20"/>
    </row>
    <row r="180" spans="4:27" ht="17.25" customHeight="1">
      <c r="D180" s="57"/>
      <c r="E180" s="57"/>
      <c r="F180" s="58"/>
      <c r="G180" s="58"/>
      <c r="H180" s="58"/>
      <c r="I180" s="58"/>
      <c r="J180" s="31"/>
      <c r="K180" s="20"/>
      <c r="L180" s="20"/>
      <c r="M180" s="20"/>
      <c r="N180" s="20"/>
      <c r="O180" s="20"/>
      <c r="P180" s="20"/>
      <c r="Q180" s="20"/>
      <c r="R180" s="20"/>
      <c r="S180" s="20"/>
      <c r="T180" s="20"/>
      <c r="U180" s="20"/>
      <c r="V180" s="20"/>
      <c r="W180" s="20"/>
      <c r="X180" s="20"/>
      <c r="Y180" s="20"/>
      <c r="Z180" s="20"/>
      <c r="AA180" s="20"/>
    </row>
    <row r="181" spans="4:27" ht="17.25" customHeight="1">
      <c r="D181" s="57"/>
      <c r="E181" s="57"/>
      <c r="F181" s="58"/>
      <c r="G181" s="58"/>
      <c r="H181" s="58"/>
      <c r="I181" s="58"/>
      <c r="J181" s="31"/>
      <c r="K181" s="20"/>
      <c r="L181" s="20"/>
      <c r="M181" s="20"/>
      <c r="N181" s="20"/>
      <c r="O181" s="20"/>
      <c r="P181" s="20"/>
      <c r="Q181" s="20"/>
      <c r="R181" s="20"/>
      <c r="S181" s="20"/>
      <c r="T181" s="20"/>
      <c r="U181" s="20"/>
      <c r="V181" s="20"/>
      <c r="W181" s="20"/>
      <c r="X181" s="20"/>
      <c r="Y181" s="20"/>
      <c r="Z181" s="20"/>
      <c r="AA181" s="20"/>
    </row>
    <row r="182" spans="4:27" ht="17.25" customHeight="1">
      <c r="D182" s="57"/>
      <c r="E182" s="57"/>
      <c r="F182" s="58"/>
      <c r="G182" s="58"/>
      <c r="H182" s="58"/>
      <c r="I182" s="58"/>
      <c r="J182" s="31"/>
      <c r="K182" s="20"/>
      <c r="L182" s="20"/>
      <c r="M182" s="20"/>
      <c r="N182" s="20"/>
      <c r="O182" s="20"/>
      <c r="P182" s="20"/>
      <c r="Q182" s="20"/>
      <c r="R182" s="20"/>
      <c r="S182" s="20"/>
      <c r="T182" s="20"/>
      <c r="U182" s="20"/>
      <c r="V182" s="20"/>
      <c r="W182" s="20"/>
      <c r="X182" s="20"/>
      <c r="Y182" s="20"/>
      <c r="Z182" s="20"/>
      <c r="AA182" s="20"/>
    </row>
    <row r="183" spans="4:27" ht="17.25" customHeight="1">
      <c r="D183" s="57"/>
      <c r="E183" s="57"/>
      <c r="F183" s="58"/>
      <c r="G183" s="58"/>
      <c r="H183" s="58"/>
      <c r="I183" s="58"/>
      <c r="J183" s="31"/>
      <c r="K183" s="20"/>
      <c r="L183" s="20"/>
      <c r="M183" s="20"/>
      <c r="N183" s="20"/>
      <c r="O183" s="20"/>
      <c r="P183" s="20"/>
      <c r="Q183" s="20"/>
      <c r="R183" s="20"/>
      <c r="S183" s="20"/>
      <c r="T183" s="20"/>
      <c r="U183" s="20"/>
      <c r="V183" s="20"/>
      <c r="W183" s="20"/>
      <c r="X183" s="20"/>
      <c r="Y183" s="20"/>
      <c r="Z183" s="20"/>
      <c r="AA183" s="20"/>
    </row>
    <row r="184" spans="4:27" ht="17.25" customHeight="1">
      <c r="D184" s="57"/>
      <c r="E184" s="57"/>
      <c r="F184" s="58"/>
      <c r="G184" s="58"/>
      <c r="H184" s="58"/>
      <c r="I184" s="58"/>
      <c r="J184" s="31"/>
      <c r="K184" s="20"/>
      <c r="L184" s="20"/>
      <c r="M184" s="20"/>
      <c r="N184" s="20"/>
      <c r="O184" s="20"/>
      <c r="P184" s="20"/>
      <c r="Q184" s="20"/>
      <c r="R184" s="20"/>
      <c r="S184" s="20"/>
      <c r="T184" s="20"/>
      <c r="U184" s="20"/>
      <c r="V184" s="20"/>
      <c r="W184" s="20"/>
      <c r="X184" s="20"/>
      <c r="Y184" s="20"/>
      <c r="Z184" s="20"/>
      <c r="AA184" s="20"/>
    </row>
    <row r="185" spans="4:27" ht="17.25" customHeight="1">
      <c r="D185" s="57"/>
      <c r="E185" s="57"/>
      <c r="F185" s="58"/>
      <c r="G185" s="58"/>
      <c r="H185" s="58"/>
      <c r="I185" s="58"/>
      <c r="J185" s="31"/>
      <c r="K185" s="20"/>
      <c r="L185" s="20"/>
      <c r="M185" s="20"/>
      <c r="N185" s="20"/>
      <c r="O185" s="20"/>
      <c r="P185" s="20"/>
      <c r="Q185" s="20"/>
      <c r="R185" s="20"/>
      <c r="S185" s="20"/>
      <c r="T185" s="20"/>
      <c r="U185" s="20"/>
      <c r="V185" s="20"/>
      <c r="W185" s="20"/>
      <c r="X185" s="20"/>
      <c r="Y185" s="20"/>
      <c r="Z185" s="20"/>
      <c r="AA185" s="20"/>
    </row>
    <row r="186" spans="4:27" ht="17.25" customHeight="1">
      <c r="D186" s="57"/>
      <c r="E186" s="57"/>
      <c r="F186" s="58"/>
      <c r="G186" s="58"/>
      <c r="H186" s="58"/>
      <c r="I186" s="58"/>
      <c r="J186" s="31"/>
      <c r="K186" s="20"/>
      <c r="L186" s="20"/>
      <c r="M186" s="20"/>
      <c r="N186" s="20"/>
      <c r="O186" s="20"/>
      <c r="P186" s="20"/>
      <c r="Q186" s="20"/>
      <c r="R186" s="20"/>
      <c r="S186" s="20"/>
      <c r="T186" s="20"/>
      <c r="U186" s="20"/>
      <c r="V186" s="20"/>
      <c r="W186" s="20"/>
      <c r="X186" s="20"/>
      <c r="Y186" s="20"/>
      <c r="Z186" s="20"/>
      <c r="AA186" s="20"/>
    </row>
    <row r="187" spans="4:27" ht="17.25" customHeight="1">
      <c r="D187" s="57"/>
      <c r="E187" s="57"/>
      <c r="F187" s="58"/>
      <c r="G187" s="58"/>
      <c r="H187" s="58"/>
      <c r="I187" s="58"/>
      <c r="J187" s="31"/>
      <c r="K187" s="20"/>
      <c r="L187" s="20"/>
      <c r="M187" s="20"/>
      <c r="N187" s="20"/>
      <c r="O187" s="20"/>
      <c r="P187" s="20"/>
      <c r="Q187" s="20"/>
      <c r="R187" s="20"/>
      <c r="S187" s="20"/>
      <c r="T187" s="20"/>
      <c r="U187" s="20"/>
      <c r="V187" s="20"/>
      <c r="W187" s="20"/>
      <c r="X187" s="20"/>
      <c r="Y187" s="20"/>
      <c r="Z187" s="20"/>
      <c r="AA187" s="20"/>
    </row>
    <row r="188" spans="4:27" ht="17.25" customHeight="1">
      <c r="D188" s="57"/>
      <c r="E188" s="57"/>
      <c r="F188" s="58"/>
      <c r="G188" s="58"/>
      <c r="H188" s="58"/>
      <c r="I188" s="58"/>
      <c r="J188" s="31"/>
      <c r="K188" s="20"/>
      <c r="L188" s="20"/>
      <c r="M188" s="20"/>
      <c r="N188" s="20"/>
      <c r="O188" s="20"/>
      <c r="P188" s="20"/>
      <c r="Q188" s="20"/>
      <c r="R188" s="20"/>
      <c r="S188" s="20"/>
      <c r="T188" s="20"/>
      <c r="U188" s="20"/>
      <c r="V188" s="20"/>
      <c r="W188" s="20"/>
      <c r="X188" s="20"/>
      <c r="Y188" s="20"/>
      <c r="Z188" s="20"/>
      <c r="AA188" s="20"/>
    </row>
    <row r="189" spans="4:27" ht="17.25" customHeight="1">
      <c r="D189" s="57"/>
      <c r="E189" s="57"/>
      <c r="F189" s="58"/>
      <c r="G189" s="58"/>
      <c r="H189" s="58"/>
      <c r="I189" s="58"/>
      <c r="J189" s="31"/>
      <c r="K189" s="20"/>
      <c r="L189" s="20"/>
      <c r="M189" s="20"/>
      <c r="N189" s="20"/>
      <c r="O189" s="20"/>
      <c r="P189" s="20"/>
      <c r="Q189" s="20"/>
      <c r="R189" s="20"/>
      <c r="S189" s="20"/>
      <c r="T189" s="20"/>
      <c r="U189" s="20"/>
      <c r="V189" s="20"/>
      <c r="W189" s="20"/>
      <c r="X189" s="20"/>
      <c r="Y189" s="20"/>
      <c r="Z189" s="20"/>
      <c r="AA189" s="20"/>
    </row>
    <row r="190" spans="4:27" ht="17.25" customHeight="1">
      <c r="D190" s="57"/>
      <c r="E190" s="57"/>
      <c r="F190" s="58"/>
      <c r="G190" s="58"/>
      <c r="H190" s="58"/>
      <c r="I190" s="58"/>
      <c r="J190" s="31"/>
      <c r="K190" s="20"/>
      <c r="L190" s="20"/>
      <c r="M190" s="20"/>
      <c r="N190" s="20"/>
      <c r="O190" s="20"/>
      <c r="P190" s="20"/>
      <c r="Q190" s="20"/>
      <c r="R190" s="20"/>
      <c r="S190" s="20"/>
      <c r="T190" s="20"/>
      <c r="U190" s="20"/>
      <c r="V190" s="20"/>
      <c r="W190" s="20"/>
      <c r="X190" s="20"/>
      <c r="Y190" s="20"/>
      <c r="Z190" s="20"/>
      <c r="AA190" s="20"/>
    </row>
    <row r="191" spans="4:27" ht="17.25" customHeight="1">
      <c r="D191" s="57"/>
      <c r="E191" s="57"/>
      <c r="F191" s="58"/>
      <c r="G191" s="58"/>
      <c r="H191" s="58"/>
      <c r="I191" s="58"/>
      <c r="J191" s="31"/>
      <c r="K191" s="20"/>
      <c r="L191" s="20"/>
      <c r="M191" s="20"/>
      <c r="N191" s="20"/>
      <c r="O191" s="20"/>
      <c r="P191" s="20"/>
      <c r="Q191" s="20"/>
      <c r="R191" s="20"/>
      <c r="S191" s="20"/>
      <c r="T191" s="20"/>
      <c r="U191" s="20"/>
      <c r="V191" s="20"/>
      <c r="W191" s="20"/>
      <c r="X191" s="20"/>
      <c r="Y191" s="20"/>
      <c r="Z191" s="20"/>
      <c r="AA191" s="20"/>
    </row>
    <row r="192" spans="4:27" ht="17.25" customHeight="1">
      <c r="D192" s="57"/>
      <c r="E192" s="57"/>
      <c r="F192" s="58"/>
      <c r="G192" s="58"/>
      <c r="H192" s="58"/>
      <c r="I192" s="58"/>
      <c r="J192" s="31"/>
      <c r="K192" s="20"/>
      <c r="L192" s="20"/>
      <c r="M192" s="20"/>
      <c r="N192" s="20"/>
      <c r="O192" s="20"/>
      <c r="P192" s="20"/>
      <c r="Q192" s="20"/>
      <c r="R192" s="20"/>
      <c r="S192" s="20"/>
      <c r="T192" s="20"/>
      <c r="U192" s="20"/>
      <c r="V192" s="20"/>
      <c r="W192" s="20"/>
      <c r="X192" s="20"/>
      <c r="Y192" s="20"/>
      <c r="Z192" s="20"/>
      <c r="AA192" s="20"/>
    </row>
    <row r="193" spans="4:27" ht="17.25" customHeight="1">
      <c r="D193" s="57"/>
      <c r="E193" s="57"/>
      <c r="F193" s="58"/>
      <c r="G193" s="58"/>
      <c r="H193" s="58"/>
      <c r="I193" s="58"/>
      <c r="J193" s="31"/>
      <c r="K193" s="20"/>
      <c r="L193" s="20"/>
      <c r="M193" s="20"/>
      <c r="N193" s="20"/>
      <c r="O193" s="20"/>
      <c r="P193" s="20"/>
      <c r="Q193" s="20"/>
      <c r="R193" s="20"/>
      <c r="S193" s="20"/>
      <c r="T193" s="20"/>
      <c r="U193" s="20"/>
      <c r="V193" s="20"/>
      <c r="W193" s="20"/>
      <c r="X193" s="20"/>
      <c r="Y193" s="20"/>
      <c r="Z193" s="20"/>
      <c r="AA193" s="20"/>
    </row>
    <row r="194" spans="4:27" ht="17.25" customHeight="1">
      <c r="D194" s="57"/>
      <c r="E194" s="57"/>
      <c r="F194" s="58"/>
      <c r="G194" s="58"/>
      <c r="H194" s="58"/>
      <c r="I194" s="58"/>
      <c r="J194" s="31"/>
      <c r="K194" s="20"/>
      <c r="L194" s="20"/>
      <c r="M194" s="20"/>
      <c r="N194" s="20"/>
      <c r="O194" s="20"/>
      <c r="P194" s="20"/>
      <c r="Q194" s="20"/>
      <c r="R194" s="20"/>
      <c r="S194" s="20"/>
      <c r="T194" s="20"/>
      <c r="U194" s="20"/>
      <c r="V194" s="20"/>
      <c r="W194" s="20"/>
      <c r="X194" s="20"/>
      <c r="Y194" s="20"/>
      <c r="Z194" s="20"/>
      <c r="AA194" s="20"/>
    </row>
    <row r="195" spans="4:27" ht="17.25" customHeight="1">
      <c r="D195" s="57"/>
      <c r="E195" s="57"/>
      <c r="F195" s="58"/>
      <c r="G195" s="58"/>
      <c r="H195" s="58"/>
      <c r="I195" s="58"/>
      <c r="J195" s="31"/>
      <c r="K195" s="20"/>
      <c r="L195" s="20"/>
      <c r="M195" s="20"/>
      <c r="N195" s="20"/>
      <c r="O195" s="20"/>
      <c r="P195" s="20"/>
      <c r="Q195" s="20"/>
      <c r="R195" s="20"/>
      <c r="S195" s="20"/>
      <c r="T195" s="20"/>
      <c r="U195" s="20"/>
      <c r="V195" s="20"/>
      <c r="W195" s="20"/>
      <c r="X195" s="20"/>
      <c r="Y195" s="20"/>
      <c r="Z195" s="20"/>
      <c r="AA195" s="20"/>
    </row>
    <row r="196" spans="4:27" ht="17.25" customHeight="1">
      <c r="D196" s="57"/>
      <c r="E196" s="57"/>
      <c r="F196" s="58"/>
      <c r="G196" s="58"/>
      <c r="H196" s="58"/>
      <c r="I196" s="58"/>
      <c r="J196" s="31"/>
      <c r="K196" s="20"/>
      <c r="L196" s="20"/>
      <c r="M196" s="20"/>
      <c r="N196" s="20"/>
      <c r="O196" s="20"/>
      <c r="P196" s="20"/>
      <c r="Q196" s="20"/>
      <c r="R196" s="20"/>
      <c r="S196" s="20"/>
      <c r="T196" s="20"/>
      <c r="U196" s="20"/>
      <c r="V196" s="20"/>
      <c r="W196" s="20"/>
      <c r="X196" s="20"/>
      <c r="Y196" s="20"/>
      <c r="Z196" s="20"/>
      <c r="AA196" s="20"/>
    </row>
    <row r="197" spans="4:27" ht="17.25" customHeight="1">
      <c r="D197" s="57"/>
      <c r="E197" s="57"/>
      <c r="F197" s="58"/>
      <c r="G197" s="58"/>
      <c r="H197" s="58"/>
      <c r="I197" s="58"/>
      <c r="J197" s="31"/>
      <c r="K197" s="20"/>
      <c r="L197" s="20"/>
      <c r="M197" s="20"/>
      <c r="N197" s="20"/>
      <c r="O197" s="20"/>
      <c r="P197" s="20"/>
      <c r="Q197" s="20"/>
      <c r="R197" s="20"/>
      <c r="S197" s="20"/>
      <c r="T197" s="20"/>
      <c r="U197" s="20"/>
      <c r="V197" s="20"/>
      <c r="W197" s="20"/>
      <c r="X197" s="20"/>
      <c r="Y197" s="20"/>
      <c r="Z197" s="20"/>
      <c r="AA197" s="20"/>
    </row>
    <row r="198" spans="4:27" ht="17.25" customHeight="1">
      <c r="D198" s="57"/>
      <c r="E198" s="57"/>
      <c r="F198" s="58"/>
      <c r="G198" s="58"/>
      <c r="H198" s="58"/>
      <c r="I198" s="58"/>
      <c r="J198" s="31"/>
      <c r="K198" s="20"/>
      <c r="L198" s="20"/>
      <c r="M198" s="20"/>
      <c r="N198" s="20"/>
      <c r="O198" s="20"/>
      <c r="P198" s="20"/>
      <c r="Q198" s="20"/>
      <c r="R198" s="20"/>
      <c r="S198" s="20"/>
      <c r="T198" s="20"/>
      <c r="U198" s="20"/>
      <c r="V198" s="20"/>
      <c r="W198" s="20"/>
      <c r="X198" s="20"/>
      <c r="Y198" s="20"/>
      <c r="Z198" s="20"/>
      <c r="AA198" s="20"/>
    </row>
    <row r="199" spans="4:27" ht="17.25" customHeight="1">
      <c r="D199" s="57"/>
      <c r="E199" s="57"/>
      <c r="F199" s="58"/>
      <c r="G199" s="58"/>
      <c r="H199" s="58"/>
      <c r="I199" s="58"/>
      <c r="J199" s="31"/>
      <c r="K199" s="20"/>
      <c r="L199" s="20"/>
      <c r="M199" s="20"/>
      <c r="N199" s="20"/>
      <c r="O199" s="20"/>
      <c r="P199" s="20"/>
      <c r="Q199" s="20"/>
      <c r="R199" s="20"/>
      <c r="S199" s="20"/>
      <c r="T199" s="20"/>
      <c r="U199" s="20"/>
      <c r="V199" s="20"/>
      <c r="W199" s="20"/>
      <c r="X199" s="20"/>
      <c r="Y199" s="20"/>
      <c r="Z199" s="20"/>
      <c r="AA199" s="20"/>
    </row>
    <row r="200" spans="4:27" ht="17.25" customHeight="1">
      <c r="D200" s="57"/>
      <c r="E200" s="57"/>
      <c r="F200" s="58"/>
      <c r="G200" s="58"/>
      <c r="H200" s="58"/>
      <c r="I200" s="58"/>
      <c r="J200" s="31"/>
      <c r="K200" s="20"/>
      <c r="L200" s="20"/>
      <c r="M200" s="20"/>
      <c r="N200" s="20"/>
      <c r="O200" s="20"/>
      <c r="P200" s="20"/>
      <c r="Q200" s="20"/>
      <c r="R200" s="20"/>
      <c r="S200" s="20"/>
      <c r="T200" s="20"/>
      <c r="U200" s="20"/>
      <c r="V200" s="20"/>
      <c r="W200" s="20"/>
      <c r="X200" s="20"/>
      <c r="Y200" s="20"/>
      <c r="Z200" s="20"/>
      <c r="AA200" s="20"/>
    </row>
    <row r="201" spans="4:27" ht="17.25" customHeight="1">
      <c r="D201" s="57"/>
      <c r="E201" s="57"/>
      <c r="F201" s="58"/>
      <c r="G201" s="58"/>
      <c r="H201" s="58"/>
      <c r="I201" s="58"/>
      <c r="J201" s="31"/>
      <c r="K201" s="20"/>
      <c r="L201" s="20"/>
      <c r="M201" s="20"/>
      <c r="N201" s="20"/>
      <c r="O201" s="20"/>
      <c r="P201" s="20"/>
      <c r="Q201" s="20"/>
      <c r="R201" s="20"/>
      <c r="S201" s="20"/>
      <c r="T201" s="20"/>
      <c r="U201" s="20"/>
      <c r="V201" s="20"/>
      <c r="W201" s="20"/>
      <c r="X201" s="20"/>
      <c r="Y201" s="20"/>
      <c r="Z201" s="20"/>
      <c r="AA201" s="20"/>
    </row>
    <row r="202" spans="4:27" ht="17.25" customHeight="1">
      <c r="D202" s="57"/>
      <c r="E202" s="57"/>
      <c r="F202" s="58"/>
      <c r="G202" s="58"/>
      <c r="H202" s="58"/>
      <c r="I202" s="58"/>
      <c r="J202" s="31"/>
      <c r="K202" s="20"/>
      <c r="L202" s="20"/>
      <c r="M202" s="20"/>
      <c r="N202" s="20"/>
      <c r="O202" s="20"/>
      <c r="P202" s="20"/>
      <c r="Q202" s="20"/>
      <c r="R202" s="20"/>
      <c r="S202" s="20"/>
      <c r="T202" s="20"/>
      <c r="U202" s="20"/>
      <c r="V202" s="20"/>
      <c r="W202" s="20"/>
      <c r="X202" s="20"/>
      <c r="Y202" s="20"/>
      <c r="Z202" s="20"/>
      <c r="AA202" s="20"/>
    </row>
    <row r="203" spans="4:27" ht="17.25" customHeight="1">
      <c r="D203" s="57"/>
      <c r="E203" s="57"/>
      <c r="F203" s="58"/>
      <c r="G203" s="58"/>
      <c r="H203" s="58"/>
      <c r="I203" s="58"/>
      <c r="J203" s="31"/>
      <c r="K203" s="20"/>
      <c r="L203" s="20"/>
      <c r="M203" s="20"/>
      <c r="N203" s="20"/>
      <c r="O203" s="20"/>
      <c r="P203" s="20"/>
      <c r="Q203" s="20"/>
      <c r="R203" s="20"/>
      <c r="S203" s="20"/>
      <c r="T203" s="20"/>
      <c r="U203" s="20"/>
      <c r="V203" s="20"/>
      <c r="W203" s="20"/>
      <c r="X203" s="20"/>
      <c r="Y203" s="20"/>
      <c r="Z203" s="20"/>
      <c r="AA203" s="20"/>
    </row>
    <row r="204" spans="4:27" ht="17.25" customHeight="1">
      <c r="D204" s="57"/>
      <c r="E204" s="57"/>
      <c r="F204" s="58"/>
      <c r="G204" s="58"/>
      <c r="H204" s="58"/>
      <c r="I204" s="58"/>
      <c r="J204" s="31"/>
      <c r="K204" s="20"/>
      <c r="L204" s="20"/>
      <c r="M204" s="20"/>
      <c r="N204" s="20"/>
      <c r="O204" s="20"/>
      <c r="P204" s="20"/>
      <c r="Q204" s="20"/>
      <c r="R204" s="20"/>
      <c r="S204" s="20"/>
      <c r="T204" s="20"/>
      <c r="U204" s="20"/>
      <c r="V204" s="20"/>
      <c r="W204" s="20"/>
      <c r="X204" s="20"/>
      <c r="Y204" s="20"/>
      <c r="Z204" s="20"/>
      <c r="AA204" s="20"/>
    </row>
    <row r="205" spans="4:27" ht="17.25" customHeight="1">
      <c r="D205" s="57"/>
      <c r="E205" s="57"/>
      <c r="F205" s="58"/>
      <c r="G205" s="58"/>
      <c r="H205" s="58"/>
      <c r="I205" s="58"/>
      <c r="J205" s="31"/>
      <c r="K205" s="20"/>
      <c r="L205" s="20"/>
      <c r="M205" s="20"/>
      <c r="N205" s="20"/>
      <c r="O205" s="20"/>
      <c r="P205" s="20"/>
      <c r="Q205" s="20"/>
      <c r="R205" s="20"/>
      <c r="S205" s="20"/>
      <c r="T205" s="20"/>
      <c r="U205" s="20"/>
      <c r="V205" s="20"/>
      <c r="W205" s="20"/>
      <c r="X205" s="20"/>
      <c r="Y205" s="20"/>
      <c r="Z205" s="20"/>
      <c r="AA205" s="20"/>
    </row>
    <row r="206" spans="4:27" ht="17.25" customHeight="1">
      <c r="D206" s="57"/>
      <c r="E206" s="57"/>
      <c r="F206" s="58"/>
      <c r="G206" s="58"/>
      <c r="H206" s="58"/>
      <c r="I206" s="58"/>
      <c r="J206" s="31"/>
      <c r="K206" s="20"/>
      <c r="L206" s="20"/>
      <c r="M206" s="20"/>
      <c r="N206" s="20"/>
      <c r="O206" s="20"/>
      <c r="P206" s="20"/>
      <c r="Q206" s="20"/>
      <c r="R206" s="20"/>
      <c r="S206" s="20"/>
      <c r="T206" s="20"/>
      <c r="U206" s="20"/>
      <c r="V206" s="20"/>
      <c r="W206" s="20"/>
      <c r="X206" s="20"/>
      <c r="Y206" s="20"/>
      <c r="Z206" s="20"/>
      <c r="AA206" s="20"/>
    </row>
    <row r="207" spans="4:27" ht="17.25" customHeight="1">
      <c r="D207" s="57"/>
      <c r="E207" s="57"/>
      <c r="F207" s="58"/>
      <c r="G207" s="58"/>
      <c r="H207" s="58"/>
      <c r="I207" s="58"/>
      <c r="J207" s="31"/>
      <c r="K207" s="20"/>
      <c r="L207" s="20"/>
      <c r="M207" s="20"/>
      <c r="N207" s="20"/>
      <c r="O207" s="20"/>
      <c r="P207" s="20"/>
      <c r="Q207" s="20"/>
      <c r="R207" s="20"/>
      <c r="S207" s="20"/>
      <c r="T207" s="20"/>
      <c r="U207" s="20"/>
      <c r="V207" s="20"/>
      <c r="W207" s="20"/>
      <c r="X207" s="20"/>
      <c r="Y207" s="20"/>
      <c r="Z207" s="20"/>
      <c r="AA207" s="20"/>
    </row>
    <row r="208" spans="4:27" ht="17.25" customHeight="1">
      <c r="D208" s="57"/>
      <c r="E208" s="57"/>
      <c r="F208" s="58"/>
      <c r="G208" s="58"/>
      <c r="H208" s="58"/>
      <c r="I208" s="58"/>
      <c r="J208" s="31"/>
      <c r="K208" s="20"/>
      <c r="L208" s="20"/>
      <c r="M208" s="20"/>
      <c r="N208" s="20"/>
      <c r="O208" s="20"/>
      <c r="P208" s="20"/>
      <c r="Q208" s="20"/>
      <c r="R208" s="20"/>
      <c r="S208" s="20"/>
      <c r="T208" s="20"/>
      <c r="U208" s="20"/>
      <c r="V208" s="20"/>
      <c r="W208" s="20"/>
      <c r="X208" s="20"/>
      <c r="Y208" s="20"/>
      <c r="Z208" s="20"/>
      <c r="AA208" s="20"/>
    </row>
    <row r="209" spans="4:27" ht="17.25" customHeight="1">
      <c r="D209" s="57"/>
      <c r="E209" s="57"/>
      <c r="F209" s="58"/>
      <c r="G209" s="58"/>
      <c r="H209" s="58"/>
      <c r="I209" s="58"/>
      <c r="J209" s="31"/>
      <c r="K209" s="20"/>
      <c r="L209" s="20"/>
      <c r="M209" s="20"/>
      <c r="N209" s="20"/>
      <c r="O209" s="20"/>
      <c r="P209" s="20"/>
      <c r="Q209" s="20"/>
      <c r="R209" s="20"/>
      <c r="S209" s="20"/>
      <c r="T209" s="20"/>
      <c r="U209" s="20"/>
      <c r="V209" s="20"/>
      <c r="W209" s="20"/>
      <c r="X209" s="20"/>
      <c r="Y209" s="20"/>
      <c r="Z209" s="20"/>
      <c r="AA209" s="20"/>
    </row>
    <row r="210" spans="4:27" ht="17.25" customHeight="1">
      <c r="D210" s="57"/>
      <c r="E210" s="57"/>
      <c r="F210" s="58"/>
      <c r="G210" s="58"/>
      <c r="H210" s="58"/>
      <c r="I210" s="58"/>
      <c r="J210" s="31"/>
      <c r="K210" s="20"/>
      <c r="L210" s="20"/>
      <c r="M210" s="20"/>
      <c r="N210" s="20"/>
      <c r="O210" s="20"/>
      <c r="P210" s="20"/>
      <c r="Q210" s="20"/>
      <c r="R210" s="20"/>
      <c r="S210" s="20"/>
      <c r="T210" s="20"/>
      <c r="U210" s="20"/>
      <c r="V210" s="20"/>
      <c r="W210" s="20"/>
      <c r="X210" s="20"/>
      <c r="Y210" s="20"/>
      <c r="Z210" s="20"/>
      <c r="AA210" s="20"/>
    </row>
    <row r="211" spans="4:27" ht="17.25" customHeight="1">
      <c r="D211" s="57"/>
      <c r="E211" s="57"/>
      <c r="F211" s="58"/>
      <c r="G211" s="58"/>
      <c r="H211" s="58"/>
      <c r="I211" s="58"/>
      <c r="J211" s="31"/>
      <c r="K211" s="20"/>
      <c r="L211" s="20"/>
      <c r="M211" s="20"/>
      <c r="N211" s="20"/>
      <c r="O211" s="20"/>
      <c r="P211" s="20"/>
      <c r="Q211" s="20"/>
      <c r="R211" s="20"/>
      <c r="S211" s="20"/>
      <c r="T211" s="20"/>
      <c r="U211" s="20"/>
      <c r="V211" s="20"/>
      <c r="W211" s="20"/>
      <c r="X211" s="20"/>
      <c r="Y211" s="20"/>
      <c r="Z211" s="20"/>
      <c r="AA211" s="20"/>
    </row>
    <row r="212" spans="4:27" ht="17.25" customHeight="1">
      <c r="D212" s="57"/>
      <c r="E212" s="57"/>
      <c r="F212" s="58"/>
      <c r="G212" s="58"/>
      <c r="H212" s="58"/>
      <c r="I212" s="58"/>
      <c r="J212" s="31"/>
      <c r="K212" s="20"/>
      <c r="L212" s="20"/>
      <c r="M212" s="20"/>
      <c r="N212" s="20"/>
      <c r="O212" s="20"/>
      <c r="P212" s="20"/>
      <c r="Q212" s="20"/>
      <c r="R212" s="20"/>
      <c r="S212" s="20"/>
      <c r="T212" s="20"/>
      <c r="U212" s="20"/>
      <c r="V212" s="20"/>
      <c r="W212" s="20"/>
      <c r="X212" s="20"/>
      <c r="Y212" s="20"/>
      <c r="Z212" s="20"/>
      <c r="AA212" s="20"/>
    </row>
    <row r="213" spans="4:27" ht="17.25" customHeight="1">
      <c r="D213" s="57"/>
      <c r="E213" s="57"/>
      <c r="F213" s="58"/>
      <c r="G213" s="58"/>
      <c r="H213" s="58"/>
      <c r="I213" s="58"/>
      <c r="J213" s="31"/>
      <c r="K213" s="20"/>
      <c r="L213" s="20"/>
      <c r="M213" s="20"/>
      <c r="N213" s="20"/>
      <c r="O213" s="20"/>
      <c r="P213" s="20"/>
      <c r="Q213" s="20"/>
      <c r="R213" s="20"/>
      <c r="S213" s="20"/>
      <c r="T213" s="20"/>
      <c r="U213" s="20"/>
      <c r="V213" s="20"/>
      <c r="W213" s="20"/>
      <c r="X213" s="20"/>
      <c r="Y213" s="20"/>
      <c r="Z213" s="20"/>
      <c r="AA213" s="20"/>
    </row>
    <row r="214" spans="4:27" ht="17.25" customHeight="1">
      <c r="D214" s="57"/>
      <c r="E214" s="57"/>
      <c r="F214" s="58"/>
      <c r="G214" s="58"/>
      <c r="H214" s="58"/>
      <c r="I214" s="58"/>
      <c r="J214" s="31"/>
      <c r="K214" s="20"/>
      <c r="L214" s="20"/>
      <c r="M214" s="20"/>
      <c r="N214" s="20"/>
      <c r="O214" s="20"/>
      <c r="P214" s="20"/>
      <c r="Q214" s="20"/>
      <c r="R214" s="20"/>
      <c r="S214" s="20"/>
      <c r="T214" s="20"/>
      <c r="U214" s="20"/>
      <c r="V214" s="20"/>
      <c r="W214" s="20"/>
      <c r="X214" s="20"/>
      <c r="Y214" s="20"/>
      <c r="Z214" s="20"/>
      <c r="AA214" s="20"/>
    </row>
    <row r="215" spans="4:27" ht="17.25" customHeight="1">
      <c r="D215" s="57"/>
      <c r="E215" s="57"/>
      <c r="F215" s="58"/>
      <c r="G215" s="58"/>
      <c r="H215" s="58"/>
      <c r="I215" s="58"/>
      <c r="J215" s="31"/>
      <c r="K215" s="20"/>
      <c r="L215" s="20"/>
      <c r="M215" s="20"/>
      <c r="N215" s="20"/>
      <c r="O215" s="20"/>
      <c r="P215" s="20"/>
      <c r="Q215" s="20"/>
      <c r="R215" s="20"/>
      <c r="S215" s="20"/>
      <c r="T215" s="20"/>
      <c r="U215" s="20"/>
      <c r="V215" s="20"/>
      <c r="W215" s="20"/>
      <c r="X215" s="20"/>
      <c r="Y215" s="20"/>
      <c r="Z215" s="20"/>
      <c r="AA215" s="20"/>
    </row>
    <row r="216" spans="4:27" ht="17.25" customHeight="1">
      <c r="D216" s="57"/>
      <c r="E216" s="57"/>
      <c r="F216" s="58"/>
      <c r="G216" s="58"/>
      <c r="H216" s="58"/>
      <c r="I216" s="58"/>
      <c r="J216" s="31"/>
      <c r="K216" s="20"/>
      <c r="L216" s="20"/>
      <c r="M216" s="20"/>
      <c r="N216" s="20"/>
      <c r="O216" s="20"/>
      <c r="P216" s="20"/>
      <c r="Q216" s="20"/>
      <c r="R216" s="20"/>
      <c r="S216" s="20"/>
      <c r="T216" s="20"/>
      <c r="U216" s="20"/>
      <c r="V216" s="20"/>
      <c r="W216" s="20"/>
      <c r="X216" s="20"/>
      <c r="Y216" s="20"/>
      <c r="Z216" s="20"/>
      <c r="AA216" s="20"/>
    </row>
    <row r="217" spans="4:27" ht="17.25" customHeight="1">
      <c r="D217" s="57"/>
      <c r="E217" s="57"/>
      <c r="F217" s="58"/>
      <c r="G217" s="58"/>
      <c r="H217" s="58"/>
      <c r="I217" s="58"/>
      <c r="J217" s="31"/>
      <c r="K217" s="20"/>
      <c r="L217" s="20"/>
      <c r="M217" s="20"/>
      <c r="N217" s="20"/>
      <c r="O217" s="20"/>
      <c r="P217" s="20"/>
      <c r="Q217" s="20"/>
      <c r="R217" s="20"/>
      <c r="S217" s="20"/>
      <c r="T217" s="20"/>
      <c r="U217" s="20"/>
      <c r="V217" s="20"/>
      <c r="W217" s="20"/>
      <c r="X217" s="20"/>
      <c r="Y217" s="20"/>
      <c r="Z217" s="20"/>
      <c r="AA217" s="20"/>
    </row>
    <row r="218" spans="4:27" ht="17.25" customHeight="1">
      <c r="D218" s="57"/>
      <c r="E218" s="57"/>
      <c r="F218" s="58"/>
      <c r="G218" s="58"/>
      <c r="H218" s="58"/>
      <c r="I218" s="58"/>
      <c r="J218" s="31"/>
      <c r="K218" s="20"/>
      <c r="L218" s="20"/>
      <c r="M218" s="20"/>
      <c r="N218" s="20"/>
      <c r="O218" s="20"/>
      <c r="P218" s="20"/>
      <c r="Q218" s="20"/>
      <c r="R218" s="20"/>
      <c r="S218" s="20"/>
      <c r="T218" s="20"/>
      <c r="U218" s="20"/>
      <c r="V218" s="20"/>
      <c r="W218" s="20"/>
      <c r="X218" s="20"/>
      <c r="Y218" s="20"/>
      <c r="Z218" s="20"/>
      <c r="AA218" s="20"/>
    </row>
    <row r="219" spans="4:27" ht="17.25" customHeight="1">
      <c r="D219" s="57"/>
      <c r="E219" s="57"/>
      <c r="F219" s="58"/>
      <c r="G219" s="58"/>
      <c r="H219" s="58"/>
      <c r="I219" s="58"/>
      <c r="J219" s="31"/>
      <c r="K219" s="20"/>
      <c r="L219" s="20"/>
      <c r="M219" s="20"/>
      <c r="N219" s="20"/>
      <c r="O219" s="20"/>
      <c r="P219" s="20"/>
      <c r="Q219" s="20"/>
      <c r="R219" s="20"/>
      <c r="S219" s="20"/>
      <c r="T219" s="20"/>
      <c r="U219" s="20"/>
      <c r="V219" s="20"/>
      <c r="W219" s="20"/>
      <c r="X219" s="20"/>
      <c r="Y219" s="20"/>
      <c r="Z219" s="20"/>
      <c r="AA219" s="20"/>
    </row>
    <row r="220" spans="4:27" ht="17.25" customHeight="1">
      <c r="D220" s="57"/>
      <c r="E220" s="57"/>
      <c r="F220" s="58"/>
      <c r="G220" s="58"/>
      <c r="H220" s="58"/>
      <c r="I220" s="58"/>
      <c r="J220" s="31"/>
      <c r="K220" s="20"/>
      <c r="L220" s="20"/>
      <c r="M220" s="20"/>
      <c r="N220" s="20"/>
      <c r="O220" s="20"/>
      <c r="P220" s="20"/>
      <c r="Q220" s="20"/>
      <c r="R220" s="20"/>
      <c r="S220" s="20"/>
      <c r="T220" s="20"/>
      <c r="U220" s="20"/>
      <c r="V220" s="20"/>
      <c r="W220" s="20"/>
      <c r="X220" s="20"/>
      <c r="Y220" s="20"/>
      <c r="Z220" s="20"/>
      <c r="AA220" s="20"/>
    </row>
    <row r="221" spans="4:27" ht="17.25" customHeight="1">
      <c r="D221" s="57"/>
      <c r="E221" s="57"/>
      <c r="F221" s="58"/>
      <c r="G221" s="58"/>
      <c r="H221" s="58"/>
      <c r="I221" s="58"/>
      <c r="J221" s="31"/>
      <c r="K221" s="20"/>
      <c r="L221" s="20"/>
      <c r="M221" s="20"/>
      <c r="N221" s="20"/>
      <c r="O221" s="20"/>
      <c r="P221" s="20"/>
      <c r="Q221" s="20"/>
      <c r="R221" s="20"/>
      <c r="S221" s="20"/>
      <c r="T221" s="20"/>
      <c r="U221" s="20"/>
      <c r="V221" s="20"/>
      <c r="W221" s="20"/>
      <c r="X221" s="20"/>
      <c r="Y221" s="20"/>
      <c r="Z221" s="20"/>
      <c r="AA221" s="20"/>
    </row>
    <row r="222" spans="4:27" ht="17.25" customHeight="1">
      <c r="D222" s="57"/>
      <c r="E222" s="57"/>
      <c r="F222" s="58"/>
      <c r="G222" s="58"/>
      <c r="H222" s="58"/>
      <c r="I222" s="58"/>
      <c r="J222" s="31"/>
      <c r="K222" s="20"/>
      <c r="L222" s="20"/>
      <c r="M222" s="20"/>
      <c r="N222" s="20"/>
      <c r="O222" s="20"/>
      <c r="P222" s="20"/>
      <c r="Q222" s="20"/>
      <c r="R222" s="20"/>
      <c r="S222" s="20"/>
      <c r="T222" s="20"/>
      <c r="U222" s="20"/>
      <c r="V222" s="20"/>
      <c r="W222" s="20"/>
      <c r="X222" s="20"/>
      <c r="Y222" s="20"/>
      <c r="Z222" s="20"/>
      <c r="AA222" s="20"/>
    </row>
    <row r="223" spans="4:27" ht="17.25" customHeight="1">
      <c r="D223" s="57"/>
      <c r="E223" s="57"/>
      <c r="F223" s="58"/>
      <c r="G223" s="58"/>
      <c r="H223" s="58"/>
      <c r="I223" s="58"/>
      <c r="J223" s="31"/>
      <c r="K223" s="20"/>
      <c r="L223" s="20"/>
      <c r="M223" s="20"/>
      <c r="N223" s="20"/>
      <c r="O223" s="20"/>
      <c r="P223" s="20"/>
      <c r="Q223" s="20"/>
      <c r="R223" s="20"/>
      <c r="S223" s="20"/>
      <c r="T223" s="20"/>
      <c r="U223" s="20"/>
      <c r="V223" s="20"/>
      <c r="W223" s="20"/>
      <c r="X223" s="20"/>
      <c r="Y223" s="20"/>
      <c r="Z223" s="20"/>
      <c r="AA223" s="20"/>
    </row>
    <row r="224" spans="4:27" ht="17.25" customHeight="1">
      <c r="D224" s="57"/>
      <c r="E224" s="57"/>
      <c r="F224" s="58"/>
      <c r="G224" s="58"/>
      <c r="H224" s="58"/>
      <c r="I224" s="58"/>
      <c r="J224" s="31"/>
      <c r="K224" s="20"/>
      <c r="L224" s="20"/>
      <c r="M224" s="20"/>
      <c r="N224" s="20"/>
      <c r="O224" s="20"/>
      <c r="P224" s="20"/>
      <c r="Q224" s="20"/>
      <c r="R224" s="20"/>
      <c r="S224" s="20"/>
      <c r="T224" s="20"/>
      <c r="U224" s="20"/>
      <c r="V224" s="20"/>
      <c r="W224" s="20"/>
      <c r="X224" s="20"/>
      <c r="Y224" s="20"/>
      <c r="Z224" s="20"/>
      <c r="AA224" s="20"/>
    </row>
    <row r="225" spans="4:27" ht="17.25" customHeight="1">
      <c r="D225" s="57"/>
      <c r="E225" s="57"/>
      <c r="F225" s="58"/>
      <c r="G225" s="58"/>
      <c r="H225" s="58"/>
      <c r="I225" s="58"/>
      <c r="J225" s="31"/>
      <c r="K225" s="20"/>
      <c r="L225" s="20"/>
      <c r="M225" s="20"/>
      <c r="N225" s="20"/>
      <c r="O225" s="20"/>
      <c r="P225" s="20"/>
      <c r="Q225" s="20"/>
      <c r="R225" s="20"/>
      <c r="S225" s="20"/>
      <c r="T225" s="20"/>
      <c r="U225" s="20"/>
      <c r="V225" s="20"/>
      <c r="W225" s="20"/>
      <c r="X225" s="20"/>
      <c r="Y225" s="20"/>
      <c r="Z225" s="20"/>
      <c r="AA225" s="20"/>
    </row>
    <row r="226" spans="4:27" ht="17.25" customHeight="1">
      <c r="D226" s="57"/>
      <c r="E226" s="57"/>
      <c r="F226" s="58"/>
      <c r="G226" s="58"/>
      <c r="H226" s="58"/>
      <c r="I226" s="58"/>
      <c r="J226" s="31"/>
      <c r="K226" s="20"/>
      <c r="L226" s="20"/>
      <c r="M226" s="20"/>
      <c r="N226" s="20"/>
      <c r="O226" s="20"/>
      <c r="P226" s="20"/>
      <c r="Q226" s="20"/>
      <c r="R226" s="20"/>
      <c r="S226" s="20"/>
      <c r="T226" s="20"/>
      <c r="U226" s="20"/>
      <c r="V226" s="20"/>
      <c r="W226" s="20"/>
      <c r="X226" s="20"/>
      <c r="Y226" s="20"/>
      <c r="Z226" s="20"/>
      <c r="AA226" s="20"/>
    </row>
    <row r="227" spans="4:27" ht="17.25" customHeight="1">
      <c r="D227" s="57"/>
      <c r="E227" s="57"/>
      <c r="F227" s="58"/>
      <c r="G227" s="58"/>
      <c r="H227" s="58"/>
      <c r="I227" s="58"/>
      <c r="J227" s="31"/>
      <c r="K227" s="20"/>
      <c r="L227" s="20"/>
      <c r="M227" s="20"/>
      <c r="N227" s="20"/>
      <c r="O227" s="20"/>
      <c r="P227" s="20"/>
      <c r="Q227" s="20"/>
      <c r="R227" s="20"/>
      <c r="S227" s="20"/>
      <c r="T227" s="20"/>
      <c r="U227" s="20"/>
      <c r="V227" s="20"/>
      <c r="W227" s="20"/>
      <c r="X227" s="20"/>
      <c r="Y227" s="20"/>
      <c r="Z227" s="20"/>
      <c r="AA227" s="20"/>
    </row>
    <row r="228" spans="4:27" ht="17.25" customHeight="1">
      <c r="D228" s="57"/>
      <c r="E228" s="57"/>
      <c r="F228" s="58"/>
      <c r="G228" s="58"/>
      <c r="H228" s="58"/>
      <c r="I228" s="58"/>
      <c r="J228" s="31"/>
      <c r="K228" s="20"/>
      <c r="L228" s="20"/>
      <c r="M228" s="20"/>
      <c r="N228" s="20"/>
      <c r="O228" s="20"/>
      <c r="P228" s="20"/>
      <c r="Q228" s="20"/>
      <c r="R228" s="20"/>
      <c r="S228" s="20"/>
      <c r="T228" s="20"/>
      <c r="U228" s="20"/>
      <c r="V228" s="20"/>
      <c r="W228" s="20"/>
      <c r="X228" s="20"/>
      <c r="Y228" s="20"/>
      <c r="Z228" s="20"/>
      <c r="AA228" s="20"/>
    </row>
    <row r="229" spans="4:27" ht="17.25" customHeight="1">
      <c r="D229" s="57"/>
      <c r="E229" s="57"/>
      <c r="F229" s="58"/>
      <c r="G229" s="58"/>
      <c r="H229" s="58"/>
      <c r="I229" s="58"/>
      <c r="J229" s="31"/>
      <c r="K229" s="20"/>
      <c r="L229" s="20"/>
      <c r="M229" s="20"/>
      <c r="N229" s="20"/>
      <c r="O229" s="20"/>
      <c r="P229" s="20"/>
      <c r="Q229" s="20"/>
      <c r="R229" s="20"/>
      <c r="S229" s="20"/>
      <c r="T229" s="20"/>
      <c r="U229" s="20"/>
      <c r="V229" s="20"/>
      <c r="W229" s="20"/>
      <c r="X229" s="20"/>
      <c r="Y229" s="20"/>
      <c r="Z229" s="20"/>
      <c r="AA229" s="20"/>
    </row>
    <row r="230" spans="4:27" ht="17.25" customHeight="1">
      <c r="D230" s="57"/>
      <c r="E230" s="57"/>
      <c r="F230" s="58"/>
      <c r="G230" s="58"/>
      <c r="H230" s="58"/>
      <c r="I230" s="58"/>
      <c r="J230" s="31"/>
      <c r="K230" s="20"/>
      <c r="L230" s="20"/>
      <c r="M230" s="20"/>
      <c r="N230" s="20"/>
      <c r="O230" s="20"/>
      <c r="P230" s="20"/>
      <c r="Q230" s="20"/>
      <c r="R230" s="20"/>
      <c r="S230" s="20"/>
      <c r="T230" s="20"/>
      <c r="U230" s="20"/>
      <c r="V230" s="20"/>
      <c r="W230" s="20"/>
      <c r="X230" s="20"/>
      <c r="Y230" s="20"/>
      <c r="Z230" s="20"/>
      <c r="AA230" s="20"/>
    </row>
    <row r="231" spans="4:27" ht="17.25" customHeight="1">
      <c r="D231" s="57"/>
      <c r="E231" s="57"/>
      <c r="F231" s="58"/>
      <c r="G231" s="58"/>
      <c r="H231" s="58"/>
      <c r="I231" s="58"/>
      <c r="J231" s="31"/>
      <c r="K231" s="20"/>
      <c r="L231" s="20"/>
      <c r="M231" s="20"/>
      <c r="N231" s="20"/>
      <c r="O231" s="20"/>
      <c r="P231" s="20"/>
      <c r="Q231" s="20"/>
      <c r="R231" s="20"/>
      <c r="S231" s="20"/>
      <c r="T231" s="20"/>
      <c r="U231" s="20"/>
      <c r="V231" s="20"/>
      <c r="W231" s="20"/>
      <c r="X231" s="20"/>
      <c r="Y231" s="20"/>
      <c r="Z231" s="20"/>
      <c r="AA231" s="20"/>
    </row>
    <row r="232" spans="4:27" ht="17.25" customHeight="1">
      <c r="D232" s="57"/>
      <c r="E232" s="57"/>
      <c r="F232" s="58"/>
      <c r="G232" s="58"/>
      <c r="H232" s="58"/>
      <c r="I232" s="58"/>
      <c r="J232" s="31"/>
      <c r="K232" s="20"/>
      <c r="L232" s="20"/>
      <c r="M232" s="20"/>
      <c r="N232" s="20"/>
      <c r="O232" s="20"/>
      <c r="P232" s="20"/>
      <c r="Q232" s="20"/>
      <c r="R232" s="20"/>
      <c r="S232" s="20"/>
      <c r="T232" s="20"/>
      <c r="U232" s="20"/>
      <c r="V232" s="20"/>
      <c r="W232" s="20"/>
      <c r="X232" s="20"/>
      <c r="Y232" s="20"/>
      <c r="Z232" s="20"/>
      <c r="AA232" s="20"/>
    </row>
    <row r="233" spans="4:27" ht="17.25" customHeight="1">
      <c r="D233" s="57"/>
      <c r="E233" s="57"/>
      <c r="F233" s="58"/>
      <c r="G233" s="58"/>
      <c r="H233" s="58"/>
      <c r="I233" s="58"/>
      <c r="J233" s="31"/>
      <c r="K233" s="20"/>
      <c r="L233" s="20"/>
      <c r="M233" s="20"/>
      <c r="N233" s="20"/>
      <c r="O233" s="20"/>
      <c r="P233" s="20"/>
      <c r="Q233" s="20"/>
      <c r="R233" s="20"/>
      <c r="S233" s="20"/>
      <c r="T233" s="20"/>
      <c r="U233" s="20"/>
      <c r="V233" s="20"/>
      <c r="W233" s="20"/>
      <c r="X233" s="20"/>
      <c r="Y233" s="20"/>
      <c r="Z233" s="20"/>
      <c r="AA233" s="20"/>
    </row>
    <row r="234" spans="4:27" ht="17.25" customHeight="1">
      <c r="D234" s="57"/>
      <c r="E234" s="57"/>
      <c r="F234" s="58"/>
      <c r="G234" s="58"/>
      <c r="H234" s="58"/>
      <c r="I234" s="58"/>
      <c r="J234" s="31"/>
      <c r="K234" s="20"/>
      <c r="L234" s="20"/>
      <c r="M234" s="20"/>
      <c r="N234" s="20"/>
      <c r="O234" s="20"/>
      <c r="P234" s="20"/>
      <c r="Q234" s="20"/>
      <c r="R234" s="20"/>
      <c r="S234" s="20"/>
      <c r="T234" s="20"/>
      <c r="U234" s="20"/>
      <c r="V234" s="20"/>
      <c r="W234" s="20"/>
      <c r="X234" s="20"/>
      <c r="Y234" s="20"/>
      <c r="Z234" s="20"/>
      <c r="AA234" s="20"/>
    </row>
    <row r="235" spans="4:27" ht="17.25" customHeight="1">
      <c r="D235" s="57"/>
      <c r="E235" s="57"/>
      <c r="F235" s="58"/>
      <c r="G235" s="58"/>
      <c r="H235" s="58"/>
      <c r="I235" s="58"/>
      <c r="J235" s="31"/>
      <c r="K235" s="20"/>
      <c r="L235" s="20"/>
      <c r="M235" s="20"/>
      <c r="N235" s="20"/>
      <c r="O235" s="20"/>
      <c r="P235" s="20"/>
      <c r="Q235" s="20"/>
      <c r="R235" s="20"/>
      <c r="S235" s="20"/>
      <c r="T235" s="20"/>
      <c r="U235" s="20"/>
      <c r="V235" s="20"/>
      <c r="W235" s="20"/>
      <c r="X235" s="20"/>
      <c r="Y235" s="20"/>
      <c r="Z235" s="20"/>
      <c r="AA235" s="20"/>
    </row>
    <row r="236" spans="4:27" ht="17.25" customHeight="1">
      <c r="D236" s="57"/>
      <c r="E236" s="57"/>
      <c r="F236" s="58"/>
      <c r="G236" s="58"/>
      <c r="H236" s="58"/>
      <c r="I236" s="58"/>
      <c r="J236" s="31"/>
      <c r="K236" s="20"/>
      <c r="L236" s="20"/>
      <c r="M236" s="20"/>
      <c r="N236" s="20"/>
      <c r="O236" s="20"/>
      <c r="P236" s="20"/>
      <c r="Q236" s="20"/>
      <c r="R236" s="20"/>
      <c r="S236" s="20"/>
      <c r="T236" s="20"/>
      <c r="U236" s="20"/>
      <c r="V236" s="20"/>
      <c r="W236" s="20"/>
      <c r="X236" s="20"/>
      <c r="Y236" s="20"/>
      <c r="Z236" s="20"/>
      <c r="AA236" s="20"/>
    </row>
    <row r="237" spans="4:27" ht="17.25" customHeight="1">
      <c r="D237" s="57"/>
      <c r="E237" s="57"/>
      <c r="F237" s="58"/>
      <c r="G237" s="58"/>
      <c r="H237" s="58"/>
      <c r="I237" s="58"/>
      <c r="J237" s="31"/>
      <c r="K237" s="20"/>
      <c r="L237" s="20"/>
      <c r="M237" s="20"/>
      <c r="N237" s="20"/>
      <c r="O237" s="20"/>
      <c r="P237" s="20"/>
      <c r="Q237" s="20"/>
      <c r="R237" s="20"/>
      <c r="S237" s="20"/>
      <c r="T237" s="20"/>
      <c r="U237" s="20"/>
      <c r="V237" s="20"/>
      <c r="W237" s="20"/>
      <c r="X237" s="20"/>
      <c r="Y237" s="20"/>
      <c r="Z237" s="20"/>
      <c r="AA237" s="20"/>
    </row>
    <row r="238" spans="4:27" ht="17.25" customHeight="1">
      <c r="D238" s="57"/>
      <c r="E238" s="57"/>
      <c r="F238" s="58"/>
      <c r="G238" s="58"/>
      <c r="H238" s="58"/>
      <c r="I238" s="58"/>
      <c r="J238" s="31"/>
      <c r="K238" s="20"/>
      <c r="L238" s="20"/>
      <c r="M238" s="20"/>
      <c r="N238" s="20"/>
      <c r="O238" s="20"/>
      <c r="P238" s="20"/>
      <c r="Q238" s="20"/>
      <c r="R238" s="20"/>
      <c r="S238" s="20"/>
      <c r="T238" s="20"/>
      <c r="U238" s="20"/>
      <c r="V238" s="20"/>
      <c r="W238" s="20"/>
      <c r="X238" s="20"/>
      <c r="Y238" s="20"/>
      <c r="Z238" s="20"/>
      <c r="AA238" s="20"/>
    </row>
    <row r="239" spans="4:27" ht="17.25" customHeight="1">
      <c r="D239" s="57"/>
      <c r="E239" s="57"/>
      <c r="F239" s="58"/>
      <c r="G239" s="58"/>
      <c r="H239" s="58"/>
      <c r="I239" s="58"/>
      <c r="J239" s="31"/>
      <c r="K239" s="20"/>
      <c r="L239" s="20"/>
      <c r="M239" s="20"/>
      <c r="N239" s="20"/>
      <c r="O239" s="20"/>
      <c r="P239" s="20"/>
      <c r="Q239" s="20"/>
      <c r="R239" s="20"/>
      <c r="S239" s="20"/>
      <c r="T239" s="20"/>
      <c r="U239" s="20"/>
      <c r="V239" s="20"/>
      <c r="W239" s="20"/>
      <c r="X239" s="20"/>
      <c r="Y239" s="20"/>
      <c r="Z239" s="20"/>
      <c r="AA239" s="20"/>
    </row>
    <row r="240" spans="4:27" ht="17.25" customHeight="1">
      <c r="D240" s="57"/>
      <c r="E240" s="57"/>
      <c r="F240" s="58"/>
      <c r="G240" s="58"/>
      <c r="H240" s="58"/>
      <c r="I240" s="58"/>
      <c r="J240" s="31"/>
      <c r="K240" s="20"/>
      <c r="L240" s="20"/>
      <c r="M240" s="20"/>
      <c r="N240" s="20"/>
      <c r="O240" s="20"/>
      <c r="P240" s="20"/>
      <c r="Q240" s="20"/>
      <c r="R240" s="20"/>
      <c r="S240" s="20"/>
      <c r="T240" s="20"/>
      <c r="U240" s="20"/>
      <c r="V240" s="20"/>
      <c r="W240" s="20"/>
      <c r="X240" s="20"/>
      <c r="Y240" s="20"/>
      <c r="Z240" s="20"/>
      <c r="AA240" s="20"/>
    </row>
    <row r="241" spans="4:27" ht="17.25" customHeight="1">
      <c r="D241" s="57"/>
      <c r="E241" s="57"/>
      <c r="F241" s="58"/>
      <c r="G241" s="58"/>
      <c r="H241" s="58"/>
      <c r="I241" s="58"/>
      <c r="J241" s="31"/>
      <c r="K241" s="20"/>
      <c r="L241" s="20"/>
      <c r="M241" s="20"/>
      <c r="N241" s="20"/>
      <c r="O241" s="20"/>
      <c r="P241" s="20"/>
      <c r="Q241" s="20"/>
      <c r="R241" s="20"/>
      <c r="S241" s="20"/>
      <c r="T241" s="20"/>
      <c r="U241" s="20"/>
      <c r="V241" s="20"/>
      <c r="W241" s="20"/>
      <c r="X241" s="20"/>
      <c r="Y241" s="20"/>
      <c r="Z241" s="20"/>
      <c r="AA241" s="20"/>
    </row>
    <row r="242" spans="4:27" ht="17.25" customHeight="1">
      <c r="D242" s="57"/>
      <c r="E242" s="57"/>
      <c r="F242" s="58"/>
      <c r="G242" s="58"/>
      <c r="H242" s="58"/>
      <c r="I242" s="58"/>
      <c r="J242" s="31"/>
      <c r="K242" s="20"/>
      <c r="L242" s="20"/>
      <c r="M242" s="20"/>
      <c r="N242" s="20"/>
      <c r="O242" s="20"/>
      <c r="P242" s="20"/>
      <c r="Q242" s="20"/>
      <c r="R242" s="20"/>
      <c r="S242" s="20"/>
      <c r="T242" s="20"/>
      <c r="U242" s="20"/>
      <c r="V242" s="20"/>
      <c r="W242" s="20"/>
      <c r="X242" s="20"/>
      <c r="Y242" s="20"/>
      <c r="Z242" s="20"/>
      <c r="AA242" s="20"/>
    </row>
    <row r="243" spans="4:27" ht="17.25" customHeight="1">
      <c r="D243" s="57"/>
      <c r="E243" s="57"/>
      <c r="F243" s="58"/>
      <c r="G243" s="58"/>
      <c r="H243" s="58"/>
      <c r="I243" s="58"/>
      <c r="J243" s="31"/>
      <c r="K243" s="20"/>
      <c r="L243" s="20"/>
      <c r="M243" s="20"/>
      <c r="N243" s="20"/>
      <c r="O243" s="20"/>
      <c r="P243" s="20"/>
      <c r="Q243" s="20"/>
      <c r="R243" s="20"/>
      <c r="S243" s="20"/>
      <c r="T243" s="20"/>
      <c r="U243" s="20"/>
      <c r="V243" s="20"/>
      <c r="W243" s="20"/>
      <c r="X243" s="20"/>
      <c r="Y243" s="20"/>
      <c r="Z243" s="20"/>
      <c r="AA243" s="20"/>
    </row>
    <row r="244" spans="4:27" ht="17.25" customHeight="1">
      <c r="D244" s="57"/>
      <c r="E244" s="57"/>
      <c r="F244" s="58"/>
      <c r="G244" s="58"/>
      <c r="H244" s="58"/>
      <c r="I244" s="58"/>
      <c r="J244" s="31"/>
      <c r="K244" s="20"/>
      <c r="L244" s="20"/>
      <c r="M244" s="20"/>
      <c r="N244" s="20"/>
      <c r="O244" s="20"/>
      <c r="P244" s="20"/>
      <c r="Q244" s="20"/>
      <c r="R244" s="20"/>
      <c r="S244" s="20"/>
      <c r="T244" s="20"/>
      <c r="U244" s="20"/>
      <c r="V244" s="20"/>
      <c r="W244" s="20"/>
      <c r="X244" s="20"/>
      <c r="Y244" s="20"/>
      <c r="Z244" s="20"/>
      <c r="AA244" s="20"/>
    </row>
    <row r="245" spans="4:27" ht="17.25" customHeight="1">
      <c r="D245" s="57"/>
      <c r="E245" s="57"/>
      <c r="F245" s="58"/>
      <c r="G245" s="58"/>
      <c r="H245" s="58"/>
      <c r="I245" s="58"/>
      <c r="J245" s="31"/>
      <c r="K245" s="20"/>
      <c r="L245" s="20"/>
      <c r="M245" s="20"/>
      <c r="N245" s="20"/>
      <c r="O245" s="20"/>
      <c r="P245" s="20"/>
      <c r="Q245" s="20"/>
      <c r="R245" s="20"/>
      <c r="S245" s="20"/>
      <c r="T245" s="20"/>
      <c r="U245" s="20"/>
      <c r="V245" s="20"/>
      <c r="W245" s="20"/>
      <c r="X245" s="20"/>
      <c r="Y245" s="20"/>
      <c r="Z245" s="20"/>
      <c r="AA245" s="20"/>
    </row>
    <row r="246" spans="4:27" ht="17.25" customHeight="1">
      <c r="D246" s="57"/>
      <c r="E246" s="57"/>
      <c r="F246" s="58"/>
      <c r="G246" s="58"/>
      <c r="H246" s="58"/>
      <c r="I246" s="58"/>
      <c r="J246" s="31"/>
      <c r="K246" s="20"/>
      <c r="L246" s="20"/>
      <c r="M246" s="20"/>
      <c r="N246" s="20"/>
      <c r="O246" s="20"/>
      <c r="P246" s="20"/>
      <c r="Q246" s="20"/>
      <c r="R246" s="20"/>
      <c r="S246" s="20"/>
      <c r="T246" s="20"/>
      <c r="U246" s="20"/>
      <c r="V246" s="20"/>
      <c r="W246" s="20"/>
      <c r="X246" s="20"/>
      <c r="Y246" s="20"/>
      <c r="Z246" s="20"/>
      <c r="AA246" s="20"/>
    </row>
    <row r="247" spans="4:27" ht="17.25" customHeight="1">
      <c r="D247" s="57"/>
      <c r="E247" s="57"/>
      <c r="F247" s="58"/>
      <c r="G247" s="58"/>
      <c r="H247" s="58"/>
      <c r="I247" s="58"/>
      <c r="J247" s="31"/>
      <c r="K247" s="20"/>
      <c r="L247" s="20"/>
      <c r="M247" s="20"/>
      <c r="N247" s="20"/>
      <c r="O247" s="20"/>
      <c r="P247" s="20"/>
      <c r="Q247" s="20"/>
      <c r="R247" s="20"/>
      <c r="S247" s="20"/>
      <c r="T247" s="20"/>
      <c r="U247" s="20"/>
      <c r="V247" s="20"/>
      <c r="W247" s="20"/>
      <c r="X247" s="20"/>
      <c r="Y247" s="20"/>
      <c r="Z247" s="20"/>
      <c r="AA247" s="20"/>
    </row>
    <row r="248" spans="4:27" ht="17.25" customHeight="1">
      <c r="D248" s="57"/>
      <c r="E248" s="57"/>
      <c r="F248" s="58"/>
      <c r="G248" s="58"/>
      <c r="H248" s="58"/>
      <c r="I248" s="58"/>
      <c r="J248" s="31"/>
      <c r="K248" s="20"/>
      <c r="L248" s="20"/>
      <c r="M248" s="20"/>
      <c r="N248" s="20"/>
      <c r="O248" s="20"/>
      <c r="P248" s="20"/>
      <c r="Q248" s="20"/>
      <c r="R248" s="20"/>
      <c r="S248" s="20"/>
      <c r="T248" s="20"/>
      <c r="U248" s="20"/>
      <c r="V248" s="20"/>
      <c r="W248" s="20"/>
      <c r="X248" s="20"/>
      <c r="Y248" s="20"/>
      <c r="Z248" s="20"/>
      <c r="AA248" s="20"/>
    </row>
    <row r="249" spans="4:27" ht="17.25" customHeight="1">
      <c r="D249" s="57"/>
      <c r="E249" s="57"/>
      <c r="F249" s="58"/>
      <c r="G249" s="58"/>
      <c r="H249" s="58"/>
      <c r="I249" s="58"/>
      <c r="J249" s="31"/>
      <c r="K249" s="20"/>
      <c r="L249" s="20"/>
      <c r="M249" s="20"/>
      <c r="N249" s="20"/>
      <c r="O249" s="20"/>
      <c r="P249" s="20"/>
      <c r="Q249" s="20"/>
      <c r="R249" s="20"/>
      <c r="S249" s="20"/>
      <c r="T249" s="20"/>
      <c r="U249" s="20"/>
      <c r="V249" s="20"/>
      <c r="W249" s="20"/>
      <c r="X249" s="20"/>
      <c r="Y249" s="20"/>
      <c r="Z249" s="20"/>
      <c r="AA249" s="20"/>
    </row>
    <row r="250" spans="4:27" ht="17.25" customHeight="1">
      <c r="D250" s="57"/>
      <c r="E250" s="57"/>
      <c r="F250" s="58"/>
      <c r="G250" s="58"/>
      <c r="H250" s="58"/>
      <c r="I250" s="58"/>
      <c r="J250" s="31"/>
      <c r="K250" s="20"/>
      <c r="L250" s="20"/>
      <c r="M250" s="20"/>
      <c r="N250" s="20"/>
      <c r="O250" s="20"/>
      <c r="P250" s="20"/>
      <c r="Q250" s="20"/>
      <c r="R250" s="20"/>
      <c r="S250" s="20"/>
      <c r="T250" s="20"/>
      <c r="U250" s="20"/>
      <c r="V250" s="20"/>
      <c r="W250" s="20"/>
      <c r="X250" s="20"/>
      <c r="Y250" s="20"/>
      <c r="Z250" s="20"/>
      <c r="AA250" s="20"/>
    </row>
    <row r="251" spans="4:27" ht="17.25" customHeight="1">
      <c r="D251" s="57"/>
      <c r="E251" s="57"/>
      <c r="F251" s="58"/>
      <c r="G251" s="58"/>
      <c r="H251" s="58"/>
      <c r="I251" s="58"/>
      <c r="J251" s="31"/>
      <c r="K251" s="20"/>
      <c r="L251" s="20"/>
      <c r="M251" s="20"/>
      <c r="N251" s="20"/>
      <c r="O251" s="20"/>
      <c r="P251" s="20"/>
      <c r="Q251" s="20"/>
      <c r="R251" s="20"/>
      <c r="S251" s="20"/>
      <c r="T251" s="20"/>
      <c r="U251" s="20"/>
      <c r="V251" s="20"/>
      <c r="W251" s="20"/>
      <c r="X251" s="20"/>
      <c r="Y251" s="20"/>
      <c r="Z251" s="20"/>
      <c r="AA251" s="20"/>
    </row>
    <row r="252" spans="4:27" ht="17.25" customHeight="1">
      <c r="D252" s="57"/>
      <c r="E252" s="57"/>
      <c r="F252" s="58"/>
      <c r="G252" s="58"/>
      <c r="H252" s="58"/>
      <c r="I252" s="58"/>
      <c r="J252" s="31"/>
      <c r="K252" s="20"/>
      <c r="L252" s="20"/>
      <c r="M252" s="20"/>
      <c r="N252" s="20"/>
      <c r="O252" s="20"/>
      <c r="P252" s="20"/>
      <c r="Q252" s="20"/>
      <c r="R252" s="20"/>
      <c r="S252" s="20"/>
      <c r="T252" s="20"/>
      <c r="U252" s="20"/>
      <c r="V252" s="20"/>
      <c r="W252" s="20"/>
      <c r="X252" s="20"/>
      <c r="Y252" s="20"/>
      <c r="Z252" s="20"/>
      <c r="AA252" s="20"/>
    </row>
    <row r="253" spans="4:27" ht="17.25" customHeight="1">
      <c r="D253" s="57"/>
      <c r="E253" s="57"/>
      <c r="F253" s="58"/>
      <c r="G253" s="58"/>
      <c r="H253" s="58"/>
      <c r="I253" s="58"/>
      <c r="J253" s="31"/>
      <c r="K253" s="20"/>
      <c r="L253" s="20"/>
      <c r="M253" s="20"/>
      <c r="N253" s="20"/>
      <c r="O253" s="20"/>
      <c r="P253" s="20"/>
      <c r="Q253" s="20"/>
      <c r="R253" s="20"/>
      <c r="S253" s="20"/>
      <c r="T253" s="20"/>
      <c r="U253" s="20"/>
      <c r="V253" s="20"/>
      <c r="W253" s="20"/>
      <c r="X253" s="20"/>
      <c r="Y253" s="20"/>
      <c r="Z253" s="20"/>
      <c r="AA253" s="20"/>
    </row>
    <row r="254" spans="4:27" ht="17.25" customHeight="1">
      <c r="D254" s="57"/>
      <c r="E254" s="57"/>
      <c r="F254" s="58"/>
      <c r="G254" s="58"/>
      <c r="H254" s="58"/>
      <c r="I254" s="58"/>
      <c r="J254" s="31"/>
      <c r="K254" s="20"/>
      <c r="L254" s="20"/>
      <c r="M254" s="20"/>
      <c r="N254" s="20"/>
      <c r="O254" s="20"/>
      <c r="P254" s="20"/>
      <c r="Q254" s="20"/>
      <c r="R254" s="20"/>
      <c r="S254" s="20"/>
      <c r="T254" s="20"/>
      <c r="U254" s="20"/>
      <c r="V254" s="20"/>
      <c r="W254" s="20"/>
      <c r="X254" s="20"/>
      <c r="Y254" s="20"/>
      <c r="Z254" s="20"/>
      <c r="AA254" s="20"/>
    </row>
    <row r="255" spans="4:27" ht="17.25" customHeight="1">
      <c r="D255" s="57"/>
      <c r="E255" s="57"/>
      <c r="F255" s="58"/>
      <c r="G255" s="58"/>
      <c r="H255" s="58"/>
      <c r="I255" s="58"/>
      <c r="J255" s="31"/>
      <c r="K255" s="20"/>
      <c r="L255" s="20"/>
      <c r="M255" s="20"/>
      <c r="N255" s="20"/>
      <c r="O255" s="20"/>
      <c r="P255" s="20"/>
      <c r="Q255" s="20"/>
      <c r="R255" s="20"/>
      <c r="S255" s="20"/>
      <c r="T255" s="20"/>
      <c r="U255" s="20"/>
      <c r="V255" s="20"/>
      <c r="W255" s="20"/>
      <c r="X255" s="20"/>
      <c r="Y255" s="20"/>
      <c r="Z255" s="20"/>
      <c r="AA255" s="20"/>
    </row>
    <row r="256" spans="4:27" ht="17.25" customHeight="1">
      <c r="D256" s="57"/>
      <c r="E256" s="57"/>
      <c r="F256" s="58"/>
      <c r="G256" s="58"/>
      <c r="H256" s="58"/>
      <c r="I256" s="58"/>
      <c r="J256" s="31"/>
      <c r="K256" s="20"/>
      <c r="L256" s="20"/>
      <c r="M256" s="20"/>
      <c r="N256" s="20"/>
      <c r="O256" s="20"/>
      <c r="P256" s="20"/>
      <c r="Q256" s="20"/>
      <c r="R256" s="20"/>
      <c r="S256" s="20"/>
      <c r="T256" s="20"/>
      <c r="U256" s="20"/>
      <c r="V256" s="20"/>
      <c r="W256" s="20"/>
      <c r="X256" s="20"/>
      <c r="Y256" s="20"/>
      <c r="Z256" s="20"/>
      <c r="AA256" s="20"/>
    </row>
    <row r="257" spans="4:27" ht="17.25" customHeight="1">
      <c r="D257" s="57"/>
      <c r="E257" s="57"/>
      <c r="F257" s="58"/>
      <c r="G257" s="58"/>
      <c r="H257" s="58"/>
      <c r="I257" s="58"/>
      <c r="J257" s="31"/>
      <c r="K257" s="20"/>
      <c r="L257" s="20"/>
      <c r="M257" s="20"/>
      <c r="N257" s="20"/>
      <c r="O257" s="20"/>
      <c r="P257" s="20"/>
      <c r="Q257" s="20"/>
      <c r="R257" s="20"/>
      <c r="S257" s="20"/>
      <c r="T257" s="20"/>
      <c r="U257" s="20"/>
      <c r="V257" s="20"/>
      <c r="W257" s="20"/>
      <c r="X257" s="20"/>
      <c r="Y257" s="20"/>
      <c r="Z257" s="20"/>
      <c r="AA257" s="20"/>
    </row>
    <row r="258" spans="4:27" ht="17.25" customHeight="1">
      <c r="D258" s="57"/>
      <c r="E258" s="57"/>
      <c r="F258" s="58"/>
      <c r="G258" s="58"/>
      <c r="H258" s="58"/>
      <c r="I258" s="58"/>
      <c r="J258" s="31"/>
      <c r="K258" s="20"/>
      <c r="L258" s="20"/>
      <c r="M258" s="20"/>
      <c r="N258" s="20"/>
      <c r="O258" s="20"/>
      <c r="P258" s="20"/>
      <c r="Q258" s="20"/>
      <c r="R258" s="20"/>
      <c r="S258" s="20"/>
      <c r="T258" s="20"/>
      <c r="U258" s="20"/>
      <c r="V258" s="20"/>
      <c r="W258" s="20"/>
      <c r="X258" s="20"/>
      <c r="Y258" s="20"/>
      <c r="Z258" s="20"/>
      <c r="AA258" s="20"/>
    </row>
    <row r="259" spans="4:27" ht="17.25" customHeight="1">
      <c r="D259" s="57"/>
      <c r="E259" s="57"/>
      <c r="F259" s="58"/>
      <c r="G259" s="58"/>
      <c r="H259" s="58"/>
      <c r="I259" s="58"/>
      <c r="J259" s="31"/>
      <c r="K259" s="20"/>
      <c r="L259" s="20"/>
      <c r="M259" s="20"/>
      <c r="N259" s="20"/>
      <c r="O259" s="20"/>
      <c r="P259" s="20"/>
      <c r="Q259" s="20"/>
      <c r="R259" s="20"/>
      <c r="S259" s="20"/>
      <c r="T259" s="20"/>
      <c r="U259" s="20"/>
      <c r="V259" s="20"/>
      <c r="W259" s="20"/>
      <c r="X259" s="20"/>
      <c r="Y259" s="20"/>
      <c r="Z259" s="20"/>
      <c r="AA259" s="20"/>
    </row>
    <row r="260" spans="4:27" ht="17.25" customHeight="1">
      <c r="D260" s="57"/>
      <c r="E260" s="57"/>
      <c r="F260" s="58"/>
      <c r="G260" s="58"/>
      <c r="H260" s="58"/>
      <c r="I260" s="58"/>
      <c r="J260" s="31"/>
      <c r="K260" s="20"/>
      <c r="L260" s="20"/>
      <c r="M260" s="20"/>
      <c r="N260" s="20"/>
      <c r="O260" s="20"/>
      <c r="P260" s="20"/>
      <c r="Q260" s="20"/>
      <c r="R260" s="20"/>
      <c r="S260" s="20"/>
      <c r="T260" s="20"/>
      <c r="U260" s="20"/>
      <c r="V260" s="20"/>
      <c r="W260" s="20"/>
      <c r="X260" s="20"/>
      <c r="Y260" s="20"/>
      <c r="Z260" s="20"/>
      <c r="AA260" s="20"/>
    </row>
    <row r="261" spans="4:27" ht="17.25" customHeight="1">
      <c r="D261" s="57"/>
      <c r="E261" s="57"/>
      <c r="F261" s="58"/>
      <c r="G261" s="58"/>
      <c r="H261" s="58"/>
      <c r="I261" s="58"/>
      <c r="J261" s="31"/>
      <c r="K261" s="20"/>
      <c r="L261" s="20"/>
      <c r="M261" s="20"/>
      <c r="N261" s="20"/>
      <c r="O261" s="20"/>
      <c r="P261" s="20"/>
      <c r="Q261" s="20"/>
      <c r="R261" s="20"/>
      <c r="S261" s="20"/>
      <c r="T261" s="20"/>
      <c r="U261" s="20"/>
      <c r="V261" s="20"/>
      <c r="W261" s="20"/>
      <c r="X261" s="20"/>
      <c r="Y261" s="20"/>
      <c r="Z261" s="20"/>
      <c r="AA261" s="20"/>
    </row>
    <row r="262" spans="4:27" ht="17.25" customHeight="1">
      <c r="D262" s="57"/>
      <c r="E262" s="57"/>
      <c r="F262" s="58"/>
      <c r="G262" s="58"/>
      <c r="H262" s="58"/>
      <c r="I262" s="58"/>
      <c r="J262" s="31"/>
      <c r="K262" s="20"/>
      <c r="L262" s="20"/>
      <c r="M262" s="20"/>
      <c r="N262" s="20"/>
      <c r="O262" s="20"/>
      <c r="P262" s="20"/>
      <c r="Q262" s="20"/>
      <c r="R262" s="20"/>
      <c r="S262" s="20"/>
      <c r="T262" s="20"/>
      <c r="U262" s="20"/>
      <c r="V262" s="20"/>
      <c r="W262" s="20"/>
      <c r="X262" s="20"/>
      <c r="Y262" s="20"/>
      <c r="Z262" s="20"/>
      <c r="AA262" s="20"/>
    </row>
    <row r="263" spans="4:27" ht="17.25" customHeight="1">
      <c r="D263" s="57"/>
      <c r="E263" s="57"/>
      <c r="F263" s="58"/>
      <c r="G263" s="58"/>
      <c r="H263" s="58"/>
      <c r="I263" s="58"/>
      <c r="J263" s="31"/>
      <c r="K263" s="20"/>
      <c r="L263" s="20"/>
      <c r="M263" s="20"/>
      <c r="N263" s="20"/>
      <c r="O263" s="20"/>
      <c r="P263" s="20"/>
      <c r="Q263" s="20"/>
      <c r="R263" s="20"/>
      <c r="S263" s="20"/>
      <c r="T263" s="20"/>
      <c r="U263" s="20"/>
      <c r="V263" s="20"/>
      <c r="W263" s="20"/>
      <c r="X263" s="20"/>
      <c r="Y263" s="20"/>
      <c r="Z263" s="20"/>
      <c r="AA263" s="20"/>
    </row>
    <row r="264" spans="4:27" ht="17.25" customHeight="1">
      <c r="D264" s="57"/>
      <c r="E264" s="57"/>
      <c r="F264" s="58"/>
      <c r="G264" s="58"/>
      <c r="H264" s="58"/>
      <c r="I264" s="58"/>
      <c r="J264" s="31"/>
      <c r="K264" s="20"/>
      <c r="L264" s="20"/>
      <c r="M264" s="20"/>
      <c r="N264" s="20"/>
      <c r="O264" s="20"/>
      <c r="P264" s="20"/>
      <c r="Q264" s="20"/>
      <c r="R264" s="20"/>
      <c r="S264" s="20"/>
      <c r="T264" s="20"/>
      <c r="U264" s="20"/>
      <c r="V264" s="20"/>
      <c r="W264" s="20"/>
      <c r="X264" s="20"/>
      <c r="Y264" s="20"/>
      <c r="Z264" s="20"/>
      <c r="AA264" s="20"/>
    </row>
    <row r="265" spans="4:27" ht="17.25" customHeight="1">
      <c r="D265" s="57"/>
      <c r="E265" s="57"/>
      <c r="F265" s="58"/>
      <c r="G265" s="58"/>
      <c r="H265" s="58"/>
      <c r="I265" s="58"/>
      <c r="J265" s="31"/>
      <c r="K265" s="20"/>
      <c r="L265" s="20"/>
      <c r="M265" s="20"/>
      <c r="N265" s="20"/>
      <c r="O265" s="20"/>
      <c r="P265" s="20"/>
      <c r="Q265" s="20"/>
      <c r="R265" s="20"/>
      <c r="S265" s="20"/>
      <c r="T265" s="20"/>
      <c r="U265" s="20"/>
      <c r="V265" s="20"/>
      <c r="W265" s="20"/>
      <c r="X265" s="20"/>
      <c r="Y265" s="20"/>
      <c r="Z265" s="20"/>
      <c r="AA265" s="20"/>
    </row>
    <row r="266" spans="4:27" ht="17.25" customHeight="1">
      <c r="D266" s="57"/>
      <c r="E266" s="57"/>
      <c r="F266" s="58"/>
      <c r="G266" s="58"/>
      <c r="H266" s="58"/>
      <c r="I266" s="58"/>
      <c r="J266" s="31"/>
      <c r="K266" s="20"/>
      <c r="L266" s="20"/>
      <c r="M266" s="20"/>
      <c r="N266" s="20"/>
      <c r="O266" s="20"/>
      <c r="P266" s="20"/>
      <c r="Q266" s="20"/>
      <c r="R266" s="20"/>
      <c r="S266" s="20"/>
      <c r="T266" s="20"/>
      <c r="U266" s="20"/>
      <c r="V266" s="20"/>
      <c r="W266" s="20"/>
      <c r="X266" s="20"/>
      <c r="Y266" s="20"/>
      <c r="Z266" s="20"/>
      <c r="AA266" s="20"/>
    </row>
    <row r="267" spans="4:27" ht="17.25" customHeight="1">
      <c r="D267" s="57"/>
      <c r="E267" s="57"/>
      <c r="F267" s="58"/>
      <c r="G267" s="58"/>
      <c r="H267" s="58"/>
      <c r="I267" s="58"/>
      <c r="J267" s="31"/>
      <c r="K267" s="20"/>
      <c r="L267" s="20"/>
      <c r="M267" s="20"/>
      <c r="N267" s="20"/>
      <c r="O267" s="20"/>
      <c r="P267" s="20"/>
      <c r="Q267" s="20"/>
      <c r="R267" s="20"/>
      <c r="S267" s="20"/>
      <c r="T267" s="20"/>
      <c r="U267" s="20"/>
      <c r="V267" s="20"/>
      <c r="W267" s="20"/>
      <c r="X267" s="20"/>
      <c r="Y267" s="20"/>
      <c r="Z267" s="20"/>
      <c r="AA267" s="20"/>
    </row>
    <row r="268" spans="4:27" ht="17.25" customHeight="1">
      <c r="D268" s="57"/>
      <c r="E268" s="57"/>
      <c r="F268" s="58"/>
      <c r="G268" s="58"/>
      <c r="H268" s="58"/>
      <c r="I268" s="58"/>
      <c r="J268" s="31"/>
      <c r="K268" s="20"/>
      <c r="L268" s="20"/>
      <c r="M268" s="20"/>
      <c r="N268" s="20"/>
      <c r="O268" s="20"/>
      <c r="P268" s="20"/>
      <c r="Q268" s="20"/>
      <c r="R268" s="20"/>
      <c r="S268" s="20"/>
      <c r="T268" s="20"/>
      <c r="U268" s="20"/>
      <c r="V268" s="20"/>
      <c r="W268" s="20"/>
      <c r="X268" s="20"/>
      <c r="Y268" s="20"/>
      <c r="Z268" s="20"/>
      <c r="AA268" s="20"/>
    </row>
    <row r="269" spans="4:27" ht="17.25" customHeight="1">
      <c r="D269" s="57"/>
      <c r="E269" s="57"/>
      <c r="F269" s="58"/>
      <c r="G269" s="58"/>
      <c r="H269" s="58"/>
      <c r="I269" s="58"/>
      <c r="J269" s="31"/>
      <c r="K269" s="20"/>
      <c r="L269" s="20"/>
      <c r="M269" s="20"/>
      <c r="N269" s="20"/>
      <c r="O269" s="20"/>
      <c r="P269" s="20"/>
      <c r="Q269" s="20"/>
      <c r="R269" s="20"/>
      <c r="S269" s="20"/>
      <c r="T269" s="20"/>
      <c r="U269" s="20"/>
      <c r="V269" s="20"/>
      <c r="W269" s="20"/>
      <c r="X269" s="20"/>
      <c r="Y269" s="20"/>
      <c r="Z269" s="20"/>
      <c r="AA269" s="20"/>
    </row>
    <row r="270" spans="4:27" ht="17.25" customHeight="1">
      <c r="D270" s="57"/>
      <c r="E270" s="57"/>
      <c r="F270" s="58"/>
      <c r="G270" s="58"/>
      <c r="H270" s="58"/>
      <c r="I270" s="58"/>
      <c r="J270" s="31"/>
      <c r="K270" s="20"/>
      <c r="L270" s="20"/>
      <c r="M270" s="20"/>
      <c r="N270" s="20"/>
      <c r="O270" s="20"/>
      <c r="P270" s="20"/>
      <c r="Q270" s="20"/>
      <c r="R270" s="20"/>
      <c r="S270" s="20"/>
      <c r="T270" s="20"/>
      <c r="U270" s="20"/>
      <c r="V270" s="20"/>
      <c r="W270" s="20"/>
      <c r="X270" s="20"/>
      <c r="Y270" s="20"/>
      <c r="Z270" s="20"/>
      <c r="AA270" s="20"/>
    </row>
    <row r="271" spans="4:27" ht="17.25" customHeight="1">
      <c r="D271" s="57"/>
      <c r="E271" s="57"/>
      <c r="F271" s="58"/>
      <c r="G271" s="58"/>
      <c r="H271" s="58"/>
      <c r="I271" s="58"/>
      <c r="J271" s="31"/>
      <c r="K271" s="20"/>
      <c r="L271" s="20"/>
      <c r="M271" s="20"/>
      <c r="N271" s="20"/>
      <c r="O271" s="20"/>
      <c r="P271" s="20"/>
      <c r="Q271" s="20"/>
      <c r="R271" s="20"/>
      <c r="S271" s="20"/>
      <c r="T271" s="20"/>
      <c r="U271" s="20"/>
      <c r="V271" s="20"/>
      <c r="W271" s="20"/>
      <c r="X271" s="20"/>
      <c r="Y271" s="20"/>
      <c r="Z271" s="20"/>
      <c r="AA271" s="20"/>
    </row>
    <row r="272" spans="4:27" ht="17.25" customHeight="1">
      <c r="D272" s="57"/>
      <c r="E272" s="57"/>
      <c r="F272" s="58"/>
      <c r="G272" s="58"/>
      <c r="H272" s="58"/>
      <c r="I272" s="58"/>
      <c r="J272" s="31"/>
      <c r="K272" s="20"/>
      <c r="L272" s="20"/>
      <c r="M272" s="20"/>
      <c r="N272" s="20"/>
      <c r="O272" s="20"/>
      <c r="P272" s="20"/>
      <c r="Q272" s="20"/>
      <c r="R272" s="20"/>
      <c r="S272" s="20"/>
      <c r="T272" s="20"/>
      <c r="U272" s="20"/>
      <c r="V272" s="20"/>
      <c r="W272" s="20"/>
      <c r="X272" s="20"/>
      <c r="Y272" s="20"/>
      <c r="Z272" s="20"/>
      <c r="AA272" s="20"/>
    </row>
    <row r="273" spans="4:27" ht="17.25" customHeight="1">
      <c r="D273" s="57"/>
      <c r="E273" s="57"/>
      <c r="F273" s="58"/>
      <c r="G273" s="58"/>
      <c r="H273" s="58"/>
      <c r="I273" s="58"/>
      <c r="J273" s="31"/>
      <c r="K273" s="20"/>
      <c r="L273" s="20"/>
      <c r="M273" s="20"/>
      <c r="N273" s="20"/>
      <c r="O273" s="20"/>
      <c r="P273" s="20"/>
      <c r="Q273" s="20"/>
      <c r="R273" s="20"/>
      <c r="S273" s="20"/>
      <c r="T273" s="20"/>
      <c r="U273" s="20"/>
      <c r="V273" s="20"/>
      <c r="W273" s="20"/>
      <c r="X273" s="20"/>
      <c r="Y273" s="20"/>
      <c r="Z273" s="20"/>
      <c r="AA273" s="20"/>
    </row>
    <row r="274" spans="4:27" ht="17.25" customHeight="1">
      <c r="D274" s="57"/>
      <c r="E274" s="57"/>
      <c r="F274" s="58"/>
      <c r="G274" s="58"/>
      <c r="H274" s="58"/>
      <c r="I274" s="58"/>
      <c r="J274" s="31"/>
      <c r="K274" s="20"/>
      <c r="L274" s="20"/>
      <c r="M274" s="20"/>
      <c r="N274" s="20"/>
      <c r="O274" s="20"/>
      <c r="P274" s="20"/>
      <c r="Q274" s="20"/>
      <c r="R274" s="20"/>
      <c r="S274" s="20"/>
      <c r="T274" s="20"/>
      <c r="U274" s="20"/>
      <c r="V274" s="20"/>
      <c r="W274" s="20"/>
      <c r="X274" s="20"/>
      <c r="Y274" s="20"/>
      <c r="Z274" s="20"/>
      <c r="AA274" s="20"/>
    </row>
    <row r="275" spans="4:27" ht="17.25" customHeight="1">
      <c r="D275" s="57"/>
      <c r="E275" s="57"/>
      <c r="F275" s="58"/>
      <c r="G275" s="58"/>
      <c r="H275" s="58"/>
      <c r="I275" s="58"/>
      <c r="J275" s="31"/>
      <c r="K275" s="20"/>
      <c r="L275" s="20"/>
      <c r="M275" s="20"/>
      <c r="N275" s="20"/>
      <c r="O275" s="20"/>
      <c r="P275" s="20"/>
      <c r="Q275" s="20"/>
      <c r="R275" s="20"/>
      <c r="S275" s="20"/>
      <c r="T275" s="20"/>
      <c r="U275" s="20"/>
      <c r="V275" s="20"/>
      <c r="W275" s="20"/>
      <c r="X275" s="20"/>
      <c r="Y275" s="20"/>
      <c r="Z275" s="20"/>
      <c r="AA275" s="20"/>
    </row>
    <row r="276" spans="4:27" ht="17.25" customHeight="1">
      <c r="D276" s="57"/>
      <c r="E276" s="57"/>
      <c r="F276" s="58"/>
      <c r="G276" s="58"/>
      <c r="H276" s="58"/>
      <c r="I276" s="58"/>
      <c r="J276" s="31"/>
      <c r="K276" s="20"/>
      <c r="L276" s="20"/>
      <c r="M276" s="20"/>
      <c r="N276" s="20"/>
      <c r="O276" s="20"/>
      <c r="P276" s="20"/>
      <c r="Q276" s="20"/>
      <c r="R276" s="20"/>
      <c r="S276" s="20"/>
      <c r="T276" s="20"/>
      <c r="U276" s="20"/>
      <c r="V276" s="20"/>
      <c r="W276" s="20"/>
      <c r="X276" s="20"/>
      <c r="Y276" s="20"/>
      <c r="Z276" s="20"/>
      <c r="AA276" s="20"/>
    </row>
    <row r="277" spans="4:27" ht="17.25" customHeight="1">
      <c r="D277" s="57"/>
      <c r="E277" s="57"/>
      <c r="F277" s="58"/>
      <c r="G277" s="58"/>
      <c r="H277" s="58"/>
      <c r="I277" s="58"/>
      <c r="J277" s="31"/>
      <c r="K277" s="20"/>
      <c r="L277" s="20"/>
      <c r="M277" s="20"/>
      <c r="N277" s="20"/>
      <c r="O277" s="20"/>
      <c r="P277" s="20"/>
      <c r="Q277" s="20"/>
      <c r="R277" s="20"/>
      <c r="S277" s="20"/>
      <c r="T277" s="20"/>
      <c r="U277" s="20"/>
      <c r="V277" s="20"/>
      <c r="W277" s="20"/>
      <c r="X277" s="20"/>
      <c r="Y277" s="20"/>
      <c r="Z277" s="20"/>
      <c r="AA277" s="20"/>
    </row>
    <row r="278" spans="4:27" ht="17.25" customHeight="1">
      <c r="D278" s="57"/>
      <c r="E278" s="57"/>
      <c r="F278" s="58"/>
      <c r="G278" s="58"/>
      <c r="H278" s="58"/>
      <c r="I278" s="58"/>
      <c r="J278" s="31"/>
      <c r="K278" s="20"/>
      <c r="L278" s="20"/>
      <c r="M278" s="20"/>
      <c r="N278" s="20"/>
      <c r="O278" s="20"/>
      <c r="P278" s="20"/>
      <c r="Q278" s="20"/>
      <c r="R278" s="20"/>
      <c r="S278" s="20"/>
      <c r="T278" s="20"/>
      <c r="U278" s="20"/>
      <c r="V278" s="20"/>
      <c r="W278" s="20"/>
      <c r="X278" s="20"/>
      <c r="Y278" s="20"/>
      <c r="Z278" s="20"/>
      <c r="AA278" s="20"/>
    </row>
    <row r="279" spans="4:27" ht="17.25" customHeight="1">
      <c r="D279" s="57"/>
      <c r="E279" s="57"/>
      <c r="F279" s="58"/>
      <c r="G279" s="58"/>
      <c r="H279" s="58"/>
      <c r="I279" s="58"/>
      <c r="J279" s="31"/>
      <c r="K279" s="20"/>
      <c r="L279" s="20"/>
      <c r="M279" s="20"/>
      <c r="N279" s="20"/>
      <c r="O279" s="20"/>
      <c r="P279" s="20"/>
      <c r="Q279" s="20"/>
      <c r="R279" s="20"/>
      <c r="S279" s="20"/>
      <c r="T279" s="20"/>
      <c r="U279" s="20"/>
      <c r="V279" s="20"/>
      <c r="W279" s="20"/>
      <c r="X279" s="20"/>
      <c r="Y279" s="20"/>
      <c r="Z279" s="20"/>
      <c r="AA279" s="20"/>
    </row>
    <row r="280" spans="4:27" ht="17.25" customHeight="1">
      <c r="D280" s="57"/>
      <c r="E280" s="57"/>
      <c r="F280" s="58"/>
      <c r="G280" s="58"/>
      <c r="H280" s="58"/>
      <c r="I280" s="58"/>
      <c r="J280" s="31"/>
      <c r="K280" s="20"/>
      <c r="L280" s="20"/>
      <c r="M280" s="20"/>
      <c r="N280" s="20"/>
      <c r="O280" s="20"/>
      <c r="P280" s="20"/>
      <c r="Q280" s="20"/>
      <c r="R280" s="20"/>
      <c r="S280" s="20"/>
      <c r="T280" s="20"/>
      <c r="U280" s="20"/>
      <c r="V280" s="20"/>
      <c r="W280" s="20"/>
      <c r="X280" s="20"/>
      <c r="Y280" s="20"/>
      <c r="Z280" s="20"/>
      <c r="AA280" s="20"/>
    </row>
    <row r="281" spans="4:27" ht="17.25" customHeight="1">
      <c r="D281" s="57"/>
      <c r="E281" s="57"/>
      <c r="F281" s="58"/>
      <c r="G281" s="58"/>
      <c r="H281" s="58"/>
      <c r="I281" s="58"/>
      <c r="J281" s="31"/>
      <c r="K281" s="20"/>
      <c r="L281" s="20"/>
      <c r="M281" s="20"/>
      <c r="N281" s="20"/>
      <c r="O281" s="20"/>
      <c r="P281" s="20"/>
      <c r="Q281" s="20"/>
      <c r="R281" s="20"/>
      <c r="S281" s="20"/>
      <c r="T281" s="20"/>
      <c r="U281" s="20"/>
      <c r="V281" s="20"/>
      <c r="W281" s="20"/>
      <c r="X281" s="20"/>
      <c r="Y281" s="20"/>
      <c r="Z281" s="20"/>
      <c r="AA281" s="20"/>
    </row>
    <row r="282" spans="4:27" ht="17.25" customHeight="1">
      <c r="D282" s="57"/>
      <c r="E282" s="57"/>
      <c r="F282" s="58"/>
      <c r="G282" s="58"/>
      <c r="H282" s="58"/>
      <c r="I282" s="58"/>
      <c r="J282" s="31"/>
      <c r="K282" s="20"/>
      <c r="L282" s="20"/>
      <c r="M282" s="20"/>
      <c r="N282" s="20"/>
      <c r="O282" s="20"/>
      <c r="P282" s="20"/>
      <c r="Q282" s="20"/>
      <c r="R282" s="20"/>
      <c r="S282" s="20"/>
      <c r="T282" s="20"/>
      <c r="U282" s="20"/>
      <c r="V282" s="20"/>
      <c r="W282" s="20"/>
      <c r="X282" s="20"/>
      <c r="Y282" s="20"/>
      <c r="Z282" s="20"/>
      <c r="AA282" s="20"/>
    </row>
    <row r="283" spans="4:27" ht="17.25" customHeight="1">
      <c r="D283" s="57"/>
      <c r="E283" s="57"/>
      <c r="F283" s="58"/>
      <c r="G283" s="58"/>
      <c r="H283" s="58"/>
      <c r="I283" s="58"/>
      <c r="J283" s="31"/>
      <c r="K283" s="20"/>
      <c r="L283" s="20"/>
      <c r="M283" s="20"/>
      <c r="N283" s="20"/>
      <c r="O283" s="20"/>
      <c r="P283" s="20"/>
      <c r="Q283" s="20"/>
      <c r="R283" s="20"/>
      <c r="S283" s="20"/>
      <c r="T283" s="20"/>
      <c r="U283" s="20"/>
      <c r="V283" s="20"/>
      <c r="W283" s="20"/>
      <c r="X283" s="20"/>
      <c r="Y283" s="20"/>
      <c r="Z283" s="20"/>
      <c r="AA283" s="20"/>
    </row>
    <row r="284" spans="4:27" ht="17.25" customHeight="1">
      <c r="D284" s="57"/>
      <c r="E284" s="57"/>
      <c r="F284" s="58"/>
      <c r="G284" s="58"/>
      <c r="H284" s="58"/>
      <c r="I284" s="58"/>
      <c r="J284" s="31"/>
      <c r="K284" s="20"/>
      <c r="L284" s="20"/>
      <c r="M284" s="20"/>
      <c r="N284" s="20"/>
      <c r="O284" s="20"/>
      <c r="P284" s="20"/>
      <c r="Q284" s="20"/>
      <c r="R284" s="20"/>
      <c r="S284" s="20"/>
      <c r="T284" s="20"/>
      <c r="U284" s="20"/>
      <c r="V284" s="20"/>
      <c r="W284" s="20"/>
      <c r="X284" s="20"/>
      <c r="Y284" s="20"/>
      <c r="Z284" s="20"/>
      <c r="AA284" s="20"/>
    </row>
    <row r="285" spans="4:27" ht="17.25" customHeight="1">
      <c r="D285" s="57"/>
      <c r="E285" s="57"/>
      <c r="F285" s="58"/>
      <c r="G285" s="58"/>
      <c r="H285" s="58"/>
      <c r="I285" s="58"/>
      <c r="J285" s="31"/>
      <c r="K285" s="20"/>
      <c r="L285" s="20"/>
      <c r="M285" s="20"/>
      <c r="N285" s="20"/>
      <c r="O285" s="20"/>
      <c r="P285" s="20"/>
      <c r="Q285" s="20"/>
      <c r="R285" s="20"/>
      <c r="S285" s="20"/>
      <c r="T285" s="20"/>
      <c r="U285" s="20"/>
      <c r="V285" s="20"/>
      <c r="W285" s="20"/>
      <c r="X285" s="20"/>
      <c r="Y285" s="20"/>
      <c r="Z285" s="20"/>
      <c r="AA285" s="20"/>
    </row>
    <row r="286" spans="4:27" ht="17.25" customHeight="1">
      <c r="D286" s="57"/>
      <c r="E286" s="57"/>
      <c r="F286" s="58"/>
      <c r="G286" s="58"/>
      <c r="H286" s="58"/>
      <c r="I286" s="58"/>
      <c r="J286" s="31"/>
      <c r="K286" s="20"/>
      <c r="L286" s="20"/>
      <c r="M286" s="20"/>
      <c r="N286" s="20"/>
      <c r="O286" s="20"/>
      <c r="P286" s="20"/>
      <c r="Q286" s="20"/>
      <c r="R286" s="20"/>
      <c r="S286" s="20"/>
      <c r="T286" s="20"/>
      <c r="U286" s="20"/>
      <c r="V286" s="20"/>
      <c r="W286" s="20"/>
      <c r="X286" s="20"/>
      <c r="Y286" s="20"/>
      <c r="Z286" s="20"/>
      <c r="AA286" s="20"/>
    </row>
    <row r="287" spans="4:27" ht="17.25" customHeight="1">
      <c r="D287" s="57"/>
      <c r="E287" s="57"/>
      <c r="F287" s="58"/>
      <c r="G287" s="58"/>
      <c r="H287" s="58"/>
      <c r="I287" s="58"/>
      <c r="J287" s="31"/>
      <c r="K287" s="20"/>
      <c r="L287" s="20"/>
      <c r="M287" s="20"/>
      <c r="N287" s="20"/>
      <c r="O287" s="20"/>
      <c r="P287" s="20"/>
      <c r="Q287" s="20"/>
      <c r="R287" s="20"/>
      <c r="S287" s="20"/>
      <c r="T287" s="20"/>
      <c r="U287" s="20"/>
      <c r="V287" s="20"/>
      <c r="W287" s="20"/>
      <c r="X287" s="20"/>
      <c r="Y287" s="20"/>
      <c r="Z287" s="20"/>
      <c r="AA287" s="20"/>
    </row>
    <row r="288" spans="4:27" ht="17.25" customHeight="1">
      <c r="D288" s="57"/>
      <c r="E288" s="57"/>
      <c r="F288" s="58"/>
      <c r="G288" s="58"/>
      <c r="H288" s="58"/>
      <c r="I288" s="58"/>
      <c r="J288" s="31"/>
      <c r="K288" s="20"/>
      <c r="L288" s="20"/>
      <c r="M288" s="20"/>
      <c r="N288" s="20"/>
      <c r="O288" s="20"/>
      <c r="P288" s="20"/>
      <c r="Q288" s="20"/>
      <c r="R288" s="20"/>
      <c r="S288" s="20"/>
      <c r="T288" s="20"/>
      <c r="U288" s="20"/>
      <c r="V288" s="20"/>
      <c r="W288" s="20"/>
      <c r="X288" s="20"/>
      <c r="Y288" s="20"/>
      <c r="Z288" s="20"/>
      <c r="AA288" s="20"/>
    </row>
    <row r="289" spans="4:27" ht="17.25" customHeight="1">
      <c r="D289" s="57"/>
      <c r="E289" s="57"/>
      <c r="F289" s="58"/>
      <c r="G289" s="58"/>
      <c r="H289" s="58"/>
      <c r="I289" s="58"/>
      <c r="J289" s="31"/>
      <c r="K289" s="20"/>
      <c r="L289" s="20"/>
      <c r="M289" s="20"/>
      <c r="N289" s="20"/>
      <c r="O289" s="20"/>
      <c r="P289" s="20"/>
      <c r="Q289" s="20"/>
      <c r="R289" s="20"/>
      <c r="S289" s="20"/>
      <c r="T289" s="20"/>
      <c r="U289" s="20"/>
      <c r="V289" s="20"/>
      <c r="W289" s="20"/>
      <c r="X289" s="20"/>
      <c r="Y289" s="20"/>
      <c r="Z289" s="20"/>
      <c r="AA289" s="20"/>
    </row>
    <row r="290" spans="4:27" ht="17.25" customHeight="1">
      <c r="D290" s="57"/>
      <c r="E290" s="57"/>
      <c r="F290" s="58"/>
      <c r="G290" s="58"/>
      <c r="H290" s="58"/>
      <c r="I290" s="58"/>
      <c r="J290" s="31"/>
      <c r="K290" s="20"/>
      <c r="L290" s="20"/>
      <c r="M290" s="20"/>
      <c r="N290" s="20"/>
      <c r="O290" s="20"/>
      <c r="P290" s="20"/>
      <c r="Q290" s="20"/>
      <c r="R290" s="20"/>
      <c r="S290" s="20"/>
      <c r="T290" s="20"/>
      <c r="U290" s="20"/>
      <c r="V290" s="20"/>
      <c r="W290" s="20"/>
      <c r="X290" s="20"/>
      <c r="Y290" s="20"/>
      <c r="Z290" s="20"/>
      <c r="AA290" s="20"/>
    </row>
    <row r="291" spans="4:27" ht="17.25" customHeight="1">
      <c r="D291" s="57"/>
      <c r="E291" s="57"/>
      <c r="F291" s="58"/>
      <c r="G291" s="58"/>
      <c r="H291" s="58"/>
      <c r="I291" s="58"/>
      <c r="J291" s="31"/>
      <c r="K291" s="20"/>
      <c r="L291" s="20"/>
      <c r="M291" s="20"/>
      <c r="N291" s="20"/>
      <c r="O291" s="20"/>
      <c r="P291" s="20"/>
      <c r="Q291" s="20"/>
      <c r="R291" s="20"/>
      <c r="S291" s="20"/>
      <c r="T291" s="20"/>
      <c r="U291" s="20"/>
      <c r="V291" s="20"/>
      <c r="W291" s="20"/>
      <c r="X291" s="20"/>
      <c r="Y291" s="20"/>
      <c r="Z291" s="20"/>
      <c r="AA291" s="20"/>
    </row>
    <row r="292" spans="4:27" ht="17.25" customHeight="1">
      <c r="D292" s="57"/>
      <c r="E292" s="57"/>
      <c r="F292" s="58"/>
      <c r="G292" s="58"/>
      <c r="H292" s="58"/>
      <c r="I292" s="58"/>
      <c r="J292" s="31"/>
      <c r="K292" s="20"/>
      <c r="L292" s="20"/>
      <c r="M292" s="20"/>
      <c r="N292" s="20"/>
      <c r="O292" s="20"/>
      <c r="P292" s="20"/>
      <c r="Q292" s="20"/>
      <c r="R292" s="20"/>
      <c r="S292" s="20"/>
      <c r="T292" s="20"/>
      <c r="U292" s="20"/>
      <c r="V292" s="20"/>
      <c r="W292" s="20"/>
      <c r="X292" s="20"/>
      <c r="Y292" s="20"/>
      <c r="Z292" s="20"/>
      <c r="AA292" s="20"/>
    </row>
    <row r="293" spans="4:27" ht="17.25" customHeight="1">
      <c r="D293" s="57"/>
      <c r="E293" s="57"/>
      <c r="F293" s="58"/>
      <c r="G293" s="58"/>
      <c r="H293" s="58"/>
      <c r="I293" s="58"/>
      <c r="J293" s="31"/>
      <c r="K293" s="20"/>
      <c r="L293" s="20"/>
      <c r="M293" s="20"/>
      <c r="N293" s="20"/>
      <c r="O293" s="20"/>
      <c r="P293" s="20"/>
      <c r="Q293" s="20"/>
      <c r="R293" s="20"/>
      <c r="S293" s="20"/>
      <c r="T293" s="20"/>
      <c r="U293" s="20"/>
      <c r="V293" s="20"/>
      <c r="W293" s="20"/>
      <c r="X293" s="20"/>
      <c r="Y293" s="20"/>
      <c r="Z293" s="20"/>
      <c r="AA293" s="20"/>
    </row>
    <row r="294" spans="4:27" ht="17.25" customHeight="1">
      <c r="D294" s="57"/>
      <c r="E294" s="57"/>
      <c r="F294" s="58"/>
      <c r="G294" s="58"/>
      <c r="H294" s="58"/>
      <c r="I294" s="58"/>
      <c r="J294" s="31"/>
      <c r="K294" s="20"/>
      <c r="L294" s="20"/>
      <c r="M294" s="20"/>
      <c r="N294" s="20"/>
      <c r="O294" s="20"/>
      <c r="P294" s="20"/>
      <c r="Q294" s="20"/>
      <c r="R294" s="20"/>
      <c r="S294" s="20"/>
      <c r="T294" s="20"/>
      <c r="U294" s="20"/>
      <c r="V294" s="20"/>
      <c r="W294" s="20"/>
      <c r="X294" s="20"/>
      <c r="Y294" s="20"/>
      <c r="Z294" s="20"/>
      <c r="AA294" s="20"/>
    </row>
    <row r="295" spans="4:27" ht="17.25" customHeight="1">
      <c r="D295" s="57"/>
      <c r="E295" s="57"/>
      <c r="F295" s="58"/>
      <c r="G295" s="58"/>
      <c r="H295" s="58"/>
      <c r="I295" s="58"/>
      <c r="J295" s="31"/>
      <c r="K295" s="20"/>
      <c r="L295" s="20"/>
      <c r="M295" s="20"/>
      <c r="N295" s="20"/>
      <c r="O295" s="20"/>
      <c r="P295" s="20"/>
      <c r="Q295" s="20"/>
      <c r="R295" s="20"/>
      <c r="S295" s="20"/>
      <c r="T295" s="20"/>
      <c r="U295" s="20"/>
      <c r="V295" s="20"/>
      <c r="W295" s="20"/>
      <c r="X295" s="20"/>
      <c r="Y295" s="20"/>
      <c r="Z295" s="20"/>
      <c r="AA295" s="20"/>
    </row>
    <row r="296" spans="4:27" ht="17.25" customHeight="1">
      <c r="D296" s="57"/>
      <c r="E296" s="57"/>
      <c r="F296" s="58"/>
      <c r="G296" s="58"/>
      <c r="H296" s="58"/>
      <c r="I296" s="58"/>
      <c r="J296" s="31"/>
      <c r="K296" s="20"/>
      <c r="L296" s="20"/>
      <c r="M296" s="20"/>
      <c r="N296" s="20"/>
      <c r="O296" s="20"/>
      <c r="P296" s="20"/>
      <c r="Q296" s="20"/>
      <c r="R296" s="20"/>
      <c r="S296" s="20"/>
      <c r="T296" s="20"/>
      <c r="U296" s="20"/>
      <c r="V296" s="20"/>
      <c r="W296" s="20"/>
      <c r="X296" s="20"/>
      <c r="Y296" s="20"/>
      <c r="Z296" s="20"/>
      <c r="AA296" s="20"/>
    </row>
    <row r="297" spans="4:27" ht="17.25" customHeight="1">
      <c r="D297" s="57"/>
      <c r="E297" s="57"/>
      <c r="F297" s="58"/>
      <c r="G297" s="58"/>
      <c r="H297" s="58"/>
      <c r="I297" s="58"/>
      <c r="J297" s="31"/>
      <c r="K297" s="20"/>
      <c r="L297" s="20"/>
      <c r="M297" s="20"/>
      <c r="N297" s="20"/>
      <c r="O297" s="20"/>
      <c r="P297" s="20"/>
      <c r="Q297" s="20"/>
      <c r="R297" s="20"/>
      <c r="S297" s="20"/>
      <c r="T297" s="20"/>
      <c r="U297" s="20"/>
      <c r="V297" s="20"/>
      <c r="W297" s="20"/>
      <c r="X297" s="20"/>
      <c r="Y297" s="20"/>
      <c r="Z297" s="20"/>
      <c r="AA297" s="20"/>
    </row>
    <row r="298" spans="4:27" ht="17.25" customHeight="1">
      <c r="D298" s="57"/>
      <c r="E298" s="57"/>
      <c r="F298" s="58"/>
      <c r="G298" s="58"/>
      <c r="H298" s="58"/>
      <c r="I298" s="58"/>
      <c r="J298" s="31"/>
      <c r="K298" s="20"/>
      <c r="L298" s="20"/>
      <c r="M298" s="20"/>
      <c r="N298" s="20"/>
      <c r="O298" s="20"/>
      <c r="P298" s="20"/>
      <c r="Q298" s="20"/>
      <c r="R298" s="20"/>
      <c r="S298" s="20"/>
      <c r="T298" s="20"/>
      <c r="U298" s="20"/>
      <c r="V298" s="20"/>
      <c r="W298" s="20"/>
      <c r="X298" s="20"/>
      <c r="Y298" s="20"/>
      <c r="Z298" s="20"/>
      <c r="AA298" s="20"/>
    </row>
    <row r="299" spans="4:27" ht="17.25" customHeight="1">
      <c r="D299" s="57"/>
      <c r="E299" s="57"/>
      <c r="F299" s="58"/>
      <c r="G299" s="58"/>
      <c r="H299" s="58"/>
      <c r="I299" s="58"/>
      <c r="J299" s="31"/>
      <c r="K299" s="20"/>
      <c r="L299" s="20"/>
      <c r="M299" s="20"/>
      <c r="N299" s="20"/>
      <c r="O299" s="20"/>
      <c r="P299" s="20"/>
      <c r="Q299" s="20"/>
      <c r="R299" s="20"/>
      <c r="S299" s="20"/>
      <c r="T299" s="20"/>
      <c r="U299" s="20"/>
      <c r="V299" s="20"/>
      <c r="W299" s="20"/>
      <c r="X299" s="20"/>
      <c r="Y299" s="20"/>
      <c r="Z299" s="20"/>
      <c r="AA299" s="20"/>
    </row>
    <row r="300" spans="4:27" ht="17.25" customHeight="1">
      <c r="D300" s="57"/>
      <c r="E300" s="57"/>
      <c r="F300" s="58"/>
      <c r="G300" s="58"/>
      <c r="H300" s="58"/>
      <c r="I300" s="58"/>
      <c r="J300" s="31"/>
      <c r="K300" s="20"/>
      <c r="L300" s="20"/>
      <c r="M300" s="20"/>
      <c r="N300" s="20"/>
      <c r="O300" s="20"/>
      <c r="P300" s="20"/>
      <c r="Q300" s="20"/>
      <c r="R300" s="20"/>
      <c r="S300" s="20"/>
      <c r="T300" s="20"/>
      <c r="U300" s="20"/>
      <c r="V300" s="20"/>
      <c r="W300" s="20"/>
      <c r="X300" s="20"/>
      <c r="Y300" s="20"/>
      <c r="Z300" s="20"/>
      <c r="AA300" s="20"/>
    </row>
    <row r="301" spans="4:27" ht="17.25" customHeight="1">
      <c r="D301" s="57"/>
      <c r="E301" s="57"/>
      <c r="F301" s="58"/>
      <c r="G301" s="58"/>
      <c r="H301" s="58"/>
      <c r="I301" s="58"/>
      <c r="J301" s="31"/>
      <c r="K301" s="20"/>
      <c r="L301" s="20"/>
      <c r="M301" s="20"/>
      <c r="N301" s="20"/>
      <c r="O301" s="20"/>
      <c r="P301" s="20"/>
      <c r="Q301" s="20"/>
      <c r="R301" s="20"/>
      <c r="S301" s="20"/>
      <c r="T301" s="20"/>
      <c r="U301" s="20"/>
      <c r="V301" s="20"/>
      <c r="W301" s="20"/>
      <c r="X301" s="20"/>
      <c r="Y301" s="20"/>
      <c r="Z301" s="20"/>
      <c r="AA301" s="20"/>
    </row>
    <row r="302" spans="4:27" ht="17.25" customHeight="1">
      <c r="D302" s="57"/>
      <c r="E302" s="57"/>
      <c r="F302" s="58"/>
      <c r="G302" s="58"/>
      <c r="H302" s="58"/>
      <c r="I302" s="58"/>
      <c r="J302" s="31"/>
      <c r="K302" s="20"/>
      <c r="L302" s="20"/>
      <c r="M302" s="20"/>
      <c r="N302" s="20"/>
      <c r="O302" s="20"/>
      <c r="P302" s="20"/>
      <c r="Q302" s="20"/>
      <c r="R302" s="20"/>
      <c r="S302" s="20"/>
      <c r="T302" s="20"/>
      <c r="U302" s="20"/>
      <c r="V302" s="20"/>
      <c r="W302" s="20"/>
      <c r="X302" s="20"/>
      <c r="Y302" s="20"/>
      <c r="Z302" s="20"/>
      <c r="AA302" s="20"/>
    </row>
    <row r="303" spans="4:27" ht="17.25" customHeight="1">
      <c r="D303" s="57"/>
      <c r="E303" s="57"/>
      <c r="F303" s="58"/>
      <c r="G303" s="58"/>
      <c r="H303" s="58"/>
      <c r="I303" s="58"/>
      <c r="J303" s="31"/>
      <c r="K303" s="20"/>
      <c r="L303" s="20"/>
      <c r="M303" s="20"/>
      <c r="N303" s="20"/>
      <c r="O303" s="20"/>
      <c r="P303" s="20"/>
      <c r="Q303" s="20"/>
      <c r="R303" s="20"/>
      <c r="S303" s="20"/>
      <c r="T303" s="20"/>
      <c r="U303" s="20"/>
      <c r="V303" s="20"/>
      <c r="W303" s="20"/>
      <c r="X303" s="20"/>
      <c r="Y303" s="20"/>
      <c r="Z303" s="20"/>
      <c r="AA303" s="20"/>
    </row>
    <row r="304" spans="4:27" ht="17.25" customHeight="1">
      <c r="D304" s="57"/>
      <c r="E304" s="57"/>
      <c r="F304" s="58"/>
      <c r="G304" s="58"/>
      <c r="H304" s="58"/>
      <c r="I304" s="58"/>
      <c r="J304" s="31"/>
      <c r="K304" s="20"/>
      <c r="L304" s="20"/>
      <c r="M304" s="20"/>
      <c r="N304" s="20"/>
      <c r="O304" s="20"/>
      <c r="P304" s="20"/>
      <c r="Q304" s="20"/>
      <c r="R304" s="20"/>
      <c r="S304" s="20"/>
      <c r="T304" s="20"/>
      <c r="U304" s="20"/>
      <c r="V304" s="20"/>
      <c r="W304" s="20"/>
      <c r="X304" s="20"/>
      <c r="Y304" s="20"/>
      <c r="Z304" s="20"/>
      <c r="AA304" s="20"/>
    </row>
    <row r="305" spans="4:27" ht="17.25" customHeight="1">
      <c r="D305" s="57"/>
      <c r="E305" s="57"/>
      <c r="F305" s="58"/>
      <c r="G305" s="58"/>
      <c r="H305" s="58"/>
      <c r="I305" s="58"/>
      <c r="J305" s="31"/>
      <c r="K305" s="20"/>
      <c r="L305" s="20"/>
      <c r="M305" s="20"/>
      <c r="N305" s="20"/>
      <c r="O305" s="20"/>
      <c r="P305" s="20"/>
      <c r="Q305" s="20"/>
      <c r="R305" s="20"/>
      <c r="S305" s="20"/>
      <c r="T305" s="20"/>
      <c r="U305" s="20"/>
      <c r="V305" s="20"/>
      <c r="W305" s="20"/>
      <c r="X305" s="20"/>
      <c r="Y305" s="20"/>
      <c r="Z305" s="20"/>
      <c r="AA305" s="20"/>
    </row>
    <row r="306" spans="4:27" ht="17.25" customHeight="1">
      <c r="D306" s="57"/>
      <c r="E306" s="57"/>
      <c r="F306" s="58"/>
      <c r="G306" s="58"/>
      <c r="H306" s="58"/>
      <c r="I306" s="58"/>
      <c r="J306" s="31"/>
      <c r="K306" s="20"/>
      <c r="L306" s="20"/>
      <c r="M306" s="20"/>
      <c r="N306" s="20"/>
      <c r="O306" s="20"/>
      <c r="P306" s="20"/>
      <c r="Q306" s="20"/>
      <c r="R306" s="20"/>
      <c r="S306" s="20"/>
      <c r="T306" s="20"/>
      <c r="U306" s="20"/>
      <c r="V306" s="20"/>
      <c r="W306" s="20"/>
      <c r="X306" s="20"/>
      <c r="Y306" s="20"/>
      <c r="Z306" s="20"/>
      <c r="AA306" s="20"/>
    </row>
    <row r="307" spans="4:27" ht="17.25" customHeight="1">
      <c r="D307" s="57"/>
      <c r="E307" s="57"/>
      <c r="F307" s="58"/>
      <c r="G307" s="58"/>
      <c r="H307" s="58"/>
      <c r="I307" s="58"/>
      <c r="J307" s="31"/>
      <c r="K307" s="20"/>
      <c r="L307" s="20"/>
      <c r="M307" s="20"/>
      <c r="N307" s="20"/>
      <c r="O307" s="20"/>
      <c r="P307" s="20"/>
      <c r="Q307" s="20"/>
      <c r="R307" s="20"/>
      <c r="S307" s="20"/>
      <c r="T307" s="20"/>
      <c r="U307" s="20"/>
      <c r="V307" s="20"/>
      <c r="W307" s="20"/>
      <c r="X307" s="20"/>
      <c r="Y307" s="20"/>
      <c r="Z307" s="20"/>
      <c r="AA307" s="20"/>
    </row>
    <row r="308" spans="4:27" ht="17.25" customHeight="1">
      <c r="D308" s="57"/>
      <c r="E308" s="57"/>
      <c r="F308" s="58"/>
      <c r="G308" s="58"/>
      <c r="H308" s="58"/>
      <c r="I308" s="58"/>
      <c r="J308" s="31"/>
      <c r="K308" s="20"/>
      <c r="L308" s="20"/>
      <c r="M308" s="20"/>
      <c r="N308" s="20"/>
      <c r="O308" s="20"/>
      <c r="P308" s="20"/>
      <c r="Q308" s="20"/>
      <c r="R308" s="20"/>
      <c r="S308" s="20"/>
      <c r="T308" s="20"/>
      <c r="U308" s="20"/>
      <c r="V308" s="20"/>
      <c r="W308" s="20"/>
      <c r="X308" s="20"/>
      <c r="Y308" s="20"/>
      <c r="Z308" s="20"/>
      <c r="AA308" s="20"/>
    </row>
    <row r="309" spans="4:27" ht="17.25" customHeight="1">
      <c r="D309" s="57"/>
      <c r="E309" s="57"/>
      <c r="F309" s="58"/>
      <c r="G309" s="58"/>
      <c r="H309" s="58"/>
      <c r="I309" s="58"/>
      <c r="J309" s="31"/>
      <c r="K309" s="20"/>
      <c r="L309" s="20"/>
      <c r="M309" s="20"/>
      <c r="N309" s="20"/>
      <c r="O309" s="20"/>
      <c r="P309" s="20"/>
      <c r="Q309" s="20"/>
      <c r="R309" s="20"/>
      <c r="S309" s="20"/>
      <c r="T309" s="20"/>
      <c r="U309" s="20"/>
      <c r="V309" s="20"/>
      <c r="W309" s="20"/>
      <c r="X309" s="20"/>
      <c r="Y309" s="20"/>
      <c r="Z309" s="20"/>
      <c r="AA309" s="20"/>
    </row>
    <row r="310" spans="4:27" ht="17.25" customHeight="1">
      <c r="D310" s="57"/>
      <c r="E310" s="57"/>
      <c r="F310" s="58"/>
      <c r="G310" s="58"/>
      <c r="H310" s="58"/>
      <c r="I310" s="58"/>
      <c r="J310" s="31"/>
      <c r="K310" s="20"/>
      <c r="L310" s="20"/>
      <c r="M310" s="20"/>
      <c r="N310" s="20"/>
      <c r="O310" s="20"/>
      <c r="P310" s="20"/>
      <c r="Q310" s="20"/>
      <c r="R310" s="20"/>
      <c r="S310" s="20"/>
      <c r="T310" s="20"/>
      <c r="U310" s="20"/>
      <c r="V310" s="20"/>
      <c r="W310" s="20"/>
      <c r="X310" s="20"/>
      <c r="Y310" s="20"/>
      <c r="Z310" s="20"/>
      <c r="AA310" s="20"/>
    </row>
    <row r="311" spans="4:27" ht="17.25" customHeight="1">
      <c r="D311" s="57"/>
      <c r="E311" s="57"/>
      <c r="F311" s="58"/>
      <c r="G311" s="58"/>
      <c r="H311" s="58"/>
      <c r="I311" s="58"/>
      <c r="J311" s="31"/>
      <c r="K311" s="20"/>
      <c r="L311" s="20"/>
      <c r="M311" s="20"/>
      <c r="N311" s="20"/>
      <c r="O311" s="20"/>
      <c r="P311" s="20"/>
      <c r="Q311" s="20"/>
      <c r="R311" s="20"/>
      <c r="S311" s="20"/>
      <c r="T311" s="20"/>
      <c r="U311" s="20"/>
      <c r="V311" s="20"/>
      <c r="W311" s="20"/>
      <c r="X311" s="20"/>
      <c r="Y311" s="20"/>
      <c r="Z311" s="20"/>
      <c r="AA311" s="20"/>
    </row>
    <row r="312" spans="4:27" ht="17.25" customHeight="1">
      <c r="D312" s="57"/>
      <c r="E312" s="57"/>
      <c r="F312" s="58"/>
      <c r="G312" s="58"/>
      <c r="H312" s="58"/>
      <c r="I312" s="58"/>
      <c r="J312" s="31"/>
      <c r="K312" s="20"/>
      <c r="L312" s="20"/>
      <c r="M312" s="20"/>
      <c r="N312" s="20"/>
      <c r="O312" s="20"/>
      <c r="P312" s="20"/>
      <c r="Q312" s="20"/>
      <c r="R312" s="20"/>
      <c r="S312" s="20"/>
      <c r="T312" s="20"/>
      <c r="U312" s="20"/>
      <c r="V312" s="20"/>
      <c r="W312" s="20"/>
      <c r="X312" s="20"/>
      <c r="Y312" s="20"/>
      <c r="Z312" s="20"/>
      <c r="AA312" s="20"/>
    </row>
    <row r="313" spans="4:27" ht="17.25" customHeight="1">
      <c r="D313" s="57"/>
      <c r="E313" s="57"/>
      <c r="F313" s="58"/>
      <c r="G313" s="58"/>
      <c r="H313" s="58"/>
      <c r="I313" s="58"/>
      <c r="J313" s="31"/>
      <c r="K313" s="20"/>
      <c r="L313" s="20"/>
      <c r="M313" s="20"/>
      <c r="N313" s="20"/>
      <c r="O313" s="20"/>
      <c r="P313" s="20"/>
      <c r="Q313" s="20"/>
      <c r="R313" s="20"/>
      <c r="S313" s="20"/>
      <c r="T313" s="20"/>
      <c r="U313" s="20"/>
      <c r="V313" s="20"/>
      <c r="W313" s="20"/>
      <c r="X313" s="20"/>
      <c r="Y313" s="20"/>
      <c r="Z313" s="20"/>
      <c r="AA313" s="20"/>
    </row>
    <row r="314" spans="4:27" ht="17.25" customHeight="1">
      <c r="D314" s="57"/>
      <c r="E314" s="57"/>
      <c r="F314" s="58"/>
      <c r="G314" s="58"/>
      <c r="H314" s="58"/>
      <c r="I314" s="58"/>
      <c r="J314" s="31"/>
      <c r="K314" s="20"/>
      <c r="L314" s="20"/>
      <c r="M314" s="20"/>
      <c r="N314" s="20"/>
      <c r="O314" s="20"/>
      <c r="P314" s="20"/>
      <c r="Q314" s="20"/>
      <c r="R314" s="20"/>
      <c r="S314" s="20"/>
      <c r="T314" s="20"/>
      <c r="U314" s="20"/>
      <c r="V314" s="20"/>
      <c r="W314" s="20"/>
      <c r="X314" s="20"/>
      <c r="Y314" s="20"/>
      <c r="Z314" s="20"/>
      <c r="AA314" s="20"/>
    </row>
    <row r="315" spans="4:27" ht="17.25" customHeight="1">
      <c r="D315" s="57"/>
      <c r="E315" s="57"/>
      <c r="F315" s="58"/>
      <c r="G315" s="58"/>
      <c r="H315" s="58"/>
      <c r="I315" s="58"/>
      <c r="J315" s="31"/>
      <c r="K315" s="20"/>
      <c r="L315" s="20"/>
      <c r="M315" s="20"/>
      <c r="N315" s="20"/>
      <c r="O315" s="20"/>
      <c r="P315" s="20"/>
      <c r="Q315" s="20"/>
      <c r="R315" s="20"/>
      <c r="S315" s="20"/>
      <c r="T315" s="20"/>
      <c r="U315" s="20"/>
      <c r="V315" s="20"/>
      <c r="W315" s="20"/>
      <c r="X315" s="20"/>
      <c r="Y315" s="20"/>
      <c r="Z315" s="20"/>
      <c r="AA315" s="20"/>
    </row>
    <row r="316" spans="4:27" ht="17.25" customHeight="1">
      <c r="D316" s="57"/>
      <c r="E316" s="57"/>
      <c r="F316" s="58"/>
      <c r="G316" s="58"/>
      <c r="H316" s="58"/>
      <c r="I316" s="58"/>
      <c r="J316" s="31"/>
      <c r="K316" s="20"/>
      <c r="L316" s="20"/>
      <c r="M316" s="20"/>
      <c r="N316" s="20"/>
      <c r="O316" s="20"/>
      <c r="P316" s="20"/>
      <c r="Q316" s="20"/>
      <c r="R316" s="20"/>
      <c r="S316" s="20"/>
      <c r="T316" s="20"/>
      <c r="U316" s="20"/>
      <c r="V316" s="20"/>
      <c r="W316" s="20"/>
      <c r="X316" s="20"/>
      <c r="Y316" s="20"/>
      <c r="Z316" s="20"/>
      <c r="AA316" s="20"/>
    </row>
    <row r="317" spans="4:27" ht="17.25" customHeight="1">
      <c r="D317" s="57"/>
      <c r="E317" s="57"/>
      <c r="F317" s="58"/>
      <c r="G317" s="58"/>
      <c r="H317" s="58"/>
      <c r="I317" s="58"/>
      <c r="J317" s="31"/>
      <c r="K317" s="20"/>
      <c r="L317" s="20"/>
      <c r="M317" s="20"/>
      <c r="N317" s="20"/>
      <c r="O317" s="20"/>
      <c r="P317" s="20"/>
      <c r="Q317" s="20"/>
      <c r="R317" s="20"/>
      <c r="S317" s="20"/>
      <c r="T317" s="20"/>
      <c r="U317" s="20"/>
      <c r="V317" s="20"/>
      <c r="W317" s="20"/>
      <c r="X317" s="20"/>
      <c r="Y317" s="20"/>
      <c r="Z317" s="20"/>
      <c r="AA317" s="20"/>
    </row>
    <row r="318" spans="4:27" ht="17.25" customHeight="1">
      <c r="D318" s="57"/>
      <c r="E318" s="57"/>
      <c r="F318" s="58"/>
      <c r="G318" s="58"/>
      <c r="H318" s="58"/>
      <c r="I318" s="58"/>
      <c r="J318" s="31"/>
      <c r="K318" s="20"/>
      <c r="L318" s="20"/>
      <c r="M318" s="20"/>
      <c r="N318" s="20"/>
      <c r="O318" s="20"/>
      <c r="P318" s="20"/>
      <c r="Q318" s="20"/>
      <c r="R318" s="20"/>
      <c r="S318" s="20"/>
      <c r="T318" s="20"/>
      <c r="U318" s="20"/>
      <c r="V318" s="20"/>
      <c r="W318" s="20"/>
      <c r="X318" s="20"/>
      <c r="Y318" s="20"/>
      <c r="Z318" s="20"/>
      <c r="AA318" s="20"/>
    </row>
    <row r="319" spans="4:27" ht="17.25" customHeight="1">
      <c r="D319" s="57"/>
      <c r="E319" s="57"/>
      <c r="F319" s="58"/>
      <c r="G319" s="58"/>
      <c r="H319" s="58"/>
      <c r="I319" s="58"/>
      <c r="J319" s="31"/>
      <c r="K319" s="20"/>
      <c r="L319" s="20"/>
      <c r="M319" s="20"/>
      <c r="N319" s="20"/>
      <c r="O319" s="20"/>
      <c r="P319" s="20"/>
      <c r="Q319" s="20"/>
      <c r="R319" s="20"/>
      <c r="S319" s="20"/>
      <c r="T319" s="20"/>
      <c r="U319" s="20"/>
      <c r="V319" s="20"/>
      <c r="W319" s="20"/>
      <c r="X319" s="20"/>
      <c r="Y319" s="20"/>
      <c r="Z319" s="20"/>
      <c r="AA319" s="20"/>
    </row>
    <row r="320" spans="4:27" ht="17.25" customHeight="1">
      <c r="D320" s="57"/>
      <c r="E320" s="57"/>
      <c r="F320" s="58"/>
      <c r="G320" s="58"/>
      <c r="H320" s="58"/>
      <c r="I320" s="58"/>
      <c r="J320" s="31"/>
      <c r="K320" s="20"/>
      <c r="L320" s="20"/>
      <c r="M320" s="20"/>
      <c r="N320" s="20"/>
      <c r="O320" s="20"/>
      <c r="P320" s="20"/>
      <c r="Q320" s="20"/>
      <c r="R320" s="20"/>
      <c r="S320" s="20"/>
      <c r="T320" s="20"/>
      <c r="U320" s="20"/>
      <c r="V320" s="20"/>
      <c r="W320" s="20"/>
      <c r="X320" s="20"/>
      <c r="Y320" s="20"/>
      <c r="Z320" s="20"/>
      <c r="AA320" s="20"/>
    </row>
    <row r="321" spans="4:27" ht="17.25" customHeight="1">
      <c r="D321" s="57"/>
      <c r="E321" s="57"/>
      <c r="F321" s="58"/>
      <c r="G321" s="58"/>
      <c r="H321" s="58"/>
      <c r="I321" s="58"/>
      <c r="J321" s="31"/>
      <c r="K321" s="20"/>
      <c r="L321" s="20"/>
      <c r="M321" s="20"/>
      <c r="N321" s="20"/>
      <c r="O321" s="20"/>
      <c r="P321" s="20"/>
      <c r="Q321" s="20"/>
      <c r="R321" s="20"/>
      <c r="S321" s="20"/>
      <c r="T321" s="20"/>
      <c r="U321" s="20"/>
      <c r="V321" s="20"/>
      <c r="W321" s="20"/>
      <c r="X321" s="20"/>
      <c r="Y321" s="20"/>
      <c r="Z321" s="20"/>
      <c r="AA321" s="20"/>
    </row>
    <row r="322" spans="4:27" ht="17.25" customHeight="1">
      <c r="D322" s="57"/>
      <c r="E322" s="57"/>
      <c r="F322" s="58"/>
      <c r="G322" s="58"/>
      <c r="H322" s="58"/>
      <c r="I322" s="58"/>
      <c r="J322" s="31"/>
      <c r="K322" s="20"/>
      <c r="L322" s="20"/>
      <c r="M322" s="20"/>
      <c r="N322" s="20"/>
      <c r="O322" s="20"/>
      <c r="P322" s="20"/>
      <c r="Q322" s="20"/>
      <c r="R322" s="20"/>
      <c r="S322" s="20"/>
      <c r="T322" s="20"/>
      <c r="U322" s="20"/>
      <c r="V322" s="20"/>
      <c r="W322" s="20"/>
      <c r="X322" s="20"/>
      <c r="Y322" s="20"/>
      <c r="Z322" s="20"/>
      <c r="AA322" s="20"/>
    </row>
    <row r="323" spans="4:27" ht="17.25" customHeight="1">
      <c r="D323" s="57"/>
      <c r="E323" s="57"/>
      <c r="F323" s="58"/>
      <c r="G323" s="58"/>
      <c r="H323" s="58"/>
      <c r="I323" s="58"/>
      <c r="J323" s="31"/>
      <c r="K323" s="20"/>
      <c r="L323" s="20"/>
      <c r="M323" s="20"/>
      <c r="N323" s="20"/>
      <c r="O323" s="20"/>
      <c r="P323" s="20"/>
      <c r="Q323" s="20"/>
      <c r="R323" s="20"/>
      <c r="S323" s="20"/>
      <c r="T323" s="20"/>
      <c r="U323" s="20"/>
      <c r="V323" s="20"/>
      <c r="W323" s="20"/>
      <c r="X323" s="20"/>
      <c r="Y323" s="20"/>
      <c r="Z323" s="20"/>
      <c r="AA323" s="20"/>
    </row>
    <row r="324" spans="4:27" ht="17.25" customHeight="1">
      <c r="D324" s="57"/>
      <c r="E324" s="57"/>
      <c r="F324" s="58"/>
      <c r="G324" s="58"/>
      <c r="H324" s="58"/>
      <c r="I324" s="58"/>
      <c r="J324" s="31"/>
      <c r="K324" s="20"/>
      <c r="L324" s="20"/>
      <c r="M324" s="20"/>
      <c r="N324" s="20"/>
      <c r="O324" s="20"/>
      <c r="P324" s="20"/>
      <c r="Q324" s="20"/>
      <c r="R324" s="20"/>
      <c r="S324" s="20"/>
      <c r="T324" s="20"/>
      <c r="U324" s="20"/>
      <c r="V324" s="20"/>
      <c r="W324" s="20"/>
      <c r="X324" s="20"/>
      <c r="Y324" s="20"/>
      <c r="Z324" s="20"/>
      <c r="AA324" s="20"/>
    </row>
    <row r="325" spans="4:27" ht="17.25" customHeight="1">
      <c r="D325" s="57"/>
      <c r="E325" s="57"/>
      <c r="F325" s="58"/>
      <c r="G325" s="58"/>
      <c r="H325" s="58"/>
      <c r="I325" s="58"/>
      <c r="J325" s="31"/>
      <c r="K325" s="20"/>
      <c r="L325" s="20"/>
      <c r="M325" s="20"/>
      <c r="N325" s="20"/>
      <c r="O325" s="20"/>
      <c r="P325" s="20"/>
      <c r="Q325" s="20"/>
      <c r="R325" s="20"/>
      <c r="S325" s="20"/>
      <c r="T325" s="20"/>
      <c r="U325" s="20"/>
      <c r="V325" s="20"/>
      <c r="W325" s="20"/>
      <c r="X325" s="20"/>
      <c r="Y325" s="20"/>
      <c r="Z325" s="20"/>
      <c r="AA325" s="20"/>
    </row>
    <row r="326" spans="4:27" ht="17.25" customHeight="1">
      <c r="D326" s="57"/>
      <c r="E326" s="57"/>
      <c r="F326" s="58"/>
      <c r="G326" s="58"/>
      <c r="H326" s="58"/>
      <c r="I326" s="58"/>
      <c r="J326" s="31"/>
      <c r="K326" s="20"/>
      <c r="L326" s="20"/>
      <c r="M326" s="20"/>
      <c r="N326" s="20"/>
      <c r="O326" s="20"/>
      <c r="P326" s="20"/>
      <c r="Q326" s="20"/>
      <c r="R326" s="20"/>
      <c r="S326" s="20"/>
      <c r="T326" s="20"/>
      <c r="U326" s="20"/>
      <c r="V326" s="20"/>
      <c r="W326" s="20"/>
      <c r="X326" s="20"/>
      <c r="Y326" s="20"/>
      <c r="Z326" s="20"/>
      <c r="AA326" s="20"/>
    </row>
    <row r="327" spans="4:27" ht="17.25" customHeight="1">
      <c r="D327" s="57"/>
      <c r="E327" s="57"/>
      <c r="F327" s="58"/>
      <c r="G327" s="58"/>
      <c r="H327" s="58"/>
      <c r="I327" s="58"/>
      <c r="J327" s="31"/>
      <c r="K327" s="20"/>
      <c r="L327" s="20"/>
      <c r="M327" s="20"/>
      <c r="N327" s="20"/>
      <c r="O327" s="20"/>
      <c r="P327" s="20"/>
      <c r="Q327" s="20"/>
      <c r="R327" s="20"/>
      <c r="S327" s="20"/>
      <c r="T327" s="20"/>
      <c r="U327" s="20"/>
      <c r="V327" s="20"/>
      <c r="W327" s="20"/>
      <c r="X327" s="20"/>
      <c r="Y327" s="20"/>
      <c r="Z327" s="20"/>
      <c r="AA327" s="20"/>
    </row>
    <row r="328" spans="4:27" ht="17.25" customHeight="1">
      <c r="D328" s="57"/>
      <c r="E328" s="57"/>
      <c r="F328" s="58"/>
      <c r="G328" s="58"/>
      <c r="H328" s="58"/>
      <c r="I328" s="58"/>
      <c r="J328" s="31"/>
      <c r="K328" s="20"/>
      <c r="L328" s="20"/>
      <c r="M328" s="20"/>
      <c r="N328" s="20"/>
      <c r="O328" s="20"/>
      <c r="P328" s="20"/>
      <c r="Q328" s="20"/>
      <c r="R328" s="20"/>
      <c r="S328" s="20"/>
      <c r="T328" s="20"/>
      <c r="U328" s="20"/>
      <c r="V328" s="20"/>
      <c r="W328" s="20"/>
      <c r="X328" s="20"/>
      <c r="Y328" s="20"/>
      <c r="Z328" s="20"/>
      <c r="AA328" s="20"/>
    </row>
    <row r="329" spans="4:27" ht="17.25" customHeight="1">
      <c r="D329" s="57"/>
      <c r="E329" s="57"/>
      <c r="F329" s="58"/>
      <c r="G329" s="58"/>
      <c r="H329" s="58"/>
      <c r="I329" s="58"/>
      <c r="J329" s="31"/>
      <c r="K329" s="20"/>
      <c r="L329" s="20"/>
      <c r="M329" s="20"/>
      <c r="N329" s="20"/>
      <c r="O329" s="20"/>
      <c r="P329" s="20"/>
      <c r="Q329" s="20"/>
      <c r="R329" s="20"/>
      <c r="S329" s="20"/>
      <c r="T329" s="20"/>
      <c r="U329" s="20"/>
      <c r="V329" s="20"/>
      <c r="W329" s="20"/>
      <c r="X329" s="20"/>
      <c r="Y329" s="20"/>
      <c r="Z329" s="20"/>
      <c r="AA329" s="20"/>
    </row>
    <row r="330" spans="4:27" ht="17.25" customHeight="1">
      <c r="D330" s="57"/>
      <c r="E330" s="57"/>
      <c r="F330" s="58"/>
      <c r="G330" s="58"/>
      <c r="H330" s="58"/>
      <c r="I330" s="58"/>
      <c r="J330" s="31"/>
      <c r="K330" s="20"/>
      <c r="L330" s="20"/>
      <c r="M330" s="20"/>
      <c r="N330" s="20"/>
      <c r="O330" s="20"/>
      <c r="P330" s="20"/>
      <c r="Q330" s="20"/>
      <c r="R330" s="20"/>
      <c r="S330" s="20"/>
      <c r="T330" s="20"/>
      <c r="U330" s="20"/>
      <c r="V330" s="20"/>
      <c r="W330" s="20"/>
      <c r="X330" s="20"/>
      <c r="Y330" s="20"/>
      <c r="Z330" s="20"/>
      <c r="AA330" s="20"/>
    </row>
    <row r="331" spans="4:27" ht="17.25" customHeight="1">
      <c r="D331" s="57"/>
      <c r="E331" s="57"/>
      <c r="F331" s="58"/>
      <c r="G331" s="58"/>
      <c r="H331" s="58"/>
      <c r="I331" s="58"/>
      <c r="J331" s="31"/>
      <c r="K331" s="20"/>
      <c r="L331" s="20"/>
      <c r="M331" s="20"/>
      <c r="N331" s="20"/>
      <c r="O331" s="20"/>
      <c r="P331" s="20"/>
      <c r="Q331" s="20"/>
      <c r="R331" s="20"/>
      <c r="S331" s="20"/>
      <c r="T331" s="20"/>
      <c r="U331" s="20"/>
      <c r="V331" s="20"/>
      <c r="W331" s="20"/>
      <c r="X331" s="20"/>
      <c r="Y331" s="20"/>
      <c r="Z331" s="20"/>
      <c r="AA331" s="20"/>
    </row>
    <row r="332" spans="4:27" ht="17.25" customHeight="1">
      <c r="D332" s="57"/>
      <c r="E332" s="57"/>
      <c r="F332" s="58"/>
      <c r="G332" s="58"/>
      <c r="H332" s="58"/>
      <c r="I332" s="58"/>
      <c r="J332" s="31"/>
      <c r="K332" s="20"/>
      <c r="L332" s="20"/>
      <c r="M332" s="20"/>
      <c r="N332" s="20"/>
      <c r="O332" s="20"/>
      <c r="P332" s="20"/>
      <c r="Q332" s="20"/>
      <c r="R332" s="20"/>
      <c r="S332" s="20"/>
      <c r="T332" s="20"/>
      <c r="U332" s="20"/>
      <c r="V332" s="20"/>
      <c r="W332" s="20"/>
      <c r="X332" s="20"/>
      <c r="Y332" s="20"/>
      <c r="Z332" s="20"/>
      <c r="AA332" s="20"/>
    </row>
    <row r="333" spans="4:27" ht="17.25" customHeight="1">
      <c r="D333" s="57"/>
      <c r="E333" s="57"/>
      <c r="F333" s="58"/>
      <c r="G333" s="58"/>
      <c r="H333" s="58"/>
      <c r="I333" s="58"/>
      <c r="J333" s="31"/>
      <c r="K333" s="20"/>
      <c r="L333" s="20"/>
      <c r="M333" s="20"/>
      <c r="N333" s="20"/>
      <c r="O333" s="20"/>
      <c r="P333" s="20"/>
      <c r="Q333" s="20"/>
      <c r="R333" s="20"/>
      <c r="S333" s="20"/>
      <c r="T333" s="20"/>
      <c r="U333" s="20"/>
      <c r="V333" s="20"/>
      <c r="W333" s="20"/>
      <c r="X333" s="20"/>
      <c r="Y333" s="20"/>
      <c r="Z333" s="20"/>
      <c r="AA333" s="20"/>
    </row>
    <row r="334" spans="4:27" ht="17.25" customHeight="1">
      <c r="D334" s="57"/>
      <c r="E334" s="57"/>
      <c r="F334" s="58"/>
      <c r="G334" s="58"/>
      <c r="H334" s="58"/>
      <c r="I334" s="58"/>
      <c r="J334" s="31"/>
      <c r="K334" s="20"/>
      <c r="L334" s="20"/>
      <c r="M334" s="20"/>
      <c r="N334" s="20"/>
      <c r="O334" s="20"/>
      <c r="P334" s="20"/>
      <c r="Q334" s="20"/>
      <c r="R334" s="20"/>
      <c r="S334" s="20"/>
      <c r="T334" s="20"/>
      <c r="U334" s="20"/>
      <c r="V334" s="20"/>
      <c r="W334" s="20"/>
      <c r="X334" s="20"/>
      <c r="Y334" s="20"/>
      <c r="Z334" s="20"/>
      <c r="AA334" s="20"/>
    </row>
    <row r="335" spans="4:27" ht="17.25" customHeight="1">
      <c r="D335" s="57"/>
      <c r="E335" s="57"/>
      <c r="F335" s="58"/>
      <c r="G335" s="58"/>
      <c r="H335" s="58"/>
      <c r="I335" s="58"/>
      <c r="J335" s="31"/>
      <c r="K335" s="20"/>
      <c r="L335" s="20"/>
      <c r="M335" s="20"/>
      <c r="N335" s="20"/>
      <c r="O335" s="20"/>
      <c r="P335" s="20"/>
      <c r="Q335" s="20"/>
      <c r="R335" s="20"/>
      <c r="S335" s="20"/>
      <c r="T335" s="20"/>
      <c r="U335" s="20"/>
      <c r="V335" s="20"/>
      <c r="W335" s="20"/>
      <c r="X335" s="20"/>
      <c r="Y335" s="20"/>
      <c r="Z335" s="20"/>
      <c r="AA335" s="20"/>
    </row>
    <row r="336" spans="4:27" ht="17.25" customHeight="1">
      <c r="D336" s="57"/>
      <c r="E336" s="57"/>
      <c r="F336" s="58"/>
      <c r="G336" s="58"/>
      <c r="H336" s="58"/>
      <c r="I336" s="58"/>
      <c r="J336" s="31"/>
      <c r="K336" s="20"/>
      <c r="L336" s="20"/>
      <c r="M336" s="20"/>
      <c r="N336" s="20"/>
      <c r="O336" s="20"/>
      <c r="P336" s="20"/>
      <c r="Q336" s="20"/>
      <c r="R336" s="20"/>
      <c r="S336" s="20"/>
      <c r="T336" s="20"/>
      <c r="U336" s="20"/>
      <c r="V336" s="20"/>
      <c r="W336" s="20"/>
      <c r="X336" s="20"/>
      <c r="Y336" s="20"/>
      <c r="Z336" s="20"/>
      <c r="AA336" s="20"/>
    </row>
    <row r="337" spans="4:27" ht="17.25" customHeight="1">
      <c r="D337" s="57"/>
      <c r="E337" s="57"/>
      <c r="F337" s="58"/>
      <c r="G337" s="58"/>
      <c r="H337" s="58"/>
      <c r="I337" s="58"/>
      <c r="J337" s="31"/>
      <c r="K337" s="20"/>
      <c r="L337" s="20"/>
      <c r="M337" s="20"/>
      <c r="N337" s="20"/>
      <c r="O337" s="20"/>
      <c r="P337" s="20"/>
      <c r="Q337" s="20"/>
      <c r="R337" s="20"/>
      <c r="S337" s="20"/>
      <c r="T337" s="20"/>
      <c r="U337" s="20"/>
      <c r="V337" s="20"/>
      <c r="W337" s="20"/>
      <c r="X337" s="20"/>
      <c r="Y337" s="20"/>
      <c r="Z337" s="20"/>
      <c r="AA337" s="20"/>
    </row>
    <row r="338" spans="4:27" ht="17.25" customHeight="1">
      <c r="D338" s="57"/>
      <c r="E338" s="57"/>
      <c r="F338" s="58"/>
      <c r="G338" s="58"/>
      <c r="H338" s="58"/>
      <c r="I338" s="58"/>
      <c r="J338" s="31"/>
      <c r="K338" s="20"/>
      <c r="L338" s="20"/>
      <c r="M338" s="20"/>
      <c r="N338" s="20"/>
      <c r="O338" s="20"/>
      <c r="P338" s="20"/>
      <c r="Q338" s="20"/>
      <c r="R338" s="20"/>
      <c r="S338" s="20"/>
      <c r="T338" s="20"/>
      <c r="U338" s="20"/>
      <c r="V338" s="20"/>
      <c r="W338" s="20"/>
      <c r="X338" s="20"/>
      <c r="Y338" s="20"/>
      <c r="Z338" s="20"/>
      <c r="AA338" s="20"/>
    </row>
    <row r="339" spans="4:27" ht="17.25" customHeight="1">
      <c r="D339" s="57"/>
      <c r="E339" s="57"/>
      <c r="F339" s="58"/>
      <c r="G339" s="58"/>
      <c r="H339" s="58"/>
      <c r="I339" s="58"/>
      <c r="J339" s="31"/>
      <c r="K339" s="20"/>
      <c r="L339" s="20"/>
      <c r="M339" s="20"/>
      <c r="N339" s="20"/>
      <c r="O339" s="20"/>
      <c r="P339" s="20"/>
      <c r="Q339" s="20"/>
      <c r="R339" s="20"/>
      <c r="S339" s="20"/>
      <c r="T339" s="20"/>
      <c r="U339" s="20"/>
      <c r="V339" s="20"/>
      <c r="W339" s="20"/>
      <c r="X339" s="20"/>
      <c r="Y339" s="20"/>
      <c r="Z339" s="20"/>
      <c r="AA339" s="20"/>
    </row>
    <row r="340" spans="4:27" ht="17.25" customHeight="1">
      <c r="D340" s="57"/>
      <c r="E340" s="57"/>
      <c r="F340" s="58"/>
      <c r="G340" s="58"/>
      <c r="H340" s="58"/>
      <c r="I340" s="58"/>
      <c r="J340" s="31"/>
      <c r="K340" s="20"/>
      <c r="L340" s="20"/>
      <c r="M340" s="20"/>
      <c r="N340" s="20"/>
      <c r="O340" s="20"/>
      <c r="P340" s="20"/>
      <c r="Q340" s="20"/>
      <c r="R340" s="20"/>
      <c r="S340" s="20"/>
      <c r="T340" s="20"/>
      <c r="U340" s="20"/>
      <c r="V340" s="20"/>
      <c r="W340" s="20"/>
      <c r="X340" s="20"/>
      <c r="Y340" s="20"/>
      <c r="Z340" s="20"/>
      <c r="AA340" s="20"/>
    </row>
    <row r="341" spans="4:27" ht="17.25" customHeight="1">
      <c r="D341" s="57"/>
      <c r="E341" s="57"/>
      <c r="F341" s="58"/>
      <c r="G341" s="58"/>
      <c r="H341" s="58"/>
      <c r="I341" s="58"/>
      <c r="J341" s="31"/>
      <c r="K341" s="20"/>
      <c r="L341" s="20"/>
      <c r="M341" s="20"/>
      <c r="N341" s="20"/>
      <c r="O341" s="20"/>
      <c r="P341" s="20"/>
      <c r="Q341" s="20"/>
      <c r="R341" s="20"/>
      <c r="S341" s="20"/>
      <c r="T341" s="20"/>
      <c r="U341" s="20"/>
      <c r="V341" s="20"/>
      <c r="W341" s="20"/>
      <c r="X341" s="20"/>
      <c r="Y341" s="20"/>
      <c r="Z341" s="20"/>
      <c r="AA341" s="20"/>
    </row>
    <row r="342" spans="4:27" ht="17.25" customHeight="1">
      <c r="D342" s="57"/>
      <c r="E342" s="57"/>
      <c r="F342" s="58"/>
      <c r="G342" s="58"/>
      <c r="H342" s="58"/>
      <c r="I342" s="58"/>
      <c r="J342" s="31"/>
      <c r="K342" s="20"/>
      <c r="L342" s="20"/>
      <c r="M342" s="20"/>
      <c r="N342" s="20"/>
      <c r="O342" s="20"/>
      <c r="P342" s="20"/>
      <c r="Q342" s="20"/>
      <c r="R342" s="20"/>
      <c r="S342" s="20"/>
      <c r="T342" s="20"/>
      <c r="U342" s="20"/>
      <c r="V342" s="20"/>
      <c r="W342" s="20"/>
      <c r="X342" s="20"/>
      <c r="Y342" s="20"/>
      <c r="Z342" s="20"/>
      <c r="AA342" s="20"/>
    </row>
    <row r="343" spans="4:27" ht="17.25" customHeight="1">
      <c r="D343" s="57"/>
      <c r="E343" s="57"/>
      <c r="F343" s="58"/>
      <c r="G343" s="58"/>
      <c r="H343" s="58"/>
      <c r="I343" s="58"/>
      <c r="J343" s="31"/>
      <c r="K343" s="20"/>
      <c r="L343" s="20"/>
      <c r="M343" s="20"/>
      <c r="N343" s="20"/>
      <c r="O343" s="20"/>
      <c r="P343" s="20"/>
      <c r="Q343" s="20"/>
      <c r="R343" s="20"/>
      <c r="S343" s="20"/>
      <c r="T343" s="20"/>
      <c r="U343" s="20"/>
      <c r="V343" s="20"/>
      <c r="W343" s="20"/>
      <c r="X343" s="20"/>
      <c r="Y343" s="20"/>
      <c r="Z343" s="20"/>
      <c r="AA343" s="20"/>
    </row>
    <row r="344" spans="4:27" ht="17.25" customHeight="1">
      <c r="D344" s="57"/>
      <c r="E344" s="57"/>
      <c r="F344" s="58"/>
      <c r="G344" s="58"/>
      <c r="H344" s="58"/>
      <c r="I344" s="58"/>
      <c r="J344" s="31"/>
      <c r="K344" s="20"/>
      <c r="L344" s="20"/>
      <c r="M344" s="20"/>
      <c r="N344" s="20"/>
      <c r="O344" s="20"/>
      <c r="P344" s="20"/>
      <c r="Q344" s="20"/>
      <c r="R344" s="20"/>
      <c r="S344" s="20"/>
      <c r="T344" s="20"/>
      <c r="U344" s="20"/>
      <c r="V344" s="20"/>
      <c r="W344" s="20"/>
      <c r="X344" s="20"/>
      <c r="Y344" s="20"/>
      <c r="Z344" s="20"/>
      <c r="AA344" s="20"/>
    </row>
    <row r="345" spans="4:27" ht="17.25" customHeight="1">
      <c r="D345" s="57"/>
      <c r="E345" s="57"/>
      <c r="F345" s="58"/>
      <c r="G345" s="58"/>
      <c r="H345" s="58"/>
      <c r="I345" s="58"/>
      <c r="J345" s="31"/>
      <c r="K345" s="20"/>
      <c r="L345" s="20"/>
      <c r="M345" s="20"/>
      <c r="N345" s="20"/>
      <c r="O345" s="20"/>
      <c r="P345" s="20"/>
      <c r="Q345" s="20"/>
      <c r="R345" s="20"/>
      <c r="S345" s="20"/>
      <c r="T345" s="20"/>
      <c r="U345" s="20"/>
      <c r="V345" s="20"/>
      <c r="W345" s="20"/>
      <c r="X345" s="20"/>
      <c r="Y345" s="20"/>
      <c r="Z345" s="20"/>
      <c r="AA345" s="20"/>
    </row>
    <row r="346" spans="4:27" ht="17.25" customHeight="1">
      <c r="D346" s="57"/>
      <c r="E346" s="57"/>
      <c r="F346" s="58"/>
      <c r="G346" s="58"/>
      <c r="H346" s="58"/>
      <c r="I346" s="58"/>
      <c r="J346" s="31"/>
      <c r="K346" s="20"/>
      <c r="L346" s="20"/>
      <c r="M346" s="20"/>
      <c r="N346" s="20"/>
      <c r="O346" s="20"/>
      <c r="P346" s="20"/>
      <c r="Q346" s="20"/>
      <c r="R346" s="20"/>
      <c r="S346" s="20"/>
      <c r="T346" s="20"/>
      <c r="U346" s="20"/>
      <c r="V346" s="20"/>
      <c r="W346" s="20"/>
      <c r="X346" s="20"/>
      <c r="Y346" s="20"/>
      <c r="Z346" s="20"/>
      <c r="AA346" s="20"/>
    </row>
    <row r="347" spans="4:27" ht="17.25" customHeight="1">
      <c r="D347" s="57"/>
      <c r="E347" s="57"/>
      <c r="F347" s="58"/>
      <c r="G347" s="58"/>
      <c r="H347" s="58"/>
      <c r="I347" s="58"/>
      <c r="J347" s="31"/>
      <c r="K347" s="20"/>
      <c r="L347" s="20"/>
      <c r="M347" s="20"/>
      <c r="N347" s="20"/>
      <c r="O347" s="20"/>
      <c r="P347" s="20"/>
      <c r="Q347" s="20"/>
      <c r="R347" s="20"/>
      <c r="S347" s="20"/>
      <c r="T347" s="20"/>
      <c r="U347" s="20"/>
      <c r="V347" s="20"/>
      <c r="W347" s="20"/>
      <c r="X347" s="20"/>
      <c r="Y347" s="20"/>
      <c r="Z347" s="20"/>
      <c r="AA347" s="20"/>
    </row>
    <row r="348" spans="4:27" ht="17.25" customHeight="1">
      <c r="D348" s="57"/>
      <c r="E348" s="57"/>
      <c r="F348" s="58"/>
      <c r="G348" s="58"/>
      <c r="H348" s="58"/>
      <c r="I348" s="58"/>
      <c r="J348" s="31"/>
      <c r="K348" s="20"/>
      <c r="L348" s="20"/>
      <c r="M348" s="20"/>
      <c r="N348" s="20"/>
      <c r="O348" s="20"/>
      <c r="P348" s="20"/>
      <c r="Q348" s="20"/>
      <c r="R348" s="20"/>
      <c r="S348" s="20"/>
      <c r="T348" s="20"/>
      <c r="U348" s="20"/>
      <c r="V348" s="20"/>
      <c r="W348" s="20"/>
      <c r="X348" s="20"/>
      <c r="Y348" s="20"/>
      <c r="Z348" s="20"/>
      <c r="AA348" s="20"/>
    </row>
    <row r="349" spans="4:27" ht="17.25" customHeight="1">
      <c r="D349" s="57"/>
      <c r="E349" s="57"/>
      <c r="F349" s="58"/>
      <c r="G349" s="58"/>
      <c r="H349" s="58"/>
      <c r="I349" s="58"/>
      <c r="J349" s="31"/>
      <c r="K349" s="20"/>
      <c r="L349" s="20"/>
      <c r="M349" s="20"/>
      <c r="N349" s="20"/>
      <c r="O349" s="20"/>
      <c r="P349" s="20"/>
      <c r="Q349" s="20"/>
      <c r="R349" s="20"/>
      <c r="S349" s="20"/>
      <c r="T349" s="20"/>
      <c r="U349" s="20"/>
      <c r="V349" s="20"/>
      <c r="W349" s="20"/>
      <c r="X349" s="20"/>
      <c r="Y349" s="20"/>
      <c r="Z349" s="20"/>
      <c r="AA349" s="20"/>
    </row>
    <row r="350" spans="4:27" ht="17.25" customHeight="1">
      <c r="D350" s="57"/>
      <c r="E350" s="57"/>
      <c r="F350" s="58"/>
      <c r="G350" s="58"/>
      <c r="H350" s="58"/>
      <c r="I350" s="58"/>
      <c r="J350" s="31"/>
      <c r="K350" s="20"/>
      <c r="L350" s="20"/>
      <c r="M350" s="20"/>
      <c r="N350" s="20"/>
      <c r="O350" s="20"/>
      <c r="P350" s="20"/>
      <c r="Q350" s="20"/>
      <c r="R350" s="20"/>
      <c r="S350" s="20"/>
      <c r="T350" s="20"/>
      <c r="U350" s="20"/>
      <c r="V350" s="20"/>
      <c r="W350" s="20"/>
      <c r="X350" s="20"/>
      <c r="Y350" s="20"/>
      <c r="Z350" s="20"/>
      <c r="AA350" s="20"/>
    </row>
    <row r="351" spans="4:27" ht="17.25" customHeight="1">
      <c r="D351" s="57"/>
      <c r="E351" s="57"/>
      <c r="F351" s="58"/>
      <c r="G351" s="58"/>
      <c r="H351" s="58"/>
      <c r="I351" s="58"/>
      <c r="J351" s="31"/>
      <c r="K351" s="20"/>
      <c r="L351" s="20"/>
      <c r="M351" s="20"/>
      <c r="N351" s="20"/>
      <c r="O351" s="20"/>
      <c r="P351" s="20"/>
      <c r="Q351" s="20"/>
      <c r="R351" s="20"/>
      <c r="S351" s="20"/>
      <c r="T351" s="20"/>
      <c r="U351" s="20"/>
      <c r="V351" s="20"/>
      <c r="W351" s="20"/>
      <c r="X351" s="20"/>
      <c r="Y351" s="20"/>
      <c r="Z351" s="20"/>
      <c r="AA351" s="20"/>
    </row>
    <row r="352" spans="4:27" ht="17.25" customHeight="1">
      <c r="D352" s="57"/>
      <c r="E352" s="57"/>
      <c r="F352" s="58"/>
      <c r="G352" s="58"/>
      <c r="H352" s="58"/>
      <c r="I352" s="58"/>
      <c r="J352" s="31"/>
      <c r="K352" s="20"/>
      <c r="L352" s="20"/>
      <c r="M352" s="20"/>
      <c r="N352" s="20"/>
      <c r="O352" s="20"/>
      <c r="P352" s="20"/>
      <c r="Q352" s="20"/>
      <c r="R352" s="20"/>
      <c r="S352" s="20"/>
      <c r="T352" s="20"/>
      <c r="U352" s="20"/>
      <c r="V352" s="20"/>
      <c r="W352" s="20"/>
      <c r="X352" s="20"/>
      <c r="Y352" s="20"/>
      <c r="Z352" s="20"/>
      <c r="AA352" s="20"/>
    </row>
    <row r="353" spans="4:27" ht="17.25" customHeight="1">
      <c r="D353" s="57"/>
      <c r="E353" s="57"/>
      <c r="F353" s="58"/>
      <c r="G353" s="58"/>
      <c r="H353" s="58"/>
      <c r="I353" s="58"/>
      <c r="J353" s="31"/>
      <c r="K353" s="20"/>
      <c r="L353" s="20"/>
      <c r="M353" s="20"/>
      <c r="N353" s="20"/>
      <c r="O353" s="20"/>
      <c r="P353" s="20"/>
      <c r="Q353" s="20"/>
      <c r="R353" s="20"/>
      <c r="S353" s="20"/>
      <c r="T353" s="20"/>
      <c r="U353" s="20"/>
      <c r="V353" s="20"/>
      <c r="W353" s="20"/>
      <c r="X353" s="20"/>
      <c r="Y353" s="20"/>
      <c r="Z353" s="20"/>
      <c r="AA353" s="20"/>
    </row>
    <row r="354" spans="4:27" ht="17.25" customHeight="1">
      <c r="D354" s="57"/>
      <c r="E354" s="57"/>
      <c r="F354" s="58"/>
      <c r="G354" s="58"/>
      <c r="H354" s="58"/>
      <c r="I354" s="58"/>
      <c r="J354" s="31"/>
      <c r="K354" s="20"/>
      <c r="L354" s="20"/>
      <c r="M354" s="20"/>
      <c r="N354" s="20"/>
      <c r="O354" s="20"/>
      <c r="P354" s="20"/>
      <c r="Q354" s="20"/>
      <c r="R354" s="20"/>
      <c r="S354" s="20"/>
      <c r="T354" s="20"/>
      <c r="U354" s="20"/>
      <c r="V354" s="20"/>
      <c r="W354" s="20"/>
      <c r="X354" s="20"/>
      <c r="Y354" s="20"/>
      <c r="Z354" s="20"/>
      <c r="AA354" s="20"/>
    </row>
    <row r="355" spans="4:27" ht="17.25" customHeight="1">
      <c r="D355" s="57"/>
      <c r="E355" s="57"/>
      <c r="F355" s="58"/>
      <c r="G355" s="58"/>
      <c r="H355" s="58"/>
      <c r="I355" s="58"/>
      <c r="J355" s="31"/>
      <c r="K355" s="20"/>
      <c r="L355" s="20"/>
      <c r="M355" s="20"/>
      <c r="N355" s="20"/>
      <c r="O355" s="20"/>
      <c r="P355" s="20"/>
      <c r="Q355" s="20"/>
      <c r="R355" s="20"/>
      <c r="S355" s="20"/>
      <c r="T355" s="20"/>
      <c r="U355" s="20"/>
      <c r="V355" s="20"/>
      <c r="W355" s="20"/>
      <c r="X355" s="20"/>
      <c r="Y355" s="20"/>
      <c r="Z355" s="20"/>
      <c r="AA355" s="20"/>
    </row>
    <row r="356" spans="4:27" ht="17.25" customHeight="1">
      <c r="D356" s="57"/>
      <c r="E356" s="57"/>
      <c r="F356" s="58"/>
      <c r="G356" s="58"/>
      <c r="H356" s="58"/>
      <c r="I356" s="58"/>
      <c r="J356" s="31"/>
      <c r="K356" s="20"/>
      <c r="L356" s="20"/>
      <c r="M356" s="20"/>
      <c r="N356" s="20"/>
      <c r="O356" s="20"/>
      <c r="P356" s="20"/>
      <c r="Q356" s="20"/>
      <c r="R356" s="20"/>
      <c r="S356" s="20"/>
      <c r="T356" s="20"/>
      <c r="U356" s="20"/>
      <c r="V356" s="20"/>
      <c r="W356" s="20"/>
      <c r="X356" s="20"/>
      <c r="Y356" s="20"/>
      <c r="Z356" s="20"/>
      <c r="AA356" s="20"/>
    </row>
    <row r="357" spans="4:27" ht="17.25" customHeight="1">
      <c r="D357" s="57"/>
      <c r="E357" s="57"/>
      <c r="F357" s="58"/>
      <c r="G357" s="58"/>
      <c r="H357" s="58"/>
      <c r="I357" s="58"/>
      <c r="J357" s="31"/>
      <c r="K357" s="20"/>
      <c r="L357" s="20"/>
      <c r="M357" s="20"/>
      <c r="N357" s="20"/>
      <c r="O357" s="20"/>
      <c r="P357" s="20"/>
      <c r="Q357" s="20"/>
      <c r="R357" s="20"/>
      <c r="S357" s="20"/>
      <c r="T357" s="20"/>
      <c r="U357" s="20"/>
      <c r="V357" s="20"/>
      <c r="W357" s="20"/>
      <c r="X357" s="20"/>
      <c r="Y357" s="20"/>
      <c r="Z357" s="20"/>
      <c r="AA357" s="20"/>
    </row>
    <row r="358" spans="4:27" ht="17.25" customHeight="1">
      <c r="D358" s="57"/>
      <c r="E358" s="57"/>
      <c r="F358" s="58"/>
      <c r="G358" s="58"/>
      <c r="H358" s="58"/>
      <c r="I358" s="58"/>
      <c r="J358" s="31"/>
      <c r="K358" s="20"/>
      <c r="L358" s="20"/>
      <c r="M358" s="20"/>
      <c r="N358" s="20"/>
      <c r="O358" s="20"/>
      <c r="P358" s="20"/>
      <c r="Q358" s="20"/>
      <c r="R358" s="20"/>
      <c r="S358" s="20"/>
      <c r="T358" s="20"/>
      <c r="U358" s="20"/>
      <c r="V358" s="20"/>
      <c r="W358" s="20"/>
      <c r="X358" s="20"/>
      <c r="Y358" s="20"/>
      <c r="Z358" s="20"/>
      <c r="AA358" s="20"/>
    </row>
    <row r="359" spans="4:27" ht="17.25" customHeight="1">
      <c r="D359" s="57"/>
      <c r="E359" s="57"/>
      <c r="F359" s="58"/>
      <c r="G359" s="58"/>
      <c r="H359" s="58"/>
      <c r="I359" s="58"/>
      <c r="J359" s="31"/>
      <c r="K359" s="20"/>
      <c r="L359" s="20"/>
      <c r="M359" s="20"/>
      <c r="N359" s="20"/>
      <c r="O359" s="20"/>
      <c r="P359" s="20"/>
      <c r="Q359" s="20"/>
      <c r="R359" s="20"/>
      <c r="S359" s="20"/>
      <c r="T359" s="20"/>
      <c r="U359" s="20"/>
      <c r="V359" s="20"/>
      <c r="W359" s="20"/>
      <c r="X359" s="20"/>
      <c r="Y359" s="20"/>
      <c r="Z359" s="20"/>
      <c r="AA359" s="20"/>
    </row>
    <row r="360" spans="4:27" ht="17.25" customHeight="1">
      <c r="D360" s="57"/>
      <c r="E360" s="57"/>
      <c r="F360" s="58"/>
      <c r="G360" s="58"/>
      <c r="H360" s="58"/>
      <c r="I360" s="58"/>
      <c r="J360" s="31"/>
      <c r="K360" s="20"/>
      <c r="L360" s="20"/>
      <c r="M360" s="20"/>
      <c r="N360" s="20"/>
      <c r="O360" s="20"/>
      <c r="P360" s="20"/>
      <c r="Q360" s="20"/>
      <c r="R360" s="20"/>
      <c r="S360" s="20"/>
      <c r="T360" s="20"/>
      <c r="U360" s="20"/>
      <c r="V360" s="20"/>
      <c r="W360" s="20"/>
      <c r="X360" s="20"/>
      <c r="Y360" s="20"/>
      <c r="Z360" s="20"/>
      <c r="AA360" s="20"/>
    </row>
    <row r="361" spans="4:27" ht="17.25" customHeight="1">
      <c r="D361" s="57"/>
      <c r="E361" s="57"/>
      <c r="F361" s="58"/>
      <c r="G361" s="58"/>
      <c r="H361" s="58"/>
      <c r="I361" s="58"/>
      <c r="J361" s="31"/>
      <c r="K361" s="20"/>
      <c r="L361" s="20"/>
      <c r="M361" s="20"/>
      <c r="N361" s="20"/>
      <c r="O361" s="20"/>
      <c r="P361" s="20"/>
      <c r="Q361" s="20"/>
      <c r="R361" s="20"/>
      <c r="S361" s="20"/>
      <c r="T361" s="20"/>
      <c r="U361" s="20"/>
      <c r="V361" s="20"/>
      <c r="W361" s="20"/>
      <c r="X361" s="20"/>
      <c r="Y361" s="20"/>
      <c r="Z361" s="20"/>
      <c r="AA361" s="20"/>
    </row>
    <row r="362" spans="4:27" ht="17.25" customHeight="1">
      <c r="D362" s="57"/>
      <c r="E362" s="57"/>
      <c r="F362" s="58"/>
      <c r="G362" s="58"/>
      <c r="H362" s="58"/>
      <c r="I362" s="58"/>
      <c r="J362" s="31"/>
      <c r="K362" s="20"/>
      <c r="L362" s="20"/>
      <c r="M362" s="20"/>
      <c r="N362" s="20"/>
      <c r="O362" s="20"/>
      <c r="P362" s="20"/>
      <c r="Q362" s="20"/>
      <c r="R362" s="20"/>
      <c r="S362" s="20"/>
      <c r="T362" s="20"/>
      <c r="U362" s="20"/>
      <c r="V362" s="20"/>
      <c r="W362" s="20"/>
      <c r="X362" s="20"/>
      <c r="Y362" s="20"/>
      <c r="Z362" s="20"/>
      <c r="AA362" s="20"/>
    </row>
    <row r="363" spans="4:27" ht="17.25" customHeight="1">
      <c r="D363" s="57"/>
      <c r="E363" s="57"/>
      <c r="F363" s="58"/>
      <c r="G363" s="58"/>
      <c r="H363" s="58"/>
      <c r="I363" s="58"/>
      <c r="J363" s="31"/>
      <c r="K363" s="20"/>
      <c r="L363" s="20"/>
      <c r="M363" s="20"/>
      <c r="N363" s="20"/>
      <c r="O363" s="20"/>
      <c r="P363" s="20"/>
      <c r="Q363" s="20"/>
      <c r="R363" s="20"/>
      <c r="S363" s="20"/>
      <c r="T363" s="20"/>
      <c r="U363" s="20"/>
      <c r="V363" s="20"/>
      <c r="W363" s="20"/>
      <c r="X363" s="20"/>
      <c r="Y363" s="20"/>
      <c r="Z363" s="20"/>
      <c r="AA363" s="20"/>
    </row>
    <row r="364" spans="4:27" ht="17.25" customHeight="1">
      <c r="D364" s="57"/>
      <c r="E364" s="57"/>
      <c r="F364" s="58"/>
      <c r="G364" s="58"/>
      <c r="H364" s="58"/>
      <c r="I364" s="58"/>
      <c r="J364" s="31"/>
      <c r="K364" s="20"/>
      <c r="L364" s="20"/>
      <c r="M364" s="20"/>
      <c r="N364" s="20"/>
      <c r="O364" s="20"/>
      <c r="P364" s="20"/>
      <c r="Q364" s="20"/>
      <c r="R364" s="20"/>
      <c r="S364" s="20"/>
      <c r="T364" s="20"/>
      <c r="U364" s="20"/>
      <c r="V364" s="20"/>
      <c r="W364" s="20"/>
      <c r="X364" s="20"/>
      <c r="Y364" s="20"/>
      <c r="Z364" s="20"/>
      <c r="AA364" s="20"/>
    </row>
    <row r="365" spans="4:27" ht="17.25" customHeight="1">
      <c r="D365" s="57"/>
      <c r="E365" s="57"/>
      <c r="F365" s="58"/>
      <c r="G365" s="58"/>
      <c r="H365" s="58"/>
      <c r="I365" s="58"/>
      <c r="J365" s="31"/>
      <c r="K365" s="20"/>
      <c r="L365" s="20"/>
      <c r="M365" s="20"/>
      <c r="N365" s="20"/>
      <c r="O365" s="20"/>
      <c r="P365" s="20"/>
      <c r="Q365" s="20"/>
      <c r="R365" s="20"/>
      <c r="S365" s="20"/>
      <c r="T365" s="20"/>
      <c r="U365" s="20"/>
      <c r="V365" s="20"/>
      <c r="W365" s="20"/>
      <c r="X365" s="20"/>
      <c r="Y365" s="20"/>
      <c r="Z365" s="20"/>
      <c r="AA365" s="20"/>
    </row>
    <row r="366" spans="4:27" ht="17.25" customHeight="1">
      <c r="D366" s="57"/>
      <c r="E366" s="57"/>
      <c r="F366" s="58"/>
      <c r="G366" s="58"/>
      <c r="H366" s="58"/>
      <c r="I366" s="58"/>
      <c r="J366" s="31"/>
      <c r="K366" s="20"/>
      <c r="L366" s="20"/>
      <c r="M366" s="20"/>
      <c r="N366" s="20"/>
      <c r="O366" s="20"/>
      <c r="P366" s="20"/>
      <c r="Q366" s="20"/>
      <c r="R366" s="20"/>
      <c r="S366" s="20"/>
      <c r="T366" s="20"/>
      <c r="U366" s="20"/>
      <c r="V366" s="20"/>
      <c r="W366" s="20"/>
      <c r="X366" s="20"/>
      <c r="Y366" s="20"/>
      <c r="Z366" s="20"/>
      <c r="AA366" s="20"/>
    </row>
    <row r="367" spans="4:27" ht="17.25" customHeight="1">
      <c r="D367" s="57"/>
      <c r="E367" s="57"/>
      <c r="F367" s="58"/>
      <c r="G367" s="58"/>
      <c r="H367" s="58"/>
      <c r="I367" s="58"/>
      <c r="J367" s="31"/>
      <c r="K367" s="20"/>
      <c r="L367" s="20"/>
      <c r="M367" s="20"/>
      <c r="N367" s="20"/>
      <c r="O367" s="20"/>
      <c r="P367" s="20"/>
      <c r="Q367" s="20"/>
      <c r="R367" s="20"/>
      <c r="S367" s="20"/>
      <c r="T367" s="20"/>
      <c r="U367" s="20"/>
      <c r="V367" s="20"/>
      <c r="W367" s="20"/>
      <c r="X367" s="20"/>
      <c r="Y367" s="20"/>
      <c r="Z367" s="20"/>
      <c r="AA367" s="20"/>
    </row>
    <row r="368" spans="4:27" ht="17.25" customHeight="1">
      <c r="D368" s="57"/>
      <c r="E368" s="57"/>
      <c r="F368" s="58"/>
      <c r="G368" s="58"/>
      <c r="H368" s="58"/>
      <c r="I368" s="58"/>
      <c r="J368" s="31"/>
      <c r="K368" s="20"/>
      <c r="L368" s="20"/>
      <c r="M368" s="20"/>
      <c r="N368" s="20"/>
      <c r="O368" s="20"/>
      <c r="P368" s="20"/>
      <c r="Q368" s="20"/>
      <c r="R368" s="20"/>
      <c r="S368" s="20"/>
      <c r="T368" s="20"/>
      <c r="U368" s="20"/>
      <c r="V368" s="20"/>
      <c r="W368" s="20"/>
      <c r="X368" s="20"/>
      <c r="Y368" s="20"/>
      <c r="Z368" s="20"/>
      <c r="AA368" s="20"/>
    </row>
    <row r="369" spans="4:27" ht="17.25" customHeight="1">
      <c r="D369" s="57"/>
      <c r="E369" s="57"/>
      <c r="F369" s="58"/>
      <c r="G369" s="58"/>
      <c r="H369" s="58"/>
      <c r="I369" s="58"/>
      <c r="J369" s="31"/>
      <c r="K369" s="20"/>
      <c r="L369" s="20"/>
      <c r="M369" s="20"/>
      <c r="N369" s="20"/>
      <c r="O369" s="20"/>
      <c r="P369" s="20"/>
      <c r="Q369" s="20"/>
      <c r="R369" s="20"/>
      <c r="S369" s="20"/>
      <c r="T369" s="20"/>
      <c r="U369" s="20"/>
      <c r="V369" s="20"/>
      <c r="W369" s="20"/>
      <c r="X369" s="20"/>
      <c r="Y369" s="20"/>
      <c r="Z369" s="20"/>
      <c r="AA369" s="20"/>
    </row>
    <row r="370" spans="4:27" ht="17.25" customHeight="1">
      <c r="D370" s="57"/>
      <c r="E370" s="57"/>
      <c r="F370" s="58"/>
      <c r="G370" s="58"/>
      <c r="H370" s="58"/>
      <c r="I370" s="58"/>
      <c r="J370" s="31"/>
      <c r="K370" s="20"/>
      <c r="L370" s="20"/>
      <c r="M370" s="20"/>
      <c r="N370" s="20"/>
      <c r="O370" s="20"/>
      <c r="P370" s="20"/>
      <c r="Q370" s="20"/>
      <c r="R370" s="20"/>
      <c r="S370" s="20"/>
      <c r="T370" s="20"/>
      <c r="U370" s="20"/>
      <c r="V370" s="20"/>
      <c r="W370" s="20"/>
      <c r="X370" s="20"/>
      <c r="Y370" s="20"/>
      <c r="Z370" s="20"/>
      <c r="AA370" s="20"/>
    </row>
    <row r="371" spans="4:27" ht="17.25" customHeight="1">
      <c r="D371" s="57"/>
      <c r="E371" s="57"/>
      <c r="F371" s="58"/>
      <c r="G371" s="58"/>
      <c r="H371" s="58"/>
      <c r="I371" s="58"/>
      <c r="J371" s="31"/>
      <c r="K371" s="20"/>
      <c r="L371" s="20"/>
      <c r="M371" s="20"/>
      <c r="N371" s="20"/>
      <c r="O371" s="20"/>
      <c r="P371" s="20"/>
      <c r="Q371" s="20"/>
      <c r="R371" s="20"/>
      <c r="S371" s="20"/>
      <c r="T371" s="20"/>
      <c r="U371" s="20"/>
      <c r="V371" s="20"/>
      <c r="W371" s="20"/>
      <c r="X371" s="20"/>
      <c r="Y371" s="20"/>
      <c r="Z371" s="20"/>
      <c r="AA371" s="20"/>
    </row>
    <row r="372" spans="4:27" ht="17.25" customHeight="1">
      <c r="D372" s="57"/>
      <c r="E372" s="57"/>
      <c r="F372" s="58"/>
      <c r="G372" s="58"/>
      <c r="H372" s="58"/>
      <c r="I372" s="58"/>
      <c r="J372" s="31"/>
      <c r="K372" s="20"/>
      <c r="L372" s="20"/>
      <c r="M372" s="20"/>
      <c r="N372" s="20"/>
      <c r="O372" s="20"/>
      <c r="P372" s="20"/>
      <c r="Q372" s="20"/>
      <c r="R372" s="20"/>
      <c r="S372" s="20"/>
      <c r="T372" s="20"/>
      <c r="U372" s="20"/>
      <c r="V372" s="20"/>
      <c r="W372" s="20"/>
      <c r="X372" s="20"/>
      <c r="Y372" s="20"/>
      <c r="Z372" s="20"/>
      <c r="AA372" s="20"/>
    </row>
    <row r="373" spans="4:27" ht="17.25" customHeight="1">
      <c r="D373" s="57"/>
      <c r="E373" s="57"/>
      <c r="F373" s="58"/>
      <c r="G373" s="58"/>
      <c r="H373" s="58"/>
      <c r="I373" s="58"/>
      <c r="J373" s="31"/>
      <c r="K373" s="20"/>
      <c r="L373" s="20"/>
      <c r="M373" s="20"/>
      <c r="N373" s="20"/>
      <c r="O373" s="20"/>
      <c r="P373" s="20"/>
      <c r="Q373" s="20"/>
      <c r="R373" s="20"/>
      <c r="S373" s="20"/>
      <c r="T373" s="20"/>
      <c r="U373" s="20"/>
      <c r="V373" s="20"/>
      <c r="W373" s="20"/>
      <c r="X373" s="20"/>
      <c r="Y373" s="20"/>
      <c r="Z373" s="20"/>
      <c r="AA373" s="20"/>
    </row>
    <row r="374" spans="4:27" ht="17.25" customHeight="1">
      <c r="D374" s="57"/>
      <c r="E374" s="57"/>
      <c r="F374" s="58"/>
      <c r="G374" s="58"/>
      <c r="H374" s="58"/>
      <c r="I374" s="58"/>
      <c r="J374" s="31"/>
      <c r="K374" s="20"/>
      <c r="L374" s="20"/>
      <c r="M374" s="20"/>
      <c r="N374" s="20"/>
      <c r="O374" s="20"/>
      <c r="P374" s="20"/>
      <c r="Q374" s="20"/>
      <c r="R374" s="20"/>
      <c r="S374" s="20"/>
      <c r="T374" s="20"/>
      <c r="U374" s="20"/>
      <c r="V374" s="20"/>
      <c r="W374" s="20"/>
      <c r="X374" s="20"/>
      <c r="Y374" s="20"/>
      <c r="Z374" s="20"/>
      <c r="AA374" s="20"/>
    </row>
    <row r="375" spans="4:27" ht="17.25" customHeight="1">
      <c r="D375" s="57"/>
      <c r="E375" s="57"/>
      <c r="F375" s="58"/>
      <c r="G375" s="58"/>
      <c r="H375" s="58"/>
      <c r="I375" s="58"/>
      <c r="J375" s="31"/>
      <c r="K375" s="20"/>
      <c r="L375" s="20"/>
      <c r="M375" s="20"/>
      <c r="N375" s="20"/>
      <c r="O375" s="20"/>
      <c r="P375" s="20"/>
      <c r="Q375" s="20"/>
      <c r="R375" s="20"/>
      <c r="S375" s="20"/>
      <c r="T375" s="20"/>
      <c r="U375" s="20"/>
      <c r="V375" s="20"/>
      <c r="W375" s="20"/>
      <c r="X375" s="20"/>
      <c r="Y375" s="20"/>
      <c r="Z375" s="20"/>
      <c r="AA375" s="20"/>
    </row>
    <row r="376" spans="4:27" ht="17.25" customHeight="1">
      <c r="D376" s="57"/>
      <c r="E376" s="57"/>
      <c r="F376" s="58"/>
      <c r="G376" s="58"/>
      <c r="H376" s="58"/>
      <c r="I376" s="58"/>
      <c r="J376" s="31"/>
      <c r="K376" s="20"/>
      <c r="L376" s="20"/>
      <c r="M376" s="20"/>
      <c r="N376" s="20"/>
      <c r="O376" s="20"/>
      <c r="P376" s="20"/>
      <c r="Q376" s="20"/>
      <c r="R376" s="20"/>
      <c r="S376" s="20"/>
      <c r="T376" s="20"/>
      <c r="U376" s="20"/>
      <c r="V376" s="20"/>
      <c r="W376" s="20"/>
      <c r="X376" s="20"/>
      <c r="Y376" s="20"/>
      <c r="Z376" s="20"/>
      <c r="AA376" s="20"/>
    </row>
    <row r="377" spans="4:27" ht="17.25" customHeight="1">
      <c r="D377" s="57"/>
      <c r="E377" s="57"/>
      <c r="F377" s="58"/>
      <c r="G377" s="58"/>
      <c r="H377" s="58"/>
      <c r="I377" s="58"/>
      <c r="J377" s="31"/>
      <c r="K377" s="20"/>
      <c r="L377" s="20"/>
      <c r="M377" s="20"/>
      <c r="N377" s="20"/>
      <c r="O377" s="20"/>
      <c r="P377" s="20"/>
      <c r="Q377" s="20"/>
      <c r="R377" s="20"/>
      <c r="S377" s="20"/>
      <c r="T377" s="20"/>
      <c r="U377" s="20"/>
      <c r="V377" s="20"/>
      <c r="W377" s="20"/>
      <c r="X377" s="20"/>
      <c r="Y377" s="20"/>
      <c r="Z377" s="20"/>
      <c r="AA377" s="20"/>
    </row>
    <row r="378" spans="4:27" ht="17.25" customHeight="1">
      <c r="D378" s="57"/>
      <c r="E378" s="57"/>
      <c r="F378" s="58"/>
      <c r="G378" s="58"/>
      <c r="H378" s="58"/>
      <c r="I378" s="58"/>
      <c r="J378" s="31"/>
      <c r="K378" s="20"/>
      <c r="L378" s="20"/>
      <c r="M378" s="20"/>
      <c r="N378" s="20"/>
      <c r="O378" s="20"/>
      <c r="P378" s="20"/>
      <c r="Q378" s="20"/>
      <c r="R378" s="20"/>
      <c r="S378" s="20"/>
      <c r="T378" s="20"/>
      <c r="U378" s="20"/>
      <c r="V378" s="20"/>
      <c r="W378" s="20"/>
      <c r="X378" s="20"/>
      <c r="Y378" s="20"/>
      <c r="Z378" s="20"/>
      <c r="AA378" s="20"/>
    </row>
    <row r="379" spans="4:27" ht="17.25" customHeight="1">
      <c r="D379" s="57"/>
      <c r="E379" s="57"/>
      <c r="F379" s="58"/>
      <c r="G379" s="58"/>
      <c r="H379" s="58"/>
      <c r="I379" s="58"/>
      <c r="J379" s="31"/>
      <c r="K379" s="20"/>
      <c r="L379" s="20"/>
      <c r="M379" s="20"/>
      <c r="N379" s="20"/>
      <c r="O379" s="20"/>
      <c r="P379" s="20"/>
      <c r="Q379" s="20"/>
      <c r="R379" s="20"/>
      <c r="S379" s="20"/>
      <c r="T379" s="20"/>
      <c r="U379" s="20"/>
      <c r="V379" s="20"/>
      <c r="W379" s="20"/>
      <c r="X379" s="20"/>
      <c r="Y379" s="20"/>
      <c r="Z379" s="20"/>
      <c r="AA379" s="20"/>
    </row>
    <row r="380" spans="4:27" ht="17.25" customHeight="1">
      <c r="D380" s="57"/>
      <c r="E380" s="57"/>
      <c r="F380" s="58"/>
      <c r="G380" s="58"/>
      <c r="H380" s="58"/>
      <c r="I380" s="58"/>
      <c r="J380" s="31"/>
      <c r="K380" s="20"/>
      <c r="L380" s="20"/>
      <c r="M380" s="20"/>
      <c r="N380" s="20"/>
      <c r="O380" s="20"/>
      <c r="P380" s="20"/>
      <c r="Q380" s="20"/>
      <c r="R380" s="20"/>
      <c r="S380" s="20"/>
      <c r="T380" s="20"/>
      <c r="U380" s="20"/>
      <c r="V380" s="20"/>
      <c r="W380" s="20"/>
      <c r="X380" s="20"/>
      <c r="Y380" s="20"/>
      <c r="Z380" s="20"/>
      <c r="AA380" s="20"/>
    </row>
    <row r="381" spans="4:27" ht="17.25" customHeight="1">
      <c r="D381" s="57"/>
      <c r="E381" s="57"/>
      <c r="F381" s="58"/>
      <c r="G381" s="58"/>
      <c r="H381" s="58"/>
      <c r="I381" s="58"/>
      <c r="J381" s="31"/>
      <c r="K381" s="20"/>
      <c r="L381" s="20"/>
      <c r="M381" s="20"/>
      <c r="N381" s="20"/>
      <c r="O381" s="20"/>
      <c r="P381" s="20"/>
      <c r="Q381" s="20"/>
      <c r="R381" s="20"/>
      <c r="S381" s="20"/>
      <c r="T381" s="20"/>
      <c r="U381" s="20"/>
      <c r="V381" s="20"/>
      <c r="W381" s="20"/>
      <c r="X381" s="20"/>
      <c r="Y381" s="20"/>
      <c r="Z381" s="20"/>
      <c r="AA381" s="20"/>
    </row>
    <row r="382" spans="4:27" ht="17.25" customHeight="1">
      <c r="D382" s="57"/>
      <c r="E382" s="57"/>
      <c r="F382" s="58"/>
      <c r="G382" s="58"/>
      <c r="H382" s="58"/>
      <c r="I382" s="58"/>
      <c r="J382" s="31"/>
      <c r="K382" s="20"/>
      <c r="L382" s="20"/>
      <c r="M382" s="20"/>
      <c r="N382" s="20"/>
      <c r="O382" s="20"/>
      <c r="P382" s="20"/>
      <c r="Q382" s="20"/>
      <c r="R382" s="20"/>
      <c r="S382" s="20"/>
      <c r="T382" s="20"/>
      <c r="U382" s="20"/>
      <c r="V382" s="20"/>
      <c r="W382" s="20"/>
      <c r="X382" s="20"/>
      <c r="Y382" s="20"/>
      <c r="Z382" s="20"/>
      <c r="AA382" s="20"/>
    </row>
    <row r="383" spans="4:27" ht="17.25" customHeight="1">
      <c r="D383" s="57"/>
      <c r="E383" s="57"/>
      <c r="F383" s="58"/>
      <c r="G383" s="58"/>
      <c r="H383" s="58"/>
      <c r="I383" s="58"/>
      <c r="J383" s="31"/>
      <c r="K383" s="20"/>
      <c r="L383" s="20"/>
      <c r="M383" s="20"/>
      <c r="N383" s="20"/>
      <c r="O383" s="20"/>
      <c r="P383" s="20"/>
      <c r="Q383" s="20"/>
      <c r="R383" s="20"/>
      <c r="S383" s="20"/>
      <c r="T383" s="20"/>
      <c r="U383" s="20"/>
      <c r="V383" s="20"/>
      <c r="W383" s="20"/>
      <c r="X383" s="20"/>
      <c r="Y383" s="20"/>
      <c r="Z383" s="20"/>
      <c r="AA383" s="20"/>
    </row>
    <row r="384" spans="4:27" ht="17.25" customHeight="1">
      <c r="D384" s="57"/>
      <c r="E384" s="57"/>
      <c r="F384" s="58"/>
      <c r="G384" s="58"/>
      <c r="H384" s="58"/>
      <c r="I384" s="58"/>
      <c r="J384" s="31"/>
      <c r="K384" s="20"/>
      <c r="L384" s="20"/>
      <c r="M384" s="20"/>
      <c r="N384" s="20"/>
      <c r="O384" s="20"/>
      <c r="P384" s="20"/>
      <c r="Q384" s="20"/>
      <c r="R384" s="20"/>
      <c r="S384" s="20"/>
      <c r="T384" s="20"/>
      <c r="U384" s="20"/>
      <c r="V384" s="20"/>
      <c r="W384" s="20"/>
      <c r="X384" s="20"/>
      <c r="Y384" s="20"/>
      <c r="Z384" s="20"/>
      <c r="AA384" s="20"/>
    </row>
    <row r="385" spans="4:27" ht="17.25" customHeight="1">
      <c r="D385" s="57"/>
      <c r="E385" s="57"/>
      <c r="F385" s="58"/>
      <c r="G385" s="58"/>
      <c r="H385" s="58"/>
      <c r="I385" s="58"/>
      <c r="J385" s="31"/>
      <c r="K385" s="20"/>
      <c r="L385" s="20"/>
      <c r="M385" s="20"/>
      <c r="N385" s="20"/>
      <c r="O385" s="20"/>
      <c r="P385" s="20"/>
      <c r="Q385" s="20"/>
      <c r="R385" s="20"/>
      <c r="S385" s="20"/>
      <c r="T385" s="20"/>
      <c r="U385" s="20"/>
      <c r="V385" s="20"/>
      <c r="W385" s="20"/>
      <c r="X385" s="20"/>
      <c r="Y385" s="20"/>
      <c r="Z385" s="20"/>
      <c r="AA385" s="20"/>
    </row>
    <row r="386" spans="4:27" ht="17.25" customHeight="1">
      <c r="D386" s="57"/>
      <c r="E386" s="57"/>
      <c r="F386" s="58"/>
      <c r="G386" s="58"/>
      <c r="H386" s="58"/>
      <c r="I386" s="58"/>
      <c r="J386" s="31"/>
      <c r="K386" s="20"/>
      <c r="L386" s="20"/>
      <c r="M386" s="20"/>
      <c r="N386" s="20"/>
      <c r="O386" s="20"/>
      <c r="P386" s="20"/>
      <c r="Q386" s="20"/>
      <c r="R386" s="20"/>
      <c r="S386" s="20"/>
      <c r="T386" s="20"/>
      <c r="U386" s="20"/>
      <c r="V386" s="20"/>
      <c r="W386" s="20"/>
      <c r="X386" s="20"/>
      <c r="Y386" s="20"/>
      <c r="Z386" s="20"/>
      <c r="AA386" s="20"/>
    </row>
    <row r="387" spans="4:27" ht="17.25" customHeight="1">
      <c r="D387" s="57"/>
      <c r="E387" s="57"/>
      <c r="F387" s="58"/>
      <c r="G387" s="58"/>
      <c r="H387" s="58"/>
      <c r="I387" s="58"/>
      <c r="J387" s="31"/>
      <c r="K387" s="20"/>
      <c r="L387" s="20"/>
      <c r="M387" s="20"/>
      <c r="N387" s="20"/>
      <c r="O387" s="20"/>
      <c r="P387" s="20"/>
      <c r="Q387" s="20"/>
      <c r="R387" s="20"/>
      <c r="S387" s="20"/>
      <c r="T387" s="20"/>
      <c r="U387" s="20"/>
      <c r="V387" s="20"/>
      <c r="W387" s="20"/>
      <c r="X387" s="20"/>
      <c r="Y387" s="20"/>
      <c r="Z387" s="20"/>
      <c r="AA387" s="20"/>
    </row>
    <row r="388" spans="4:27" ht="17.25" customHeight="1">
      <c r="D388" s="57"/>
      <c r="E388" s="57"/>
      <c r="F388" s="58"/>
      <c r="G388" s="58"/>
      <c r="H388" s="58"/>
      <c r="I388" s="58"/>
      <c r="J388" s="31"/>
      <c r="K388" s="20"/>
      <c r="L388" s="20"/>
      <c r="M388" s="20"/>
      <c r="N388" s="20"/>
      <c r="O388" s="20"/>
      <c r="P388" s="20"/>
      <c r="Q388" s="20"/>
      <c r="R388" s="20"/>
      <c r="S388" s="20"/>
      <c r="T388" s="20"/>
      <c r="U388" s="20"/>
      <c r="V388" s="20"/>
      <c r="W388" s="20"/>
      <c r="X388" s="20"/>
      <c r="Y388" s="20"/>
      <c r="Z388" s="20"/>
      <c r="AA388" s="20"/>
    </row>
    <row r="389" spans="4:27" ht="17.25" customHeight="1">
      <c r="D389" s="57"/>
      <c r="E389" s="57"/>
      <c r="F389" s="58"/>
      <c r="G389" s="58"/>
      <c r="H389" s="58"/>
      <c r="I389" s="58"/>
      <c r="J389" s="31"/>
      <c r="K389" s="20"/>
      <c r="L389" s="20"/>
      <c r="M389" s="20"/>
      <c r="N389" s="20"/>
      <c r="O389" s="20"/>
      <c r="P389" s="20"/>
      <c r="Q389" s="20"/>
      <c r="R389" s="20"/>
      <c r="S389" s="20"/>
      <c r="T389" s="20"/>
      <c r="U389" s="20"/>
      <c r="V389" s="20"/>
      <c r="W389" s="20"/>
      <c r="X389" s="20"/>
      <c r="Y389" s="20"/>
      <c r="Z389" s="20"/>
      <c r="AA389" s="20"/>
    </row>
    <row r="390" spans="4:27" ht="17.25" customHeight="1">
      <c r="D390" s="57"/>
      <c r="E390" s="57"/>
      <c r="F390" s="58"/>
      <c r="G390" s="58"/>
      <c r="H390" s="58"/>
      <c r="I390" s="58"/>
      <c r="J390" s="31"/>
      <c r="K390" s="20"/>
      <c r="L390" s="20"/>
      <c r="M390" s="20"/>
      <c r="N390" s="20"/>
      <c r="O390" s="20"/>
      <c r="P390" s="20"/>
      <c r="Q390" s="20"/>
      <c r="R390" s="20"/>
      <c r="S390" s="20"/>
      <c r="T390" s="20"/>
      <c r="U390" s="20"/>
      <c r="V390" s="20"/>
      <c r="W390" s="20"/>
      <c r="X390" s="20"/>
      <c r="Y390" s="20"/>
      <c r="Z390" s="20"/>
      <c r="AA390" s="20"/>
    </row>
    <row r="391" spans="4:27" ht="17.25" customHeight="1">
      <c r="D391" s="57"/>
      <c r="E391" s="57"/>
      <c r="F391" s="58"/>
      <c r="G391" s="58"/>
      <c r="H391" s="58"/>
      <c r="I391" s="58"/>
      <c r="J391" s="31"/>
      <c r="K391" s="20"/>
      <c r="L391" s="20"/>
      <c r="M391" s="20"/>
      <c r="N391" s="20"/>
      <c r="O391" s="20"/>
      <c r="P391" s="20"/>
      <c r="Q391" s="20"/>
      <c r="R391" s="20"/>
      <c r="S391" s="20"/>
      <c r="T391" s="20"/>
      <c r="U391" s="20"/>
      <c r="V391" s="20"/>
      <c r="W391" s="20"/>
      <c r="X391" s="20"/>
      <c r="Y391" s="20"/>
      <c r="Z391" s="20"/>
      <c r="AA391" s="20"/>
    </row>
    <row r="392" spans="4:27" ht="17.25" customHeight="1">
      <c r="D392" s="57"/>
      <c r="E392" s="57"/>
      <c r="F392" s="58"/>
      <c r="G392" s="58"/>
      <c r="H392" s="58"/>
      <c r="I392" s="58"/>
      <c r="J392" s="31"/>
      <c r="K392" s="20"/>
      <c r="L392" s="20"/>
      <c r="M392" s="20"/>
      <c r="N392" s="20"/>
      <c r="O392" s="20"/>
      <c r="P392" s="20"/>
      <c r="Q392" s="20"/>
      <c r="R392" s="20"/>
      <c r="S392" s="20"/>
      <c r="T392" s="20"/>
      <c r="U392" s="20"/>
      <c r="V392" s="20"/>
      <c r="W392" s="20"/>
      <c r="X392" s="20"/>
      <c r="Y392" s="20"/>
      <c r="Z392" s="20"/>
      <c r="AA392" s="20"/>
    </row>
    <row r="393" spans="4:27" ht="17.25" customHeight="1">
      <c r="D393" s="57"/>
      <c r="E393" s="57"/>
      <c r="F393" s="58"/>
      <c r="G393" s="58"/>
      <c r="H393" s="58"/>
      <c r="I393" s="58"/>
      <c r="J393" s="31"/>
      <c r="K393" s="20"/>
      <c r="L393" s="20"/>
      <c r="M393" s="20"/>
      <c r="N393" s="20"/>
      <c r="O393" s="20"/>
      <c r="P393" s="20"/>
      <c r="Q393" s="20"/>
      <c r="R393" s="20"/>
      <c r="S393" s="20"/>
      <c r="T393" s="20"/>
      <c r="U393" s="20"/>
      <c r="V393" s="20"/>
      <c r="W393" s="20"/>
      <c r="X393" s="20"/>
      <c r="Y393" s="20"/>
      <c r="Z393" s="20"/>
      <c r="AA393" s="20"/>
    </row>
    <row r="394" spans="4:27" ht="17.25" customHeight="1">
      <c r="D394" s="57"/>
      <c r="E394" s="57"/>
      <c r="F394" s="58"/>
      <c r="G394" s="58"/>
      <c r="H394" s="58"/>
      <c r="I394" s="58"/>
      <c r="J394" s="31"/>
      <c r="K394" s="20"/>
      <c r="L394" s="20"/>
      <c r="M394" s="20"/>
      <c r="N394" s="20"/>
      <c r="O394" s="20"/>
      <c r="P394" s="20"/>
      <c r="Q394" s="20"/>
      <c r="R394" s="20"/>
      <c r="S394" s="20"/>
      <c r="T394" s="20"/>
      <c r="U394" s="20"/>
      <c r="V394" s="20"/>
      <c r="W394" s="20"/>
      <c r="X394" s="20"/>
      <c r="Y394" s="20"/>
      <c r="Z394" s="20"/>
      <c r="AA394" s="20"/>
    </row>
    <row r="395" spans="4:27" ht="17.25" customHeight="1">
      <c r="D395" s="57"/>
      <c r="E395" s="57"/>
      <c r="F395" s="58"/>
      <c r="G395" s="58"/>
      <c r="H395" s="58"/>
      <c r="I395" s="58"/>
      <c r="J395" s="31"/>
      <c r="K395" s="20"/>
      <c r="L395" s="20"/>
      <c r="M395" s="20"/>
      <c r="N395" s="20"/>
      <c r="O395" s="20"/>
      <c r="P395" s="20"/>
      <c r="Q395" s="20"/>
      <c r="R395" s="20"/>
      <c r="S395" s="20"/>
      <c r="T395" s="20"/>
      <c r="U395" s="20"/>
      <c r="V395" s="20"/>
      <c r="W395" s="20"/>
      <c r="X395" s="20"/>
      <c r="Y395" s="20"/>
      <c r="Z395" s="20"/>
      <c r="AA395" s="20"/>
    </row>
    <row r="396" spans="4:27" ht="17.25" customHeight="1">
      <c r="D396" s="57"/>
      <c r="E396" s="57"/>
      <c r="F396" s="58"/>
      <c r="G396" s="58"/>
      <c r="H396" s="58"/>
      <c r="I396" s="58"/>
      <c r="J396" s="31"/>
      <c r="K396" s="20"/>
      <c r="L396" s="20"/>
      <c r="M396" s="20"/>
      <c r="N396" s="20"/>
      <c r="O396" s="20"/>
      <c r="P396" s="20"/>
      <c r="Q396" s="20"/>
      <c r="R396" s="20"/>
      <c r="S396" s="20"/>
      <c r="T396" s="20"/>
      <c r="U396" s="20"/>
      <c r="V396" s="20"/>
      <c r="W396" s="20"/>
      <c r="X396" s="20"/>
      <c r="Y396" s="20"/>
      <c r="Z396" s="20"/>
      <c r="AA396" s="20"/>
    </row>
    <row r="397" spans="4:27" ht="17.25" customHeight="1">
      <c r="D397" s="57"/>
      <c r="E397" s="57"/>
      <c r="F397" s="58"/>
      <c r="G397" s="58"/>
      <c r="H397" s="58"/>
      <c r="I397" s="58"/>
      <c r="J397" s="31"/>
      <c r="K397" s="20"/>
      <c r="L397" s="20"/>
      <c r="M397" s="20"/>
      <c r="N397" s="20"/>
      <c r="O397" s="20"/>
      <c r="P397" s="20"/>
      <c r="Q397" s="20"/>
      <c r="R397" s="20"/>
      <c r="S397" s="20"/>
      <c r="T397" s="20"/>
      <c r="U397" s="20"/>
      <c r="V397" s="20"/>
      <c r="W397" s="20"/>
      <c r="X397" s="20"/>
      <c r="Y397" s="20"/>
      <c r="Z397" s="20"/>
      <c r="AA397" s="20"/>
    </row>
    <row r="398" spans="4:27" ht="17.25" customHeight="1">
      <c r="D398" s="57"/>
      <c r="E398" s="57"/>
      <c r="F398" s="58"/>
      <c r="G398" s="58"/>
      <c r="H398" s="58"/>
      <c r="I398" s="58"/>
      <c r="J398" s="31"/>
      <c r="K398" s="20"/>
      <c r="L398" s="20"/>
      <c r="M398" s="20"/>
      <c r="N398" s="20"/>
      <c r="O398" s="20"/>
      <c r="P398" s="20"/>
      <c r="Q398" s="20"/>
      <c r="R398" s="20"/>
      <c r="S398" s="20"/>
      <c r="T398" s="20"/>
      <c r="U398" s="20"/>
      <c r="V398" s="20"/>
      <c r="W398" s="20"/>
      <c r="X398" s="20"/>
      <c r="Y398" s="20"/>
      <c r="Z398" s="20"/>
      <c r="AA398" s="20"/>
    </row>
    <row r="399" spans="4:27" ht="17.25" customHeight="1">
      <c r="D399" s="57"/>
      <c r="E399" s="57"/>
      <c r="F399" s="58"/>
      <c r="G399" s="58"/>
      <c r="H399" s="58"/>
      <c r="I399" s="58"/>
      <c r="J399" s="31"/>
      <c r="K399" s="20"/>
      <c r="L399" s="20"/>
      <c r="M399" s="20"/>
      <c r="N399" s="20"/>
      <c r="O399" s="20"/>
      <c r="P399" s="20"/>
      <c r="Q399" s="20"/>
      <c r="R399" s="20"/>
      <c r="S399" s="20"/>
      <c r="T399" s="20"/>
      <c r="U399" s="20"/>
      <c r="V399" s="20"/>
      <c r="W399" s="20"/>
      <c r="X399" s="20"/>
      <c r="Y399" s="20"/>
      <c r="Z399" s="20"/>
      <c r="AA399" s="20"/>
    </row>
    <row r="400" spans="4:27" ht="17.25" customHeight="1">
      <c r="D400" s="57"/>
      <c r="E400" s="57"/>
      <c r="F400" s="58"/>
      <c r="G400" s="58"/>
      <c r="H400" s="58"/>
      <c r="I400" s="58"/>
      <c r="J400" s="31"/>
      <c r="K400" s="20"/>
      <c r="L400" s="20"/>
      <c r="M400" s="20"/>
      <c r="N400" s="20"/>
      <c r="O400" s="20"/>
      <c r="P400" s="20"/>
      <c r="Q400" s="20"/>
      <c r="R400" s="20"/>
      <c r="S400" s="20"/>
      <c r="T400" s="20"/>
      <c r="U400" s="20"/>
      <c r="V400" s="20"/>
      <c r="W400" s="20"/>
      <c r="X400" s="20"/>
      <c r="Y400" s="20"/>
      <c r="Z400" s="20"/>
      <c r="AA400" s="20"/>
    </row>
    <row r="401" spans="4:27" ht="17.25" customHeight="1">
      <c r="D401" s="57"/>
      <c r="E401" s="57"/>
      <c r="F401" s="58"/>
      <c r="G401" s="58"/>
      <c r="H401" s="58"/>
      <c r="I401" s="58"/>
      <c r="J401" s="31"/>
      <c r="K401" s="20"/>
      <c r="L401" s="20"/>
      <c r="M401" s="20"/>
      <c r="N401" s="20"/>
      <c r="O401" s="20"/>
      <c r="P401" s="20"/>
      <c r="Q401" s="20"/>
      <c r="R401" s="20"/>
      <c r="S401" s="20"/>
      <c r="T401" s="20"/>
      <c r="U401" s="20"/>
      <c r="V401" s="20"/>
      <c r="W401" s="20"/>
      <c r="X401" s="20"/>
      <c r="Y401" s="20"/>
      <c r="Z401" s="20"/>
      <c r="AA401" s="20"/>
    </row>
    <row r="402" spans="4:27" ht="17.25" customHeight="1">
      <c r="D402" s="57"/>
      <c r="E402" s="57"/>
      <c r="F402" s="58"/>
      <c r="G402" s="58"/>
      <c r="H402" s="58"/>
      <c r="I402" s="58"/>
      <c r="J402" s="31"/>
      <c r="K402" s="20"/>
      <c r="L402" s="20"/>
      <c r="M402" s="20"/>
      <c r="N402" s="20"/>
      <c r="O402" s="20"/>
      <c r="P402" s="20"/>
      <c r="Q402" s="20"/>
      <c r="R402" s="20"/>
      <c r="S402" s="20"/>
      <c r="T402" s="20"/>
      <c r="U402" s="20"/>
      <c r="V402" s="20"/>
      <c r="W402" s="20"/>
      <c r="X402" s="20"/>
      <c r="Y402" s="20"/>
      <c r="Z402" s="20"/>
      <c r="AA402" s="20"/>
    </row>
    <row r="403" spans="4:27" ht="17.25" customHeight="1">
      <c r="D403" s="57"/>
      <c r="E403" s="57"/>
      <c r="F403" s="58"/>
      <c r="G403" s="58"/>
      <c r="H403" s="58"/>
      <c r="I403" s="58"/>
      <c r="J403" s="31"/>
      <c r="K403" s="20"/>
      <c r="L403" s="20"/>
      <c r="M403" s="20"/>
      <c r="N403" s="20"/>
      <c r="O403" s="20"/>
      <c r="P403" s="20"/>
      <c r="Q403" s="20"/>
      <c r="R403" s="20"/>
      <c r="S403" s="20"/>
      <c r="T403" s="20"/>
      <c r="U403" s="20"/>
      <c r="V403" s="20"/>
      <c r="W403" s="20"/>
      <c r="X403" s="20"/>
      <c r="Y403" s="20"/>
      <c r="Z403" s="20"/>
      <c r="AA403" s="20"/>
    </row>
    <row r="404" spans="4:27" ht="17.25" customHeight="1">
      <c r="D404" s="57"/>
      <c r="E404" s="57"/>
      <c r="F404" s="58"/>
      <c r="G404" s="58"/>
      <c r="H404" s="58"/>
      <c r="I404" s="58"/>
      <c r="J404" s="31"/>
      <c r="K404" s="20"/>
      <c r="L404" s="20"/>
      <c r="M404" s="20"/>
      <c r="N404" s="20"/>
      <c r="O404" s="20"/>
      <c r="P404" s="20"/>
      <c r="Q404" s="20"/>
      <c r="R404" s="20"/>
      <c r="S404" s="20"/>
      <c r="T404" s="20"/>
      <c r="U404" s="20"/>
      <c r="V404" s="20"/>
      <c r="W404" s="20"/>
      <c r="X404" s="20"/>
      <c r="Y404" s="20"/>
      <c r="Z404" s="20"/>
      <c r="AA404" s="20"/>
    </row>
    <row r="405" spans="4:27" ht="17.25" customHeight="1">
      <c r="D405" s="57"/>
      <c r="E405" s="57"/>
      <c r="F405" s="58"/>
      <c r="G405" s="58"/>
      <c r="H405" s="58"/>
      <c r="I405" s="58"/>
      <c r="J405" s="31"/>
      <c r="K405" s="20"/>
      <c r="L405" s="20"/>
      <c r="M405" s="20"/>
      <c r="N405" s="20"/>
      <c r="O405" s="20"/>
      <c r="P405" s="20"/>
      <c r="Q405" s="20"/>
      <c r="R405" s="20"/>
      <c r="S405" s="20"/>
      <c r="T405" s="20"/>
      <c r="U405" s="20"/>
      <c r="V405" s="20"/>
      <c r="W405" s="20"/>
      <c r="X405" s="20"/>
      <c r="Y405" s="20"/>
      <c r="Z405" s="20"/>
      <c r="AA405" s="20"/>
    </row>
    <row r="406" spans="4:27" ht="17.25" customHeight="1">
      <c r="D406" s="57"/>
      <c r="E406" s="57"/>
      <c r="F406" s="58"/>
      <c r="G406" s="58"/>
      <c r="H406" s="58"/>
      <c r="I406" s="58"/>
      <c r="J406" s="31"/>
      <c r="K406" s="20"/>
      <c r="L406" s="20"/>
      <c r="M406" s="20"/>
      <c r="N406" s="20"/>
      <c r="O406" s="20"/>
      <c r="P406" s="20"/>
      <c r="Q406" s="20"/>
      <c r="R406" s="20"/>
      <c r="S406" s="20"/>
      <c r="T406" s="20"/>
      <c r="U406" s="20"/>
      <c r="V406" s="20"/>
      <c r="W406" s="20"/>
      <c r="X406" s="20"/>
      <c r="Y406" s="20"/>
      <c r="Z406" s="20"/>
      <c r="AA406" s="20"/>
    </row>
    <row r="407" spans="4:27" ht="17.25" customHeight="1">
      <c r="D407" s="57"/>
      <c r="E407" s="57"/>
      <c r="F407" s="58"/>
      <c r="G407" s="58"/>
      <c r="H407" s="58"/>
      <c r="I407" s="58"/>
      <c r="J407" s="31"/>
      <c r="K407" s="20"/>
      <c r="L407" s="20"/>
      <c r="M407" s="20"/>
      <c r="N407" s="20"/>
      <c r="O407" s="20"/>
      <c r="P407" s="20"/>
      <c r="Q407" s="20"/>
      <c r="R407" s="20"/>
      <c r="S407" s="20"/>
      <c r="T407" s="20"/>
      <c r="U407" s="20"/>
      <c r="V407" s="20"/>
      <c r="W407" s="20"/>
      <c r="X407" s="20"/>
      <c r="Y407" s="20"/>
      <c r="Z407" s="20"/>
      <c r="AA407" s="20"/>
    </row>
    <row r="408" spans="4:27" ht="17.25" customHeight="1">
      <c r="D408" s="57"/>
      <c r="E408" s="57"/>
      <c r="F408" s="58"/>
      <c r="G408" s="58"/>
      <c r="H408" s="58"/>
      <c r="I408" s="58"/>
      <c r="J408" s="31"/>
      <c r="K408" s="20"/>
      <c r="L408" s="20"/>
      <c r="M408" s="20"/>
      <c r="N408" s="20"/>
      <c r="O408" s="20"/>
      <c r="P408" s="20"/>
      <c r="Q408" s="20"/>
      <c r="R408" s="20"/>
      <c r="S408" s="20"/>
      <c r="T408" s="20"/>
      <c r="U408" s="20"/>
      <c r="V408" s="20"/>
      <c r="W408" s="20"/>
      <c r="X408" s="20"/>
      <c r="Y408" s="20"/>
      <c r="Z408" s="20"/>
      <c r="AA408" s="20"/>
    </row>
    <row r="409" spans="4:27" ht="17.25" customHeight="1">
      <c r="D409" s="57"/>
      <c r="E409" s="57"/>
      <c r="F409" s="58"/>
      <c r="G409" s="58"/>
      <c r="H409" s="58"/>
      <c r="I409" s="58"/>
      <c r="J409" s="31"/>
      <c r="K409" s="20"/>
      <c r="L409" s="20"/>
      <c r="M409" s="20"/>
      <c r="N409" s="20"/>
      <c r="O409" s="20"/>
      <c r="P409" s="20"/>
      <c r="Q409" s="20"/>
      <c r="R409" s="20"/>
      <c r="S409" s="20"/>
      <c r="T409" s="20"/>
      <c r="U409" s="20"/>
      <c r="V409" s="20"/>
      <c r="W409" s="20"/>
      <c r="X409" s="20"/>
      <c r="Y409" s="20"/>
      <c r="Z409" s="20"/>
      <c r="AA409" s="20"/>
    </row>
    <row r="410" spans="4:27" ht="17.25" customHeight="1">
      <c r="D410" s="57"/>
      <c r="E410" s="57"/>
      <c r="F410" s="58"/>
      <c r="G410" s="58"/>
      <c r="H410" s="58"/>
      <c r="I410" s="58"/>
      <c r="J410" s="31"/>
      <c r="K410" s="20"/>
      <c r="L410" s="20"/>
      <c r="M410" s="20"/>
      <c r="N410" s="20"/>
      <c r="O410" s="20"/>
      <c r="P410" s="20"/>
      <c r="Q410" s="20"/>
      <c r="R410" s="20"/>
      <c r="S410" s="20"/>
      <c r="T410" s="20"/>
      <c r="U410" s="20"/>
      <c r="V410" s="20"/>
      <c r="W410" s="20"/>
      <c r="X410" s="20"/>
      <c r="Y410" s="20"/>
      <c r="Z410" s="20"/>
      <c r="AA410" s="20"/>
    </row>
    <row r="411" spans="4:27" ht="17.25" customHeight="1">
      <c r="D411" s="57"/>
      <c r="E411" s="57"/>
      <c r="F411" s="58"/>
      <c r="G411" s="58"/>
      <c r="H411" s="58"/>
      <c r="I411" s="58"/>
      <c r="J411" s="31"/>
      <c r="K411" s="20"/>
      <c r="L411" s="20"/>
      <c r="M411" s="20"/>
      <c r="N411" s="20"/>
      <c r="O411" s="20"/>
      <c r="P411" s="20"/>
      <c r="Q411" s="20"/>
      <c r="R411" s="20"/>
      <c r="S411" s="20"/>
      <c r="T411" s="20"/>
      <c r="U411" s="20"/>
      <c r="V411" s="20"/>
      <c r="W411" s="20"/>
      <c r="X411" s="20"/>
      <c r="Y411" s="20"/>
      <c r="Z411" s="20"/>
      <c r="AA411" s="20"/>
    </row>
    <row r="412" spans="4:27" ht="17.25" customHeight="1">
      <c r="D412" s="57"/>
      <c r="E412" s="57"/>
      <c r="F412" s="58"/>
      <c r="G412" s="58"/>
      <c r="H412" s="58"/>
      <c r="I412" s="58"/>
      <c r="J412" s="31"/>
      <c r="K412" s="20"/>
      <c r="L412" s="20"/>
      <c r="M412" s="20"/>
      <c r="N412" s="20"/>
      <c r="O412" s="20"/>
      <c r="P412" s="20"/>
      <c r="Q412" s="20"/>
      <c r="R412" s="20"/>
      <c r="S412" s="20"/>
      <c r="T412" s="20"/>
      <c r="U412" s="20"/>
      <c r="V412" s="20"/>
      <c r="W412" s="20"/>
      <c r="X412" s="20"/>
      <c r="Y412" s="20"/>
      <c r="Z412" s="20"/>
      <c r="AA412" s="20"/>
    </row>
    <row r="413" spans="4:27" ht="17.25" customHeight="1">
      <c r="D413" s="57"/>
      <c r="E413" s="57"/>
      <c r="F413" s="58"/>
      <c r="G413" s="58"/>
      <c r="H413" s="58"/>
      <c r="I413" s="58"/>
      <c r="J413" s="31"/>
      <c r="K413" s="20"/>
      <c r="L413" s="20"/>
      <c r="M413" s="20"/>
      <c r="N413" s="20"/>
      <c r="O413" s="20"/>
      <c r="P413" s="20"/>
      <c r="Q413" s="20"/>
      <c r="R413" s="20"/>
      <c r="S413" s="20"/>
      <c r="T413" s="20"/>
      <c r="U413" s="20"/>
      <c r="V413" s="20"/>
      <c r="W413" s="20"/>
      <c r="X413" s="20"/>
      <c r="Y413" s="20"/>
      <c r="Z413" s="20"/>
      <c r="AA413" s="20"/>
    </row>
    <row r="414" spans="4:27" ht="17.25" customHeight="1">
      <c r="D414" s="57"/>
      <c r="E414" s="57"/>
      <c r="F414" s="58"/>
      <c r="G414" s="58"/>
      <c r="H414" s="58"/>
      <c r="I414" s="58"/>
      <c r="J414" s="31"/>
      <c r="K414" s="20"/>
      <c r="L414" s="20"/>
      <c r="M414" s="20"/>
      <c r="N414" s="20"/>
      <c r="O414" s="20"/>
      <c r="P414" s="20"/>
      <c r="Q414" s="20"/>
      <c r="R414" s="20"/>
      <c r="S414" s="20"/>
      <c r="T414" s="20"/>
      <c r="U414" s="20"/>
      <c r="V414" s="20"/>
      <c r="W414" s="20"/>
      <c r="X414" s="20"/>
      <c r="Y414" s="20"/>
      <c r="Z414" s="20"/>
      <c r="AA414" s="20"/>
    </row>
    <row r="415" spans="4:27" ht="17.25" customHeight="1">
      <c r="D415" s="57"/>
      <c r="E415" s="57"/>
      <c r="F415" s="58"/>
      <c r="G415" s="58"/>
      <c r="H415" s="58"/>
      <c r="I415" s="58"/>
      <c r="J415" s="31"/>
      <c r="K415" s="20"/>
      <c r="L415" s="20"/>
      <c r="M415" s="20"/>
      <c r="N415" s="20"/>
      <c r="O415" s="20"/>
      <c r="P415" s="20"/>
      <c r="Q415" s="20"/>
      <c r="R415" s="20"/>
      <c r="S415" s="20"/>
      <c r="T415" s="20"/>
      <c r="U415" s="20"/>
      <c r="V415" s="20"/>
      <c r="W415" s="20"/>
      <c r="X415" s="20"/>
      <c r="Y415" s="20"/>
      <c r="Z415" s="20"/>
      <c r="AA415" s="20"/>
    </row>
    <row r="416" spans="4:27" ht="17.25" customHeight="1">
      <c r="D416" s="57"/>
      <c r="E416" s="57"/>
      <c r="F416" s="58"/>
      <c r="G416" s="58"/>
      <c r="H416" s="58"/>
      <c r="I416" s="58"/>
      <c r="J416" s="31"/>
      <c r="K416" s="20"/>
      <c r="L416" s="20"/>
      <c r="M416" s="20"/>
      <c r="N416" s="20"/>
      <c r="O416" s="20"/>
      <c r="P416" s="20"/>
      <c r="Q416" s="20"/>
      <c r="R416" s="20"/>
      <c r="S416" s="20"/>
      <c r="T416" s="20"/>
      <c r="U416" s="20"/>
      <c r="V416" s="20"/>
      <c r="W416" s="20"/>
      <c r="X416" s="20"/>
      <c r="Y416" s="20"/>
      <c r="Z416" s="20"/>
      <c r="AA416" s="20"/>
    </row>
    <row r="417" spans="4:27" ht="17.25" customHeight="1">
      <c r="D417" s="57"/>
      <c r="E417" s="57"/>
      <c r="F417" s="58"/>
      <c r="G417" s="58"/>
      <c r="H417" s="58"/>
      <c r="I417" s="58"/>
      <c r="J417" s="31"/>
      <c r="K417" s="20"/>
      <c r="L417" s="20"/>
      <c r="M417" s="20"/>
      <c r="N417" s="20"/>
      <c r="O417" s="20"/>
      <c r="P417" s="20"/>
      <c r="Q417" s="20"/>
      <c r="R417" s="20"/>
      <c r="S417" s="20"/>
      <c r="T417" s="20"/>
      <c r="U417" s="20"/>
      <c r="V417" s="20"/>
      <c r="W417" s="20"/>
      <c r="X417" s="20"/>
      <c r="Y417" s="20"/>
      <c r="Z417" s="20"/>
      <c r="AA417" s="20"/>
    </row>
    <row r="418" spans="4:27" ht="17.25" customHeight="1">
      <c r="D418" s="57"/>
      <c r="E418" s="57"/>
      <c r="F418" s="58"/>
      <c r="G418" s="58"/>
      <c r="H418" s="58"/>
      <c r="I418" s="58"/>
      <c r="J418" s="31"/>
      <c r="K418" s="20"/>
      <c r="L418" s="20"/>
      <c r="M418" s="20"/>
      <c r="N418" s="20"/>
      <c r="O418" s="20"/>
      <c r="P418" s="20"/>
      <c r="Q418" s="20"/>
      <c r="R418" s="20"/>
      <c r="S418" s="20"/>
      <c r="T418" s="20"/>
      <c r="U418" s="20"/>
      <c r="V418" s="20"/>
      <c r="W418" s="20"/>
      <c r="X418" s="20"/>
      <c r="Y418" s="20"/>
      <c r="Z418" s="20"/>
      <c r="AA418" s="20"/>
    </row>
    <row r="419" spans="4:27" ht="17.25" customHeight="1">
      <c r="D419" s="57"/>
      <c r="E419" s="57"/>
      <c r="F419" s="58"/>
      <c r="G419" s="58"/>
      <c r="H419" s="58"/>
      <c r="I419" s="58"/>
      <c r="J419" s="31"/>
      <c r="K419" s="20"/>
      <c r="L419" s="20"/>
      <c r="M419" s="20"/>
      <c r="N419" s="20"/>
      <c r="O419" s="20"/>
      <c r="P419" s="20"/>
      <c r="Q419" s="20"/>
      <c r="R419" s="20"/>
      <c r="S419" s="20"/>
      <c r="T419" s="20"/>
      <c r="U419" s="20"/>
      <c r="V419" s="20"/>
      <c r="W419" s="20"/>
      <c r="X419" s="20"/>
      <c r="Y419" s="20"/>
      <c r="Z419" s="20"/>
      <c r="AA419" s="20"/>
    </row>
    <row r="420" spans="4:27" ht="17.25" customHeight="1">
      <c r="D420" s="57"/>
      <c r="E420" s="57"/>
      <c r="F420" s="58"/>
      <c r="G420" s="58"/>
      <c r="H420" s="58"/>
      <c r="I420" s="58"/>
      <c r="J420" s="31"/>
      <c r="K420" s="20"/>
      <c r="L420" s="20"/>
      <c r="M420" s="20"/>
      <c r="N420" s="20"/>
      <c r="O420" s="20"/>
      <c r="P420" s="20"/>
      <c r="Q420" s="20"/>
      <c r="R420" s="20"/>
      <c r="S420" s="20"/>
      <c r="T420" s="20"/>
      <c r="U420" s="20"/>
      <c r="V420" s="20"/>
      <c r="W420" s="20"/>
      <c r="X420" s="20"/>
      <c r="Y420" s="20"/>
      <c r="Z420" s="20"/>
      <c r="AA420" s="20"/>
    </row>
    <row r="421" spans="4:27" ht="17.25" customHeight="1">
      <c r="D421" s="57"/>
      <c r="E421" s="57"/>
      <c r="F421" s="58"/>
      <c r="G421" s="58"/>
      <c r="H421" s="58"/>
      <c r="I421" s="58"/>
      <c r="J421" s="31"/>
      <c r="K421" s="20"/>
      <c r="L421" s="20"/>
      <c r="M421" s="20"/>
      <c r="N421" s="20"/>
      <c r="O421" s="20"/>
      <c r="P421" s="20"/>
      <c r="Q421" s="20"/>
      <c r="R421" s="20"/>
      <c r="S421" s="20"/>
      <c r="T421" s="20"/>
      <c r="U421" s="20"/>
      <c r="V421" s="20"/>
      <c r="W421" s="20"/>
      <c r="X421" s="20"/>
      <c r="Y421" s="20"/>
      <c r="Z421" s="20"/>
      <c r="AA421" s="20"/>
    </row>
    <row r="422" spans="4:27" ht="17.25" customHeight="1">
      <c r="D422" s="57"/>
      <c r="E422" s="57"/>
      <c r="F422" s="58"/>
      <c r="G422" s="58"/>
      <c r="H422" s="58"/>
      <c r="I422" s="58"/>
      <c r="J422" s="31"/>
      <c r="K422" s="20"/>
      <c r="L422" s="20"/>
      <c r="M422" s="20"/>
      <c r="N422" s="20"/>
      <c r="O422" s="20"/>
      <c r="P422" s="20"/>
      <c r="Q422" s="20"/>
      <c r="R422" s="20"/>
      <c r="S422" s="20"/>
      <c r="T422" s="20"/>
      <c r="U422" s="20"/>
      <c r="V422" s="20"/>
      <c r="W422" s="20"/>
      <c r="X422" s="20"/>
      <c r="Y422" s="20"/>
      <c r="Z422" s="20"/>
      <c r="AA422" s="20"/>
    </row>
    <row r="423" spans="4:27" ht="17.25" customHeight="1">
      <c r="D423" s="57"/>
      <c r="E423" s="57"/>
      <c r="F423" s="58"/>
      <c r="G423" s="58"/>
      <c r="H423" s="58"/>
      <c r="I423" s="58"/>
      <c r="J423" s="31"/>
      <c r="K423" s="20"/>
      <c r="L423" s="20"/>
      <c r="M423" s="20"/>
      <c r="N423" s="20"/>
      <c r="O423" s="20"/>
      <c r="P423" s="20"/>
      <c r="Q423" s="20"/>
      <c r="R423" s="20"/>
      <c r="S423" s="20"/>
      <c r="T423" s="20"/>
      <c r="U423" s="20"/>
      <c r="V423" s="20"/>
      <c r="W423" s="20"/>
      <c r="X423" s="20"/>
      <c r="Y423" s="20"/>
      <c r="Z423" s="20"/>
      <c r="AA423" s="20"/>
    </row>
    <row r="424" spans="4:27" ht="17.25" customHeight="1">
      <c r="D424" s="57"/>
      <c r="E424" s="57"/>
      <c r="F424" s="58"/>
      <c r="G424" s="58"/>
      <c r="H424" s="58"/>
      <c r="I424" s="58"/>
      <c r="J424" s="31"/>
      <c r="K424" s="20"/>
      <c r="L424" s="20"/>
      <c r="M424" s="20"/>
      <c r="N424" s="20"/>
      <c r="O424" s="20"/>
      <c r="P424" s="20"/>
      <c r="Q424" s="20"/>
      <c r="R424" s="20"/>
      <c r="S424" s="20"/>
      <c r="T424" s="20"/>
      <c r="U424" s="20"/>
      <c r="V424" s="20"/>
      <c r="W424" s="20"/>
      <c r="X424" s="20"/>
      <c r="Y424" s="20"/>
      <c r="Z424" s="20"/>
      <c r="AA424" s="20"/>
    </row>
    <row r="425" spans="4:27" ht="17.25" customHeight="1">
      <c r="D425" s="57"/>
      <c r="E425" s="57"/>
      <c r="F425" s="58"/>
      <c r="G425" s="58"/>
      <c r="H425" s="58"/>
      <c r="I425" s="58"/>
      <c r="J425" s="31"/>
      <c r="K425" s="20"/>
      <c r="L425" s="20"/>
      <c r="M425" s="20"/>
      <c r="N425" s="20"/>
      <c r="O425" s="20"/>
      <c r="P425" s="20"/>
      <c r="Q425" s="20"/>
      <c r="R425" s="20"/>
      <c r="S425" s="20"/>
      <c r="T425" s="20"/>
      <c r="U425" s="20"/>
      <c r="V425" s="20"/>
      <c r="W425" s="20"/>
      <c r="X425" s="20"/>
      <c r="Y425" s="20"/>
      <c r="Z425" s="20"/>
      <c r="AA425" s="20"/>
    </row>
    <row r="426" spans="4:27" ht="17.25" customHeight="1">
      <c r="D426" s="57"/>
      <c r="E426" s="57"/>
      <c r="F426" s="58"/>
      <c r="G426" s="58"/>
      <c r="H426" s="58"/>
      <c r="I426" s="58"/>
      <c r="J426" s="31"/>
      <c r="K426" s="20"/>
      <c r="L426" s="20"/>
      <c r="M426" s="20"/>
      <c r="N426" s="20"/>
      <c r="O426" s="20"/>
      <c r="P426" s="20"/>
      <c r="Q426" s="20"/>
      <c r="R426" s="20"/>
      <c r="S426" s="20"/>
      <c r="T426" s="20"/>
      <c r="U426" s="20"/>
      <c r="V426" s="20"/>
      <c r="W426" s="20"/>
      <c r="X426" s="20"/>
      <c r="Y426" s="20"/>
      <c r="Z426" s="20"/>
      <c r="AA426" s="20"/>
    </row>
    <row r="427" spans="4:27" ht="17.25" customHeight="1">
      <c r="D427" s="57"/>
      <c r="E427" s="57"/>
      <c r="F427" s="58"/>
      <c r="G427" s="58"/>
      <c r="H427" s="58"/>
      <c r="I427" s="58"/>
      <c r="J427" s="31"/>
      <c r="K427" s="20"/>
      <c r="L427" s="20"/>
      <c r="M427" s="20"/>
      <c r="N427" s="20"/>
      <c r="O427" s="20"/>
      <c r="P427" s="20"/>
      <c r="Q427" s="20"/>
      <c r="R427" s="20"/>
      <c r="S427" s="20"/>
      <c r="T427" s="20"/>
      <c r="U427" s="20"/>
      <c r="V427" s="20"/>
      <c r="W427" s="20"/>
      <c r="X427" s="20"/>
      <c r="Y427" s="20"/>
      <c r="Z427" s="20"/>
      <c r="AA427" s="20"/>
    </row>
    <row r="428" spans="4:27" ht="17.25" customHeight="1">
      <c r="D428" s="57"/>
      <c r="E428" s="57"/>
      <c r="F428" s="58"/>
      <c r="G428" s="58"/>
      <c r="H428" s="58"/>
      <c r="I428" s="58"/>
      <c r="J428" s="31"/>
      <c r="K428" s="20"/>
      <c r="L428" s="20"/>
      <c r="M428" s="20"/>
      <c r="N428" s="20"/>
      <c r="O428" s="20"/>
      <c r="P428" s="20"/>
      <c r="Q428" s="20"/>
      <c r="R428" s="20"/>
      <c r="S428" s="20"/>
      <c r="T428" s="20"/>
      <c r="U428" s="20"/>
      <c r="V428" s="20"/>
      <c r="W428" s="20"/>
      <c r="X428" s="20"/>
      <c r="Y428" s="20"/>
      <c r="Z428" s="20"/>
      <c r="AA428" s="20"/>
    </row>
    <row r="429" spans="4:27" ht="17.25" customHeight="1">
      <c r="D429" s="57"/>
      <c r="E429" s="57"/>
      <c r="F429" s="58"/>
      <c r="G429" s="58"/>
      <c r="H429" s="58"/>
      <c r="I429" s="58"/>
      <c r="J429" s="31"/>
      <c r="K429" s="20"/>
      <c r="L429" s="20"/>
      <c r="M429" s="20"/>
      <c r="N429" s="20"/>
      <c r="O429" s="20"/>
      <c r="P429" s="20"/>
      <c r="Q429" s="20"/>
      <c r="R429" s="20"/>
      <c r="S429" s="20"/>
      <c r="T429" s="20"/>
      <c r="U429" s="20"/>
      <c r="V429" s="20"/>
      <c r="W429" s="20"/>
      <c r="X429" s="20"/>
      <c r="Y429" s="20"/>
      <c r="Z429" s="20"/>
      <c r="AA429" s="20"/>
    </row>
    <row r="430" spans="4:27" ht="17.25" customHeight="1">
      <c r="D430" s="57"/>
      <c r="E430" s="57"/>
      <c r="F430" s="58"/>
      <c r="G430" s="58"/>
      <c r="H430" s="58"/>
      <c r="I430" s="58"/>
      <c r="J430" s="31"/>
      <c r="K430" s="20"/>
      <c r="L430" s="20"/>
      <c r="M430" s="20"/>
      <c r="N430" s="20"/>
      <c r="O430" s="20"/>
      <c r="P430" s="20"/>
      <c r="Q430" s="20"/>
      <c r="R430" s="20"/>
      <c r="S430" s="20"/>
      <c r="T430" s="20"/>
      <c r="U430" s="20"/>
      <c r="V430" s="20"/>
      <c r="W430" s="20"/>
      <c r="X430" s="20"/>
      <c r="Y430" s="20"/>
      <c r="Z430" s="20"/>
      <c r="AA430" s="20"/>
    </row>
    <row r="431" spans="4:27" ht="17.25" customHeight="1">
      <c r="D431" s="57"/>
      <c r="E431" s="57"/>
      <c r="F431" s="58"/>
      <c r="G431" s="58"/>
      <c r="H431" s="58"/>
      <c r="I431" s="58"/>
      <c r="J431" s="31"/>
      <c r="K431" s="20"/>
      <c r="L431" s="20"/>
      <c r="M431" s="20"/>
      <c r="N431" s="20"/>
      <c r="O431" s="20"/>
      <c r="P431" s="20"/>
      <c r="Q431" s="20"/>
      <c r="R431" s="20"/>
      <c r="S431" s="20"/>
      <c r="T431" s="20"/>
      <c r="U431" s="20"/>
      <c r="V431" s="20"/>
      <c r="W431" s="20"/>
      <c r="X431" s="20"/>
      <c r="Y431" s="20"/>
      <c r="Z431" s="20"/>
      <c r="AA431" s="20"/>
    </row>
    <row r="432" spans="4:27" ht="17.25" customHeight="1">
      <c r="D432" s="57"/>
      <c r="E432" s="57"/>
      <c r="F432" s="58"/>
      <c r="G432" s="58"/>
      <c r="H432" s="58"/>
      <c r="I432" s="58"/>
      <c r="J432" s="31"/>
      <c r="K432" s="20"/>
      <c r="L432" s="20"/>
      <c r="M432" s="20"/>
      <c r="N432" s="20"/>
      <c r="O432" s="20"/>
      <c r="P432" s="20"/>
      <c r="Q432" s="20"/>
      <c r="R432" s="20"/>
      <c r="S432" s="20"/>
      <c r="T432" s="20"/>
      <c r="U432" s="20"/>
      <c r="V432" s="20"/>
      <c r="W432" s="20"/>
      <c r="X432" s="20"/>
      <c r="Y432" s="20"/>
      <c r="Z432" s="20"/>
      <c r="AA432" s="20"/>
    </row>
    <row r="433" spans="4:27" ht="17.25" customHeight="1">
      <c r="D433" s="57"/>
      <c r="E433" s="57"/>
      <c r="F433" s="58"/>
      <c r="G433" s="58"/>
      <c r="H433" s="58"/>
      <c r="I433" s="58"/>
      <c r="J433" s="31"/>
      <c r="K433" s="20"/>
      <c r="L433" s="20"/>
      <c r="M433" s="20"/>
      <c r="N433" s="20"/>
      <c r="O433" s="20"/>
      <c r="P433" s="20"/>
      <c r="Q433" s="20"/>
      <c r="R433" s="20"/>
      <c r="S433" s="20"/>
      <c r="T433" s="20"/>
      <c r="U433" s="20"/>
      <c r="V433" s="20"/>
      <c r="W433" s="20"/>
      <c r="X433" s="20"/>
      <c r="Y433" s="20"/>
      <c r="Z433" s="20"/>
      <c r="AA433" s="20"/>
    </row>
    <row r="434" spans="4:27" ht="17.25" customHeight="1">
      <c r="D434" s="57"/>
      <c r="E434" s="57"/>
      <c r="F434" s="58"/>
      <c r="G434" s="58"/>
      <c r="H434" s="58"/>
      <c r="I434" s="58"/>
      <c r="J434" s="31"/>
      <c r="K434" s="20"/>
      <c r="L434" s="20"/>
      <c r="M434" s="20"/>
      <c r="N434" s="20"/>
      <c r="O434" s="20"/>
      <c r="P434" s="20"/>
      <c r="Q434" s="20"/>
      <c r="R434" s="20"/>
      <c r="S434" s="20"/>
      <c r="T434" s="20"/>
      <c r="U434" s="20"/>
      <c r="V434" s="20"/>
      <c r="W434" s="20"/>
      <c r="X434" s="20"/>
      <c r="Y434" s="20"/>
      <c r="Z434" s="20"/>
      <c r="AA434" s="20"/>
    </row>
    <row r="435" spans="4:27" ht="17.25" customHeight="1">
      <c r="D435" s="57"/>
      <c r="E435" s="57"/>
      <c r="F435" s="58"/>
      <c r="G435" s="58"/>
      <c r="H435" s="58"/>
      <c r="I435" s="58"/>
      <c r="J435" s="31"/>
      <c r="K435" s="20"/>
      <c r="L435" s="20"/>
      <c r="M435" s="20"/>
      <c r="N435" s="20"/>
      <c r="O435" s="20"/>
      <c r="P435" s="20"/>
      <c r="Q435" s="20"/>
      <c r="R435" s="20"/>
      <c r="S435" s="20"/>
      <c r="T435" s="20"/>
      <c r="U435" s="20"/>
      <c r="V435" s="20"/>
      <c r="W435" s="20"/>
      <c r="X435" s="20"/>
      <c r="Y435" s="20"/>
      <c r="Z435" s="20"/>
      <c r="AA435" s="20"/>
    </row>
    <row r="436" spans="4:27" ht="17.25" customHeight="1">
      <c r="D436" s="57"/>
      <c r="E436" s="57"/>
      <c r="F436" s="58"/>
      <c r="G436" s="58"/>
      <c r="H436" s="58"/>
      <c r="I436" s="58"/>
      <c r="J436" s="31"/>
      <c r="K436" s="20"/>
      <c r="L436" s="20"/>
      <c r="M436" s="20"/>
      <c r="N436" s="20"/>
      <c r="O436" s="20"/>
      <c r="P436" s="20"/>
      <c r="Q436" s="20"/>
      <c r="R436" s="20"/>
      <c r="S436" s="20"/>
      <c r="T436" s="20"/>
      <c r="U436" s="20"/>
      <c r="V436" s="20"/>
      <c r="W436" s="20"/>
      <c r="X436" s="20"/>
      <c r="Y436" s="20"/>
      <c r="Z436" s="20"/>
      <c r="AA436" s="20"/>
    </row>
    <row r="437" spans="4:27" ht="17.25" customHeight="1">
      <c r="D437" s="57"/>
      <c r="E437" s="57"/>
      <c r="F437" s="58"/>
      <c r="G437" s="58"/>
      <c r="H437" s="58"/>
      <c r="I437" s="58"/>
      <c r="J437" s="31"/>
      <c r="K437" s="20"/>
      <c r="L437" s="20"/>
      <c r="M437" s="20"/>
      <c r="N437" s="20"/>
      <c r="O437" s="20"/>
      <c r="P437" s="20"/>
      <c r="Q437" s="20"/>
      <c r="R437" s="20"/>
      <c r="S437" s="20"/>
      <c r="T437" s="20"/>
      <c r="U437" s="20"/>
      <c r="V437" s="20"/>
      <c r="W437" s="20"/>
      <c r="X437" s="20"/>
      <c r="Y437" s="20"/>
      <c r="Z437" s="20"/>
      <c r="AA437" s="20"/>
    </row>
    <row r="438" spans="4:27" ht="17.25" customHeight="1">
      <c r="D438" s="57"/>
      <c r="E438" s="57"/>
      <c r="F438" s="58"/>
      <c r="G438" s="58"/>
      <c r="H438" s="58"/>
      <c r="I438" s="58"/>
      <c r="J438" s="31"/>
      <c r="K438" s="20"/>
      <c r="L438" s="20"/>
      <c r="M438" s="20"/>
      <c r="N438" s="20"/>
      <c r="O438" s="20"/>
      <c r="P438" s="20"/>
      <c r="Q438" s="20"/>
      <c r="R438" s="20"/>
      <c r="S438" s="20"/>
      <c r="T438" s="20"/>
      <c r="U438" s="20"/>
      <c r="V438" s="20"/>
      <c r="W438" s="20"/>
      <c r="X438" s="20"/>
      <c r="Y438" s="20"/>
      <c r="Z438" s="20"/>
      <c r="AA438" s="20"/>
    </row>
    <row r="439" spans="4:27" ht="17.25" customHeight="1">
      <c r="D439" s="57"/>
      <c r="E439" s="57"/>
      <c r="F439" s="58"/>
      <c r="G439" s="58"/>
      <c r="H439" s="58"/>
      <c r="I439" s="58"/>
      <c r="J439" s="31"/>
      <c r="K439" s="20"/>
      <c r="L439" s="20"/>
      <c r="M439" s="20"/>
      <c r="N439" s="20"/>
      <c r="O439" s="20"/>
      <c r="P439" s="20"/>
      <c r="Q439" s="20"/>
      <c r="R439" s="20"/>
      <c r="S439" s="20"/>
      <c r="T439" s="20"/>
      <c r="U439" s="20"/>
      <c r="V439" s="20"/>
      <c r="W439" s="20"/>
      <c r="X439" s="20"/>
      <c r="Y439" s="20"/>
      <c r="Z439" s="20"/>
      <c r="AA439" s="20"/>
    </row>
    <row r="440" spans="4:27" ht="17.25" customHeight="1">
      <c r="D440" s="57"/>
      <c r="E440" s="57"/>
      <c r="F440" s="58"/>
      <c r="G440" s="58"/>
      <c r="H440" s="58"/>
      <c r="I440" s="58"/>
      <c r="J440" s="31"/>
      <c r="K440" s="20"/>
      <c r="L440" s="20"/>
      <c r="M440" s="20"/>
      <c r="N440" s="20"/>
      <c r="O440" s="20"/>
      <c r="P440" s="20"/>
      <c r="Q440" s="20"/>
      <c r="R440" s="20"/>
      <c r="S440" s="20"/>
      <c r="T440" s="20"/>
      <c r="U440" s="20"/>
      <c r="V440" s="20"/>
      <c r="W440" s="20"/>
      <c r="X440" s="20"/>
      <c r="Y440" s="20"/>
      <c r="Z440" s="20"/>
      <c r="AA440" s="20"/>
    </row>
    <row r="441" spans="4:27" ht="17.25" customHeight="1">
      <c r="D441" s="57"/>
      <c r="E441" s="57"/>
      <c r="F441" s="58"/>
      <c r="G441" s="58"/>
      <c r="H441" s="58"/>
      <c r="I441" s="58"/>
      <c r="J441" s="31"/>
      <c r="K441" s="20"/>
      <c r="L441" s="20"/>
      <c r="M441" s="20"/>
      <c r="N441" s="20"/>
      <c r="O441" s="20"/>
      <c r="P441" s="20"/>
      <c r="Q441" s="20"/>
      <c r="R441" s="20"/>
      <c r="S441" s="20"/>
      <c r="T441" s="20"/>
      <c r="U441" s="20"/>
      <c r="V441" s="20"/>
      <c r="W441" s="20"/>
      <c r="X441" s="20"/>
      <c r="Y441" s="20"/>
      <c r="Z441" s="20"/>
      <c r="AA441" s="20"/>
    </row>
    <row r="442" spans="4:27" ht="17.25" customHeight="1">
      <c r="D442" s="57"/>
      <c r="E442" s="57"/>
      <c r="F442" s="58"/>
      <c r="G442" s="58"/>
      <c r="H442" s="58"/>
      <c r="I442" s="58"/>
      <c r="J442" s="31"/>
      <c r="K442" s="20"/>
      <c r="L442" s="20"/>
      <c r="M442" s="20"/>
      <c r="N442" s="20"/>
      <c r="O442" s="20"/>
      <c r="P442" s="20"/>
      <c r="Q442" s="20"/>
      <c r="R442" s="20"/>
      <c r="S442" s="20"/>
      <c r="T442" s="20"/>
      <c r="U442" s="20"/>
      <c r="V442" s="20"/>
      <c r="W442" s="20"/>
      <c r="X442" s="20"/>
      <c r="Y442" s="20"/>
      <c r="Z442" s="20"/>
      <c r="AA442" s="20"/>
    </row>
    <row r="443" spans="4:27" ht="17.25" customHeight="1">
      <c r="D443" s="57"/>
      <c r="E443" s="57"/>
      <c r="F443" s="58"/>
      <c r="G443" s="58"/>
      <c r="H443" s="58"/>
      <c r="I443" s="58"/>
      <c r="J443" s="31"/>
      <c r="K443" s="20"/>
      <c r="L443" s="20"/>
      <c r="M443" s="20"/>
      <c r="N443" s="20"/>
      <c r="O443" s="20"/>
      <c r="P443" s="20"/>
      <c r="Q443" s="20"/>
      <c r="R443" s="20"/>
      <c r="S443" s="20"/>
      <c r="T443" s="20"/>
      <c r="U443" s="20"/>
      <c r="V443" s="20"/>
      <c r="W443" s="20"/>
      <c r="X443" s="20"/>
      <c r="Y443" s="20"/>
      <c r="Z443" s="20"/>
      <c r="AA443" s="20"/>
    </row>
    <row r="444" spans="4:27" ht="17.25" customHeight="1">
      <c r="D444" s="57"/>
      <c r="E444" s="57"/>
      <c r="F444" s="58"/>
      <c r="G444" s="58"/>
      <c r="H444" s="58"/>
      <c r="I444" s="58"/>
      <c r="J444" s="31"/>
      <c r="K444" s="20"/>
      <c r="L444" s="20"/>
      <c r="M444" s="20"/>
      <c r="N444" s="20"/>
      <c r="O444" s="20"/>
      <c r="P444" s="20"/>
      <c r="Q444" s="20"/>
      <c r="R444" s="20"/>
      <c r="S444" s="20"/>
      <c r="T444" s="20"/>
      <c r="U444" s="20"/>
      <c r="V444" s="20"/>
      <c r="W444" s="20"/>
      <c r="X444" s="20"/>
      <c r="Y444" s="20"/>
      <c r="Z444" s="20"/>
      <c r="AA444" s="20"/>
    </row>
    <row r="445" spans="4:27" ht="17.25" customHeight="1">
      <c r="D445" s="57"/>
      <c r="E445" s="57"/>
      <c r="F445" s="58"/>
      <c r="G445" s="58"/>
      <c r="H445" s="58"/>
      <c r="I445" s="58"/>
      <c r="J445" s="31"/>
      <c r="K445" s="20"/>
      <c r="L445" s="20"/>
      <c r="M445" s="20"/>
      <c r="N445" s="20"/>
      <c r="O445" s="20"/>
      <c r="P445" s="20"/>
      <c r="Q445" s="20"/>
      <c r="R445" s="20"/>
      <c r="S445" s="20"/>
      <c r="T445" s="20"/>
      <c r="U445" s="20"/>
      <c r="V445" s="20"/>
      <c r="W445" s="20"/>
      <c r="X445" s="20"/>
      <c r="Y445" s="20"/>
      <c r="Z445" s="20"/>
      <c r="AA445" s="20"/>
    </row>
    <row r="446" spans="4:27" ht="17.25" customHeight="1">
      <c r="D446" s="57"/>
      <c r="E446" s="57"/>
      <c r="F446" s="58"/>
      <c r="G446" s="58"/>
      <c r="H446" s="58"/>
      <c r="I446" s="58"/>
      <c r="J446" s="31"/>
      <c r="K446" s="20"/>
      <c r="L446" s="20"/>
      <c r="M446" s="20"/>
      <c r="N446" s="20"/>
      <c r="O446" s="20"/>
      <c r="P446" s="20"/>
      <c r="Q446" s="20"/>
      <c r="R446" s="20"/>
      <c r="S446" s="20"/>
      <c r="T446" s="20"/>
      <c r="U446" s="20"/>
      <c r="V446" s="20"/>
      <c r="W446" s="20"/>
      <c r="X446" s="20"/>
      <c r="Y446" s="20"/>
      <c r="Z446" s="20"/>
      <c r="AA446" s="20"/>
    </row>
    <row r="447" spans="4:27" ht="17.25" customHeight="1">
      <c r="D447" s="57"/>
      <c r="E447" s="57"/>
      <c r="F447" s="58"/>
      <c r="G447" s="58"/>
      <c r="H447" s="58"/>
      <c r="I447" s="58"/>
      <c r="J447" s="31"/>
      <c r="K447" s="20"/>
      <c r="L447" s="20"/>
      <c r="M447" s="20"/>
      <c r="N447" s="20"/>
      <c r="O447" s="20"/>
      <c r="P447" s="20"/>
      <c r="Q447" s="20"/>
      <c r="R447" s="20"/>
      <c r="S447" s="20"/>
      <c r="T447" s="20"/>
      <c r="U447" s="20"/>
      <c r="V447" s="20"/>
      <c r="W447" s="20"/>
      <c r="X447" s="20"/>
      <c r="Y447" s="20"/>
      <c r="Z447" s="20"/>
      <c r="AA447" s="20"/>
    </row>
    <row r="448" spans="4:27" ht="17.25" customHeight="1">
      <c r="D448" s="57"/>
      <c r="E448" s="57"/>
      <c r="F448" s="58"/>
      <c r="G448" s="58"/>
      <c r="H448" s="58"/>
      <c r="I448" s="58"/>
      <c r="J448" s="31"/>
      <c r="K448" s="20"/>
      <c r="L448" s="20"/>
      <c r="M448" s="20"/>
      <c r="N448" s="20"/>
      <c r="O448" s="20"/>
      <c r="P448" s="20"/>
      <c r="Q448" s="20"/>
      <c r="R448" s="20"/>
      <c r="S448" s="20"/>
      <c r="T448" s="20"/>
      <c r="U448" s="20"/>
      <c r="V448" s="20"/>
      <c r="W448" s="20"/>
      <c r="X448" s="20"/>
      <c r="Y448" s="20"/>
      <c r="Z448" s="20"/>
      <c r="AA448" s="20"/>
    </row>
    <row r="449" spans="4:27" ht="17.25" customHeight="1">
      <c r="D449" s="57"/>
      <c r="E449" s="57"/>
      <c r="F449" s="58"/>
      <c r="G449" s="58"/>
      <c r="H449" s="58"/>
      <c r="I449" s="58"/>
      <c r="J449" s="31"/>
      <c r="K449" s="20"/>
      <c r="L449" s="20"/>
      <c r="M449" s="20"/>
      <c r="N449" s="20"/>
      <c r="O449" s="20"/>
      <c r="P449" s="20"/>
      <c r="Q449" s="20"/>
      <c r="R449" s="20"/>
      <c r="S449" s="20"/>
      <c r="T449" s="20"/>
      <c r="U449" s="20"/>
      <c r="V449" s="20"/>
      <c r="W449" s="20"/>
      <c r="X449" s="20"/>
      <c r="Y449" s="20"/>
      <c r="Z449" s="20"/>
      <c r="AA449" s="20"/>
    </row>
    <row r="450" spans="4:27" ht="17.25" customHeight="1">
      <c r="D450" s="57"/>
      <c r="E450" s="57"/>
      <c r="F450" s="58"/>
      <c r="G450" s="58"/>
      <c r="H450" s="58"/>
      <c r="I450" s="58"/>
      <c r="J450" s="31"/>
      <c r="K450" s="20"/>
      <c r="L450" s="20"/>
      <c r="M450" s="20"/>
      <c r="N450" s="20"/>
      <c r="O450" s="20"/>
      <c r="P450" s="20"/>
      <c r="Q450" s="20"/>
      <c r="R450" s="20"/>
      <c r="S450" s="20"/>
      <c r="T450" s="20"/>
      <c r="U450" s="20"/>
      <c r="V450" s="20"/>
      <c r="W450" s="20"/>
      <c r="X450" s="20"/>
      <c r="Y450" s="20"/>
      <c r="Z450" s="20"/>
      <c r="AA450" s="20"/>
    </row>
    <row r="451" spans="4:27" ht="17.25" customHeight="1">
      <c r="D451" s="57"/>
      <c r="E451" s="57"/>
      <c r="F451" s="58"/>
      <c r="G451" s="58"/>
      <c r="H451" s="58"/>
      <c r="I451" s="58"/>
      <c r="J451" s="31"/>
      <c r="K451" s="20"/>
      <c r="L451" s="20"/>
      <c r="M451" s="20"/>
      <c r="N451" s="20"/>
      <c r="O451" s="20"/>
      <c r="P451" s="20"/>
      <c r="Q451" s="20"/>
      <c r="R451" s="20"/>
      <c r="S451" s="20"/>
      <c r="T451" s="20"/>
      <c r="U451" s="20"/>
      <c r="V451" s="20"/>
      <c r="W451" s="20"/>
      <c r="X451" s="20"/>
      <c r="Y451" s="20"/>
      <c r="Z451" s="20"/>
      <c r="AA451" s="20"/>
    </row>
    <row r="452" spans="4:27" ht="17.25" customHeight="1">
      <c r="D452" s="57"/>
      <c r="E452" s="57"/>
      <c r="F452" s="58"/>
      <c r="G452" s="58"/>
      <c r="H452" s="58"/>
      <c r="I452" s="58"/>
      <c r="J452" s="31"/>
      <c r="K452" s="20"/>
      <c r="L452" s="20"/>
      <c r="M452" s="20"/>
      <c r="N452" s="20"/>
      <c r="O452" s="20"/>
      <c r="P452" s="20"/>
      <c r="Q452" s="20"/>
      <c r="R452" s="20"/>
      <c r="S452" s="20"/>
      <c r="T452" s="20"/>
      <c r="U452" s="20"/>
      <c r="V452" s="20"/>
      <c r="W452" s="20"/>
      <c r="X452" s="20"/>
      <c r="Y452" s="20"/>
      <c r="Z452" s="20"/>
      <c r="AA452" s="20"/>
    </row>
    <row r="453" spans="4:27" ht="17.25" customHeight="1">
      <c r="D453" s="57"/>
      <c r="E453" s="57"/>
      <c r="F453" s="58"/>
      <c r="G453" s="58"/>
      <c r="H453" s="58"/>
      <c r="I453" s="58"/>
      <c r="J453" s="31"/>
      <c r="K453" s="20"/>
      <c r="L453" s="20"/>
      <c r="M453" s="20"/>
      <c r="N453" s="20"/>
      <c r="O453" s="20"/>
      <c r="P453" s="20"/>
      <c r="Q453" s="20"/>
      <c r="R453" s="20"/>
      <c r="S453" s="20"/>
      <c r="T453" s="20"/>
      <c r="U453" s="20"/>
      <c r="V453" s="20"/>
      <c r="W453" s="20"/>
      <c r="X453" s="20"/>
      <c r="Y453" s="20"/>
      <c r="Z453" s="20"/>
      <c r="AA453" s="20"/>
    </row>
    <row r="454" spans="4:27" ht="17.25" customHeight="1">
      <c r="D454" s="57"/>
      <c r="E454" s="57"/>
      <c r="F454" s="58"/>
      <c r="G454" s="58"/>
      <c r="H454" s="58"/>
      <c r="I454" s="58"/>
      <c r="J454" s="31"/>
      <c r="K454" s="20"/>
      <c r="L454" s="20"/>
      <c r="M454" s="20"/>
      <c r="N454" s="20"/>
      <c r="O454" s="20"/>
      <c r="P454" s="20"/>
      <c r="Q454" s="20"/>
      <c r="R454" s="20"/>
      <c r="S454" s="20"/>
      <c r="T454" s="20"/>
      <c r="U454" s="20"/>
      <c r="V454" s="20"/>
      <c r="W454" s="20"/>
      <c r="X454" s="20"/>
      <c r="Y454" s="20"/>
      <c r="Z454" s="20"/>
      <c r="AA454" s="20"/>
    </row>
    <row r="455" spans="4:27" ht="17.25" customHeight="1">
      <c r="D455" s="57"/>
      <c r="E455" s="57"/>
      <c r="F455" s="58"/>
      <c r="G455" s="58"/>
      <c r="H455" s="58"/>
      <c r="I455" s="58"/>
      <c r="J455" s="31"/>
      <c r="K455" s="20"/>
      <c r="L455" s="20"/>
      <c r="M455" s="20"/>
      <c r="N455" s="20"/>
      <c r="O455" s="20"/>
      <c r="P455" s="20"/>
      <c r="Q455" s="20"/>
      <c r="R455" s="20"/>
      <c r="S455" s="20"/>
      <c r="T455" s="20"/>
      <c r="U455" s="20"/>
      <c r="V455" s="20"/>
      <c r="W455" s="20"/>
      <c r="X455" s="20"/>
      <c r="Y455" s="20"/>
      <c r="Z455" s="20"/>
      <c r="AA455" s="20"/>
    </row>
    <row r="456" spans="4:27" ht="17.25" customHeight="1">
      <c r="D456" s="57"/>
      <c r="E456" s="57"/>
      <c r="F456" s="58"/>
      <c r="G456" s="58"/>
      <c r="H456" s="58"/>
      <c r="I456" s="58"/>
      <c r="J456" s="31"/>
      <c r="K456" s="20"/>
      <c r="L456" s="20"/>
      <c r="M456" s="20"/>
      <c r="N456" s="20"/>
      <c r="O456" s="20"/>
      <c r="P456" s="20"/>
      <c r="Q456" s="20"/>
      <c r="R456" s="20"/>
      <c r="S456" s="20"/>
      <c r="T456" s="20"/>
      <c r="U456" s="20"/>
      <c r="V456" s="20"/>
      <c r="W456" s="20"/>
      <c r="X456" s="20"/>
      <c r="Y456" s="20"/>
      <c r="Z456" s="20"/>
      <c r="AA456" s="20"/>
    </row>
    <row r="457" spans="4:27" ht="17.25" customHeight="1">
      <c r="D457" s="57"/>
      <c r="E457" s="57"/>
      <c r="F457" s="58"/>
      <c r="G457" s="58"/>
      <c r="H457" s="58"/>
      <c r="I457" s="58"/>
      <c r="J457" s="31"/>
      <c r="K457" s="20"/>
      <c r="L457" s="20"/>
      <c r="M457" s="20"/>
      <c r="N457" s="20"/>
      <c r="O457" s="20"/>
      <c r="P457" s="20"/>
      <c r="Q457" s="20"/>
      <c r="R457" s="20"/>
      <c r="S457" s="20"/>
      <c r="T457" s="20"/>
      <c r="U457" s="20"/>
      <c r="V457" s="20"/>
      <c r="W457" s="20"/>
      <c r="X457" s="20"/>
      <c r="Y457" s="20"/>
      <c r="Z457" s="20"/>
      <c r="AA457" s="20"/>
    </row>
    <row r="458" spans="4:27" ht="17.25" customHeight="1">
      <c r="D458" s="57"/>
      <c r="E458" s="57"/>
      <c r="F458" s="58"/>
      <c r="G458" s="58"/>
      <c r="H458" s="58"/>
      <c r="I458" s="58"/>
      <c r="J458" s="31"/>
      <c r="K458" s="20"/>
      <c r="L458" s="20"/>
      <c r="M458" s="20"/>
      <c r="N458" s="20"/>
      <c r="O458" s="20"/>
      <c r="P458" s="20"/>
      <c r="Q458" s="20"/>
      <c r="R458" s="20"/>
      <c r="S458" s="20"/>
      <c r="T458" s="20"/>
      <c r="U458" s="20"/>
      <c r="V458" s="20"/>
      <c r="W458" s="20"/>
      <c r="X458" s="20"/>
      <c r="Y458" s="20"/>
      <c r="Z458" s="20"/>
      <c r="AA458" s="20"/>
    </row>
    <row r="459" spans="4:27" ht="17.25" customHeight="1">
      <c r="D459" s="57"/>
      <c r="E459" s="57"/>
      <c r="F459" s="58"/>
      <c r="G459" s="58"/>
      <c r="H459" s="58"/>
      <c r="I459" s="58"/>
      <c r="J459" s="31"/>
      <c r="K459" s="20"/>
      <c r="L459" s="20"/>
      <c r="M459" s="20"/>
      <c r="N459" s="20"/>
      <c r="O459" s="20"/>
      <c r="P459" s="20"/>
      <c r="Q459" s="20"/>
      <c r="R459" s="20"/>
      <c r="S459" s="20"/>
      <c r="T459" s="20"/>
      <c r="U459" s="20"/>
      <c r="V459" s="20"/>
      <c r="W459" s="20"/>
      <c r="X459" s="20"/>
      <c r="Y459" s="20"/>
      <c r="Z459" s="20"/>
      <c r="AA459" s="20"/>
    </row>
    <row r="460" spans="4:27" ht="17.25" customHeight="1">
      <c r="D460" s="57"/>
      <c r="E460" s="57"/>
      <c r="F460" s="58"/>
      <c r="G460" s="58"/>
      <c r="H460" s="58"/>
      <c r="I460" s="58"/>
      <c r="J460" s="31"/>
      <c r="K460" s="20"/>
      <c r="L460" s="20"/>
      <c r="M460" s="20"/>
      <c r="N460" s="20"/>
      <c r="O460" s="20"/>
      <c r="P460" s="20"/>
      <c r="Q460" s="20"/>
      <c r="R460" s="20"/>
      <c r="S460" s="20"/>
      <c r="T460" s="20"/>
      <c r="U460" s="20"/>
      <c r="V460" s="20"/>
      <c r="W460" s="20"/>
      <c r="X460" s="20"/>
      <c r="Y460" s="20"/>
      <c r="Z460" s="20"/>
      <c r="AA460" s="20"/>
    </row>
    <row r="461" spans="4:27" ht="17.25" customHeight="1">
      <c r="D461" s="57"/>
      <c r="E461" s="57"/>
      <c r="F461" s="58"/>
      <c r="G461" s="58"/>
      <c r="H461" s="58"/>
      <c r="I461" s="58"/>
      <c r="J461" s="31"/>
      <c r="K461" s="20"/>
      <c r="L461" s="20"/>
      <c r="M461" s="20"/>
      <c r="N461" s="20"/>
      <c r="O461" s="20"/>
      <c r="P461" s="20"/>
      <c r="Q461" s="20"/>
      <c r="R461" s="20"/>
      <c r="S461" s="20"/>
      <c r="T461" s="20"/>
      <c r="U461" s="20"/>
      <c r="V461" s="20"/>
      <c r="W461" s="20"/>
      <c r="X461" s="20"/>
      <c r="Y461" s="20"/>
      <c r="Z461" s="20"/>
      <c r="AA461" s="20"/>
    </row>
    <row r="462" spans="4:27" ht="17.25" customHeight="1">
      <c r="D462" s="57"/>
      <c r="E462" s="57"/>
      <c r="F462" s="58"/>
      <c r="G462" s="58"/>
      <c r="H462" s="58"/>
      <c r="I462" s="58"/>
      <c r="J462" s="31"/>
      <c r="K462" s="20"/>
      <c r="L462" s="20"/>
      <c r="M462" s="20"/>
      <c r="N462" s="20"/>
      <c r="O462" s="20"/>
      <c r="P462" s="20"/>
      <c r="Q462" s="20"/>
      <c r="R462" s="20"/>
      <c r="S462" s="20"/>
      <c r="T462" s="20"/>
      <c r="U462" s="20"/>
      <c r="V462" s="20"/>
      <c r="W462" s="20"/>
      <c r="X462" s="20"/>
      <c r="Y462" s="20"/>
      <c r="Z462" s="20"/>
      <c r="AA462" s="20"/>
    </row>
    <row r="463" spans="4:27" ht="17.25" customHeight="1">
      <c r="D463" s="57"/>
      <c r="E463" s="57"/>
      <c r="F463" s="58"/>
      <c r="G463" s="58"/>
      <c r="H463" s="58"/>
      <c r="I463" s="58"/>
      <c r="J463" s="31"/>
      <c r="K463" s="20"/>
      <c r="L463" s="20"/>
      <c r="M463" s="20"/>
      <c r="N463" s="20"/>
      <c r="O463" s="20"/>
      <c r="P463" s="20"/>
      <c r="Q463" s="20"/>
      <c r="R463" s="20"/>
      <c r="S463" s="20"/>
      <c r="T463" s="20"/>
      <c r="U463" s="20"/>
      <c r="V463" s="20"/>
      <c r="W463" s="20"/>
      <c r="X463" s="20"/>
      <c r="Y463" s="20"/>
      <c r="Z463" s="20"/>
      <c r="AA463" s="20"/>
    </row>
    <row r="464" spans="4:27" ht="17.25" customHeight="1">
      <c r="D464" s="57"/>
      <c r="E464" s="57"/>
      <c r="F464" s="58"/>
      <c r="G464" s="58"/>
      <c r="H464" s="58"/>
      <c r="I464" s="58"/>
      <c r="J464" s="31"/>
      <c r="K464" s="20"/>
      <c r="L464" s="20"/>
      <c r="M464" s="20"/>
      <c r="N464" s="20"/>
      <c r="O464" s="20"/>
      <c r="P464" s="20"/>
      <c r="Q464" s="20"/>
      <c r="R464" s="20"/>
      <c r="S464" s="20"/>
      <c r="T464" s="20"/>
      <c r="U464" s="20"/>
      <c r="V464" s="20"/>
      <c r="W464" s="20"/>
      <c r="X464" s="20"/>
      <c r="Y464" s="20"/>
      <c r="Z464" s="20"/>
      <c r="AA464" s="20"/>
    </row>
    <row r="465" spans="4:27" ht="17.25" customHeight="1">
      <c r="D465" s="57"/>
      <c r="E465" s="57"/>
      <c r="F465" s="58"/>
      <c r="G465" s="58"/>
      <c r="H465" s="58"/>
      <c r="I465" s="58"/>
      <c r="J465" s="31"/>
      <c r="K465" s="20"/>
      <c r="L465" s="20"/>
      <c r="M465" s="20"/>
      <c r="N465" s="20"/>
      <c r="O465" s="20"/>
      <c r="P465" s="20"/>
      <c r="Q465" s="20"/>
      <c r="R465" s="20"/>
      <c r="S465" s="20"/>
      <c r="T465" s="20"/>
      <c r="U465" s="20"/>
      <c r="V465" s="20"/>
      <c r="W465" s="20"/>
      <c r="X465" s="20"/>
      <c r="Y465" s="20"/>
      <c r="Z465" s="20"/>
      <c r="AA465" s="20"/>
    </row>
    <row r="466" spans="4:27" ht="17.25" customHeight="1">
      <c r="D466" s="57"/>
      <c r="E466" s="57"/>
      <c r="F466" s="58"/>
      <c r="G466" s="58"/>
      <c r="H466" s="58"/>
      <c r="I466" s="58"/>
      <c r="J466" s="31"/>
      <c r="K466" s="20"/>
      <c r="L466" s="20"/>
      <c r="M466" s="20"/>
      <c r="N466" s="20"/>
      <c r="O466" s="20"/>
      <c r="P466" s="20"/>
      <c r="Q466" s="20"/>
      <c r="R466" s="20"/>
      <c r="S466" s="20"/>
      <c r="T466" s="20"/>
      <c r="U466" s="20"/>
      <c r="V466" s="20"/>
      <c r="W466" s="20"/>
      <c r="X466" s="20"/>
      <c r="Y466" s="20"/>
      <c r="Z466" s="20"/>
      <c r="AA466" s="20"/>
    </row>
    <row r="467" spans="4:27" ht="17.25" customHeight="1">
      <c r="D467" s="57"/>
      <c r="E467" s="57"/>
      <c r="F467" s="58"/>
      <c r="G467" s="58"/>
      <c r="H467" s="58"/>
      <c r="I467" s="58"/>
      <c r="J467" s="31"/>
      <c r="K467" s="20"/>
      <c r="L467" s="20"/>
      <c r="M467" s="20"/>
      <c r="N467" s="20"/>
      <c r="O467" s="20"/>
      <c r="P467" s="20"/>
      <c r="Q467" s="20"/>
      <c r="R467" s="20"/>
      <c r="S467" s="20"/>
      <c r="T467" s="20"/>
      <c r="U467" s="20"/>
      <c r="V467" s="20"/>
      <c r="W467" s="20"/>
      <c r="X467" s="20"/>
      <c r="Y467" s="20"/>
      <c r="Z467" s="20"/>
      <c r="AA467" s="20"/>
    </row>
    <row r="468" spans="4:27" ht="17.25" customHeight="1">
      <c r="D468" s="57"/>
      <c r="E468" s="57"/>
      <c r="F468" s="58"/>
      <c r="G468" s="58"/>
      <c r="H468" s="58"/>
      <c r="I468" s="58"/>
      <c r="J468" s="31"/>
      <c r="K468" s="20"/>
      <c r="L468" s="20"/>
      <c r="M468" s="20"/>
      <c r="N468" s="20"/>
      <c r="O468" s="20"/>
      <c r="P468" s="20"/>
      <c r="Q468" s="20"/>
      <c r="R468" s="20"/>
      <c r="S468" s="20"/>
      <c r="T468" s="20"/>
      <c r="U468" s="20"/>
      <c r="V468" s="20"/>
      <c r="W468" s="20"/>
      <c r="X468" s="20"/>
      <c r="Y468" s="20"/>
      <c r="Z468" s="20"/>
      <c r="AA468" s="20"/>
    </row>
    <row r="469" spans="4:27" ht="17.25" customHeight="1">
      <c r="D469" s="57"/>
      <c r="E469" s="57"/>
      <c r="F469" s="58"/>
      <c r="G469" s="58"/>
      <c r="H469" s="58"/>
      <c r="I469" s="58"/>
      <c r="J469" s="31"/>
      <c r="K469" s="20"/>
      <c r="L469" s="20"/>
      <c r="M469" s="20"/>
      <c r="N469" s="20"/>
      <c r="O469" s="20"/>
      <c r="P469" s="20"/>
      <c r="Q469" s="20"/>
      <c r="R469" s="20"/>
      <c r="S469" s="20"/>
      <c r="T469" s="20"/>
      <c r="U469" s="20"/>
      <c r="V469" s="20"/>
      <c r="W469" s="20"/>
      <c r="X469" s="20"/>
      <c r="Y469" s="20"/>
      <c r="Z469" s="20"/>
      <c r="AA469" s="20"/>
    </row>
    <row r="470" spans="4:27" ht="17.25" customHeight="1">
      <c r="D470" s="57"/>
      <c r="E470" s="57"/>
      <c r="F470" s="58"/>
      <c r="G470" s="58"/>
      <c r="H470" s="58"/>
      <c r="I470" s="58"/>
      <c r="J470" s="31"/>
      <c r="K470" s="20"/>
      <c r="L470" s="20"/>
      <c r="M470" s="20"/>
      <c r="N470" s="20"/>
      <c r="O470" s="20"/>
      <c r="P470" s="20"/>
      <c r="Q470" s="20"/>
      <c r="R470" s="20"/>
      <c r="S470" s="20"/>
      <c r="T470" s="20"/>
      <c r="U470" s="20"/>
      <c r="V470" s="20"/>
      <c r="W470" s="20"/>
      <c r="X470" s="20"/>
      <c r="Y470" s="20"/>
      <c r="Z470" s="20"/>
      <c r="AA470" s="20"/>
    </row>
    <row r="471" spans="4:27" ht="17.25" customHeight="1">
      <c r="D471" s="57"/>
      <c r="E471" s="57"/>
      <c r="F471" s="58"/>
      <c r="G471" s="58"/>
      <c r="H471" s="58"/>
      <c r="I471" s="58"/>
      <c r="J471" s="31"/>
      <c r="K471" s="20"/>
      <c r="L471" s="20"/>
      <c r="M471" s="20"/>
      <c r="N471" s="20"/>
      <c r="O471" s="20"/>
      <c r="P471" s="20"/>
      <c r="Q471" s="20"/>
      <c r="R471" s="20"/>
      <c r="S471" s="20"/>
      <c r="T471" s="20"/>
      <c r="U471" s="20"/>
      <c r="V471" s="20"/>
      <c r="W471" s="20"/>
      <c r="X471" s="20"/>
      <c r="Y471" s="20"/>
      <c r="Z471" s="20"/>
      <c r="AA471" s="20"/>
    </row>
    <row r="472" spans="4:27" ht="17.25" customHeight="1">
      <c r="D472" s="57"/>
      <c r="E472" s="57"/>
      <c r="F472" s="58"/>
      <c r="G472" s="58"/>
      <c r="H472" s="58"/>
      <c r="I472" s="58"/>
      <c r="J472" s="31"/>
      <c r="K472" s="20"/>
      <c r="L472" s="20"/>
      <c r="M472" s="20"/>
      <c r="N472" s="20"/>
      <c r="O472" s="20"/>
      <c r="P472" s="20"/>
      <c r="Q472" s="20"/>
      <c r="R472" s="20"/>
      <c r="S472" s="20"/>
      <c r="T472" s="20"/>
      <c r="U472" s="20"/>
      <c r="V472" s="20"/>
      <c r="W472" s="20"/>
      <c r="X472" s="20"/>
      <c r="Y472" s="20"/>
      <c r="Z472" s="20"/>
      <c r="AA472" s="20"/>
    </row>
    <row r="473" spans="4:27" ht="17.25" customHeight="1">
      <c r="D473" s="57"/>
      <c r="E473" s="57"/>
      <c r="F473" s="58"/>
      <c r="G473" s="58"/>
      <c r="H473" s="58"/>
      <c r="I473" s="58"/>
      <c r="J473" s="31"/>
      <c r="K473" s="20"/>
      <c r="L473" s="20"/>
      <c r="M473" s="20"/>
      <c r="N473" s="20"/>
      <c r="O473" s="20"/>
      <c r="P473" s="20"/>
      <c r="Q473" s="20"/>
      <c r="R473" s="20"/>
      <c r="S473" s="20"/>
      <c r="T473" s="20"/>
      <c r="U473" s="20"/>
      <c r="V473" s="20"/>
      <c r="W473" s="20"/>
      <c r="X473" s="20"/>
      <c r="Y473" s="20"/>
      <c r="Z473" s="20"/>
      <c r="AA473" s="20"/>
    </row>
    <row r="474" spans="4:27" ht="17.25" customHeight="1">
      <c r="D474" s="57"/>
      <c r="E474" s="57"/>
      <c r="F474" s="58"/>
      <c r="G474" s="58"/>
      <c r="H474" s="58"/>
      <c r="I474" s="58"/>
      <c r="J474" s="31"/>
      <c r="K474" s="20"/>
      <c r="L474" s="20"/>
      <c r="M474" s="20"/>
      <c r="N474" s="20"/>
      <c r="O474" s="20"/>
      <c r="P474" s="20"/>
      <c r="Q474" s="20"/>
      <c r="R474" s="20"/>
      <c r="S474" s="20"/>
      <c r="T474" s="20"/>
      <c r="U474" s="20"/>
      <c r="V474" s="20"/>
      <c r="W474" s="20"/>
      <c r="X474" s="20"/>
      <c r="Y474" s="20"/>
      <c r="Z474" s="20"/>
      <c r="AA474" s="20"/>
    </row>
    <row r="475" spans="4:27" ht="17.25" customHeight="1">
      <c r="D475" s="57"/>
      <c r="E475" s="57"/>
      <c r="F475" s="58"/>
      <c r="G475" s="58"/>
      <c r="H475" s="58"/>
      <c r="I475" s="58"/>
      <c r="J475" s="31"/>
      <c r="K475" s="20"/>
      <c r="L475" s="20"/>
      <c r="M475" s="20"/>
      <c r="N475" s="20"/>
      <c r="O475" s="20"/>
      <c r="P475" s="20"/>
      <c r="Q475" s="20"/>
      <c r="R475" s="20"/>
      <c r="S475" s="20"/>
      <c r="T475" s="20"/>
      <c r="U475" s="20"/>
      <c r="V475" s="20"/>
      <c r="W475" s="20"/>
      <c r="X475" s="20"/>
      <c r="Y475" s="20"/>
      <c r="Z475" s="20"/>
      <c r="AA475" s="20"/>
    </row>
    <row r="476" spans="4:27" ht="17.25" customHeight="1">
      <c r="D476" s="57"/>
      <c r="E476" s="57"/>
      <c r="F476" s="58"/>
      <c r="G476" s="58"/>
      <c r="H476" s="58"/>
      <c r="I476" s="58"/>
      <c r="J476" s="31"/>
      <c r="K476" s="20"/>
      <c r="L476" s="20"/>
      <c r="M476" s="20"/>
      <c r="N476" s="20"/>
      <c r="O476" s="20"/>
      <c r="P476" s="20"/>
      <c r="Q476" s="20"/>
      <c r="R476" s="20"/>
      <c r="S476" s="20"/>
      <c r="T476" s="20"/>
      <c r="U476" s="20"/>
      <c r="V476" s="20"/>
      <c r="W476" s="20"/>
      <c r="X476" s="20"/>
      <c r="Y476" s="20"/>
      <c r="Z476" s="20"/>
      <c r="AA476" s="20"/>
    </row>
    <row r="477" spans="4:27" ht="17.25" customHeight="1">
      <c r="D477" s="57"/>
      <c r="E477" s="57"/>
      <c r="F477" s="58"/>
      <c r="G477" s="58"/>
      <c r="H477" s="58"/>
      <c r="I477" s="58"/>
      <c r="J477" s="31"/>
      <c r="K477" s="20"/>
      <c r="L477" s="20"/>
      <c r="M477" s="20"/>
      <c r="N477" s="20"/>
      <c r="O477" s="20"/>
      <c r="P477" s="20"/>
      <c r="Q477" s="20"/>
      <c r="R477" s="20"/>
      <c r="S477" s="20"/>
      <c r="T477" s="20"/>
      <c r="U477" s="20"/>
      <c r="V477" s="20"/>
      <c r="W477" s="20"/>
      <c r="X477" s="20"/>
      <c r="Y477" s="20"/>
      <c r="Z477" s="20"/>
      <c r="AA477" s="20"/>
    </row>
    <row r="478" spans="4:27" ht="17.25" customHeight="1">
      <c r="D478" s="57"/>
      <c r="E478" s="57"/>
      <c r="F478" s="58"/>
      <c r="G478" s="58"/>
      <c r="H478" s="58"/>
      <c r="I478" s="58"/>
      <c r="J478" s="31"/>
      <c r="K478" s="20"/>
      <c r="L478" s="20"/>
      <c r="M478" s="20"/>
      <c r="N478" s="20"/>
      <c r="O478" s="20"/>
      <c r="P478" s="20"/>
      <c r="Q478" s="20"/>
      <c r="R478" s="20"/>
      <c r="S478" s="20"/>
      <c r="T478" s="20"/>
      <c r="U478" s="20"/>
      <c r="V478" s="20"/>
      <c r="W478" s="20"/>
      <c r="X478" s="20"/>
      <c r="Y478" s="20"/>
      <c r="Z478" s="20"/>
      <c r="AA478" s="20"/>
    </row>
    <row r="479" spans="4:27" ht="17.25" customHeight="1">
      <c r="D479" s="57"/>
      <c r="E479" s="57"/>
      <c r="F479" s="58"/>
      <c r="G479" s="58"/>
      <c r="H479" s="58"/>
      <c r="I479" s="58"/>
      <c r="J479" s="31"/>
      <c r="K479" s="20"/>
      <c r="L479" s="20"/>
      <c r="M479" s="20"/>
      <c r="N479" s="20"/>
      <c r="O479" s="20"/>
      <c r="P479" s="20"/>
      <c r="Q479" s="20"/>
      <c r="R479" s="20"/>
      <c r="S479" s="20"/>
      <c r="T479" s="20"/>
      <c r="U479" s="20"/>
      <c r="V479" s="20"/>
      <c r="W479" s="20"/>
      <c r="X479" s="20"/>
      <c r="Y479" s="20"/>
      <c r="Z479" s="20"/>
      <c r="AA479" s="20"/>
    </row>
    <row r="480" spans="4:27" ht="17.25" customHeight="1">
      <c r="D480" s="57"/>
      <c r="E480" s="57"/>
      <c r="F480" s="58"/>
      <c r="G480" s="58"/>
      <c r="H480" s="58"/>
      <c r="I480" s="58"/>
      <c r="J480" s="31"/>
      <c r="K480" s="20"/>
      <c r="L480" s="20"/>
      <c r="M480" s="20"/>
      <c r="N480" s="20"/>
      <c r="O480" s="20"/>
      <c r="P480" s="20"/>
      <c r="Q480" s="20"/>
      <c r="R480" s="20"/>
      <c r="S480" s="20"/>
      <c r="T480" s="20"/>
      <c r="U480" s="20"/>
      <c r="V480" s="20"/>
      <c r="W480" s="20"/>
      <c r="X480" s="20"/>
      <c r="Y480" s="20"/>
      <c r="Z480" s="20"/>
      <c r="AA480" s="20"/>
    </row>
    <row r="481" spans="4:27" ht="17.25" customHeight="1">
      <c r="D481" s="57"/>
      <c r="E481" s="57"/>
      <c r="F481" s="58"/>
      <c r="G481" s="58"/>
      <c r="H481" s="58"/>
      <c r="I481" s="58"/>
      <c r="J481" s="31"/>
      <c r="K481" s="20"/>
      <c r="L481" s="20"/>
      <c r="M481" s="20"/>
      <c r="N481" s="20"/>
      <c r="O481" s="20"/>
      <c r="P481" s="20"/>
      <c r="Q481" s="20"/>
      <c r="R481" s="20"/>
      <c r="S481" s="20"/>
      <c r="T481" s="20"/>
      <c r="U481" s="20"/>
      <c r="V481" s="20"/>
      <c r="W481" s="20"/>
      <c r="X481" s="20"/>
      <c r="Y481" s="20"/>
      <c r="Z481" s="20"/>
      <c r="AA481" s="20"/>
    </row>
    <row r="482" spans="4:27" ht="17.25" customHeight="1">
      <c r="D482" s="57"/>
      <c r="E482" s="57"/>
      <c r="F482" s="58"/>
      <c r="G482" s="58"/>
      <c r="H482" s="58"/>
      <c r="I482" s="58"/>
      <c r="J482" s="31"/>
      <c r="K482" s="20"/>
      <c r="L482" s="20"/>
      <c r="M482" s="20"/>
      <c r="N482" s="20"/>
      <c r="O482" s="20"/>
      <c r="P482" s="20"/>
      <c r="Q482" s="20"/>
      <c r="R482" s="20"/>
      <c r="S482" s="20"/>
      <c r="T482" s="20"/>
      <c r="U482" s="20"/>
      <c r="V482" s="20"/>
      <c r="W482" s="20"/>
      <c r="X482" s="20"/>
      <c r="Y482" s="20"/>
      <c r="Z482" s="20"/>
      <c r="AA482" s="20"/>
    </row>
    <row r="483" spans="4:27" ht="17.25" customHeight="1">
      <c r="D483" s="57"/>
      <c r="E483" s="57"/>
      <c r="F483" s="58"/>
      <c r="G483" s="58"/>
      <c r="H483" s="58"/>
      <c r="I483" s="58"/>
      <c r="J483" s="31"/>
      <c r="K483" s="20"/>
      <c r="L483" s="20"/>
      <c r="M483" s="20"/>
      <c r="N483" s="20"/>
      <c r="O483" s="20"/>
      <c r="P483" s="20"/>
      <c r="Q483" s="20"/>
      <c r="R483" s="20"/>
      <c r="S483" s="20"/>
      <c r="T483" s="20"/>
      <c r="U483" s="20"/>
      <c r="V483" s="20"/>
      <c r="W483" s="20"/>
      <c r="X483" s="20"/>
      <c r="Y483" s="20"/>
      <c r="Z483" s="20"/>
      <c r="AA483" s="20"/>
    </row>
    <row r="484" spans="4:27" ht="17.25" customHeight="1">
      <c r="D484" s="57"/>
      <c r="E484" s="57"/>
      <c r="F484" s="58"/>
      <c r="G484" s="58"/>
      <c r="H484" s="58"/>
      <c r="I484" s="58"/>
      <c r="J484" s="31"/>
      <c r="K484" s="20"/>
      <c r="L484" s="20"/>
      <c r="M484" s="20"/>
      <c r="N484" s="20"/>
      <c r="O484" s="20"/>
      <c r="P484" s="20"/>
      <c r="Q484" s="20"/>
      <c r="R484" s="20"/>
      <c r="S484" s="20"/>
      <c r="T484" s="20"/>
      <c r="U484" s="20"/>
      <c r="V484" s="20"/>
      <c r="W484" s="20"/>
      <c r="X484" s="20"/>
      <c r="Y484" s="20"/>
      <c r="Z484" s="20"/>
      <c r="AA484" s="20"/>
    </row>
    <row r="485" spans="4:27" ht="17.25" customHeight="1">
      <c r="D485" s="57"/>
      <c r="E485" s="57"/>
      <c r="F485" s="58"/>
      <c r="G485" s="58"/>
      <c r="H485" s="58"/>
      <c r="I485" s="58"/>
      <c r="J485" s="31"/>
      <c r="K485" s="20"/>
      <c r="L485" s="20"/>
      <c r="M485" s="20"/>
      <c r="N485" s="20"/>
      <c r="O485" s="20"/>
      <c r="P485" s="20"/>
      <c r="Q485" s="20"/>
      <c r="R485" s="20"/>
      <c r="S485" s="20"/>
      <c r="T485" s="20"/>
      <c r="U485" s="20"/>
      <c r="V485" s="20"/>
      <c r="W485" s="20"/>
      <c r="X485" s="20"/>
      <c r="Y485" s="20"/>
      <c r="Z485" s="20"/>
      <c r="AA485" s="20"/>
    </row>
    <row r="486" spans="4:27" ht="17.25" customHeight="1">
      <c r="D486" s="57"/>
      <c r="E486" s="57"/>
      <c r="F486" s="58"/>
      <c r="G486" s="58"/>
      <c r="H486" s="58"/>
      <c r="I486" s="58"/>
      <c r="J486" s="31"/>
      <c r="K486" s="20"/>
      <c r="L486" s="20"/>
      <c r="M486" s="20"/>
      <c r="N486" s="20"/>
      <c r="O486" s="20"/>
      <c r="P486" s="20"/>
      <c r="Q486" s="20"/>
      <c r="R486" s="20"/>
      <c r="S486" s="20"/>
      <c r="T486" s="20"/>
      <c r="U486" s="20"/>
      <c r="V486" s="20"/>
      <c r="W486" s="20"/>
      <c r="X486" s="20"/>
      <c r="Y486" s="20"/>
      <c r="Z486" s="20"/>
      <c r="AA486" s="20"/>
    </row>
    <row r="487" spans="4:27" ht="17.25" customHeight="1">
      <c r="D487" s="57"/>
      <c r="E487" s="57"/>
      <c r="F487" s="58"/>
      <c r="G487" s="58"/>
      <c r="H487" s="58"/>
      <c r="I487" s="58"/>
      <c r="J487" s="31"/>
      <c r="K487" s="20"/>
      <c r="L487" s="20"/>
      <c r="M487" s="20"/>
      <c r="N487" s="20"/>
      <c r="O487" s="20"/>
      <c r="P487" s="20"/>
      <c r="Q487" s="20"/>
      <c r="R487" s="20"/>
      <c r="S487" s="20"/>
      <c r="T487" s="20"/>
      <c r="U487" s="20"/>
      <c r="V487" s="20"/>
      <c r="W487" s="20"/>
      <c r="X487" s="20"/>
      <c r="Y487" s="20"/>
      <c r="Z487" s="20"/>
      <c r="AA487" s="20"/>
    </row>
    <row r="488" spans="4:27" ht="17.25" customHeight="1">
      <c r="D488" s="57"/>
      <c r="E488" s="57"/>
      <c r="F488" s="58"/>
      <c r="G488" s="58"/>
      <c r="H488" s="58"/>
      <c r="I488" s="58"/>
      <c r="J488" s="31"/>
      <c r="K488" s="20"/>
      <c r="L488" s="20"/>
      <c r="M488" s="20"/>
      <c r="N488" s="20"/>
      <c r="O488" s="20"/>
      <c r="P488" s="20"/>
      <c r="Q488" s="20"/>
      <c r="R488" s="20"/>
      <c r="S488" s="20"/>
      <c r="T488" s="20"/>
      <c r="U488" s="20"/>
      <c r="V488" s="20"/>
      <c r="W488" s="20"/>
      <c r="X488" s="20"/>
      <c r="Y488" s="20"/>
      <c r="Z488" s="20"/>
      <c r="AA488" s="20"/>
    </row>
    <row r="489" spans="4:27" ht="17.25" customHeight="1">
      <c r="D489" s="57"/>
      <c r="E489" s="57"/>
      <c r="F489" s="58"/>
      <c r="G489" s="58"/>
      <c r="H489" s="58"/>
      <c r="I489" s="58"/>
      <c r="J489" s="31"/>
      <c r="K489" s="20"/>
      <c r="L489" s="20"/>
      <c r="M489" s="20"/>
      <c r="N489" s="20"/>
      <c r="O489" s="20"/>
      <c r="P489" s="20"/>
      <c r="Q489" s="20"/>
      <c r="R489" s="20"/>
      <c r="S489" s="20"/>
      <c r="T489" s="20"/>
      <c r="U489" s="20"/>
      <c r="V489" s="20"/>
      <c r="W489" s="20"/>
      <c r="X489" s="20"/>
      <c r="Y489" s="20"/>
      <c r="Z489" s="20"/>
      <c r="AA489" s="20"/>
    </row>
    <row r="490" spans="4:27" ht="17.25" customHeight="1">
      <c r="D490" s="57"/>
      <c r="E490" s="57"/>
      <c r="F490" s="58"/>
      <c r="G490" s="58"/>
      <c r="H490" s="58"/>
      <c r="I490" s="58"/>
      <c r="J490" s="31"/>
      <c r="K490" s="20"/>
      <c r="L490" s="20"/>
      <c r="M490" s="20"/>
      <c r="N490" s="20"/>
      <c r="O490" s="20"/>
      <c r="P490" s="20"/>
      <c r="Q490" s="20"/>
      <c r="R490" s="20"/>
      <c r="S490" s="20"/>
      <c r="T490" s="20"/>
      <c r="U490" s="20"/>
      <c r="V490" s="20"/>
      <c r="W490" s="20"/>
      <c r="X490" s="20"/>
      <c r="Y490" s="20"/>
      <c r="Z490" s="20"/>
      <c r="AA490" s="20"/>
    </row>
    <row r="491" spans="4:27" ht="17.25" customHeight="1">
      <c r="D491" s="57"/>
      <c r="E491" s="57"/>
      <c r="F491" s="58"/>
      <c r="G491" s="58"/>
      <c r="H491" s="58"/>
      <c r="I491" s="58"/>
      <c r="J491" s="31"/>
      <c r="K491" s="20"/>
      <c r="L491" s="20"/>
      <c r="M491" s="20"/>
      <c r="N491" s="20"/>
      <c r="O491" s="20"/>
      <c r="P491" s="20"/>
      <c r="Q491" s="20"/>
      <c r="R491" s="20"/>
      <c r="S491" s="20"/>
      <c r="T491" s="20"/>
      <c r="U491" s="20"/>
      <c r="V491" s="20"/>
      <c r="W491" s="20"/>
      <c r="X491" s="20"/>
      <c r="Y491" s="20"/>
      <c r="Z491" s="20"/>
      <c r="AA491" s="20"/>
    </row>
    <row r="492" spans="4:27" ht="17.25" customHeight="1">
      <c r="D492" s="57"/>
      <c r="E492" s="57"/>
      <c r="F492" s="58"/>
      <c r="G492" s="58"/>
      <c r="H492" s="58"/>
      <c r="I492" s="58"/>
      <c r="J492" s="31"/>
      <c r="K492" s="20"/>
      <c r="L492" s="20"/>
      <c r="M492" s="20"/>
      <c r="N492" s="20"/>
      <c r="O492" s="20"/>
      <c r="P492" s="20"/>
      <c r="Q492" s="20"/>
      <c r="R492" s="20"/>
      <c r="S492" s="20"/>
      <c r="T492" s="20"/>
      <c r="U492" s="20"/>
      <c r="V492" s="20"/>
      <c r="W492" s="20"/>
      <c r="X492" s="20"/>
      <c r="Y492" s="20"/>
      <c r="Z492" s="20"/>
      <c r="AA492" s="20"/>
    </row>
    <row r="493" spans="4:27" ht="17.25" customHeight="1">
      <c r="D493" s="57"/>
      <c r="E493" s="57"/>
      <c r="F493" s="58"/>
      <c r="G493" s="58"/>
      <c r="H493" s="58"/>
      <c r="I493" s="58"/>
      <c r="J493" s="31"/>
      <c r="K493" s="20"/>
      <c r="L493" s="20"/>
      <c r="M493" s="20"/>
      <c r="N493" s="20"/>
      <c r="O493" s="20"/>
      <c r="P493" s="20"/>
      <c r="Q493" s="20"/>
      <c r="R493" s="20"/>
      <c r="S493" s="20"/>
      <c r="T493" s="20"/>
      <c r="U493" s="20"/>
      <c r="V493" s="20"/>
      <c r="W493" s="20"/>
      <c r="X493" s="20"/>
      <c r="Y493" s="20"/>
      <c r="Z493" s="20"/>
      <c r="AA493" s="20"/>
    </row>
    <row r="494" spans="4:27" ht="17.25" customHeight="1">
      <c r="D494" s="57"/>
      <c r="E494" s="57"/>
      <c r="F494" s="58"/>
      <c r="G494" s="58"/>
      <c r="H494" s="58"/>
      <c r="I494" s="58"/>
      <c r="J494" s="31"/>
      <c r="K494" s="20"/>
      <c r="L494" s="20"/>
      <c r="M494" s="20"/>
      <c r="N494" s="20"/>
      <c r="O494" s="20"/>
      <c r="P494" s="20"/>
      <c r="Q494" s="20"/>
      <c r="R494" s="20"/>
      <c r="S494" s="20"/>
      <c r="T494" s="20"/>
      <c r="U494" s="20"/>
      <c r="V494" s="20"/>
      <c r="W494" s="20"/>
      <c r="X494" s="20"/>
      <c r="Y494" s="20"/>
      <c r="Z494" s="20"/>
      <c r="AA494" s="20"/>
    </row>
    <row r="495" spans="4:27" ht="17.25" customHeight="1">
      <c r="D495" s="57"/>
      <c r="E495" s="57"/>
      <c r="F495" s="58"/>
      <c r="G495" s="58"/>
      <c r="H495" s="58"/>
      <c r="I495" s="58"/>
      <c r="J495" s="31"/>
      <c r="K495" s="20"/>
      <c r="L495" s="20"/>
      <c r="M495" s="20"/>
      <c r="N495" s="20"/>
      <c r="O495" s="20"/>
      <c r="P495" s="20"/>
      <c r="Q495" s="20"/>
      <c r="R495" s="20"/>
      <c r="S495" s="20"/>
      <c r="T495" s="20"/>
      <c r="U495" s="20"/>
      <c r="V495" s="20"/>
      <c r="W495" s="20"/>
      <c r="X495" s="20"/>
      <c r="Y495" s="20"/>
      <c r="Z495" s="20"/>
      <c r="AA495" s="20"/>
    </row>
    <row r="496" spans="4:27" ht="17.25" customHeight="1">
      <c r="D496" s="57"/>
      <c r="E496" s="57"/>
      <c r="F496" s="58"/>
      <c r="G496" s="58"/>
      <c r="H496" s="58"/>
      <c r="I496" s="58"/>
      <c r="J496" s="31"/>
      <c r="K496" s="20"/>
      <c r="L496" s="20"/>
      <c r="M496" s="20"/>
      <c r="N496" s="20"/>
      <c r="O496" s="20"/>
      <c r="P496" s="20"/>
      <c r="Q496" s="20"/>
      <c r="R496" s="20"/>
      <c r="S496" s="20"/>
      <c r="T496" s="20"/>
      <c r="U496" s="20"/>
      <c r="V496" s="20"/>
      <c r="W496" s="20"/>
      <c r="X496" s="20"/>
      <c r="Y496" s="20"/>
      <c r="Z496" s="20"/>
      <c r="AA496" s="20"/>
    </row>
    <row r="497" spans="4:27" ht="17.25" customHeight="1">
      <c r="D497" s="57"/>
      <c r="E497" s="57"/>
      <c r="F497" s="58"/>
      <c r="G497" s="58"/>
      <c r="H497" s="58"/>
      <c r="I497" s="58"/>
      <c r="J497" s="31"/>
      <c r="K497" s="20"/>
      <c r="L497" s="20"/>
      <c r="M497" s="20"/>
      <c r="N497" s="20"/>
      <c r="O497" s="20"/>
      <c r="P497" s="20"/>
      <c r="Q497" s="20"/>
      <c r="R497" s="20"/>
      <c r="S497" s="20"/>
      <c r="T497" s="20"/>
      <c r="U497" s="20"/>
      <c r="V497" s="20"/>
      <c r="W497" s="20"/>
      <c r="X497" s="20"/>
      <c r="Y497" s="20"/>
      <c r="Z497" s="20"/>
      <c r="AA497" s="20"/>
    </row>
    <row r="498" spans="4:27" ht="17.25" customHeight="1">
      <c r="D498" s="57"/>
      <c r="E498" s="57"/>
      <c r="F498" s="58"/>
      <c r="G498" s="58"/>
      <c r="H498" s="58"/>
      <c r="I498" s="58"/>
      <c r="J498" s="31"/>
      <c r="K498" s="20"/>
      <c r="L498" s="20"/>
      <c r="M498" s="20"/>
      <c r="N498" s="20"/>
      <c r="O498" s="20"/>
      <c r="P498" s="20"/>
      <c r="Q498" s="20"/>
      <c r="R498" s="20"/>
      <c r="S498" s="20"/>
      <c r="T498" s="20"/>
      <c r="U498" s="20"/>
      <c r="V498" s="20"/>
      <c r="W498" s="20"/>
      <c r="X498" s="20"/>
      <c r="Y498" s="20"/>
      <c r="Z498" s="20"/>
      <c r="AA498" s="20"/>
    </row>
    <row r="499" spans="4:27" ht="17.25" customHeight="1">
      <c r="D499" s="57"/>
      <c r="E499" s="57"/>
      <c r="F499" s="58"/>
      <c r="G499" s="58"/>
      <c r="H499" s="58"/>
      <c r="I499" s="58"/>
      <c r="J499" s="31"/>
      <c r="K499" s="20"/>
      <c r="L499" s="20"/>
      <c r="M499" s="20"/>
      <c r="N499" s="20"/>
      <c r="O499" s="20"/>
      <c r="P499" s="20"/>
      <c r="Q499" s="20"/>
      <c r="R499" s="20"/>
      <c r="S499" s="20"/>
      <c r="T499" s="20"/>
      <c r="U499" s="20"/>
      <c r="V499" s="20"/>
      <c r="W499" s="20"/>
      <c r="X499" s="20"/>
      <c r="Y499" s="20"/>
      <c r="Z499" s="20"/>
      <c r="AA499" s="20"/>
    </row>
    <row r="500" spans="4:27" ht="17.25" customHeight="1">
      <c r="D500" s="57"/>
      <c r="E500" s="57"/>
      <c r="F500" s="58"/>
      <c r="G500" s="58"/>
      <c r="H500" s="58"/>
      <c r="I500" s="58"/>
      <c r="J500" s="31"/>
      <c r="K500" s="20"/>
      <c r="L500" s="20"/>
      <c r="M500" s="20"/>
      <c r="N500" s="20"/>
      <c r="O500" s="20"/>
      <c r="P500" s="20"/>
      <c r="Q500" s="20"/>
      <c r="R500" s="20"/>
      <c r="S500" s="20"/>
      <c r="T500" s="20"/>
      <c r="U500" s="20"/>
      <c r="V500" s="20"/>
      <c r="W500" s="20"/>
      <c r="X500" s="20"/>
      <c r="Y500" s="20"/>
      <c r="Z500" s="20"/>
      <c r="AA500" s="20"/>
    </row>
    <row r="501" spans="4:27" ht="17.25" customHeight="1">
      <c r="D501" s="57"/>
      <c r="E501" s="57"/>
      <c r="F501" s="58"/>
      <c r="G501" s="58"/>
      <c r="H501" s="58"/>
      <c r="I501" s="58"/>
      <c r="J501" s="31"/>
      <c r="K501" s="20"/>
      <c r="L501" s="20"/>
      <c r="M501" s="20"/>
      <c r="N501" s="20"/>
      <c r="O501" s="20"/>
      <c r="P501" s="20"/>
      <c r="Q501" s="20"/>
      <c r="R501" s="20"/>
      <c r="S501" s="20"/>
      <c r="T501" s="20"/>
      <c r="U501" s="20"/>
      <c r="V501" s="20"/>
      <c r="W501" s="20"/>
      <c r="X501" s="20"/>
      <c r="Y501" s="20"/>
      <c r="Z501" s="20"/>
      <c r="AA501" s="20"/>
    </row>
    <row r="502" spans="4:27" ht="17.25" customHeight="1">
      <c r="D502" s="57"/>
      <c r="E502" s="57"/>
      <c r="F502" s="58"/>
      <c r="G502" s="58"/>
      <c r="H502" s="58"/>
      <c r="I502" s="58"/>
      <c r="J502" s="31"/>
      <c r="K502" s="20"/>
      <c r="L502" s="20"/>
      <c r="M502" s="20"/>
      <c r="N502" s="20"/>
      <c r="O502" s="20"/>
      <c r="P502" s="20"/>
      <c r="Q502" s="20"/>
      <c r="R502" s="20"/>
      <c r="S502" s="20"/>
      <c r="T502" s="20"/>
      <c r="U502" s="20"/>
      <c r="V502" s="20"/>
      <c r="W502" s="20"/>
      <c r="X502" s="20"/>
      <c r="Y502" s="20"/>
      <c r="Z502" s="20"/>
      <c r="AA502" s="20"/>
    </row>
    <row r="503" spans="4:27" ht="17.25" customHeight="1">
      <c r="D503" s="57"/>
      <c r="E503" s="57"/>
      <c r="F503" s="58"/>
      <c r="G503" s="58"/>
      <c r="H503" s="58"/>
      <c r="I503" s="58"/>
      <c r="J503" s="31"/>
      <c r="K503" s="20"/>
      <c r="L503" s="20"/>
      <c r="M503" s="20"/>
      <c r="N503" s="20"/>
      <c r="O503" s="20"/>
      <c r="P503" s="20"/>
      <c r="Q503" s="20"/>
      <c r="R503" s="20"/>
      <c r="S503" s="20"/>
      <c r="T503" s="20"/>
      <c r="U503" s="20"/>
      <c r="V503" s="20"/>
      <c r="W503" s="20"/>
      <c r="X503" s="20"/>
      <c r="Y503" s="20"/>
      <c r="Z503" s="20"/>
      <c r="AA503" s="20"/>
    </row>
    <row r="504" spans="4:27" ht="17.25" customHeight="1">
      <c r="D504" s="57"/>
      <c r="E504" s="57"/>
      <c r="F504" s="58"/>
      <c r="G504" s="58"/>
      <c r="H504" s="58"/>
      <c r="I504" s="58"/>
      <c r="J504" s="31"/>
      <c r="K504" s="20"/>
      <c r="L504" s="20"/>
      <c r="M504" s="20"/>
      <c r="N504" s="20"/>
      <c r="O504" s="20"/>
      <c r="P504" s="20"/>
      <c r="Q504" s="20"/>
      <c r="R504" s="20"/>
      <c r="S504" s="20"/>
      <c r="T504" s="20"/>
      <c r="U504" s="20"/>
      <c r="V504" s="20"/>
      <c r="W504" s="20"/>
      <c r="X504" s="20"/>
      <c r="Y504" s="20"/>
      <c r="Z504" s="20"/>
      <c r="AA504" s="20"/>
    </row>
    <row r="505" spans="4:27" ht="17.25" customHeight="1">
      <c r="D505" s="57"/>
      <c r="E505" s="57"/>
      <c r="F505" s="58"/>
      <c r="G505" s="58"/>
      <c r="H505" s="58"/>
      <c r="I505" s="58"/>
      <c r="J505" s="31"/>
      <c r="K505" s="20"/>
      <c r="L505" s="20"/>
      <c r="M505" s="20"/>
      <c r="N505" s="20"/>
      <c r="O505" s="20"/>
      <c r="P505" s="20"/>
      <c r="Q505" s="20"/>
      <c r="R505" s="20"/>
      <c r="S505" s="20"/>
      <c r="T505" s="20"/>
      <c r="U505" s="20"/>
      <c r="V505" s="20"/>
      <c r="W505" s="20"/>
      <c r="X505" s="20"/>
      <c r="Y505" s="20"/>
      <c r="Z505" s="20"/>
      <c r="AA505" s="20"/>
    </row>
    <row r="506" spans="4:27" ht="17.25" customHeight="1">
      <c r="D506" s="57"/>
      <c r="E506" s="57"/>
      <c r="F506" s="58"/>
      <c r="G506" s="58"/>
      <c r="H506" s="58"/>
      <c r="I506" s="58"/>
      <c r="J506" s="31"/>
      <c r="K506" s="20"/>
      <c r="L506" s="20"/>
      <c r="M506" s="20"/>
      <c r="N506" s="20"/>
      <c r="O506" s="20"/>
      <c r="P506" s="20"/>
      <c r="Q506" s="20"/>
      <c r="R506" s="20"/>
      <c r="S506" s="20"/>
      <c r="T506" s="20"/>
      <c r="U506" s="20"/>
      <c r="V506" s="20"/>
      <c r="W506" s="20"/>
      <c r="X506" s="20"/>
      <c r="Y506" s="20"/>
      <c r="Z506" s="20"/>
      <c r="AA506" s="20"/>
    </row>
    <row r="507" spans="4:27" ht="17.25" customHeight="1">
      <c r="D507" s="57"/>
      <c r="E507" s="57"/>
      <c r="F507" s="58"/>
      <c r="G507" s="58"/>
      <c r="H507" s="58"/>
      <c r="I507" s="58"/>
      <c r="J507" s="31"/>
      <c r="K507" s="20"/>
      <c r="L507" s="20"/>
      <c r="M507" s="20"/>
      <c r="N507" s="20"/>
      <c r="O507" s="20"/>
      <c r="P507" s="20"/>
      <c r="Q507" s="20"/>
      <c r="R507" s="20"/>
      <c r="S507" s="20"/>
      <c r="T507" s="20"/>
      <c r="U507" s="20"/>
      <c r="V507" s="20"/>
      <c r="W507" s="20"/>
      <c r="X507" s="20"/>
      <c r="Y507" s="20"/>
      <c r="Z507" s="20"/>
      <c r="AA507" s="20"/>
    </row>
    <row r="508" spans="4:27" ht="17.25" customHeight="1">
      <c r="D508" s="57"/>
      <c r="E508" s="57"/>
      <c r="F508" s="58"/>
      <c r="G508" s="58"/>
      <c r="H508" s="58"/>
      <c r="I508" s="58"/>
      <c r="J508" s="31"/>
      <c r="K508" s="20"/>
      <c r="L508" s="20"/>
      <c r="M508" s="20"/>
      <c r="N508" s="20"/>
      <c r="O508" s="20"/>
      <c r="P508" s="20"/>
      <c r="Q508" s="20"/>
      <c r="R508" s="20"/>
      <c r="S508" s="20"/>
      <c r="T508" s="20"/>
      <c r="U508" s="20"/>
      <c r="V508" s="20"/>
      <c r="W508" s="20"/>
      <c r="X508" s="20"/>
      <c r="Y508" s="20"/>
      <c r="Z508" s="20"/>
      <c r="AA508" s="20"/>
    </row>
    <row r="509" spans="4:27" ht="17.25" customHeight="1">
      <c r="D509" s="57"/>
      <c r="E509" s="57"/>
      <c r="F509" s="58"/>
      <c r="G509" s="58"/>
      <c r="H509" s="58"/>
      <c r="I509" s="58"/>
      <c r="J509" s="31"/>
      <c r="K509" s="20"/>
      <c r="L509" s="20"/>
      <c r="M509" s="20"/>
      <c r="N509" s="20"/>
      <c r="O509" s="20"/>
      <c r="P509" s="20"/>
      <c r="Q509" s="20"/>
      <c r="R509" s="20"/>
      <c r="S509" s="20"/>
      <c r="T509" s="20"/>
      <c r="U509" s="20"/>
      <c r="V509" s="20"/>
      <c r="W509" s="20"/>
      <c r="X509" s="20"/>
      <c r="Y509" s="20"/>
      <c r="Z509" s="20"/>
      <c r="AA509" s="20"/>
    </row>
    <row r="510" spans="4:27" ht="17.25" customHeight="1">
      <c r="D510" s="57"/>
      <c r="E510" s="57"/>
      <c r="F510" s="58"/>
      <c r="G510" s="58"/>
      <c r="H510" s="58"/>
      <c r="I510" s="58"/>
      <c r="J510" s="31"/>
      <c r="K510" s="20"/>
      <c r="L510" s="20"/>
      <c r="M510" s="20"/>
      <c r="N510" s="20"/>
      <c r="O510" s="20"/>
      <c r="P510" s="20"/>
      <c r="Q510" s="20"/>
      <c r="R510" s="20"/>
      <c r="S510" s="20"/>
      <c r="T510" s="20"/>
      <c r="U510" s="20"/>
      <c r="V510" s="20"/>
      <c r="W510" s="20"/>
      <c r="X510" s="20"/>
      <c r="Y510" s="20"/>
      <c r="Z510" s="20"/>
      <c r="AA510" s="20"/>
    </row>
    <row r="511" spans="4:27" ht="17.25" customHeight="1">
      <c r="D511" s="57"/>
      <c r="E511" s="57"/>
      <c r="F511" s="58"/>
      <c r="G511" s="58"/>
      <c r="H511" s="58"/>
      <c r="I511" s="58"/>
      <c r="J511" s="31"/>
      <c r="K511" s="20"/>
      <c r="L511" s="20"/>
      <c r="M511" s="20"/>
      <c r="N511" s="20"/>
      <c r="O511" s="20"/>
      <c r="P511" s="20"/>
      <c r="Q511" s="20"/>
      <c r="R511" s="20"/>
      <c r="S511" s="20"/>
      <c r="T511" s="20"/>
      <c r="U511" s="20"/>
      <c r="V511" s="20"/>
      <c r="W511" s="20"/>
      <c r="X511" s="20"/>
      <c r="Y511" s="20"/>
      <c r="Z511" s="20"/>
      <c r="AA511" s="20"/>
    </row>
    <row r="512" spans="4:27" ht="17.25" customHeight="1">
      <c r="D512" s="57"/>
      <c r="E512" s="57"/>
      <c r="F512" s="58"/>
      <c r="G512" s="58"/>
      <c r="H512" s="58"/>
      <c r="I512" s="58"/>
      <c r="J512" s="31"/>
      <c r="K512" s="20"/>
      <c r="L512" s="20"/>
      <c r="M512" s="20"/>
      <c r="N512" s="20"/>
      <c r="O512" s="20"/>
      <c r="P512" s="20"/>
      <c r="Q512" s="20"/>
      <c r="R512" s="20"/>
      <c r="S512" s="20"/>
      <c r="T512" s="20"/>
      <c r="U512" s="20"/>
      <c r="V512" s="20"/>
      <c r="W512" s="20"/>
      <c r="X512" s="20"/>
      <c r="Y512" s="20"/>
      <c r="Z512" s="20"/>
      <c r="AA512" s="20"/>
    </row>
    <row r="513" spans="4:27" ht="17.25" customHeight="1">
      <c r="D513" s="57"/>
      <c r="E513" s="57"/>
      <c r="F513" s="58"/>
      <c r="G513" s="58"/>
      <c r="H513" s="58"/>
      <c r="I513" s="58"/>
      <c r="J513" s="31"/>
      <c r="K513" s="20"/>
      <c r="L513" s="20"/>
      <c r="M513" s="20"/>
      <c r="N513" s="20"/>
      <c r="O513" s="20"/>
      <c r="P513" s="20"/>
      <c r="Q513" s="20"/>
      <c r="R513" s="20"/>
      <c r="S513" s="20"/>
      <c r="T513" s="20"/>
      <c r="U513" s="20"/>
      <c r="V513" s="20"/>
      <c r="W513" s="20"/>
      <c r="X513" s="20"/>
      <c r="Y513" s="20"/>
      <c r="Z513" s="20"/>
      <c r="AA513" s="20"/>
    </row>
    <row r="514" spans="4:27" ht="17.25" customHeight="1">
      <c r="D514" s="57"/>
      <c r="E514" s="57"/>
      <c r="F514" s="58"/>
      <c r="G514" s="58"/>
      <c r="H514" s="58"/>
      <c r="I514" s="58"/>
      <c r="J514" s="31"/>
      <c r="K514" s="20"/>
      <c r="L514" s="20"/>
      <c r="M514" s="20"/>
      <c r="N514" s="20"/>
      <c r="O514" s="20"/>
      <c r="P514" s="20"/>
      <c r="Q514" s="20"/>
      <c r="R514" s="20"/>
      <c r="S514" s="20"/>
      <c r="T514" s="20"/>
      <c r="U514" s="20"/>
      <c r="V514" s="20"/>
      <c r="W514" s="20"/>
      <c r="X514" s="20"/>
      <c r="Y514" s="20"/>
      <c r="Z514" s="20"/>
      <c r="AA514" s="20"/>
    </row>
    <row r="515" spans="4:27" ht="17.25" customHeight="1">
      <c r="D515" s="57"/>
      <c r="E515" s="57"/>
      <c r="F515" s="58"/>
      <c r="G515" s="58"/>
      <c r="H515" s="58"/>
      <c r="I515" s="58"/>
      <c r="J515" s="31"/>
      <c r="K515" s="20"/>
      <c r="L515" s="20"/>
      <c r="M515" s="20"/>
      <c r="N515" s="20"/>
      <c r="O515" s="20"/>
      <c r="P515" s="20"/>
      <c r="Q515" s="20"/>
      <c r="R515" s="20"/>
      <c r="S515" s="20"/>
      <c r="T515" s="20"/>
      <c r="U515" s="20"/>
      <c r="V515" s="20"/>
      <c r="W515" s="20"/>
      <c r="X515" s="20"/>
      <c r="Y515" s="20"/>
      <c r="Z515" s="20"/>
      <c r="AA515" s="20"/>
    </row>
    <row r="516" spans="4:27" ht="17.25" customHeight="1">
      <c r="D516" s="57"/>
      <c r="E516" s="57"/>
      <c r="F516" s="58"/>
      <c r="G516" s="58"/>
      <c r="H516" s="58"/>
      <c r="I516" s="58"/>
      <c r="J516" s="31"/>
      <c r="K516" s="20"/>
      <c r="L516" s="20"/>
      <c r="M516" s="20"/>
      <c r="N516" s="20"/>
      <c r="O516" s="20"/>
      <c r="P516" s="20"/>
      <c r="Q516" s="20"/>
      <c r="R516" s="20"/>
      <c r="S516" s="20"/>
      <c r="T516" s="20"/>
      <c r="U516" s="20"/>
      <c r="V516" s="20"/>
      <c r="W516" s="20"/>
      <c r="X516" s="20"/>
      <c r="Y516" s="20"/>
      <c r="Z516" s="20"/>
      <c r="AA516" s="20"/>
    </row>
    <row r="517" spans="4:27" ht="17.25" customHeight="1">
      <c r="D517" s="57"/>
      <c r="E517" s="57"/>
      <c r="F517" s="58"/>
      <c r="G517" s="58"/>
      <c r="H517" s="58"/>
      <c r="I517" s="58"/>
      <c r="J517" s="31"/>
      <c r="K517" s="20"/>
      <c r="L517" s="20"/>
      <c r="M517" s="20"/>
      <c r="N517" s="20"/>
      <c r="O517" s="20"/>
      <c r="P517" s="20"/>
      <c r="Q517" s="20"/>
      <c r="R517" s="20"/>
      <c r="S517" s="20"/>
      <c r="T517" s="20"/>
      <c r="U517" s="20"/>
      <c r="V517" s="20"/>
      <c r="W517" s="20"/>
      <c r="X517" s="20"/>
      <c r="Y517" s="20"/>
      <c r="Z517" s="20"/>
      <c r="AA517" s="20"/>
    </row>
    <row r="518" spans="4:27" ht="17.25" customHeight="1">
      <c r="D518" s="57"/>
      <c r="E518" s="57"/>
      <c r="F518" s="58"/>
      <c r="G518" s="58"/>
      <c r="H518" s="58"/>
      <c r="I518" s="58"/>
      <c r="J518" s="31"/>
      <c r="K518" s="20"/>
      <c r="L518" s="20"/>
      <c r="M518" s="20"/>
      <c r="N518" s="20"/>
      <c r="O518" s="20"/>
      <c r="P518" s="20"/>
      <c r="Q518" s="20"/>
      <c r="R518" s="20"/>
      <c r="S518" s="20"/>
      <c r="T518" s="20"/>
      <c r="U518" s="20"/>
      <c r="V518" s="20"/>
      <c r="W518" s="20"/>
      <c r="X518" s="20"/>
      <c r="Y518" s="20"/>
      <c r="Z518" s="20"/>
      <c r="AA518" s="20"/>
    </row>
    <row r="519" spans="4:27" ht="17.25" customHeight="1">
      <c r="D519" s="57"/>
      <c r="E519" s="57"/>
      <c r="F519" s="58"/>
      <c r="G519" s="58"/>
      <c r="H519" s="58"/>
      <c r="I519" s="58"/>
      <c r="J519" s="31"/>
      <c r="K519" s="20"/>
      <c r="L519" s="20"/>
      <c r="M519" s="20"/>
      <c r="N519" s="20"/>
      <c r="O519" s="20"/>
      <c r="P519" s="20"/>
      <c r="Q519" s="20"/>
      <c r="R519" s="20"/>
      <c r="S519" s="20"/>
      <c r="T519" s="20"/>
      <c r="U519" s="20"/>
      <c r="V519" s="20"/>
      <c r="W519" s="20"/>
      <c r="X519" s="20"/>
      <c r="Y519" s="20"/>
      <c r="Z519" s="20"/>
      <c r="AA519" s="20"/>
    </row>
    <row r="520" spans="4:27" ht="17.25" customHeight="1">
      <c r="D520" s="57"/>
      <c r="E520" s="57"/>
      <c r="F520" s="58"/>
      <c r="G520" s="58"/>
      <c r="H520" s="58"/>
      <c r="I520" s="58"/>
      <c r="J520" s="31"/>
      <c r="K520" s="20"/>
      <c r="L520" s="20"/>
      <c r="M520" s="20"/>
      <c r="N520" s="20"/>
      <c r="O520" s="20"/>
      <c r="P520" s="20"/>
      <c r="Q520" s="20"/>
      <c r="R520" s="20"/>
      <c r="S520" s="20"/>
      <c r="T520" s="20"/>
      <c r="U520" s="20"/>
      <c r="V520" s="20"/>
      <c r="W520" s="20"/>
      <c r="X520" s="20"/>
      <c r="Y520" s="20"/>
      <c r="Z520" s="20"/>
      <c r="AA520" s="20"/>
    </row>
    <row r="521" spans="4:27" ht="17.25" customHeight="1">
      <c r="D521" s="57"/>
      <c r="E521" s="57"/>
      <c r="F521" s="58"/>
      <c r="G521" s="58"/>
      <c r="H521" s="58"/>
      <c r="I521" s="58"/>
      <c r="J521" s="31"/>
      <c r="K521" s="20"/>
      <c r="L521" s="20"/>
      <c r="M521" s="20"/>
      <c r="N521" s="20"/>
      <c r="O521" s="20"/>
      <c r="P521" s="20"/>
      <c r="Q521" s="20"/>
      <c r="R521" s="20"/>
      <c r="S521" s="20"/>
      <c r="T521" s="20"/>
      <c r="U521" s="20"/>
      <c r="V521" s="20"/>
      <c r="W521" s="20"/>
      <c r="X521" s="20"/>
      <c r="Y521" s="20"/>
      <c r="Z521" s="20"/>
      <c r="AA521" s="20"/>
    </row>
    <row r="522" spans="4:27" ht="17.25" customHeight="1">
      <c r="D522" s="57"/>
      <c r="E522" s="57"/>
      <c r="F522" s="58"/>
      <c r="G522" s="58"/>
      <c r="H522" s="58"/>
      <c r="I522" s="58"/>
      <c r="J522" s="31"/>
      <c r="K522" s="20"/>
      <c r="L522" s="20"/>
      <c r="M522" s="20"/>
      <c r="N522" s="20"/>
      <c r="O522" s="20"/>
      <c r="P522" s="20"/>
      <c r="Q522" s="20"/>
      <c r="R522" s="20"/>
      <c r="S522" s="20"/>
      <c r="T522" s="20"/>
      <c r="U522" s="20"/>
      <c r="V522" s="20"/>
      <c r="W522" s="20"/>
      <c r="X522" s="20"/>
      <c r="Y522" s="20"/>
      <c r="Z522" s="20"/>
      <c r="AA522" s="20"/>
    </row>
    <row r="523" spans="4:27" ht="17.25" customHeight="1">
      <c r="D523" s="57"/>
      <c r="E523" s="57"/>
      <c r="F523" s="58"/>
      <c r="G523" s="58"/>
      <c r="H523" s="58"/>
      <c r="I523" s="58"/>
      <c r="J523" s="31"/>
      <c r="K523" s="20"/>
      <c r="L523" s="20"/>
      <c r="M523" s="20"/>
      <c r="N523" s="20"/>
      <c r="O523" s="20"/>
      <c r="P523" s="20"/>
      <c r="Q523" s="20"/>
      <c r="R523" s="20"/>
      <c r="S523" s="20"/>
      <c r="T523" s="20"/>
      <c r="U523" s="20"/>
      <c r="V523" s="20"/>
      <c r="W523" s="20"/>
      <c r="X523" s="20"/>
      <c r="Y523" s="20"/>
      <c r="Z523" s="20"/>
      <c r="AA523" s="20"/>
    </row>
    <row r="524" spans="4:27" ht="17.25" customHeight="1">
      <c r="D524" s="57"/>
      <c r="E524" s="57"/>
      <c r="F524" s="58"/>
      <c r="G524" s="58"/>
      <c r="H524" s="58"/>
      <c r="I524" s="58"/>
      <c r="J524" s="31"/>
      <c r="K524" s="20"/>
      <c r="L524" s="20"/>
      <c r="M524" s="20"/>
      <c r="N524" s="20"/>
      <c r="O524" s="20"/>
      <c r="P524" s="20"/>
      <c r="Q524" s="20"/>
      <c r="R524" s="20"/>
      <c r="S524" s="20"/>
      <c r="T524" s="20"/>
      <c r="U524" s="20"/>
      <c r="V524" s="20"/>
      <c r="W524" s="20"/>
      <c r="X524" s="20"/>
      <c r="Y524" s="20"/>
      <c r="Z524" s="20"/>
      <c r="AA524" s="20"/>
    </row>
    <row r="525" spans="4:27" ht="17.25" customHeight="1">
      <c r="D525" s="57"/>
      <c r="E525" s="57"/>
      <c r="F525" s="58"/>
      <c r="G525" s="58"/>
      <c r="H525" s="58"/>
      <c r="I525" s="58"/>
      <c r="J525" s="31"/>
      <c r="K525" s="20"/>
      <c r="L525" s="20"/>
      <c r="M525" s="20"/>
      <c r="N525" s="20"/>
      <c r="O525" s="20"/>
      <c r="P525" s="20"/>
      <c r="Q525" s="20"/>
      <c r="R525" s="20"/>
      <c r="S525" s="20"/>
      <c r="T525" s="20"/>
      <c r="U525" s="20"/>
      <c r="V525" s="20"/>
      <c r="W525" s="20"/>
      <c r="X525" s="20"/>
      <c r="Y525" s="20"/>
      <c r="Z525" s="20"/>
      <c r="AA525" s="20"/>
    </row>
    <row r="526" spans="4:27" ht="17.25" customHeight="1">
      <c r="D526" s="57"/>
      <c r="E526" s="57"/>
      <c r="F526" s="58"/>
      <c r="G526" s="58"/>
      <c r="H526" s="58"/>
      <c r="I526" s="58"/>
      <c r="J526" s="31"/>
      <c r="K526" s="20"/>
      <c r="L526" s="20"/>
      <c r="M526" s="20"/>
      <c r="N526" s="20"/>
      <c r="O526" s="20"/>
      <c r="P526" s="20"/>
      <c r="Q526" s="20"/>
      <c r="R526" s="20"/>
      <c r="S526" s="20"/>
      <c r="T526" s="20"/>
      <c r="U526" s="20"/>
      <c r="V526" s="20"/>
      <c r="W526" s="20"/>
      <c r="X526" s="20"/>
      <c r="Y526" s="20"/>
      <c r="Z526" s="20"/>
      <c r="AA526" s="20"/>
    </row>
    <row r="527" spans="4:27" ht="17.25" customHeight="1">
      <c r="D527" s="57"/>
      <c r="E527" s="57"/>
      <c r="F527" s="58"/>
      <c r="G527" s="58"/>
      <c r="H527" s="58"/>
      <c r="I527" s="58"/>
      <c r="J527" s="31"/>
      <c r="K527" s="20"/>
      <c r="L527" s="20"/>
      <c r="M527" s="20"/>
      <c r="N527" s="20"/>
      <c r="O527" s="20"/>
      <c r="P527" s="20"/>
      <c r="Q527" s="20"/>
      <c r="R527" s="20"/>
      <c r="S527" s="20"/>
      <c r="T527" s="20"/>
      <c r="U527" s="20"/>
      <c r="V527" s="20"/>
      <c r="W527" s="20"/>
      <c r="X527" s="20"/>
      <c r="Y527" s="20"/>
      <c r="Z527" s="20"/>
      <c r="AA527" s="20"/>
    </row>
    <row r="528" spans="4:27" ht="17.25" customHeight="1">
      <c r="D528" s="57"/>
      <c r="E528" s="57"/>
      <c r="F528" s="58"/>
      <c r="G528" s="58"/>
      <c r="H528" s="58"/>
      <c r="I528" s="58"/>
      <c r="J528" s="31"/>
      <c r="K528" s="20"/>
      <c r="L528" s="20"/>
      <c r="M528" s="20"/>
      <c r="N528" s="20"/>
      <c r="O528" s="20"/>
      <c r="P528" s="20"/>
      <c r="Q528" s="20"/>
      <c r="R528" s="20"/>
      <c r="S528" s="20"/>
      <c r="T528" s="20"/>
      <c r="U528" s="20"/>
      <c r="V528" s="20"/>
      <c r="W528" s="20"/>
      <c r="X528" s="20"/>
      <c r="Y528" s="20"/>
      <c r="Z528" s="20"/>
      <c r="AA528" s="20"/>
    </row>
    <row r="529" spans="4:27" ht="17.25" customHeight="1">
      <c r="D529" s="57"/>
      <c r="E529" s="57"/>
      <c r="F529" s="58"/>
      <c r="G529" s="58"/>
      <c r="H529" s="58"/>
      <c r="I529" s="58"/>
      <c r="J529" s="31"/>
      <c r="K529" s="20"/>
      <c r="L529" s="20"/>
      <c r="M529" s="20"/>
      <c r="N529" s="20"/>
      <c r="O529" s="20"/>
      <c r="P529" s="20"/>
      <c r="Q529" s="20"/>
      <c r="R529" s="20"/>
      <c r="S529" s="20"/>
      <c r="T529" s="20"/>
      <c r="U529" s="20"/>
      <c r="V529" s="20"/>
      <c r="W529" s="20"/>
      <c r="X529" s="20"/>
      <c r="Y529" s="20"/>
      <c r="Z529" s="20"/>
      <c r="AA529" s="20"/>
    </row>
    <row r="530" spans="4:27" ht="17.25" customHeight="1">
      <c r="D530" s="57"/>
      <c r="E530" s="57"/>
      <c r="F530" s="58"/>
      <c r="G530" s="58"/>
      <c r="H530" s="58"/>
      <c r="I530" s="58"/>
      <c r="J530" s="31"/>
      <c r="K530" s="20"/>
      <c r="L530" s="20"/>
      <c r="M530" s="20"/>
      <c r="N530" s="20"/>
      <c r="O530" s="20"/>
      <c r="P530" s="20"/>
      <c r="Q530" s="20"/>
      <c r="R530" s="20"/>
      <c r="S530" s="20"/>
      <c r="T530" s="20"/>
      <c r="U530" s="20"/>
      <c r="V530" s="20"/>
      <c r="W530" s="20"/>
      <c r="X530" s="20"/>
      <c r="Y530" s="20"/>
      <c r="Z530" s="20"/>
      <c r="AA530" s="20"/>
    </row>
    <row r="531" spans="4:27" ht="17.25" customHeight="1">
      <c r="D531" s="57"/>
      <c r="E531" s="57"/>
      <c r="F531" s="58"/>
      <c r="G531" s="58"/>
      <c r="H531" s="58"/>
      <c r="I531" s="58"/>
      <c r="J531" s="31"/>
      <c r="K531" s="20"/>
      <c r="L531" s="20"/>
      <c r="M531" s="20"/>
      <c r="N531" s="20"/>
      <c r="O531" s="20"/>
      <c r="P531" s="20"/>
      <c r="Q531" s="20"/>
      <c r="R531" s="20"/>
      <c r="S531" s="20"/>
      <c r="T531" s="20"/>
      <c r="U531" s="20"/>
      <c r="V531" s="20"/>
      <c r="W531" s="20"/>
      <c r="X531" s="20"/>
      <c r="Y531" s="20"/>
      <c r="Z531" s="20"/>
      <c r="AA531" s="20"/>
    </row>
    <row r="532" spans="4:27" ht="17.25" customHeight="1">
      <c r="D532" s="57"/>
      <c r="E532" s="57"/>
      <c r="F532" s="58"/>
      <c r="G532" s="58"/>
      <c r="H532" s="58"/>
      <c r="I532" s="58"/>
      <c r="J532" s="31"/>
      <c r="K532" s="20"/>
      <c r="L532" s="20"/>
      <c r="M532" s="20"/>
      <c r="N532" s="20"/>
      <c r="O532" s="20"/>
      <c r="P532" s="20"/>
      <c r="Q532" s="20"/>
      <c r="R532" s="20"/>
      <c r="S532" s="20"/>
      <c r="T532" s="20"/>
      <c r="U532" s="20"/>
      <c r="V532" s="20"/>
      <c r="W532" s="20"/>
      <c r="X532" s="20"/>
      <c r="Y532" s="20"/>
      <c r="Z532" s="20"/>
      <c r="AA532" s="20"/>
    </row>
    <row r="533" spans="4:27" ht="17.25" customHeight="1">
      <c r="D533" s="57"/>
      <c r="E533" s="57"/>
      <c r="F533" s="58"/>
      <c r="G533" s="58"/>
      <c r="H533" s="58"/>
      <c r="I533" s="58"/>
      <c r="J533" s="31"/>
      <c r="K533" s="20"/>
      <c r="L533" s="20"/>
      <c r="M533" s="20"/>
      <c r="N533" s="20"/>
      <c r="O533" s="20"/>
      <c r="P533" s="20"/>
      <c r="Q533" s="20"/>
      <c r="R533" s="20"/>
      <c r="S533" s="20"/>
      <c r="T533" s="20"/>
      <c r="U533" s="20"/>
      <c r="V533" s="20"/>
      <c r="W533" s="20"/>
      <c r="X533" s="20"/>
      <c r="Y533" s="20"/>
      <c r="Z533" s="20"/>
      <c r="AA533" s="20"/>
    </row>
    <row r="534" spans="4:27" ht="17.25" customHeight="1">
      <c r="D534" s="57"/>
      <c r="E534" s="57"/>
      <c r="F534" s="58"/>
      <c r="G534" s="58"/>
      <c r="H534" s="58"/>
      <c r="I534" s="58"/>
      <c r="J534" s="31"/>
      <c r="K534" s="20"/>
      <c r="L534" s="20"/>
      <c r="M534" s="20"/>
      <c r="N534" s="20"/>
      <c r="O534" s="20"/>
      <c r="P534" s="20"/>
      <c r="Q534" s="20"/>
      <c r="R534" s="20"/>
      <c r="S534" s="20"/>
      <c r="T534" s="20"/>
      <c r="U534" s="20"/>
      <c r="V534" s="20"/>
      <c r="W534" s="20"/>
      <c r="X534" s="20"/>
      <c r="Y534" s="20"/>
      <c r="Z534" s="20"/>
      <c r="AA534" s="20"/>
    </row>
    <row r="535" spans="4:27" ht="17.25" customHeight="1">
      <c r="D535" s="57"/>
      <c r="E535" s="57"/>
      <c r="F535" s="58"/>
      <c r="G535" s="58"/>
      <c r="H535" s="58"/>
      <c r="I535" s="58"/>
      <c r="J535" s="31"/>
      <c r="K535" s="20"/>
      <c r="L535" s="20"/>
      <c r="M535" s="20"/>
      <c r="N535" s="20"/>
      <c r="O535" s="20"/>
      <c r="P535" s="20"/>
      <c r="Q535" s="20"/>
      <c r="R535" s="20"/>
      <c r="S535" s="20"/>
      <c r="T535" s="20"/>
      <c r="U535" s="20"/>
      <c r="V535" s="20"/>
      <c r="W535" s="20"/>
      <c r="X535" s="20"/>
      <c r="Y535" s="20"/>
      <c r="Z535" s="20"/>
      <c r="AA535" s="20"/>
    </row>
    <row r="536" spans="4:27" ht="17.25" customHeight="1">
      <c r="D536" s="57"/>
      <c r="E536" s="57"/>
      <c r="F536" s="58"/>
      <c r="G536" s="58"/>
      <c r="H536" s="58"/>
      <c r="I536" s="58"/>
      <c r="J536" s="31"/>
      <c r="K536" s="20"/>
      <c r="L536" s="20"/>
      <c r="M536" s="20"/>
      <c r="N536" s="20"/>
      <c r="O536" s="20"/>
      <c r="P536" s="20"/>
      <c r="Q536" s="20"/>
      <c r="R536" s="20"/>
      <c r="S536" s="20"/>
      <c r="T536" s="20"/>
      <c r="U536" s="20"/>
      <c r="V536" s="20"/>
      <c r="W536" s="20"/>
      <c r="X536" s="20"/>
      <c r="Y536" s="20"/>
      <c r="Z536" s="20"/>
      <c r="AA536" s="20"/>
    </row>
    <row r="537" spans="4:27" ht="17.25" customHeight="1">
      <c r="D537" s="57"/>
      <c r="E537" s="57"/>
      <c r="F537" s="58"/>
      <c r="G537" s="58"/>
      <c r="H537" s="58"/>
      <c r="I537" s="58"/>
      <c r="J537" s="31"/>
      <c r="K537" s="20"/>
      <c r="L537" s="20"/>
      <c r="M537" s="20"/>
      <c r="N537" s="20"/>
      <c r="O537" s="20"/>
      <c r="P537" s="20"/>
      <c r="Q537" s="20"/>
      <c r="R537" s="20"/>
      <c r="S537" s="20"/>
      <c r="T537" s="20"/>
      <c r="U537" s="20"/>
      <c r="V537" s="20"/>
      <c r="W537" s="20"/>
      <c r="X537" s="20"/>
      <c r="Y537" s="20"/>
      <c r="Z537" s="20"/>
      <c r="AA537" s="20"/>
    </row>
    <row r="538" spans="4:27" ht="17.25" customHeight="1">
      <c r="D538" s="57"/>
      <c r="E538" s="57"/>
      <c r="F538" s="58"/>
      <c r="G538" s="58"/>
      <c r="H538" s="58"/>
      <c r="I538" s="58"/>
      <c r="J538" s="31"/>
      <c r="K538" s="20"/>
      <c r="L538" s="20"/>
      <c r="M538" s="20"/>
      <c r="N538" s="20"/>
      <c r="O538" s="20"/>
      <c r="P538" s="20"/>
      <c r="Q538" s="20"/>
      <c r="R538" s="20"/>
      <c r="S538" s="20"/>
      <c r="T538" s="20"/>
      <c r="U538" s="20"/>
      <c r="V538" s="20"/>
      <c r="W538" s="20"/>
      <c r="X538" s="20"/>
      <c r="Y538" s="20"/>
      <c r="Z538" s="20"/>
      <c r="AA538" s="20"/>
    </row>
    <row r="539" spans="4:27" ht="17.25" customHeight="1">
      <c r="D539" s="57"/>
      <c r="E539" s="57"/>
      <c r="F539" s="58"/>
      <c r="G539" s="58"/>
      <c r="H539" s="58"/>
      <c r="I539" s="58"/>
      <c r="J539" s="31"/>
      <c r="K539" s="20"/>
      <c r="L539" s="20"/>
      <c r="M539" s="20"/>
      <c r="N539" s="20"/>
      <c r="O539" s="20"/>
      <c r="P539" s="20"/>
      <c r="Q539" s="20"/>
      <c r="R539" s="20"/>
      <c r="S539" s="20"/>
      <c r="T539" s="20"/>
      <c r="U539" s="20"/>
      <c r="V539" s="20"/>
      <c r="W539" s="20"/>
      <c r="X539" s="20"/>
      <c r="Y539" s="20"/>
      <c r="Z539" s="20"/>
      <c r="AA539" s="20"/>
    </row>
    <row r="540" spans="4:27" ht="17.25" customHeight="1">
      <c r="D540" s="57"/>
      <c r="E540" s="57"/>
      <c r="F540" s="58"/>
      <c r="G540" s="58"/>
      <c r="H540" s="58"/>
      <c r="I540" s="58"/>
      <c r="J540" s="31"/>
      <c r="K540" s="20"/>
      <c r="L540" s="20"/>
      <c r="M540" s="20"/>
      <c r="N540" s="20"/>
      <c r="O540" s="20"/>
      <c r="P540" s="20"/>
      <c r="Q540" s="20"/>
      <c r="R540" s="20"/>
      <c r="S540" s="20"/>
      <c r="T540" s="20"/>
      <c r="U540" s="20"/>
      <c r="V540" s="20"/>
      <c r="W540" s="20"/>
      <c r="X540" s="20"/>
      <c r="Y540" s="20"/>
      <c r="Z540" s="20"/>
      <c r="AA540" s="20"/>
    </row>
    <row r="541" spans="4:27" ht="17.25" customHeight="1">
      <c r="D541" s="57"/>
      <c r="E541" s="57"/>
      <c r="F541" s="58"/>
      <c r="G541" s="58"/>
      <c r="H541" s="58"/>
      <c r="I541" s="58"/>
      <c r="J541" s="31"/>
      <c r="K541" s="20"/>
      <c r="L541" s="20"/>
      <c r="M541" s="20"/>
      <c r="N541" s="20"/>
      <c r="O541" s="20"/>
      <c r="P541" s="20"/>
      <c r="Q541" s="20"/>
      <c r="R541" s="20"/>
      <c r="S541" s="20"/>
      <c r="T541" s="20"/>
      <c r="U541" s="20"/>
      <c r="V541" s="20"/>
      <c r="W541" s="20"/>
      <c r="X541" s="20"/>
      <c r="Y541" s="20"/>
      <c r="Z541" s="20"/>
      <c r="AA541" s="20"/>
    </row>
    <row r="542" spans="4:27" ht="17.25" customHeight="1">
      <c r="D542" s="57"/>
      <c r="E542" s="57"/>
      <c r="F542" s="58"/>
      <c r="G542" s="58"/>
      <c r="H542" s="58"/>
      <c r="I542" s="58"/>
      <c r="J542" s="31"/>
      <c r="K542" s="20"/>
      <c r="L542" s="20"/>
      <c r="M542" s="20"/>
      <c r="N542" s="20"/>
      <c r="O542" s="20"/>
      <c r="P542" s="20"/>
      <c r="Q542" s="20"/>
      <c r="R542" s="20"/>
      <c r="S542" s="20"/>
      <c r="T542" s="20"/>
      <c r="U542" s="20"/>
      <c r="V542" s="20"/>
      <c r="W542" s="20"/>
      <c r="X542" s="20"/>
      <c r="Y542" s="20"/>
      <c r="Z542" s="20"/>
      <c r="AA542" s="20"/>
    </row>
    <row r="543" spans="4:27" ht="17.25" customHeight="1">
      <c r="D543" s="57"/>
      <c r="E543" s="57"/>
      <c r="F543" s="58"/>
      <c r="G543" s="58"/>
      <c r="H543" s="58"/>
      <c r="I543" s="58"/>
      <c r="J543" s="31"/>
      <c r="K543" s="20"/>
      <c r="L543" s="20"/>
      <c r="M543" s="20"/>
      <c r="N543" s="20"/>
      <c r="O543" s="20"/>
      <c r="P543" s="20"/>
      <c r="Q543" s="20"/>
      <c r="R543" s="20"/>
      <c r="S543" s="20"/>
      <c r="T543" s="20"/>
      <c r="U543" s="20"/>
      <c r="V543" s="20"/>
      <c r="W543" s="20"/>
      <c r="X543" s="20"/>
      <c r="Y543" s="20"/>
      <c r="Z543" s="20"/>
      <c r="AA543" s="20"/>
    </row>
    <row r="544" spans="4:27" ht="17.25" customHeight="1">
      <c r="D544" s="57"/>
      <c r="E544" s="57"/>
      <c r="F544" s="58"/>
      <c r="G544" s="58"/>
      <c r="H544" s="58"/>
      <c r="I544" s="58"/>
      <c r="J544" s="31"/>
      <c r="K544" s="20"/>
      <c r="L544" s="20"/>
      <c r="M544" s="20"/>
      <c r="N544" s="20"/>
      <c r="O544" s="20"/>
      <c r="P544" s="20"/>
      <c r="Q544" s="20"/>
      <c r="R544" s="20"/>
      <c r="S544" s="20"/>
      <c r="T544" s="20"/>
      <c r="U544" s="20"/>
      <c r="V544" s="20"/>
      <c r="W544" s="20"/>
      <c r="X544" s="20"/>
      <c r="Y544" s="20"/>
      <c r="Z544" s="20"/>
      <c r="AA544" s="20"/>
    </row>
    <row r="545" spans="4:27" ht="17.25" customHeight="1">
      <c r="D545" s="57"/>
      <c r="E545" s="57"/>
      <c r="F545" s="58"/>
      <c r="G545" s="58"/>
      <c r="H545" s="58"/>
      <c r="I545" s="58"/>
      <c r="J545" s="31"/>
      <c r="K545" s="20"/>
      <c r="L545" s="20"/>
      <c r="M545" s="20"/>
      <c r="N545" s="20"/>
      <c r="O545" s="20"/>
      <c r="P545" s="20"/>
      <c r="Q545" s="20"/>
      <c r="R545" s="20"/>
      <c r="S545" s="20"/>
      <c r="T545" s="20"/>
      <c r="U545" s="20"/>
      <c r="V545" s="20"/>
      <c r="W545" s="20"/>
      <c r="X545" s="20"/>
      <c r="Y545" s="20"/>
      <c r="Z545" s="20"/>
      <c r="AA545" s="20"/>
    </row>
    <row r="546" spans="4:27" ht="17.25" customHeight="1">
      <c r="D546" s="57"/>
      <c r="E546" s="57"/>
      <c r="F546" s="58"/>
      <c r="G546" s="58"/>
      <c r="H546" s="58"/>
      <c r="I546" s="58"/>
      <c r="J546" s="31"/>
      <c r="K546" s="20"/>
      <c r="L546" s="20"/>
      <c r="M546" s="20"/>
      <c r="N546" s="20"/>
      <c r="O546" s="20"/>
      <c r="P546" s="20"/>
      <c r="Q546" s="20"/>
      <c r="R546" s="20"/>
      <c r="S546" s="20"/>
      <c r="T546" s="20"/>
      <c r="U546" s="20"/>
      <c r="V546" s="20"/>
      <c r="W546" s="20"/>
      <c r="X546" s="20"/>
      <c r="Y546" s="20"/>
      <c r="Z546" s="20"/>
      <c r="AA546" s="20"/>
    </row>
    <row r="547" spans="4:27" ht="17.25" customHeight="1">
      <c r="D547" s="57"/>
      <c r="E547" s="57"/>
      <c r="F547" s="58"/>
      <c r="G547" s="58"/>
      <c r="H547" s="58"/>
      <c r="I547" s="58"/>
      <c r="J547" s="31"/>
      <c r="K547" s="20"/>
      <c r="L547" s="20"/>
      <c r="M547" s="20"/>
      <c r="N547" s="20"/>
      <c r="O547" s="20"/>
      <c r="P547" s="20"/>
      <c r="Q547" s="20"/>
      <c r="R547" s="20"/>
      <c r="S547" s="20"/>
      <c r="T547" s="20"/>
      <c r="U547" s="20"/>
      <c r="V547" s="20"/>
      <c r="W547" s="20"/>
      <c r="X547" s="20"/>
      <c r="Y547" s="20"/>
      <c r="Z547" s="20"/>
      <c r="AA547" s="20"/>
    </row>
    <row r="548" spans="4:27" ht="17.25" customHeight="1">
      <c r="D548" s="57"/>
      <c r="E548" s="57"/>
      <c r="F548" s="58"/>
      <c r="G548" s="58"/>
      <c r="H548" s="58"/>
      <c r="I548" s="58"/>
      <c r="J548" s="31"/>
      <c r="K548" s="20"/>
      <c r="L548" s="20"/>
      <c r="M548" s="20"/>
      <c r="N548" s="20"/>
      <c r="O548" s="20"/>
      <c r="P548" s="20"/>
      <c r="Q548" s="20"/>
      <c r="R548" s="20"/>
      <c r="S548" s="20"/>
      <c r="T548" s="20"/>
      <c r="U548" s="20"/>
      <c r="V548" s="20"/>
      <c r="W548" s="20"/>
      <c r="X548" s="20"/>
      <c r="Y548" s="20"/>
      <c r="Z548" s="20"/>
      <c r="AA548" s="20"/>
    </row>
    <row r="549" spans="4:27" ht="17.25" customHeight="1">
      <c r="D549" s="57"/>
      <c r="E549" s="57"/>
      <c r="F549" s="58"/>
      <c r="G549" s="58"/>
      <c r="H549" s="58"/>
      <c r="I549" s="58"/>
      <c r="J549" s="31"/>
      <c r="K549" s="20"/>
      <c r="L549" s="20"/>
      <c r="M549" s="20"/>
      <c r="N549" s="20"/>
      <c r="O549" s="20"/>
      <c r="P549" s="20"/>
      <c r="Q549" s="20"/>
      <c r="R549" s="20"/>
      <c r="S549" s="20"/>
      <c r="T549" s="20"/>
      <c r="U549" s="20"/>
      <c r="V549" s="20"/>
      <c r="W549" s="20"/>
      <c r="X549" s="20"/>
      <c r="Y549" s="20"/>
      <c r="Z549" s="20"/>
      <c r="AA549" s="20"/>
    </row>
    <row r="550" spans="4:27" ht="17.25" customHeight="1">
      <c r="D550" s="57"/>
      <c r="E550" s="57"/>
      <c r="F550" s="58"/>
      <c r="G550" s="58"/>
      <c r="H550" s="58"/>
      <c r="I550" s="58"/>
      <c r="J550" s="31"/>
      <c r="K550" s="20"/>
      <c r="L550" s="20"/>
      <c r="M550" s="20"/>
      <c r="N550" s="20"/>
      <c r="O550" s="20"/>
      <c r="P550" s="20"/>
      <c r="Q550" s="20"/>
      <c r="R550" s="20"/>
      <c r="S550" s="20"/>
      <c r="T550" s="20"/>
      <c r="U550" s="20"/>
      <c r="V550" s="20"/>
      <c r="W550" s="20"/>
      <c r="X550" s="20"/>
      <c r="Y550" s="20"/>
      <c r="Z550" s="20"/>
      <c r="AA550" s="20"/>
    </row>
    <row r="551" spans="4:27" ht="17.25" customHeight="1">
      <c r="D551" s="57"/>
      <c r="E551" s="57"/>
      <c r="F551" s="58"/>
      <c r="G551" s="58"/>
      <c r="H551" s="58"/>
      <c r="I551" s="58"/>
      <c r="J551" s="31"/>
      <c r="K551" s="20"/>
      <c r="L551" s="20"/>
      <c r="M551" s="20"/>
      <c r="N551" s="20"/>
      <c r="O551" s="20"/>
      <c r="P551" s="20"/>
      <c r="Q551" s="20"/>
      <c r="R551" s="20"/>
      <c r="S551" s="20"/>
      <c r="T551" s="20"/>
      <c r="U551" s="20"/>
      <c r="V551" s="20"/>
      <c r="W551" s="20"/>
      <c r="X551" s="20"/>
      <c r="Y551" s="20"/>
      <c r="Z551" s="20"/>
      <c r="AA551" s="20"/>
    </row>
    <row r="552" spans="4:27" ht="17.25" customHeight="1">
      <c r="D552" s="57"/>
      <c r="E552" s="57"/>
      <c r="F552" s="58"/>
      <c r="G552" s="58"/>
      <c r="H552" s="58"/>
      <c r="I552" s="58"/>
      <c r="J552" s="31"/>
      <c r="K552" s="20"/>
      <c r="L552" s="20"/>
      <c r="M552" s="20"/>
      <c r="N552" s="20"/>
      <c r="O552" s="20"/>
      <c r="P552" s="20"/>
      <c r="Q552" s="20"/>
      <c r="R552" s="20"/>
      <c r="S552" s="20"/>
      <c r="T552" s="20"/>
      <c r="U552" s="20"/>
      <c r="V552" s="20"/>
      <c r="W552" s="20"/>
      <c r="X552" s="20"/>
      <c r="Y552" s="20"/>
      <c r="Z552" s="20"/>
      <c r="AA552" s="20"/>
    </row>
    <row r="553" spans="4:27" ht="17.25" customHeight="1">
      <c r="D553" s="57"/>
      <c r="E553" s="57"/>
      <c r="F553" s="58"/>
      <c r="G553" s="58"/>
      <c r="H553" s="58"/>
      <c r="I553" s="58"/>
      <c r="J553" s="31"/>
      <c r="K553" s="20"/>
      <c r="L553" s="20"/>
      <c r="M553" s="20"/>
      <c r="N553" s="20"/>
      <c r="O553" s="20"/>
      <c r="P553" s="20"/>
      <c r="Q553" s="20"/>
      <c r="R553" s="20"/>
      <c r="S553" s="20"/>
      <c r="T553" s="20"/>
      <c r="U553" s="20"/>
      <c r="V553" s="20"/>
      <c r="W553" s="20"/>
      <c r="X553" s="20"/>
      <c r="Y553" s="20"/>
      <c r="Z553" s="20"/>
      <c r="AA553" s="20"/>
    </row>
    <row r="554" spans="4:27" ht="17.25" customHeight="1">
      <c r="D554" s="57"/>
      <c r="E554" s="57"/>
      <c r="F554" s="58"/>
      <c r="G554" s="58"/>
      <c r="H554" s="58"/>
      <c r="I554" s="58"/>
      <c r="J554" s="31"/>
      <c r="K554" s="20"/>
      <c r="L554" s="20"/>
      <c r="M554" s="20"/>
      <c r="N554" s="20"/>
      <c r="O554" s="20"/>
      <c r="P554" s="20"/>
      <c r="Q554" s="20"/>
      <c r="R554" s="20"/>
      <c r="S554" s="20"/>
      <c r="T554" s="20"/>
      <c r="U554" s="20"/>
      <c r="V554" s="20"/>
      <c r="W554" s="20"/>
      <c r="X554" s="20"/>
      <c r="Y554" s="20"/>
      <c r="Z554" s="20"/>
      <c r="AA554" s="20"/>
    </row>
    <row r="555" spans="4:27" ht="17.25" customHeight="1">
      <c r="D555" s="57"/>
      <c r="E555" s="57"/>
      <c r="F555" s="58"/>
      <c r="G555" s="58"/>
      <c r="H555" s="58"/>
      <c r="I555" s="58"/>
      <c r="J555" s="31"/>
      <c r="K555" s="20"/>
      <c r="L555" s="20"/>
      <c r="M555" s="20"/>
      <c r="N555" s="20"/>
      <c r="O555" s="20"/>
      <c r="P555" s="20"/>
      <c r="Q555" s="20"/>
      <c r="R555" s="20"/>
      <c r="S555" s="20"/>
      <c r="T555" s="20"/>
      <c r="U555" s="20"/>
      <c r="V555" s="20"/>
      <c r="W555" s="20"/>
      <c r="X555" s="20"/>
      <c r="Y555" s="20"/>
      <c r="Z555" s="20"/>
      <c r="AA555" s="20"/>
    </row>
    <row r="556" spans="4:27" ht="17.25" customHeight="1">
      <c r="D556" s="57"/>
      <c r="E556" s="57"/>
      <c r="F556" s="58"/>
      <c r="G556" s="58"/>
      <c r="H556" s="58"/>
      <c r="I556" s="58"/>
      <c r="J556" s="31"/>
      <c r="K556" s="20"/>
      <c r="L556" s="20"/>
      <c r="M556" s="20"/>
      <c r="N556" s="20"/>
      <c r="O556" s="20"/>
      <c r="P556" s="20"/>
      <c r="Q556" s="20"/>
      <c r="R556" s="20"/>
      <c r="S556" s="20"/>
      <c r="T556" s="20"/>
      <c r="U556" s="20"/>
      <c r="V556" s="20"/>
      <c r="W556" s="20"/>
      <c r="X556" s="20"/>
      <c r="Y556" s="20"/>
      <c r="Z556" s="20"/>
      <c r="AA556" s="20"/>
    </row>
    <row r="557" spans="4:27" ht="17.25" customHeight="1">
      <c r="D557" s="57"/>
      <c r="E557" s="57"/>
      <c r="F557" s="58"/>
      <c r="G557" s="58"/>
      <c r="H557" s="58"/>
      <c r="I557" s="58"/>
      <c r="J557" s="31"/>
      <c r="K557" s="20"/>
      <c r="L557" s="20"/>
      <c r="M557" s="20"/>
      <c r="N557" s="20"/>
      <c r="O557" s="20"/>
      <c r="P557" s="20"/>
      <c r="Q557" s="20"/>
      <c r="R557" s="20"/>
      <c r="S557" s="20"/>
      <c r="T557" s="20"/>
      <c r="U557" s="20"/>
      <c r="V557" s="20"/>
      <c r="W557" s="20"/>
      <c r="X557" s="20"/>
      <c r="Y557" s="20"/>
      <c r="Z557" s="20"/>
      <c r="AA557" s="20"/>
    </row>
    <row r="558" spans="4:27" ht="17.25" customHeight="1">
      <c r="D558" s="57"/>
      <c r="E558" s="57"/>
      <c r="F558" s="58"/>
      <c r="G558" s="58"/>
      <c r="H558" s="58"/>
      <c r="I558" s="58"/>
      <c r="J558" s="31"/>
      <c r="K558" s="20"/>
      <c r="L558" s="20"/>
      <c r="M558" s="20"/>
      <c r="N558" s="20"/>
      <c r="O558" s="20"/>
      <c r="P558" s="20"/>
      <c r="Q558" s="20"/>
      <c r="R558" s="20"/>
      <c r="S558" s="20"/>
      <c r="T558" s="20"/>
      <c r="U558" s="20"/>
      <c r="V558" s="20"/>
      <c r="W558" s="20"/>
      <c r="X558" s="20"/>
      <c r="Y558" s="20"/>
      <c r="Z558" s="20"/>
      <c r="AA558" s="20"/>
    </row>
    <row r="559" spans="4:27" ht="17.25" customHeight="1">
      <c r="D559" s="57"/>
      <c r="E559" s="57"/>
      <c r="F559" s="58"/>
      <c r="G559" s="58"/>
      <c r="H559" s="58"/>
      <c r="I559" s="58"/>
      <c r="J559" s="31"/>
      <c r="K559" s="20"/>
      <c r="L559" s="20"/>
      <c r="M559" s="20"/>
      <c r="N559" s="20"/>
      <c r="O559" s="20"/>
      <c r="P559" s="20"/>
      <c r="Q559" s="20"/>
      <c r="R559" s="20"/>
      <c r="S559" s="20"/>
      <c r="T559" s="20"/>
      <c r="U559" s="20"/>
      <c r="V559" s="20"/>
      <c r="W559" s="20"/>
      <c r="X559" s="20"/>
      <c r="Y559" s="20"/>
      <c r="Z559" s="20"/>
      <c r="AA559" s="20"/>
    </row>
    <row r="560" spans="4:27" ht="17.25" customHeight="1">
      <c r="D560" s="57"/>
      <c r="E560" s="57"/>
      <c r="F560" s="58"/>
      <c r="G560" s="58"/>
      <c r="H560" s="58"/>
      <c r="I560" s="58"/>
      <c r="J560" s="31"/>
      <c r="K560" s="20"/>
      <c r="L560" s="20"/>
      <c r="M560" s="20"/>
      <c r="N560" s="20"/>
      <c r="O560" s="20"/>
      <c r="P560" s="20"/>
      <c r="Q560" s="20"/>
      <c r="R560" s="20"/>
      <c r="S560" s="20"/>
      <c r="T560" s="20"/>
      <c r="U560" s="20"/>
      <c r="V560" s="20"/>
      <c r="W560" s="20"/>
      <c r="X560" s="20"/>
      <c r="Y560" s="20"/>
      <c r="Z560" s="20"/>
      <c r="AA560" s="20"/>
    </row>
    <row r="561" spans="4:27" ht="17.25" customHeight="1">
      <c r="D561" s="57"/>
      <c r="E561" s="57"/>
      <c r="F561" s="58"/>
      <c r="G561" s="58"/>
      <c r="H561" s="58"/>
      <c r="I561" s="58"/>
      <c r="J561" s="31"/>
      <c r="K561" s="20"/>
      <c r="L561" s="20"/>
      <c r="M561" s="20"/>
      <c r="N561" s="20"/>
      <c r="O561" s="20"/>
      <c r="P561" s="20"/>
      <c r="Q561" s="20"/>
      <c r="R561" s="20"/>
      <c r="S561" s="20"/>
      <c r="T561" s="20"/>
      <c r="U561" s="20"/>
      <c r="V561" s="20"/>
      <c r="W561" s="20"/>
      <c r="X561" s="20"/>
      <c r="Y561" s="20"/>
      <c r="Z561" s="20"/>
      <c r="AA561" s="20"/>
    </row>
    <row r="562" spans="4:27" ht="17.25" customHeight="1">
      <c r="D562" s="57"/>
      <c r="E562" s="57"/>
      <c r="F562" s="58"/>
      <c r="G562" s="58"/>
      <c r="H562" s="58"/>
      <c r="I562" s="58"/>
      <c r="J562" s="31"/>
      <c r="K562" s="20"/>
      <c r="L562" s="20"/>
      <c r="M562" s="20"/>
      <c r="N562" s="20"/>
      <c r="O562" s="20"/>
      <c r="P562" s="20"/>
      <c r="Q562" s="20"/>
      <c r="R562" s="20"/>
      <c r="S562" s="20"/>
      <c r="T562" s="20"/>
      <c r="U562" s="20"/>
      <c r="V562" s="20"/>
      <c r="W562" s="20"/>
      <c r="X562" s="20"/>
      <c r="Y562" s="20"/>
      <c r="Z562" s="20"/>
      <c r="AA562" s="20"/>
    </row>
    <row r="563" spans="4:27" ht="17.25" customHeight="1">
      <c r="D563" s="57"/>
      <c r="E563" s="57"/>
      <c r="F563" s="58"/>
      <c r="G563" s="58"/>
      <c r="H563" s="58"/>
      <c r="I563" s="58"/>
      <c r="J563" s="31"/>
      <c r="K563" s="20"/>
      <c r="L563" s="20"/>
      <c r="M563" s="20"/>
      <c r="N563" s="20"/>
      <c r="O563" s="20"/>
      <c r="P563" s="20"/>
      <c r="Q563" s="20"/>
      <c r="R563" s="20"/>
      <c r="S563" s="20"/>
      <c r="T563" s="20"/>
      <c r="U563" s="20"/>
      <c r="V563" s="20"/>
      <c r="W563" s="20"/>
      <c r="X563" s="20"/>
      <c r="Y563" s="20"/>
      <c r="Z563" s="20"/>
      <c r="AA563" s="20"/>
    </row>
    <row r="564" spans="4:27" ht="17.25" customHeight="1">
      <c r="D564" s="57"/>
      <c r="E564" s="57"/>
      <c r="F564" s="58"/>
      <c r="G564" s="58"/>
      <c r="H564" s="58"/>
      <c r="I564" s="58"/>
      <c r="J564" s="31"/>
      <c r="K564" s="20"/>
      <c r="L564" s="20"/>
      <c r="M564" s="20"/>
      <c r="N564" s="20"/>
      <c r="O564" s="20"/>
      <c r="P564" s="20"/>
      <c r="Q564" s="20"/>
      <c r="R564" s="20"/>
      <c r="S564" s="20"/>
      <c r="T564" s="20"/>
      <c r="U564" s="20"/>
      <c r="V564" s="20"/>
      <c r="W564" s="20"/>
      <c r="X564" s="20"/>
      <c r="Y564" s="20"/>
      <c r="Z564" s="20"/>
      <c r="AA564" s="20"/>
    </row>
    <row r="565" spans="4:27" ht="17.25" customHeight="1">
      <c r="D565" s="57"/>
      <c r="E565" s="57"/>
      <c r="F565" s="58"/>
      <c r="G565" s="58"/>
      <c r="H565" s="58"/>
      <c r="I565" s="58"/>
      <c r="J565" s="31"/>
      <c r="K565" s="20"/>
      <c r="L565" s="20"/>
      <c r="M565" s="20"/>
      <c r="N565" s="20"/>
      <c r="O565" s="20"/>
      <c r="P565" s="20"/>
      <c r="Q565" s="20"/>
      <c r="R565" s="20"/>
      <c r="S565" s="20"/>
      <c r="T565" s="20"/>
      <c r="U565" s="20"/>
      <c r="V565" s="20"/>
      <c r="W565" s="20"/>
      <c r="X565" s="20"/>
      <c r="Y565" s="20"/>
      <c r="Z565" s="20"/>
      <c r="AA565" s="20"/>
    </row>
    <row r="566" spans="4:27" ht="17.25" customHeight="1">
      <c r="D566" s="57"/>
      <c r="E566" s="57"/>
      <c r="F566" s="58"/>
      <c r="G566" s="58"/>
      <c r="H566" s="58"/>
      <c r="I566" s="58"/>
      <c r="J566" s="31"/>
      <c r="K566" s="20"/>
      <c r="L566" s="20"/>
      <c r="M566" s="20"/>
      <c r="N566" s="20"/>
      <c r="O566" s="20"/>
      <c r="P566" s="20"/>
      <c r="Q566" s="20"/>
      <c r="R566" s="20"/>
      <c r="S566" s="20"/>
      <c r="T566" s="20"/>
      <c r="U566" s="20"/>
      <c r="V566" s="20"/>
      <c r="W566" s="20"/>
      <c r="X566" s="20"/>
      <c r="Y566" s="20"/>
      <c r="Z566" s="20"/>
      <c r="AA566" s="20"/>
    </row>
    <row r="567" spans="4:27" ht="17.25" customHeight="1">
      <c r="D567" s="57"/>
      <c r="E567" s="57"/>
      <c r="F567" s="58"/>
      <c r="G567" s="58"/>
      <c r="H567" s="58"/>
      <c r="I567" s="58"/>
      <c r="J567" s="31"/>
      <c r="K567" s="20"/>
      <c r="L567" s="20"/>
      <c r="M567" s="20"/>
      <c r="N567" s="20"/>
      <c r="O567" s="20"/>
      <c r="P567" s="20"/>
      <c r="Q567" s="20"/>
      <c r="R567" s="20"/>
      <c r="S567" s="20"/>
      <c r="T567" s="20"/>
      <c r="U567" s="20"/>
      <c r="V567" s="20"/>
      <c r="W567" s="20"/>
      <c r="X567" s="20"/>
      <c r="Y567" s="20"/>
      <c r="Z567" s="20"/>
      <c r="AA567" s="20"/>
    </row>
    <row r="568" spans="4:27" ht="17.25" customHeight="1">
      <c r="D568" s="57"/>
      <c r="E568" s="57"/>
      <c r="F568" s="58"/>
      <c r="G568" s="58"/>
      <c r="H568" s="58"/>
      <c r="I568" s="58"/>
      <c r="J568" s="31"/>
      <c r="K568" s="20"/>
      <c r="L568" s="20"/>
      <c r="M568" s="20"/>
      <c r="N568" s="20"/>
      <c r="O568" s="20"/>
      <c r="P568" s="20"/>
      <c r="Q568" s="20"/>
      <c r="R568" s="20"/>
      <c r="S568" s="20"/>
      <c r="T568" s="20"/>
      <c r="U568" s="20"/>
      <c r="V568" s="20"/>
      <c r="W568" s="20"/>
      <c r="X568" s="20"/>
      <c r="Y568" s="20"/>
      <c r="Z568" s="20"/>
      <c r="AA568" s="20"/>
    </row>
    <row r="569" spans="4:27" ht="17.25" customHeight="1">
      <c r="D569" s="57"/>
      <c r="E569" s="57"/>
      <c r="F569" s="58"/>
      <c r="G569" s="58"/>
      <c r="H569" s="58"/>
      <c r="I569" s="58"/>
      <c r="J569" s="31"/>
      <c r="K569" s="20"/>
      <c r="L569" s="20"/>
      <c r="M569" s="20"/>
      <c r="N569" s="20"/>
      <c r="O569" s="20"/>
      <c r="P569" s="20"/>
      <c r="Q569" s="20"/>
      <c r="R569" s="20"/>
      <c r="S569" s="20"/>
      <c r="T569" s="20"/>
      <c r="U569" s="20"/>
      <c r="V569" s="20"/>
      <c r="W569" s="20"/>
      <c r="X569" s="20"/>
      <c r="Y569" s="20"/>
      <c r="Z569" s="20"/>
      <c r="AA569" s="20"/>
    </row>
    <row r="570" spans="4:27" ht="17.25" customHeight="1">
      <c r="D570" s="57"/>
      <c r="E570" s="57"/>
      <c r="F570" s="58"/>
      <c r="G570" s="58"/>
      <c r="H570" s="58"/>
      <c r="I570" s="58"/>
      <c r="J570" s="31"/>
      <c r="K570" s="20"/>
      <c r="L570" s="20"/>
      <c r="M570" s="20"/>
      <c r="N570" s="20"/>
      <c r="O570" s="20"/>
      <c r="P570" s="20"/>
      <c r="Q570" s="20"/>
      <c r="R570" s="20"/>
      <c r="S570" s="20"/>
      <c r="T570" s="20"/>
      <c r="U570" s="20"/>
      <c r="V570" s="20"/>
      <c r="W570" s="20"/>
      <c r="X570" s="20"/>
      <c r="Y570" s="20"/>
      <c r="Z570" s="20"/>
      <c r="AA570" s="20"/>
    </row>
    <row r="571" spans="4:27" ht="17.25" customHeight="1">
      <c r="D571" s="57"/>
      <c r="E571" s="57"/>
      <c r="F571" s="58"/>
      <c r="G571" s="58"/>
      <c r="H571" s="58"/>
      <c r="I571" s="58"/>
      <c r="J571" s="31"/>
      <c r="K571" s="20"/>
      <c r="L571" s="20"/>
      <c r="M571" s="20"/>
      <c r="N571" s="20"/>
      <c r="O571" s="20"/>
      <c r="P571" s="20"/>
      <c r="Q571" s="20"/>
      <c r="R571" s="20"/>
      <c r="S571" s="20"/>
      <c r="T571" s="20"/>
      <c r="U571" s="20"/>
      <c r="V571" s="20"/>
      <c r="W571" s="20"/>
      <c r="X571" s="20"/>
      <c r="Y571" s="20"/>
      <c r="Z571" s="20"/>
      <c r="AA571" s="20"/>
    </row>
    <row r="572" spans="4:27" ht="17.25" customHeight="1">
      <c r="D572" s="57"/>
      <c r="E572" s="57"/>
      <c r="F572" s="58"/>
      <c r="G572" s="58"/>
      <c r="H572" s="58"/>
      <c r="I572" s="58"/>
      <c r="J572" s="31"/>
      <c r="K572" s="20"/>
      <c r="L572" s="20"/>
      <c r="M572" s="20"/>
      <c r="N572" s="20"/>
      <c r="O572" s="20"/>
      <c r="P572" s="20"/>
      <c r="Q572" s="20"/>
      <c r="R572" s="20"/>
      <c r="S572" s="20"/>
      <c r="T572" s="20"/>
      <c r="U572" s="20"/>
      <c r="V572" s="20"/>
      <c r="W572" s="20"/>
      <c r="X572" s="20"/>
      <c r="Y572" s="20"/>
      <c r="Z572" s="20"/>
      <c r="AA572" s="20"/>
    </row>
    <row r="573" spans="4:27" ht="17.25" customHeight="1">
      <c r="D573" s="57"/>
      <c r="E573" s="57"/>
      <c r="F573" s="58"/>
      <c r="G573" s="58"/>
      <c r="H573" s="58"/>
      <c r="I573" s="58"/>
      <c r="J573" s="31"/>
      <c r="K573" s="20"/>
      <c r="L573" s="20"/>
      <c r="M573" s="20"/>
      <c r="N573" s="20"/>
      <c r="O573" s="20"/>
      <c r="P573" s="20"/>
      <c r="Q573" s="20"/>
      <c r="R573" s="20"/>
      <c r="S573" s="20"/>
      <c r="T573" s="20"/>
      <c r="U573" s="20"/>
      <c r="V573" s="20"/>
      <c r="W573" s="20"/>
      <c r="X573" s="20"/>
      <c r="Y573" s="20"/>
      <c r="Z573" s="20"/>
      <c r="AA573" s="20"/>
    </row>
    <row r="574" spans="4:27" ht="17.25" customHeight="1">
      <c r="D574" s="57"/>
      <c r="E574" s="57"/>
      <c r="F574" s="58"/>
      <c r="G574" s="58"/>
      <c r="H574" s="58"/>
      <c r="I574" s="58"/>
      <c r="J574" s="31"/>
      <c r="K574" s="20"/>
      <c r="L574" s="20"/>
      <c r="M574" s="20"/>
      <c r="N574" s="20"/>
      <c r="O574" s="20"/>
      <c r="P574" s="20"/>
      <c r="Q574" s="20"/>
      <c r="R574" s="20"/>
      <c r="S574" s="20"/>
      <c r="T574" s="20"/>
      <c r="U574" s="20"/>
      <c r="V574" s="20"/>
      <c r="W574" s="20"/>
      <c r="X574" s="20"/>
      <c r="Y574" s="20"/>
      <c r="Z574" s="20"/>
      <c r="AA574" s="20"/>
    </row>
    <row r="575" spans="4:27" ht="17.25" customHeight="1">
      <c r="D575" s="57"/>
      <c r="E575" s="57"/>
      <c r="F575" s="58"/>
      <c r="G575" s="58"/>
      <c r="H575" s="58"/>
      <c r="I575" s="58"/>
      <c r="J575" s="31"/>
      <c r="K575" s="20"/>
      <c r="L575" s="20"/>
      <c r="M575" s="20"/>
      <c r="N575" s="20"/>
      <c r="O575" s="20"/>
      <c r="P575" s="20"/>
      <c r="Q575" s="20"/>
      <c r="R575" s="20"/>
      <c r="S575" s="20"/>
      <c r="T575" s="20"/>
      <c r="U575" s="20"/>
      <c r="V575" s="20"/>
      <c r="W575" s="20"/>
      <c r="X575" s="20"/>
      <c r="Y575" s="20"/>
      <c r="Z575" s="20"/>
      <c r="AA575" s="20"/>
    </row>
    <row r="576" spans="4:27" ht="17.25" customHeight="1">
      <c r="D576" s="57"/>
      <c r="E576" s="57"/>
      <c r="F576" s="58"/>
      <c r="G576" s="58"/>
      <c r="H576" s="58"/>
      <c r="I576" s="58"/>
      <c r="J576" s="31"/>
      <c r="K576" s="20"/>
      <c r="L576" s="20"/>
      <c r="M576" s="20"/>
      <c r="N576" s="20"/>
      <c r="O576" s="20"/>
      <c r="P576" s="20"/>
      <c r="Q576" s="20"/>
      <c r="R576" s="20"/>
      <c r="S576" s="20"/>
      <c r="T576" s="20"/>
      <c r="U576" s="20"/>
      <c r="V576" s="20"/>
      <c r="W576" s="20"/>
      <c r="X576" s="20"/>
      <c r="Y576" s="20"/>
      <c r="Z576" s="20"/>
      <c r="AA576" s="20"/>
    </row>
    <row r="577" spans="4:27" ht="17.25" customHeight="1">
      <c r="D577" s="57"/>
      <c r="E577" s="57"/>
      <c r="F577" s="58"/>
      <c r="G577" s="58"/>
      <c r="H577" s="58"/>
      <c r="I577" s="58"/>
      <c r="J577" s="31"/>
      <c r="K577" s="20"/>
      <c r="L577" s="20"/>
      <c r="M577" s="20"/>
      <c r="N577" s="20"/>
      <c r="O577" s="20"/>
      <c r="P577" s="20"/>
      <c r="Q577" s="20"/>
      <c r="R577" s="20"/>
      <c r="S577" s="20"/>
      <c r="T577" s="20"/>
      <c r="U577" s="20"/>
      <c r="V577" s="20"/>
      <c r="W577" s="20"/>
      <c r="X577" s="20"/>
      <c r="Y577" s="20"/>
      <c r="Z577" s="20"/>
      <c r="AA577" s="20"/>
    </row>
    <row r="578" spans="4:27" ht="17.25" customHeight="1">
      <c r="D578" s="57"/>
      <c r="E578" s="57"/>
      <c r="F578" s="58"/>
      <c r="G578" s="58"/>
      <c r="H578" s="58"/>
      <c r="I578" s="58"/>
      <c r="J578" s="31"/>
      <c r="K578" s="20"/>
      <c r="L578" s="20"/>
      <c r="M578" s="20"/>
      <c r="N578" s="20"/>
      <c r="O578" s="20"/>
      <c r="P578" s="20"/>
      <c r="Q578" s="20"/>
      <c r="R578" s="20"/>
      <c r="S578" s="20"/>
      <c r="T578" s="20"/>
      <c r="U578" s="20"/>
      <c r="V578" s="20"/>
      <c r="W578" s="20"/>
      <c r="X578" s="20"/>
      <c r="Y578" s="20"/>
      <c r="Z578" s="20"/>
      <c r="AA578" s="20"/>
    </row>
    <row r="579" spans="4:27" ht="17.25" customHeight="1">
      <c r="D579" s="57"/>
      <c r="E579" s="57"/>
      <c r="F579" s="58"/>
      <c r="G579" s="58"/>
      <c r="H579" s="58"/>
      <c r="I579" s="58"/>
      <c r="J579" s="31"/>
      <c r="K579" s="20"/>
      <c r="L579" s="20"/>
      <c r="M579" s="20"/>
      <c r="N579" s="20"/>
      <c r="O579" s="20"/>
      <c r="P579" s="20"/>
      <c r="Q579" s="20"/>
      <c r="R579" s="20"/>
      <c r="S579" s="20"/>
      <c r="T579" s="20"/>
      <c r="U579" s="20"/>
      <c r="V579" s="20"/>
      <c r="W579" s="20"/>
      <c r="X579" s="20"/>
      <c r="Y579" s="20"/>
      <c r="Z579" s="20"/>
      <c r="AA579" s="20"/>
    </row>
    <row r="580" spans="4:27" ht="17.25" customHeight="1">
      <c r="D580" s="57"/>
      <c r="E580" s="57"/>
      <c r="F580" s="58"/>
      <c r="G580" s="58"/>
      <c r="H580" s="58"/>
      <c r="I580" s="58"/>
      <c r="J580" s="31"/>
      <c r="K580" s="20"/>
      <c r="L580" s="20"/>
      <c r="M580" s="20"/>
      <c r="N580" s="20"/>
      <c r="O580" s="20"/>
      <c r="P580" s="20"/>
      <c r="Q580" s="20"/>
      <c r="R580" s="20"/>
      <c r="S580" s="20"/>
      <c r="T580" s="20"/>
      <c r="U580" s="20"/>
      <c r="V580" s="20"/>
      <c r="W580" s="20"/>
      <c r="X580" s="20"/>
      <c r="Y580" s="20"/>
      <c r="Z580" s="20"/>
      <c r="AA580" s="20"/>
    </row>
    <row r="581" spans="4:27" ht="17.25" customHeight="1">
      <c r="D581" s="57"/>
      <c r="E581" s="57"/>
      <c r="F581" s="58"/>
      <c r="G581" s="58"/>
      <c r="H581" s="58"/>
      <c r="I581" s="58"/>
      <c r="J581" s="31"/>
      <c r="K581" s="20"/>
      <c r="L581" s="20"/>
      <c r="M581" s="20"/>
      <c r="N581" s="20"/>
      <c r="O581" s="20"/>
      <c r="P581" s="20"/>
      <c r="Q581" s="20"/>
      <c r="R581" s="20"/>
      <c r="S581" s="20"/>
      <c r="T581" s="20"/>
      <c r="U581" s="20"/>
      <c r="V581" s="20"/>
      <c r="W581" s="20"/>
      <c r="X581" s="20"/>
      <c r="Y581" s="20"/>
      <c r="Z581" s="20"/>
      <c r="AA581" s="20"/>
    </row>
    <row r="582" spans="4:27" ht="17.25" customHeight="1">
      <c r="D582" s="57"/>
      <c r="E582" s="57"/>
      <c r="F582" s="58"/>
      <c r="G582" s="58"/>
      <c r="H582" s="58"/>
      <c r="I582" s="58"/>
      <c r="J582" s="31"/>
      <c r="K582" s="20"/>
      <c r="L582" s="20"/>
      <c r="M582" s="20"/>
      <c r="N582" s="20"/>
      <c r="O582" s="20"/>
      <c r="P582" s="20"/>
      <c r="Q582" s="20"/>
      <c r="R582" s="20"/>
      <c r="S582" s="20"/>
      <c r="T582" s="20"/>
      <c r="U582" s="20"/>
      <c r="V582" s="20"/>
      <c r="W582" s="20"/>
      <c r="X582" s="20"/>
      <c r="Y582" s="20"/>
      <c r="Z582" s="20"/>
      <c r="AA582" s="20"/>
    </row>
    <row r="583" spans="4:27" ht="17.25" customHeight="1">
      <c r="D583" s="57"/>
      <c r="E583" s="57"/>
      <c r="F583" s="58"/>
      <c r="G583" s="58"/>
      <c r="H583" s="58"/>
      <c r="I583" s="58"/>
      <c r="J583" s="31"/>
      <c r="K583" s="20"/>
      <c r="L583" s="20"/>
      <c r="M583" s="20"/>
      <c r="N583" s="20"/>
      <c r="O583" s="20"/>
      <c r="P583" s="20"/>
      <c r="Q583" s="20"/>
      <c r="R583" s="20"/>
      <c r="S583" s="20"/>
      <c r="T583" s="20"/>
      <c r="U583" s="20"/>
      <c r="V583" s="20"/>
      <c r="W583" s="20"/>
      <c r="X583" s="20"/>
      <c r="Y583" s="20"/>
      <c r="Z583" s="20"/>
      <c r="AA583" s="20"/>
    </row>
    <row r="584" spans="4:27" ht="17.25" customHeight="1">
      <c r="D584" s="57"/>
      <c r="E584" s="57"/>
      <c r="F584" s="58"/>
      <c r="G584" s="58"/>
      <c r="H584" s="58"/>
      <c r="I584" s="58"/>
      <c r="J584" s="31"/>
      <c r="K584" s="20"/>
      <c r="L584" s="20"/>
      <c r="M584" s="20"/>
      <c r="N584" s="20"/>
      <c r="O584" s="20"/>
      <c r="P584" s="20"/>
      <c r="Q584" s="20"/>
      <c r="R584" s="20"/>
      <c r="S584" s="20"/>
      <c r="T584" s="20"/>
      <c r="U584" s="20"/>
      <c r="V584" s="20"/>
      <c r="W584" s="20"/>
      <c r="X584" s="20"/>
      <c r="Y584" s="20"/>
      <c r="Z584" s="20"/>
      <c r="AA584" s="20"/>
    </row>
    <row r="585" spans="4:27" ht="17.25" customHeight="1">
      <c r="D585" s="57"/>
      <c r="E585" s="57"/>
      <c r="F585" s="58"/>
      <c r="G585" s="58"/>
      <c r="H585" s="58"/>
      <c r="I585" s="58"/>
      <c r="J585" s="31"/>
      <c r="K585" s="20"/>
      <c r="L585" s="20"/>
      <c r="M585" s="20"/>
      <c r="N585" s="20"/>
      <c r="O585" s="20"/>
      <c r="P585" s="20"/>
      <c r="Q585" s="20"/>
      <c r="R585" s="20"/>
      <c r="S585" s="20"/>
      <c r="T585" s="20"/>
      <c r="U585" s="20"/>
      <c r="V585" s="20"/>
      <c r="W585" s="20"/>
      <c r="X585" s="20"/>
      <c r="Y585" s="20"/>
      <c r="Z585" s="20"/>
      <c r="AA585" s="20"/>
    </row>
    <row r="586" spans="4:27" ht="17.25" customHeight="1">
      <c r="D586" s="57"/>
      <c r="E586" s="57"/>
      <c r="F586" s="58"/>
      <c r="G586" s="58"/>
      <c r="H586" s="58"/>
      <c r="I586" s="58"/>
      <c r="J586" s="31"/>
      <c r="K586" s="20"/>
      <c r="L586" s="20"/>
      <c r="M586" s="20"/>
      <c r="N586" s="20"/>
      <c r="O586" s="20"/>
      <c r="P586" s="20"/>
      <c r="Q586" s="20"/>
      <c r="R586" s="20"/>
      <c r="S586" s="20"/>
      <c r="T586" s="20"/>
      <c r="U586" s="20"/>
      <c r="V586" s="20"/>
      <c r="W586" s="20"/>
      <c r="X586" s="20"/>
      <c r="Y586" s="20"/>
      <c r="Z586" s="20"/>
      <c r="AA586" s="20"/>
    </row>
    <row r="587" spans="4:27" ht="17.25" customHeight="1">
      <c r="D587" s="57"/>
      <c r="E587" s="57"/>
      <c r="F587" s="58"/>
      <c r="G587" s="58"/>
      <c r="H587" s="58"/>
      <c r="I587" s="58"/>
      <c r="J587" s="31"/>
      <c r="K587" s="20"/>
      <c r="L587" s="20"/>
      <c r="M587" s="20"/>
      <c r="N587" s="20"/>
      <c r="O587" s="20"/>
      <c r="P587" s="20"/>
      <c r="Q587" s="20"/>
      <c r="R587" s="20"/>
      <c r="S587" s="20"/>
      <c r="T587" s="20"/>
      <c r="U587" s="20"/>
      <c r="V587" s="20"/>
      <c r="W587" s="20"/>
      <c r="X587" s="20"/>
      <c r="Y587" s="20"/>
      <c r="Z587" s="20"/>
      <c r="AA587" s="20"/>
    </row>
    <row r="588" spans="4:27" ht="17.25" customHeight="1">
      <c r="D588" s="57"/>
      <c r="E588" s="57"/>
      <c r="F588" s="58"/>
      <c r="G588" s="58"/>
      <c r="H588" s="58"/>
      <c r="I588" s="58"/>
      <c r="J588" s="31"/>
      <c r="K588" s="20"/>
      <c r="L588" s="20"/>
      <c r="M588" s="20"/>
      <c r="N588" s="20"/>
      <c r="O588" s="20"/>
      <c r="P588" s="20"/>
      <c r="Q588" s="20"/>
      <c r="R588" s="20"/>
      <c r="S588" s="20"/>
      <c r="T588" s="20"/>
      <c r="U588" s="20"/>
      <c r="V588" s="20"/>
      <c r="W588" s="20"/>
      <c r="X588" s="20"/>
      <c r="Y588" s="20"/>
      <c r="Z588" s="20"/>
      <c r="AA588" s="20"/>
    </row>
    <row r="589" spans="4:27" ht="17.25" customHeight="1">
      <c r="D589" s="57"/>
      <c r="E589" s="57"/>
      <c r="F589" s="58"/>
      <c r="G589" s="58"/>
      <c r="H589" s="58"/>
      <c r="I589" s="58"/>
      <c r="J589" s="31"/>
      <c r="K589" s="20"/>
      <c r="L589" s="20"/>
      <c r="M589" s="20"/>
      <c r="N589" s="20"/>
      <c r="O589" s="20"/>
      <c r="P589" s="20"/>
      <c r="Q589" s="20"/>
      <c r="R589" s="20"/>
      <c r="S589" s="20"/>
      <c r="T589" s="20"/>
      <c r="U589" s="20"/>
      <c r="V589" s="20"/>
      <c r="W589" s="20"/>
      <c r="X589" s="20"/>
      <c r="Y589" s="20"/>
      <c r="Z589" s="20"/>
      <c r="AA589" s="20"/>
    </row>
    <row r="590" spans="4:27" ht="17.25" customHeight="1">
      <c r="D590" s="57"/>
      <c r="E590" s="57"/>
      <c r="F590" s="58"/>
      <c r="G590" s="58"/>
      <c r="H590" s="58"/>
      <c r="I590" s="58"/>
      <c r="J590" s="31"/>
      <c r="K590" s="20"/>
      <c r="L590" s="20"/>
      <c r="M590" s="20"/>
      <c r="N590" s="20"/>
      <c r="O590" s="20"/>
      <c r="P590" s="20"/>
      <c r="Q590" s="20"/>
      <c r="R590" s="20"/>
      <c r="S590" s="20"/>
      <c r="T590" s="20"/>
      <c r="U590" s="20"/>
      <c r="V590" s="20"/>
      <c r="W590" s="20"/>
      <c r="X590" s="20"/>
      <c r="Y590" s="20"/>
      <c r="Z590" s="20"/>
      <c r="AA590" s="20"/>
    </row>
    <row r="591" spans="4:27" ht="17.25" customHeight="1">
      <c r="D591" s="57"/>
      <c r="E591" s="57"/>
      <c r="F591" s="58"/>
      <c r="G591" s="58"/>
      <c r="H591" s="58"/>
      <c r="I591" s="58"/>
      <c r="J591" s="31"/>
      <c r="K591" s="20"/>
      <c r="L591" s="20"/>
      <c r="M591" s="20"/>
      <c r="N591" s="20"/>
      <c r="O591" s="20"/>
      <c r="P591" s="20"/>
      <c r="Q591" s="20"/>
      <c r="R591" s="20"/>
      <c r="S591" s="20"/>
      <c r="T591" s="20"/>
      <c r="U591" s="20"/>
      <c r="V591" s="20"/>
      <c r="W591" s="20"/>
      <c r="X591" s="20"/>
      <c r="Y591" s="20"/>
      <c r="Z591" s="20"/>
      <c r="AA591" s="20"/>
    </row>
    <row r="592" spans="4:27" ht="17.25" customHeight="1">
      <c r="D592" s="57"/>
      <c r="E592" s="57"/>
      <c r="F592" s="58"/>
      <c r="G592" s="58"/>
      <c r="H592" s="58"/>
      <c r="I592" s="58"/>
      <c r="J592" s="31"/>
      <c r="K592" s="20"/>
      <c r="L592" s="20"/>
      <c r="M592" s="20"/>
      <c r="N592" s="20"/>
      <c r="O592" s="20"/>
      <c r="P592" s="20"/>
      <c r="Q592" s="20"/>
      <c r="R592" s="20"/>
      <c r="S592" s="20"/>
      <c r="T592" s="20"/>
      <c r="U592" s="20"/>
      <c r="V592" s="20"/>
      <c r="W592" s="20"/>
      <c r="X592" s="20"/>
      <c r="Y592" s="20"/>
      <c r="Z592" s="20"/>
      <c r="AA592" s="20"/>
    </row>
    <row r="593" spans="4:27" ht="17.25" customHeight="1">
      <c r="D593" s="57"/>
      <c r="E593" s="57"/>
      <c r="F593" s="58"/>
      <c r="G593" s="58"/>
      <c r="H593" s="58"/>
      <c r="I593" s="58"/>
      <c r="J593" s="31"/>
      <c r="K593" s="20"/>
      <c r="L593" s="20"/>
      <c r="M593" s="20"/>
      <c r="N593" s="20"/>
      <c r="O593" s="20"/>
      <c r="P593" s="20"/>
      <c r="Q593" s="20"/>
      <c r="R593" s="20"/>
      <c r="S593" s="20"/>
      <c r="T593" s="20"/>
      <c r="U593" s="20"/>
      <c r="V593" s="20"/>
      <c r="W593" s="20"/>
      <c r="X593" s="20"/>
      <c r="Y593" s="20"/>
      <c r="Z593" s="20"/>
      <c r="AA593" s="20"/>
    </row>
    <row r="594" spans="4:27" ht="17.25" customHeight="1">
      <c r="D594" s="57"/>
      <c r="E594" s="57"/>
      <c r="F594" s="58"/>
      <c r="G594" s="58"/>
      <c r="H594" s="58"/>
      <c r="I594" s="58"/>
      <c r="J594" s="31"/>
      <c r="K594" s="20"/>
      <c r="L594" s="20"/>
      <c r="M594" s="20"/>
      <c r="N594" s="20"/>
      <c r="O594" s="20"/>
      <c r="P594" s="20"/>
      <c r="Q594" s="20"/>
      <c r="R594" s="20"/>
      <c r="S594" s="20"/>
      <c r="T594" s="20"/>
      <c r="U594" s="20"/>
      <c r="V594" s="20"/>
      <c r="W594" s="20"/>
      <c r="X594" s="20"/>
      <c r="Y594" s="20"/>
      <c r="Z594" s="20"/>
      <c r="AA594" s="20"/>
    </row>
    <row r="595" spans="4:27" ht="17.25" customHeight="1">
      <c r="D595" s="57"/>
      <c r="E595" s="57"/>
      <c r="F595" s="58"/>
      <c r="G595" s="58"/>
      <c r="H595" s="58"/>
      <c r="I595" s="58"/>
      <c r="J595" s="31"/>
      <c r="K595" s="20"/>
      <c r="L595" s="20"/>
      <c r="M595" s="20"/>
      <c r="N595" s="20"/>
      <c r="O595" s="20"/>
      <c r="P595" s="20"/>
      <c r="Q595" s="20"/>
      <c r="R595" s="20"/>
      <c r="S595" s="20"/>
      <c r="T595" s="20"/>
      <c r="U595" s="20"/>
      <c r="V595" s="20"/>
      <c r="W595" s="20"/>
      <c r="X595" s="20"/>
      <c r="Y595" s="20"/>
      <c r="Z595" s="20"/>
      <c r="AA595" s="20"/>
    </row>
    <row r="596" spans="4:27" ht="17.25" customHeight="1">
      <c r="D596" s="57"/>
      <c r="E596" s="57"/>
      <c r="F596" s="58"/>
      <c r="G596" s="58"/>
      <c r="H596" s="58"/>
      <c r="I596" s="58"/>
      <c r="J596" s="31"/>
      <c r="K596" s="20"/>
      <c r="L596" s="20"/>
      <c r="M596" s="20"/>
      <c r="N596" s="20"/>
      <c r="O596" s="20"/>
      <c r="P596" s="20"/>
      <c r="Q596" s="20"/>
      <c r="R596" s="20"/>
      <c r="S596" s="20"/>
      <c r="T596" s="20"/>
      <c r="U596" s="20"/>
      <c r="V596" s="20"/>
      <c r="W596" s="20"/>
      <c r="X596" s="20"/>
      <c r="Y596" s="20"/>
      <c r="Z596" s="20"/>
      <c r="AA596" s="20"/>
    </row>
    <row r="597" spans="4:27" ht="17.25" customHeight="1">
      <c r="D597" s="57"/>
      <c r="E597" s="57"/>
      <c r="F597" s="58"/>
      <c r="G597" s="58"/>
      <c r="H597" s="58"/>
      <c r="I597" s="58"/>
      <c r="J597" s="31"/>
      <c r="K597" s="20"/>
      <c r="L597" s="20"/>
      <c r="M597" s="20"/>
      <c r="N597" s="20"/>
      <c r="O597" s="20"/>
      <c r="P597" s="20"/>
      <c r="Q597" s="20"/>
      <c r="R597" s="20"/>
      <c r="S597" s="20"/>
      <c r="T597" s="20"/>
      <c r="U597" s="20"/>
      <c r="V597" s="20"/>
      <c r="W597" s="20"/>
      <c r="X597" s="20"/>
      <c r="Y597" s="20"/>
      <c r="Z597" s="20"/>
      <c r="AA597" s="20"/>
    </row>
    <row r="598" spans="4:27" ht="17.25" customHeight="1">
      <c r="D598" s="57"/>
      <c r="E598" s="57"/>
      <c r="F598" s="58"/>
      <c r="G598" s="58"/>
      <c r="H598" s="58"/>
      <c r="I598" s="58"/>
      <c r="J598" s="31"/>
      <c r="K598" s="20"/>
      <c r="L598" s="20"/>
      <c r="M598" s="20"/>
      <c r="N598" s="20"/>
      <c r="O598" s="20"/>
      <c r="P598" s="20"/>
      <c r="Q598" s="20"/>
      <c r="R598" s="20"/>
      <c r="S598" s="20"/>
      <c r="T598" s="20"/>
      <c r="U598" s="20"/>
      <c r="V598" s="20"/>
      <c r="W598" s="20"/>
      <c r="X598" s="20"/>
      <c r="Y598" s="20"/>
      <c r="Z598" s="20"/>
      <c r="AA598" s="20"/>
    </row>
    <row r="599" spans="4:27" ht="17.25" customHeight="1">
      <c r="D599" s="57"/>
      <c r="E599" s="57"/>
      <c r="F599" s="58"/>
      <c r="G599" s="58"/>
      <c r="H599" s="58"/>
      <c r="I599" s="58"/>
      <c r="J599" s="31"/>
      <c r="K599" s="20"/>
      <c r="L599" s="20"/>
      <c r="M599" s="20"/>
      <c r="N599" s="20"/>
      <c r="O599" s="20"/>
      <c r="P599" s="20"/>
      <c r="Q599" s="20"/>
      <c r="R599" s="20"/>
      <c r="S599" s="20"/>
      <c r="T599" s="20"/>
      <c r="U599" s="20"/>
      <c r="V599" s="20"/>
      <c r="W599" s="20"/>
      <c r="X599" s="20"/>
      <c r="Y599" s="20"/>
      <c r="Z599" s="20"/>
      <c r="AA599" s="20"/>
    </row>
    <row r="600" spans="4:27" ht="17.25" customHeight="1">
      <c r="D600" s="57"/>
      <c r="E600" s="57"/>
      <c r="F600" s="58"/>
      <c r="G600" s="58"/>
      <c r="H600" s="58"/>
      <c r="I600" s="58"/>
      <c r="J600" s="31"/>
      <c r="K600" s="20"/>
      <c r="L600" s="20"/>
      <c r="M600" s="20"/>
      <c r="N600" s="20"/>
      <c r="O600" s="20"/>
      <c r="P600" s="20"/>
      <c r="Q600" s="20"/>
      <c r="R600" s="20"/>
      <c r="S600" s="20"/>
      <c r="T600" s="20"/>
      <c r="U600" s="20"/>
      <c r="V600" s="20"/>
      <c r="W600" s="20"/>
      <c r="X600" s="20"/>
      <c r="Y600" s="20"/>
      <c r="Z600" s="20"/>
      <c r="AA600" s="20"/>
    </row>
    <row r="601" spans="4:27" ht="17.25" customHeight="1">
      <c r="D601" s="57"/>
      <c r="E601" s="57"/>
      <c r="F601" s="58"/>
      <c r="G601" s="58"/>
      <c r="H601" s="58"/>
      <c r="I601" s="58"/>
      <c r="J601" s="31"/>
      <c r="K601" s="20"/>
      <c r="L601" s="20"/>
      <c r="M601" s="20"/>
      <c r="N601" s="20"/>
      <c r="O601" s="20"/>
      <c r="P601" s="20"/>
      <c r="Q601" s="20"/>
      <c r="R601" s="20"/>
      <c r="S601" s="20"/>
      <c r="T601" s="20"/>
      <c r="U601" s="20"/>
      <c r="V601" s="20"/>
      <c r="W601" s="20"/>
      <c r="X601" s="20"/>
      <c r="Y601" s="20"/>
      <c r="Z601" s="20"/>
      <c r="AA601" s="20"/>
    </row>
    <row r="602" spans="4:27" ht="17.25" customHeight="1">
      <c r="D602" s="57"/>
      <c r="E602" s="57"/>
      <c r="F602" s="58"/>
      <c r="G602" s="58"/>
      <c r="H602" s="58"/>
      <c r="I602" s="58"/>
      <c r="J602" s="31"/>
      <c r="K602" s="20"/>
      <c r="L602" s="20"/>
      <c r="M602" s="20"/>
      <c r="N602" s="20"/>
      <c r="O602" s="20"/>
      <c r="P602" s="20"/>
      <c r="Q602" s="20"/>
      <c r="R602" s="20"/>
      <c r="S602" s="20"/>
      <c r="T602" s="20"/>
      <c r="U602" s="20"/>
      <c r="V602" s="20"/>
      <c r="W602" s="20"/>
      <c r="X602" s="20"/>
      <c r="Y602" s="20"/>
      <c r="Z602" s="20"/>
      <c r="AA602" s="20"/>
    </row>
    <row r="603" spans="4:27" ht="17.25" customHeight="1">
      <c r="D603" s="57"/>
      <c r="E603" s="57"/>
      <c r="F603" s="58"/>
      <c r="G603" s="58"/>
      <c r="H603" s="58"/>
      <c r="I603" s="58"/>
      <c r="J603" s="31"/>
      <c r="K603" s="20"/>
      <c r="L603" s="20"/>
      <c r="M603" s="20"/>
      <c r="N603" s="20"/>
      <c r="O603" s="20"/>
      <c r="P603" s="20"/>
      <c r="Q603" s="20"/>
      <c r="R603" s="20"/>
      <c r="S603" s="20"/>
      <c r="T603" s="20"/>
      <c r="U603" s="20"/>
      <c r="V603" s="20"/>
      <c r="W603" s="20"/>
      <c r="X603" s="20"/>
      <c r="Y603" s="20"/>
      <c r="Z603" s="20"/>
      <c r="AA603" s="20"/>
    </row>
    <row r="604" spans="4:27" ht="17.25" customHeight="1">
      <c r="D604" s="57"/>
      <c r="E604" s="57"/>
      <c r="F604" s="58"/>
      <c r="G604" s="58"/>
      <c r="H604" s="58"/>
      <c r="I604" s="58"/>
      <c r="J604" s="31"/>
      <c r="K604" s="20"/>
      <c r="L604" s="20"/>
      <c r="M604" s="20"/>
      <c r="N604" s="20"/>
      <c r="O604" s="20"/>
      <c r="P604" s="20"/>
      <c r="Q604" s="20"/>
      <c r="R604" s="20"/>
      <c r="S604" s="20"/>
      <c r="T604" s="20"/>
      <c r="U604" s="20"/>
      <c r="V604" s="20"/>
      <c r="W604" s="20"/>
      <c r="X604" s="20"/>
      <c r="Y604" s="20"/>
      <c r="Z604" s="20"/>
      <c r="AA604" s="20"/>
    </row>
    <row r="605" spans="4:27" ht="17.25" customHeight="1">
      <c r="D605" s="57"/>
      <c r="E605" s="57"/>
      <c r="F605" s="58"/>
      <c r="G605" s="58"/>
      <c r="H605" s="58"/>
      <c r="I605" s="58"/>
      <c r="J605" s="31"/>
      <c r="K605" s="20"/>
      <c r="L605" s="20"/>
      <c r="M605" s="20"/>
      <c r="N605" s="20"/>
      <c r="O605" s="20"/>
      <c r="P605" s="20"/>
      <c r="Q605" s="20"/>
      <c r="R605" s="20"/>
      <c r="S605" s="20"/>
      <c r="T605" s="20"/>
      <c r="U605" s="20"/>
      <c r="V605" s="20"/>
      <c r="W605" s="20"/>
      <c r="X605" s="20"/>
      <c r="Y605" s="20"/>
      <c r="Z605" s="20"/>
      <c r="AA605" s="20"/>
    </row>
    <row r="606" spans="4:27" ht="17.25" customHeight="1">
      <c r="D606" s="57"/>
      <c r="E606" s="57"/>
      <c r="F606" s="58"/>
      <c r="G606" s="58"/>
      <c r="H606" s="58"/>
      <c r="I606" s="58"/>
      <c r="J606" s="31"/>
      <c r="K606" s="20"/>
      <c r="L606" s="20"/>
      <c r="M606" s="20"/>
      <c r="N606" s="20"/>
      <c r="O606" s="20"/>
      <c r="P606" s="20"/>
      <c r="Q606" s="20"/>
      <c r="R606" s="20"/>
      <c r="S606" s="20"/>
      <c r="T606" s="20"/>
      <c r="U606" s="20"/>
      <c r="V606" s="20"/>
      <c r="W606" s="20"/>
      <c r="X606" s="20"/>
      <c r="Y606" s="20"/>
      <c r="Z606" s="20"/>
      <c r="AA606" s="20"/>
    </row>
    <row r="607" spans="4:27" ht="17.25" customHeight="1">
      <c r="D607" s="57"/>
      <c r="E607" s="57"/>
      <c r="F607" s="58"/>
      <c r="G607" s="58"/>
      <c r="H607" s="58"/>
      <c r="I607" s="58"/>
      <c r="J607" s="31"/>
      <c r="K607" s="20"/>
      <c r="L607" s="20"/>
      <c r="M607" s="20"/>
      <c r="N607" s="20"/>
      <c r="O607" s="20"/>
      <c r="P607" s="20"/>
      <c r="Q607" s="20"/>
      <c r="R607" s="20"/>
      <c r="S607" s="20"/>
      <c r="T607" s="20"/>
      <c r="U607" s="20"/>
      <c r="V607" s="20"/>
      <c r="W607" s="20"/>
      <c r="X607" s="20"/>
      <c r="Y607" s="20"/>
      <c r="Z607" s="20"/>
      <c r="AA607" s="20"/>
    </row>
    <row r="608" spans="4:27" ht="17.25" customHeight="1">
      <c r="D608" s="57"/>
      <c r="E608" s="57"/>
      <c r="F608" s="58"/>
      <c r="G608" s="58"/>
      <c r="H608" s="58"/>
      <c r="I608" s="58"/>
      <c r="J608" s="31"/>
      <c r="K608" s="20"/>
      <c r="L608" s="20"/>
      <c r="M608" s="20"/>
      <c r="N608" s="20"/>
      <c r="O608" s="20"/>
      <c r="P608" s="20"/>
      <c r="Q608" s="20"/>
      <c r="R608" s="20"/>
      <c r="S608" s="20"/>
      <c r="T608" s="20"/>
      <c r="U608" s="20"/>
      <c r="V608" s="20"/>
      <c r="W608" s="20"/>
      <c r="X608" s="20"/>
      <c r="Y608" s="20"/>
      <c r="Z608" s="20"/>
      <c r="AA608" s="20"/>
    </row>
    <row r="609" spans="4:27" ht="17.25" customHeight="1">
      <c r="D609" s="57"/>
      <c r="E609" s="57"/>
      <c r="F609" s="58"/>
      <c r="G609" s="58"/>
      <c r="H609" s="58"/>
      <c r="I609" s="58"/>
      <c r="J609" s="31"/>
      <c r="K609" s="20"/>
      <c r="L609" s="20"/>
      <c r="M609" s="20"/>
      <c r="N609" s="20"/>
      <c r="O609" s="20"/>
      <c r="P609" s="20"/>
      <c r="Q609" s="20"/>
      <c r="R609" s="20"/>
      <c r="S609" s="20"/>
      <c r="T609" s="20"/>
      <c r="U609" s="20"/>
      <c r="V609" s="20"/>
      <c r="W609" s="20"/>
      <c r="X609" s="20"/>
      <c r="Y609" s="20"/>
      <c r="Z609" s="20"/>
      <c r="AA609" s="20"/>
    </row>
    <row r="610" spans="4:27" ht="17.25" customHeight="1">
      <c r="D610" s="57"/>
      <c r="E610" s="57"/>
      <c r="F610" s="58"/>
      <c r="G610" s="58"/>
      <c r="H610" s="58"/>
      <c r="I610" s="58"/>
      <c r="J610" s="31"/>
      <c r="K610" s="20"/>
      <c r="L610" s="20"/>
      <c r="M610" s="20"/>
      <c r="N610" s="20"/>
      <c r="O610" s="20"/>
      <c r="P610" s="20"/>
      <c r="Q610" s="20"/>
      <c r="R610" s="20"/>
      <c r="S610" s="20"/>
      <c r="T610" s="20"/>
      <c r="U610" s="20"/>
      <c r="V610" s="20"/>
      <c r="W610" s="20"/>
      <c r="X610" s="20"/>
      <c r="Y610" s="20"/>
      <c r="Z610" s="20"/>
      <c r="AA610" s="20"/>
    </row>
    <row r="611" spans="4:27" ht="17.25" customHeight="1">
      <c r="D611" s="57"/>
      <c r="E611" s="57"/>
      <c r="F611" s="58"/>
      <c r="G611" s="58"/>
      <c r="H611" s="58"/>
      <c r="I611" s="58"/>
      <c r="J611" s="31"/>
      <c r="K611" s="20"/>
      <c r="L611" s="20"/>
      <c r="M611" s="20"/>
      <c r="N611" s="20"/>
      <c r="O611" s="20"/>
      <c r="P611" s="20"/>
      <c r="Q611" s="20"/>
      <c r="R611" s="20"/>
      <c r="S611" s="20"/>
      <c r="T611" s="20"/>
      <c r="U611" s="20"/>
      <c r="V611" s="20"/>
      <c r="W611" s="20"/>
      <c r="X611" s="20"/>
      <c r="Y611" s="20"/>
      <c r="Z611" s="20"/>
      <c r="AA611" s="20"/>
    </row>
    <row r="612" spans="4:27" ht="17.25" customHeight="1">
      <c r="D612" s="57"/>
      <c r="E612" s="57"/>
      <c r="F612" s="58"/>
      <c r="G612" s="58"/>
      <c r="H612" s="58"/>
      <c r="I612" s="58"/>
      <c r="J612" s="31"/>
      <c r="K612" s="20"/>
      <c r="L612" s="20"/>
      <c r="M612" s="20"/>
      <c r="N612" s="20"/>
      <c r="O612" s="20"/>
      <c r="P612" s="20"/>
      <c r="Q612" s="20"/>
      <c r="R612" s="20"/>
      <c r="S612" s="20"/>
      <c r="T612" s="20"/>
      <c r="U612" s="20"/>
      <c r="V612" s="20"/>
      <c r="W612" s="20"/>
      <c r="X612" s="20"/>
      <c r="Y612" s="20"/>
      <c r="Z612" s="20"/>
      <c r="AA612" s="20"/>
    </row>
    <row r="613" spans="4:27" ht="17.25" customHeight="1">
      <c r="D613" s="57"/>
      <c r="E613" s="57"/>
      <c r="F613" s="58"/>
      <c r="G613" s="58"/>
      <c r="H613" s="58"/>
      <c r="I613" s="58"/>
      <c r="J613" s="31"/>
      <c r="K613" s="20"/>
      <c r="L613" s="20"/>
      <c r="M613" s="20"/>
      <c r="N613" s="20"/>
      <c r="O613" s="20"/>
      <c r="P613" s="20"/>
      <c r="Q613" s="20"/>
      <c r="R613" s="20"/>
      <c r="S613" s="20"/>
      <c r="T613" s="20"/>
      <c r="U613" s="20"/>
      <c r="V613" s="20"/>
      <c r="W613" s="20"/>
      <c r="X613" s="20"/>
      <c r="Y613" s="20"/>
      <c r="Z613" s="20"/>
      <c r="AA613" s="20"/>
    </row>
    <row r="614" spans="4:27" ht="17.25" customHeight="1">
      <c r="D614" s="57"/>
      <c r="E614" s="57"/>
      <c r="F614" s="58"/>
      <c r="G614" s="58"/>
      <c r="H614" s="58"/>
      <c r="I614" s="58"/>
      <c r="J614" s="31"/>
      <c r="K614" s="20"/>
      <c r="L614" s="20"/>
      <c r="M614" s="20"/>
      <c r="N614" s="20"/>
      <c r="O614" s="20"/>
      <c r="P614" s="20"/>
      <c r="Q614" s="20"/>
      <c r="R614" s="20"/>
      <c r="S614" s="20"/>
      <c r="T614" s="20"/>
      <c r="U614" s="20"/>
      <c r="V614" s="20"/>
      <c r="W614" s="20"/>
      <c r="X614" s="20"/>
      <c r="Y614" s="20"/>
      <c r="Z614" s="20"/>
      <c r="AA614" s="20"/>
    </row>
    <row r="615" spans="4:27" ht="17.25" customHeight="1">
      <c r="D615" s="57"/>
      <c r="E615" s="57"/>
      <c r="F615" s="58"/>
      <c r="G615" s="58"/>
      <c r="H615" s="58"/>
      <c r="I615" s="58"/>
      <c r="J615" s="31"/>
      <c r="K615" s="20"/>
      <c r="L615" s="20"/>
      <c r="M615" s="20"/>
      <c r="N615" s="20"/>
      <c r="O615" s="20"/>
      <c r="P615" s="20"/>
      <c r="Q615" s="20"/>
      <c r="R615" s="20"/>
      <c r="S615" s="20"/>
      <c r="T615" s="20"/>
      <c r="U615" s="20"/>
      <c r="V615" s="20"/>
      <c r="W615" s="20"/>
      <c r="X615" s="20"/>
      <c r="Y615" s="20"/>
      <c r="Z615" s="20"/>
      <c r="AA615" s="20"/>
    </row>
    <row r="616" spans="4:27" ht="17.25" customHeight="1">
      <c r="D616" s="57"/>
      <c r="E616" s="57"/>
      <c r="F616" s="58"/>
      <c r="G616" s="58"/>
      <c r="H616" s="58"/>
      <c r="I616" s="58"/>
      <c r="J616" s="31"/>
      <c r="K616" s="20"/>
      <c r="L616" s="20"/>
      <c r="M616" s="20"/>
      <c r="N616" s="20"/>
      <c r="O616" s="20"/>
      <c r="P616" s="20"/>
      <c r="Q616" s="20"/>
      <c r="R616" s="20"/>
      <c r="S616" s="20"/>
      <c r="T616" s="20"/>
      <c r="U616" s="20"/>
      <c r="V616" s="20"/>
      <c r="W616" s="20"/>
      <c r="X616" s="20"/>
      <c r="Y616" s="20"/>
      <c r="Z616" s="20"/>
      <c r="AA616" s="20"/>
    </row>
    <row r="617" spans="4:27" ht="17.25" customHeight="1">
      <c r="D617" s="57"/>
      <c r="E617" s="57"/>
      <c r="F617" s="58"/>
      <c r="G617" s="58"/>
      <c r="H617" s="58"/>
      <c r="I617" s="58"/>
      <c r="J617" s="31"/>
      <c r="K617" s="20"/>
      <c r="L617" s="20"/>
      <c r="M617" s="20"/>
      <c r="N617" s="20"/>
      <c r="O617" s="20"/>
      <c r="P617" s="20"/>
      <c r="Q617" s="20"/>
      <c r="R617" s="20"/>
      <c r="S617" s="20"/>
      <c r="T617" s="20"/>
      <c r="U617" s="20"/>
      <c r="V617" s="20"/>
      <c r="W617" s="20"/>
      <c r="X617" s="20"/>
      <c r="Y617" s="20"/>
      <c r="Z617" s="20"/>
      <c r="AA617" s="20"/>
    </row>
    <row r="618" spans="4:27" ht="17.25" customHeight="1">
      <c r="D618" s="57"/>
      <c r="E618" s="57"/>
      <c r="F618" s="58"/>
      <c r="G618" s="58"/>
      <c r="H618" s="58"/>
      <c r="I618" s="58"/>
      <c r="J618" s="31"/>
      <c r="K618" s="20"/>
      <c r="L618" s="20"/>
      <c r="M618" s="20"/>
      <c r="N618" s="20"/>
      <c r="O618" s="20"/>
      <c r="P618" s="20"/>
      <c r="Q618" s="20"/>
      <c r="R618" s="20"/>
      <c r="S618" s="20"/>
      <c r="T618" s="20"/>
      <c r="U618" s="20"/>
      <c r="V618" s="20"/>
      <c r="W618" s="20"/>
      <c r="X618" s="20"/>
      <c r="Y618" s="20"/>
      <c r="Z618" s="20"/>
      <c r="AA618" s="20"/>
    </row>
    <row r="619" spans="4:27" ht="17.25" customHeight="1">
      <c r="D619" s="57"/>
      <c r="E619" s="57"/>
      <c r="F619" s="58"/>
      <c r="G619" s="58"/>
      <c r="H619" s="58"/>
      <c r="I619" s="58"/>
      <c r="J619" s="31"/>
      <c r="K619" s="20"/>
      <c r="L619" s="20"/>
      <c r="M619" s="20"/>
      <c r="N619" s="20"/>
      <c r="O619" s="20"/>
      <c r="P619" s="20"/>
      <c r="Q619" s="20"/>
      <c r="R619" s="20"/>
      <c r="S619" s="20"/>
      <c r="T619" s="20"/>
      <c r="U619" s="20"/>
      <c r="V619" s="20"/>
      <c r="W619" s="20"/>
      <c r="X619" s="20"/>
      <c r="Y619" s="20"/>
      <c r="Z619" s="20"/>
      <c r="AA619" s="20"/>
    </row>
    <row r="620" spans="4:27" ht="17.25" customHeight="1">
      <c r="D620" s="57"/>
      <c r="E620" s="57"/>
      <c r="F620" s="58"/>
      <c r="G620" s="58"/>
      <c r="H620" s="58"/>
      <c r="I620" s="58"/>
      <c r="J620" s="31"/>
      <c r="K620" s="20"/>
      <c r="L620" s="20"/>
      <c r="M620" s="20"/>
      <c r="N620" s="20"/>
      <c r="O620" s="20"/>
      <c r="P620" s="20"/>
      <c r="Q620" s="20"/>
      <c r="R620" s="20"/>
      <c r="S620" s="20"/>
      <c r="T620" s="20"/>
      <c r="U620" s="20"/>
      <c r="V620" s="20"/>
      <c r="W620" s="20"/>
      <c r="X620" s="20"/>
      <c r="Y620" s="20"/>
      <c r="Z620" s="20"/>
      <c r="AA620" s="20"/>
    </row>
    <row r="621" spans="4:27" ht="17.25" customHeight="1">
      <c r="D621" s="57"/>
      <c r="E621" s="57"/>
      <c r="F621" s="58"/>
      <c r="G621" s="58"/>
      <c r="H621" s="58"/>
      <c r="I621" s="58"/>
      <c r="J621" s="31"/>
      <c r="K621" s="20"/>
      <c r="L621" s="20"/>
      <c r="M621" s="20"/>
      <c r="N621" s="20"/>
      <c r="O621" s="20"/>
      <c r="P621" s="20"/>
      <c r="Q621" s="20"/>
      <c r="R621" s="20"/>
      <c r="S621" s="20"/>
      <c r="T621" s="20"/>
      <c r="U621" s="20"/>
      <c r="V621" s="20"/>
      <c r="W621" s="20"/>
      <c r="X621" s="20"/>
      <c r="Y621" s="20"/>
      <c r="Z621" s="20"/>
      <c r="AA621" s="20"/>
    </row>
    <row r="622" spans="4:27" ht="17.25" customHeight="1">
      <c r="D622" s="57"/>
      <c r="E622" s="57"/>
      <c r="F622" s="58"/>
      <c r="G622" s="58"/>
      <c r="H622" s="58"/>
      <c r="I622" s="58"/>
      <c r="J622" s="31"/>
      <c r="K622" s="20"/>
      <c r="L622" s="20"/>
      <c r="M622" s="20"/>
      <c r="N622" s="20"/>
      <c r="O622" s="20"/>
      <c r="P622" s="20"/>
      <c r="Q622" s="20"/>
      <c r="R622" s="20"/>
      <c r="S622" s="20"/>
      <c r="T622" s="20"/>
      <c r="U622" s="20"/>
      <c r="V622" s="20"/>
      <c r="W622" s="20"/>
      <c r="X622" s="20"/>
      <c r="Y622" s="20"/>
      <c r="Z622" s="20"/>
      <c r="AA622" s="20"/>
    </row>
    <row r="623" spans="4:27" ht="17.25" customHeight="1">
      <c r="D623" s="57"/>
      <c r="E623" s="57"/>
      <c r="F623" s="58"/>
      <c r="G623" s="58"/>
      <c r="H623" s="58"/>
      <c r="I623" s="58"/>
      <c r="J623" s="31"/>
      <c r="K623" s="20"/>
      <c r="L623" s="20"/>
      <c r="M623" s="20"/>
      <c r="N623" s="20"/>
      <c r="O623" s="20"/>
      <c r="P623" s="20"/>
      <c r="Q623" s="20"/>
      <c r="R623" s="20"/>
      <c r="S623" s="20"/>
      <c r="T623" s="20"/>
      <c r="U623" s="20"/>
      <c r="V623" s="20"/>
      <c r="W623" s="20"/>
      <c r="X623" s="20"/>
      <c r="Y623" s="20"/>
      <c r="Z623" s="20"/>
      <c r="AA623" s="20"/>
    </row>
    <row r="624" spans="4:27" ht="17.25" customHeight="1">
      <c r="D624" s="57"/>
      <c r="E624" s="57"/>
      <c r="F624" s="58"/>
      <c r="G624" s="58"/>
      <c r="H624" s="58"/>
      <c r="I624" s="58"/>
      <c r="J624" s="31"/>
      <c r="K624" s="20"/>
      <c r="L624" s="20"/>
      <c r="M624" s="20"/>
      <c r="N624" s="20"/>
      <c r="O624" s="20"/>
      <c r="P624" s="20"/>
      <c r="Q624" s="20"/>
      <c r="R624" s="20"/>
      <c r="S624" s="20"/>
      <c r="T624" s="20"/>
      <c r="U624" s="20"/>
      <c r="V624" s="20"/>
      <c r="W624" s="20"/>
      <c r="X624" s="20"/>
      <c r="Y624" s="20"/>
      <c r="Z624" s="20"/>
      <c r="AA624" s="20"/>
    </row>
    <row r="625" spans="4:27" ht="17.25" customHeight="1">
      <c r="D625" s="57"/>
      <c r="E625" s="57"/>
      <c r="F625" s="58"/>
      <c r="G625" s="58"/>
      <c r="H625" s="58"/>
      <c r="I625" s="58"/>
      <c r="J625" s="31"/>
      <c r="K625" s="20"/>
      <c r="L625" s="20"/>
      <c r="M625" s="20"/>
      <c r="N625" s="20"/>
      <c r="O625" s="20"/>
      <c r="P625" s="20"/>
      <c r="Q625" s="20"/>
      <c r="R625" s="20"/>
      <c r="S625" s="20"/>
      <c r="T625" s="20"/>
      <c r="U625" s="20"/>
      <c r="V625" s="20"/>
      <c r="W625" s="20"/>
      <c r="X625" s="20"/>
      <c r="Y625" s="20"/>
      <c r="Z625" s="20"/>
      <c r="AA625" s="20"/>
    </row>
    <row r="626" spans="4:27" ht="17.25" customHeight="1">
      <c r="D626" s="57"/>
      <c r="E626" s="57"/>
      <c r="F626" s="58"/>
      <c r="G626" s="58"/>
      <c r="H626" s="58"/>
      <c r="I626" s="58"/>
      <c r="J626" s="31"/>
      <c r="K626" s="20"/>
      <c r="L626" s="20"/>
      <c r="M626" s="20"/>
      <c r="N626" s="20"/>
      <c r="O626" s="20"/>
      <c r="P626" s="20"/>
      <c r="Q626" s="20"/>
      <c r="R626" s="20"/>
      <c r="S626" s="20"/>
      <c r="T626" s="20"/>
      <c r="U626" s="20"/>
      <c r="V626" s="20"/>
      <c r="W626" s="20"/>
      <c r="X626" s="20"/>
      <c r="Y626" s="20"/>
      <c r="Z626" s="20"/>
      <c r="AA626" s="20"/>
    </row>
    <row r="627" spans="4:27" ht="17.25" customHeight="1">
      <c r="D627" s="57"/>
      <c r="E627" s="57"/>
      <c r="F627" s="58"/>
      <c r="G627" s="58"/>
      <c r="H627" s="58"/>
      <c r="I627" s="58"/>
      <c r="J627" s="31"/>
      <c r="K627" s="20"/>
      <c r="L627" s="20"/>
      <c r="M627" s="20"/>
      <c r="N627" s="20"/>
      <c r="O627" s="20"/>
      <c r="P627" s="20"/>
      <c r="Q627" s="20"/>
      <c r="R627" s="20"/>
      <c r="S627" s="20"/>
      <c r="T627" s="20"/>
      <c r="U627" s="20"/>
      <c r="V627" s="20"/>
      <c r="W627" s="20"/>
      <c r="X627" s="20"/>
      <c r="Y627" s="20"/>
      <c r="Z627" s="20"/>
      <c r="AA627" s="20"/>
    </row>
    <row r="628" spans="4:27" ht="17.25" customHeight="1">
      <c r="D628" s="57"/>
      <c r="E628" s="57"/>
      <c r="F628" s="58"/>
      <c r="G628" s="58"/>
      <c r="H628" s="58"/>
      <c r="I628" s="58"/>
      <c r="J628" s="31"/>
      <c r="K628" s="20"/>
      <c r="L628" s="20"/>
      <c r="M628" s="20"/>
      <c r="N628" s="20"/>
      <c r="O628" s="20"/>
      <c r="P628" s="20"/>
      <c r="Q628" s="20"/>
      <c r="R628" s="20"/>
      <c r="S628" s="20"/>
      <c r="T628" s="20"/>
      <c r="U628" s="20"/>
      <c r="V628" s="20"/>
      <c r="W628" s="20"/>
      <c r="X628" s="20"/>
      <c r="Y628" s="20"/>
      <c r="Z628" s="20"/>
      <c r="AA628" s="20"/>
    </row>
    <row r="629" spans="4:27" ht="17.25" customHeight="1">
      <c r="D629" s="57"/>
      <c r="E629" s="57"/>
      <c r="F629" s="58"/>
      <c r="G629" s="58"/>
      <c r="H629" s="58"/>
      <c r="I629" s="58"/>
      <c r="J629" s="31"/>
      <c r="K629" s="20"/>
      <c r="L629" s="20"/>
      <c r="M629" s="20"/>
      <c r="N629" s="20"/>
      <c r="O629" s="20"/>
      <c r="P629" s="20"/>
      <c r="Q629" s="20"/>
      <c r="R629" s="20"/>
      <c r="S629" s="20"/>
      <c r="T629" s="20"/>
      <c r="U629" s="20"/>
      <c r="V629" s="20"/>
      <c r="W629" s="20"/>
      <c r="X629" s="20"/>
      <c r="Y629" s="20"/>
      <c r="Z629" s="20"/>
      <c r="AA629" s="20"/>
    </row>
    <row r="630" spans="4:27" ht="17.25" customHeight="1">
      <c r="D630" s="57"/>
      <c r="E630" s="57"/>
      <c r="F630" s="58"/>
      <c r="G630" s="58"/>
      <c r="H630" s="58"/>
      <c r="I630" s="58"/>
      <c r="J630" s="31"/>
      <c r="K630" s="20"/>
      <c r="L630" s="20"/>
      <c r="M630" s="20"/>
      <c r="N630" s="20"/>
      <c r="O630" s="20"/>
      <c r="P630" s="20"/>
      <c r="Q630" s="20"/>
      <c r="R630" s="20"/>
      <c r="S630" s="20"/>
      <c r="T630" s="20"/>
      <c r="U630" s="20"/>
      <c r="V630" s="20"/>
      <c r="W630" s="20"/>
      <c r="X630" s="20"/>
      <c r="Y630" s="20"/>
      <c r="Z630" s="20"/>
      <c r="AA630" s="20"/>
    </row>
    <row r="631" spans="4:27" ht="17.25" customHeight="1">
      <c r="D631" s="57"/>
      <c r="E631" s="57"/>
      <c r="F631" s="58"/>
      <c r="G631" s="58"/>
      <c r="H631" s="58"/>
      <c r="I631" s="58"/>
      <c r="J631" s="31"/>
      <c r="K631" s="20"/>
      <c r="L631" s="20"/>
      <c r="M631" s="20"/>
      <c r="N631" s="20"/>
      <c r="O631" s="20"/>
      <c r="P631" s="20"/>
      <c r="Q631" s="20"/>
      <c r="R631" s="20"/>
      <c r="S631" s="20"/>
      <c r="T631" s="20"/>
      <c r="U631" s="20"/>
      <c r="V631" s="20"/>
      <c r="W631" s="20"/>
      <c r="X631" s="20"/>
      <c r="Y631" s="20"/>
      <c r="Z631" s="20"/>
      <c r="AA631" s="20"/>
    </row>
    <row r="632" spans="4:27" ht="17.25" customHeight="1">
      <c r="D632" s="57"/>
      <c r="E632" s="57"/>
      <c r="F632" s="58"/>
      <c r="G632" s="58"/>
      <c r="H632" s="58"/>
      <c r="I632" s="58"/>
      <c r="J632" s="31"/>
      <c r="K632" s="20"/>
      <c r="L632" s="20"/>
      <c r="M632" s="20"/>
      <c r="N632" s="20"/>
      <c r="O632" s="20"/>
      <c r="P632" s="20"/>
      <c r="Q632" s="20"/>
      <c r="R632" s="20"/>
      <c r="S632" s="20"/>
      <c r="T632" s="20"/>
      <c r="U632" s="20"/>
      <c r="V632" s="20"/>
      <c r="W632" s="20"/>
      <c r="X632" s="20"/>
      <c r="Y632" s="20"/>
      <c r="Z632" s="20"/>
      <c r="AA632" s="20"/>
    </row>
    <row r="633" spans="4:27" ht="17.25" customHeight="1">
      <c r="D633" s="57"/>
      <c r="E633" s="57"/>
      <c r="F633" s="58"/>
      <c r="G633" s="58"/>
      <c r="H633" s="58"/>
      <c r="I633" s="58"/>
      <c r="J633" s="31"/>
      <c r="K633" s="20"/>
      <c r="L633" s="20"/>
      <c r="M633" s="20"/>
      <c r="N633" s="20"/>
      <c r="O633" s="20"/>
      <c r="P633" s="20"/>
      <c r="Q633" s="20"/>
      <c r="R633" s="20"/>
      <c r="S633" s="20"/>
      <c r="T633" s="20"/>
      <c r="U633" s="20"/>
      <c r="V633" s="20"/>
      <c r="W633" s="20"/>
      <c r="X633" s="20"/>
      <c r="Y633" s="20"/>
      <c r="Z633" s="20"/>
      <c r="AA633" s="20"/>
    </row>
    <row r="634" spans="4:27" ht="17.25" customHeight="1">
      <c r="D634" s="57"/>
      <c r="E634" s="57"/>
      <c r="F634" s="58"/>
      <c r="G634" s="58"/>
      <c r="H634" s="58"/>
      <c r="I634" s="58"/>
      <c r="J634" s="31"/>
      <c r="K634" s="20"/>
      <c r="L634" s="20"/>
      <c r="M634" s="20"/>
      <c r="N634" s="20"/>
      <c r="O634" s="20"/>
      <c r="P634" s="20"/>
      <c r="Q634" s="20"/>
      <c r="R634" s="20"/>
      <c r="S634" s="20"/>
      <c r="T634" s="20"/>
      <c r="U634" s="20"/>
      <c r="V634" s="20"/>
      <c r="W634" s="20"/>
      <c r="X634" s="20"/>
      <c r="Y634" s="20"/>
      <c r="Z634" s="20"/>
      <c r="AA634" s="20"/>
    </row>
    <row r="635" spans="4:27" ht="17.25" customHeight="1">
      <c r="D635" s="57"/>
      <c r="E635" s="57"/>
      <c r="F635" s="58"/>
      <c r="G635" s="58"/>
      <c r="H635" s="58"/>
      <c r="I635" s="58"/>
      <c r="J635" s="31"/>
      <c r="K635" s="20"/>
      <c r="L635" s="20"/>
      <c r="M635" s="20"/>
      <c r="N635" s="20"/>
      <c r="O635" s="20"/>
      <c r="P635" s="20"/>
      <c r="Q635" s="20"/>
      <c r="R635" s="20"/>
      <c r="S635" s="20"/>
      <c r="T635" s="20"/>
      <c r="U635" s="20"/>
      <c r="V635" s="20"/>
      <c r="W635" s="20"/>
      <c r="X635" s="20"/>
      <c r="Y635" s="20"/>
      <c r="Z635" s="20"/>
      <c r="AA635" s="20"/>
    </row>
    <row r="636" spans="4:27" ht="17.25" customHeight="1">
      <c r="D636" s="57"/>
      <c r="E636" s="57"/>
      <c r="F636" s="58"/>
      <c r="G636" s="58"/>
      <c r="H636" s="58"/>
      <c r="I636" s="58"/>
      <c r="J636" s="31"/>
      <c r="K636" s="20"/>
      <c r="L636" s="20"/>
      <c r="M636" s="20"/>
      <c r="N636" s="20"/>
      <c r="O636" s="20"/>
      <c r="P636" s="20"/>
      <c r="Q636" s="20"/>
      <c r="R636" s="20"/>
      <c r="S636" s="20"/>
      <c r="T636" s="20"/>
      <c r="U636" s="20"/>
      <c r="V636" s="20"/>
      <c r="W636" s="20"/>
      <c r="X636" s="20"/>
      <c r="Y636" s="20"/>
      <c r="Z636" s="20"/>
      <c r="AA636" s="20"/>
    </row>
    <row r="637" spans="4:27" ht="17.25" customHeight="1">
      <c r="D637" s="57"/>
      <c r="E637" s="57"/>
      <c r="F637" s="58"/>
      <c r="G637" s="58"/>
      <c r="H637" s="58"/>
      <c r="I637" s="58"/>
      <c r="J637" s="31"/>
      <c r="K637" s="20"/>
      <c r="L637" s="20"/>
      <c r="M637" s="20"/>
      <c r="N637" s="20"/>
      <c r="O637" s="20"/>
      <c r="P637" s="20"/>
      <c r="Q637" s="20"/>
      <c r="R637" s="20"/>
      <c r="S637" s="20"/>
      <c r="T637" s="20"/>
      <c r="U637" s="20"/>
      <c r="V637" s="20"/>
      <c r="W637" s="20"/>
      <c r="X637" s="20"/>
      <c r="Y637" s="20"/>
      <c r="Z637" s="20"/>
      <c r="AA637" s="20"/>
    </row>
    <row r="638" spans="4:27" ht="17.25" customHeight="1">
      <c r="D638" s="57"/>
      <c r="E638" s="57"/>
      <c r="F638" s="58"/>
      <c r="G638" s="58"/>
      <c r="H638" s="58"/>
      <c r="I638" s="58"/>
      <c r="J638" s="31"/>
      <c r="K638" s="20"/>
      <c r="L638" s="20"/>
      <c r="M638" s="20"/>
      <c r="N638" s="20"/>
      <c r="O638" s="20"/>
      <c r="P638" s="20"/>
      <c r="Q638" s="20"/>
      <c r="R638" s="20"/>
      <c r="S638" s="20"/>
      <c r="T638" s="20"/>
      <c r="U638" s="20"/>
      <c r="V638" s="20"/>
      <c r="W638" s="20"/>
      <c r="X638" s="20"/>
      <c r="Y638" s="20"/>
      <c r="Z638" s="20"/>
      <c r="AA638" s="20"/>
    </row>
    <row r="639" spans="4:27" ht="17.25" customHeight="1">
      <c r="D639" s="57"/>
      <c r="E639" s="57"/>
      <c r="F639" s="58"/>
      <c r="G639" s="58"/>
      <c r="H639" s="58"/>
      <c r="I639" s="58"/>
      <c r="J639" s="31"/>
      <c r="K639" s="20"/>
      <c r="L639" s="20"/>
      <c r="M639" s="20"/>
      <c r="N639" s="20"/>
      <c r="O639" s="20"/>
      <c r="P639" s="20"/>
      <c r="Q639" s="20"/>
      <c r="R639" s="20"/>
      <c r="S639" s="20"/>
      <c r="T639" s="20"/>
      <c r="U639" s="20"/>
      <c r="V639" s="20"/>
      <c r="W639" s="20"/>
      <c r="X639" s="20"/>
      <c r="Y639" s="20"/>
      <c r="Z639" s="20"/>
      <c r="AA639" s="20"/>
    </row>
    <row r="640" spans="4:27" ht="17.25" customHeight="1">
      <c r="D640" s="57"/>
      <c r="E640" s="57"/>
      <c r="F640" s="58"/>
      <c r="G640" s="58"/>
      <c r="H640" s="58"/>
      <c r="I640" s="58"/>
      <c r="J640" s="31"/>
      <c r="K640" s="20"/>
      <c r="L640" s="20"/>
      <c r="M640" s="20"/>
      <c r="N640" s="20"/>
      <c r="O640" s="20"/>
      <c r="P640" s="20"/>
      <c r="Q640" s="20"/>
      <c r="R640" s="20"/>
      <c r="S640" s="20"/>
      <c r="T640" s="20"/>
      <c r="U640" s="20"/>
      <c r="V640" s="20"/>
      <c r="W640" s="20"/>
      <c r="X640" s="20"/>
      <c r="Y640" s="20"/>
      <c r="Z640" s="20"/>
      <c r="AA640" s="20"/>
    </row>
    <row r="641" spans="4:27" ht="17.25" customHeight="1">
      <c r="D641" s="57"/>
      <c r="E641" s="57"/>
      <c r="F641" s="58"/>
      <c r="G641" s="58"/>
      <c r="H641" s="58"/>
      <c r="I641" s="58"/>
      <c r="J641" s="31"/>
      <c r="K641" s="20"/>
      <c r="L641" s="20"/>
      <c r="M641" s="20"/>
      <c r="N641" s="20"/>
      <c r="O641" s="20"/>
      <c r="P641" s="20"/>
      <c r="Q641" s="20"/>
      <c r="R641" s="20"/>
      <c r="S641" s="20"/>
      <c r="T641" s="20"/>
      <c r="U641" s="20"/>
      <c r="V641" s="20"/>
      <c r="W641" s="20"/>
      <c r="X641" s="20"/>
      <c r="Y641" s="20"/>
      <c r="Z641" s="20"/>
      <c r="AA641" s="20"/>
    </row>
    <row r="642" spans="4:27" ht="17.25" customHeight="1">
      <c r="D642" s="57"/>
      <c r="E642" s="57"/>
      <c r="F642" s="58"/>
      <c r="G642" s="58"/>
      <c r="H642" s="58"/>
      <c r="I642" s="58"/>
      <c r="J642" s="31"/>
      <c r="K642" s="20"/>
      <c r="L642" s="20"/>
      <c r="M642" s="20"/>
      <c r="N642" s="20"/>
      <c r="O642" s="20"/>
      <c r="P642" s="20"/>
      <c r="Q642" s="20"/>
      <c r="R642" s="20"/>
      <c r="S642" s="20"/>
      <c r="T642" s="20"/>
      <c r="U642" s="20"/>
      <c r="V642" s="20"/>
      <c r="W642" s="20"/>
      <c r="X642" s="20"/>
      <c r="Y642" s="20"/>
      <c r="Z642" s="20"/>
      <c r="AA642" s="20"/>
    </row>
    <row r="643" spans="4:27" ht="17.25" customHeight="1">
      <c r="D643" s="57"/>
      <c r="E643" s="57"/>
      <c r="F643" s="58"/>
      <c r="G643" s="58"/>
      <c r="H643" s="58"/>
      <c r="I643" s="58"/>
      <c r="J643" s="31"/>
      <c r="K643" s="20"/>
      <c r="L643" s="20"/>
      <c r="M643" s="20"/>
      <c r="N643" s="20"/>
      <c r="O643" s="20"/>
      <c r="P643" s="20"/>
      <c r="Q643" s="20"/>
      <c r="R643" s="20"/>
      <c r="S643" s="20"/>
      <c r="T643" s="20"/>
      <c r="U643" s="20"/>
      <c r="V643" s="20"/>
      <c r="W643" s="20"/>
      <c r="X643" s="20"/>
      <c r="Y643" s="20"/>
      <c r="Z643" s="20"/>
      <c r="AA643" s="20"/>
    </row>
    <row r="644" spans="4:27" ht="17.25" customHeight="1">
      <c r="D644" s="57"/>
      <c r="E644" s="57"/>
      <c r="F644" s="58"/>
      <c r="G644" s="58"/>
      <c r="H644" s="58"/>
      <c r="I644" s="58"/>
      <c r="J644" s="31"/>
      <c r="K644" s="20"/>
      <c r="L644" s="20"/>
      <c r="M644" s="20"/>
      <c r="N644" s="20"/>
      <c r="O644" s="20"/>
      <c r="P644" s="20"/>
      <c r="Q644" s="20"/>
      <c r="R644" s="20"/>
      <c r="S644" s="20"/>
      <c r="T644" s="20"/>
      <c r="U644" s="20"/>
      <c r="V644" s="20"/>
      <c r="W644" s="20"/>
      <c r="X644" s="20"/>
      <c r="Y644" s="20"/>
      <c r="Z644" s="20"/>
      <c r="AA644" s="20"/>
    </row>
    <row r="645" spans="4:27" ht="17.25" customHeight="1">
      <c r="D645" s="57"/>
      <c r="E645" s="57"/>
      <c r="F645" s="58"/>
      <c r="G645" s="58"/>
      <c r="H645" s="58"/>
      <c r="I645" s="58"/>
      <c r="J645" s="31"/>
      <c r="K645" s="20"/>
      <c r="L645" s="20"/>
      <c r="M645" s="20"/>
      <c r="N645" s="20"/>
      <c r="O645" s="20"/>
      <c r="P645" s="20"/>
      <c r="Q645" s="20"/>
      <c r="R645" s="20"/>
      <c r="S645" s="20"/>
      <c r="T645" s="20"/>
      <c r="U645" s="20"/>
      <c r="V645" s="20"/>
      <c r="W645" s="20"/>
      <c r="X645" s="20"/>
      <c r="Y645" s="20"/>
      <c r="Z645" s="20"/>
      <c r="AA645" s="20"/>
    </row>
    <row r="646" spans="4:27" ht="17.25" customHeight="1">
      <c r="D646" s="57"/>
      <c r="E646" s="57"/>
      <c r="F646" s="58"/>
      <c r="G646" s="58"/>
      <c r="H646" s="58"/>
      <c r="I646" s="58"/>
      <c r="J646" s="31"/>
      <c r="K646" s="20"/>
      <c r="L646" s="20"/>
      <c r="M646" s="20"/>
      <c r="N646" s="20"/>
      <c r="O646" s="20"/>
      <c r="P646" s="20"/>
      <c r="Q646" s="20"/>
      <c r="R646" s="20"/>
      <c r="S646" s="20"/>
      <c r="T646" s="20"/>
      <c r="U646" s="20"/>
      <c r="V646" s="20"/>
      <c r="W646" s="20"/>
      <c r="X646" s="20"/>
      <c r="Y646" s="20"/>
      <c r="Z646" s="20"/>
      <c r="AA646" s="20"/>
    </row>
    <row r="647" spans="4:27" ht="17.25" customHeight="1">
      <c r="D647" s="57"/>
      <c r="E647" s="57"/>
      <c r="F647" s="58"/>
      <c r="G647" s="58"/>
      <c r="H647" s="58"/>
      <c r="I647" s="58"/>
      <c r="J647" s="31"/>
      <c r="K647" s="20"/>
      <c r="L647" s="20"/>
      <c r="M647" s="20"/>
      <c r="N647" s="20"/>
      <c r="O647" s="20"/>
      <c r="P647" s="20"/>
      <c r="Q647" s="20"/>
      <c r="R647" s="20"/>
      <c r="S647" s="20"/>
      <c r="T647" s="20"/>
      <c r="U647" s="20"/>
      <c r="V647" s="20"/>
      <c r="W647" s="20"/>
      <c r="X647" s="20"/>
      <c r="Y647" s="20"/>
      <c r="Z647" s="20"/>
      <c r="AA647" s="20"/>
    </row>
    <row r="648" spans="4:27" ht="17.25" customHeight="1">
      <c r="D648" s="57"/>
      <c r="E648" s="57"/>
      <c r="F648" s="58"/>
      <c r="G648" s="58"/>
      <c r="H648" s="58"/>
      <c r="I648" s="58"/>
      <c r="J648" s="31"/>
      <c r="K648" s="20"/>
      <c r="L648" s="20"/>
      <c r="M648" s="20"/>
      <c r="N648" s="20"/>
      <c r="O648" s="20"/>
      <c r="P648" s="20"/>
      <c r="Q648" s="20"/>
      <c r="R648" s="20"/>
      <c r="S648" s="20"/>
      <c r="T648" s="20"/>
      <c r="U648" s="20"/>
      <c r="V648" s="20"/>
      <c r="W648" s="20"/>
      <c r="X648" s="20"/>
      <c r="Y648" s="20"/>
      <c r="Z648" s="20"/>
      <c r="AA648" s="20"/>
    </row>
    <row r="649" spans="4:27" ht="17.25" customHeight="1">
      <c r="D649" s="57"/>
      <c r="E649" s="57"/>
      <c r="F649" s="58"/>
      <c r="G649" s="58"/>
      <c r="H649" s="58"/>
      <c r="I649" s="58"/>
      <c r="J649" s="31"/>
      <c r="K649" s="20"/>
      <c r="L649" s="20"/>
      <c r="M649" s="20"/>
      <c r="N649" s="20"/>
      <c r="O649" s="20"/>
      <c r="P649" s="20"/>
      <c r="Q649" s="20"/>
      <c r="R649" s="20"/>
      <c r="S649" s="20"/>
      <c r="T649" s="20"/>
      <c r="U649" s="20"/>
      <c r="V649" s="20"/>
      <c r="W649" s="20"/>
      <c r="X649" s="20"/>
      <c r="Y649" s="20"/>
      <c r="Z649" s="20"/>
      <c r="AA649" s="20"/>
    </row>
    <row r="650" spans="4:27" ht="17.25" customHeight="1">
      <c r="D650" s="57"/>
      <c r="E650" s="57"/>
      <c r="F650" s="58"/>
      <c r="G650" s="58"/>
      <c r="H650" s="58"/>
      <c r="I650" s="58"/>
      <c r="J650" s="31"/>
      <c r="K650" s="20"/>
      <c r="L650" s="20"/>
      <c r="M650" s="20"/>
      <c r="N650" s="20"/>
      <c r="O650" s="20"/>
      <c r="P650" s="20"/>
      <c r="Q650" s="20"/>
      <c r="R650" s="20"/>
      <c r="S650" s="20"/>
      <c r="T650" s="20"/>
      <c r="U650" s="20"/>
      <c r="V650" s="20"/>
      <c r="W650" s="20"/>
      <c r="X650" s="20"/>
      <c r="Y650" s="20"/>
      <c r="Z650" s="20"/>
      <c r="AA650" s="20"/>
    </row>
    <row r="651" spans="4:27" ht="17.25" customHeight="1">
      <c r="D651" s="57"/>
      <c r="E651" s="57"/>
      <c r="F651" s="58"/>
      <c r="G651" s="58"/>
      <c r="H651" s="58"/>
      <c r="I651" s="58"/>
      <c r="J651" s="31"/>
      <c r="K651" s="20"/>
      <c r="L651" s="20"/>
      <c r="M651" s="20"/>
      <c r="N651" s="20"/>
      <c r="O651" s="20"/>
      <c r="P651" s="20"/>
      <c r="Q651" s="20"/>
      <c r="R651" s="20"/>
      <c r="S651" s="20"/>
      <c r="T651" s="20"/>
      <c r="U651" s="20"/>
      <c r="V651" s="20"/>
      <c r="W651" s="20"/>
      <c r="X651" s="20"/>
      <c r="Y651" s="20"/>
      <c r="Z651" s="20"/>
      <c r="AA651" s="20"/>
    </row>
    <row r="652" spans="4:27" ht="17.25" customHeight="1">
      <c r="D652" s="57"/>
      <c r="E652" s="57"/>
      <c r="F652" s="58"/>
      <c r="G652" s="58"/>
      <c r="H652" s="58"/>
      <c r="I652" s="58"/>
      <c r="J652" s="31"/>
      <c r="K652" s="20"/>
      <c r="L652" s="20"/>
      <c r="M652" s="20"/>
      <c r="N652" s="20"/>
      <c r="O652" s="20"/>
      <c r="P652" s="20"/>
      <c r="Q652" s="20"/>
      <c r="R652" s="20"/>
      <c r="S652" s="20"/>
      <c r="T652" s="20"/>
      <c r="U652" s="20"/>
      <c r="V652" s="20"/>
      <c r="W652" s="20"/>
      <c r="X652" s="20"/>
      <c r="Y652" s="20"/>
      <c r="Z652" s="20"/>
      <c r="AA652" s="20"/>
    </row>
    <row r="653" spans="4:27" ht="17.25" customHeight="1">
      <c r="D653" s="57"/>
      <c r="E653" s="57"/>
      <c r="F653" s="58"/>
      <c r="G653" s="58"/>
      <c r="H653" s="58"/>
      <c r="I653" s="58"/>
      <c r="J653" s="31"/>
      <c r="K653" s="20"/>
      <c r="L653" s="20"/>
      <c r="M653" s="20"/>
      <c r="N653" s="20"/>
      <c r="O653" s="20"/>
      <c r="P653" s="20"/>
      <c r="Q653" s="20"/>
      <c r="R653" s="20"/>
      <c r="S653" s="20"/>
      <c r="T653" s="20"/>
      <c r="U653" s="20"/>
      <c r="V653" s="20"/>
      <c r="W653" s="20"/>
      <c r="X653" s="20"/>
      <c r="Y653" s="20"/>
      <c r="Z653" s="20"/>
      <c r="AA653" s="20"/>
    </row>
    <row r="654" spans="4:27" ht="17.25" customHeight="1">
      <c r="D654" s="57"/>
      <c r="E654" s="57"/>
      <c r="F654" s="58"/>
      <c r="G654" s="58"/>
      <c r="H654" s="58"/>
      <c r="I654" s="58"/>
      <c r="J654" s="31"/>
      <c r="K654" s="20"/>
      <c r="L654" s="20"/>
      <c r="M654" s="20"/>
      <c r="N654" s="20"/>
      <c r="O654" s="20"/>
      <c r="P654" s="20"/>
      <c r="Q654" s="20"/>
      <c r="R654" s="20"/>
      <c r="S654" s="20"/>
      <c r="T654" s="20"/>
      <c r="U654" s="20"/>
      <c r="V654" s="20"/>
      <c r="W654" s="20"/>
      <c r="X654" s="20"/>
      <c r="Y654" s="20"/>
      <c r="Z654" s="20"/>
      <c r="AA654" s="20"/>
    </row>
    <row r="655" spans="4:27" ht="17.25" customHeight="1">
      <c r="D655" s="57"/>
      <c r="E655" s="57"/>
      <c r="F655" s="58"/>
      <c r="G655" s="58"/>
      <c r="H655" s="58"/>
      <c r="I655" s="58"/>
      <c r="J655" s="31"/>
      <c r="K655" s="20"/>
      <c r="L655" s="20"/>
      <c r="M655" s="20"/>
      <c r="N655" s="20"/>
      <c r="O655" s="20"/>
      <c r="P655" s="20"/>
      <c r="Q655" s="20"/>
      <c r="R655" s="20"/>
      <c r="S655" s="20"/>
      <c r="T655" s="20"/>
      <c r="U655" s="20"/>
      <c r="V655" s="20"/>
      <c r="W655" s="20"/>
      <c r="X655" s="20"/>
      <c r="Y655" s="20"/>
      <c r="Z655" s="20"/>
      <c r="AA655" s="20"/>
    </row>
    <row r="656" spans="4:27" ht="17.25" customHeight="1">
      <c r="D656" s="57"/>
      <c r="E656" s="57"/>
      <c r="F656" s="58"/>
      <c r="G656" s="58"/>
      <c r="H656" s="58"/>
      <c r="I656" s="58"/>
      <c r="J656" s="31"/>
      <c r="K656" s="20"/>
      <c r="L656" s="20"/>
      <c r="M656" s="20"/>
      <c r="N656" s="20"/>
      <c r="O656" s="20"/>
      <c r="P656" s="20"/>
      <c r="Q656" s="20"/>
      <c r="R656" s="20"/>
      <c r="S656" s="20"/>
      <c r="T656" s="20"/>
      <c r="U656" s="20"/>
      <c r="V656" s="20"/>
      <c r="W656" s="20"/>
      <c r="X656" s="20"/>
      <c r="Y656" s="20"/>
      <c r="Z656" s="20"/>
      <c r="AA656" s="20"/>
    </row>
    <row r="657" spans="4:27" ht="17.25" customHeight="1">
      <c r="D657" s="57"/>
      <c r="E657" s="57"/>
      <c r="F657" s="58"/>
      <c r="G657" s="58"/>
      <c r="H657" s="58"/>
      <c r="I657" s="58"/>
      <c r="J657" s="31"/>
      <c r="K657" s="20"/>
      <c r="L657" s="20"/>
      <c r="M657" s="20"/>
      <c r="N657" s="20"/>
      <c r="O657" s="20"/>
      <c r="P657" s="20"/>
      <c r="Q657" s="20"/>
      <c r="R657" s="20"/>
      <c r="S657" s="20"/>
      <c r="T657" s="20"/>
      <c r="U657" s="20"/>
      <c r="V657" s="20"/>
      <c r="W657" s="20"/>
      <c r="X657" s="20"/>
      <c r="Y657" s="20"/>
      <c r="Z657" s="20"/>
      <c r="AA657" s="20"/>
    </row>
    <row r="658" spans="4:27" ht="17.25" customHeight="1">
      <c r="D658" s="57"/>
      <c r="E658" s="57"/>
      <c r="F658" s="58"/>
      <c r="G658" s="58"/>
      <c r="H658" s="58"/>
      <c r="I658" s="58"/>
      <c r="J658" s="31"/>
      <c r="K658" s="20"/>
      <c r="L658" s="20"/>
      <c r="M658" s="20"/>
      <c r="N658" s="20"/>
      <c r="O658" s="20"/>
      <c r="P658" s="20"/>
      <c r="Q658" s="20"/>
      <c r="R658" s="20"/>
      <c r="S658" s="20"/>
      <c r="T658" s="20"/>
      <c r="U658" s="20"/>
      <c r="V658" s="20"/>
      <c r="W658" s="20"/>
      <c r="X658" s="20"/>
      <c r="Y658" s="20"/>
      <c r="Z658" s="20"/>
      <c r="AA658" s="20"/>
    </row>
    <row r="659" spans="4:27" ht="17.25" customHeight="1">
      <c r="D659" s="57"/>
      <c r="E659" s="57"/>
      <c r="F659" s="58"/>
      <c r="G659" s="58"/>
      <c r="H659" s="58"/>
      <c r="I659" s="58"/>
      <c r="J659" s="31"/>
      <c r="K659" s="20"/>
      <c r="L659" s="20"/>
      <c r="M659" s="20"/>
      <c r="N659" s="20"/>
      <c r="O659" s="20"/>
      <c r="P659" s="20"/>
      <c r="Q659" s="20"/>
      <c r="R659" s="20"/>
      <c r="S659" s="20"/>
      <c r="T659" s="20"/>
      <c r="U659" s="20"/>
      <c r="V659" s="20"/>
      <c r="W659" s="20"/>
      <c r="X659" s="20"/>
      <c r="Y659" s="20"/>
      <c r="Z659" s="20"/>
      <c r="AA659" s="20"/>
    </row>
    <row r="660" spans="4:27" ht="17.25" customHeight="1">
      <c r="D660" s="57"/>
      <c r="E660" s="57"/>
      <c r="F660" s="58"/>
      <c r="G660" s="58"/>
      <c r="H660" s="58"/>
      <c r="I660" s="58"/>
      <c r="J660" s="31"/>
      <c r="K660" s="20"/>
      <c r="L660" s="20"/>
      <c r="M660" s="20"/>
      <c r="N660" s="20"/>
      <c r="O660" s="20"/>
      <c r="P660" s="20"/>
      <c r="Q660" s="20"/>
      <c r="R660" s="20"/>
      <c r="S660" s="20"/>
      <c r="T660" s="20"/>
      <c r="U660" s="20"/>
      <c r="V660" s="20"/>
      <c r="W660" s="20"/>
      <c r="X660" s="20"/>
      <c r="Y660" s="20"/>
      <c r="Z660" s="20"/>
      <c r="AA660" s="20"/>
    </row>
    <row r="661" spans="4:27" ht="17.25" customHeight="1">
      <c r="D661" s="57"/>
      <c r="E661" s="57"/>
      <c r="F661" s="58"/>
      <c r="G661" s="58"/>
      <c r="H661" s="58"/>
      <c r="I661" s="58"/>
      <c r="J661" s="31"/>
      <c r="K661" s="20"/>
      <c r="L661" s="20"/>
      <c r="M661" s="20"/>
      <c r="N661" s="20"/>
      <c r="O661" s="20"/>
      <c r="P661" s="20"/>
      <c r="Q661" s="20"/>
      <c r="R661" s="20"/>
      <c r="S661" s="20"/>
      <c r="T661" s="20"/>
      <c r="U661" s="20"/>
      <c r="V661" s="20"/>
      <c r="W661" s="20"/>
      <c r="X661" s="20"/>
      <c r="Y661" s="20"/>
      <c r="Z661" s="20"/>
      <c r="AA661" s="20"/>
    </row>
    <row r="662" spans="4:27" ht="17.25" customHeight="1">
      <c r="D662" s="57"/>
      <c r="E662" s="57"/>
      <c r="F662" s="58"/>
      <c r="G662" s="58"/>
      <c r="H662" s="58"/>
      <c r="I662" s="58"/>
      <c r="J662" s="31"/>
      <c r="K662" s="20"/>
      <c r="L662" s="20"/>
      <c r="M662" s="20"/>
      <c r="N662" s="20"/>
      <c r="O662" s="20"/>
      <c r="P662" s="20"/>
      <c r="Q662" s="20"/>
      <c r="R662" s="20"/>
      <c r="S662" s="20"/>
      <c r="T662" s="20"/>
      <c r="U662" s="20"/>
      <c r="V662" s="20"/>
      <c r="W662" s="20"/>
      <c r="X662" s="20"/>
      <c r="Y662" s="20"/>
      <c r="Z662" s="20"/>
      <c r="AA662" s="20"/>
    </row>
    <row r="663" spans="4:27" ht="17.25" customHeight="1">
      <c r="D663" s="57"/>
      <c r="E663" s="57"/>
      <c r="F663" s="58"/>
      <c r="G663" s="58"/>
      <c r="H663" s="58"/>
      <c r="I663" s="58"/>
      <c r="J663" s="31"/>
      <c r="K663" s="20"/>
      <c r="L663" s="20"/>
      <c r="M663" s="20"/>
      <c r="N663" s="20"/>
      <c r="O663" s="20"/>
      <c r="P663" s="20"/>
      <c r="Q663" s="20"/>
      <c r="R663" s="20"/>
      <c r="S663" s="20"/>
      <c r="T663" s="20"/>
      <c r="U663" s="20"/>
      <c r="V663" s="20"/>
      <c r="W663" s="20"/>
      <c r="X663" s="20"/>
      <c r="Y663" s="20"/>
      <c r="Z663" s="20"/>
      <c r="AA663" s="20"/>
    </row>
    <row r="664" spans="4:27" ht="17.25" customHeight="1">
      <c r="D664" s="57"/>
      <c r="E664" s="57"/>
      <c r="F664" s="58"/>
      <c r="G664" s="58"/>
      <c r="H664" s="58"/>
      <c r="I664" s="58"/>
      <c r="J664" s="31"/>
      <c r="K664" s="20"/>
      <c r="L664" s="20"/>
      <c r="M664" s="20"/>
      <c r="N664" s="20"/>
      <c r="O664" s="20"/>
      <c r="P664" s="20"/>
      <c r="Q664" s="20"/>
      <c r="R664" s="20"/>
      <c r="S664" s="20"/>
      <c r="T664" s="20"/>
      <c r="U664" s="20"/>
      <c r="V664" s="20"/>
      <c r="W664" s="20"/>
      <c r="X664" s="20"/>
      <c r="Y664" s="20"/>
      <c r="Z664" s="20"/>
      <c r="AA664" s="20"/>
    </row>
    <row r="665" spans="4:27" ht="17.25" customHeight="1">
      <c r="D665" s="57"/>
      <c r="E665" s="57"/>
      <c r="F665" s="58"/>
      <c r="G665" s="58"/>
      <c r="H665" s="58"/>
      <c r="I665" s="58"/>
      <c r="J665" s="31"/>
      <c r="K665" s="20"/>
      <c r="L665" s="20"/>
      <c r="M665" s="20"/>
      <c r="N665" s="20"/>
      <c r="O665" s="20"/>
      <c r="P665" s="20"/>
      <c r="Q665" s="20"/>
      <c r="R665" s="20"/>
      <c r="S665" s="20"/>
      <c r="T665" s="20"/>
      <c r="U665" s="20"/>
      <c r="V665" s="20"/>
      <c r="W665" s="20"/>
      <c r="X665" s="20"/>
      <c r="Y665" s="20"/>
      <c r="Z665" s="20"/>
      <c r="AA665" s="20"/>
    </row>
    <row r="666" spans="4:27" ht="17.25" customHeight="1">
      <c r="D666" s="57"/>
      <c r="E666" s="57"/>
      <c r="F666" s="58"/>
      <c r="G666" s="58"/>
      <c r="H666" s="58"/>
      <c r="I666" s="58"/>
      <c r="J666" s="31"/>
      <c r="K666" s="20"/>
      <c r="L666" s="20"/>
      <c r="M666" s="20"/>
      <c r="N666" s="20"/>
      <c r="O666" s="20"/>
      <c r="P666" s="20"/>
      <c r="Q666" s="20"/>
      <c r="R666" s="20"/>
      <c r="S666" s="20"/>
      <c r="T666" s="20"/>
      <c r="U666" s="20"/>
      <c r="V666" s="20"/>
      <c r="W666" s="20"/>
      <c r="X666" s="20"/>
      <c r="Y666" s="20"/>
      <c r="Z666" s="20"/>
      <c r="AA666" s="20"/>
    </row>
    <row r="667" spans="4:27" ht="17.25" customHeight="1">
      <c r="D667" s="57"/>
      <c r="E667" s="57"/>
      <c r="F667" s="58"/>
      <c r="G667" s="58"/>
      <c r="H667" s="58"/>
      <c r="I667" s="58"/>
      <c r="J667" s="31"/>
      <c r="K667" s="20"/>
      <c r="L667" s="20"/>
      <c r="M667" s="20"/>
      <c r="N667" s="20"/>
      <c r="O667" s="20"/>
      <c r="P667" s="20"/>
      <c r="Q667" s="20"/>
      <c r="R667" s="20"/>
      <c r="S667" s="20"/>
      <c r="T667" s="20"/>
      <c r="U667" s="20"/>
      <c r="V667" s="20"/>
      <c r="W667" s="20"/>
      <c r="X667" s="20"/>
      <c r="Y667" s="20"/>
      <c r="Z667" s="20"/>
      <c r="AA667" s="20"/>
    </row>
    <row r="668" spans="4:27" ht="17.25" customHeight="1">
      <c r="D668" s="57"/>
      <c r="E668" s="57"/>
      <c r="F668" s="58"/>
      <c r="G668" s="58"/>
      <c r="H668" s="58"/>
      <c r="I668" s="58"/>
      <c r="J668" s="31"/>
      <c r="K668" s="20"/>
      <c r="L668" s="20"/>
      <c r="M668" s="20"/>
      <c r="N668" s="20"/>
      <c r="O668" s="20"/>
      <c r="P668" s="20"/>
      <c r="Q668" s="20"/>
      <c r="R668" s="20"/>
      <c r="S668" s="20"/>
      <c r="T668" s="20"/>
      <c r="U668" s="20"/>
      <c r="V668" s="20"/>
      <c r="W668" s="20"/>
      <c r="X668" s="20"/>
      <c r="Y668" s="20"/>
      <c r="Z668" s="20"/>
      <c r="AA668" s="20"/>
    </row>
    <row r="669" spans="4:27" ht="17.25" customHeight="1">
      <c r="D669" s="57"/>
      <c r="E669" s="57"/>
      <c r="F669" s="58"/>
      <c r="G669" s="58"/>
      <c r="H669" s="58"/>
      <c r="I669" s="58"/>
      <c r="J669" s="31"/>
      <c r="K669" s="20"/>
      <c r="L669" s="20"/>
      <c r="M669" s="20"/>
      <c r="N669" s="20"/>
      <c r="O669" s="20"/>
      <c r="P669" s="20"/>
      <c r="Q669" s="20"/>
      <c r="R669" s="20"/>
      <c r="S669" s="20"/>
      <c r="T669" s="20"/>
      <c r="U669" s="20"/>
      <c r="V669" s="20"/>
      <c r="W669" s="20"/>
      <c r="X669" s="20"/>
      <c r="Y669" s="20"/>
      <c r="Z669" s="20"/>
      <c r="AA669" s="20"/>
    </row>
    <row r="670" spans="4:27" ht="17.25" customHeight="1">
      <c r="D670" s="57"/>
      <c r="E670" s="57"/>
      <c r="F670" s="58"/>
      <c r="G670" s="58"/>
      <c r="H670" s="58"/>
      <c r="I670" s="58"/>
      <c r="J670" s="31"/>
      <c r="K670" s="20"/>
      <c r="L670" s="20"/>
      <c r="M670" s="20"/>
      <c r="N670" s="20"/>
      <c r="O670" s="20"/>
      <c r="P670" s="20"/>
      <c r="Q670" s="20"/>
      <c r="R670" s="20"/>
      <c r="S670" s="20"/>
      <c r="T670" s="20"/>
      <c r="U670" s="20"/>
      <c r="V670" s="20"/>
      <c r="W670" s="20"/>
      <c r="X670" s="20"/>
      <c r="Y670" s="20"/>
      <c r="Z670" s="20"/>
      <c r="AA670" s="20"/>
    </row>
    <row r="671" spans="4:27" ht="17.25" customHeight="1">
      <c r="D671" s="57"/>
      <c r="E671" s="57"/>
      <c r="F671" s="58"/>
      <c r="G671" s="58"/>
      <c r="H671" s="58"/>
      <c r="I671" s="58"/>
      <c r="J671" s="31"/>
      <c r="K671" s="20"/>
      <c r="L671" s="20"/>
      <c r="M671" s="20"/>
      <c r="N671" s="20"/>
      <c r="O671" s="20"/>
      <c r="P671" s="20"/>
      <c r="Q671" s="20"/>
      <c r="R671" s="20"/>
      <c r="S671" s="20"/>
      <c r="T671" s="20"/>
      <c r="U671" s="20"/>
      <c r="V671" s="20"/>
      <c r="W671" s="20"/>
      <c r="X671" s="20"/>
      <c r="Y671" s="20"/>
      <c r="Z671" s="20"/>
      <c r="AA671" s="20"/>
    </row>
    <row r="672" spans="4:27" ht="17.25" customHeight="1">
      <c r="D672" s="57"/>
      <c r="E672" s="57"/>
      <c r="F672" s="58"/>
      <c r="G672" s="58"/>
      <c r="H672" s="58"/>
      <c r="I672" s="58"/>
      <c r="J672" s="31"/>
      <c r="K672" s="20"/>
      <c r="L672" s="20"/>
      <c r="M672" s="20"/>
      <c r="N672" s="20"/>
      <c r="O672" s="20"/>
      <c r="P672" s="20"/>
      <c r="Q672" s="20"/>
      <c r="R672" s="20"/>
      <c r="S672" s="20"/>
      <c r="T672" s="20"/>
      <c r="U672" s="20"/>
      <c r="V672" s="20"/>
      <c r="W672" s="20"/>
      <c r="X672" s="20"/>
      <c r="Y672" s="20"/>
      <c r="Z672" s="20"/>
      <c r="AA672" s="20"/>
    </row>
    <row r="673" spans="4:27" ht="17.25" customHeight="1">
      <c r="D673" s="57"/>
      <c r="E673" s="57"/>
      <c r="F673" s="58"/>
      <c r="G673" s="58"/>
      <c r="H673" s="58"/>
      <c r="I673" s="58"/>
      <c r="J673" s="31"/>
      <c r="K673" s="20"/>
      <c r="L673" s="20"/>
      <c r="M673" s="20"/>
      <c r="N673" s="20"/>
      <c r="O673" s="20"/>
      <c r="P673" s="20"/>
      <c r="Q673" s="20"/>
      <c r="R673" s="20"/>
      <c r="S673" s="20"/>
      <c r="T673" s="20"/>
      <c r="U673" s="20"/>
      <c r="V673" s="20"/>
      <c r="W673" s="20"/>
      <c r="X673" s="20"/>
      <c r="Y673" s="20"/>
      <c r="Z673" s="20"/>
      <c r="AA673" s="20"/>
    </row>
    <row r="674" spans="4:27" ht="17.25" customHeight="1">
      <c r="D674" s="57"/>
      <c r="E674" s="57"/>
      <c r="F674" s="58"/>
      <c r="G674" s="58"/>
      <c r="H674" s="58"/>
      <c r="I674" s="58"/>
      <c r="J674" s="31"/>
      <c r="K674" s="20"/>
      <c r="L674" s="20"/>
      <c r="M674" s="20"/>
      <c r="N674" s="20"/>
      <c r="O674" s="20"/>
      <c r="P674" s="20"/>
      <c r="Q674" s="20"/>
      <c r="R674" s="20"/>
      <c r="S674" s="20"/>
      <c r="T674" s="20"/>
      <c r="U674" s="20"/>
      <c r="V674" s="20"/>
      <c r="W674" s="20"/>
      <c r="X674" s="20"/>
      <c r="Y674" s="20"/>
      <c r="Z674" s="20"/>
      <c r="AA674" s="20"/>
    </row>
    <row r="675" spans="4:27" ht="17.25" customHeight="1">
      <c r="D675" s="57"/>
      <c r="E675" s="57"/>
      <c r="F675" s="58"/>
      <c r="G675" s="58"/>
      <c r="H675" s="58"/>
      <c r="I675" s="58"/>
      <c r="J675" s="31"/>
      <c r="K675" s="20"/>
      <c r="L675" s="20"/>
      <c r="M675" s="20"/>
      <c r="N675" s="20"/>
      <c r="O675" s="20"/>
      <c r="P675" s="20"/>
      <c r="Q675" s="20"/>
      <c r="R675" s="20"/>
      <c r="S675" s="20"/>
      <c r="T675" s="20"/>
      <c r="U675" s="20"/>
      <c r="V675" s="20"/>
      <c r="W675" s="20"/>
      <c r="X675" s="20"/>
      <c r="Y675" s="20"/>
      <c r="Z675" s="20"/>
      <c r="AA675" s="20"/>
    </row>
    <row r="676" spans="4:27" ht="17.25" customHeight="1">
      <c r="D676" s="57"/>
      <c r="E676" s="57"/>
      <c r="F676" s="58"/>
      <c r="G676" s="58"/>
      <c r="H676" s="58"/>
      <c r="I676" s="58"/>
      <c r="J676" s="31"/>
      <c r="K676" s="20"/>
      <c r="L676" s="20"/>
      <c r="M676" s="20"/>
      <c r="N676" s="20"/>
      <c r="O676" s="20"/>
      <c r="P676" s="20"/>
      <c r="Q676" s="20"/>
      <c r="R676" s="20"/>
      <c r="S676" s="20"/>
      <c r="T676" s="20"/>
      <c r="U676" s="20"/>
      <c r="V676" s="20"/>
      <c r="W676" s="20"/>
      <c r="X676" s="20"/>
      <c r="Y676" s="20"/>
      <c r="Z676" s="20"/>
      <c r="AA676" s="20"/>
    </row>
    <row r="677" spans="4:27" ht="17.25" customHeight="1">
      <c r="D677" s="57"/>
      <c r="E677" s="57"/>
      <c r="F677" s="58"/>
      <c r="G677" s="58"/>
      <c r="H677" s="58"/>
      <c r="I677" s="58"/>
      <c r="J677" s="31"/>
      <c r="K677" s="20"/>
      <c r="L677" s="20"/>
      <c r="M677" s="20"/>
      <c r="N677" s="20"/>
      <c r="O677" s="20"/>
      <c r="P677" s="20"/>
      <c r="Q677" s="20"/>
      <c r="R677" s="20"/>
      <c r="S677" s="20"/>
      <c r="T677" s="20"/>
      <c r="U677" s="20"/>
      <c r="V677" s="20"/>
      <c r="W677" s="20"/>
      <c r="X677" s="20"/>
      <c r="Y677" s="20"/>
      <c r="Z677" s="20"/>
      <c r="AA677" s="20"/>
    </row>
    <row r="678" spans="4:27" ht="17.25" customHeight="1">
      <c r="D678" s="57"/>
      <c r="E678" s="57"/>
      <c r="F678" s="58"/>
      <c r="G678" s="58"/>
      <c r="H678" s="58"/>
      <c r="I678" s="58"/>
      <c r="J678" s="31"/>
      <c r="K678" s="20"/>
      <c r="L678" s="20"/>
      <c r="M678" s="20"/>
      <c r="N678" s="20"/>
      <c r="O678" s="20"/>
      <c r="P678" s="20"/>
      <c r="Q678" s="20"/>
      <c r="R678" s="20"/>
      <c r="S678" s="20"/>
      <c r="T678" s="20"/>
      <c r="U678" s="20"/>
      <c r="V678" s="20"/>
      <c r="W678" s="20"/>
      <c r="X678" s="20"/>
      <c r="Y678" s="20"/>
      <c r="Z678" s="20"/>
      <c r="AA678" s="20"/>
    </row>
    <row r="679" spans="4:27" ht="17.25" customHeight="1">
      <c r="D679" s="57"/>
      <c r="E679" s="57"/>
      <c r="F679" s="58"/>
      <c r="G679" s="58"/>
      <c r="H679" s="58"/>
      <c r="I679" s="58"/>
      <c r="J679" s="31"/>
      <c r="K679" s="20"/>
      <c r="L679" s="20"/>
      <c r="M679" s="20"/>
      <c r="N679" s="20"/>
      <c r="O679" s="20"/>
      <c r="P679" s="20"/>
      <c r="Q679" s="20"/>
      <c r="R679" s="20"/>
      <c r="S679" s="20"/>
      <c r="T679" s="20"/>
      <c r="U679" s="20"/>
      <c r="V679" s="20"/>
      <c r="W679" s="20"/>
      <c r="X679" s="20"/>
      <c r="Y679" s="20"/>
      <c r="Z679" s="20"/>
      <c r="AA679" s="20"/>
    </row>
    <row r="680" spans="4:27" ht="17.25" customHeight="1">
      <c r="D680" s="57"/>
      <c r="E680" s="57"/>
      <c r="F680" s="58"/>
      <c r="G680" s="58"/>
      <c r="H680" s="58"/>
      <c r="I680" s="58"/>
      <c r="J680" s="31"/>
      <c r="K680" s="20"/>
      <c r="L680" s="20"/>
      <c r="M680" s="20"/>
      <c r="N680" s="20"/>
      <c r="O680" s="20"/>
      <c r="P680" s="20"/>
      <c r="Q680" s="20"/>
      <c r="R680" s="20"/>
      <c r="S680" s="20"/>
      <c r="T680" s="20"/>
      <c r="U680" s="20"/>
      <c r="V680" s="20"/>
      <c r="W680" s="20"/>
      <c r="X680" s="20"/>
      <c r="Y680" s="20"/>
      <c r="Z680" s="20"/>
      <c r="AA680" s="20"/>
    </row>
    <row r="681" spans="4:27" ht="17.25" customHeight="1">
      <c r="D681" s="57"/>
      <c r="E681" s="57"/>
      <c r="F681" s="58"/>
      <c r="G681" s="58"/>
      <c r="H681" s="58"/>
      <c r="I681" s="58"/>
      <c r="J681" s="31"/>
      <c r="K681" s="20"/>
      <c r="L681" s="20"/>
      <c r="M681" s="20"/>
      <c r="N681" s="20"/>
      <c r="O681" s="20"/>
      <c r="P681" s="20"/>
      <c r="Q681" s="20"/>
      <c r="R681" s="20"/>
      <c r="S681" s="20"/>
      <c r="T681" s="20"/>
      <c r="U681" s="20"/>
      <c r="V681" s="20"/>
      <c r="W681" s="20"/>
      <c r="X681" s="20"/>
      <c r="Y681" s="20"/>
      <c r="Z681" s="20"/>
      <c r="AA681" s="20"/>
    </row>
    <row r="682" spans="4:27" ht="17.25" customHeight="1">
      <c r="D682" s="57"/>
      <c r="E682" s="57"/>
      <c r="F682" s="58"/>
      <c r="G682" s="58"/>
      <c r="H682" s="58"/>
      <c r="I682" s="58"/>
      <c r="J682" s="31"/>
      <c r="K682" s="20"/>
      <c r="L682" s="20"/>
      <c r="M682" s="20"/>
      <c r="N682" s="20"/>
      <c r="O682" s="20"/>
      <c r="P682" s="20"/>
      <c r="Q682" s="20"/>
      <c r="R682" s="20"/>
      <c r="S682" s="20"/>
      <c r="T682" s="20"/>
      <c r="U682" s="20"/>
      <c r="V682" s="20"/>
      <c r="W682" s="20"/>
      <c r="X682" s="20"/>
      <c r="Y682" s="20"/>
      <c r="Z682" s="20"/>
      <c r="AA682" s="20"/>
    </row>
    <row r="683" spans="4:27" ht="17.25" customHeight="1">
      <c r="D683" s="57"/>
      <c r="E683" s="57"/>
      <c r="F683" s="58"/>
      <c r="G683" s="58"/>
      <c r="H683" s="58"/>
      <c r="I683" s="58"/>
      <c r="J683" s="31"/>
      <c r="K683" s="20"/>
      <c r="L683" s="20"/>
      <c r="M683" s="20"/>
      <c r="N683" s="20"/>
      <c r="O683" s="20"/>
      <c r="P683" s="20"/>
      <c r="Q683" s="20"/>
      <c r="R683" s="20"/>
      <c r="S683" s="20"/>
      <c r="T683" s="20"/>
      <c r="U683" s="20"/>
      <c r="V683" s="20"/>
      <c r="W683" s="20"/>
      <c r="X683" s="20"/>
      <c r="Y683" s="20"/>
      <c r="Z683" s="20"/>
      <c r="AA683" s="20"/>
    </row>
    <row r="684" spans="4:27" ht="17.25" customHeight="1">
      <c r="D684" s="57"/>
      <c r="E684" s="57"/>
      <c r="F684" s="58"/>
      <c r="G684" s="58"/>
      <c r="H684" s="58"/>
      <c r="I684" s="58"/>
      <c r="J684" s="31"/>
      <c r="K684" s="20"/>
      <c r="L684" s="20"/>
      <c r="M684" s="20"/>
      <c r="N684" s="20"/>
      <c r="O684" s="20"/>
      <c r="P684" s="20"/>
      <c r="Q684" s="20"/>
      <c r="R684" s="20"/>
      <c r="S684" s="20"/>
      <c r="T684" s="20"/>
      <c r="U684" s="20"/>
      <c r="V684" s="20"/>
      <c r="W684" s="20"/>
      <c r="X684" s="20"/>
      <c r="Y684" s="20"/>
      <c r="Z684" s="20"/>
      <c r="AA684" s="20"/>
    </row>
    <row r="685" spans="4:27" ht="17.25" customHeight="1">
      <c r="D685" s="57"/>
      <c r="E685" s="57"/>
      <c r="F685" s="58"/>
      <c r="G685" s="58"/>
      <c r="H685" s="58"/>
      <c r="I685" s="58"/>
      <c r="J685" s="31"/>
      <c r="K685" s="20"/>
      <c r="L685" s="20"/>
      <c r="M685" s="20"/>
      <c r="N685" s="20"/>
      <c r="O685" s="20"/>
      <c r="P685" s="20"/>
      <c r="Q685" s="20"/>
      <c r="R685" s="20"/>
      <c r="S685" s="20"/>
      <c r="T685" s="20"/>
      <c r="U685" s="20"/>
      <c r="V685" s="20"/>
      <c r="W685" s="20"/>
      <c r="X685" s="20"/>
      <c r="Y685" s="20"/>
      <c r="Z685" s="20"/>
      <c r="AA685" s="20"/>
    </row>
    <row r="686" spans="4:27" ht="17.25" customHeight="1">
      <c r="D686" s="57"/>
      <c r="E686" s="57"/>
      <c r="F686" s="58"/>
      <c r="G686" s="58"/>
      <c r="H686" s="58"/>
      <c r="I686" s="58"/>
      <c r="J686" s="31"/>
      <c r="K686" s="20"/>
      <c r="L686" s="20"/>
      <c r="M686" s="20"/>
      <c r="N686" s="20"/>
      <c r="O686" s="20"/>
      <c r="P686" s="20"/>
      <c r="Q686" s="20"/>
      <c r="R686" s="20"/>
      <c r="S686" s="20"/>
      <c r="T686" s="20"/>
      <c r="U686" s="20"/>
      <c r="V686" s="20"/>
      <c r="W686" s="20"/>
      <c r="X686" s="20"/>
      <c r="Y686" s="20"/>
      <c r="Z686" s="20"/>
      <c r="AA686" s="20"/>
    </row>
    <row r="687" spans="4:27" ht="17.25" customHeight="1">
      <c r="D687" s="57"/>
      <c r="E687" s="57"/>
      <c r="F687" s="58"/>
      <c r="G687" s="58"/>
      <c r="H687" s="58"/>
      <c r="I687" s="58"/>
      <c r="J687" s="31"/>
      <c r="K687" s="20"/>
      <c r="L687" s="20"/>
      <c r="M687" s="20"/>
      <c r="N687" s="20"/>
      <c r="O687" s="20"/>
      <c r="P687" s="20"/>
      <c r="Q687" s="20"/>
      <c r="R687" s="20"/>
      <c r="S687" s="20"/>
      <c r="T687" s="20"/>
      <c r="U687" s="20"/>
      <c r="V687" s="20"/>
      <c r="W687" s="20"/>
      <c r="X687" s="20"/>
      <c r="Y687" s="20"/>
      <c r="Z687" s="20"/>
      <c r="AA687" s="20"/>
    </row>
    <row r="688" spans="4:27" ht="17.25" customHeight="1">
      <c r="D688" s="57"/>
      <c r="E688" s="57"/>
      <c r="F688" s="58"/>
      <c r="G688" s="58"/>
      <c r="H688" s="58"/>
      <c r="I688" s="58"/>
      <c r="J688" s="31"/>
      <c r="K688" s="20"/>
      <c r="L688" s="20"/>
      <c r="M688" s="20"/>
      <c r="N688" s="20"/>
      <c r="O688" s="20"/>
      <c r="P688" s="20"/>
      <c r="Q688" s="20"/>
      <c r="R688" s="20"/>
      <c r="S688" s="20"/>
      <c r="T688" s="20"/>
      <c r="U688" s="20"/>
      <c r="V688" s="20"/>
      <c r="W688" s="20"/>
      <c r="X688" s="20"/>
      <c r="Y688" s="20"/>
      <c r="Z688" s="20"/>
      <c r="AA688" s="20"/>
    </row>
    <row r="689" spans="4:27" ht="17.25" customHeight="1">
      <c r="D689" s="57"/>
      <c r="E689" s="57"/>
      <c r="F689" s="58"/>
      <c r="G689" s="58"/>
      <c r="H689" s="58"/>
      <c r="I689" s="58"/>
      <c r="J689" s="31"/>
      <c r="K689" s="20"/>
      <c r="L689" s="20"/>
      <c r="M689" s="20"/>
      <c r="N689" s="20"/>
      <c r="O689" s="20"/>
      <c r="P689" s="20"/>
      <c r="Q689" s="20"/>
      <c r="R689" s="20"/>
      <c r="S689" s="20"/>
      <c r="T689" s="20"/>
      <c r="U689" s="20"/>
      <c r="V689" s="20"/>
      <c r="W689" s="20"/>
      <c r="X689" s="20"/>
      <c r="Y689" s="20"/>
      <c r="Z689" s="20"/>
      <c r="AA689" s="20"/>
    </row>
    <row r="690" spans="4:27" ht="17.25" customHeight="1">
      <c r="D690" s="57"/>
      <c r="E690" s="57"/>
      <c r="F690" s="58"/>
      <c r="G690" s="58"/>
      <c r="H690" s="58"/>
      <c r="I690" s="58"/>
      <c r="J690" s="31"/>
      <c r="K690" s="20"/>
      <c r="L690" s="20"/>
      <c r="M690" s="20"/>
      <c r="N690" s="20"/>
      <c r="O690" s="20"/>
      <c r="P690" s="20"/>
      <c r="Q690" s="20"/>
      <c r="R690" s="20"/>
      <c r="S690" s="20"/>
      <c r="T690" s="20"/>
      <c r="U690" s="20"/>
      <c r="V690" s="20"/>
      <c r="W690" s="20"/>
      <c r="X690" s="20"/>
      <c r="Y690" s="20"/>
      <c r="Z690" s="20"/>
      <c r="AA690" s="20"/>
    </row>
    <row r="691" spans="4:27" ht="17.25" customHeight="1">
      <c r="D691" s="57"/>
      <c r="E691" s="57"/>
      <c r="F691" s="58"/>
      <c r="G691" s="58"/>
      <c r="H691" s="58"/>
      <c r="I691" s="58"/>
      <c r="J691" s="31"/>
      <c r="K691" s="20"/>
      <c r="L691" s="20"/>
      <c r="M691" s="20"/>
      <c r="N691" s="20"/>
      <c r="O691" s="20"/>
      <c r="P691" s="20"/>
      <c r="Q691" s="20"/>
      <c r="R691" s="20"/>
      <c r="S691" s="20"/>
      <c r="T691" s="20"/>
      <c r="U691" s="20"/>
      <c r="V691" s="20"/>
      <c r="W691" s="20"/>
      <c r="X691" s="20"/>
      <c r="Y691" s="20"/>
      <c r="Z691" s="20"/>
      <c r="AA691" s="20"/>
    </row>
    <row r="692" spans="4:27" ht="17.25" customHeight="1">
      <c r="D692" s="57"/>
      <c r="E692" s="57"/>
      <c r="F692" s="58"/>
      <c r="G692" s="58"/>
      <c r="H692" s="58"/>
      <c r="I692" s="58"/>
      <c r="J692" s="31"/>
      <c r="K692" s="20"/>
      <c r="L692" s="20"/>
      <c r="M692" s="20"/>
      <c r="N692" s="20"/>
      <c r="O692" s="20"/>
      <c r="P692" s="20"/>
      <c r="Q692" s="20"/>
      <c r="R692" s="20"/>
      <c r="S692" s="20"/>
      <c r="T692" s="20"/>
      <c r="U692" s="20"/>
      <c r="V692" s="20"/>
      <c r="W692" s="20"/>
      <c r="X692" s="20"/>
      <c r="Y692" s="20"/>
      <c r="Z692" s="20"/>
      <c r="AA692" s="20"/>
    </row>
    <row r="693" spans="4:27" ht="17.25" customHeight="1">
      <c r="D693" s="57"/>
      <c r="E693" s="57"/>
      <c r="F693" s="58"/>
      <c r="G693" s="58"/>
      <c r="H693" s="58"/>
      <c r="I693" s="58"/>
      <c r="J693" s="31"/>
      <c r="K693" s="20"/>
      <c r="L693" s="20"/>
      <c r="M693" s="20"/>
      <c r="N693" s="20"/>
      <c r="O693" s="20"/>
      <c r="P693" s="20"/>
      <c r="Q693" s="20"/>
      <c r="R693" s="20"/>
      <c r="S693" s="20"/>
      <c r="T693" s="20"/>
      <c r="U693" s="20"/>
      <c r="V693" s="20"/>
      <c r="W693" s="20"/>
      <c r="X693" s="20"/>
      <c r="Y693" s="20"/>
      <c r="Z693" s="20"/>
      <c r="AA693" s="20"/>
    </row>
    <row r="694" spans="4:27" ht="17.25" customHeight="1">
      <c r="D694" s="57"/>
      <c r="E694" s="57"/>
      <c r="F694" s="58"/>
      <c r="G694" s="58"/>
      <c r="H694" s="58"/>
      <c r="I694" s="58"/>
      <c r="J694" s="31"/>
      <c r="K694" s="20"/>
      <c r="L694" s="20"/>
      <c r="M694" s="20"/>
      <c r="N694" s="20"/>
      <c r="O694" s="20"/>
      <c r="P694" s="20"/>
      <c r="Q694" s="20"/>
      <c r="R694" s="20"/>
      <c r="S694" s="20"/>
      <c r="T694" s="20"/>
      <c r="U694" s="20"/>
      <c r="V694" s="20"/>
      <c r="W694" s="20"/>
      <c r="X694" s="20"/>
      <c r="Y694" s="20"/>
      <c r="Z694" s="20"/>
      <c r="AA694" s="20"/>
    </row>
    <row r="695" spans="4:27" ht="17.25" customHeight="1">
      <c r="D695" s="57"/>
      <c r="E695" s="57"/>
      <c r="F695" s="58"/>
      <c r="G695" s="58"/>
      <c r="H695" s="58"/>
      <c r="I695" s="58"/>
      <c r="J695" s="31"/>
      <c r="K695" s="20"/>
      <c r="L695" s="20"/>
      <c r="M695" s="20"/>
      <c r="N695" s="20"/>
      <c r="O695" s="20"/>
      <c r="P695" s="20"/>
      <c r="Q695" s="20"/>
      <c r="R695" s="20"/>
      <c r="S695" s="20"/>
      <c r="T695" s="20"/>
      <c r="U695" s="20"/>
      <c r="V695" s="20"/>
      <c r="W695" s="20"/>
      <c r="X695" s="20"/>
      <c r="Y695" s="20"/>
      <c r="Z695" s="20"/>
      <c r="AA695" s="20"/>
    </row>
    <row r="696" spans="4:27" ht="17.25" customHeight="1">
      <c r="D696" s="57"/>
      <c r="E696" s="57"/>
      <c r="F696" s="58"/>
      <c r="G696" s="58"/>
      <c r="H696" s="58"/>
      <c r="I696" s="58"/>
      <c r="J696" s="31"/>
      <c r="K696" s="20"/>
      <c r="L696" s="20"/>
      <c r="M696" s="20"/>
      <c r="N696" s="20"/>
      <c r="O696" s="20"/>
      <c r="P696" s="20"/>
      <c r="Q696" s="20"/>
      <c r="R696" s="20"/>
      <c r="S696" s="20"/>
      <c r="T696" s="20"/>
      <c r="U696" s="20"/>
      <c r="V696" s="20"/>
      <c r="W696" s="20"/>
      <c r="X696" s="20"/>
      <c r="Y696" s="20"/>
      <c r="Z696" s="20"/>
      <c r="AA696" s="20"/>
    </row>
    <row r="697" spans="4:27" ht="17.25" customHeight="1">
      <c r="D697" s="57"/>
      <c r="E697" s="57"/>
      <c r="F697" s="58"/>
      <c r="G697" s="58"/>
      <c r="H697" s="58"/>
      <c r="I697" s="58"/>
      <c r="J697" s="31"/>
      <c r="K697" s="20"/>
      <c r="L697" s="20"/>
      <c r="M697" s="20"/>
      <c r="N697" s="20"/>
      <c r="O697" s="20"/>
      <c r="P697" s="20"/>
      <c r="Q697" s="20"/>
      <c r="R697" s="20"/>
      <c r="S697" s="20"/>
      <c r="T697" s="20"/>
      <c r="U697" s="20"/>
      <c r="V697" s="20"/>
      <c r="W697" s="20"/>
      <c r="X697" s="20"/>
      <c r="Y697" s="20"/>
      <c r="Z697" s="20"/>
      <c r="AA697" s="20"/>
    </row>
    <row r="698" spans="4:27" ht="17.25" customHeight="1">
      <c r="D698" s="57"/>
      <c r="E698" s="57"/>
      <c r="F698" s="58"/>
      <c r="G698" s="58"/>
      <c r="H698" s="58"/>
      <c r="I698" s="58"/>
      <c r="J698" s="31"/>
      <c r="K698" s="20"/>
      <c r="L698" s="20"/>
      <c r="M698" s="20"/>
      <c r="N698" s="20"/>
      <c r="O698" s="20"/>
      <c r="P698" s="20"/>
      <c r="Q698" s="20"/>
      <c r="R698" s="20"/>
      <c r="S698" s="20"/>
      <c r="T698" s="20"/>
      <c r="U698" s="20"/>
      <c r="V698" s="20"/>
      <c r="W698" s="20"/>
      <c r="X698" s="20"/>
      <c r="Y698" s="20"/>
      <c r="Z698" s="20"/>
      <c r="AA698" s="20"/>
    </row>
    <row r="699" spans="4:27" ht="17.25" customHeight="1">
      <c r="D699" s="57"/>
      <c r="E699" s="57"/>
      <c r="F699" s="58"/>
      <c r="G699" s="58"/>
      <c r="H699" s="58"/>
      <c r="I699" s="58"/>
      <c r="J699" s="31"/>
      <c r="K699" s="20"/>
      <c r="L699" s="20"/>
      <c r="M699" s="20"/>
      <c r="N699" s="20"/>
      <c r="O699" s="20"/>
      <c r="P699" s="20"/>
      <c r="Q699" s="20"/>
      <c r="R699" s="20"/>
      <c r="S699" s="20"/>
      <c r="T699" s="20"/>
      <c r="U699" s="20"/>
      <c r="V699" s="20"/>
      <c r="W699" s="20"/>
      <c r="X699" s="20"/>
      <c r="Y699" s="20"/>
      <c r="Z699" s="20"/>
      <c r="AA699" s="20"/>
    </row>
    <row r="700" spans="4:27" ht="17.25" customHeight="1">
      <c r="D700" s="57"/>
      <c r="E700" s="57"/>
      <c r="F700" s="58"/>
      <c r="G700" s="58"/>
      <c r="H700" s="58"/>
      <c r="I700" s="58"/>
      <c r="J700" s="31"/>
      <c r="K700" s="20"/>
      <c r="L700" s="20"/>
      <c r="M700" s="20"/>
      <c r="N700" s="20"/>
      <c r="O700" s="20"/>
      <c r="P700" s="20"/>
      <c r="Q700" s="20"/>
      <c r="R700" s="20"/>
      <c r="S700" s="20"/>
      <c r="T700" s="20"/>
      <c r="U700" s="20"/>
      <c r="V700" s="20"/>
      <c r="W700" s="20"/>
      <c r="X700" s="20"/>
      <c r="Y700" s="20"/>
      <c r="Z700" s="20"/>
      <c r="AA700" s="20"/>
    </row>
    <row r="701" spans="4:27" ht="17.25" customHeight="1">
      <c r="D701" s="57"/>
      <c r="E701" s="57"/>
      <c r="F701" s="58"/>
      <c r="G701" s="58"/>
      <c r="H701" s="58"/>
      <c r="I701" s="58"/>
      <c r="J701" s="31"/>
      <c r="K701" s="20"/>
      <c r="L701" s="20"/>
      <c r="M701" s="20"/>
      <c r="N701" s="20"/>
      <c r="O701" s="20"/>
      <c r="P701" s="20"/>
      <c r="Q701" s="20"/>
      <c r="R701" s="20"/>
      <c r="S701" s="20"/>
      <c r="T701" s="20"/>
      <c r="U701" s="20"/>
      <c r="V701" s="20"/>
      <c r="W701" s="20"/>
      <c r="X701" s="20"/>
      <c r="Y701" s="20"/>
      <c r="Z701" s="20"/>
      <c r="AA701" s="20"/>
    </row>
    <row r="702" spans="4:27" ht="17.25" customHeight="1">
      <c r="D702" s="57"/>
      <c r="E702" s="57"/>
      <c r="F702" s="58"/>
      <c r="G702" s="58"/>
      <c r="H702" s="58"/>
      <c r="I702" s="58"/>
      <c r="J702" s="31"/>
      <c r="K702" s="20"/>
      <c r="L702" s="20"/>
      <c r="M702" s="20"/>
      <c r="N702" s="20"/>
      <c r="O702" s="20"/>
      <c r="P702" s="20"/>
      <c r="Q702" s="20"/>
      <c r="R702" s="20"/>
      <c r="S702" s="20"/>
      <c r="T702" s="20"/>
      <c r="U702" s="20"/>
      <c r="V702" s="20"/>
      <c r="W702" s="20"/>
      <c r="X702" s="20"/>
      <c r="Y702" s="20"/>
      <c r="Z702" s="20"/>
      <c r="AA702" s="20"/>
    </row>
    <row r="703" spans="4:27" ht="17.25" customHeight="1">
      <c r="D703" s="57"/>
      <c r="E703" s="57"/>
      <c r="F703" s="58"/>
      <c r="G703" s="58"/>
      <c r="H703" s="58"/>
      <c r="I703" s="58"/>
      <c r="J703" s="31"/>
      <c r="K703" s="20"/>
      <c r="L703" s="20"/>
      <c r="M703" s="20"/>
      <c r="N703" s="20"/>
      <c r="O703" s="20"/>
      <c r="P703" s="20"/>
      <c r="Q703" s="20"/>
      <c r="R703" s="20"/>
      <c r="S703" s="20"/>
      <c r="T703" s="20"/>
      <c r="U703" s="20"/>
      <c r="V703" s="20"/>
      <c r="W703" s="20"/>
      <c r="X703" s="20"/>
      <c r="Y703" s="20"/>
      <c r="Z703" s="20"/>
      <c r="AA703" s="20"/>
    </row>
    <row r="704" spans="4:27" ht="17.25" customHeight="1">
      <c r="D704" s="57"/>
      <c r="E704" s="57"/>
      <c r="F704" s="58"/>
      <c r="G704" s="58"/>
      <c r="H704" s="58"/>
      <c r="I704" s="58"/>
      <c r="J704" s="31"/>
      <c r="K704" s="20"/>
      <c r="L704" s="20"/>
      <c r="M704" s="20"/>
      <c r="N704" s="20"/>
      <c r="O704" s="20"/>
      <c r="P704" s="20"/>
      <c r="Q704" s="20"/>
      <c r="R704" s="20"/>
      <c r="S704" s="20"/>
      <c r="T704" s="20"/>
      <c r="U704" s="20"/>
      <c r="V704" s="20"/>
      <c r="W704" s="20"/>
      <c r="X704" s="20"/>
      <c r="Y704" s="20"/>
      <c r="Z704" s="20"/>
      <c r="AA704" s="20"/>
    </row>
    <row r="705" spans="4:27" ht="17.25" customHeight="1">
      <c r="D705" s="57"/>
      <c r="E705" s="57"/>
      <c r="F705" s="58"/>
      <c r="G705" s="58"/>
      <c r="H705" s="58"/>
      <c r="I705" s="58"/>
      <c r="J705" s="31"/>
      <c r="K705" s="20"/>
      <c r="L705" s="20"/>
      <c r="M705" s="20"/>
      <c r="N705" s="20"/>
      <c r="O705" s="20"/>
      <c r="P705" s="20"/>
      <c r="Q705" s="20"/>
      <c r="R705" s="20"/>
      <c r="S705" s="20"/>
      <c r="T705" s="20"/>
      <c r="U705" s="20"/>
      <c r="V705" s="20"/>
      <c r="W705" s="20"/>
      <c r="X705" s="20"/>
      <c r="Y705" s="20"/>
      <c r="Z705" s="20"/>
      <c r="AA705" s="20"/>
    </row>
    <row r="706" spans="4:27" ht="17.25" customHeight="1">
      <c r="D706" s="57"/>
      <c r="E706" s="57"/>
      <c r="F706" s="58"/>
      <c r="G706" s="58"/>
      <c r="H706" s="58"/>
      <c r="I706" s="58"/>
      <c r="J706" s="31"/>
      <c r="K706" s="20"/>
      <c r="L706" s="20"/>
      <c r="M706" s="20"/>
      <c r="N706" s="20"/>
      <c r="O706" s="20"/>
      <c r="P706" s="20"/>
      <c r="Q706" s="20"/>
      <c r="R706" s="20"/>
      <c r="S706" s="20"/>
      <c r="T706" s="20"/>
      <c r="U706" s="20"/>
      <c r="V706" s="20"/>
      <c r="W706" s="20"/>
      <c r="X706" s="20"/>
      <c r="Y706" s="20"/>
      <c r="Z706" s="20"/>
      <c r="AA706" s="20"/>
    </row>
    <row r="707" spans="4:27" ht="17.25" customHeight="1">
      <c r="D707" s="57"/>
      <c r="E707" s="57"/>
      <c r="F707" s="58"/>
      <c r="G707" s="58"/>
      <c r="H707" s="58"/>
      <c r="I707" s="58"/>
      <c r="J707" s="31"/>
      <c r="K707" s="20"/>
      <c r="L707" s="20"/>
      <c r="M707" s="20"/>
      <c r="N707" s="20"/>
      <c r="O707" s="20"/>
      <c r="P707" s="20"/>
      <c r="Q707" s="20"/>
      <c r="R707" s="20"/>
      <c r="S707" s="20"/>
      <c r="T707" s="20"/>
      <c r="U707" s="20"/>
      <c r="V707" s="20"/>
      <c r="W707" s="20"/>
      <c r="X707" s="20"/>
      <c r="Y707" s="20"/>
      <c r="Z707" s="20"/>
      <c r="AA707" s="20"/>
    </row>
    <row r="708" spans="4:27" ht="17.25" customHeight="1">
      <c r="D708" s="57"/>
      <c r="E708" s="57"/>
      <c r="F708" s="58"/>
      <c r="G708" s="58"/>
      <c r="H708" s="58"/>
      <c r="I708" s="58"/>
      <c r="J708" s="31"/>
      <c r="K708" s="20"/>
      <c r="L708" s="20"/>
      <c r="M708" s="20"/>
      <c r="N708" s="20"/>
      <c r="O708" s="20"/>
      <c r="P708" s="20"/>
      <c r="Q708" s="20"/>
      <c r="R708" s="20"/>
      <c r="S708" s="20"/>
      <c r="T708" s="20"/>
      <c r="U708" s="20"/>
      <c r="V708" s="20"/>
      <c r="W708" s="20"/>
      <c r="X708" s="20"/>
      <c r="Y708" s="20"/>
      <c r="Z708" s="20"/>
      <c r="AA708" s="20"/>
    </row>
    <row r="709" spans="4:27" ht="17.25" customHeight="1">
      <c r="D709" s="57"/>
      <c r="E709" s="57"/>
      <c r="F709" s="58"/>
      <c r="G709" s="58"/>
      <c r="H709" s="58"/>
      <c r="I709" s="58"/>
      <c r="J709" s="31"/>
      <c r="K709" s="20"/>
      <c r="L709" s="20"/>
      <c r="M709" s="20"/>
      <c r="N709" s="20"/>
      <c r="O709" s="20"/>
      <c r="P709" s="20"/>
      <c r="Q709" s="20"/>
      <c r="R709" s="20"/>
      <c r="S709" s="20"/>
      <c r="T709" s="20"/>
      <c r="U709" s="20"/>
      <c r="V709" s="20"/>
      <c r="W709" s="20"/>
      <c r="X709" s="20"/>
      <c r="Y709" s="20"/>
      <c r="Z709" s="20"/>
      <c r="AA709" s="20"/>
    </row>
    <row r="710" spans="4:27" ht="17.25" customHeight="1">
      <c r="D710" s="57"/>
      <c r="E710" s="57"/>
      <c r="F710" s="58"/>
      <c r="G710" s="58"/>
      <c r="H710" s="58"/>
      <c r="I710" s="58"/>
      <c r="J710" s="31"/>
      <c r="K710" s="20"/>
      <c r="L710" s="20"/>
      <c r="M710" s="20"/>
      <c r="N710" s="20"/>
      <c r="O710" s="20"/>
      <c r="P710" s="20"/>
      <c r="Q710" s="20"/>
      <c r="R710" s="20"/>
      <c r="S710" s="20"/>
      <c r="T710" s="20"/>
      <c r="U710" s="20"/>
      <c r="V710" s="20"/>
      <c r="W710" s="20"/>
      <c r="X710" s="20"/>
      <c r="Y710" s="20"/>
      <c r="Z710" s="20"/>
      <c r="AA710" s="20"/>
    </row>
    <row r="711" spans="4:27" ht="17.25" customHeight="1">
      <c r="D711" s="57"/>
      <c r="E711" s="57"/>
      <c r="F711" s="58"/>
      <c r="G711" s="58"/>
      <c r="H711" s="58"/>
      <c r="I711" s="58"/>
      <c r="J711" s="31"/>
      <c r="K711" s="20"/>
      <c r="L711" s="20"/>
      <c r="M711" s="20"/>
      <c r="N711" s="20"/>
      <c r="O711" s="20"/>
      <c r="P711" s="20"/>
      <c r="Q711" s="20"/>
      <c r="R711" s="20"/>
      <c r="S711" s="20"/>
      <c r="T711" s="20"/>
      <c r="U711" s="20"/>
      <c r="V711" s="20"/>
      <c r="W711" s="20"/>
      <c r="X711" s="20"/>
      <c r="Y711" s="20"/>
      <c r="Z711" s="20"/>
      <c r="AA711" s="20"/>
    </row>
    <row r="712" spans="4:27" ht="17.25" customHeight="1">
      <c r="D712" s="57"/>
      <c r="E712" s="57"/>
      <c r="F712" s="58"/>
      <c r="G712" s="58"/>
      <c r="H712" s="58"/>
      <c r="I712" s="58"/>
      <c r="J712" s="31"/>
      <c r="K712" s="20"/>
      <c r="L712" s="20"/>
      <c r="M712" s="20"/>
      <c r="N712" s="20"/>
      <c r="O712" s="20"/>
      <c r="P712" s="20"/>
      <c r="Q712" s="20"/>
      <c r="R712" s="20"/>
      <c r="S712" s="20"/>
      <c r="T712" s="20"/>
      <c r="U712" s="20"/>
      <c r="V712" s="20"/>
      <c r="W712" s="20"/>
      <c r="X712" s="20"/>
      <c r="Y712" s="20"/>
      <c r="Z712" s="20"/>
      <c r="AA712" s="20"/>
    </row>
    <row r="713" spans="4:27" ht="17.25" customHeight="1">
      <c r="D713" s="57"/>
      <c r="E713" s="57"/>
      <c r="F713" s="58"/>
      <c r="G713" s="58"/>
      <c r="H713" s="58"/>
      <c r="I713" s="58"/>
      <c r="J713" s="31"/>
      <c r="K713" s="20"/>
      <c r="L713" s="20"/>
      <c r="M713" s="20"/>
      <c r="N713" s="20"/>
      <c r="O713" s="20"/>
      <c r="P713" s="20"/>
      <c r="Q713" s="20"/>
      <c r="R713" s="20"/>
      <c r="S713" s="20"/>
      <c r="T713" s="20"/>
      <c r="U713" s="20"/>
      <c r="V713" s="20"/>
      <c r="W713" s="20"/>
      <c r="X713" s="20"/>
      <c r="Y713" s="20"/>
      <c r="Z713" s="20"/>
      <c r="AA713" s="20"/>
    </row>
    <row r="714" spans="4:27" ht="17.25" customHeight="1">
      <c r="D714" s="57"/>
      <c r="E714" s="57"/>
      <c r="F714" s="58"/>
      <c r="G714" s="58"/>
      <c r="H714" s="58"/>
      <c r="I714" s="58"/>
      <c r="J714" s="31"/>
      <c r="K714" s="20"/>
      <c r="L714" s="20"/>
      <c r="M714" s="20"/>
      <c r="N714" s="20"/>
      <c r="O714" s="20"/>
      <c r="P714" s="20"/>
      <c r="Q714" s="20"/>
      <c r="R714" s="20"/>
      <c r="S714" s="20"/>
      <c r="T714" s="20"/>
      <c r="U714" s="20"/>
      <c r="V714" s="20"/>
      <c r="W714" s="20"/>
      <c r="X714" s="20"/>
      <c r="Y714" s="20"/>
      <c r="Z714" s="20"/>
      <c r="AA714" s="20"/>
    </row>
    <row r="715" spans="4:27" ht="17.25" customHeight="1">
      <c r="D715" s="57"/>
      <c r="E715" s="57"/>
      <c r="F715" s="58"/>
      <c r="G715" s="58"/>
      <c r="H715" s="58"/>
      <c r="I715" s="58"/>
      <c r="J715" s="31"/>
      <c r="K715" s="20"/>
      <c r="L715" s="20"/>
      <c r="M715" s="20"/>
      <c r="N715" s="20"/>
      <c r="O715" s="20"/>
      <c r="P715" s="20"/>
      <c r="Q715" s="20"/>
      <c r="R715" s="20"/>
      <c r="S715" s="20"/>
      <c r="T715" s="20"/>
      <c r="U715" s="20"/>
      <c r="V715" s="20"/>
      <c r="W715" s="20"/>
      <c r="X715" s="20"/>
      <c r="Y715" s="20"/>
      <c r="Z715" s="20"/>
      <c r="AA715" s="20"/>
    </row>
    <row r="716" spans="4:27" ht="17.25" customHeight="1">
      <c r="D716" s="57"/>
      <c r="E716" s="57"/>
      <c r="F716" s="58"/>
      <c r="G716" s="58"/>
      <c r="H716" s="58"/>
      <c r="I716" s="58"/>
      <c r="J716" s="31"/>
      <c r="K716" s="20"/>
      <c r="L716" s="20"/>
      <c r="M716" s="20"/>
      <c r="N716" s="20"/>
      <c r="O716" s="20"/>
      <c r="P716" s="20"/>
      <c r="Q716" s="20"/>
      <c r="R716" s="20"/>
      <c r="S716" s="20"/>
      <c r="T716" s="20"/>
      <c r="U716" s="20"/>
      <c r="V716" s="20"/>
      <c r="W716" s="20"/>
      <c r="X716" s="20"/>
      <c r="Y716" s="20"/>
      <c r="Z716" s="20"/>
      <c r="AA716" s="20"/>
    </row>
    <row r="717" spans="4:27" ht="17.25" customHeight="1">
      <c r="D717" s="57"/>
      <c r="E717" s="57"/>
      <c r="F717" s="58"/>
      <c r="G717" s="58"/>
      <c r="H717" s="58"/>
      <c r="I717" s="58"/>
      <c r="J717" s="31"/>
      <c r="K717" s="20"/>
      <c r="L717" s="20"/>
      <c r="M717" s="20"/>
      <c r="N717" s="20"/>
      <c r="O717" s="20"/>
      <c r="P717" s="20"/>
      <c r="Q717" s="20"/>
      <c r="R717" s="20"/>
      <c r="S717" s="20"/>
      <c r="T717" s="20"/>
      <c r="U717" s="20"/>
      <c r="V717" s="20"/>
      <c r="W717" s="20"/>
      <c r="X717" s="20"/>
      <c r="Y717" s="20"/>
      <c r="Z717" s="20"/>
      <c r="AA717" s="20"/>
    </row>
    <row r="718" spans="4:27" ht="17.25" customHeight="1">
      <c r="D718" s="57"/>
      <c r="E718" s="57"/>
      <c r="F718" s="58"/>
      <c r="G718" s="58"/>
      <c r="H718" s="58"/>
      <c r="I718" s="58"/>
      <c r="J718" s="31"/>
      <c r="K718" s="20"/>
      <c r="L718" s="20"/>
      <c r="M718" s="20"/>
      <c r="N718" s="20"/>
      <c r="O718" s="20"/>
      <c r="P718" s="20"/>
      <c r="Q718" s="20"/>
      <c r="R718" s="20"/>
      <c r="S718" s="20"/>
      <c r="T718" s="20"/>
      <c r="U718" s="20"/>
      <c r="V718" s="20"/>
      <c r="W718" s="20"/>
      <c r="X718" s="20"/>
      <c r="Y718" s="20"/>
      <c r="Z718" s="20"/>
      <c r="AA718" s="20"/>
    </row>
    <row r="719" spans="4:27" ht="17.25" customHeight="1">
      <c r="D719" s="57"/>
      <c r="E719" s="57"/>
      <c r="F719" s="58"/>
      <c r="G719" s="58"/>
      <c r="H719" s="58"/>
      <c r="I719" s="58"/>
      <c r="J719" s="31"/>
      <c r="K719" s="20"/>
      <c r="L719" s="20"/>
      <c r="M719" s="20"/>
      <c r="N719" s="20"/>
      <c r="O719" s="20"/>
      <c r="P719" s="20"/>
      <c r="Q719" s="20"/>
      <c r="R719" s="20"/>
      <c r="S719" s="20"/>
      <c r="T719" s="20"/>
      <c r="U719" s="20"/>
      <c r="V719" s="20"/>
      <c r="W719" s="20"/>
      <c r="X719" s="20"/>
      <c r="Y719" s="20"/>
      <c r="Z719" s="20"/>
      <c r="AA719" s="20"/>
    </row>
    <row r="720" spans="4:27" ht="17.25" customHeight="1">
      <c r="D720" s="57"/>
      <c r="E720" s="57"/>
      <c r="F720" s="58"/>
      <c r="G720" s="58"/>
      <c r="H720" s="58"/>
      <c r="I720" s="58"/>
      <c r="J720" s="31"/>
      <c r="K720" s="20"/>
      <c r="L720" s="20"/>
      <c r="M720" s="20"/>
      <c r="N720" s="20"/>
      <c r="O720" s="20"/>
      <c r="P720" s="20"/>
      <c r="Q720" s="20"/>
      <c r="R720" s="20"/>
      <c r="S720" s="20"/>
      <c r="T720" s="20"/>
      <c r="U720" s="20"/>
      <c r="V720" s="20"/>
      <c r="W720" s="20"/>
      <c r="X720" s="20"/>
      <c r="Y720" s="20"/>
      <c r="Z720" s="20"/>
      <c r="AA720" s="20"/>
    </row>
    <row r="721" spans="4:27" ht="17.25" customHeight="1">
      <c r="D721" s="57"/>
      <c r="E721" s="57"/>
      <c r="F721" s="58"/>
      <c r="G721" s="58"/>
      <c r="H721" s="58"/>
      <c r="I721" s="58"/>
      <c r="J721" s="31"/>
      <c r="K721" s="20"/>
      <c r="L721" s="20"/>
      <c r="M721" s="20"/>
      <c r="N721" s="20"/>
      <c r="O721" s="20"/>
      <c r="P721" s="20"/>
      <c r="Q721" s="20"/>
      <c r="R721" s="20"/>
      <c r="S721" s="20"/>
      <c r="T721" s="20"/>
      <c r="U721" s="20"/>
      <c r="V721" s="20"/>
      <c r="W721" s="20"/>
      <c r="X721" s="20"/>
      <c r="Y721" s="20"/>
      <c r="Z721" s="20"/>
      <c r="AA721" s="20"/>
    </row>
    <row r="722" spans="4:27" ht="17.25" customHeight="1">
      <c r="D722" s="57"/>
      <c r="E722" s="57"/>
      <c r="F722" s="58"/>
      <c r="G722" s="58"/>
      <c r="H722" s="58"/>
      <c r="I722" s="58"/>
      <c r="J722" s="31"/>
      <c r="K722" s="20"/>
      <c r="L722" s="20"/>
      <c r="M722" s="20"/>
      <c r="N722" s="20"/>
      <c r="O722" s="20"/>
      <c r="P722" s="20"/>
      <c r="Q722" s="20"/>
      <c r="R722" s="20"/>
      <c r="S722" s="20"/>
      <c r="T722" s="20"/>
      <c r="U722" s="20"/>
      <c r="V722" s="20"/>
      <c r="W722" s="20"/>
      <c r="X722" s="20"/>
      <c r="Y722" s="20"/>
      <c r="Z722" s="20"/>
      <c r="AA722" s="20"/>
    </row>
    <row r="723" spans="4:27" ht="17.25" customHeight="1">
      <c r="D723" s="57"/>
      <c r="E723" s="57"/>
      <c r="F723" s="58"/>
      <c r="G723" s="58"/>
      <c r="H723" s="58"/>
      <c r="I723" s="58"/>
      <c r="J723" s="31"/>
      <c r="K723" s="20"/>
      <c r="L723" s="20"/>
      <c r="M723" s="20"/>
      <c r="N723" s="20"/>
      <c r="O723" s="20"/>
      <c r="P723" s="20"/>
      <c r="Q723" s="20"/>
      <c r="R723" s="20"/>
      <c r="S723" s="20"/>
      <c r="T723" s="20"/>
      <c r="U723" s="20"/>
      <c r="V723" s="20"/>
      <c r="W723" s="20"/>
      <c r="X723" s="20"/>
      <c r="Y723" s="20"/>
      <c r="Z723" s="20"/>
      <c r="AA723" s="20"/>
    </row>
    <row r="724" spans="4:27" ht="17.25" customHeight="1">
      <c r="D724" s="57"/>
      <c r="E724" s="57"/>
      <c r="F724" s="58"/>
      <c r="G724" s="58"/>
      <c r="H724" s="58"/>
      <c r="I724" s="58"/>
      <c r="J724" s="31"/>
      <c r="K724" s="20"/>
      <c r="L724" s="20"/>
      <c r="M724" s="20"/>
      <c r="N724" s="20"/>
      <c r="O724" s="20"/>
      <c r="P724" s="20"/>
      <c r="Q724" s="20"/>
      <c r="R724" s="20"/>
      <c r="S724" s="20"/>
      <c r="T724" s="20"/>
      <c r="U724" s="20"/>
      <c r="V724" s="20"/>
      <c r="W724" s="20"/>
      <c r="X724" s="20"/>
      <c r="Y724" s="20"/>
      <c r="Z724" s="20"/>
      <c r="AA724" s="20"/>
    </row>
    <row r="725" spans="4:27" ht="17.25" customHeight="1">
      <c r="D725" s="57"/>
      <c r="E725" s="57"/>
      <c r="F725" s="58"/>
      <c r="G725" s="58"/>
      <c r="H725" s="58"/>
      <c r="I725" s="58"/>
      <c r="J725" s="31"/>
      <c r="K725" s="20"/>
      <c r="L725" s="20"/>
      <c r="M725" s="20"/>
      <c r="N725" s="20"/>
      <c r="O725" s="20"/>
      <c r="P725" s="20"/>
      <c r="Q725" s="20"/>
      <c r="R725" s="20"/>
      <c r="S725" s="20"/>
      <c r="T725" s="20"/>
      <c r="U725" s="20"/>
      <c r="V725" s="20"/>
      <c r="W725" s="20"/>
      <c r="X725" s="20"/>
      <c r="Y725" s="20"/>
      <c r="Z725" s="20"/>
      <c r="AA725" s="20"/>
    </row>
    <row r="726" spans="4:27" ht="17.25" customHeight="1">
      <c r="D726" s="57"/>
      <c r="E726" s="57"/>
      <c r="F726" s="58"/>
      <c r="G726" s="58"/>
      <c r="H726" s="58"/>
      <c r="I726" s="58"/>
      <c r="J726" s="31"/>
      <c r="K726" s="20"/>
      <c r="L726" s="20"/>
      <c r="M726" s="20"/>
      <c r="N726" s="20"/>
      <c r="O726" s="20"/>
      <c r="P726" s="20"/>
      <c r="Q726" s="20"/>
      <c r="R726" s="20"/>
      <c r="S726" s="20"/>
      <c r="T726" s="20"/>
      <c r="U726" s="20"/>
      <c r="V726" s="20"/>
      <c r="W726" s="20"/>
      <c r="X726" s="20"/>
      <c r="Y726" s="20"/>
      <c r="Z726" s="20"/>
      <c r="AA726" s="20"/>
    </row>
    <row r="727" spans="4:27" ht="17.25" customHeight="1">
      <c r="D727" s="57"/>
      <c r="E727" s="57"/>
      <c r="F727" s="58"/>
      <c r="G727" s="58"/>
      <c r="H727" s="58"/>
      <c r="I727" s="58"/>
      <c r="J727" s="31"/>
      <c r="K727" s="20"/>
      <c r="L727" s="20"/>
      <c r="M727" s="20"/>
      <c r="N727" s="20"/>
      <c r="O727" s="20"/>
      <c r="P727" s="20"/>
      <c r="Q727" s="20"/>
      <c r="R727" s="20"/>
      <c r="S727" s="20"/>
      <c r="T727" s="20"/>
      <c r="U727" s="20"/>
      <c r="V727" s="20"/>
      <c r="W727" s="20"/>
      <c r="X727" s="20"/>
      <c r="Y727" s="20"/>
      <c r="Z727" s="20"/>
      <c r="AA727" s="20"/>
    </row>
    <row r="728" spans="4:27" ht="17.25" customHeight="1">
      <c r="D728" s="57"/>
      <c r="E728" s="57"/>
      <c r="F728" s="58"/>
      <c r="G728" s="58"/>
      <c r="H728" s="58"/>
      <c r="I728" s="58"/>
      <c r="J728" s="31"/>
      <c r="K728" s="20"/>
      <c r="L728" s="20"/>
      <c r="M728" s="20"/>
      <c r="N728" s="20"/>
      <c r="O728" s="20"/>
      <c r="P728" s="20"/>
      <c r="Q728" s="20"/>
      <c r="R728" s="20"/>
      <c r="S728" s="20"/>
      <c r="T728" s="20"/>
      <c r="U728" s="20"/>
      <c r="V728" s="20"/>
      <c r="W728" s="20"/>
      <c r="X728" s="20"/>
      <c r="Y728" s="20"/>
      <c r="Z728" s="20"/>
      <c r="AA728" s="20"/>
    </row>
    <row r="729" spans="4:27" ht="17.25" customHeight="1">
      <c r="D729" s="57"/>
      <c r="E729" s="57"/>
      <c r="F729" s="58"/>
      <c r="G729" s="58"/>
      <c r="H729" s="58"/>
      <c r="I729" s="58"/>
      <c r="J729" s="31"/>
      <c r="K729" s="20"/>
      <c r="L729" s="20"/>
      <c r="M729" s="20"/>
      <c r="N729" s="20"/>
      <c r="O729" s="20"/>
      <c r="P729" s="20"/>
      <c r="Q729" s="20"/>
      <c r="R729" s="20"/>
      <c r="S729" s="20"/>
      <c r="T729" s="20"/>
      <c r="U729" s="20"/>
      <c r="V729" s="20"/>
      <c r="W729" s="20"/>
      <c r="X729" s="20"/>
      <c r="Y729" s="20"/>
      <c r="Z729" s="20"/>
      <c r="AA729" s="20"/>
    </row>
    <row r="730" spans="4:27" ht="17.25" customHeight="1">
      <c r="D730" s="57"/>
      <c r="E730" s="57"/>
      <c r="F730" s="58"/>
      <c r="G730" s="58"/>
      <c r="H730" s="58"/>
      <c r="I730" s="58"/>
      <c r="J730" s="31"/>
      <c r="K730" s="20"/>
      <c r="L730" s="20"/>
      <c r="M730" s="20"/>
      <c r="N730" s="20"/>
      <c r="O730" s="20"/>
      <c r="P730" s="20"/>
      <c r="Q730" s="20"/>
      <c r="R730" s="20"/>
      <c r="S730" s="20"/>
      <c r="T730" s="20"/>
      <c r="U730" s="20"/>
      <c r="V730" s="20"/>
      <c r="W730" s="20"/>
      <c r="X730" s="20"/>
      <c r="Y730" s="20"/>
      <c r="Z730" s="20"/>
      <c r="AA730" s="20"/>
    </row>
    <row r="731" spans="4:27" ht="17.25" customHeight="1">
      <c r="D731" s="57"/>
      <c r="E731" s="57"/>
      <c r="F731" s="58"/>
      <c r="G731" s="58"/>
      <c r="H731" s="58"/>
      <c r="I731" s="58"/>
      <c r="J731" s="31"/>
      <c r="K731" s="20"/>
      <c r="L731" s="20"/>
      <c r="M731" s="20"/>
      <c r="N731" s="20"/>
      <c r="O731" s="20"/>
      <c r="P731" s="20"/>
      <c r="Q731" s="20"/>
      <c r="R731" s="20"/>
      <c r="S731" s="20"/>
      <c r="T731" s="20"/>
      <c r="U731" s="20"/>
      <c r="V731" s="20"/>
      <c r="W731" s="20"/>
      <c r="X731" s="20"/>
      <c r="Y731" s="20"/>
      <c r="Z731" s="20"/>
      <c r="AA731" s="20"/>
    </row>
    <row r="732" spans="4:27" ht="17.25" customHeight="1">
      <c r="D732" s="57"/>
      <c r="E732" s="57"/>
      <c r="F732" s="58"/>
      <c r="G732" s="58"/>
      <c r="H732" s="58"/>
      <c r="I732" s="58"/>
      <c r="J732" s="31"/>
      <c r="K732" s="20"/>
      <c r="L732" s="20"/>
      <c r="M732" s="20"/>
      <c r="N732" s="20"/>
      <c r="O732" s="20"/>
      <c r="P732" s="20"/>
      <c r="Q732" s="20"/>
      <c r="R732" s="20"/>
      <c r="S732" s="20"/>
      <c r="T732" s="20"/>
      <c r="U732" s="20"/>
      <c r="V732" s="20"/>
      <c r="W732" s="20"/>
      <c r="X732" s="20"/>
      <c r="Y732" s="20"/>
      <c r="Z732" s="20"/>
      <c r="AA732" s="20"/>
    </row>
    <row r="733" spans="4:27" ht="17.25" customHeight="1">
      <c r="D733" s="57"/>
      <c r="E733" s="57"/>
      <c r="F733" s="58"/>
      <c r="G733" s="58"/>
      <c r="H733" s="58"/>
      <c r="I733" s="58"/>
      <c r="J733" s="31"/>
      <c r="K733" s="20"/>
      <c r="L733" s="20"/>
      <c r="M733" s="20"/>
      <c r="N733" s="20"/>
      <c r="O733" s="20"/>
      <c r="P733" s="20"/>
      <c r="Q733" s="20"/>
      <c r="R733" s="20"/>
      <c r="S733" s="20"/>
      <c r="T733" s="20"/>
      <c r="U733" s="20"/>
      <c r="V733" s="20"/>
      <c r="W733" s="20"/>
      <c r="X733" s="20"/>
      <c r="Y733" s="20"/>
      <c r="Z733" s="20"/>
      <c r="AA733" s="20"/>
    </row>
    <row r="734" spans="4:27" ht="17.25" customHeight="1">
      <c r="D734" s="57"/>
      <c r="E734" s="57"/>
      <c r="F734" s="58"/>
      <c r="G734" s="58"/>
      <c r="H734" s="58"/>
      <c r="I734" s="58"/>
      <c r="J734" s="31"/>
      <c r="K734" s="20"/>
      <c r="L734" s="20"/>
      <c r="M734" s="20"/>
      <c r="N734" s="20"/>
      <c r="O734" s="20"/>
      <c r="P734" s="20"/>
      <c r="Q734" s="20"/>
      <c r="R734" s="20"/>
      <c r="S734" s="20"/>
      <c r="T734" s="20"/>
      <c r="U734" s="20"/>
      <c r="V734" s="20"/>
      <c r="W734" s="20"/>
      <c r="X734" s="20"/>
      <c r="Y734" s="20"/>
      <c r="Z734" s="20"/>
      <c r="AA734" s="20"/>
    </row>
    <row r="735" spans="4:27" ht="17.25" customHeight="1">
      <c r="D735" s="57"/>
      <c r="E735" s="57"/>
      <c r="F735" s="58"/>
      <c r="G735" s="58"/>
      <c r="H735" s="58"/>
      <c r="I735" s="58"/>
      <c r="J735" s="31"/>
      <c r="K735" s="20"/>
      <c r="L735" s="20"/>
      <c r="M735" s="20"/>
      <c r="N735" s="20"/>
      <c r="O735" s="20"/>
      <c r="P735" s="20"/>
      <c r="Q735" s="20"/>
      <c r="R735" s="20"/>
      <c r="S735" s="20"/>
      <c r="T735" s="20"/>
      <c r="U735" s="20"/>
      <c r="V735" s="20"/>
      <c r="W735" s="20"/>
      <c r="X735" s="20"/>
      <c r="Y735" s="20"/>
      <c r="Z735" s="20"/>
      <c r="AA735" s="20"/>
    </row>
    <row r="736" spans="4:27" ht="17.25" customHeight="1">
      <c r="D736" s="57"/>
      <c r="E736" s="57"/>
      <c r="F736" s="58"/>
      <c r="G736" s="58"/>
      <c r="H736" s="58"/>
      <c r="I736" s="58"/>
      <c r="J736" s="31"/>
      <c r="K736" s="20"/>
      <c r="L736" s="20"/>
      <c r="M736" s="20"/>
      <c r="N736" s="20"/>
      <c r="O736" s="20"/>
      <c r="P736" s="20"/>
      <c r="Q736" s="20"/>
      <c r="R736" s="20"/>
      <c r="S736" s="20"/>
      <c r="T736" s="20"/>
      <c r="U736" s="20"/>
      <c r="V736" s="20"/>
      <c r="W736" s="20"/>
      <c r="X736" s="20"/>
      <c r="Y736" s="20"/>
      <c r="Z736" s="20"/>
      <c r="AA736" s="20"/>
    </row>
    <row r="737" spans="4:27" ht="17.25" customHeight="1">
      <c r="D737" s="57"/>
      <c r="E737" s="57"/>
      <c r="F737" s="58"/>
      <c r="G737" s="58"/>
      <c r="H737" s="58"/>
      <c r="I737" s="58"/>
      <c r="J737" s="31"/>
      <c r="K737" s="20"/>
      <c r="L737" s="20"/>
      <c r="M737" s="20"/>
      <c r="N737" s="20"/>
      <c r="O737" s="20"/>
      <c r="P737" s="20"/>
      <c r="Q737" s="20"/>
      <c r="R737" s="20"/>
      <c r="S737" s="20"/>
      <c r="T737" s="20"/>
      <c r="U737" s="20"/>
      <c r="V737" s="20"/>
      <c r="W737" s="20"/>
      <c r="X737" s="20"/>
      <c r="Y737" s="20"/>
      <c r="Z737" s="20"/>
      <c r="AA737" s="20"/>
    </row>
    <row r="738" spans="4:27" ht="17.25" customHeight="1">
      <c r="D738" s="57"/>
      <c r="E738" s="57"/>
      <c r="F738" s="58"/>
      <c r="G738" s="58"/>
      <c r="H738" s="58"/>
      <c r="I738" s="58"/>
      <c r="J738" s="31"/>
      <c r="K738" s="20"/>
      <c r="L738" s="20"/>
      <c r="M738" s="20"/>
      <c r="N738" s="20"/>
      <c r="O738" s="20"/>
      <c r="P738" s="20"/>
      <c r="Q738" s="20"/>
      <c r="R738" s="20"/>
      <c r="S738" s="20"/>
      <c r="T738" s="20"/>
      <c r="U738" s="20"/>
      <c r="V738" s="20"/>
      <c r="W738" s="20"/>
      <c r="X738" s="20"/>
      <c r="Y738" s="20"/>
      <c r="Z738" s="20"/>
      <c r="AA738" s="20"/>
    </row>
    <row r="739" spans="4:27" ht="17.25" customHeight="1">
      <c r="D739" s="57"/>
      <c r="E739" s="57"/>
      <c r="F739" s="58"/>
      <c r="G739" s="58"/>
      <c r="H739" s="58"/>
      <c r="I739" s="58"/>
      <c r="J739" s="31"/>
      <c r="K739" s="20"/>
      <c r="L739" s="20"/>
      <c r="M739" s="20"/>
      <c r="N739" s="20"/>
      <c r="O739" s="20"/>
      <c r="P739" s="20"/>
      <c r="Q739" s="20"/>
      <c r="R739" s="20"/>
      <c r="S739" s="20"/>
      <c r="T739" s="20"/>
      <c r="U739" s="20"/>
      <c r="V739" s="20"/>
      <c r="W739" s="20"/>
      <c r="X739" s="20"/>
      <c r="Y739" s="20"/>
      <c r="Z739" s="20"/>
      <c r="AA739" s="20"/>
    </row>
    <row r="740" spans="4:27" ht="17.25" customHeight="1">
      <c r="D740" s="57"/>
      <c r="E740" s="57"/>
      <c r="F740" s="58"/>
      <c r="G740" s="58"/>
      <c r="H740" s="58"/>
      <c r="I740" s="58"/>
      <c r="J740" s="31"/>
      <c r="K740" s="20"/>
      <c r="L740" s="20"/>
      <c r="M740" s="20"/>
      <c r="N740" s="20"/>
      <c r="O740" s="20"/>
      <c r="P740" s="20"/>
      <c r="Q740" s="20"/>
      <c r="R740" s="20"/>
      <c r="S740" s="20"/>
      <c r="T740" s="20"/>
      <c r="U740" s="20"/>
      <c r="V740" s="20"/>
      <c r="W740" s="20"/>
      <c r="X740" s="20"/>
      <c r="Y740" s="20"/>
      <c r="Z740" s="20"/>
      <c r="AA740" s="20"/>
    </row>
    <row r="741" spans="4:27" ht="17.25" customHeight="1">
      <c r="D741" s="57"/>
      <c r="E741" s="57"/>
      <c r="F741" s="58"/>
      <c r="G741" s="58"/>
      <c r="H741" s="58"/>
      <c r="I741" s="58"/>
      <c r="J741" s="31"/>
      <c r="K741" s="20"/>
      <c r="L741" s="20"/>
      <c r="M741" s="20"/>
      <c r="N741" s="20"/>
      <c r="O741" s="20"/>
      <c r="P741" s="20"/>
      <c r="Q741" s="20"/>
      <c r="R741" s="20"/>
      <c r="S741" s="20"/>
      <c r="T741" s="20"/>
      <c r="U741" s="20"/>
      <c r="V741" s="20"/>
      <c r="W741" s="20"/>
      <c r="X741" s="20"/>
      <c r="Y741" s="20"/>
      <c r="Z741" s="20"/>
      <c r="AA741" s="20"/>
    </row>
    <row r="742" spans="4:27" ht="17.25" customHeight="1">
      <c r="D742" s="57"/>
      <c r="E742" s="57"/>
      <c r="F742" s="58"/>
      <c r="G742" s="58"/>
      <c r="H742" s="58"/>
      <c r="I742" s="58"/>
      <c r="J742" s="31"/>
      <c r="K742" s="20"/>
      <c r="L742" s="20"/>
      <c r="M742" s="20"/>
      <c r="N742" s="20"/>
      <c r="O742" s="20"/>
      <c r="P742" s="20"/>
      <c r="Q742" s="20"/>
      <c r="R742" s="20"/>
      <c r="S742" s="20"/>
      <c r="T742" s="20"/>
      <c r="U742" s="20"/>
      <c r="V742" s="20"/>
      <c r="W742" s="20"/>
      <c r="X742" s="20"/>
      <c r="Y742" s="20"/>
      <c r="Z742" s="20"/>
      <c r="AA742" s="20"/>
    </row>
    <row r="743" spans="4:27" ht="17.25" customHeight="1">
      <c r="D743" s="57"/>
      <c r="E743" s="57"/>
      <c r="F743" s="58"/>
      <c r="G743" s="58"/>
      <c r="H743" s="58"/>
      <c r="I743" s="58"/>
      <c r="J743" s="31"/>
      <c r="K743" s="20"/>
      <c r="L743" s="20"/>
      <c r="M743" s="20"/>
      <c r="N743" s="20"/>
      <c r="O743" s="20"/>
      <c r="P743" s="20"/>
      <c r="Q743" s="20"/>
      <c r="R743" s="20"/>
      <c r="S743" s="20"/>
      <c r="T743" s="20"/>
      <c r="U743" s="20"/>
      <c r="V743" s="20"/>
      <c r="W743" s="20"/>
      <c r="X743" s="20"/>
      <c r="Y743" s="20"/>
      <c r="Z743" s="20"/>
      <c r="AA743" s="20"/>
    </row>
    <row r="744" spans="4:27" ht="17.25" customHeight="1">
      <c r="D744" s="57"/>
      <c r="E744" s="57"/>
      <c r="F744" s="58"/>
      <c r="G744" s="58"/>
      <c r="H744" s="58"/>
      <c r="I744" s="58"/>
      <c r="J744" s="31"/>
      <c r="K744" s="20"/>
      <c r="L744" s="20"/>
      <c r="M744" s="20"/>
      <c r="N744" s="20"/>
      <c r="O744" s="20"/>
      <c r="P744" s="20"/>
      <c r="Q744" s="20"/>
      <c r="R744" s="20"/>
      <c r="S744" s="20"/>
      <c r="T744" s="20"/>
      <c r="U744" s="20"/>
      <c r="V744" s="20"/>
      <c r="W744" s="20"/>
      <c r="X744" s="20"/>
      <c r="Y744" s="20"/>
      <c r="Z744" s="20"/>
      <c r="AA744" s="20"/>
    </row>
    <row r="745" spans="4:27" ht="17.25" customHeight="1">
      <c r="D745" s="57"/>
      <c r="E745" s="57"/>
      <c r="F745" s="58"/>
      <c r="G745" s="58"/>
      <c r="H745" s="58"/>
      <c r="I745" s="58"/>
      <c r="J745" s="31"/>
      <c r="K745" s="20"/>
      <c r="L745" s="20"/>
      <c r="M745" s="20"/>
      <c r="N745" s="20"/>
      <c r="O745" s="20"/>
      <c r="P745" s="20"/>
      <c r="Q745" s="20"/>
      <c r="R745" s="20"/>
      <c r="S745" s="20"/>
      <c r="T745" s="20"/>
      <c r="U745" s="20"/>
      <c r="V745" s="20"/>
      <c r="W745" s="20"/>
      <c r="X745" s="20"/>
      <c r="Y745" s="20"/>
      <c r="Z745" s="20"/>
      <c r="AA745" s="20"/>
    </row>
    <row r="746" spans="4:27" ht="17.25" customHeight="1">
      <c r="D746" s="57"/>
      <c r="E746" s="57"/>
      <c r="F746" s="58"/>
      <c r="G746" s="58"/>
      <c r="H746" s="58"/>
      <c r="I746" s="58"/>
      <c r="J746" s="31"/>
      <c r="K746" s="20"/>
      <c r="L746" s="20"/>
      <c r="M746" s="20"/>
      <c r="N746" s="20"/>
      <c r="O746" s="20"/>
      <c r="P746" s="20"/>
      <c r="Q746" s="20"/>
      <c r="R746" s="20"/>
      <c r="S746" s="20"/>
      <c r="T746" s="20"/>
      <c r="U746" s="20"/>
      <c r="V746" s="20"/>
      <c r="W746" s="20"/>
      <c r="X746" s="20"/>
      <c r="Y746" s="20"/>
      <c r="Z746" s="20"/>
      <c r="AA746" s="20"/>
    </row>
    <row r="747" spans="4:27" ht="17.25" customHeight="1">
      <c r="D747" s="57"/>
      <c r="E747" s="57"/>
      <c r="F747" s="58"/>
      <c r="G747" s="58"/>
      <c r="H747" s="58"/>
      <c r="I747" s="58"/>
      <c r="J747" s="31"/>
      <c r="K747" s="20"/>
      <c r="L747" s="20"/>
      <c r="M747" s="20"/>
      <c r="N747" s="20"/>
      <c r="O747" s="20"/>
      <c r="P747" s="20"/>
      <c r="Q747" s="20"/>
      <c r="R747" s="20"/>
      <c r="S747" s="20"/>
      <c r="T747" s="20"/>
      <c r="U747" s="20"/>
      <c r="V747" s="20"/>
      <c r="W747" s="20"/>
      <c r="X747" s="20"/>
      <c r="Y747" s="20"/>
      <c r="Z747" s="20"/>
      <c r="AA747" s="20"/>
    </row>
    <row r="748" spans="4:27" ht="17.25" customHeight="1">
      <c r="D748" s="57"/>
      <c r="E748" s="57"/>
      <c r="F748" s="58"/>
      <c r="G748" s="58"/>
      <c r="H748" s="58"/>
      <c r="I748" s="58"/>
      <c r="J748" s="31"/>
      <c r="K748" s="20"/>
      <c r="L748" s="20"/>
      <c r="M748" s="20"/>
      <c r="N748" s="20"/>
      <c r="O748" s="20"/>
      <c r="P748" s="20"/>
      <c r="Q748" s="20"/>
      <c r="R748" s="20"/>
      <c r="S748" s="20"/>
      <c r="T748" s="20"/>
      <c r="U748" s="20"/>
      <c r="V748" s="20"/>
      <c r="W748" s="20"/>
      <c r="X748" s="20"/>
      <c r="Y748" s="20"/>
      <c r="Z748" s="20"/>
      <c r="AA748" s="20"/>
    </row>
    <row r="749" spans="4:27" ht="17.25" customHeight="1">
      <c r="D749" s="57"/>
      <c r="E749" s="57"/>
      <c r="F749" s="58"/>
      <c r="G749" s="58"/>
      <c r="H749" s="58"/>
      <c r="I749" s="58"/>
      <c r="J749" s="31"/>
      <c r="K749" s="20"/>
      <c r="L749" s="20"/>
      <c r="M749" s="20"/>
      <c r="N749" s="20"/>
      <c r="O749" s="20"/>
      <c r="P749" s="20"/>
      <c r="Q749" s="20"/>
      <c r="R749" s="20"/>
      <c r="S749" s="20"/>
      <c r="T749" s="20"/>
      <c r="U749" s="20"/>
      <c r="V749" s="20"/>
      <c r="W749" s="20"/>
      <c r="X749" s="20"/>
      <c r="Y749" s="20"/>
      <c r="Z749" s="20"/>
      <c r="AA749" s="20"/>
    </row>
    <row r="750" spans="4:27" ht="17.25" customHeight="1">
      <c r="D750" s="57"/>
      <c r="E750" s="57"/>
      <c r="F750" s="58"/>
      <c r="G750" s="58"/>
      <c r="H750" s="58"/>
      <c r="I750" s="58"/>
      <c r="J750" s="31"/>
      <c r="K750" s="20"/>
      <c r="L750" s="20"/>
      <c r="M750" s="20"/>
      <c r="N750" s="20"/>
      <c r="O750" s="20"/>
      <c r="P750" s="20"/>
      <c r="Q750" s="20"/>
      <c r="R750" s="20"/>
      <c r="S750" s="20"/>
      <c r="T750" s="20"/>
      <c r="U750" s="20"/>
      <c r="V750" s="20"/>
      <c r="W750" s="20"/>
      <c r="X750" s="20"/>
      <c r="Y750" s="20"/>
      <c r="Z750" s="20"/>
      <c r="AA750" s="20"/>
    </row>
    <row r="751" spans="4:27" ht="17.25" customHeight="1">
      <c r="D751" s="57"/>
      <c r="E751" s="57"/>
      <c r="F751" s="58"/>
      <c r="G751" s="58"/>
      <c r="H751" s="58"/>
      <c r="I751" s="58"/>
      <c r="J751" s="31"/>
      <c r="K751" s="20"/>
      <c r="L751" s="20"/>
      <c r="M751" s="20"/>
      <c r="N751" s="20"/>
      <c r="O751" s="20"/>
      <c r="P751" s="20"/>
      <c r="Q751" s="20"/>
      <c r="R751" s="20"/>
      <c r="S751" s="20"/>
      <c r="T751" s="20"/>
      <c r="U751" s="20"/>
      <c r="V751" s="20"/>
      <c r="W751" s="20"/>
      <c r="X751" s="20"/>
      <c r="Y751" s="20"/>
      <c r="Z751" s="20"/>
      <c r="AA751" s="20"/>
    </row>
    <row r="752" spans="4:27" ht="17.25" customHeight="1">
      <c r="D752" s="57"/>
      <c r="E752" s="57"/>
      <c r="F752" s="58"/>
      <c r="G752" s="58"/>
      <c r="H752" s="58"/>
      <c r="I752" s="58"/>
      <c r="J752" s="31"/>
      <c r="K752" s="20"/>
      <c r="L752" s="20"/>
      <c r="M752" s="20"/>
      <c r="N752" s="20"/>
      <c r="O752" s="20"/>
      <c r="P752" s="20"/>
      <c r="Q752" s="20"/>
      <c r="R752" s="20"/>
      <c r="S752" s="20"/>
      <c r="T752" s="20"/>
      <c r="U752" s="20"/>
      <c r="V752" s="20"/>
      <c r="W752" s="20"/>
      <c r="X752" s="20"/>
      <c r="Y752" s="20"/>
      <c r="Z752" s="20"/>
      <c r="AA752" s="20"/>
    </row>
    <row r="753" spans="4:27" ht="17.25" customHeight="1">
      <c r="D753" s="57"/>
      <c r="E753" s="57"/>
      <c r="F753" s="58"/>
      <c r="G753" s="58"/>
      <c r="H753" s="58"/>
      <c r="I753" s="58"/>
      <c r="J753" s="31"/>
      <c r="K753" s="20"/>
      <c r="L753" s="20"/>
      <c r="M753" s="20"/>
      <c r="N753" s="20"/>
      <c r="O753" s="20"/>
      <c r="P753" s="20"/>
      <c r="Q753" s="20"/>
      <c r="R753" s="20"/>
      <c r="S753" s="20"/>
      <c r="T753" s="20"/>
      <c r="U753" s="20"/>
      <c r="V753" s="20"/>
      <c r="W753" s="20"/>
      <c r="X753" s="20"/>
      <c r="Y753" s="20"/>
      <c r="Z753" s="20"/>
      <c r="AA753" s="20"/>
    </row>
    <row r="754" spans="4:27" ht="17.25" customHeight="1">
      <c r="D754" s="57"/>
      <c r="E754" s="57"/>
      <c r="F754" s="58"/>
      <c r="G754" s="58"/>
      <c r="H754" s="58"/>
      <c r="I754" s="58"/>
      <c r="J754" s="31"/>
      <c r="K754" s="20"/>
      <c r="L754" s="20"/>
      <c r="M754" s="20"/>
      <c r="N754" s="20"/>
      <c r="O754" s="20"/>
      <c r="P754" s="20"/>
      <c r="Q754" s="20"/>
      <c r="R754" s="20"/>
      <c r="S754" s="20"/>
      <c r="T754" s="20"/>
      <c r="U754" s="20"/>
      <c r="V754" s="20"/>
      <c r="W754" s="20"/>
      <c r="X754" s="20"/>
      <c r="Y754" s="20"/>
      <c r="Z754" s="20"/>
      <c r="AA754" s="20"/>
    </row>
    <row r="755" spans="4:27" ht="17.25" customHeight="1">
      <c r="D755" s="57"/>
      <c r="E755" s="57"/>
      <c r="F755" s="58"/>
      <c r="G755" s="58"/>
      <c r="H755" s="58"/>
      <c r="I755" s="58"/>
      <c r="J755" s="31"/>
      <c r="K755" s="20"/>
      <c r="L755" s="20"/>
      <c r="M755" s="20"/>
      <c r="N755" s="20"/>
      <c r="O755" s="20"/>
      <c r="P755" s="20"/>
      <c r="Q755" s="20"/>
      <c r="R755" s="20"/>
      <c r="S755" s="20"/>
      <c r="T755" s="20"/>
      <c r="U755" s="20"/>
      <c r="V755" s="20"/>
      <c r="W755" s="20"/>
      <c r="X755" s="20"/>
      <c r="Y755" s="20"/>
      <c r="Z755" s="20"/>
      <c r="AA755" s="20"/>
    </row>
    <row r="756" spans="4:27" ht="17.25" customHeight="1">
      <c r="D756" s="57"/>
      <c r="E756" s="57"/>
      <c r="F756" s="58"/>
      <c r="G756" s="58"/>
      <c r="H756" s="58"/>
      <c r="I756" s="58"/>
      <c r="J756" s="31"/>
      <c r="K756" s="20"/>
      <c r="L756" s="20"/>
      <c r="M756" s="20"/>
      <c r="N756" s="20"/>
      <c r="O756" s="20"/>
      <c r="P756" s="20"/>
      <c r="Q756" s="20"/>
      <c r="R756" s="20"/>
      <c r="S756" s="20"/>
      <c r="T756" s="20"/>
      <c r="U756" s="20"/>
      <c r="V756" s="20"/>
      <c r="W756" s="20"/>
      <c r="X756" s="20"/>
      <c r="Y756" s="20"/>
      <c r="Z756" s="20"/>
      <c r="AA756" s="20"/>
    </row>
    <row r="757" spans="4:27" ht="17.25" customHeight="1">
      <c r="D757" s="57"/>
      <c r="E757" s="57"/>
      <c r="F757" s="58"/>
      <c r="G757" s="58"/>
      <c r="H757" s="58"/>
      <c r="I757" s="58"/>
      <c r="J757" s="31"/>
      <c r="K757" s="20"/>
      <c r="L757" s="20"/>
      <c r="M757" s="20"/>
      <c r="N757" s="20"/>
      <c r="O757" s="20"/>
      <c r="P757" s="20"/>
      <c r="Q757" s="20"/>
      <c r="R757" s="20"/>
      <c r="S757" s="20"/>
      <c r="T757" s="20"/>
      <c r="U757" s="20"/>
      <c r="V757" s="20"/>
      <c r="W757" s="20"/>
      <c r="X757" s="20"/>
      <c r="Y757" s="20"/>
      <c r="Z757" s="20"/>
      <c r="AA757" s="20"/>
    </row>
    <row r="758" spans="4:27" ht="17.25" customHeight="1">
      <c r="D758" s="57"/>
      <c r="E758" s="57"/>
      <c r="F758" s="58"/>
      <c r="G758" s="58"/>
      <c r="H758" s="58"/>
      <c r="I758" s="58"/>
      <c r="J758" s="31"/>
      <c r="K758" s="20"/>
      <c r="L758" s="20"/>
      <c r="M758" s="20"/>
      <c r="N758" s="20"/>
      <c r="O758" s="20"/>
      <c r="P758" s="20"/>
      <c r="Q758" s="20"/>
      <c r="R758" s="20"/>
      <c r="S758" s="20"/>
      <c r="T758" s="20"/>
      <c r="U758" s="20"/>
      <c r="V758" s="20"/>
      <c r="W758" s="20"/>
      <c r="X758" s="20"/>
      <c r="Y758" s="20"/>
      <c r="Z758" s="20"/>
      <c r="AA758" s="20"/>
    </row>
    <row r="759" spans="4:27" ht="17.25" customHeight="1">
      <c r="D759" s="57"/>
      <c r="E759" s="57"/>
      <c r="F759" s="58"/>
      <c r="G759" s="58"/>
      <c r="H759" s="58"/>
      <c r="I759" s="58"/>
      <c r="J759" s="31"/>
      <c r="K759" s="20"/>
      <c r="L759" s="20"/>
      <c r="M759" s="20"/>
      <c r="N759" s="20"/>
      <c r="O759" s="20"/>
      <c r="P759" s="20"/>
      <c r="Q759" s="20"/>
      <c r="R759" s="20"/>
      <c r="S759" s="20"/>
      <c r="T759" s="20"/>
      <c r="U759" s="20"/>
      <c r="V759" s="20"/>
      <c r="W759" s="20"/>
      <c r="X759" s="20"/>
      <c r="Y759" s="20"/>
      <c r="Z759" s="20"/>
      <c r="AA759" s="20"/>
    </row>
    <row r="760" spans="4:27" ht="17.25" customHeight="1">
      <c r="D760" s="57"/>
      <c r="E760" s="57"/>
      <c r="F760" s="58"/>
      <c r="G760" s="58"/>
      <c r="H760" s="58"/>
      <c r="I760" s="58"/>
      <c r="J760" s="31"/>
      <c r="K760" s="20"/>
      <c r="L760" s="20"/>
      <c r="M760" s="20"/>
      <c r="N760" s="20"/>
      <c r="O760" s="20"/>
      <c r="P760" s="20"/>
      <c r="Q760" s="20"/>
      <c r="R760" s="20"/>
      <c r="S760" s="20"/>
      <c r="T760" s="20"/>
      <c r="U760" s="20"/>
      <c r="V760" s="20"/>
      <c r="W760" s="20"/>
      <c r="X760" s="20"/>
      <c r="Y760" s="20"/>
      <c r="Z760" s="20"/>
      <c r="AA760" s="20"/>
    </row>
    <row r="761" spans="4:27" ht="17.25" customHeight="1">
      <c r="D761" s="57"/>
      <c r="E761" s="57"/>
      <c r="F761" s="58"/>
      <c r="G761" s="58"/>
      <c r="H761" s="58"/>
      <c r="I761" s="58"/>
      <c r="J761" s="31"/>
      <c r="K761" s="20"/>
      <c r="L761" s="20"/>
      <c r="M761" s="20"/>
      <c r="N761" s="20"/>
      <c r="O761" s="20"/>
      <c r="P761" s="20"/>
      <c r="Q761" s="20"/>
      <c r="R761" s="20"/>
      <c r="S761" s="20"/>
      <c r="T761" s="20"/>
      <c r="U761" s="20"/>
      <c r="V761" s="20"/>
      <c r="W761" s="20"/>
      <c r="X761" s="20"/>
      <c r="Y761" s="20"/>
      <c r="Z761" s="20"/>
      <c r="AA761" s="20"/>
    </row>
    <row r="762" spans="4:27" ht="17.25" customHeight="1">
      <c r="D762" s="57"/>
      <c r="E762" s="57"/>
      <c r="F762" s="58"/>
      <c r="G762" s="58"/>
      <c r="H762" s="58"/>
      <c r="I762" s="58"/>
      <c r="J762" s="31"/>
      <c r="K762" s="20"/>
      <c r="L762" s="20"/>
      <c r="M762" s="20"/>
      <c r="N762" s="20"/>
      <c r="O762" s="20"/>
      <c r="P762" s="20"/>
      <c r="Q762" s="20"/>
      <c r="R762" s="20"/>
      <c r="S762" s="20"/>
      <c r="T762" s="20"/>
      <c r="U762" s="20"/>
      <c r="V762" s="20"/>
      <c r="W762" s="20"/>
      <c r="X762" s="20"/>
      <c r="Y762" s="20"/>
      <c r="Z762" s="20"/>
      <c r="AA762" s="20"/>
    </row>
    <row r="763" spans="4:27" ht="17.25" customHeight="1">
      <c r="D763" s="57"/>
      <c r="E763" s="57"/>
      <c r="F763" s="58"/>
      <c r="G763" s="58"/>
      <c r="H763" s="58"/>
      <c r="I763" s="58"/>
      <c r="J763" s="31"/>
      <c r="K763" s="20"/>
      <c r="L763" s="20"/>
      <c r="M763" s="20"/>
      <c r="N763" s="20"/>
      <c r="O763" s="20"/>
      <c r="P763" s="20"/>
      <c r="Q763" s="20"/>
      <c r="R763" s="20"/>
      <c r="S763" s="20"/>
      <c r="T763" s="20"/>
      <c r="U763" s="20"/>
      <c r="V763" s="20"/>
      <c r="W763" s="20"/>
      <c r="X763" s="20"/>
      <c r="Y763" s="20"/>
      <c r="Z763" s="20"/>
      <c r="AA763" s="20"/>
    </row>
    <row r="764" spans="4:27" ht="17.25" customHeight="1">
      <c r="D764" s="57"/>
      <c r="E764" s="57"/>
      <c r="F764" s="58"/>
      <c r="G764" s="58"/>
      <c r="H764" s="58"/>
      <c r="I764" s="58"/>
      <c r="J764" s="31"/>
      <c r="K764" s="20"/>
      <c r="L764" s="20"/>
      <c r="M764" s="20"/>
      <c r="N764" s="20"/>
      <c r="O764" s="20"/>
      <c r="P764" s="20"/>
      <c r="Q764" s="20"/>
      <c r="R764" s="20"/>
      <c r="S764" s="20"/>
      <c r="T764" s="20"/>
      <c r="U764" s="20"/>
      <c r="V764" s="20"/>
      <c r="W764" s="20"/>
      <c r="X764" s="20"/>
      <c r="Y764" s="20"/>
      <c r="Z764" s="20"/>
      <c r="AA764" s="20"/>
    </row>
    <row r="765" spans="4:27" ht="17.25" customHeight="1">
      <c r="D765" s="57"/>
      <c r="E765" s="57"/>
      <c r="F765" s="58"/>
      <c r="G765" s="58"/>
      <c r="H765" s="58"/>
      <c r="I765" s="58"/>
      <c r="J765" s="31"/>
      <c r="K765" s="20"/>
      <c r="L765" s="20"/>
      <c r="M765" s="20"/>
      <c r="N765" s="20"/>
      <c r="O765" s="20"/>
      <c r="P765" s="20"/>
      <c r="Q765" s="20"/>
      <c r="R765" s="20"/>
      <c r="S765" s="20"/>
      <c r="T765" s="20"/>
      <c r="U765" s="20"/>
      <c r="V765" s="20"/>
      <c r="W765" s="20"/>
      <c r="X765" s="20"/>
      <c r="Y765" s="20"/>
      <c r="Z765" s="20"/>
      <c r="AA765" s="20"/>
    </row>
    <row r="766" spans="4:27" ht="17.25" customHeight="1">
      <c r="D766" s="57"/>
      <c r="E766" s="57"/>
      <c r="F766" s="58"/>
      <c r="G766" s="58"/>
      <c r="H766" s="58"/>
      <c r="I766" s="58"/>
      <c r="J766" s="31"/>
      <c r="K766" s="20"/>
      <c r="L766" s="20"/>
      <c r="M766" s="20"/>
      <c r="N766" s="20"/>
      <c r="O766" s="20"/>
      <c r="P766" s="20"/>
      <c r="Q766" s="20"/>
      <c r="R766" s="20"/>
      <c r="S766" s="20"/>
      <c r="T766" s="20"/>
      <c r="U766" s="20"/>
      <c r="V766" s="20"/>
      <c r="W766" s="20"/>
      <c r="X766" s="20"/>
      <c r="Y766" s="20"/>
      <c r="Z766" s="20"/>
      <c r="AA766" s="20"/>
    </row>
    <row r="767" spans="4:27" ht="17.25" customHeight="1">
      <c r="D767" s="57"/>
      <c r="E767" s="57"/>
      <c r="F767" s="58"/>
      <c r="G767" s="58"/>
      <c r="H767" s="58"/>
      <c r="I767" s="58"/>
      <c r="J767" s="31"/>
      <c r="K767" s="20"/>
      <c r="L767" s="20"/>
      <c r="M767" s="20"/>
      <c r="N767" s="20"/>
      <c r="O767" s="20"/>
      <c r="P767" s="20"/>
      <c r="Q767" s="20"/>
      <c r="R767" s="20"/>
      <c r="S767" s="20"/>
      <c r="T767" s="20"/>
      <c r="U767" s="20"/>
      <c r="V767" s="20"/>
      <c r="W767" s="20"/>
      <c r="X767" s="20"/>
      <c r="Y767" s="20"/>
      <c r="Z767" s="20"/>
      <c r="AA767" s="20"/>
    </row>
    <row r="768" spans="4:27" ht="17.25" customHeight="1">
      <c r="D768" s="57"/>
      <c r="E768" s="57"/>
      <c r="F768" s="58"/>
      <c r="G768" s="58"/>
      <c r="H768" s="58"/>
      <c r="I768" s="58"/>
      <c r="J768" s="31"/>
      <c r="K768" s="20"/>
      <c r="L768" s="20"/>
      <c r="M768" s="20"/>
      <c r="N768" s="20"/>
      <c r="O768" s="20"/>
      <c r="P768" s="20"/>
      <c r="Q768" s="20"/>
      <c r="R768" s="20"/>
      <c r="S768" s="20"/>
      <c r="T768" s="20"/>
      <c r="U768" s="20"/>
      <c r="V768" s="20"/>
      <c r="W768" s="20"/>
      <c r="X768" s="20"/>
      <c r="Y768" s="20"/>
      <c r="Z768" s="20"/>
      <c r="AA768" s="20"/>
    </row>
    <row r="769" spans="4:27" ht="17.25" customHeight="1">
      <c r="D769" s="57"/>
      <c r="E769" s="57"/>
      <c r="F769" s="58"/>
      <c r="G769" s="58"/>
      <c r="H769" s="58"/>
      <c r="I769" s="58"/>
      <c r="J769" s="31"/>
      <c r="K769" s="20"/>
      <c r="L769" s="20"/>
      <c r="M769" s="20"/>
      <c r="N769" s="20"/>
      <c r="O769" s="20"/>
      <c r="P769" s="20"/>
      <c r="Q769" s="20"/>
      <c r="R769" s="20"/>
      <c r="S769" s="20"/>
      <c r="T769" s="20"/>
      <c r="U769" s="20"/>
      <c r="V769" s="20"/>
      <c r="W769" s="20"/>
      <c r="X769" s="20"/>
      <c r="Y769" s="20"/>
      <c r="Z769" s="20"/>
      <c r="AA769" s="20"/>
    </row>
    <row r="770" spans="4:27" ht="17.25" customHeight="1">
      <c r="D770" s="57"/>
      <c r="E770" s="57"/>
      <c r="F770" s="58"/>
      <c r="G770" s="58"/>
      <c r="H770" s="58"/>
      <c r="I770" s="58"/>
      <c r="J770" s="31"/>
      <c r="K770" s="20"/>
      <c r="L770" s="20"/>
      <c r="M770" s="20"/>
      <c r="N770" s="20"/>
      <c r="O770" s="20"/>
      <c r="P770" s="20"/>
      <c r="Q770" s="20"/>
      <c r="R770" s="20"/>
      <c r="S770" s="20"/>
      <c r="T770" s="20"/>
      <c r="U770" s="20"/>
      <c r="V770" s="20"/>
      <c r="W770" s="20"/>
      <c r="X770" s="20"/>
      <c r="Y770" s="20"/>
      <c r="Z770" s="20"/>
      <c r="AA770" s="20"/>
    </row>
    <row r="771" spans="4:27" ht="17.25" customHeight="1">
      <c r="D771" s="57"/>
      <c r="E771" s="57"/>
      <c r="F771" s="58"/>
      <c r="G771" s="58"/>
      <c r="H771" s="58"/>
      <c r="I771" s="58"/>
      <c r="J771" s="31"/>
      <c r="K771" s="20"/>
      <c r="L771" s="20"/>
      <c r="M771" s="20"/>
      <c r="N771" s="20"/>
      <c r="O771" s="20"/>
      <c r="P771" s="20"/>
      <c r="Q771" s="20"/>
      <c r="R771" s="20"/>
      <c r="S771" s="20"/>
      <c r="T771" s="20"/>
      <c r="U771" s="20"/>
      <c r="V771" s="20"/>
      <c r="W771" s="20"/>
      <c r="X771" s="20"/>
      <c r="Y771" s="20"/>
      <c r="Z771" s="20"/>
      <c r="AA771" s="20"/>
    </row>
    <row r="772" spans="4:27" ht="17.25" customHeight="1">
      <c r="D772" s="57"/>
      <c r="E772" s="57"/>
      <c r="F772" s="58"/>
      <c r="G772" s="58"/>
      <c r="H772" s="58"/>
      <c r="I772" s="58"/>
      <c r="J772" s="31"/>
      <c r="K772" s="20"/>
      <c r="L772" s="20"/>
      <c r="M772" s="20"/>
      <c r="N772" s="20"/>
      <c r="O772" s="20"/>
      <c r="P772" s="20"/>
      <c r="Q772" s="20"/>
      <c r="R772" s="20"/>
      <c r="S772" s="20"/>
      <c r="T772" s="20"/>
      <c r="U772" s="20"/>
      <c r="V772" s="20"/>
      <c r="W772" s="20"/>
      <c r="X772" s="20"/>
      <c r="Y772" s="20"/>
      <c r="Z772" s="20"/>
      <c r="AA772" s="20"/>
    </row>
    <row r="773" spans="4:27" ht="17.25" customHeight="1">
      <c r="D773" s="57"/>
      <c r="E773" s="57"/>
      <c r="F773" s="58"/>
      <c r="G773" s="58"/>
      <c r="H773" s="58"/>
      <c r="I773" s="58"/>
      <c r="J773" s="31"/>
      <c r="K773" s="20"/>
      <c r="L773" s="20"/>
      <c r="M773" s="20"/>
      <c r="N773" s="20"/>
      <c r="O773" s="20"/>
      <c r="P773" s="20"/>
      <c r="Q773" s="20"/>
      <c r="R773" s="20"/>
      <c r="S773" s="20"/>
      <c r="T773" s="20"/>
      <c r="U773" s="20"/>
      <c r="V773" s="20"/>
      <c r="W773" s="20"/>
      <c r="X773" s="20"/>
      <c r="Y773" s="20"/>
      <c r="Z773" s="20"/>
      <c r="AA773" s="20"/>
    </row>
    <row r="774" spans="4:27" ht="17.25" customHeight="1">
      <c r="D774" s="57"/>
      <c r="E774" s="57"/>
      <c r="F774" s="58"/>
      <c r="G774" s="58"/>
      <c r="H774" s="58"/>
      <c r="I774" s="58"/>
      <c r="J774" s="31"/>
      <c r="K774" s="20"/>
      <c r="L774" s="20"/>
      <c r="M774" s="20"/>
      <c r="N774" s="20"/>
      <c r="O774" s="20"/>
      <c r="P774" s="20"/>
      <c r="Q774" s="20"/>
      <c r="R774" s="20"/>
      <c r="S774" s="20"/>
      <c r="T774" s="20"/>
      <c r="U774" s="20"/>
      <c r="V774" s="20"/>
      <c r="W774" s="20"/>
      <c r="X774" s="20"/>
      <c r="Y774" s="20"/>
      <c r="Z774" s="20"/>
      <c r="AA774" s="20"/>
    </row>
    <row r="775" spans="4:27" ht="17.25" customHeight="1">
      <c r="D775" s="57"/>
      <c r="E775" s="57"/>
      <c r="F775" s="58"/>
      <c r="G775" s="58"/>
      <c r="H775" s="58"/>
      <c r="I775" s="58"/>
      <c r="J775" s="31"/>
      <c r="K775" s="20"/>
      <c r="L775" s="20"/>
      <c r="M775" s="20"/>
      <c r="N775" s="20"/>
      <c r="O775" s="20"/>
      <c r="P775" s="20"/>
      <c r="Q775" s="20"/>
      <c r="R775" s="20"/>
      <c r="S775" s="20"/>
      <c r="T775" s="20"/>
      <c r="U775" s="20"/>
      <c r="V775" s="20"/>
      <c r="W775" s="20"/>
      <c r="X775" s="20"/>
      <c r="Y775" s="20"/>
      <c r="Z775" s="20"/>
      <c r="AA775" s="20"/>
    </row>
    <row r="776" spans="4:27" ht="17.25" customHeight="1">
      <c r="D776" s="57"/>
      <c r="E776" s="57"/>
      <c r="F776" s="58"/>
      <c r="G776" s="58"/>
      <c r="H776" s="58"/>
      <c r="I776" s="58"/>
      <c r="J776" s="31"/>
      <c r="K776" s="20"/>
      <c r="L776" s="20"/>
      <c r="M776" s="20"/>
      <c r="N776" s="20"/>
      <c r="O776" s="20"/>
      <c r="P776" s="20"/>
      <c r="Q776" s="20"/>
      <c r="R776" s="20"/>
      <c r="S776" s="20"/>
      <c r="T776" s="20"/>
      <c r="U776" s="20"/>
      <c r="V776" s="20"/>
      <c r="W776" s="20"/>
      <c r="X776" s="20"/>
      <c r="Y776" s="20"/>
      <c r="Z776" s="20"/>
      <c r="AA776" s="20"/>
    </row>
    <row r="777" spans="4:27" ht="17.25" customHeight="1">
      <c r="D777" s="57"/>
      <c r="E777" s="57"/>
      <c r="F777" s="58"/>
      <c r="G777" s="58"/>
      <c r="H777" s="58"/>
      <c r="I777" s="58"/>
      <c r="J777" s="31"/>
      <c r="K777" s="20"/>
      <c r="L777" s="20"/>
      <c r="M777" s="20"/>
      <c r="N777" s="20"/>
      <c r="O777" s="20"/>
      <c r="P777" s="20"/>
      <c r="Q777" s="20"/>
      <c r="R777" s="20"/>
      <c r="S777" s="20"/>
      <c r="T777" s="20"/>
      <c r="U777" s="20"/>
      <c r="V777" s="20"/>
      <c r="W777" s="20"/>
      <c r="X777" s="20"/>
      <c r="Y777" s="20"/>
      <c r="Z777" s="20"/>
      <c r="AA777" s="20"/>
    </row>
    <row r="778" spans="4:27" ht="17.25" customHeight="1">
      <c r="D778" s="57"/>
      <c r="E778" s="57"/>
      <c r="F778" s="58"/>
      <c r="G778" s="58"/>
      <c r="H778" s="58"/>
      <c r="I778" s="58"/>
      <c r="J778" s="31"/>
      <c r="K778" s="20"/>
      <c r="L778" s="20"/>
      <c r="M778" s="20"/>
      <c r="N778" s="20"/>
      <c r="O778" s="20"/>
      <c r="P778" s="20"/>
      <c r="Q778" s="20"/>
      <c r="R778" s="20"/>
      <c r="S778" s="20"/>
      <c r="T778" s="20"/>
      <c r="U778" s="20"/>
      <c r="V778" s="20"/>
      <c r="W778" s="20"/>
      <c r="X778" s="20"/>
      <c r="Y778" s="20"/>
      <c r="Z778" s="20"/>
      <c r="AA778" s="20"/>
    </row>
    <row r="779" spans="4:27" ht="17.25" customHeight="1">
      <c r="D779" s="57"/>
      <c r="E779" s="57"/>
      <c r="F779" s="58"/>
      <c r="G779" s="58"/>
      <c r="H779" s="58"/>
      <c r="I779" s="58"/>
      <c r="J779" s="31"/>
      <c r="K779" s="20"/>
      <c r="L779" s="20"/>
      <c r="M779" s="20"/>
      <c r="N779" s="20"/>
      <c r="O779" s="20"/>
      <c r="P779" s="20"/>
      <c r="Q779" s="20"/>
      <c r="R779" s="20"/>
      <c r="S779" s="20"/>
      <c r="T779" s="20"/>
      <c r="U779" s="20"/>
      <c r="V779" s="20"/>
      <c r="W779" s="20"/>
      <c r="X779" s="20"/>
      <c r="Y779" s="20"/>
      <c r="Z779" s="20"/>
      <c r="AA779" s="20"/>
    </row>
    <row r="780" spans="4:27" ht="17.25" customHeight="1">
      <c r="D780" s="57"/>
      <c r="E780" s="57"/>
      <c r="F780" s="58"/>
      <c r="G780" s="58"/>
      <c r="H780" s="58"/>
      <c r="I780" s="58"/>
      <c r="J780" s="31"/>
      <c r="K780" s="20"/>
      <c r="L780" s="20"/>
      <c r="M780" s="20"/>
      <c r="N780" s="20"/>
      <c r="O780" s="20"/>
      <c r="P780" s="20"/>
      <c r="Q780" s="20"/>
      <c r="R780" s="20"/>
      <c r="S780" s="20"/>
      <c r="T780" s="20"/>
      <c r="U780" s="20"/>
      <c r="V780" s="20"/>
      <c r="W780" s="20"/>
      <c r="X780" s="20"/>
      <c r="Y780" s="20"/>
      <c r="Z780" s="20"/>
      <c r="AA780" s="20"/>
    </row>
    <row r="781" spans="4:27" ht="17.25" customHeight="1">
      <c r="D781" s="57"/>
      <c r="E781" s="57"/>
      <c r="F781" s="58"/>
      <c r="G781" s="58"/>
      <c r="H781" s="58"/>
      <c r="I781" s="58"/>
      <c r="J781" s="31"/>
      <c r="K781" s="20"/>
      <c r="L781" s="20"/>
      <c r="M781" s="20"/>
      <c r="N781" s="20"/>
      <c r="O781" s="20"/>
      <c r="P781" s="20"/>
      <c r="Q781" s="20"/>
      <c r="R781" s="20"/>
      <c r="S781" s="20"/>
      <c r="T781" s="20"/>
      <c r="U781" s="20"/>
      <c r="V781" s="20"/>
      <c r="W781" s="20"/>
      <c r="X781" s="20"/>
      <c r="Y781" s="20"/>
      <c r="Z781" s="20"/>
      <c r="AA781" s="20"/>
    </row>
    <row r="782" spans="4:27" ht="17.25" customHeight="1">
      <c r="D782" s="57"/>
      <c r="E782" s="57"/>
      <c r="F782" s="58"/>
      <c r="G782" s="58"/>
      <c r="H782" s="58"/>
      <c r="I782" s="58"/>
      <c r="J782" s="31"/>
      <c r="K782" s="20"/>
      <c r="L782" s="20"/>
      <c r="M782" s="20"/>
      <c r="N782" s="20"/>
      <c r="O782" s="20"/>
      <c r="P782" s="20"/>
      <c r="Q782" s="20"/>
      <c r="R782" s="20"/>
      <c r="S782" s="20"/>
      <c r="T782" s="20"/>
      <c r="U782" s="20"/>
      <c r="V782" s="20"/>
      <c r="W782" s="20"/>
      <c r="X782" s="20"/>
      <c r="Y782" s="20"/>
      <c r="Z782" s="20"/>
      <c r="AA782" s="20"/>
    </row>
    <row r="783" spans="4:27" ht="17.25" customHeight="1">
      <c r="D783" s="57"/>
      <c r="E783" s="57"/>
      <c r="F783" s="58"/>
      <c r="G783" s="58"/>
      <c r="H783" s="58"/>
      <c r="I783" s="58"/>
      <c r="J783" s="31"/>
      <c r="K783" s="20"/>
      <c r="L783" s="20"/>
      <c r="M783" s="20"/>
      <c r="N783" s="20"/>
      <c r="O783" s="20"/>
      <c r="P783" s="20"/>
      <c r="Q783" s="20"/>
      <c r="R783" s="20"/>
      <c r="S783" s="20"/>
      <c r="T783" s="20"/>
      <c r="U783" s="20"/>
      <c r="V783" s="20"/>
      <c r="W783" s="20"/>
      <c r="X783" s="20"/>
      <c r="Y783" s="20"/>
      <c r="Z783" s="20"/>
      <c r="AA783" s="20"/>
    </row>
    <row r="784" spans="4:27" ht="17.25" customHeight="1">
      <c r="D784" s="57"/>
      <c r="E784" s="57"/>
      <c r="F784" s="58"/>
      <c r="G784" s="58"/>
      <c r="H784" s="58"/>
      <c r="I784" s="58"/>
      <c r="J784" s="31"/>
      <c r="K784" s="20"/>
      <c r="L784" s="20"/>
      <c r="M784" s="20"/>
      <c r="N784" s="20"/>
      <c r="O784" s="20"/>
      <c r="P784" s="20"/>
      <c r="Q784" s="20"/>
      <c r="R784" s="20"/>
      <c r="S784" s="20"/>
      <c r="T784" s="20"/>
      <c r="U784" s="20"/>
      <c r="V784" s="20"/>
      <c r="W784" s="20"/>
      <c r="X784" s="20"/>
      <c r="Y784" s="20"/>
      <c r="Z784" s="20"/>
      <c r="AA784" s="20"/>
    </row>
    <row r="785" spans="4:27" ht="17.25" customHeight="1">
      <c r="D785" s="57"/>
      <c r="E785" s="57"/>
      <c r="F785" s="58"/>
      <c r="G785" s="58"/>
      <c r="H785" s="58"/>
      <c r="I785" s="58"/>
      <c r="J785" s="31"/>
      <c r="K785" s="20"/>
      <c r="L785" s="20"/>
      <c r="M785" s="20"/>
      <c r="N785" s="20"/>
      <c r="O785" s="20"/>
      <c r="P785" s="20"/>
      <c r="Q785" s="20"/>
      <c r="R785" s="20"/>
      <c r="S785" s="20"/>
      <c r="T785" s="20"/>
      <c r="U785" s="20"/>
      <c r="V785" s="20"/>
      <c r="W785" s="20"/>
      <c r="X785" s="20"/>
      <c r="Y785" s="20"/>
      <c r="Z785" s="20"/>
      <c r="AA785" s="20"/>
    </row>
    <row r="786" spans="4:27" ht="17.25" customHeight="1">
      <c r="D786" s="57"/>
      <c r="E786" s="57"/>
      <c r="F786" s="58"/>
      <c r="G786" s="58"/>
      <c r="H786" s="58"/>
      <c r="I786" s="58"/>
      <c r="J786" s="31"/>
      <c r="K786" s="20"/>
      <c r="L786" s="20"/>
      <c r="M786" s="20"/>
      <c r="N786" s="20"/>
      <c r="O786" s="20"/>
      <c r="P786" s="20"/>
      <c r="Q786" s="20"/>
      <c r="R786" s="20"/>
      <c r="S786" s="20"/>
      <c r="T786" s="20"/>
      <c r="U786" s="20"/>
      <c r="V786" s="20"/>
      <c r="W786" s="20"/>
      <c r="X786" s="20"/>
      <c r="Y786" s="20"/>
      <c r="Z786" s="20"/>
      <c r="AA786" s="20"/>
    </row>
    <row r="787" spans="4:27" ht="17.25" customHeight="1">
      <c r="D787" s="57"/>
      <c r="E787" s="57"/>
      <c r="F787" s="58"/>
      <c r="G787" s="58"/>
      <c r="H787" s="58"/>
      <c r="I787" s="58"/>
      <c r="J787" s="31"/>
      <c r="K787" s="20"/>
      <c r="L787" s="20"/>
      <c r="M787" s="20"/>
      <c r="N787" s="20"/>
      <c r="O787" s="20"/>
      <c r="P787" s="20"/>
      <c r="Q787" s="20"/>
      <c r="R787" s="20"/>
      <c r="S787" s="20"/>
      <c r="T787" s="20"/>
      <c r="U787" s="20"/>
      <c r="V787" s="20"/>
      <c r="W787" s="20"/>
      <c r="X787" s="20"/>
      <c r="Y787" s="20"/>
      <c r="Z787" s="20"/>
      <c r="AA787" s="20"/>
    </row>
    <row r="788" spans="4:27" ht="17.25" customHeight="1">
      <c r="D788" s="57"/>
      <c r="E788" s="57"/>
      <c r="F788" s="58"/>
      <c r="G788" s="58"/>
      <c r="H788" s="58"/>
      <c r="I788" s="58"/>
      <c r="J788" s="31"/>
      <c r="K788" s="20"/>
      <c r="L788" s="20"/>
      <c r="M788" s="20"/>
      <c r="N788" s="20"/>
      <c r="O788" s="20"/>
      <c r="P788" s="20"/>
      <c r="Q788" s="20"/>
      <c r="R788" s="20"/>
      <c r="S788" s="20"/>
      <c r="T788" s="20"/>
      <c r="U788" s="20"/>
      <c r="V788" s="20"/>
      <c r="W788" s="20"/>
      <c r="X788" s="20"/>
      <c r="Y788" s="20"/>
      <c r="Z788" s="20"/>
      <c r="AA788" s="20"/>
    </row>
    <row r="789" spans="4:27" ht="17.25" customHeight="1">
      <c r="D789" s="57"/>
      <c r="E789" s="57"/>
      <c r="F789" s="58"/>
      <c r="G789" s="58"/>
      <c r="H789" s="58"/>
      <c r="I789" s="58"/>
      <c r="J789" s="31"/>
      <c r="K789" s="20"/>
      <c r="L789" s="20"/>
      <c r="M789" s="20"/>
      <c r="N789" s="20"/>
      <c r="O789" s="20"/>
      <c r="P789" s="20"/>
      <c r="Q789" s="20"/>
      <c r="R789" s="20"/>
      <c r="S789" s="20"/>
      <c r="T789" s="20"/>
      <c r="U789" s="20"/>
      <c r="V789" s="20"/>
      <c r="W789" s="20"/>
      <c r="X789" s="20"/>
      <c r="Y789" s="20"/>
      <c r="Z789" s="20"/>
      <c r="AA789" s="20"/>
    </row>
    <row r="790" spans="4:27" ht="17.25" customHeight="1">
      <c r="D790" s="57"/>
      <c r="E790" s="57"/>
      <c r="F790" s="58"/>
      <c r="G790" s="58"/>
      <c r="H790" s="58"/>
      <c r="I790" s="58"/>
      <c r="J790" s="31"/>
      <c r="K790" s="20"/>
      <c r="L790" s="20"/>
      <c r="M790" s="20"/>
      <c r="N790" s="20"/>
      <c r="O790" s="20"/>
      <c r="P790" s="20"/>
      <c r="Q790" s="20"/>
      <c r="R790" s="20"/>
      <c r="S790" s="20"/>
      <c r="T790" s="20"/>
      <c r="U790" s="20"/>
      <c r="V790" s="20"/>
      <c r="W790" s="20"/>
      <c r="X790" s="20"/>
      <c r="Y790" s="20"/>
      <c r="Z790" s="20"/>
      <c r="AA790" s="20"/>
    </row>
    <row r="791" spans="4:27" ht="17.25" customHeight="1">
      <c r="D791" s="57"/>
      <c r="E791" s="57"/>
      <c r="F791" s="58"/>
      <c r="G791" s="58"/>
      <c r="H791" s="58"/>
      <c r="I791" s="58"/>
      <c r="J791" s="31"/>
      <c r="K791" s="20"/>
      <c r="L791" s="20"/>
      <c r="M791" s="20"/>
      <c r="N791" s="20"/>
      <c r="O791" s="20"/>
      <c r="P791" s="20"/>
      <c r="Q791" s="20"/>
      <c r="R791" s="20"/>
      <c r="S791" s="20"/>
      <c r="T791" s="20"/>
      <c r="U791" s="20"/>
      <c r="V791" s="20"/>
      <c r="W791" s="20"/>
      <c r="X791" s="20"/>
      <c r="Y791" s="20"/>
      <c r="Z791" s="20"/>
      <c r="AA791" s="20"/>
    </row>
    <row r="792" spans="4:27" ht="17.25" customHeight="1">
      <c r="D792" s="57"/>
      <c r="E792" s="57"/>
      <c r="F792" s="58"/>
      <c r="G792" s="58"/>
      <c r="H792" s="58"/>
      <c r="I792" s="58"/>
      <c r="J792" s="31"/>
      <c r="K792" s="20"/>
      <c r="L792" s="20"/>
      <c r="M792" s="20"/>
      <c r="N792" s="20"/>
      <c r="O792" s="20"/>
      <c r="P792" s="20"/>
      <c r="Q792" s="20"/>
      <c r="R792" s="20"/>
      <c r="S792" s="20"/>
      <c r="T792" s="20"/>
      <c r="U792" s="20"/>
      <c r="V792" s="20"/>
      <c r="W792" s="20"/>
      <c r="X792" s="20"/>
      <c r="Y792" s="20"/>
      <c r="Z792" s="20"/>
      <c r="AA792" s="20"/>
    </row>
    <row r="793" spans="4:27" ht="17.25" customHeight="1">
      <c r="D793" s="57"/>
      <c r="E793" s="57"/>
      <c r="F793" s="58"/>
      <c r="G793" s="58"/>
      <c r="H793" s="58"/>
      <c r="I793" s="58"/>
      <c r="J793" s="31"/>
      <c r="K793" s="20"/>
      <c r="L793" s="20"/>
      <c r="M793" s="20"/>
      <c r="N793" s="20"/>
      <c r="O793" s="20"/>
      <c r="P793" s="20"/>
      <c r="Q793" s="20"/>
      <c r="R793" s="20"/>
      <c r="S793" s="20"/>
      <c r="T793" s="20"/>
      <c r="U793" s="20"/>
      <c r="V793" s="20"/>
      <c r="W793" s="20"/>
      <c r="X793" s="20"/>
      <c r="Y793" s="20"/>
      <c r="Z793" s="20"/>
      <c r="AA793" s="20"/>
    </row>
    <row r="794" spans="4:27" ht="17.25" customHeight="1">
      <c r="D794" s="57"/>
      <c r="E794" s="57"/>
      <c r="F794" s="58"/>
      <c r="G794" s="58"/>
      <c r="H794" s="58"/>
      <c r="I794" s="58"/>
      <c r="J794" s="31"/>
      <c r="K794" s="20"/>
      <c r="L794" s="20"/>
      <c r="M794" s="20"/>
      <c r="N794" s="20"/>
      <c r="O794" s="20"/>
      <c r="P794" s="20"/>
      <c r="Q794" s="20"/>
      <c r="R794" s="20"/>
      <c r="S794" s="20"/>
      <c r="T794" s="20"/>
      <c r="U794" s="20"/>
      <c r="V794" s="20"/>
      <c r="W794" s="20"/>
      <c r="X794" s="20"/>
      <c r="Y794" s="20"/>
      <c r="Z794" s="20"/>
      <c r="AA794" s="20"/>
    </row>
    <row r="795" spans="4:27" ht="17.25" customHeight="1">
      <c r="D795" s="57"/>
      <c r="E795" s="57"/>
      <c r="F795" s="58"/>
      <c r="G795" s="58"/>
      <c r="H795" s="58"/>
      <c r="I795" s="58"/>
      <c r="J795" s="31"/>
      <c r="K795" s="20"/>
      <c r="L795" s="20"/>
      <c r="M795" s="20"/>
      <c r="N795" s="20"/>
      <c r="O795" s="20"/>
      <c r="P795" s="20"/>
      <c r="Q795" s="20"/>
      <c r="R795" s="20"/>
      <c r="S795" s="20"/>
      <c r="T795" s="20"/>
      <c r="U795" s="20"/>
      <c r="V795" s="20"/>
      <c r="W795" s="20"/>
      <c r="X795" s="20"/>
      <c r="Y795" s="20"/>
      <c r="Z795" s="20"/>
      <c r="AA795" s="20"/>
    </row>
    <row r="796" spans="4:27" ht="17.25" customHeight="1">
      <c r="D796" s="57"/>
      <c r="E796" s="57"/>
      <c r="F796" s="58"/>
      <c r="G796" s="58"/>
      <c r="H796" s="58"/>
      <c r="I796" s="58"/>
      <c r="J796" s="31"/>
      <c r="K796" s="20"/>
      <c r="L796" s="20"/>
      <c r="M796" s="20"/>
      <c r="N796" s="20"/>
      <c r="O796" s="20"/>
      <c r="P796" s="20"/>
      <c r="Q796" s="20"/>
      <c r="R796" s="20"/>
      <c r="S796" s="20"/>
      <c r="T796" s="20"/>
      <c r="U796" s="20"/>
      <c r="V796" s="20"/>
      <c r="W796" s="20"/>
      <c r="X796" s="20"/>
      <c r="Y796" s="20"/>
      <c r="Z796" s="20"/>
      <c r="AA796" s="20"/>
    </row>
    <row r="797" spans="4:27" ht="17.25" customHeight="1">
      <c r="D797" s="57"/>
      <c r="E797" s="57"/>
      <c r="F797" s="58"/>
      <c r="G797" s="58"/>
      <c r="H797" s="58"/>
      <c r="I797" s="58"/>
      <c r="J797" s="31"/>
      <c r="K797" s="20"/>
      <c r="L797" s="20"/>
      <c r="M797" s="20"/>
      <c r="N797" s="20"/>
      <c r="O797" s="20"/>
      <c r="P797" s="20"/>
      <c r="Q797" s="20"/>
      <c r="R797" s="20"/>
      <c r="S797" s="20"/>
      <c r="T797" s="20"/>
      <c r="U797" s="20"/>
      <c r="V797" s="20"/>
      <c r="W797" s="20"/>
      <c r="X797" s="20"/>
      <c r="Y797" s="20"/>
      <c r="Z797" s="20"/>
      <c r="AA797" s="20"/>
    </row>
    <row r="798" spans="4:27" ht="17.25" customHeight="1">
      <c r="D798" s="57"/>
      <c r="E798" s="57"/>
      <c r="F798" s="58"/>
      <c r="G798" s="58"/>
      <c r="H798" s="58"/>
      <c r="I798" s="58"/>
      <c r="J798" s="31"/>
      <c r="K798" s="20"/>
      <c r="L798" s="20"/>
      <c r="M798" s="20"/>
      <c r="N798" s="20"/>
      <c r="O798" s="20"/>
      <c r="P798" s="20"/>
      <c r="Q798" s="20"/>
      <c r="R798" s="20"/>
      <c r="S798" s="20"/>
      <c r="T798" s="20"/>
      <c r="U798" s="20"/>
      <c r="V798" s="20"/>
      <c r="W798" s="20"/>
      <c r="X798" s="20"/>
      <c r="Y798" s="20"/>
      <c r="Z798" s="20"/>
      <c r="AA798" s="20"/>
    </row>
    <row r="799" spans="4:27" ht="17.25" customHeight="1">
      <c r="D799" s="57"/>
      <c r="E799" s="57"/>
      <c r="F799" s="58"/>
      <c r="G799" s="58"/>
      <c r="H799" s="58"/>
      <c r="I799" s="58"/>
      <c r="J799" s="31"/>
      <c r="K799" s="20"/>
      <c r="L799" s="20"/>
      <c r="M799" s="20"/>
      <c r="N799" s="20"/>
      <c r="O799" s="20"/>
      <c r="P799" s="20"/>
      <c r="Q799" s="20"/>
      <c r="R799" s="20"/>
      <c r="S799" s="20"/>
      <c r="T799" s="20"/>
      <c r="U799" s="20"/>
      <c r="V799" s="20"/>
      <c r="W799" s="20"/>
      <c r="X799" s="20"/>
      <c r="Y799" s="20"/>
      <c r="Z799" s="20"/>
      <c r="AA799" s="20"/>
    </row>
    <row r="800" spans="4:27" ht="17.25" customHeight="1">
      <c r="D800" s="57"/>
      <c r="E800" s="57"/>
      <c r="F800" s="58"/>
      <c r="G800" s="58"/>
      <c r="H800" s="58"/>
      <c r="I800" s="58"/>
      <c r="J800" s="31"/>
      <c r="K800" s="20"/>
      <c r="L800" s="20"/>
      <c r="M800" s="20"/>
      <c r="N800" s="20"/>
      <c r="O800" s="20"/>
      <c r="P800" s="20"/>
      <c r="Q800" s="20"/>
      <c r="R800" s="20"/>
      <c r="S800" s="20"/>
      <c r="T800" s="20"/>
      <c r="U800" s="20"/>
      <c r="V800" s="20"/>
      <c r="W800" s="20"/>
      <c r="X800" s="20"/>
      <c r="Y800" s="20"/>
      <c r="Z800" s="20"/>
      <c r="AA800" s="20"/>
    </row>
    <row r="801" spans="4:27" ht="17.25" customHeight="1">
      <c r="D801" s="57"/>
      <c r="E801" s="57"/>
      <c r="F801" s="58"/>
      <c r="G801" s="58"/>
      <c r="H801" s="58"/>
      <c r="I801" s="58"/>
      <c r="J801" s="31"/>
      <c r="K801" s="20"/>
      <c r="L801" s="20"/>
      <c r="M801" s="20"/>
      <c r="N801" s="20"/>
      <c r="O801" s="20"/>
      <c r="P801" s="20"/>
      <c r="Q801" s="20"/>
      <c r="R801" s="20"/>
      <c r="S801" s="20"/>
      <c r="T801" s="20"/>
      <c r="U801" s="20"/>
      <c r="V801" s="20"/>
      <c r="W801" s="20"/>
      <c r="X801" s="20"/>
      <c r="Y801" s="20"/>
      <c r="Z801" s="20"/>
      <c r="AA801" s="20"/>
    </row>
    <row r="802" spans="4:27" ht="17.25" customHeight="1">
      <c r="D802" s="57"/>
      <c r="E802" s="57"/>
      <c r="F802" s="58"/>
      <c r="G802" s="58"/>
      <c r="H802" s="58"/>
      <c r="I802" s="58"/>
      <c r="J802" s="31"/>
      <c r="K802" s="20"/>
      <c r="L802" s="20"/>
      <c r="M802" s="20"/>
      <c r="N802" s="20"/>
      <c r="O802" s="20"/>
      <c r="P802" s="20"/>
      <c r="Q802" s="20"/>
      <c r="R802" s="20"/>
      <c r="S802" s="20"/>
      <c r="T802" s="20"/>
      <c r="U802" s="20"/>
      <c r="V802" s="20"/>
      <c r="W802" s="20"/>
      <c r="X802" s="20"/>
      <c r="Y802" s="20"/>
      <c r="Z802" s="20"/>
      <c r="AA802" s="20"/>
    </row>
    <row r="803" spans="4:27" ht="17.25" customHeight="1">
      <c r="D803" s="57"/>
      <c r="E803" s="57"/>
      <c r="F803" s="58"/>
      <c r="G803" s="58"/>
      <c r="H803" s="58"/>
      <c r="I803" s="58"/>
      <c r="J803" s="31"/>
      <c r="K803" s="20"/>
      <c r="L803" s="20"/>
      <c r="M803" s="20"/>
      <c r="N803" s="20"/>
      <c r="O803" s="20"/>
      <c r="P803" s="20"/>
      <c r="Q803" s="20"/>
      <c r="R803" s="20"/>
      <c r="S803" s="20"/>
      <c r="T803" s="20"/>
      <c r="U803" s="20"/>
      <c r="V803" s="20"/>
      <c r="W803" s="20"/>
      <c r="X803" s="20"/>
      <c r="Y803" s="20"/>
      <c r="Z803" s="20"/>
      <c r="AA803" s="20"/>
    </row>
    <row r="804" spans="4:27" ht="17.25" customHeight="1">
      <c r="D804" s="57"/>
      <c r="E804" s="57"/>
      <c r="F804" s="58"/>
      <c r="G804" s="58"/>
      <c r="H804" s="58"/>
      <c r="I804" s="58"/>
      <c r="J804" s="31"/>
      <c r="K804" s="20"/>
      <c r="L804" s="20"/>
      <c r="M804" s="20"/>
      <c r="N804" s="20"/>
      <c r="O804" s="20"/>
      <c r="P804" s="20"/>
      <c r="Q804" s="20"/>
      <c r="R804" s="20"/>
      <c r="S804" s="20"/>
      <c r="T804" s="20"/>
      <c r="U804" s="20"/>
      <c r="V804" s="20"/>
      <c r="W804" s="20"/>
      <c r="X804" s="20"/>
      <c r="Y804" s="20"/>
      <c r="Z804" s="20"/>
      <c r="AA804" s="20"/>
    </row>
    <row r="805" spans="4:27" ht="17.25" customHeight="1">
      <c r="D805" s="57"/>
      <c r="E805" s="57"/>
      <c r="F805" s="58"/>
      <c r="G805" s="58"/>
      <c r="H805" s="58"/>
      <c r="I805" s="58"/>
      <c r="J805" s="31"/>
      <c r="K805" s="20"/>
      <c r="L805" s="20"/>
      <c r="M805" s="20"/>
      <c r="N805" s="20"/>
      <c r="O805" s="20"/>
      <c r="P805" s="20"/>
      <c r="Q805" s="20"/>
      <c r="R805" s="20"/>
      <c r="S805" s="20"/>
      <c r="T805" s="20"/>
      <c r="U805" s="20"/>
      <c r="V805" s="20"/>
      <c r="W805" s="20"/>
      <c r="X805" s="20"/>
      <c r="Y805" s="20"/>
      <c r="Z805" s="20"/>
      <c r="AA805" s="20"/>
    </row>
    <row r="806" spans="4:27" ht="17.25" customHeight="1">
      <c r="D806" s="57"/>
      <c r="E806" s="57"/>
      <c r="F806" s="58"/>
      <c r="G806" s="58"/>
      <c r="H806" s="58"/>
      <c r="I806" s="58"/>
      <c r="J806" s="31"/>
      <c r="K806" s="20"/>
      <c r="L806" s="20"/>
      <c r="M806" s="20"/>
      <c r="N806" s="20"/>
      <c r="O806" s="20"/>
      <c r="P806" s="20"/>
      <c r="Q806" s="20"/>
      <c r="R806" s="20"/>
      <c r="S806" s="20"/>
      <c r="T806" s="20"/>
      <c r="U806" s="20"/>
      <c r="V806" s="20"/>
      <c r="W806" s="20"/>
      <c r="X806" s="20"/>
      <c r="Y806" s="20"/>
      <c r="Z806" s="20"/>
      <c r="AA806" s="20"/>
    </row>
    <row r="807" spans="4:27" ht="17.25" customHeight="1">
      <c r="D807" s="57"/>
      <c r="E807" s="57"/>
      <c r="F807" s="58"/>
      <c r="G807" s="58"/>
      <c r="H807" s="58"/>
      <c r="I807" s="58"/>
      <c r="J807" s="31"/>
      <c r="K807" s="20"/>
      <c r="L807" s="20"/>
      <c r="M807" s="20"/>
      <c r="N807" s="20"/>
      <c r="O807" s="20"/>
      <c r="P807" s="20"/>
      <c r="Q807" s="20"/>
      <c r="R807" s="20"/>
      <c r="S807" s="20"/>
      <c r="T807" s="20"/>
      <c r="U807" s="20"/>
      <c r="V807" s="20"/>
      <c r="W807" s="20"/>
      <c r="X807" s="20"/>
      <c r="Y807" s="20"/>
      <c r="Z807" s="20"/>
      <c r="AA807" s="20"/>
    </row>
    <row r="808" spans="4:27" ht="17.25" customHeight="1">
      <c r="D808" s="57"/>
      <c r="E808" s="57"/>
      <c r="F808" s="58"/>
      <c r="G808" s="58"/>
      <c r="H808" s="58"/>
      <c r="I808" s="58"/>
      <c r="J808" s="31"/>
      <c r="K808" s="20"/>
      <c r="L808" s="20"/>
      <c r="M808" s="20"/>
      <c r="N808" s="20"/>
      <c r="O808" s="20"/>
      <c r="P808" s="20"/>
      <c r="Q808" s="20"/>
      <c r="R808" s="20"/>
      <c r="S808" s="20"/>
      <c r="T808" s="20"/>
      <c r="U808" s="20"/>
      <c r="V808" s="20"/>
      <c r="W808" s="20"/>
      <c r="X808" s="20"/>
      <c r="Y808" s="20"/>
      <c r="Z808" s="20"/>
      <c r="AA808" s="20"/>
    </row>
    <row r="809" spans="4:27" ht="17.25" customHeight="1">
      <c r="D809" s="57"/>
      <c r="E809" s="57"/>
      <c r="F809" s="58"/>
      <c r="G809" s="58"/>
      <c r="H809" s="58"/>
      <c r="I809" s="58"/>
      <c r="J809" s="31"/>
      <c r="K809" s="20"/>
      <c r="L809" s="20"/>
      <c r="M809" s="20"/>
      <c r="N809" s="20"/>
      <c r="O809" s="20"/>
      <c r="P809" s="20"/>
      <c r="Q809" s="20"/>
      <c r="R809" s="20"/>
      <c r="S809" s="20"/>
      <c r="T809" s="20"/>
      <c r="U809" s="20"/>
      <c r="V809" s="20"/>
      <c r="W809" s="20"/>
      <c r="X809" s="20"/>
      <c r="Y809" s="20"/>
      <c r="Z809" s="20"/>
      <c r="AA809" s="20"/>
    </row>
    <row r="810" spans="4:27" ht="17.25" customHeight="1">
      <c r="D810" s="57"/>
      <c r="E810" s="57"/>
      <c r="F810" s="58"/>
      <c r="G810" s="58"/>
      <c r="H810" s="58"/>
      <c r="I810" s="58"/>
      <c r="J810" s="31"/>
      <c r="K810" s="20"/>
      <c r="L810" s="20"/>
      <c r="M810" s="20"/>
      <c r="N810" s="20"/>
      <c r="O810" s="20"/>
      <c r="P810" s="20"/>
      <c r="Q810" s="20"/>
      <c r="R810" s="20"/>
      <c r="S810" s="20"/>
      <c r="T810" s="20"/>
      <c r="U810" s="20"/>
      <c r="V810" s="20"/>
      <c r="W810" s="20"/>
      <c r="X810" s="20"/>
      <c r="Y810" s="20"/>
      <c r="Z810" s="20"/>
      <c r="AA810" s="20"/>
    </row>
    <row r="811" spans="4:27" ht="17.25" customHeight="1">
      <c r="D811" s="57"/>
      <c r="E811" s="57"/>
      <c r="F811" s="58"/>
      <c r="G811" s="58"/>
      <c r="H811" s="58"/>
      <c r="I811" s="58"/>
      <c r="J811" s="31"/>
      <c r="K811" s="20"/>
      <c r="L811" s="20"/>
      <c r="M811" s="20"/>
      <c r="N811" s="20"/>
      <c r="O811" s="20"/>
      <c r="P811" s="20"/>
      <c r="Q811" s="20"/>
      <c r="R811" s="20"/>
      <c r="S811" s="20"/>
      <c r="T811" s="20"/>
      <c r="U811" s="20"/>
      <c r="V811" s="20"/>
      <c r="W811" s="20"/>
      <c r="X811" s="20"/>
      <c r="Y811" s="20"/>
      <c r="Z811" s="20"/>
      <c r="AA811" s="20"/>
    </row>
    <row r="812" spans="4:27" ht="17.25" customHeight="1">
      <c r="D812" s="57"/>
      <c r="E812" s="57"/>
      <c r="F812" s="58"/>
      <c r="G812" s="58"/>
      <c r="H812" s="58"/>
      <c r="I812" s="58"/>
      <c r="J812" s="31"/>
      <c r="K812" s="20"/>
      <c r="L812" s="20"/>
      <c r="M812" s="20"/>
      <c r="N812" s="20"/>
      <c r="O812" s="20"/>
      <c r="P812" s="20"/>
      <c r="Q812" s="20"/>
      <c r="R812" s="20"/>
      <c r="S812" s="20"/>
      <c r="T812" s="20"/>
      <c r="U812" s="20"/>
      <c r="V812" s="20"/>
      <c r="W812" s="20"/>
      <c r="X812" s="20"/>
      <c r="Y812" s="20"/>
      <c r="Z812" s="20"/>
      <c r="AA812" s="20"/>
    </row>
    <row r="813" spans="4:27" ht="17.25" customHeight="1">
      <c r="D813" s="57"/>
      <c r="E813" s="57"/>
      <c r="F813" s="58"/>
      <c r="G813" s="58"/>
      <c r="H813" s="58"/>
      <c r="I813" s="58"/>
      <c r="J813" s="31"/>
      <c r="K813" s="20"/>
      <c r="L813" s="20"/>
      <c r="M813" s="20"/>
      <c r="N813" s="20"/>
      <c r="O813" s="20"/>
      <c r="P813" s="20"/>
      <c r="Q813" s="20"/>
      <c r="R813" s="20"/>
      <c r="S813" s="20"/>
      <c r="T813" s="20"/>
      <c r="U813" s="20"/>
      <c r="V813" s="20"/>
      <c r="W813" s="20"/>
      <c r="X813" s="20"/>
      <c r="Y813" s="20"/>
      <c r="Z813" s="20"/>
      <c r="AA813" s="20"/>
    </row>
    <row r="814" spans="4:27" ht="17.25" customHeight="1">
      <c r="D814" s="57"/>
      <c r="E814" s="57"/>
      <c r="F814" s="58"/>
      <c r="G814" s="58"/>
      <c r="H814" s="58"/>
      <c r="I814" s="58"/>
      <c r="J814" s="31"/>
      <c r="K814" s="20"/>
      <c r="L814" s="20"/>
      <c r="M814" s="20"/>
      <c r="N814" s="20"/>
      <c r="O814" s="20"/>
      <c r="P814" s="20"/>
      <c r="Q814" s="20"/>
      <c r="R814" s="20"/>
      <c r="S814" s="20"/>
      <c r="T814" s="20"/>
      <c r="U814" s="20"/>
      <c r="V814" s="20"/>
      <c r="W814" s="20"/>
      <c r="X814" s="20"/>
      <c r="Y814" s="20"/>
      <c r="Z814" s="20"/>
      <c r="AA814" s="20"/>
    </row>
    <row r="815" spans="4:27" ht="17.25" customHeight="1">
      <c r="D815" s="57"/>
      <c r="E815" s="57"/>
      <c r="F815" s="58"/>
      <c r="G815" s="58"/>
      <c r="H815" s="58"/>
      <c r="I815" s="58"/>
      <c r="J815" s="31"/>
      <c r="K815" s="20"/>
      <c r="L815" s="20"/>
      <c r="M815" s="20"/>
      <c r="N815" s="20"/>
      <c r="O815" s="20"/>
      <c r="P815" s="20"/>
      <c r="Q815" s="20"/>
      <c r="R815" s="20"/>
      <c r="S815" s="20"/>
      <c r="T815" s="20"/>
      <c r="U815" s="20"/>
      <c r="V815" s="20"/>
      <c r="W815" s="20"/>
      <c r="X815" s="20"/>
      <c r="Y815" s="20"/>
      <c r="Z815" s="20"/>
      <c r="AA815" s="20"/>
    </row>
    <row r="816" spans="4:27" ht="17.25" customHeight="1">
      <c r="D816" s="57"/>
      <c r="E816" s="57"/>
      <c r="F816" s="58"/>
      <c r="G816" s="58"/>
      <c r="H816" s="58"/>
      <c r="I816" s="58"/>
      <c r="J816" s="31"/>
      <c r="K816" s="20"/>
      <c r="L816" s="20"/>
      <c r="M816" s="20"/>
      <c r="N816" s="20"/>
      <c r="O816" s="20"/>
      <c r="P816" s="20"/>
      <c r="Q816" s="20"/>
      <c r="R816" s="20"/>
      <c r="S816" s="20"/>
      <c r="T816" s="20"/>
      <c r="U816" s="20"/>
      <c r="V816" s="20"/>
      <c r="W816" s="20"/>
      <c r="X816" s="20"/>
      <c r="Y816" s="20"/>
      <c r="Z816" s="20"/>
      <c r="AA816" s="20"/>
    </row>
    <row r="817" spans="4:27" ht="17.25" customHeight="1">
      <c r="D817" s="57"/>
      <c r="E817" s="57"/>
      <c r="F817" s="58"/>
      <c r="G817" s="58"/>
      <c r="H817" s="58"/>
      <c r="I817" s="58"/>
      <c r="J817" s="31"/>
      <c r="K817" s="20"/>
      <c r="L817" s="20"/>
      <c r="M817" s="20"/>
      <c r="N817" s="20"/>
      <c r="O817" s="20"/>
      <c r="P817" s="20"/>
      <c r="Q817" s="20"/>
      <c r="R817" s="20"/>
      <c r="S817" s="20"/>
      <c r="T817" s="20"/>
      <c r="U817" s="20"/>
      <c r="V817" s="20"/>
      <c r="W817" s="20"/>
      <c r="X817" s="20"/>
      <c r="Y817" s="20"/>
      <c r="Z817" s="20"/>
      <c r="AA817" s="20"/>
    </row>
    <row r="818" spans="4:27" ht="17.25" customHeight="1">
      <c r="D818" s="57"/>
      <c r="E818" s="57"/>
      <c r="F818" s="58"/>
      <c r="G818" s="58"/>
      <c r="H818" s="58"/>
      <c r="I818" s="58"/>
      <c r="J818" s="31"/>
      <c r="K818" s="20"/>
      <c r="L818" s="20"/>
      <c r="M818" s="20"/>
      <c r="N818" s="20"/>
      <c r="O818" s="20"/>
      <c r="P818" s="20"/>
      <c r="Q818" s="20"/>
      <c r="R818" s="20"/>
      <c r="S818" s="20"/>
      <c r="T818" s="20"/>
      <c r="U818" s="20"/>
      <c r="V818" s="20"/>
      <c r="W818" s="20"/>
      <c r="X818" s="20"/>
      <c r="Y818" s="20"/>
      <c r="Z818" s="20"/>
      <c r="AA818" s="20"/>
    </row>
    <row r="819" spans="4:27" ht="17.25" customHeight="1">
      <c r="D819" s="57"/>
      <c r="E819" s="57"/>
      <c r="F819" s="58"/>
      <c r="G819" s="58"/>
      <c r="H819" s="58"/>
      <c r="I819" s="58"/>
      <c r="J819" s="31"/>
      <c r="K819" s="20"/>
      <c r="L819" s="20"/>
      <c r="M819" s="20"/>
      <c r="N819" s="20"/>
      <c r="O819" s="20"/>
      <c r="P819" s="20"/>
      <c r="Q819" s="20"/>
      <c r="R819" s="20"/>
      <c r="S819" s="20"/>
      <c r="T819" s="20"/>
      <c r="U819" s="20"/>
      <c r="V819" s="20"/>
      <c r="W819" s="20"/>
      <c r="X819" s="20"/>
      <c r="Y819" s="20"/>
      <c r="Z819" s="20"/>
      <c r="AA819" s="20"/>
    </row>
    <row r="820" spans="4:27" ht="17.25" customHeight="1">
      <c r="D820" s="57"/>
      <c r="E820" s="57"/>
      <c r="F820" s="58"/>
      <c r="G820" s="58"/>
      <c r="H820" s="58"/>
      <c r="I820" s="58"/>
      <c r="J820" s="31"/>
      <c r="K820" s="20"/>
      <c r="L820" s="20"/>
      <c r="M820" s="20"/>
      <c r="N820" s="20"/>
      <c r="O820" s="20"/>
      <c r="P820" s="20"/>
      <c r="Q820" s="20"/>
      <c r="R820" s="20"/>
      <c r="S820" s="20"/>
      <c r="T820" s="20"/>
      <c r="U820" s="20"/>
      <c r="V820" s="20"/>
      <c r="W820" s="20"/>
      <c r="X820" s="20"/>
      <c r="Y820" s="20"/>
      <c r="Z820" s="20"/>
      <c r="AA820" s="20"/>
    </row>
    <row r="821" spans="4:27" ht="17.25" customHeight="1">
      <c r="D821" s="57"/>
      <c r="E821" s="57"/>
      <c r="F821" s="58"/>
      <c r="G821" s="58"/>
      <c r="H821" s="58"/>
      <c r="I821" s="58"/>
      <c r="J821" s="31"/>
      <c r="K821" s="20"/>
      <c r="L821" s="20"/>
      <c r="M821" s="20"/>
      <c r="N821" s="20"/>
      <c r="O821" s="20"/>
      <c r="P821" s="20"/>
      <c r="Q821" s="20"/>
      <c r="R821" s="20"/>
      <c r="S821" s="20"/>
      <c r="T821" s="20"/>
      <c r="U821" s="20"/>
      <c r="V821" s="20"/>
      <c r="W821" s="20"/>
      <c r="X821" s="20"/>
      <c r="Y821" s="20"/>
      <c r="Z821" s="20"/>
      <c r="AA821" s="20"/>
    </row>
    <row r="822" spans="4:27" ht="17.25" customHeight="1">
      <c r="D822" s="57"/>
      <c r="E822" s="57"/>
      <c r="F822" s="58"/>
      <c r="G822" s="58"/>
      <c r="H822" s="58"/>
      <c r="I822" s="58"/>
      <c r="J822" s="31"/>
      <c r="K822" s="20"/>
      <c r="L822" s="20"/>
      <c r="M822" s="20"/>
      <c r="N822" s="20"/>
      <c r="O822" s="20"/>
      <c r="P822" s="20"/>
      <c r="Q822" s="20"/>
      <c r="R822" s="20"/>
      <c r="S822" s="20"/>
      <c r="T822" s="20"/>
      <c r="U822" s="20"/>
      <c r="V822" s="20"/>
      <c r="W822" s="20"/>
      <c r="X822" s="20"/>
      <c r="Y822" s="20"/>
      <c r="Z822" s="20"/>
      <c r="AA822" s="20"/>
    </row>
    <row r="823" spans="4:27" ht="17.25" customHeight="1">
      <c r="D823" s="57"/>
      <c r="E823" s="57"/>
      <c r="F823" s="58"/>
      <c r="G823" s="58"/>
      <c r="H823" s="58"/>
      <c r="I823" s="58"/>
      <c r="J823" s="31"/>
      <c r="K823" s="20"/>
      <c r="L823" s="20"/>
      <c r="M823" s="20"/>
      <c r="N823" s="20"/>
      <c r="O823" s="20"/>
      <c r="P823" s="20"/>
      <c r="Q823" s="20"/>
      <c r="R823" s="20"/>
      <c r="S823" s="20"/>
      <c r="T823" s="20"/>
      <c r="U823" s="20"/>
      <c r="V823" s="20"/>
      <c r="W823" s="20"/>
      <c r="X823" s="20"/>
      <c r="Y823" s="20"/>
      <c r="Z823" s="20"/>
      <c r="AA823" s="20"/>
    </row>
    <row r="824" spans="4:27" ht="17.25" customHeight="1">
      <c r="D824" s="57"/>
      <c r="E824" s="57"/>
      <c r="F824" s="58"/>
      <c r="G824" s="58"/>
      <c r="H824" s="58"/>
      <c r="I824" s="58"/>
      <c r="J824" s="31"/>
      <c r="K824" s="20"/>
      <c r="L824" s="20"/>
      <c r="M824" s="20"/>
      <c r="N824" s="20"/>
      <c r="O824" s="20"/>
      <c r="P824" s="20"/>
      <c r="Q824" s="20"/>
      <c r="R824" s="20"/>
      <c r="S824" s="20"/>
      <c r="T824" s="20"/>
      <c r="U824" s="20"/>
      <c r="V824" s="20"/>
      <c r="W824" s="20"/>
      <c r="X824" s="20"/>
      <c r="Y824" s="20"/>
      <c r="Z824" s="20"/>
      <c r="AA824" s="20"/>
    </row>
    <row r="825" spans="4:27" ht="17.25" customHeight="1">
      <c r="D825" s="57"/>
      <c r="E825" s="57"/>
      <c r="F825" s="58"/>
      <c r="G825" s="58"/>
      <c r="H825" s="58"/>
      <c r="I825" s="58"/>
      <c r="J825" s="31"/>
      <c r="K825" s="20"/>
      <c r="L825" s="20"/>
      <c r="M825" s="20"/>
      <c r="N825" s="20"/>
      <c r="O825" s="20"/>
      <c r="P825" s="20"/>
      <c r="Q825" s="20"/>
      <c r="R825" s="20"/>
      <c r="S825" s="20"/>
      <c r="T825" s="20"/>
      <c r="U825" s="20"/>
      <c r="V825" s="20"/>
      <c r="W825" s="20"/>
      <c r="X825" s="20"/>
      <c r="Y825" s="20"/>
      <c r="Z825" s="20"/>
      <c r="AA825" s="20"/>
    </row>
    <row r="826" spans="4:27" ht="17.25" customHeight="1">
      <c r="D826" s="57"/>
      <c r="E826" s="57"/>
      <c r="F826" s="58"/>
      <c r="G826" s="58"/>
      <c r="H826" s="58"/>
      <c r="I826" s="58"/>
      <c r="J826" s="31"/>
      <c r="K826" s="20"/>
      <c r="L826" s="20"/>
      <c r="M826" s="20"/>
      <c r="N826" s="20"/>
      <c r="O826" s="20"/>
      <c r="P826" s="20"/>
      <c r="Q826" s="20"/>
      <c r="R826" s="20"/>
      <c r="S826" s="20"/>
      <c r="T826" s="20"/>
      <c r="U826" s="20"/>
      <c r="V826" s="20"/>
      <c r="W826" s="20"/>
      <c r="X826" s="20"/>
      <c r="Y826" s="20"/>
      <c r="Z826" s="20"/>
      <c r="AA826" s="20"/>
    </row>
    <row r="827" spans="4:27" ht="17.25" customHeight="1">
      <c r="D827" s="57"/>
      <c r="E827" s="57"/>
      <c r="F827" s="58"/>
      <c r="G827" s="58"/>
      <c r="H827" s="58"/>
      <c r="I827" s="58"/>
      <c r="J827" s="31"/>
      <c r="K827" s="20"/>
      <c r="L827" s="20"/>
      <c r="M827" s="20"/>
      <c r="N827" s="20"/>
      <c r="O827" s="20"/>
      <c r="P827" s="20"/>
      <c r="Q827" s="20"/>
      <c r="R827" s="20"/>
      <c r="S827" s="20"/>
      <c r="T827" s="20"/>
      <c r="U827" s="20"/>
      <c r="V827" s="20"/>
      <c r="W827" s="20"/>
      <c r="X827" s="20"/>
      <c r="Y827" s="20"/>
      <c r="Z827" s="20"/>
      <c r="AA827" s="20"/>
    </row>
    <row r="828" spans="4:27" ht="17.25" customHeight="1">
      <c r="D828" s="57"/>
      <c r="E828" s="57"/>
      <c r="F828" s="58"/>
      <c r="G828" s="58"/>
      <c r="H828" s="58"/>
      <c r="I828" s="58"/>
      <c r="J828" s="31"/>
      <c r="K828" s="20"/>
      <c r="L828" s="20"/>
      <c r="M828" s="20"/>
      <c r="N828" s="20"/>
      <c r="O828" s="20"/>
      <c r="P828" s="20"/>
      <c r="Q828" s="20"/>
      <c r="R828" s="20"/>
      <c r="S828" s="20"/>
      <c r="T828" s="20"/>
      <c r="U828" s="20"/>
      <c r="V828" s="20"/>
      <c r="W828" s="20"/>
      <c r="X828" s="20"/>
      <c r="Y828" s="20"/>
      <c r="Z828" s="20"/>
      <c r="AA828" s="20"/>
    </row>
    <row r="829" spans="4:27" ht="17.25" customHeight="1">
      <c r="D829" s="57"/>
      <c r="E829" s="57"/>
      <c r="F829" s="58"/>
      <c r="G829" s="58"/>
      <c r="H829" s="58"/>
      <c r="I829" s="58"/>
      <c r="J829" s="31"/>
      <c r="K829" s="20"/>
      <c r="L829" s="20"/>
      <c r="M829" s="20"/>
      <c r="N829" s="20"/>
      <c r="O829" s="20"/>
      <c r="P829" s="20"/>
      <c r="Q829" s="20"/>
      <c r="R829" s="20"/>
      <c r="S829" s="20"/>
      <c r="T829" s="20"/>
      <c r="U829" s="20"/>
      <c r="V829" s="20"/>
      <c r="W829" s="20"/>
      <c r="X829" s="20"/>
      <c r="Y829" s="20"/>
      <c r="Z829" s="20"/>
      <c r="AA829" s="20"/>
    </row>
    <row r="830" spans="4:27" ht="17.25" customHeight="1">
      <c r="D830" s="57"/>
      <c r="E830" s="57"/>
      <c r="F830" s="58"/>
      <c r="G830" s="58"/>
      <c r="H830" s="58"/>
      <c r="I830" s="58"/>
      <c r="J830" s="31"/>
      <c r="K830" s="20"/>
      <c r="L830" s="20"/>
      <c r="M830" s="20"/>
      <c r="N830" s="20"/>
      <c r="O830" s="20"/>
      <c r="P830" s="20"/>
      <c r="Q830" s="20"/>
      <c r="R830" s="20"/>
      <c r="S830" s="20"/>
      <c r="T830" s="20"/>
      <c r="U830" s="20"/>
      <c r="V830" s="20"/>
      <c r="W830" s="20"/>
      <c r="X830" s="20"/>
      <c r="Y830" s="20"/>
      <c r="Z830" s="20"/>
      <c r="AA830" s="20"/>
    </row>
    <row r="831" spans="4:27" ht="17.25" customHeight="1">
      <c r="D831" s="57"/>
      <c r="E831" s="57"/>
      <c r="F831" s="58"/>
      <c r="G831" s="58"/>
      <c r="H831" s="58"/>
      <c r="I831" s="58"/>
      <c r="J831" s="31"/>
      <c r="K831" s="20"/>
      <c r="L831" s="20"/>
      <c r="M831" s="20"/>
      <c r="N831" s="20"/>
      <c r="O831" s="20"/>
      <c r="P831" s="20"/>
      <c r="Q831" s="20"/>
      <c r="R831" s="20"/>
      <c r="S831" s="20"/>
      <c r="T831" s="20"/>
      <c r="U831" s="20"/>
      <c r="V831" s="20"/>
      <c r="W831" s="20"/>
      <c r="X831" s="20"/>
      <c r="Y831" s="20"/>
      <c r="Z831" s="20"/>
      <c r="AA831" s="20"/>
    </row>
    <row r="832" spans="4:27" ht="17.25" customHeight="1">
      <c r="D832" s="57"/>
      <c r="E832" s="57"/>
      <c r="F832" s="58"/>
      <c r="G832" s="58"/>
      <c r="H832" s="58"/>
      <c r="I832" s="58"/>
      <c r="J832" s="31"/>
      <c r="K832" s="20"/>
      <c r="L832" s="20"/>
      <c r="M832" s="20"/>
      <c r="N832" s="20"/>
      <c r="O832" s="20"/>
      <c r="P832" s="20"/>
      <c r="Q832" s="20"/>
      <c r="R832" s="20"/>
      <c r="S832" s="20"/>
      <c r="T832" s="20"/>
      <c r="U832" s="20"/>
      <c r="V832" s="20"/>
      <c r="W832" s="20"/>
      <c r="X832" s="20"/>
      <c r="Y832" s="20"/>
      <c r="Z832" s="20"/>
      <c r="AA832" s="20"/>
    </row>
    <row r="833" spans="4:27" ht="17.25" customHeight="1">
      <c r="D833" s="57"/>
      <c r="E833" s="57"/>
      <c r="F833" s="58"/>
      <c r="G833" s="58"/>
      <c r="H833" s="58"/>
      <c r="I833" s="58"/>
      <c r="J833" s="31"/>
      <c r="K833" s="20"/>
      <c r="L833" s="20"/>
      <c r="M833" s="20"/>
      <c r="N833" s="20"/>
      <c r="O833" s="20"/>
      <c r="P833" s="20"/>
      <c r="Q833" s="20"/>
      <c r="R833" s="20"/>
      <c r="S833" s="20"/>
      <c r="T833" s="20"/>
      <c r="U833" s="20"/>
      <c r="V833" s="20"/>
      <c r="W833" s="20"/>
      <c r="X833" s="20"/>
      <c r="Y833" s="20"/>
      <c r="Z833" s="20"/>
      <c r="AA833" s="20"/>
    </row>
    <row r="834" spans="4:27" ht="17.25" customHeight="1">
      <c r="D834" s="57"/>
      <c r="E834" s="57"/>
      <c r="F834" s="58"/>
      <c r="G834" s="58"/>
      <c r="H834" s="58"/>
      <c r="I834" s="58"/>
      <c r="J834" s="31"/>
      <c r="K834" s="20"/>
      <c r="L834" s="20"/>
      <c r="M834" s="20"/>
      <c r="N834" s="20"/>
      <c r="O834" s="20"/>
      <c r="P834" s="20"/>
      <c r="Q834" s="20"/>
      <c r="R834" s="20"/>
      <c r="S834" s="20"/>
      <c r="T834" s="20"/>
      <c r="U834" s="20"/>
      <c r="V834" s="20"/>
      <c r="W834" s="20"/>
      <c r="X834" s="20"/>
      <c r="Y834" s="20"/>
      <c r="Z834" s="20"/>
      <c r="AA834" s="20"/>
    </row>
    <row r="835" spans="4:27" ht="17.25" customHeight="1">
      <c r="D835" s="57"/>
      <c r="E835" s="57"/>
      <c r="F835" s="58"/>
      <c r="G835" s="58"/>
      <c r="H835" s="58"/>
      <c r="I835" s="58"/>
      <c r="J835" s="31"/>
      <c r="K835" s="20"/>
      <c r="L835" s="20"/>
      <c r="M835" s="20"/>
      <c r="N835" s="20"/>
      <c r="O835" s="20"/>
      <c r="P835" s="20"/>
      <c r="Q835" s="20"/>
      <c r="R835" s="20"/>
      <c r="S835" s="20"/>
      <c r="T835" s="20"/>
      <c r="U835" s="20"/>
      <c r="V835" s="20"/>
      <c r="W835" s="20"/>
      <c r="X835" s="20"/>
      <c r="Y835" s="20"/>
      <c r="Z835" s="20"/>
      <c r="AA835" s="20"/>
    </row>
    <row r="836" spans="4:27" ht="17.25" customHeight="1">
      <c r="D836" s="57"/>
      <c r="E836" s="57"/>
      <c r="F836" s="58"/>
      <c r="G836" s="58"/>
      <c r="H836" s="58"/>
      <c r="I836" s="58"/>
      <c r="J836" s="31"/>
      <c r="K836" s="20"/>
      <c r="L836" s="20"/>
      <c r="M836" s="20"/>
      <c r="N836" s="20"/>
      <c r="O836" s="20"/>
      <c r="P836" s="20"/>
      <c r="Q836" s="20"/>
      <c r="R836" s="20"/>
      <c r="S836" s="20"/>
      <c r="T836" s="20"/>
      <c r="U836" s="20"/>
      <c r="V836" s="20"/>
      <c r="W836" s="20"/>
      <c r="X836" s="20"/>
      <c r="Y836" s="20"/>
      <c r="Z836" s="20"/>
      <c r="AA836" s="20"/>
    </row>
    <row r="837" spans="4:27" ht="17.25" customHeight="1">
      <c r="D837" s="57"/>
      <c r="E837" s="57"/>
      <c r="F837" s="58"/>
      <c r="G837" s="58"/>
      <c r="H837" s="58"/>
      <c r="I837" s="58"/>
      <c r="J837" s="31"/>
      <c r="K837" s="20"/>
      <c r="L837" s="20"/>
      <c r="M837" s="20"/>
      <c r="N837" s="20"/>
      <c r="O837" s="20"/>
      <c r="P837" s="20"/>
      <c r="Q837" s="20"/>
      <c r="R837" s="20"/>
      <c r="S837" s="20"/>
      <c r="T837" s="20"/>
      <c r="U837" s="20"/>
      <c r="V837" s="20"/>
      <c r="W837" s="20"/>
      <c r="X837" s="20"/>
      <c r="Y837" s="20"/>
      <c r="Z837" s="20"/>
      <c r="AA837" s="20"/>
    </row>
    <row r="838" spans="4:27" ht="17.25" customHeight="1">
      <c r="D838" s="57"/>
      <c r="E838" s="57"/>
      <c r="F838" s="58"/>
      <c r="G838" s="58"/>
      <c r="H838" s="58"/>
      <c r="I838" s="58"/>
      <c r="J838" s="31"/>
      <c r="K838" s="20"/>
      <c r="L838" s="20"/>
      <c r="M838" s="20"/>
      <c r="N838" s="20"/>
      <c r="O838" s="20"/>
      <c r="P838" s="20"/>
      <c r="Q838" s="20"/>
      <c r="R838" s="20"/>
      <c r="S838" s="20"/>
      <c r="T838" s="20"/>
      <c r="U838" s="20"/>
      <c r="V838" s="20"/>
      <c r="W838" s="20"/>
      <c r="X838" s="20"/>
      <c r="Y838" s="20"/>
      <c r="Z838" s="20"/>
      <c r="AA838" s="20"/>
    </row>
    <row r="839" spans="4:27" ht="17.25" customHeight="1">
      <c r="D839" s="57"/>
      <c r="E839" s="57"/>
      <c r="F839" s="58"/>
      <c r="G839" s="58"/>
      <c r="H839" s="58"/>
      <c r="I839" s="58"/>
      <c r="J839" s="31"/>
      <c r="K839" s="20"/>
      <c r="L839" s="20"/>
      <c r="M839" s="20"/>
      <c r="N839" s="20"/>
      <c r="O839" s="20"/>
      <c r="P839" s="20"/>
      <c r="Q839" s="20"/>
      <c r="R839" s="20"/>
      <c r="S839" s="20"/>
      <c r="T839" s="20"/>
      <c r="U839" s="20"/>
      <c r="V839" s="20"/>
      <c r="W839" s="20"/>
      <c r="X839" s="20"/>
      <c r="Y839" s="20"/>
      <c r="Z839" s="20"/>
      <c r="AA839" s="20"/>
    </row>
    <row r="840" spans="4:27" ht="17.25" customHeight="1">
      <c r="D840" s="57"/>
      <c r="E840" s="57"/>
      <c r="F840" s="58"/>
      <c r="G840" s="58"/>
      <c r="H840" s="58"/>
      <c r="I840" s="58"/>
      <c r="J840" s="31"/>
      <c r="K840" s="20"/>
      <c r="L840" s="20"/>
      <c r="M840" s="20"/>
      <c r="N840" s="20"/>
      <c r="O840" s="20"/>
      <c r="P840" s="20"/>
      <c r="Q840" s="20"/>
      <c r="R840" s="20"/>
      <c r="S840" s="20"/>
      <c r="T840" s="20"/>
      <c r="U840" s="20"/>
      <c r="V840" s="20"/>
      <c r="W840" s="20"/>
      <c r="X840" s="20"/>
      <c r="Y840" s="20"/>
      <c r="Z840" s="20"/>
      <c r="AA840" s="20"/>
    </row>
    <row r="841" spans="4:27" ht="17.25" customHeight="1">
      <c r="D841" s="57"/>
      <c r="E841" s="57"/>
      <c r="F841" s="58"/>
      <c r="G841" s="58"/>
      <c r="H841" s="58"/>
      <c r="I841" s="58"/>
      <c r="J841" s="31"/>
      <c r="K841" s="20"/>
      <c r="L841" s="20"/>
      <c r="M841" s="20"/>
      <c r="N841" s="20"/>
      <c r="O841" s="20"/>
      <c r="P841" s="20"/>
      <c r="Q841" s="20"/>
      <c r="R841" s="20"/>
      <c r="S841" s="20"/>
      <c r="T841" s="20"/>
      <c r="U841" s="20"/>
      <c r="V841" s="20"/>
      <c r="W841" s="20"/>
      <c r="X841" s="20"/>
      <c r="Y841" s="20"/>
      <c r="Z841" s="20"/>
      <c r="AA841" s="20"/>
    </row>
    <row r="842" spans="4:27" ht="17.25" customHeight="1">
      <c r="D842" s="57"/>
      <c r="E842" s="57"/>
      <c r="F842" s="58"/>
      <c r="G842" s="58"/>
      <c r="H842" s="58"/>
      <c r="I842" s="58"/>
      <c r="J842" s="31"/>
      <c r="K842" s="20"/>
      <c r="L842" s="20"/>
      <c r="M842" s="20"/>
      <c r="N842" s="20"/>
      <c r="O842" s="20"/>
      <c r="P842" s="20"/>
      <c r="Q842" s="20"/>
      <c r="R842" s="20"/>
      <c r="S842" s="20"/>
      <c r="T842" s="20"/>
      <c r="U842" s="20"/>
      <c r="V842" s="20"/>
      <c r="W842" s="20"/>
      <c r="X842" s="20"/>
      <c r="Y842" s="20"/>
      <c r="Z842" s="20"/>
      <c r="AA842" s="20"/>
    </row>
    <row r="843" spans="4:27" ht="17.25" customHeight="1">
      <c r="D843" s="57"/>
      <c r="E843" s="57"/>
      <c r="F843" s="58"/>
      <c r="G843" s="58"/>
      <c r="H843" s="58"/>
      <c r="I843" s="58"/>
      <c r="J843" s="31"/>
      <c r="K843" s="20"/>
      <c r="L843" s="20"/>
      <c r="M843" s="20"/>
      <c r="N843" s="20"/>
      <c r="O843" s="20"/>
      <c r="P843" s="20"/>
      <c r="Q843" s="20"/>
      <c r="R843" s="20"/>
      <c r="S843" s="20"/>
      <c r="T843" s="20"/>
      <c r="U843" s="20"/>
      <c r="V843" s="20"/>
      <c r="W843" s="20"/>
      <c r="X843" s="20"/>
      <c r="Y843" s="20"/>
      <c r="Z843" s="20"/>
      <c r="AA843" s="20"/>
    </row>
    <row r="844" spans="4:27" ht="17.25" customHeight="1">
      <c r="D844" s="57"/>
      <c r="E844" s="57"/>
      <c r="F844" s="58"/>
      <c r="G844" s="58"/>
      <c r="H844" s="58"/>
      <c r="I844" s="58"/>
      <c r="J844" s="31"/>
      <c r="K844" s="20"/>
      <c r="L844" s="20"/>
      <c r="M844" s="20"/>
      <c r="N844" s="20"/>
      <c r="O844" s="20"/>
      <c r="P844" s="20"/>
      <c r="Q844" s="20"/>
      <c r="R844" s="20"/>
      <c r="S844" s="20"/>
      <c r="T844" s="20"/>
      <c r="U844" s="20"/>
      <c r="V844" s="20"/>
      <c r="W844" s="20"/>
      <c r="X844" s="20"/>
      <c r="Y844" s="20"/>
      <c r="Z844" s="20"/>
      <c r="AA844" s="20"/>
    </row>
    <row r="845" spans="4:27" ht="17.25" customHeight="1">
      <c r="D845" s="57"/>
      <c r="E845" s="57"/>
      <c r="F845" s="58"/>
      <c r="G845" s="58"/>
      <c r="H845" s="58"/>
      <c r="I845" s="58"/>
      <c r="J845" s="31"/>
      <c r="K845" s="20"/>
      <c r="L845" s="20"/>
      <c r="M845" s="20"/>
      <c r="N845" s="20"/>
      <c r="O845" s="20"/>
      <c r="P845" s="20"/>
      <c r="Q845" s="20"/>
      <c r="R845" s="20"/>
      <c r="S845" s="20"/>
      <c r="T845" s="20"/>
      <c r="U845" s="20"/>
      <c r="V845" s="20"/>
      <c r="W845" s="20"/>
      <c r="X845" s="20"/>
      <c r="Y845" s="20"/>
      <c r="Z845" s="20"/>
      <c r="AA845" s="20"/>
    </row>
    <row r="846" spans="4:27" ht="17.25" customHeight="1">
      <c r="D846" s="57"/>
      <c r="E846" s="57"/>
      <c r="F846" s="58"/>
      <c r="G846" s="58"/>
      <c r="H846" s="58"/>
      <c r="I846" s="58"/>
      <c r="J846" s="31"/>
      <c r="K846" s="20"/>
      <c r="L846" s="20"/>
      <c r="M846" s="20"/>
      <c r="N846" s="20"/>
      <c r="O846" s="20"/>
      <c r="P846" s="20"/>
      <c r="Q846" s="20"/>
      <c r="R846" s="20"/>
      <c r="S846" s="20"/>
      <c r="T846" s="20"/>
      <c r="U846" s="20"/>
      <c r="V846" s="20"/>
      <c r="W846" s="20"/>
      <c r="X846" s="20"/>
      <c r="Y846" s="20"/>
      <c r="Z846" s="20"/>
      <c r="AA846" s="20"/>
    </row>
    <row r="847" spans="4:27" ht="17.25" customHeight="1">
      <c r="D847" s="57"/>
      <c r="E847" s="57"/>
      <c r="F847" s="58"/>
      <c r="G847" s="58"/>
      <c r="H847" s="58"/>
      <c r="I847" s="58"/>
      <c r="J847" s="31"/>
      <c r="K847" s="20"/>
      <c r="L847" s="20"/>
      <c r="M847" s="20"/>
      <c r="N847" s="20"/>
      <c r="O847" s="20"/>
      <c r="P847" s="20"/>
      <c r="Q847" s="20"/>
      <c r="R847" s="20"/>
      <c r="S847" s="20"/>
      <c r="T847" s="20"/>
      <c r="U847" s="20"/>
      <c r="V847" s="20"/>
      <c r="W847" s="20"/>
      <c r="X847" s="20"/>
      <c r="Y847" s="20"/>
      <c r="Z847" s="20"/>
      <c r="AA847" s="20"/>
    </row>
    <row r="848" spans="4:27" ht="17.25" customHeight="1">
      <c r="D848" s="57"/>
      <c r="E848" s="57"/>
      <c r="F848" s="58"/>
      <c r="G848" s="58"/>
      <c r="H848" s="58"/>
      <c r="I848" s="58"/>
      <c r="J848" s="31"/>
      <c r="K848" s="20"/>
      <c r="L848" s="20"/>
      <c r="M848" s="20"/>
      <c r="N848" s="20"/>
      <c r="O848" s="20"/>
      <c r="P848" s="20"/>
      <c r="Q848" s="20"/>
      <c r="R848" s="20"/>
      <c r="S848" s="20"/>
      <c r="T848" s="20"/>
      <c r="U848" s="20"/>
      <c r="V848" s="20"/>
      <c r="W848" s="20"/>
      <c r="X848" s="20"/>
      <c r="Y848" s="20"/>
      <c r="Z848" s="20"/>
      <c r="AA848" s="20"/>
    </row>
    <row r="849" spans="4:27" ht="17.25" customHeight="1">
      <c r="D849" s="57"/>
      <c r="E849" s="57"/>
      <c r="F849" s="58"/>
      <c r="G849" s="58"/>
      <c r="H849" s="58"/>
      <c r="I849" s="58"/>
      <c r="J849" s="31"/>
      <c r="K849" s="20"/>
      <c r="L849" s="20"/>
      <c r="M849" s="20"/>
      <c r="N849" s="20"/>
      <c r="O849" s="20"/>
      <c r="P849" s="20"/>
      <c r="Q849" s="20"/>
      <c r="R849" s="20"/>
      <c r="S849" s="20"/>
      <c r="T849" s="20"/>
      <c r="U849" s="20"/>
      <c r="V849" s="20"/>
      <c r="W849" s="20"/>
      <c r="X849" s="20"/>
      <c r="Y849" s="20"/>
      <c r="Z849" s="20"/>
      <c r="AA849" s="20"/>
    </row>
    <row r="850" spans="4:27" ht="17.25" customHeight="1">
      <c r="D850" s="57"/>
      <c r="E850" s="57"/>
      <c r="F850" s="58"/>
      <c r="G850" s="58"/>
      <c r="H850" s="58"/>
      <c r="I850" s="58"/>
      <c r="J850" s="31"/>
      <c r="K850" s="20"/>
      <c r="L850" s="20"/>
      <c r="M850" s="20"/>
      <c r="N850" s="20"/>
      <c r="O850" s="20"/>
      <c r="P850" s="20"/>
      <c r="Q850" s="20"/>
      <c r="R850" s="20"/>
      <c r="S850" s="20"/>
      <c r="T850" s="20"/>
      <c r="U850" s="20"/>
      <c r="V850" s="20"/>
      <c r="W850" s="20"/>
      <c r="X850" s="20"/>
      <c r="Y850" s="20"/>
      <c r="Z850" s="20"/>
      <c r="AA850" s="20"/>
    </row>
    <row r="851" spans="4:27" ht="17.25" customHeight="1">
      <c r="D851" s="57"/>
      <c r="E851" s="57"/>
      <c r="F851" s="58"/>
      <c r="G851" s="58"/>
      <c r="H851" s="58"/>
      <c r="I851" s="58"/>
      <c r="J851" s="31"/>
      <c r="K851" s="20"/>
      <c r="L851" s="20"/>
      <c r="M851" s="20"/>
      <c r="N851" s="20"/>
      <c r="O851" s="20"/>
      <c r="P851" s="20"/>
      <c r="Q851" s="20"/>
      <c r="R851" s="20"/>
      <c r="S851" s="20"/>
      <c r="T851" s="20"/>
      <c r="U851" s="20"/>
      <c r="V851" s="20"/>
      <c r="W851" s="20"/>
      <c r="X851" s="20"/>
      <c r="Y851" s="20"/>
      <c r="Z851" s="20"/>
      <c r="AA851" s="20"/>
    </row>
    <row r="852" spans="4:27" ht="17.25" customHeight="1">
      <c r="D852" s="57"/>
      <c r="E852" s="57"/>
      <c r="F852" s="58"/>
      <c r="G852" s="58"/>
      <c r="H852" s="58"/>
      <c r="I852" s="58"/>
      <c r="J852" s="31"/>
      <c r="K852" s="20"/>
      <c r="L852" s="20"/>
      <c r="M852" s="20"/>
      <c r="N852" s="20"/>
      <c r="O852" s="20"/>
      <c r="P852" s="20"/>
      <c r="Q852" s="20"/>
      <c r="R852" s="20"/>
      <c r="S852" s="20"/>
      <c r="T852" s="20"/>
      <c r="U852" s="20"/>
      <c r="V852" s="20"/>
      <c r="W852" s="20"/>
      <c r="X852" s="20"/>
      <c r="Y852" s="20"/>
      <c r="Z852" s="20"/>
      <c r="AA852" s="20"/>
    </row>
    <row r="853" spans="4:27" ht="17.25" customHeight="1">
      <c r="D853" s="57"/>
      <c r="E853" s="57"/>
      <c r="F853" s="58"/>
      <c r="G853" s="58"/>
      <c r="H853" s="58"/>
      <c r="I853" s="58"/>
      <c r="J853" s="31"/>
      <c r="K853" s="20"/>
      <c r="L853" s="20"/>
      <c r="M853" s="20"/>
      <c r="N853" s="20"/>
      <c r="O853" s="20"/>
      <c r="P853" s="20"/>
      <c r="Q853" s="20"/>
      <c r="R853" s="20"/>
      <c r="S853" s="20"/>
      <c r="T853" s="20"/>
      <c r="U853" s="20"/>
      <c r="V853" s="20"/>
      <c r="W853" s="20"/>
      <c r="X853" s="20"/>
      <c r="Y853" s="20"/>
      <c r="Z853" s="20"/>
      <c r="AA853" s="20"/>
    </row>
    <row r="854" spans="4:27" ht="17.25" customHeight="1">
      <c r="D854" s="57"/>
      <c r="E854" s="57"/>
      <c r="F854" s="58"/>
      <c r="G854" s="58"/>
      <c r="H854" s="58"/>
      <c r="I854" s="58"/>
      <c r="J854" s="31"/>
      <c r="K854" s="20"/>
      <c r="L854" s="20"/>
      <c r="M854" s="20"/>
      <c r="N854" s="20"/>
      <c r="O854" s="20"/>
      <c r="P854" s="20"/>
      <c r="Q854" s="20"/>
      <c r="R854" s="20"/>
      <c r="S854" s="20"/>
      <c r="T854" s="20"/>
      <c r="U854" s="20"/>
      <c r="V854" s="20"/>
      <c r="W854" s="20"/>
      <c r="X854" s="20"/>
      <c r="Y854" s="20"/>
      <c r="Z854" s="20"/>
      <c r="AA854" s="20"/>
    </row>
    <row r="855" spans="4:27" ht="17.25" customHeight="1">
      <c r="D855" s="57"/>
      <c r="E855" s="57"/>
      <c r="F855" s="58"/>
      <c r="G855" s="58"/>
      <c r="H855" s="58"/>
      <c r="I855" s="58"/>
      <c r="J855" s="31"/>
      <c r="K855" s="20"/>
      <c r="L855" s="20"/>
      <c r="M855" s="20"/>
      <c r="N855" s="20"/>
      <c r="O855" s="20"/>
      <c r="P855" s="20"/>
      <c r="Q855" s="20"/>
      <c r="R855" s="20"/>
      <c r="S855" s="20"/>
      <c r="T855" s="20"/>
      <c r="U855" s="20"/>
      <c r="V855" s="20"/>
      <c r="W855" s="20"/>
      <c r="X855" s="20"/>
      <c r="Y855" s="20"/>
      <c r="Z855" s="20"/>
      <c r="AA855" s="20"/>
    </row>
    <row r="856" spans="4:27" ht="17.25" customHeight="1">
      <c r="D856" s="57"/>
      <c r="E856" s="57"/>
      <c r="F856" s="58"/>
      <c r="G856" s="58"/>
      <c r="H856" s="58"/>
      <c r="I856" s="58"/>
      <c r="J856" s="31"/>
      <c r="K856" s="20"/>
      <c r="L856" s="20"/>
      <c r="M856" s="20"/>
      <c r="N856" s="20"/>
      <c r="O856" s="20"/>
      <c r="P856" s="20"/>
      <c r="Q856" s="20"/>
      <c r="R856" s="20"/>
      <c r="S856" s="20"/>
      <c r="T856" s="20"/>
      <c r="U856" s="20"/>
      <c r="V856" s="20"/>
      <c r="W856" s="20"/>
      <c r="X856" s="20"/>
      <c r="Y856" s="20"/>
      <c r="Z856" s="20"/>
      <c r="AA856" s="20"/>
    </row>
    <row r="857" spans="4:27" ht="17.25" customHeight="1">
      <c r="D857" s="57"/>
      <c r="E857" s="57"/>
      <c r="F857" s="58"/>
      <c r="G857" s="58"/>
      <c r="H857" s="58"/>
      <c r="I857" s="58"/>
      <c r="J857" s="31"/>
      <c r="K857" s="20"/>
      <c r="L857" s="20"/>
      <c r="M857" s="20"/>
      <c r="N857" s="20"/>
      <c r="O857" s="20"/>
      <c r="P857" s="20"/>
      <c r="Q857" s="20"/>
      <c r="R857" s="20"/>
      <c r="S857" s="20"/>
      <c r="T857" s="20"/>
      <c r="U857" s="20"/>
      <c r="V857" s="20"/>
      <c r="W857" s="20"/>
      <c r="X857" s="20"/>
      <c r="Y857" s="20"/>
      <c r="Z857" s="20"/>
      <c r="AA857" s="20"/>
    </row>
    <row r="858" spans="4:27" ht="17.25" customHeight="1">
      <c r="D858" s="57"/>
      <c r="E858" s="57"/>
      <c r="F858" s="58"/>
      <c r="G858" s="58"/>
      <c r="H858" s="58"/>
      <c r="I858" s="58"/>
      <c r="J858" s="31"/>
      <c r="K858" s="20"/>
      <c r="L858" s="20"/>
      <c r="M858" s="20"/>
      <c r="N858" s="20"/>
      <c r="O858" s="20"/>
      <c r="P858" s="20"/>
      <c r="Q858" s="20"/>
      <c r="R858" s="20"/>
      <c r="S858" s="20"/>
      <c r="T858" s="20"/>
      <c r="U858" s="20"/>
      <c r="V858" s="20"/>
      <c r="W858" s="20"/>
      <c r="X858" s="20"/>
      <c r="Y858" s="20"/>
      <c r="Z858" s="20"/>
      <c r="AA858" s="20"/>
    </row>
    <row r="859" spans="4:27" ht="17.25" customHeight="1">
      <c r="D859" s="57"/>
      <c r="E859" s="57"/>
      <c r="F859" s="58"/>
      <c r="G859" s="58"/>
      <c r="H859" s="58"/>
      <c r="I859" s="58"/>
      <c r="J859" s="31"/>
      <c r="K859" s="20"/>
      <c r="L859" s="20"/>
      <c r="M859" s="20"/>
      <c r="N859" s="20"/>
      <c r="O859" s="20"/>
      <c r="P859" s="20"/>
      <c r="Q859" s="20"/>
      <c r="R859" s="20"/>
      <c r="S859" s="20"/>
      <c r="T859" s="20"/>
      <c r="U859" s="20"/>
      <c r="V859" s="20"/>
      <c r="W859" s="20"/>
      <c r="X859" s="20"/>
      <c r="Y859" s="20"/>
      <c r="Z859" s="20"/>
      <c r="AA859" s="20"/>
    </row>
    <row r="860" spans="4:27" ht="17.25" customHeight="1">
      <c r="D860" s="57"/>
      <c r="E860" s="57"/>
      <c r="F860" s="58"/>
      <c r="G860" s="58"/>
      <c r="H860" s="58"/>
      <c r="I860" s="58"/>
      <c r="J860" s="31"/>
      <c r="K860" s="20"/>
      <c r="L860" s="20"/>
      <c r="M860" s="20"/>
      <c r="N860" s="20"/>
      <c r="O860" s="20"/>
      <c r="P860" s="20"/>
      <c r="Q860" s="20"/>
      <c r="R860" s="20"/>
      <c r="S860" s="20"/>
      <c r="T860" s="20"/>
      <c r="U860" s="20"/>
      <c r="V860" s="20"/>
      <c r="W860" s="20"/>
      <c r="X860" s="20"/>
      <c r="Y860" s="20"/>
      <c r="Z860" s="20"/>
      <c r="AA860" s="20"/>
    </row>
    <row r="861" spans="4:27" ht="17.25" customHeight="1">
      <c r="D861" s="57"/>
      <c r="E861" s="57"/>
      <c r="F861" s="58"/>
      <c r="G861" s="58"/>
      <c r="H861" s="58"/>
      <c r="I861" s="58"/>
      <c r="J861" s="31"/>
      <c r="K861" s="20"/>
      <c r="L861" s="20"/>
      <c r="M861" s="20"/>
      <c r="N861" s="20"/>
      <c r="O861" s="20"/>
      <c r="P861" s="20"/>
      <c r="Q861" s="20"/>
      <c r="R861" s="20"/>
      <c r="S861" s="20"/>
      <c r="T861" s="20"/>
      <c r="U861" s="20"/>
      <c r="V861" s="20"/>
      <c r="W861" s="20"/>
      <c r="X861" s="20"/>
      <c r="Y861" s="20"/>
      <c r="Z861" s="20"/>
      <c r="AA861" s="20"/>
    </row>
    <row r="862" spans="4:27" ht="17.25" customHeight="1">
      <c r="D862" s="57"/>
      <c r="E862" s="57"/>
      <c r="F862" s="58"/>
      <c r="G862" s="58"/>
      <c r="H862" s="58"/>
      <c r="I862" s="58"/>
      <c r="J862" s="31"/>
      <c r="K862" s="20"/>
      <c r="L862" s="20"/>
      <c r="M862" s="20"/>
      <c r="N862" s="20"/>
      <c r="O862" s="20"/>
      <c r="P862" s="20"/>
      <c r="Q862" s="20"/>
      <c r="R862" s="20"/>
      <c r="S862" s="20"/>
      <c r="T862" s="20"/>
      <c r="U862" s="20"/>
      <c r="V862" s="20"/>
      <c r="W862" s="20"/>
      <c r="X862" s="20"/>
      <c r="Y862" s="20"/>
      <c r="Z862" s="20"/>
      <c r="AA862" s="20"/>
    </row>
    <row r="863" spans="4:27" ht="17.25" customHeight="1">
      <c r="D863" s="57"/>
      <c r="E863" s="57"/>
      <c r="F863" s="58"/>
      <c r="G863" s="58"/>
      <c r="H863" s="58"/>
      <c r="I863" s="58"/>
      <c r="J863" s="31"/>
      <c r="K863" s="20"/>
      <c r="L863" s="20"/>
      <c r="M863" s="20"/>
      <c r="N863" s="20"/>
      <c r="O863" s="20"/>
      <c r="P863" s="20"/>
      <c r="Q863" s="20"/>
      <c r="R863" s="20"/>
      <c r="S863" s="20"/>
      <c r="T863" s="20"/>
      <c r="U863" s="20"/>
      <c r="V863" s="20"/>
      <c r="W863" s="20"/>
      <c r="X863" s="20"/>
      <c r="Y863" s="20"/>
      <c r="Z863" s="20"/>
      <c r="AA863" s="20"/>
    </row>
    <row r="864" spans="4:27" ht="17.25" customHeight="1">
      <c r="D864" s="57"/>
      <c r="E864" s="57"/>
      <c r="F864" s="58"/>
      <c r="G864" s="58"/>
      <c r="H864" s="58"/>
      <c r="I864" s="58"/>
      <c r="J864" s="31"/>
      <c r="K864" s="20"/>
      <c r="L864" s="20"/>
      <c r="M864" s="20"/>
      <c r="N864" s="20"/>
      <c r="O864" s="20"/>
      <c r="P864" s="20"/>
      <c r="Q864" s="20"/>
      <c r="R864" s="20"/>
      <c r="S864" s="20"/>
      <c r="T864" s="20"/>
      <c r="U864" s="20"/>
      <c r="V864" s="20"/>
      <c r="W864" s="20"/>
      <c r="X864" s="20"/>
      <c r="Y864" s="20"/>
      <c r="Z864" s="20"/>
      <c r="AA864" s="20"/>
    </row>
    <row r="865" spans="4:27" ht="17.25" customHeight="1">
      <c r="D865" s="57"/>
      <c r="E865" s="57"/>
      <c r="F865" s="58"/>
      <c r="G865" s="58"/>
      <c r="H865" s="58"/>
      <c r="I865" s="58"/>
      <c r="J865" s="31"/>
      <c r="K865" s="20"/>
      <c r="L865" s="20"/>
      <c r="M865" s="20"/>
      <c r="N865" s="20"/>
      <c r="O865" s="20"/>
      <c r="P865" s="20"/>
      <c r="Q865" s="20"/>
      <c r="R865" s="20"/>
      <c r="S865" s="20"/>
      <c r="T865" s="20"/>
      <c r="U865" s="20"/>
      <c r="V865" s="20"/>
      <c r="W865" s="20"/>
      <c r="X865" s="20"/>
      <c r="Y865" s="20"/>
      <c r="Z865" s="20"/>
      <c r="AA865" s="20"/>
    </row>
    <row r="866" spans="4:27" ht="17.25" customHeight="1">
      <c r="D866" s="57"/>
      <c r="E866" s="57"/>
      <c r="F866" s="58"/>
      <c r="G866" s="58"/>
      <c r="H866" s="58"/>
      <c r="I866" s="58"/>
      <c r="J866" s="31"/>
      <c r="K866" s="20"/>
      <c r="L866" s="20"/>
      <c r="M866" s="20"/>
      <c r="N866" s="20"/>
      <c r="O866" s="20"/>
      <c r="P866" s="20"/>
      <c r="Q866" s="20"/>
      <c r="R866" s="20"/>
      <c r="S866" s="20"/>
      <c r="T866" s="20"/>
      <c r="U866" s="20"/>
      <c r="V866" s="20"/>
      <c r="W866" s="20"/>
      <c r="X866" s="20"/>
      <c r="Y866" s="20"/>
      <c r="Z866" s="20"/>
      <c r="AA866" s="20"/>
    </row>
    <row r="867" spans="4:27" ht="17.25" customHeight="1">
      <c r="D867" s="57"/>
      <c r="E867" s="57"/>
      <c r="F867" s="58"/>
      <c r="G867" s="58"/>
      <c r="H867" s="58"/>
      <c r="I867" s="58"/>
      <c r="J867" s="31"/>
      <c r="K867" s="20"/>
      <c r="L867" s="20"/>
      <c r="M867" s="20"/>
      <c r="N867" s="20"/>
      <c r="O867" s="20"/>
      <c r="P867" s="20"/>
      <c r="Q867" s="20"/>
      <c r="R867" s="20"/>
      <c r="S867" s="20"/>
      <c r="T867" s="20"/>
      <c r="U867" s="20"/>
      <c r="V867" s="20"/>
      <c r="W867" s="20"/>
      <c r="X867" s="20"/>
      <c r="Y867" s="20"/>
      <c r="Z867" s="20"/>
      <c r="AA867" s="20"/>
    </row>
    <row r="868" spans="4:27" ht="17.25" customHeight="1">
      <c r="D868" s="57"/>
      <c r="E868" s="57"/>
      <c r="F868" s="58"/>
      <c r="G868" s="58"/>
      <c r="H868" s="58"/>
      <c r="I868" s="58"/>
      <c r="J868" s="31"/>
      <c r="K868" s="20"/>
      <c r="L868" s="20"/>
      <c r="M868" s="20"/>
      <c r="N868" s="20"/>
      <c r="O868" s="20"/>
      <c r="P868" s="20"/>
      <c r="Q868" s="20"/>
      <c r="R868" s="20"/>
      <c r="S868" s="20"/>
      <c r="T868" s="20"/>
      <c r="U868" s="20"/>
      <c r="V868" s="20"/>
      <c r="W868" s="20"/>
      <c r="X868" s="20"/>
      <c r="Y868" s="20"/>
      <c r="Z868" s="20"/>
      <c r="AA868" s="20"/>
    </row>
    <row r="869" spans="4:27" ht="17.25" customHeight="1">
      <c r="D869" s="57"/>
      <c r="E869" s="57"/>
      <c r="F869" s="58"/>
      <c r="G869" s="58"/>
      <c r="H869" s="58"/>
      <c r="I869" s="58"/>
      <c r="J869" s="31"/>
      <c r="K869" s="20"/>
      <c r="L869" s="20"/>
      <c r="M869" s="20"/>
      <c r="N869" s="20"/>
      <c r="O869" s="20"/>
      <c r="P869" s="20"/>
      <c r="Q869" s="20"/>
      <c r="R869" s="20"/>
      <c r="S869" s="20"/>
      <c r="T869" s="20"/>
      <c r="U869" s="20"/>
      <c r="V869" s="20"/>
      <c r="W869" s="20"/>
      <c r="X869" s="20"/>
      <c r="Y869" s="20"/>
      <c r="Z869" s="20"/>
      <c r="AA869" s="20"/>
    </row>
    <row r="870" spans="4:27" ht="17.25" customHeight="1">
      <c r="D870" s="57"/>
      <c r="E870" s="57"/>
      <c r="F870" s="58"/>
      <c r="G870" s="58"/>
      <c r="H870" s="58"/>
      <c r="I870" s="58"/>
      <c r="J870" s="31"/>
      <c r="K870" s="20"/>
      <c r="L870" s="20"/>
      <c r="M870" s="20"/>
      <c r="N870" s="20"/>
      <c r="O870" s="20"/>
      <c r="P870" s="20"/>
      <c r="Q870" s="20"/>
      <c r="R870" s="20"/>
      <c r="S870" s="20"/>
      <c r="T870" s="20"/>
      <c r="U870" s="20"/>
      <c r="V870" s="20"/>
      <c r="W870" s="20"/>
      <c r="X870" s="20"/>
      <c r="Y870" s="20"/>
      <c r="Z870" s="20"/>
      <c r="AA870" s="20"/>
    </row>
    <row r="871" spans="4:27" ht="17.25" customHeight="1">
      <c r="D871" s="57"/>
      <c r="E871" s="57"/>
      <c r="F871" s="58"/>
      <c r="G871" s="58"/>
      <c r="H871" s="58"/>
      <c r="I871" s="58"/>
      <c r="J871" s="31"/>
      <c r="K871" s="20"/>
      <c r="L871" s="20"/>
      <c r="M871" s="20"/>
      <c r="N871" s="20"/>
      <c r="O871" s="20"/>
      <c r="P871" s="20"/>
      <c r="Q871" s="20"/>
      <c r="R871" s="20"/>
      <c r="S871" s="20"/>
      <c r="T871" s="20"/>
      <c r="U871" s="20"/>
      <c r="V871" s="20"/>
      <c r="W871" s="20"/>
      <c r="X871" s="20"/>
      <c r="Y871" s="20"/>
      <c r="Z871" s="20"/>
      <c r="AA871" s="20"/>
    </row>
    <row r="872" spans="4:27" ht="17.25" customHeight="1">
      <c r="D872" s="57"/>
      <c r="E872" s="57"/>
      <c r="F872" s="58"/>
      <c r="G872" s="58"/>
      <c r="H872" s="58"/>
      <c r="I872" s="58"/>
      <c r="J872" s="31"/>
      <c r="K872" s="20"/>
      <c r="L872" s="20"/>
      <c r="M872" s="20"/>
      <c r="N872" s="20"/>
      <c r="O872" s="20"/>
      <c r="P872" s="20"/>
      <c r="Q872" s="20"/>
      <c r="R872" s="20"/>
      <c r="S872" s="20"/>
      <c r="T872" s="20"/>
      <c r="U872" s="20"/>
      <c r="V872" s="20"/>
      <c r="W872" s="20"/>
      <c r="X872" s="20"/>
      <c r="Y872" s="20"/>
      <c r="Z872" s="20"/>
      <c r="AA872" s="20"/>
    </row>
    <row r="873" spans="4:27" ht="17.25" customHeight="1">
      <c r="D873" s="57"/>
      <c r="E873" s="57"/>
      <c r="F873" s="58"/>
      <c r="G873" s="58"/>
      <c r="H873" s="58"/>
      <c r="I873" s="58"/>
      <c r="J873" s="31"/>
      <c r="K873" s="20"/>
      <c r="L873" s="20"/>
      <c r="M873" s="20"/>
      <c r="N873" s="20"/>
      <c r="O873" s="20"/>
      <c r="P873" s="20"/>
      <c r="Q873" s="20"/>
      <c r="R873" s="20"/>
      <c r="S873" s="20"/>
      <c r="T873" s="20"/>
      <c r="U873" s="20"/>
      <c r="V873" s="20"/>
      <c r="W873" s="20"/>
      <c r="X873" s="20"/>
      <c r="Y873" s="20"/>
      <c r="Z873" s="20"/>
      <c r="AA873" s="20"/>
    </row>
    <row r="874" spans="4:27" ht="17.25" customHeight="1">
      <c r="D874" s="57"/>
      <c r="E874" s="57"/>
      <c r="F874" s="58"/>
      <c r="G874" s="58"/>
      <c r="H874" s="58"/>
      <c r="I874" s="58"/>
      <c r="J874" s="31"/>
      <c r="K874" s="20"/>
      <c r="L874" s="20"/>
      <c r="M874" s="20"/>
      <c r="N874" s="20"/>
      <c r="O874" s="20"/>
      <c r="P874" s="20"/>
      <c r="Q874" s="20"/>
      <c r="R874" s="20"/>
      <c r="S874" s="20"/>
      <c r="T874" s="20"/>
      <c r="U874" s="20"/>
      <c r="V874" s="20"/>
      <c r="W874" s="20"/>
      <c r="X874" s="20"/>
      <c r="Y874" s="20"/>
      <c r="Z874" s="20"/>
      <c r="AA874" s="20"/>
    </row>
    <row r="875" spans="4:27" ht="17.25" customHeight="1">
      <c r="D875" s="57"/>
      <c r="E875" s="57"/>
      <c r="F875" s="58"/>
      <c r="G875" s="58"/>
      <c r="H875" s="58"/>
      <c r="I875" s="58"/>
      <c r="J875" s="31"/>
      <c r="K875" s="20"/>
      <c r="L875" s="20"/>
      <c r="M875" s="20"/>
      <c r="N875" s="20"/>
      <c r="O875" s="20"/>
      <c r="P875" s="20"/>
      <c r="Q875" s="20"/>
      <c r="R875" s="20"/>
      <c r="S875" s="20"/>
      <c r="T875" s="20"/>
      <c r="U875" s="20"/>
      <c r="V875" s="20"/>
      <c r="W875" s="20"/>
      <c r="X875" s="20"/>
      <c r="Y875" s="20"/>
      <c r="Z875" s="20"/>
      <c r="AA875" s="20"/>
    </row>
    <row r="876" spans="4:27" ht="17.25" customHeight="1">
      <c r="D876" s="57"/>
      <c r="E876" s="57"/>
      <c r="F876" s="58"/>
      <c r="G876" s="58"/>
      <c r="H876" s="58"/>
      <c r="I876" s="58"/>
      <c r="J876" s="31"/>
      <c r="K876" s="20"/>
      <c r="L876" s="20"/>
      <c r="M876" s="20"/>
      <c r="N876" s="20"/>
      <c r="O876" s="20"/>
      <c r="P876" s="20"/>
      <c r="Q876" s="20"/>
      <c r="R876" s="20"/>
      <c r="S876" s="20"/>
      <c r="T876" s="20"/>
      <c r="U876" s="20"/>
      <c r="V876" s="20"/>
      <c r="W876" s="20"/>
      <c r="X876" s="20"/>
      <c r="Y876" s="20"/>
      <c r="Z876" s="20"/>
      <c r="AA876" s="20"/>
    </row>
    <row r="877" spans="4:27" ht="17.25" customHeight="1">
      <c r="D877" s="57"/>
      <c r="E877" s="57"/>
      <c r="F877" s="58"/>
      <c r="G877" s="58"/>
      <c r="H877" s="58"/>
      <c r="I877" s="58"/>
      <c r="J877" s="31"/>
      <c r="K877" s="20"/>
      <c r="L877" s="20"/>
      <c r="M877" s="20"/>
      <c r="N877" s="20"/>
      <c r="O877" s="20"/>
      <c r="P877" s="20"/>
      <c r="Q877" s="20"/>
      <c r="R877" s="20"/>
      <c r="S877" s="20"/>
      <c r="T877" s="20"/>
      <c r="U877" s="20"/>
      <c r="V877" s="20"/>
      <c r="W877" s="20"/>
      <c r="X877" s="20"/>
      <c r="Y877" s="20"/>
      <c r="Z877" s="20"/>
      <c r="AA877" s="20"/>
    </row>
    <row r="878" spans="4:27" ht="17.25" customHeight="1">
      <c r="D878" s="57"/>
      <c r="E878" s="57"/>
      <c r="F878" s="58"/>
      <c r="G878" s="58"/>
      <c r="H878" s="58"/>
      <c r="I878" s="58"/>
      <c r="J878" s="31"/>
      <c r="K878" s="20"/>
      <c r="L878" s="20"/>
      <c r="M878" s="20"/>
      <c r="N878" s="20"/>
      <c r="O878" s="20"/>
      <c r="P878" s="20"/>
      <c r="Q878" s="20"/>
      <c r="R878" s="20"/>
      <c r="S878" s="20"/>
      <c r="T878" s="20"/>
      <c r="U878" s="20"/>
      <c r="V878" s="20"/>
      <c r="W878" s="20"/>
      <c r="X878" s="20"/>
      <c r="Y878" s="20"/>
      <c r="Z878" s="20"/>
      <c r="AA878" s="20"/>
    </row>
    <row r="879" spans="4:27" ht="17.25" customHeight="1">
      <c r="D879" s="57"/>
      <c r="E879" s="57"/>
      <c r="F879" s="58"/>
      <c r="G879" s="58"/>
      <c r="H879" s="58"/>
      <c r="I879" s="58"/>
      <c r="J879" s="31"/>
      <c r="K879" s="20"/>
      <c r="L879" s="20"/>
      <c r="M879" s="20"/>
      <c r="N879" s="20"/>
      <c r="O879" s="20"/>
      <c r="P879" s="20"/>
      <c r="Q879" s="20"/>
      <c r="R879" s="20"/>
      <c r="S879" s="20"/>
      <c r="T879" s="20"/>
      <c r="U879" s="20"/>
      <c r="V879" s="20"/>
      <c r="W879" s="20"/>
      <c r="X879" s="20"/>
      <c r="Y879" s="20"/>
      <c r="Z879" s="20"/>
      <c r="AA879" s="20"/>
    </row>
    <row r="880" spans="4:27" ht="17.25" customHeight="1">
      <c r="D880" s="57"/>
      <c r="E880" s="57"/>
      <c r="F880" s="58"/>
      <c r="G880" s="58"/>
      <c r="H880" s="58"/>
      <c r="I880" s="58"/>
      <c r="J880" s="31"/>
      <c r="K880" s="20"/>
      <c r="L880" s="20"/>
      <c r="M880" s="20"/>
      <c r="N880" s="20"/>
      <c r="O880" s="20"/>
      <c r="P880" s="20"/>
      <c r="Q880" s="20"/>
      <c r="R880" s="20"/>
      <c r="S880" s="20"/>
      <c r="T880" s="20"/>
      <c r="U880" s="20"/>
      <c r="V880" s="20"/>
      <c r="W880" s="20"/>
      <c r="X880" s="20"/>
      <c r="Y880" s="20"/>
      <c r="Z880" s="20"/>
      <c r="AA880" s="20"/>
    </row>
    <row r="881" spans="4:27" ht="17.25" customHeight="1">
      <c r="D881" s="57"/>
      <c r="E881" s="57"/>
      <c r="F881" s="58"/>
      <c r="G881" s="58"/>
      <c r="H881" s="58"/>
      <c r="I881" s="58"/>
      <c r="J881" s="31"/>
      <c r="K881" s="20"/>
      <c r="L881" s="20"/>
      <c r="M881" s="20"/>
      <c r="N881" s="20"/>
      <c r="O881" s="20"/>
      <c r="P881" s="20"/>
      <c r="Q881" s="20"/>
      <c r="R881" s="20"/>
      <c r="S881" s="20"/>
      <c r="T881" s="20"/>
      <c r="U881" s="20"/>
      <c r="V881" s="20"/>
      <c r="W881" s="20"/>
      <c r="X881" s="20"/>
      <c r="Y881" s="20"/>
      <c r="Z881" s="20"/>
      <c r="AA881" s="20"/>
    </row>
    <row r="882" spans="4:27" ht="17.25" customHeight="1">
      <c r="D882" s="57"/>
      <c r="E882" s="57"/>
      <c r="F882" s="58"/>
      <c r="G882" s="58"/>
      <c r="H882" s="58"/>
      <c r="I882" s="58"/>
      <c r="J882" s="31"/>
      <c r="K882" s="20"/>
      <c r="L882" s="20"/>
      <c r="M882" s="20"/>
      <c r="N882" s="20"/>
      <c r="O882" s="20"/>
      <c r="P882" s="20"/>
      <c r="Q882" s="20"/>
      <c r="R882" s="20"/>
      <c r="S882" s="20"/>
      <c r="T882" s="20"/>
      <c r="U882" s="20"/>
      <c r="V882" s="20"/>
      <c r="W882" s="20"/>
      <c r="X882" s="20"/>
      <c r="Y882" s="20"/>
      <c r="Z882" s="20"/>
      <c r="AA882" s="20"/>
    </row>
    <row r="883" spans="4:27" ht="17.25" customHeight="1">
      <c r="D883" s="57"/>
      <c r="E883" s="57"/>
      <c r="F883" s="58"/>
      <c r="G883" s="58"/>
      <c r="H883" s="58"/>
      <c r="I883" s="58"/>
      <c r="J883" s="31"/>
      <c r="K883" s="20"/>
      <c r="L883" s="20"/>
      <c r="M883" s="20"/>
      <c r="N883" s="20"/>
      <c r="O883" s="20"/>
      <c r="P883" s="20"/>
      <c r="Q883" s="20"/>
      <c r="R883" s="20"/>
      <c r="S883" s="20"/>
      <c r="T883" s="20"/>
      <c r="U883" s="20"/>
      <c r="V883" s="20"/>
      <c r="W883" s="20"/>
      <c r="X883" s="20"/>
      <c r="Y883" s="20"/>
      <c r="Z883" s="20"/>
      <c r="AA883" s="20"/>
    </row>
    <row r="884" spans="4:27" ht="17.25" customHeight="1">
      <c r="D884" s="57"/>
      <c r="E884" s="57"/>
      <c r="F884" s="58"/>
      <c r="G884" s="58"/>
      <c r="H884" s="58"/>
      <c r="I884" s="58"/>
      <c r="J884" s="31"/>
      <c r="K884" s="20"/>
      <c r="L884" s="20"/>
      <c r="M884" s="20"/>
      <c r="N884" s="20"/>
      <c r="O884" s="20"/>
      <c r="P884" s="20"/>
      <c r="Q884" s="20"/>
      <c r="R884" s="20"/>
      <c r="S884" s="20"/>
      <c r="T884" s="20"/>
      <c r="U884" s="20"/>
      <c r="V884" s="20"/>
      <c r="W884" s="20"/>
      <c r="X884" s="20"/>
      <c r="Y884" s="20"/>
      <c r="Z884" s="20"/>
      <c r="AA884" s="20"/>
    </row>
    <row r="885" spans="4:27" ht="17.25" customHeight="1">
      <c r="D885" s="57"/>
      <c r="E885" s="57"/>
      <c r="F885" s="58"/>
      <c r="G885" s="58"/>
      <c r="H885" s="58"/>
      <c r="I885" s="58"/>
      <c r="J885" s="31"/>
      <c r="K885" s="20"/>
      <c r="L885" s="20"/>
      <c r="M885" s="20"/>
      <c r="N885" s="20"/>
      <c r="O885" s="20"/>
      <c r="P885" s="20"/>
      <c r="Q885" s="20"/>
      <c r="R885" s="20"/>
      <c r="S885" s="20"/>
      <c r="T885" s="20"/>
      <c r="U885" s="20"/>
      <c r="V885" s="20"/>
      <c r="W885" s="20"/>
      <c r="X885" s="20"/>
      <c r="Y885" s="20"/>
      <c r="Z885" s="20"/>
      <c r="AA885" s="20"/>
    </row>
    <row r="886" spans="4:27" ht="17.25" customHeight="1">
      <c r="D886" s="57"/>
      <c r="E886" s="57"/>
      <c r="F886" s="58"/>
      <c r="G886" s="58"/>
      <c r="H886" s="58"/>
      <c r="I886" s="58"/>
      <c r="J886" s="31"/>
      <c r="K886" s="20"/>
      <c r="L886" s="20"/>
      <c r="M886" s="20"/>
      <c r="N886" s="20"/>
      <c r="O886" s="20"/>
      <c r="P886" s="20"/>
      <c r="Q886" s="20"/>
      <c r="R886" s="20"/>
      <c r="S886" s="20"/>
      <c r="T886" s="20"/>
      <c r="U886" s="20"/>
      <c r="V886" s="20"/>
      <c r="W886" s="20"/>
      <c r="X886" s="20"/>
      <c r="Y886" s="20"/>
      <c r="Z886" s="20"/>
      <c r="AA886" s="20"/>
    </row>
    <row r="887" spans="4:27" ht="17.25" customHeight="1">
      <c r="D887" s="57"/>
      <c r="E887" s="57"/>
      <c r="F887" s="58"/>
      <c r="G887" s="58"/>
      <c r="H887" s="58"/>
      <c r="I887" s="58"/>
      <c r="J887" s="31"/>
      <c r="K887" s="20"/>
      <c r="L887" s="20"/>
      <c r="M887" s="20"/>
      <c r="N887" s="20"/>
      <c r="O887" s="20"/>
      <c r="P887" s="20"/>
      <c r="Q887" s="20"/>
      <c r="R887" s="20"/>
      <c r="S887" s="20"/>
      <c r="T887" s="20"/>
      <c r="U887" s="20"/>
      <c r="V887" s="20"/>
      <c r="W887" s="20"/>
      <c r="X887" s="20"/>
      <c r="Y887" s="20"/>
      <c r="Z887" s="20"/>
      <c r="AA887" s="20"/>
    </row>
    <row r="888" spans="4:27" ht="17.25" customHeight="1">
      <c r="D888" s="57"/>
      <c r="E888" s="57"/>
      <c r="F888" s="58"/>
      <c r="G888" s="58"/>
      <c r="H888" s="58"/>
      <c r="I888" s="58"/>
      <c r="J888" s="31"/>
      <c r="K888" s="20"/>
      <c r="L888" s="20"/>
      <c r="M888" s="20"/>
      <c r="N888" s="20"/>
      <c r="O888" s="20"/>
      <c r="P888" s="20"/>
      <c r="Q888" s="20"/>
      <c r="R888" s="20"/>
      <c r="S888" s="20"/>
      <c r="T888" s="20"/>
      <c r="U888" s="20"/>
      <c r="V888" s="20"/>
      <c r="W888" s="20"/>
      <c r="X888" s="20"/>
      <c r="Y888" s="20"/>
      <c r="Z888" s="20"/>
      <c r="AA888" s="20"/>
    </row>
    <row r="889" spans="4:27" ht="17.25" customHeight="1">
      <c r="D889" s="57"/>
      <c r="E889" s="57"/>
      <c r="F889" s="58"/>
      <c r="G889" s="58"/>
      <c r="H889" s="58"/>
      <c r="I889" s="58"/>
      <c r="J889" s="31"/>
      <c r="K889" s="20"/>
      <c r="L889" s="20"/>
      <c r="M889" s="20"/>
      <c r="N889" s="20"/>
      <c r="O889" s="20"/>
      <c r="P889" s="20"/>
      <c r="Q889" s="20"/>
      <c r="R889" s="20"/>
      <c r="S889" s="20"/>
      <c r="T889" s="20"/>
      <c r="U889" s="20"/>
      <c r="V889" s="20"/>
      <c r="W889" s="20"/>
      <c r="X889" s="20"/>
      <c r="Y889" s="20"/>
      <c r="Z889" s="20"/>
      <c r="AA889" s="20"/>
    </row>
    <row r="890" spans="4:27" ht="17.25" customHeight="1">
      <c r="D890" s="57"/>
      <c r="E890" s="57"/>
      <c r="F890" s="58"/>
      <c r="G890" s="58"/>
      <c r="H890" s="58"/>
      <c r="I890" s="58"/>
      <c r="J890" s="31"/>
      <c r="K890" s="20"/>
      <c r="L890" s="20"/>
      <c r="M890" s="20"/>
      <c r="N890" s="20"/>
      <c r="O890" s="20"/>
      <c r="P890" s="20"/>
      <c r="Q890" s="20"/>
      <c r="R890" s="20"/>
      <c r="S890" s="20"/>
      <c r="T890" s="20"/>
      <c r="U890" s="20"/>
      <c r="V890" s="20"/>
      <c r="W890" s="20"/>
      <c r="X890" s="20"/>
      <c r="Y890" s="20"/>
      <c r="Z890" s="20"/>
      <c r="AA890" s="20"/>
    </row>
    <row r="891" spans="4:27" ht="17.25" customHeight="1">
      <c r="D891" s="57"/>
      <c r="E891" s="57"/>
      <c r="F891" s="58"/>
      <c r="G891" s="58"/>
      <c r="H891" s="58"/>
      <c r="I891" s="58"/>
      <c r="J891" s="31"/>
      <c r="K891" s="20"/>
      <c r="L891" s="20"/>
      <c r="M891" s="20"/>
      <c r="N891" s="20"/>
      <c r="O891" s="20"/>
      <c r="P891" s="20"/>
      <c r="Q891" s="20"/>
      <c r="R891" s="20"/>
      <c r="S891" s="20"/>
      <c r="T891" s="20"/>
      <c r="U891" s="20"/>
      <c r="V891" s="20"/>
      <c r="W891" s="20"/>
      <c r="X891" s="20"/>
      <c r="Y891" s="20"/>
      <c r="Z891" s="20"/>
      <c r="AA891" s="20"/>
    </row>
    <row r="892" spans="4:27" ht="17.25" customHeight="1">
      <c r="D892" s="57"/>
      <c r="E892" s="57"/>
      <c r="F892" s="58"/>
      <c r="G892" s="58"/>
      <c r="H892" s="58"/>
      <c r="I892" s="58"/>
      <c r="J892" s="31"/>
      <c r="K892" s="20"/>
      <c r="L892" s="20"/>
      <c r="M892" s="20"/>
      <c r="N892" s="20"/>
      <c r="O892" s="20"/>
      <c r="P892" s="20"/>
      <c r="Q892" s="20"/>
      <c r="R892" s="20"/>
      <c r="S892" s="20"/>
      <c r="T892" s="20"/>
      <c r="U892" s="20"/>
      <c r="V892" s="20"/>
      <c r="W892" s="20"/>
      <c r="X892" s="20"/>
      <c r="Y892" s="20"/>
      <c r="Z892" s="20"/>
      <c r="AA892" s="20"/>
    </row>
    <row r="893" spans="4:27" ht="17.25" customHeight="1">
      <c r="D893" s="57"/>
      <c r="E893" s="57"/>
      <c r="F893" s="58"/>
      <c r="G893" s="58"/>
      <c r="H893" s="58"/>
      <c r="I893" s="58"/>
      <c r="J893" s="31"/>
      <c r="K893" s="20"/>
      <c r="L893" s="20"/>
      <c r="M893" s="20"/>
      <c r="N893" s="20"/>
      <c r="O893" s="20"/>
      <c r="P893" s="20"/>
      <c r="Q893" s="20"/>
      <c r="R893" s="20"/>
      <c r="S893" s="20"/>
      <c r="T893" s="20"/>
      <c r="U893" s="20"/>
      <c r="V893" s="20"/>
      <c r="W893" s="20"/>
      <c r="X893" s="20"/>
      <c r="Y893" s="20"/>
      <c r="Z893" s="20"/>
      <c r="AA893" s="20"/>
    </row>
    <row r="894" spans="4:27" ht="17.25" customHeight="1">
      <c r="D894" s="57"/>
      <c r="E894" s="57"/>
      <c r="F894" s="58"/>
      <c r="G894" s="58"/>
      <c r="H894" s="58"/>
      <c r="I894" s="58"/>
      <c r="J894" s="31"/>
      <c r="K894" s="20"/>
      <c r="L894" s="20"/>
      <c r="M894" s="20"/>
      <c r="N894" s="20"/>
      <c r="O894" s="20"/>
      <c r="P894" s="20"/>
      <c r="Q894" s="20"/>
      <c r="R894" s="20"/>
      <c r="S894" s="20"/>
      <c r="T894" s="20"/>
      <c r="U894" s="20"/>
      <c r="V894" s="20"/>
      <c r="W894" s="20"/>
      <c r="X894" s="20"/>
      <c r="Y894" s="20"/>
      <c r="Z894" s="20"/>
      <c r="AA894" s="20"/>
    </row>
    <row r="895" spans="4:27" ht="17.25" customHeight="1">
      <c r="D895" s="57"/>
      <c r="E895" s="57"/>
      <c r="F895" s="58"/>
      <c r="G895" s="58"/>
      <c r="H895" s="58"/>
      <c r="I895" s="58"/>
      <c r="J895" s="31"/>
      <c r="K895" s="20"/>
      <c r="L895" s="20"/>
      <c r="M895" s="20"/>
      <c r="N895" s="20"/>
      <c r="O895" s="20"/>
      <c r="P895" s="20"/>
      <c r="Q895" s="20"/>
      <c r="R895" s="20"/>
      <c r="S895" s="20"/>
      <c r="T895" s="20"/>
      <c r="U895" s="20"/>
      <c r="V895" s="20"/>
      <c r="W895" s="20"/>
      <c r="X895" s="20"/>
      <c r="Y895" s="20"/>
      <c r="Z895" s="20"/>
      <c r="AA895" s="20"/>
    </row>
    <row r="896" spans="4:27" ht="17.25" customHeight="1">
      <c r="D896" s="57"/>
      <c r="E896" s="57"/>
      <c r="F896" s="58"/>
      <c r="G896" s="58"/>
      <c r="H896" s="58"/>
      <c r="I896" s="58"/>
      <c r="J896" s="31"/>
      <c r="K896" s="20"/>
      <c r="L896" s="20"/>
      <c r="M896" s="20"/>
      <c r="N896" s="20"/>
      <c r="O896" s="20"/>
      <c r="P896" s="20"/>
      <c r="Q896" s="20"/>
      <c r="R896" s="20"/>
      <c r="S896" s="20"/>
      <c r="T896" s="20"/>
      <c r="U896" s="20"/>
      <c r="V896" s="20"/>
      <c r="W896" s="20"/>
      <c r="X896" s="20"/>
      <c r="Y896" s="20"/>
      <c r="Z896" s="20"/>
      <c r="AA896" s="20"/>
    </row>
    <row r="897" spans="4:27" ht="17.25" customHeight="1">
      <c r="D897" s="57"/>
      <c r="E897" s="57"/>
      <c r="F897" s="58"/>
      <c r="G897" s="58"/>
      <c r="H897" s="58"/>
      <c r="I897" s="58"/>
      <c r="J897" s="31"/>
      <c r="K897" s="20"/>
      <c r="L897" s="20"/>
      <c r="M897" s="20"/>
      <c r="N897" s="20"/>
      <c r="O897" s="20"/>
      <c r="P897" s="20"/>
      <c r="Q897" s="20"/>
      <c r="R897" s="20"/>
      <c r="S897" s="20"/>
      <c r="T897" s="20"/>
      <c r="U897" s="20"/>
      <c r="V897" s="20"/>
      <c r="W897" s="20"/>
      <c r="X897" s="20"/>
      <c r="Y897" s="20"/>
      <c r="Z897" s="20"/>
      <c r="AA897" s="20"/>
    </row>
    <row r="898" spans="4:27" ht="17.25" customHeight="1">
      <c r="D898" s="57"/>
      <c r="E898" s="57"/>
      <c r="F898" s="58"/>
      <c r="G898" s="58"/>
      <c r="H898" s="58"/>
      <c r="I898" s="58"/>
      <c r="J898" s="31"/>
      <c r="K898" s="20"/>
      <c r="L898" s="20"/>
      <c r="M898" s="20"/>
      <c r="N898" s="20"/>
      <c r="O898" s="20"/>
      <c r="P898" s="20"/>
      <c r="Q898" s="20"/>
      <c r="R898" s="20"/>
      <c r="S898" s="20"/>
      <c r="T898" s="20"/>
      <c r="U898" s="20"/>
      <c r="V898" s="20"/>
      <c r="W898" s="20"/>
      <c r="X898" s="20"/>
      <c r="Y898" s="20"/>
      <c r="Z898" s="20"/>
      <c r="AA898" s="20"/>
    </row>
    <row r="899" spans="4:27" ht="17.25" customHeight="1">
      <c r="D899" s="57"/>
      <c r="E899" s="57"/>
      <c r="F899" s="58"/>
      <c r="G899" s="58"/>
      <c r="H899" s="58"/>
      <c r="I899" s="58"/>
      <c r="J899" s="31"/>
      <c r="K899" s="20"/>
      <c r="L899" s="20"/>
      <c r="M899" s="20"/>
      <c r="N899" s="20"/>
      <c r="O899" s="20"/>
      <c r="P899" s="20"/>
      <c r="Q899" s="20"/>
      <c r="R899" s="20"/>
      <c r="S899" s="20"/>
      <c r="T899" s="20"/>
      <c r="U899" s="20"/>
      <c r="V899" s="20"/>
      <c r="W899" s="20"/>
      <c r="X899" s="20"/>
      <c r="Y899" s="20"/>
      <c r="Z899" s="20"/>
      <c r="AA899" s="20"/>
    </row>
    <row r="900" spans="4:27" ht="17.25" customHeight="1">
      <c r="D900" s="57"/>
      <c r="E900" s="57"/>
      <c r="F900" s="58"/>
      <c r="G900" s="58"/>
      <c r="H900" s="58"/>
      <c r="I900" s="58"/>
      <c r="J900" s="31"/>
      <c r="K900" s="20"/>
      <c r="L900" s="20"/>
      <c r="M900" s="20"/>
      <c r="N900" s="20"/>
      <c r="O900" s="20"/>
      <c r="P900" s="20"/>
      <c r="Q900" s="20"/>
      <c r="R900" s="20"/>
      <c r="S900" s="20"/>
      <c r="T900" s="20"/>
      <c r="U900" s="20"/>
      <c r="V900" s="20"/>
      <c r="W900" s="20"/>
      <c r="X900" s="20"/>
      <c r="Y900" s="20"/>
      <c r="Z900" s="20"/>
      <c r="AA900" s="20"/>
    </row>
    <row r="901" spans="4:27" ht="17.25" customHeight="1">
      <c r="D901" s="57"/>
      <c r="E901" s="57"/>
      <c r="F901" s="58"/>
      <c r="G901" s="58"/>
      <c r="H901" s="58"/>
      <c r="I901" s="58"/>
      <c r="J901" s="31"/>
      <c r="K901" s="20"/>
      <c r="L901" s="20"/>
      <c r="M901" s="20"/>
      <c r="N901" s="20"/>
      <c r="O901" s="20"/>
      <c r="P901" s="20"/>
      <c r="Q901" s="20"/>
      <c r="R901" s="20"/>
      <c r="S901" s="20"/>
      <c r="T901" s="20"/>
      <c r="U901" s="20"/>
      <c r="V901" s="20"/>
      <c r="W901" s="20"/>
      <c r="X901" s="20"/>
      <c r="Y901" s="20"/>
      <c r="Z901" s="20"/>
      <c r="AA901" s="20"/>
    </row>
    <row r="902" spans="4:27" ht="17.25" customHeight="1">
      <c r="D902" s="57"/>
      <c r="E902" s="57"/>
      <c r="F902" s="58"/>
      <c r="G902" s="58"/>
      <c r="H902" s="58"/>
      <c r="I902" s="58"/>
      <c r="J902" s="31"/>
      <c r="K902" s="20"/>
      <c r="L902" s="20"/>
      <c r="M902" s="20"/>
      <c r="N902" s="20"/>
      <c r="O902" s="20"/>
      <c r="P902" s="20"/>
      <c r="Q902" s="20"/>
      <c r="R902" s="20"/>
      <c r="S902" s="20"/>
      <c r="T902" s="20"/>
      <c r="U902" s="20"/>
      <c r="V902" s="20"/>
      <c r="W902" s="20"/>
      <c r="X902" s="20"/>
      <c r="Y902" s="20"/>
      <c r="Z902" s="20"/>
      <c r="AA902" s="20"/>
    </row>
    <row r="903" spans="4:27" ht="17.25" customHeight="1">
      <c r="D903" s="57"/>
      <c r="E903" s="57"/>
      <c r="F903" s="58"/>
      <c r="G903" s="58"/>
      <c r="H903" s="58"/>
      <c r="I903" s="58"/>
      <c r="J903" s="31"/>
      <c r="K903" s="20"/>
      <c r="L903" s="20"/>
      <c r="M903" s="20"/>
      <c r="N903" s="20"/>
      <c r="O903" s="20"/>
      <c r="P903" s="20"/>
      <c r="Q903" s="20"/>
      <c r="R903" s="20"/>
      <c r="S903" s="20"/>
      <c r="T903" s="20"/>
      <c r="U903" s="20"/>
      <c r="V903" s="20"/>
      <c r="W903" s="20"/>
      <c r="X903" s="20"/>
      <c r="Y903" s="20"/>
      <c r="Z903" s="20"/>
      <c r="AA903" s="20"/>
    </row>
    <row r="904" spans="4:27" ht="17.25" customHeight="1">
      <c r="D904" s="57"/>
      <c r="E904" s="57"/>
      <c r="F904" s="58"/>
      <c r="G904" s="58"/>
      <c r="H904" s="58"/>
      <c r="I904" s="58"/>
      <c r="J904" s="31"/>
      <c r="K904" s="20"/>
      <c r="L904" s="20"/>
      <c r="M904" s="20"/>
      <c r="N904" s="20"/>
      <c r="O904" s="20"/>
      <c r="P904" s="20"/>
      <c r="Q904" s="20"/>
      <c r="R904" s="20"/>
      <c r="S904" s="20"/>
      <c r="T904" s="20"/>
      <c r="U904" s="20"/>
      <c r="V904" s="20"/>
      <c r="W904" s="20"/>
      <c r="X904" s="20"/>
      <c r="Y904" s="20"/>
      <c r="Z904" s="20"/>
      <c r="AA904" s="20"/>
    </row>
    <row r="905" spans="4:27" ht="17.25" customHeight="1">
      <c r="D905" s="57"/>
      <c r="E905" s="57"/>
      <c r="F905" s="58"/>
      <c r="G905" s="58"/>
      <c r="H905" s="58"/>
      <c r="I905" s="58"/>
      <c r="J905" s="31"/>
      <c r="K905" s="20"/>
      <c r="L905" s="20"/>
      <c r="M905" s="20"/>
      <c r="N905" s="20"/>
      <c r="O905" s="20"/>
      <c r="P905" s="20"/>
      <c r="Q905" s="20"/>
      <c r="R905" s="20"/>
      <c r="S905" s="20"/>
      <c r="T905" s="20"/>
      <c r="U905" s="20"/>
      <c r="V905" s="20"/>
      <c r="W905" s="20"/>
      <c r="X905" s="20"/>
      <c r="Y905" s="20"/>
      <c r="Z905" s="20"/>
      <c r="AA905" s="20"/>
    </row>
    <row r="906" spans="4:27" ht="17.25" customHeight="1">
      <c r="D906" s="57"/>
      <c r="E906" s="57"/>
      <c r="F906" s="58"/>
      <c r="G906" s="58"/>
      <c r="H906" s="58"/>
      <c r="I906" s="58"/>
      <c r="J906" s="31"/>
      <c r="K906" s="20"/>
      <c r="L906" s="20"/>
      <c r="M906" s="20"/>
      <c r="N906" s="20"/>
      <c r="O906" s="20"/>
      <c r="P906" s="20"/>
      <c r="Q906" s="20"/>
      <c r="R906" s="20"/>
      <c r="S906" s="20"/>
      <c r="T906" s="20"/>
      <c r="U906" s="20"/>
      <c r="V906" s="20"/>
      <c r="W906" s="20"/>
      <c r="X906" s="20"/>
      <c r="Y906" s="20"/>
      <c r="Z906" s="20"/>
      <c r="AA906" s="20"/>
    </row>
    <row r="907" spans="4:27" ht="17.25" customHeight="1">
      <c r="D907" s="57"/>
      <c r="E907" s="57"/>
      <c r="F907" s="58"/>
      <c r="G907" s="58"/>
      <c r="H907" s="58"/>
      <c r="I907" s="58"/>
      <c r="J907" s="31"/>
      <c r="K907" s="20"/>
      <c r="L907" s="20"/>
      <c r="M907" s="20"/>
      <c r="N907" s="20"/>
      <c r="O907" s="20"/>
      <c r="P907" s="20"/>
      <c r="Q907" s="20"/>
      <c r="R907" s="20"/>
      <c r="S907" s="20"/>
      <c r="T907" s="20"/>
      <c r="U907" s="20"/>
      <c r="V907" s="20"/>
      <c r="W907" s="20"/>
      <c r="X907" s="20"/>
      <c r="Y907" s="20"/>
      <c r="Z907" s="20"/>
      <c r="AA907" s="20"/>
    </row>
    <row r="908" spans="4:27" ht="17.25" customHeight="1">
      <c r="D908" s="57"/>
      <c r="E908" s="57"/>
      <c r="F908" s="58"/>
      <c r="G908" s="58"/>
      <c r="H908" s="58"/>
      <c r="I908" s="58"/>
      <c r="J908" s="31"/>
      <c r="K908" s="20"/>
      <c r="L908" s="20"/>
      <c r="M908" s="20"/>
      <c r="N908" s="20"/>
      <c r="O908" s="20"/>
      <c r="P908" s="20"/>
      <c r="Q908" s="20"/>
      <c r="R908" s="20"/>
      <c r="S908" s="20"/>
      <c r="T908" s="20"/>
      <c r="U908" s="20"/>
      <c r="V908" s="20"/>
      <c r="W908" s="20"/>
      <c r="X908" s="20"/>
      <c r="Y908" s="20"/>
      <c r="Z908" s="20"/>
      <c r="AA908" s="20"/>
    </row>
    <row r="909" spans="4:27" ht="17.25" customHeight="1">
      <c r="D909" s="57"/>
      <c r="E909" s="57"/>
      <c r="F909" s="58"/>
      <c r="G909" s="58"/>
      <c r="H909" s="58"/>
      <c r="I909" s="58"/>
      <c r="J909" s="31"/>
      <c r="K909" s="20"/>
      <c r="L909" s="20"/>
      <c r="M909" s="20"/>
      <c r="N909" s="20"/>
      <c r="O909" s="20"/>
      <c r="P909" s="20"/>
      <c r="Q909" s="20"/>
      <c r="R909" s="20"/>
      <c r="S909" s="20"/>
      <c r="T909" s="20"/>
      <c r="U909" s="20"/>
      <c r="V909" s="20"/>
      <c r="W909" s="20"/>
      <c r="X909" s="20"/>
      <c r="Y909" s="20"/>
      <c r="Z909" s="20"/>
      <c r="AA909" s="20"/>
    </row>
    <row r="910" spans="4:27" ht="17.25" customHeight="1">
      <c r="D910" s="57"/>
      <c r="E910" s="57"/>
      <c r="F910" s="58"/>
      <c r="G910" s="58"/>
      <c r="H910" s="58"/>
      <c r="I910" s="58"/>
      <c r="J910" s="31"/>
      <c r="K910" s="20"/>
      <c r="L910" s="20"/>
      <c r="M910" s="20"/>
      <c r="N910" s="20"/>
      <c r="O910" s="20"/>
      <c r="P910" s="20"/>
      <c r="Q910" s="20"/>
      <c r="R910" s="20"/>
      <c r="S910" s="20"/>
      <c r="T910" s="20"/>
      <c r="U910" s="20"/>
      <c r="V910" s="20"/>
      <c r="W910" s="20"/>
      <c r="X910" s="20"/>
      <c r="Y910" s="20"/>
      <c r="Z910" s="20"/>
      <c r="AA910" s="20"/>
    </row>
    <row r="911" spans="4:27" ht="17.25" customHeight="1">
      <c r="D911" s="57"/>
      <c r="E911" s="57"/>
      <c r="F911" s="58"/>
      <c r="G911" s="58"/>
      <c r="H911" s="58"/>
      <c r="I911" s="58"/>
      <c r="J911" s="31"/>
      <c r="K911" s="20"/>
      <c r="L911" s="20"/>
      <c r="M911" s="20"/>
      <c r="N911" s="20"/>
      <c r="O911" s="20"/>
      <c r="P911" s="20"/>
      <c r="Q911" s="20"/>
      <c r="R911" s="20"/>
      <c r="S911" s="20"/>
      <c r="T911" s="20"/>
      <c r="U911" s="20"/>
      <c r="V911" s="20"/>
      <c r="W911" s="20"/>
      <c r="X911" s="20"/>
      <c r="Y911" s="20"/>
      <c r="Z911" s="20"/>
      <c r="AA911" s="20"/>
    </row>
    <row r="912" spans="4:27" ht="17.25" customHeight="1">
      <c r="D912" s="57"/>
      <c r="E912" s="57"/>
      <c r="F912" s="58"/>
      <c r="G912" s="58"/>
      <c r="H912" s="58"/>
      <c r="I912" s="58"/>
      <c r="J912" s="31"/>
      <c r="K912" s="20"/>
      <c r="L912" s="20"/>
      <c r="M912" s="20"/>
      <c r="N912" s="20"/>
      <c r="O912" s="20"/>
      <c r="P912" s="20"/>
      <c r="Q912" s="20"/>
      <c r="R912" s="20"/>
      <c r="S912" s="20"/>
      <c r="T912" s="20"/>
      <c r="U912" s="20"/>
      <c r="V912" s="20"/>
      <c r="W912" s="20"/>
      <c r="X912" s="20"/>
      <c r="Y912" s="20"/>
      <c r="Z912" s="20"/>
      <c r="AA912" s="20"/>
    </row>
    <row r="913" spans="4:27" ht="17.25" customHeight="1">
      <c r="D913" s="57"/>
      <c r="E913" s="57"/>
      <c r="F913" s="58"/>
      <c r="G913" s="58"/>
      <c r="H913" s="58"/>
      <c r="I913" s="58"/>
      <c r="J913" s="31"/>
      <c r="K913" s="20"/>
      <c r="L913" s="20"/>
      <c r="M913" s="20"/>
      <c r="N913" s="20"/>
      <c r="O913" s="20"/>
      <c r="P913" s="20"/>
      <c r="Q913" s="20"/>
      <c r="R913" s="20"/>
      <c r="S913" s="20"/>
      <c r="T913" s="20"/>
      <c r="U913" s="20"/>
      <c r="V913" s="20"/>
      <c r="W913" s="20"/>
      <c r="X913" s="20"/>
      <c r="Y913" s="20"/>
      <c r="Z913" s="20"/>
      <c r="AA913" s="20"/>
    </row>
    <row r="914" spans="4:27" ht="17.25" customHeight="1">
      <c r="D914" s="57"/>
      <c r="E914" s="57"/>
      <c r="F914" s="58"/>
      <c r="G914" s="58"/>
      <c r="H914" s="58"/>
      <c r="I914" s="58"/>
      <c r="J914" s="31"/>
      <c r="K914" s="20"/>
      <c r="L914" s="20"/>
      <c r="M914" s="20"/>
      <c r="N914" s="20"/>
      <c r="O914" s="20"/>
      <c r="P914" s="20"/>
      <c r="Q914" s="20"/>
      <c r="R914" s="20"/>
      <c r="S914" s="20"/>
      <c r="T914" s="20"/>
      <c r="U914" s="20"/>
      <c r="V914" s="20"/>
      <c r="W914" s="20"/>
      <c r="X914" s="20"/>
      <c r="Y914" s="20"/>
      <c r="Z914" s="20"/>
      <c r="AA914" s="20"/>
    </row>
    <row r="915" spans="4:27" ht="17.25" customHeight="1">
      <c r="D915" s="57"/>
      <c r="E915" s="57"/>
      <c r="F915" s="58"/>
      <c r="G915" s="58"/>
      <c r="H915" s="58"/>
      <c r="I915" s="58"/>
      <c r="J915" s="31"/>
      <c r="K915" s="20"/>
      <c r="L915" s="20"/>
      <c r="M915" s="20"/>
      <c r="N915" s="20"/>
      <c r="O915" s="20"/>
      <c r="P915" s="20"/>
      <c r="Q915" s="20"/>
      <c r="R915" s="20"/>
      <c r="S915" s="20"/>
      <c r="T915" s="20"/>
      <c r="U915" s="20"/>
      <c r="V915" s="20"/>
      <c r="W915" s="20"/>
      <c r="X915" s="20"/>
      <c r="Y915" s="20"/>
      <c r="Z915" s="20"/>
      <c r="AA915" s="20"/>
    </row>
    <row r="916" spans="4:27" ht="17.25" customHeight="1">
      <c r="D916" s="57"/>
      <c r="E916" s="57"/>
      <c r="F916" s="58"/>
      <c r="G916" s="58"/>
      <c r="H916" s="58"/>
      <c r="I916" s="58"/>
      <c r="J916" s="31"/>
      <c r="K916" s="20"/>
      <c r="L916" s="20"/>
      <c r="M916" s="20"/>
      <c r="N916" s="20"/>
      <c r="O916" s="20"/>
      <c r="P916" s="20"/>
      <c r="Q916" s="20"/>
      <c r="R916" s="20"/>
      <c r="S916" s="20"/>
      <c r="T916" s="20"/>
      <c r="U916" s="20"/>
      <c r="V916" s="20"/>
      <c r="W916" s="20"/>
      <c r="X916" s="20"/>
      <c r="Y916" s="20"/>
      <c r="Z916" s="20"/>
      <c r="AA916" s="20"/>
    </row>
    <row r="917" spans="4:27" ht="17.25" customHeight="1">
      <c r="D917" s="57"/>
      <c r="E917" s="57"/>
      <c r="F917" s="58"/>
      <c r="G917" s="58"/>
      <c r="H917" s="58"/>
      <c r="I917" s="58"/>
      <c r="J917" s="31"/>
      <c r="K917" s="20"/>
      <c r="L917" s="20"/>
      <c r="M917" s="20"/>
      <c r="N917" s="20"/>
      <c r="O917" s="20"/>
      <c r="P917" s="20"/>
      <c r="Q917" s="20"/>
      <c r="R917" s="20"/>
      <c r="S917" s="20"/>
      <c r="T917" s="20"/>
      <c r="U917" s="20"/>
      <c r="V917" s="20"/>
      <c r="W917" s="20"/>
      <c r="X917" s="20"/>
      <c r="Y917" s="20"/>
      <c r="Z917" s="20"/>
      <c r="AA917" s="20"/>
    </row>
    <row r="918" spans="4:27" ht="17.25" customHeight="1">
      <c r="D918" s="57"/>
      <c r="E918" s="57"/>
      <c r="F918" s="58"/>
      <c r="G918" s="58"/>
      <c r="H918" s="58"/>
      <c r="I918" s="58"/>
      <c r="J918" s="31"/>
      <c r="K918" s="20"/>
      <c r="L918" s="20"/>
      <c r="M918" s="20"/>
      <c r="N918" s="20"/>
      <c r="O918" s="20"/>
      <c r="P918" s="20"/>
      <c r="Q918" s="20"/>
      <c r="R918" s="20"/>
      <c r="S918" s="20"/>
      <c r="T918" s="20"/>
      <c r="U918" s="20"/>
      <c r="V918" s="20"/>
      <c r="W918" s="20"/>
      <c r="X918" s="20"/>
      <c r="Y918" s="20"/>
      <c r="Z918" s="20"/>
      <c r="AA918" s="20"/>
    </row>
    <row r="919" spans="4:27" ht="17.25" customHeight="1">
      <c r="D919" s="57"/>
      <c r="E919" s="57"/>
      <c r="F919" s="58"/>
      <c r="G919" s="58"/>
      <c r="H919" s="58"/>
      <c r="I919" s="58"/>
      <c r="J919" s="31"/>
      <c r="K919" s="20"/>
      <c r="L919" s="20"/>
      <c r="M919" s="20"/>
      <c r="N919" s="20"/>
      <c r="O919" s="20"/>
      <c r="P919" s="20"/>
      <c r="Q919" s="20"/>
      <c r="R919" s="20"/>
      <c r="S919" s="20"/>
      <c r="T919" s="20"/>
      <c r="U919" s="20"/>
      <c r="V919" s="20"/>
      <c r="W919" s="20"/>
      <c r="X919" s="20"/>
      <c r="Y919" s="20"/>
      <c r="Z919" s="20"/>
      <c r="AA919" s="20"/>
    </row>
    <row r="920" spans="4:27" ht="17.25" customHeight="1">
      <c r="D920" s="57"/>
      <c r="E920" s="57"/>
      <c r="F920" s="58"/>
      <c r="G920" s="58"/>
      <c r="H920" s="58"/>
      <c r="I920" s="58"/>
      <c r="J920" s="31"/>
      <c r="K920" s="20"/>
      <c r="L920" s="20"/>
      <c r="M920" s="20"/>
      <c r="N920" s="20"/>
      <c r="O920" s="20"/>
      <c r="P920" s="20"/>
      <c r="Q920" s="20"/>
      <c r="R920" s="20"/>
      <c r="S920" s="20"/>
      <c r="T920" s="20"/>
      <c r="U920" s="20"/>
      <c r="V920" s="20"/>
      <c r="W920" s="20"/>
      <c r="X920" s="20"/>
      <c r="Y920" s="20"/>
      <c r="Z920" s="20"/>
      <c r="AA920" s="20"/>
    </row>
    <row r="921" spans="4:27" ht="17.25" customHeight="1">
      <c r="D921" s="57"/>
      <c r="E921" s="57"/>
      <c r="F921" s="58"/>
      <c r="G921" s="58"/>
      <c r="H921" s="58"/>
      <c r="I921" s="58"/>
      <c r="J921" s="31"/>
      <c r="K921" s="20"/>
      <c r="L921" s="20"/>
      <c r="M921" s="20"/>
      <c r="N921" s="20"/>
      <c r="O921" s="20"/>
      <c r="P921" s="20"/>
      <c r="Q921" s="20"/>
      <c r="R921" s="20"/>
      <c r="S921" s="20"/>
      <c r="T921" s="20"/>
      <c r="U921" s="20"/>
      <c r="V921" s="20"/>
      <c r="W921" s="20"/>
      <c r="X921" s="20"/>
      <c r="Y921" s="20"/>
      <c r="Z921" s="20"/>
      <c r="AA921" s="20"/>
    </row>
    <row r="922" spans="4:27" ht="17.25" customHeight="1">
      <c r="D922" s="57"/>
      <c r="E922" s="57"/>
      <c r="F922" s="58"/>
      <c r="G922" s="58"/>
      <c r="H922" s="58"/>
      <c r="I922" s="58"/>
      <c r="J922" s="31"/>
      <c r="K922" s="20"/>
      <c r="L922" s="20"/>
      <c r="M922" s="20"/>
      <c r="N922" s="20"/>
      <c r="O922" s="20"/>
      <c r="P922" s="20"/>
      <c r="Q922" s="20"/>
      <c r="R922" s="20"/>
      <c r="S922" s="20"/>
      <c r="T922" s="20"/>
      <c r="U922" s="20"/>
      <c r="V922" s="20"/>
      <c r="W922" s="20"/>
      <c r="X922" s="20"/>
      <c r="Y922" s="20"/>
      <c r="Z922" s="20"/>
      <c r="AA922" s="20"/>
    </row>
    <row r="923" spans="4:27" ht="17.25" customHeight="1">
      <c r="D923" s="57"/>
      <c r="E923" s="57"/>
      <c r="F923" s="58"/>
      <c r="G923" s="58"/>
      <c r="H923" s="58"/>
      <c r="I923" s="58"/>
      <c r="J923" s="31"/>
      <c r="K923" s="20"/>
      <c r="L923" s="20"/>
      <c r="M923" s="20"/>
      <c r="N923" s="20"/>
      <c r="O923" s="20"/>
      <c r="P923" s="20"/>
      <c r="Q923" s="20"/>
      <c r="R923" s="20"/>
      <c r="S923" s="20"/>
      <c r="T923" s="20"/>
      <c r="U923" s="20"/>
      <c r="V923" s="20"/>
      <c r="W923" s="20"/>
      <c r="X923" s="20"/>
      <c r="Y923" s="20"/>
      <c r="Z923" s="20"/>
      <c r="AA923" s="20"/>
    </row>
    <row r="924" spans="4:27" ht="17.25" customHeight="1">
      <c r="D924" s="57"/>
      <c r="E924" s="57"/>
      <c r="F924" s="58"/>
      <c r="G924" s="58"/>
      <c r="H924" s="58"/>
      <c r="I924" s="58"/>
      <c r="J924" s="31"/>
      <c r="K924" s="20"/>
      <c r="L924" s="20"/>
      <c r="M924" s="20"/>
      <c r="N924" s="20"/>
      <c r="O924" s="20"/>
      <c r="P924" s="20"/>
      <c r="Q924" s="20"/>
      <c r="R924" s="20"/>
      <c r="S924" s="20"/>
      <c r="T924" s="20"/>
      <c r="U924" s="20"/>
      <c r="V924" s="20"/>
      <c r="W924" s="20"/>
      <c r="X924" s="20"/>
      <c r="Y924" s="20"/>
      <c r="Z924" s="20"/>
      <c r="AA924" s="20"/>
    </row>
    <row r="925" spans="4:27" ht="17.25" customHeight="1">
      <c r="D925" s="57"/>
      <c r="E925" s="57"/>
      <c r="F925" s="58"/>
      <c r="G925" s="58"/>
      <c r="H925" s="58"/>
      <c r="I925" s="58"/>
      <c r="J925" s="31"/>
      <c r="K925" s="20"/>
      <c r="L925" s="20"/>
      <c r="M925" s="20"/>
      <c r="N925" s="20"/>
      <c r="O925" s="20"/>
      <c r="P925" s="20"/>
      <c r="Q925" s="20"/>
      <c r="R925" s="20"/>
      <c r="S925" s="20"/>
      <c r="T925" s="20"/>
      <c r="U925" s="20"/>
      <c r="V925" s="20"/>
      <c r="W925" s="20"/>
      <c r="X925" s="20"/>
      <c r="Y925" s="20"/>
      <c r="Z925" s="20"/>
      <c r="AA925" s="20"/>
    </row>
    <row r="926" spans="4:27" ht="17.25" customHeight="1">
      <c r="D926" s="57"/>
      <c r="E926" s="57"/>
      <c r="F926" s="58"/>
      <c r="G926" s="58"/>
      <c r="H926" s="58"/>
      <c r="I926" s="58"/>
      <c r="J926" s="31"/>
      <c r="K926" s="20"/>
      <c r="L926" s="20"/>
      <c r="M926" s="20"/>
      <c r="N926" s="20"/>
      <c r="O926" s="20"/>
      <c r="P926" s="20"/>
      <c r="Q926" s="20"/>
      <c r="R926" s="20"/>
      <c r="S926" s="20"/>
      <c r="T926" s="20"/>
      <c r="U926" s="20"/>
      <c r="V926" s="20"/>
      <c r="W926" s="20"/>
      <c r="X926" s="20"/>
      <c r="Y926" s="20"/>
      <c r="Z926" s="20"/>
      <c r="AA926" s="20"/>
    </row>
    <row r="927" spans="4:27" ht="17.25" customHeight="1">
      <c r="D927" s="57"/>
      <c r="E927" s="57"/>
      <c r="F927" s="58"/>
      <c r="G927" s="58"/>
      <c r="H927" s="58"/>
      <c r="I927" s="58"/>
      <c r="J927" s="31"/>
      <c r="K927" s="20"/>
      <c r="L927" s="20"/>
      <c r="M927" s="20"/>
      <c r="N927" s="20"/>
      <c r="O927" s="20"/>
      <c r="P927" s="20"/>
      <c r="Q927" s="20"/>
      <c r="R927" s="20"/>
      <c r="S927" s="20"/>
      <c r="T927" s="20"/>
      <c r="U927" s="20"/>
      <c r="V927" s="20"/>
      <c r="W927" s="20"/>
      <c r="X927" s="20"/>
      <c r="Y927" s="20"/>
      <c r="Z927" s="20"/>
      <c r="AA927" s="20"/>
    </row>
    <row r="928" spans="4:27" ht="17.25" customHeight="1">
      <c r="D928" s="57"/>
      <c r="E928" s="57"/>
      <c r="F928" s="58"/>
      <c r="G928" s="58"/>
      <c r="H928" s="58"/>
      <c r="I928" s="58"/>
      <c r="J928" s="31"/>
      <c r="K928" s="20"/>
      <c r="L928" s="20"/>
      <c r="M928" s="20"/>
      <c r="N928" s="20"/>
      <c r="O928" s="20"/>
      <c r="P928" s="20"/>
      <c r="Q928" s="20"/>
      <c r="R928" s="20"/>
      <c r="S928" s="20"/>
      <c r="T928" s="20"/>
      <c r="U928" s="20"/>
      <c r="V928" s="20"/>
      <c r="W928" s="20"/>
      <c r="X928" s="20"/>
      <c r="Y928" s="20"/>
      <c r="Z928" s="20"/>
      <c r="AA928" s="20"/>
    </row>
    <row r="929" spans="4:27" ht="17.25" customHeight="1">
      <c r="D929" s="57"/>
      <c r="E929" s="57"/>
      <c r="F929" s="58"/>
      <c r="G929" s="58"/>
      <c r="H929" s="58"/>
      <c r="I929" s="58"/>
      <c r="J929" s="31"/>
      <c r="K929" s="20"/>
      <c r="L929" s="20"/>
      <c r="M929" s="20"/>
      <c r="N929" s="20"/>
      <c r="O929" s="20"/>
      <c r="P929" s="20"/>
      <c r="Q929" s="20"/>
      <c r="R929" s="20"/>
      <c r="S929" s="20"/>
      <c r="T929" s="20"/>
      <c r="U929" s="20"/>
      <c r="V929" s="20"/>
      <c r="W929" s="20"/>
      <c r="X929" s="20"/>
      <c r="Y929" s="20"/>
      <c r="Z929" s="20"/>
      <c r="AA929" s="20"/>
    </row>
    <row r="930" spans="4:27" ht="17.25" customHeight="1">
      <c r="D930" s="57"/>
      <c r="E930" s="57"/>
      <c r="F930" s="58"/>
      <c r="G930" s="58"/>
      <c r="H930" s="58"/>
      <c r="I930" s="58"/>
      <c r="J930" s="31"/>
      <c r="K930" s="20"/>
      <c r="L930" s="20"/>
      <c r="M930" s="20"/>
      <c r="N930" s="20"/>
      <c r="O930" s="20"/>
      <c r="P930" s="20"/>
      <c r="Q930" s="20"/>
      <c r="R930" s="20"/>
      <c r="S930" s="20"/>
      <c r="T930" s="20"/>
      <c r="U930" s="20"/>
      <c r="V930" s="20"/>
      <c r="W930" s="20"/>
      <c r="X930" s="20"/>
      <c r="Y930" s="20"/>
      <c r="Z930" s="20"/>
      <c r="AA930" s="20"/>
    </row>
    <row r="931" spans="4:27" ht="17.25" customHeight="1">
      <c r="D931" s="57"/>
      <c r="E931" s="57"/>
      <c r="F931" s="58"/>
      <c r="G931" s="58"/>
      <c r="H931" s="58"/>
      <c r="I931" s="58"/>
      <c r="J931" s="31"/>
      <c r="K931" s="20"/>
      <c r="L931" s="20"/>
      <c r="M931" s="20"/>
      <c r="N931" s="20"/>
      <c r="O931" s="20"/>
      <c r="P931" s="20"/>
      <c r="Q931" s="20"/>
      <c r="R931" s="20"/>
      <c r="S931" s="20"/>
      <c r="T931" s="20"/>
      <c r="U931" s="20"/>
      <c r="V931" s="20"/>
      <c r="W931" s="20"/>
      <c r="X931" s="20"/>
      <c r="Y931" s="20"/>
      <c r="Z931" s="20"/>
      <c r="AA931" s="20"/>
    </row>
    <row r="932" spans="4:27" ht="17.25" customHeight="1">
      <c r="D932" s="57"/>
      <c r="E932" s="57"/>
      <c r="F932" s="58"/>
      <c r="G932" s="58"/>
      <c r="H932" s="58"/>
      <c r="I932" s="58"/>
      <c r="J932" s="31"/>
      <c r="K932" s="20"/>
      <c r="L932" s="20"/>
      <c r="M932" s="20"/>
      <c r="N932" s="20"/>
      <c r="O932" s="20"/>
      <c r="P932" s="20"/>
      <c r="Q932" s="20"/>
      <c r="R932" s="20"/>
      <c r="S932" s="20"/>
      <c r="T932" s="20"/>
      <c r="U932" s="20"/>
      <c r="V932" s="20"/>
      <c r="W932" s="20"/>
      <c r="X932" s="20"/>
      <c r="Y932" s="20"/>
      <c r="Z932" s="20"/>
      <c r="AA932" s="20"/>
    </row>
    <row r="933" spans="4:27" ht="17.25" customHeight="1">
      <c r="D933" s="57"/>
      <c r="E933" s="57"/>
      <c r="F933" s="58"/>
      <c r="G933" s="58"/>
      <c r="H933" s="58"/>
      <c r="I933" s="58"/>
      <c r="J933" s="31"/>
      <c r="K933" s="20"/>
      <c r="L933" s="20"/>
      <c r="M933" s="20"/>
      <c r="N933" s="20"/>
      <c r="O933" s="20"/>
      <c r="P933" s="20"/>
      <c r="Q933" s="20"/>
      <c r="R933" s="20"/>
      <c r="S933" s="20"/>
      <c r="T933" s="20"/>
      <c r="U933" s="20"/>
      <c r="V933" s="20"/>
      <c r="W933" s="20"/>
      <c r="X933" s="20"/>
      <c r="Y933" s="20"/>
      <c r="Z933" s="20"/>
      <c r="AA933" s="20"/>
    </row>
    <row r="934" spans="4:27" ht="17.25" customHeight="1">
      <c r="D934" s="57"/>
      <c r="E934" s="57"/>
      <c r="F934" s="58"/>
      <c r="G934" s="58"/>
      <c r="H934" s="58"/>
      <c r="I934" s="58"/>
      <c r="J934" s="31"/>
      <c r="K934" s="20"/>
      <c r="L934" s="20"/>
      <c r="M934" s="20"/>
      <c r="N934" s="20"/>
      <c r="O934" s="20"/>
      <c r="P934" s="20"/>
      <c r="Q934" s="20"/>
      <c r="R934" s="20"/>
      <c r="S934" s="20"/>
      <c r="T934" s="20"/>
      <c r="U934" s="20"/>
      <c r="V934" s="20"/>
      <c r="W934" s="20"/>
      <c r="X934" s="20"/>
      <c r="Y934" s="20"/>
      <c r="Z934" s="20"/>
      <c r="AA934" s="20"/>
    </row>
    <row r="935" spans="4:27" ht="17.25" customHeight="1">
      <c r="D935" s="57"/>
      <c r="E935" s="57"/>
      <c r="F935" s="58"/>
      <c r="G935" s="58"/>
      <c r="H935" s="58"/>
      <c r="I935" s="58"/>
      <c r="J935" s="31"/>
      <c r="K935" s="20"/>
      <c r="L935" s="20"/>
      <c r="M935" s="20"/>
      <c r="N935" s="20"/>
      <c r="O935" s="20"/>
      <c r="P935" s="20"/>
      <c r="Q935" s="20"/>
      <c r="R935" s="20"/>
      <c r="S935" s="20"/>
      <c r="T935" s="20"/>
      <c r="U935" s="20"/>
      <c r="V935" s="20"/>
      <c r="W935" s="20"/>
      <c r="X935" s="20"/>
      <c r="Y935" s="20"/>
      <c r="Z935" s="20"/>
      <c r="AA935" s="20"/>
    </row>
    <row r="936" spans="4:27" ht="17.25" customHeight="1">
      <c r="D936" s="57"/>
      <c r="E936" s="57"/>
      <c r="F936" s="58"/>
      <c r="G936" s="58"/>
      <c r="H936" s="58"/>
      <c r="I936" s="58"/>
      <c r="J936" s="31"/>
      <c r="K936" s="20"/>
      <c r="L936" s="20"/>
      <c r="M936" s="20"/>
      <c r="N936" s="20"/>
      <c r="O936" s="20"/>
      <c r="P936" s="20"/>
      <c r="Q936" s="20"/>
      <c r="R936" s="20"/>
      <c r="S936" s="20"/>
      <c r="T936" s="20"/>
      <c r="U936" s="20"/>
      <c r="V936" s="20"/>
      <c r="W936" s="20"/>
      <c r="X936" s="20"/>
      <c r="Y936" s="20"/>
      <c r="Z936" s="20"/>
      <c r="AA936" s="20"/>
    </row>
    <row r="937" spans="4:27" ht="17.25" customHeight="1">
      <c r="D937" s="57"/>
      <c r="E937" s="57"/>
      <c r="F937" s="58"/>
      <c r="G937" s="58"/>
      <c r="H937" s="58"/>
      <c r="I937" s="58"/>
      <c r="J937" s="31"/>
      <c r="K937" s="20"/>
      <c r="L937" s="20"/>
      <c r="M937" s="20"/>
      <c r="N937" s="20"/>
      <c r="O937" s="20"/>
      <c r="P937" s="20"/>
      <c r="Q937" s="20"/>
      <c r="R937" s="20"/>
      <c r="S937" s="20"/>
      <c r="T937" s="20"/>
      <c r="U937" s="20"/>
      <c r="V937" s="20"/>
      <c r="W937" s="20"/>
      <c r="X937" s="20"/>
      <c r="Y937" s="20"/>
      <c r="Z937" s="20"/>
      <c r="AA937" s="20"/>
    </row>
    <row r="938" spans="4:27" ht="17.25" customHeight="1">
      <c r="D938" s="57"/>
      <c r="E938" s="57"/>
      <c r="F938" s="58"/>
      <c r="G938" s="58"/>
      <c r="H938" s="58"/>
      <c r="I938" s="58"/>
      <c r="J938" s="31"/>
      <c r="K938" s="20"/>
      <c r="L938" s="20"/>
      <c r="M938" s="20"/>
      <c r="N938" s="20"/>
      <c r="O938" s="20"/>
      <c r="P938" s="20"/>
      <c r="Q938" s="20"/>
      <c r="R938" s="20"/>
      <c r="S938" s="20"/>
      <c r="T938" s="20"/>
      <c r="U938" s="20"/>
      <c r="V938" s="20"/>
      <c r="W938" s="20"/>
      <c r="X938" s="20"/>
      <c r="Y938" s="20"/>
      <c r="Z938" s="20"/>
      <c r="AA938" s="20"/>
    </row>
    <row r="939" spans="4:27" ht="17.25" customHeight="1">
      <c r="D939" s="57"/>
      <c r="E939" s="57"/>
      <c r="F939" s="58"/>
      <c r="G939" s="58"/>
      <c r="H939" s="58"/>
      <c r="I939" s="58"/>
      <c r="J939" s="31"/>
      <c r="K939" s="20"/>
      <c r="L939" s="20"/>
      <c r="M939" s="20"/>
      <c r="N939" s="20"/>
      <c r="O939" s="20"/>
      <c r="P939" s="20"/>
      <c r="Q939" s="20"/>
      <c r="R939" s="20"/>
      <c r="S939" s="20"/>
      <c r="T939" s="20"/>
      <c r="U939" s="20"/>
      <c r="V939" s="20"/>
      <c r="W939" s="20"/>
      <c r="X939" s="20"/>
      <c r="Y939" s="20"/>
      <c r="Z939" s="20"/>
      <c r="AA939" s="20"/>
    </row>
    <row r="940" spans="4:27" ht="17.25" customHeight="1">
      <c r="D940" s="57"/>
      <c r="E940" s="57"/>
      <c r="F940" s="58"/>
      <c r="G940" s="58"/>
      <c r="H940" s="58"/>
      <c r="I940" s="58"/>
      <c r="J940" s="31"/>
      <c r="K940" s="20"/>
      <c r="L940" s="20"/>
      <c r="M940" s="20"/>
      <c r="N940" s="20"/>
      <c r="O940" s="20"/>
      <c r="P940" s="20"/>
      <c r="Q940" s="20"/>
      <c r="R940" s="20"/>
      <c r="S940" s="20"/>
      <c r="T940" s="20"/>
      <c r="U940" s="20"/>
      <c r="V940" s="20"/>
      <c r="W940" s="20"/>
      <c r="X940" s="20"/>
      <c r="Y940" s="20"/>
      <c r="Z940" s="20"/>
      <c r="AA940" s="20"/>
    </row>
    <row r="941" spans="4:27" ht="17.25" customHeight="1">
      <c r="D941" s="57"/>
      <c r="E941" s="57"/>
      <c r="F941" s="58"/>
      <c r="G941" s="58"/>
      <c r="H941" s="58"/>
      <c r="I941" s="58"/>
      <c r="J941" s="31"/>
      <c r="K941" s="20"/>
      <c r="L941" s="20"/>
      <c r="M941" s="20"/>
      <c r="N941" s="20"/>
      <c r="O941" s="20"/>
      <c r="P941" s="20"/>
      <c r="Q941" s="20"/>
      <c r="R941" s="20"/>
      <c r="S941" s="20"/>
      <c r="T941" s="20"/>
      <c r="U941" s="20"/>
      <c r="V941" s="20"/>
      <c r="W941" s="20"/>
      <c r="X941" s="20"/>
      <c r="Y941" s="20"/>
      <c r="Z941" s="20"/>
      <c r="AA941" s="20"/>
    </row>
    <row r="942" spans="4:27" ht="17.25" customHeight="1">
      <c r="D942" s="57"/>
      <c r="E942" s="57"/>
      <c r="F942" s="58"/>
      <c r="G942" s="58"/>
      <c r="H942" s="58"/>
      <c r="I942" s="58"/>
      <c r="J942" s="31"/>
      <c r="K942" s="20"/>
      <c r="L942" s="20"/>
      <c r="M942" s="20"/>
      <c r="N942" s="20"/>
      <c r="O942" s="20"/>
      <c r="P942" s="20"/>
      <c r="Q942" s="20"/>
      <c r="R942" s="20"/>
      <c r="S942" s="20"/>
      <c r="T942" s="20"/>
      <c r="U942" s="20"/>
      <c r="V942" s="20"/>
      <c r="W942" s="20"/>
      <c r="X942" s="20"/>
      <c r="Y942" s="20"/>
      <c r="Z942" s="20"/>
      <c r="AA942" s="20"/>
    </row>
    <row r="943" spans="4:27" ht="17.25" customHeight="1">
      <c r="D943" s="57"/>
      <c r="E943" s="57"/>
      <c r="F943" s="58"/>
      <c r="G943" s="58"/>
      <c r="H943" s="58"/>
      <c r="I943" s="58"/>
      <c r="J943" s="31"/>
      <c r="K943" s="20"/>
      <c r="L943" s="20"/>
      <c r="M943" s="20"/>
      <c r="N943" s="20"/>
      <c r="O943" s="20"/>
      <c r="P943" s="20"/>
      <c r="Q943" s="20"/>
      <c r="R943" s="20"/>
      <c r="S943" s="20"/>
      <c r="T943" s="20"/>
      <c r="U943" s="20"/>
      <c r="V943" s="20"/>
      <c r="W943" s="20"/>
      <c r="X943" s="20"/>
      <c r="Y943" s="20"/>
      <c r="Z943" s="20"/>
      <c r="AA943" s="20"/>
    </row>
    <row r="944" spans="4:27" ht="17.25" customHeight="1">
      <c r="D944" s="57"/>
      <c r="E944" s="57"/>
      <c r="F944" s="58"/>
      <c r="G944" s="58"/>
      <c r="H944" s="58"/>
      <c r="I944" s="58"/>
      <c r="J944" s="31"/>
      <c r="K944" s="20"/>
      <c r="L944" s="20"/>
      <c r="M944" s="20"/>
      <c r="N944" s="20"/>
      <c r="O944" s="20"/>
      <c r="P944" s="20"/>
      <c r="Q944" s="20"/>
      <c r="R944" s="20"/>
      <c r="S944" s="20"/>
      <c r="T944" s="20"/>
      <c r="U944" s="20"/>
      <c r="V944" s="20"/>
      <c r="W944" s="20"/>
      <c r="X944" s="20"/>
      <c r="Y944" s="20"/>
      <c r="Z944" s="20"/>
      <c r="AA944" s="20"/>
    </row>
    <row r="945" spans="4:27" ht="17.25" customHeight="1">
      <c r="D945" s="57"/>
      <c r="E945" s="57"/>
      <c r="F945" s="58"/>
      <c r="G945" s="58"/>
      <c r="H945" s="58"/>
      <c r="I945" s="58"/>
      <c r="J945" s="31"/>
      <c r="K945" s="20"/>
      <c r="L945" s="20"/>
      <c r="M945" s="20"/>
      <c r="N945" s="20"/>
      <c r="O945" s="20"/>
      <c r="P945" s="20"/>
      <c r="Q945" s="20"/>
      <c r="R945" s="20"/>
      <c r="S945" s="20"/>
      <c r="T945" s="20"/>
      <c r="U945" s="20"/>
      <c r="V945" s="20"/>
      <c r="W945" s="20"/>
      <c r="X945" s="20"/>
      <c r="Y945" s="20"/>
      <c r="Z945" s="20"/>
      <c r="AA945" s="20"/>
    </row>
    <row r="946" spans="4:27" ht="17.25" customHeight="1">
      <c r="D946" s="57"/>
      <c r="E946" s="57"/>
      <c r="F946" s="58"/>
      <c r="G946" s="58"/>
      <c r="H946" s="58"/>
      <c r="I946" s="58"/>
      <c r="J946" s="31"/>
      <c r="K946" s="20"/>
      <c r="L946" s="20"/>
      <c r="M946" s="20"/>
      <c r="N946" s="20"/>
      <c r="O946" s="20"/>
      <c r="P946" s="20"/>
      <c r="Q946" s="20"/>
      <c r="R946" s="20"/>
      <c r="S946" s="20"/>
      <c r="T946" s="20"/>
      <c r="U946" s="20"/>
      <c r="V946" s="20"/>
      <c r="W946" s="20"/>
      <c r="X946" s="20"/>
      <c r="Y946" s="20"/>
      <c r="Z946" s="20"/>
      <c r="AA946" s="20"/>
    </row>
    <row r="947" spans="4:27" ht="17.25" customHeight="1">
      <c r="D947" s="57"/>
      <c r="E947" s="57"/>
      <c r="F947" s="58"/>
      <c r="G947" s="58"/>
      <c r="H947" s="58"/>
      <c r="I947" s="58"/>
      <c r="J947" s="31"/>
      <c r="K947" s="20"/>
      <c r="L947" s="20"/>
      <c r="M947" s="20"/>
      <c r="N947" s="20"/>
      <c r="O947" s="20"/>
      <c r="P947" s="20"/>
      <c r="Q947" s="20"/>
      <c r="R947" s="20"/>
      <c r="S947" s="20"/>
      <c r="T947" s="20"/>
      <c r="U947" s="20"/>
      <c r="V947" s="20"/>
      <c r="W947" s="20"/>
      <c r="X947" s="20"/>
      <c r="Y947" s="20"/>
      <c r="Z947" s="20"/>
      <c r="AA947" s="20"/>
    </row>
    <row r="948" spans="4:27" ht="17.25" customHeight="1">
      <c r="D948" s="57"/>
      <c r="E948" s="57"/>
      <c r="F948" s="58"/>
      <c r="G948" s="58"/>
      <c r="H948" s="58"/>
      <c r="I948" s="58"/>
      <c r="J948" s="31"/>
      <c r="K948" s="20"/>
      <c r="L948" s="20"/>
      <c r="M948" s="20"/>
      <c r="N948" s="20"/>
      <c r="O948" s="20"/>
      <c r="P948" s="20"/>
      <c r="Q948" s="20"/>
      <c r="R948" s="20"/>
      <c r="S948" s="20"/>
      <c r="T948" s="20"/>
      <c r="U948" s="20"/>
      <c r="V948" s="20"/>
      <c r="W948" s="20"/>
      <c r="X948" s="20"/>
      <c r="Y948" s="20"/>
      <c r="Z948" s="20"/>
      <c r="AA948" s="20"/>
    </row>
    <row r="949" spans="4:27" ht="17.25" customHeight="1">
      <c r="D949" s="57"/>
      <c r="E949" s="57"/>
      <c r="F949" s="58"/>
      <c r="G949" s="58"/>
      <c r="H949" s="58"/>
      <c r="I949" s="58"/>
      <c r="J949" s="31"/>
      <c r="K949" s="20"/>
      <c r="L949" s="20"/>
      <c r="M949" s="20"/>
      <c r="N949" s="20"/>
      <c r="O949" s="20"/>
      <c r="P949" s="20"/>
      <c r="Q949" s="20"/>
      <c r="R949" s="20"/>
      <c r="S949" s="20"/>
      <c r="T949" s="20"/>
      <c r="U949" s="20"/>
      <c r="V949" s="20"/>
      <c r="W949" s="20"/>
      <c r="X949" s="20"/>
      <c r="Y949" s="20"/>
      <c r="Z949" s="20"/>
      <c r="AA949" s="20"/>
    </row>
    <row r="950" spans="4:27" ht="17.25" customHeight="1">
      <c r="D950" s="57"/>
      <c r="E950" s="57"/>
      <c r="F950" s="58"/>
      <c r="G950" s="58"/>
      <c r="H950" s="58"/>
      <c r="I950" s="58"/>
      <c r="J950" s="31"/>
      <c r="K950" s="20"/>
      <c r="L950" s="20"/>
      <c r="M950" s="20"/>
      <c r="N950" s="20"/>
      <c r="O950" s="20"/>
      <c r="P950" s="20"/>
      <c r="Q950" s="20"/>
      <c r="R950" s="20"/>
      <c r="S950" s="20"/>
      <c r="T950" s="20"/>
      <c r="U950" s="20"/>
      <c r="V950" s="20"/>
      <c r="W950" s="20"/>
      <c r="X950" s="20"/>
      <c r="Y950" s="20"/>
      <c r="Z950" s="20"/>
      <c r="AA950" s="20"/>
    </row>
    <row r="951" spans="4:27" ht="17.25" customHeight="1">
      <c r="D951" s="57"/>
      <c r="E951" s="57"/>
      <c r="F951" s="58"/>
      <c r="G951" s="58"/>
      <c r="H951" s="58"/>
      <c r="I951" s="58"/>
      <c r="J951" s="31"/>
      <c r="K951" s="20"/>
      <c r="L951" s="20"/>
      <c r="M951" s="20"/>
      <c r="N951" s="20"/>
      <c r="O951" s="20"/>
      <c r="P951" s="20"/>
      <c r="Q951" s="20"/>
      <c r="R951" s="20"/>
      <c r="S951" s="20"/>
      <c r="T951" s="20"/>
      <c r="U951" s="20"/>
      <c r="V951" s="20"/>
      <c r="W951" s="20"/>
      <c r="X951" s="20"/>
      <c r="Y951" s="20"/>
      <c r="Z951" s="20"/>
      <c r="AA951" s="20"/>
    </row>
    <row r="952" spans="4:27" ht="17.25" customHeight="1">
      <c r="D952" s="57"/>
      <c r="E952" s="57"/>
      <c r="F952" s="58"/>
      <c r="G952" s="58"/>
      <c r="H952" s="58"/>
      <c r="I952" s="58"/>
      <c r="J952" s="31"/>
      <c r="K952" s="20"/>
      <c r="L952" s="20"/>
      <c r="M952" s="20"/>
      <c r="N952" s="20"/>
      <c r="O952" s="20"/>
      <c r="P952" s="20"/>
      <c r="Q952" s="20"/>
      <c r="R952" s="20"/>
      <c r="S952" s="20"/>
      <c r="T952" s="20"/>
      <c r="U952" s="20"/>
      <c r="V952" s="20"/>
      <c r="W952" s="20"/>
      <c r="X952" s="20"/>
      <c r="Y952" s="20"/>
      <c r="Z952" s="20"/>
      <c r="AA952" s="20"/>
    </row>
    <row r="953" spans="4:27" ht="17.25" customHeight="1">
      <c r="D953" s="57"/>
      <c r="E953" s="57"/>
      <c r="F953" s="58"/>
      <c r="G953" s="58"/>
      <c r="H953" s="58"/>
      <c r="I953" s="58"/>
      <c r="J953" s="31"/>
      <c r="K953" s="20"/>
      <c r="L953" s="20"/>
      <c r="M953" s="20"/>
      <c r="N953" s="20"/>
      <c r="O953" s="20"/>
      <c r="P953" s="20"/>
      <c r="Q953" s="20"/>
      <c r="R953" s="20"/>
      <c r="S953" s="20"/>
      <c r="T953" s="20"/>
      <c r="U953" s="20"/>
      <c r="V953" s="20"/>
      <c r="W953" s="20"/>
      <c r="X953" s="20"/>
      <c r="Y953" s="20"/>
      <c r="Z953" s="20"/>
      <c r="AA953" s="20"/>
    </row>
    <row r="954" spans="4:27" ht="17.25" customHeight="1">
      <c r="D954" s="57"/>
      <c r="E954" s="57"/>
      <c r="F954" s="58"/>
      <c r="G954" s="58"/>
      <c r="H954" s="58"/>
      <c r="I954" s="58"/>
      <c r="J954" s="31"/>
      <c r="K954" s="20"/>
      <c r="L954" s="20"/>
      <c r="M954" s="20"/>
      <c r="N954" s="20"/>
      <c r="O954" s="20"/>
      <c r="P954" s="20"/>
      <c r="Q954" s="20"/>
      <c r="R954" s="20"/>
      <c r="S954" s="20"/>
      <c r="T954" s="20"/>
      <c r="U954" s="20"/>
      <c r="V954" s="20"/>
      <c r="W954" s="20"/>
      <c r="X954" s="20"/>
      <c r="Y954" s="20"/>
      <c r="Z954" s="20"/>
      <c r="AA954" s="20"/>
    </row>
    <row r="955" spans="4:27" ht="17.25" customHeight="1">
      <c r="D955" s="57"/>
      <c r="E955" s="57"/>
      <c r="F955" s="58"/>
      <c r="G955" s="58"/>
      <c r="H955" s="58"/>
      <c r="I955" s="58"/>
      <c r="J955" s="31"/>
      <c r="K955" s="20"/>
      <c r="L955" s="20"/>
      <c r="M955" s="20"/>
      <c r="N955" s="20"/>
      <c r="O955" s="20"/>
      <c r="P955" s="20"/>
      <c r="Q955" s="20"/>
      <c r="R955" s="20"/>
      <c r="S955" s="20"/>
      <c r="T955" s="20"/>
      <c r="U955" s="20"/>
      <c r="V955" s="20"/>
      <c r="W955" s="20"/>
      <c r="X955" s="20"/>
      <c r="Y955" s="20"/>
      <c r="Z955" s="20"/>
      <c r="AA955" s="20"/>
    </row>
    <row r="956" spans="4:27" ht="17.25" customHeight="1">
      <c r="D956" s="57"/>
      <c r="E956" s="57"/>
      <c r="F956" s="58"/>
      <c r="G956" s="58"/>
      <c r="H956" s="58"/>
      <c r="I956" s="58"/>
      <c r="J956" s="31"/>
      <c r="K956" s="20"/>
      <c r="L956" s="20"/>
      <c r="M956" s="20"/>
      <c r="N956" s="20"/>
      <c r="O956" s="20"/>
      <c r="P956" s="20"/>
      <c r="Q956" s="20"/>
      <c r="R956" s="20"/>
      <c r="S956" s="20"/>
      <c r="T956" s="20"/>
      <c r="U956" s="20"/>
      <c r="V956" s="20"/>
      <c r="W956" s="20"/>
      <c r="X956" s="20"/>
      <c r="Y956" s="20"/>
      <c r="Z956" s="20"/>
      <c r="AA956" s="20"/>
    </row>
    <row r="957" spans="4:27" ht="17.25" customHeight="1">
      <c r="D957" s="57"/>
      <c r="E957" s="57"/>
      <c r="F957" s="58"/>
      <c r="G957" s="58"/>
      <c r="H957" s="58"/>
      <c r="I957" s="58"/>
      <c r="J957" s="31"/>
      <c r="K957" s="20"/>
      <c r="L957" s="20"/>
      <c r="M957" s="20"/>
      <c r="N957" s="20"/>
      <c r="O957" s="20"/>
      <c r="P957" s="20"/>
      <c r="Q957" s="20"/>
      <c r="R957" s="20"/>
      <c r="S957" s="20"/>
      <c r="T957" s="20"/>
      <c r="U957" s="20"/>
      <c r="V957" s="20"/>
      <c r="W957" s="20"/>
      <c r="X957" s="20"/>
      <c r="Y957" s="20"/>
      <c r="Z957" s="20"/>
      <c r="AA957" s="20"/>
    </row>
    <row r="958" spans="4:27" ht="17.25" customHeight="1">
      <c r="D958" s="57"/>
      <c r="E958" s="57"/>
      <c r="F958" s="58"/>
      <c r="G958" s="58"/>
      <c r="H958" s="58"/>
      <c r="I958" s="58"/>
      <c r="J958" s="31"/>
      <c r="K958" s="20"/>
      <c r="L958" s="20"/>
      <c r="M958" s="20"/>
      <c r="N958" s="20"/>
      <c r="O958" s="20"/>
      <c r="P958" s="20"/>
      <c r="Q958" s="20"/>
      <c r="R958" s="20"/>
      <c r="S958" s="20"/>
      <c r="T958" s="20"/>
      <c r="U958" s="20"/>
      <c r="V958" s="20"/>
      <c r="W958" s="20"/>
      <c r="X958" s="20"/>
      <c r="Y958" s="20"/>
      <c r="Z958" s="20"/>
      <c r="AA958" s="20"/>
    </row>
    <row r="959" spans="4:27" ht="17.25" customHeight="1">
      <c r="D959" s="57"/>
      <c r="E959" s="57"/>
      <c r="F959" s="58"/>
      <c r="G959" s="58"/>
      <c r="H959" s="58"/>
      <c r="I959" s="58"/>
      <c r="J959" s="31"/>
      <c r="K959" s="20"/>
      <c r="L959" s="20"/>
      <c r="M959" s="20"/>
      <c r="N959" s="20"/>
      <c r="O959" s="20"/>
      <c r="P959" s="20"/>
      <c r="Q959" s="20"/>
      <c r="R959" s="20"/>
      <c r="S959" s="20"/>
      <c r="T959" s="20"/>
      <c r="U959" s="20"/>
      <c r="V959" s="20"/>
      <c r="W959" s="20"/>
      <c r="X959" s="20"/>
      <c r="Y959" s="20"/>
      <c r="Z959" s="20"/>
      <c r="AA959" s="20"/>
    </row>
    <row r="960" spans="4:27" ht="17.25" customHeight="1">
      <c r="D960" s="57"/>
      <c r="E960" s="57"/>
      <c r="F960" s="58"/>
      <c r="G960" s="58"/>
      <c r="H960" s="58"/>
      <c r="I960" s="58"/>
      <c r="J960" s="31"/>
      <c r="K960" s="20"/>
      <c r="L960" s="20"/>
      <c r="M960" s="20"/>
      <c r="N960" s="20"/>
      <c r="O960" s="20"/>
      <c r="P960" s="20"/>
      <c r="Q960" s="20"/>
      <c r="R960" s="20"/>
      <c r="S960" s="20"/>
      <c r="T960" s="20"/>
      <c r="U960" s="20"/>
      <c r="V960" s="20"/>
      <c r="W960" s="20"/>
      <c r="X960" s="20"/>
      <c r="Y960" s="20"/>
      <c r="Z960" s="20"/>
      <c r="AA960" s="20"/>
    </row>
    <row r="961" spans="4:27" ht="17.25" customHeight="1">
      <c r="D961" s="57"/>
      <c r="E961" s="57"/>
      <c r="F961" s="58"/>
      <c r="G961" s="58"/>
      <c r="H961" s="58"/>
      <c r="I961" s="58"/>
      <c r="J961" s="31"/>
      <c r="K961" s="20"/>
      <c r="L961" s="20"/>
      <c r="M961" s="20"/>
      <c r="N961" s="20"/>
      <c r="O961" s="20"/>
      <c r="P961" s="20"/>
      <c r="Q961" s="20"/>
      <c r="R961" s="20"/>
      <c r="S961" s="20"/>
      <c r="T961" s="20"/>
      <c r="U961" s="20"/>
      <c r="V961" s="20"/>
      <c r="W961" s="20"/>
      <c r="X961" s="20"/>
      <c r="Y961" s="20"/>
      <c r="Z961" s="20"/>
      <c r="AA961" s="20"/>
    </row>
    <row r="962" spans="4:27" ht="17.25" customHeight="1">
      <c r="D962" s="57"/>
      <c r="E962" s="57"/>
      <c r="F962" s="58"/>
      <c r="G962" s="58"/>
      <c r="H962" s="58"/>
      <c r="I962" s="58"/>
      <c r="J962" s="31"/>
      <c r="K962" s="20"/>
      <c r="L962" s="20"/>
      <c r="M962" s="20"/>
      <c r="N962" s="20"/>
      <c r="O962" s="20"/>
      <c r="P962" s="20"/>
      <c r="Q962" s="20"/>
      <c r="R962" s="20"/>
      <c r="S962" s="20"/>
      <c r="T962" s="20"/>
      <c r="U962" s="20"/>
      <c r="V962" s="20"/>
      <c r="W962" s="20"/>
      <c r="X962" s="20"/>
      <c r="Y962" s="20"/>
      <c r="Z962" s="20"/>
      <c r="AA962" s="20"/>
    </row>
    <row r="963" spans="4:27" ht="17.25" customHeight="1">
      <c r="D963" s="57"/>
      <c r="E963" s="57"/>
      <c r="F963" s="58"/>
      <c r="G963" s="58"/>
      <c r="H963" s="58"/>
      <c r="I963" s="58"/>
      <c r="J963" s="31"/>
      <c r="K963" s="20"/>
      <c r="L963" s="20"/>
      <c r="M963" s="20"/>
      <c r="N963" s="20"/>
      <c r="O963" s="20"/>
      <c r="P963" s="20"/>
      <c r="Q963" s="20"/>
      <c r="R963" s="20"/>
      <c r="S963" s="20"/>
      <c r="T963" s="20"/>
      <c r="U963" s="20"/>
      <c r="V963" s="20"/>
      <c r="W963" s="20"/>
      <c r="X963" s="20"/>
      <c r="Y963" s="20"/>
      <c r="Z963" s="20"/>
      <c r="AA963" s="20"/>
    </row>
    <row r="964" spans="4:27" ht="17.25" customHeight="1">
      <c r="D964" s="57"/>
      <c r="E964" s="57"/>
      <c r="F964" s="58"/>
      <c r="G964" s="58"/>
      <c r="H964" s="58"/>
      <c r="I964" s="58"/>
      <c r="J964" s="31"/>
      <c r="K964" s="20"/>
      <c r="L964" s="20"/>
      <c r="M964" s="20"/>
      <c r="N964" s="20"/>
      <c r="O964" s="20"/>
      <c r="P964" s="20"/>
      <c r="Q964" s="20"/>
      <c r="R964" s="20"/>
      <c r="S964" s="20"/>
      <c r="T964" s="20"/>
      <c r="U964" s="20"/>
      <c r="V964" s="20"/>
      <c r="W964" s="20"/>
      <c r="X964" s="20"/>
      <c r="Y964" s="20"/>
      <c r="Z964" s="20"/>
      <c r="AA964" s="20"/>
    </row>
    <row r="965" spans="4:27" ht="17.25" customHeight="1">
      <c r="D965" s="57"/>
      <c r="E965" s="57"/>
      <c r="F965" s="58"/>
      <c r="G965" s="58"/>
      <c r="H965" s="58"/>
      <c r="I965" s="58"/>
      <c r="J965" s="31"/>
      <c r="K965" s="20"/>
      <c r="L965" s="20"/>
      <c r="M965" s="20"/>
      <c r="N965" s="20"/>
      <c r="O965" s="20"/>
      <c r="P965" s="20"/>
      <c r="Q965" s="20"/>
      <c r="R965" s="20"/>
      <c r="S965" s="20"/>
      <c r="T965" s="20"/>
      <c r="U965" s="20"/>
      <c r="V965" s="20"/>
      <c r="W965" s="20"/>
      <c r="X965" s="20"/>
      <c r="Y965" s="20"/>
      <c r="Z965" s="20"/>
      <c r="AA965" s="20"/>
    </row>
    <row r="966" spans="4:27" ht="17.25" customHeight="1">
      <c r="D966" s="57"/>
      <c r="E966" s="57"/>
      <c r="F966" s="58"/>
      <c r="G966" s="58"/>
      <c r="H966" s="58"/>
      <c r="I966" s="58"/>
      <c r="J966" s="31"/>
      <c r="K966" s="20"/>
      <c r="L966" s="20"/>
      <c r="M966" s="20"/>
      <c r="N966" s="20"/>
      <c r="O966" s="20"/>
      <c r="P966" s="20"/>
      <c r="Q966" s="20"/>
      <c r="R966" s="20"/>
      <c r="S966" s="20"/>
      <c r="T966" s="20"/>
      <c r="U966" s="20"/>
      <c r="V966" s="20"/>
      <c r="W966" s="20"/>
      <c r="X966" s="20"/>
      <c r="Y966" s="20"/>
      <c r="Z966" s="20"/>
      <c r="AA966" s="20"/>
    </row>
    <row r="967" spans="4:27" ht="17.25" customHeight="1">
      <c r="D967" s="57"/>
      <c r="E967" s="57"/>
      <c r="F967" s="58"/>
      <c r="G967" s="58"/>
      <c r="H967" s="58"/>
      <c r="I967" s="58"/>
      <c r="J967" s="31"/>
      <c r="K967" s="20"/>
      <c r="L967" s="20"/>
      <c r="M967" s="20"/>
      <c r="N967" s="20"/>
      <c r="O967" s="20"/>
      <c r="P967" s="20"/>
      <c r="Q967" s="20"/>
      <c r="R967" s="20"/>
      <c r="S967" s="20"/>
      <c r="T967" s="20"/>
      <c r="U967" s="20"/>
      <c r="V967" s="20"/>
      <c r="W967" s="20"/>
      <c r="X967" s="20"/>
      <c r="Y967" s="20"/>
      <c r="Z967" s="20"/>
      <c r="AA967" s="20"/>
    </row>
    <row r="968" spans="4:27" ht="17.25" customHeight="1">
      <c r="D968" s="57"/>
      <c r="E968" s="57"/>
      <c r="F968" s="58"/>
      <c r="G968" s="58"/>
      <c r="H968" s="58"/>
      <c r="I968" s="58"/>
      <c r="J968" s="31"/>
      <c r="K968" s="20"/>
      <c r="L968" s="20"/>
      <c r="M968" s="20"/>
      <c r="N968" s="20"/>
      <c r="O968" s="20"/>
      <c r="P968" s="20"/>
      <c r="Q968" s="20"/>
      <c r="R968" s="20"/>
      <c r="S968" s="20"/>
      <c r="T968" s="20"/>
      <c r="U968" s="20"/>
      <c r="V968" s="20"/>
      <c r="W968" s="20"/>
      <c r="X968" s="20"/>
      <c r="Y968" s="20"/>
      <c r="Z968" s="20"/>
      <c r="AA968" s="20"/>
    </row>
    <row r="969" spans="4:27" ht="17.25" customHeight="1">
      <c r="D969" s="57"/>
      <c r="E969" s="57"/>
      <c r="F969" s="58"/>
      <c r="G969" s="58"/>
      <c r="H969" s="58"/>
      <c r="I969" s="58"/>
      <c r="J969" s="31"/>
      <c r="K969" s="20"/>
      <c r="L969" s="20"/>
      <c r="M969" s="20"/>
      <c r="N969" s="20"/>
      <c r="O969" s="20"/>
      <c r="P969" s="20"/>
      <c r="Q969" s="20"/>
      <c r="R969" s="20"/>
      <c r="S969" s="20"/>
      <c r="T969" s="20"/>
      <c r="U969" s="20"/>
      <c r="V969" s="20"/>
      <c r="W969" s="20"/>
      <c r="X969" s="20"/>
      <c r="Y969" s="20"/>
      <c r="Z969" s="20"/>
      <c r="AA969" s="20"/>
    </row>
    <row r="970" spans="4:27" ht="17.25" customHeight="1">
      <c r="D970" s="57"/>
      <c r="E970" s="57"/>
      <c r="F970" s="58"/>
      <c r="G970" s="58"/>
      <c r="H970" s="58"/>
      <c r="I970" s="58"/>
      <c r="J970" s="31"/>
      <c r="K970" s="20"/>
      <c r="L970" s="20"/>
      <c r="M970" s="20"/>
      <c r="N970" s="20"/>
      <c r="O970" s="20"/>
      <c r="P970" s="20"/>
      <c r="Q970" s="20"/>
      <c r="R970" s="20"/>
      <c r="S970" s="20"/>
      <c r="T970" s="20"/>
      <c r="U970" s="20"/>
      <c r="V970" s="20"/>
      <c r="W970" s="20"/>
      <c r="X970" s="20"/>
      <c r="Y970" s="20"/>
      <c r="Z970" s="20"/>
      <c r="AA970" s="20"/>
    </row>
    <row r="971" spans="4:27" ht="17.25" customHeight="1">
      <c r="D971" s="57"/>
      <c r="E971" s="57"/>
      <c r="F971" s="58"/>
      <c r="G971" s="58"/>
      <c r="H971" s="58"/>
      <c r="I971" s="58"/>
      <c r="J971" s="31"/>
      <c r="K971" s="20"/>
      <c r="L971" s="20"/>
      <c r="M971" s="20"/>
      <c r="N971" s="20"/>
      <c r="O971" s="20"/>
      <c r="P971" s="20"/>
      <c r="Q971" s="20"/>
      <c r="R971" s="20"/>
      <c r="S971" s="20"/>
      <c r="T971" s="20"/>
      <c r="U971" s="20"/>
      <c r="V971" s="20"/>
      <c r="W971" s="20"/>
      <c r="X971" s="20"/>
      <c r="Y971" s="20"/>
      <c r="Z971" s="20"/>
      <c r="AA971" s="20"/>
    </row>
    <row r="972" spans="4:27" ht="17.25" customHeight="1">
      <c r="D972" s="57"/>
      <c r="E972" s="57"/>
      <c r="F972" s="58"/>
      <c r="G972" s="58"/>
      <c r="H972" s="58"/>
      <c r="I972" s="58"/>
      <c r="J972" s="31"/>
      <c r="K972" s="20"/>
      <c r="L972" s="20"/>
      <c r="M972" s="20"/>
      <c r="N972" s="20"/>
      <c r="O972" s="20"/>
      <c r="P972" s="20"/>
      <c r="Q972" s="20"/>
      <c r="R972" s="20"/>
      <c r="S972" s="20"/>
      <c r="T972" s="20"/>
      <c r="U972" s="20"/>
      <c r="V972" s="20"/>
      <c r="W972" s="20"/>
      <c r="X972" s="20"/>
      <c r="Y972" s="20"/>
      <c r="Z972" s="20"/>
      <c r="AA972" s="20"/>
    </row>
    <row r="973" spans="4:27" ht="17.25" customHeight="1">
      <c r="D973" s="57"/>
      <c r="E973" s="57"/>
      <c r="F973" s="58"/>
      <c r="G973" s="58"/>
      <c r="H973" s="58"/>
      <c r="I973" s="58"/>
      <c r="J973" s="31"/>
      <c r="K973" s="20"/>
      <c r="L973" s="20"/>
      <c r="M973" s="20"/>
      <c r="N973" s="20"/>
      <c r="O973" s="20"/>
      <c r="P973" s="20"/>
      <c r="Q973" s="20"/>
      <c r="R973" s="20"/>
      <c r="S973" s="20"/>
      <c r="T973" s="20"/>
      <c r="U973" s="20"/>
      <c r="V973" s="20"/>
      <c r="W973" s="20"/>
      <c r="X973" s="20"/>
      <c r="Y973" s="20"/>
      <c r="Z973" s="20"/>
      <c r="AA973" s="20"/>
    </row>
    <row r="974" spans="4:27" ht="17.25" customHeight="1">
      <c r="D974" s="57"/>
      <c r="E974" s="57"/>
      <c r="F974" s="58"/>
      <c r="G974" s="58"/>
      <c r="H974" s="58"/>
      <c r="I974" s="58"/>
      <c r="J974" s="31"/>
      <c r="K974" s="20"/>
      <c r="L974" s="20"/>
      <c r="M974" s="20"/>
      <c r="N974" s="20"/>
      <c r="O974" s="20"/>
      <c r="P974" s="20"/>
      <c r="Q974" s="20"/>
      <c r="R974" s="20"/>
      <c r="S974" s="20"/>
      <c r="T974" s="20"/>
      <c r="U974" s="20"/>
      <c r="V974" s="20"/>
      <c r="W974" s="20"/>
      <c r="X974" s="20"/>
      <c r="Y974" s="20"/>
      <c r="Z974" s="20"/>
      <c r="AA974" s="20"/>
    </row>
    <row r="975" spans="4:27" ht="17.25" customHeight="1">
      <c r="D975" s="57"/>
      <c r="E975" s="57"/>
      <c r="F975" s="58"/>
      <c r="G975" s="58"/>
      <c r="H975" s="58"/>
      <c r="I975" s="58"/>
      <c r="J975" s="31"/>
      <c r="K975" s="20"/>
      <c r="L975" s="20"/>
      <c r="M975" s="20"/>
      <c r="N975" s="20"/>
      <c r="O975" s="20"/>
      <c r="P975" s="20"/>
      <c r="Q975" s="20"/>
      <c r="R975" s="20"/>
      <c r="S975" s="20"/>
      <c r="T975" s="20"/>
      <c r="U975" s="20"/>
      <c r="V975" s="20"/>
      <c r="W975" s="20"/>
      <c r="X975" s="20"/>
      <c r="Y975" s="20"/>
      <c r="Z975" s="20"/>
      <c r="AA975" s="20"/>
    </row>
    <row r="976" spans="4:27" ht="17.25" customHeight="1">
      <c r="D976" s="57"/>
      <c r="E976" s="57"/>
      <c r="F976" s="58"/>
      <c r="G976" s="58"/>
      <c r="H976" s="58"/>
      <c r="I976" s="58"/>
      <c r="J976" s="31"/>
      <c r="K976" s="20"/>
      <c r="L976" s="20"/>
      <c r="M976" s="20"/>
      <c r="N976" s="20"/>
      <c r="O976" s="20"/>
      <c r="P976" s="20"/>
      <c r="Q976" s="20"/>
      <c r="R976" s="20"/>
      <c r="S976" s="20"/>
      <c r="T976" s="20"/>
      <c r="U976" s="20"/>
      <c r="V976" s="20"/>
      <c r="W976" s="20"/>
      <c r="X976" s="20"/>
      <c r="Y976" s="20"/>
      <c r="Z976" s="20"/>
      <c r="AA976" s="20"/>
    </row>
    <row r="977" spans="4:27" ht="17.25" customHeight="1">
      <c r="D977" s="57"/>
      <c r="E977" s="57"/>
      <c r="F977" s="58"/>
      <c r="G977" s="58"/>
      <c r="H977" s="58"/>
      <c r="I977" s="58"/>
      <c r="J977" s="31"/>
      <c r="K977" s="20"/>
      <c r="L977" s="20"/>
      <c r="M977" s="20"/>
      <c r="N977" s="20"/>
      <c r="O977" s="20"/>
      <c r="P977" s="20"/>
      <c r="Q977" s="20"/>
      <c r="R977" s="20"/>
      <c r="S977" s="20"/>
      <c r="T977" s="20"/>
      <c r="U977" s="20"/>
      <c r="V977" s="20"/>
      <c r="W977" s="20"/>
      <c r="X977" s="20"/>
      <c r="Y977" s="20"/>
      <c r="Z977" s="20"/>
      <c r="AA977" s="20"/>
    </row>
    <row r="978" spans="4:27" ht="17.25" customHeight="1">
      <c r="D978" s="57"/>
      <c r="E978" s="57"/>
      <c r="F978" s="58"/>
      <c r="G978" s="58"/>
      <c r="H978" s="58"/>
      <c r="I978" s="58"/>
      <c r="J978" s="31"/>
      <c r="K978" s="20"/>
      <c r="L978" s="20"/>
      <c r="M978" s="20"/>
      <c r="N978" s="20"/>
      <c r="O978" s="20"/>
      <c r="P978" s="20"/>
      <c r="Q978" s="20"/>
      <c r="R978" s="20"/>
      <c r="S978" s="20"/>
      <c r="T978" s="20"/>
      <c r="U978" s="20"/>
      <c r="V978" s="20"/>
      <c r="W978" s="20"/>
      <c r="X978" s="20"/>
      <c r="Y978" s="20"/>
      <c r="Z978" s="20"/>
      <c r="AA978" s="20"/>
    </row>
    <row r="979" spans="4:27" ht="17.25" customHeight="1">
      <c r="D979" s="57"/>
      <c r="E979" s="57"/>
      <c r="F979" s="58"/>
      <c r="G979" s="58"/>
      <c r="H979" s="58"/>
      <c r="I979" s="58"/>
      <c r="J979" s="31"/>
      <c r="K979" s="20"/>
      <c r="L979" s="20"/>
      <c r="M979" s="20"/>
      <c r="N979" s="20"/>
      <c r="O979" s="20"/>
      <c r="P979" s="20"/>
      <c r="Q979" s="20"/>
      <c r="R979" s="20"/>
      <c r="S979" s="20"/>
      <c r="T979" s="20"/>
      <c r="U979" s="20"/>
      <c r="V979" s="20"/>
      <c r="W979" s="20"/>
      <c r="X979" s="20"/>
      <c r="Y979" s="20"/>
      <c r="Z979" s="20"/>
      <c r="AA979" s="20"/>
    </row>
    <row r="980" spans="4:27" ht="17.25" customHeight="1">
      <c r="D980" s="57"/>
      <c r="E980" s="57"/>
      <c r="F980" s="58"/>
      <c r="G980" s="58"/>
      <c r="H980" s="58"/>
      <c r="I980" s="58"/>
      <c r="J980" s="31"/>
      <c r="K980" s="20"/>
      <c r="L980" s="20"/>
      <c r="M980" s="20"/>
      <c r="N980" s="20"/>
      <c r="O980" s="20"/>
      <c r="P980" s="20"/>
      <c r="Q980" s="20"/>
      <c r="R980" s="20"/>
      <c r="S980" s="20"/>
      <c r="T980" s="20"/>
      <c r="U980" s="20"/>
      <c r="V980" s="20"/>
      <c r="W980" s="20"/>
      <c r="X980" s="20"/>
      <c r="Y980" s="20"/>
      <c r="Z980" s="20"/>
      <c r="AA980" s="20"/>
    </row>
    <row r="981" spans="4:27" ht="17.25" customHeight="1">
      <c r="D981" s="57"/>
      <c r="E981" s="57"/>
      <c r="F981" s="58"/>
      <c r="G981" s="58"/>
      <c r="H981" s="58"/>
      <c r="I981" s="58"/>
      <c r="J981" s="31"/>
      <c r="K981" s="20"/>
      <c r="L981" s="20"/>
      <c r="M981" s="20"/>
      <c r="N981" s="20"/>
      <c r="O981" s="20"/>
      <c r="P981" s="20"/>
      <c r="Q981" s="20"/>
      <c r="R981" s="20"/>
      <c r="S981" s="20"/>
      <c r="T981" s="20"/>
      <c r="U981" s="20"/>
      <c r="V981" s="20"/>
      <c r="W981" s="20"/>
      <c r="X981" s="20"/>
      <c r="Y981" s="20"/>
      <c r="Z981" s="20"/>
      <c r="AA981" s="20"/>
    </row>
    <row r="982" spans="4:27" ht="17.25" customHeight="1">
      <c r="D982" s="57"/>
      <c r="E982" s="57"/>
      <c r="F982" s="58"/>
      <c r="G982" s="58"/>
      <c r="H982" s="58"/>
      <c r="I982" s="58"/>
      <c r="J982" s="31"/>
      <c r="K982" s="20"/>
      <c r="L982" s="20"/>
      <c r="M982" s="20"/>
      <c r="N982" s="20"/>
      <c r="O982" s="20"/>
      <c r="P982" s="20"/>
      <c r="Q982" s="20"/>
      <c r="R982" s="20"/>
      <c r="S982" s="20"/>
      <c r="T982" s="20"/>
      <c r="U982" s="20"/>
      <c r="V982" s="20"/>
      <c r="W982" s="20"/>
      <c r="X982" s="20"/>
      <c r="Y982" s="20"/>
      <c r="Z982" s="20"/>
      <c r="AA982" s="20"/>
    </row>
    <row r="983" spans="4:27" ht="17.25" customHeight="1">
      <c r="D983" s="57"/>
      <c r="E983" s="57"/>
      <c r="F983" s="58"/>
      <c r="G983" s="58"/>
      <c r="H983" s="58"/>
      <c r="I983" s="58"/>
      <c r="J983" s="31"/>
      <c r="K983" s="20"/>
      <c r="L983" s="20"/>
      <c r="M983" s="20"/>
      <c r="N983" s="20"/>
      <c r="O983" s="20"/>
      <c r="P983" s="20"/>
      <c r="Q983" s="20"/>
      <c r="R983" s="20"/>
      <c r="S983" s="20"/>
      <c r="T983" s="20"/>
      <c r="U983" s="20"/>
      <c r="V983" s="20"/>
      <c r="W983" s="20"/>
      <c r="X983" s="20"/>
      <c r="Y983" s="20"/>
      <c r="Z983" s="20"/>
      <c r="AA983" s="20"/>
    </row>
    <row r="984" spans="4:27" ht="17.25" customHeight="1">
      <c r="D984" s="57"/>
      <c r="E984" s="57"/>
      <c r="F984" s="58"/>
      <c r="G984" s="58"/>
      <c r="H984" s="58"/>
      <c r="I984" s="58"/>
      <c r="J984" s="31"/>
      <c r="K984" s="20"/>
      <c r="L984" s="20"/>
      <c r="M984" s="20"/>
      <c r="N984" s="20"/>
      <c r="O984" s="20"/>
      <c r="P984" s="20"/>
      <c r="Q984" s="20"/>
      <c r="R984" s="20"/>
      <c r="S984" s="20"/>
      <c r="T984" s="20"/>
      <c r="U984" s="20"/>
      <c r="V984" s="20"/>
      <c r="W984" s="20"/>
      <c r="X984" s="20"/>
      <c r="Y984" s="20"/>
      <c r="Z984" s="20"/>
      <c r="AA984" s="20"/>
    </row>
    <row r="985" spans="4:27" ht="17.25" customHeight="1">
      <c r="D985" s="57"/>
      <c r="E985" s="57"/>
      <c r="F985" s="58"/>
      <c r="G985" s="58"/>
      <c r="H985" s="58"/>
      <c r="I985" s="58"/>
      <c r="J985" s="31"/>
      <c r="K985" s="20"/>
      <c r="L985" s="20"/>
      <c r="M985" s="20"/>
      <c r="N985" s="20"/>
      <c r="O985" s="20"/>
      <c r="P985" s="20"/>
      <c r="Q985" s="20"/>
      <c r="R985" s="20"/>
      <c r="S985" s="20"/>
      <c r="T985" s="20"/>
      <c r="U985" s="20"/>
      <c r="V985" s="20"/>
      <c r="W985" s="20"/>
      <c r="X985" s="20"/>
      <c r="Y985" s="20"/>
      <c r="Z985" s="20"/>
      <c r="AA985" s="20"/>
    </row>
    <row r="986" spans="4:27" ht="17.25" customHeight="1">
      <c r="D986" s="57"/>
      <c r="E986" s="57"/>
      <c r="F986" s="58"/>
      <c r="G986" s="58"/>
      <c r="H986" s="58"/>
      <c r="I986" s="58"/>
      <c r="J986" s="31"/>
      <c r="K986" s="20"/>
      <c r="L986" s="20"/>
      <c r="M986" s="20"/>
      <c r="N986" s="20"/>
      <c r="O986" s="20"/>
      <c r="P986" s="20"/>
      <c r="Q986" s="20"/>
      <c r="R986" s="20"/>
      <c r="S986" s="20"/>
      <c r="T986" s="20"/>
      <c r="U986" s="20"/>
      <c r="V986" s="20"/>
      <c r="W986" s="20"/>
      <c r="X986" s="20"/>
      <c r="Y986" s="20"/>
      <c r="Z986" s="20"/>
      <c r="AA986" s="20"/>
    </row>
    <row r="987" spans="4:27" ht="17.25" customHeight="1">
      <c r="D987" s="57"/>
      <c r="E987" s="57"/>
      <c r="F987" s="58"/>
      <c r="G987" s="58"/>
      <c r="H987" s="58"/>
      <c r="I987" s="58"/>
      <c r="J987" s="31"/>
      <c r="K987" s="20"/>
      <c r="L987" s="20"/>
      <c r="M987" s="20"/>
      <c r="N987" s="20"/>
      <c r="O987" s="20"/>
      <c r="P987" s="20"/>
      <c r="Q987" s="20"/>
      <c r="R987" s="20"/>
      <c r="S987" s="20"/>
      <c r="T987" s="20"/>
      <c r="U987" s="20"/>
      <c r="V987" s="20"/>
      <c r="W987" s="20"/>
      <c r="X987" s="20"/>
      <c r="Y987" s="20"/>
      <c r="Z987" s="20"/>
      <c r="AA987" s="20"/>
    </row>
    <row r="988" spans="4:27" ht="17.25" customHeight="1">
      <c r="D988" s="57"/>
      <c r="E988" s="57"/>
      <c r="F988" s="58"/>
      <c r="G988" s="58"/>
      <c r="H988" s="58"/>
      <c r="I988" s="58"/>
      <c r="J988" s="31"/>
      <c r="K988" s="20"/>
      <c r="L988" s="20"/>
      <c r="M988" s="20"/>
      <c r="N988" s="20"/>
      <c r="O988" s="20"/>
      <c r="P988" s="20"/>
      <c r="Q988" s="20"/>
      <c r="R988" s="20"/>
      <c r="S988" s="20"/>
      <c r="T988" s="20"/>
      <c r="U988" s="20"/>
      <c r="V988" s="20"/>
      <c r="W988" s="20"/>
      <c r="X988" s="20"/>
      <c r="Y988" s="20"/>
      <c r="Z988" s="20"/>
      <c r="AA988" s="20"/>
    </row>
    <row r="989" spans="4:27" ht="17.25" customHeight="1">
      <c r="D989" s="57"/>
      <c r="E989" s="57"/>
      <c r="F989" s="58"/>
      <c r="G989" s="58"/>
      <c r="H989" s="58"/>
      <c r="I989" s="58"/>
      <c r="J989" s="31"/>
      <c r="K989" s="20"/>
      <c r="L989" s="20"/>
      <c r="M989" s="20"/>
      <c r="N989" s="20"/>
      <c r="O989" s="20"/>
      <c r="P989" s="20"/>
      <c r="Q989" s="20"/>
      <c r="R989" s="20"/>
      <c r="S989" s="20"/>
      <c r="T989" s="20"/>
      <c r="U989" s="20"/>
      <c r="V989" s="20"/>
      <c r="W989" s="20"/>
      <c r="X989" s="20"/>
      <c r="Y989" s="20"/>
      <c r="Z989" s="20"/>
      <c r="AA989" s="20"/>
    </row>
    <row r="990" spans="4:27" ht="17.25" customHeight="1">
      <c r="D990" s="57"/>
      <c r="E990" s="57"/>
      <c r="F990" s="58"/>
      <c r="G990" s="58"/>
      <c r="H990" s="58"/>
      <c r="I990" s="58"/>
      <c r="J990" s="31"/>
      <c r="K990" s="20"/>
      <c r="L990" s="20"/>
      <c r="M990" s="20"/>
      <c r="N990" s="20"/>
      <c r="O990" s="20"/>
      <c r="P990" s="20"/>
      <c r="Q990" s="20"/>
      <c r="R990" s="20"/>
      <c r="S990" s="20"/>
      <c r="T990" s="20"/>
      <c r="U990" s="20"/>
      <c r="V990" s="20"/>
      <c r="W990" s="20"/>
      <c r="X990" s="20"/>
      <c r="Y990" s="20"/>
      <c r="Z990" s="20"/>
      <c r="AA990" s="20"/>
    </row>
    <row r="991" spans="4:27" ht="17.25" customHeight="1">
      <c r="D991" s="57"/>
      <c r="E991" s="57"/>
      <c r="F991" s="58"/>
      <c r="G991" s="58"/>
      <c r="H991" s="58"/>
      <c r="I991" s="58"/>
      <c r="J991" s="31"/>
      <c r="K991" s="20"/>
      <c r="L991" s="20"/>
      <c r="M991" s="20"/>
      <c r="N991" s="20"/>
      <c r="O991" s="20"/>
      <c r="P991" s="20"/>
      <c r="Q991" s="20"/>
      <c r="R991" s="20"/>
      <c r="S991" s="20"/>
      <c r="T991" s="20"/>
      <c r="U991" s="20"/>
      <c r="V991" s="20"/>
      <c r="W991" s="20"/>
      <c r="X991" s="20"/>
      <c r="Y991" s="20"/>
      <c r="Z991" s="20"/>
      <c r="AA991" s="20"/>
    </row>
    <row r="992" spans="4:27" ht="17.25" customHeight="1">
      <c r="D992" s="57"/>
      <c r="E992" s="57"/>
      <c r="F992" s="58"/>
      <c r="G992" s="58"/>
      <c r="H992" s="58"/>
      <c r="I992" s="58"/>
      <c r="J992" s="31"/>
      <c r="K992" s="20"/>
      <c r="L992" s="20"/>
      <c r="M992" s="20"/>
      <c r="N992" s="20"/>
      <c r="O992" s="20"/>
      <c r="P992" s="20"/>
      <c r="Q992" s="20"/>
      <c r="R992" s="20"/>
      <c r="S992" s="20"/>
      <c r="T992" s="20"/>
      <c r="U992" s="20"/>
      <c r="V992" s="20"/>
      <c r="W992" s="20"/>
      <c r="X992" s="20"/>
      <c r="Y992" s="20"/>
      <c r="Z992" s="20"/>
      <c r="AA992" s="20"/>
    </row>
    <row r="993" spans="4:27" ht="17.25" customHeight="1">
      <c r="D993" s="57"/>
      <c r="E993" s="57"/>
      <c r="F993" s="58"/>
      <c r="G993" s="58"/>
      <c r="H993" s="58"/>
      <c r="I993" s="58"/>
      <c r="J993" s="31"/>
      <c r="K993" s="20"/>
      <c r="L993" s="20"/>
      <c r="M993" s="20"/>
      <c r="N993" s="20"/>
      <c r="O993" s="20"/>
      <c r="P993" s="20"/>
      <c r="Q993" s="20"/>
      <c r="R993" s="20"/>
      <c r="S993" s="20"/>
      <c r="T993" s="20"/>
      <c r="U993" s="20"/>
      <c r="V993" s="20"/>
      <c r="W993" s="20"/>
      <c r="X993" s="20"/>
      <c r="Y993" s="20"/>
      <c r="Z993" s="20"/>
      <c r="AA993" s="20"/>
    </row>
    <row r="994" spans="4:27" ht="17.25" customHeight="1">
      <c r="D994" s="57"/>
      <c r="E994" s="57"/>
      <c r="F994" s="58"/>
      <c r="G994" s="58"/>
      <c r="H994" s="58"/>
      <c r="I994" s="58"/>
      <c r="J994" s="31"/>
      <c r="K994" s="20"/>
      <c r="L994" s="20"/>
      <c r="M994" s="20"/>
      <c r="N994" s="20"/>
      <c r="O994" s="20"/>
      <c r="P994" s="20"/>
      <c r="Q994" s="20"/>
      <c r="R994" s="20"/>
      <c r="S994" s="20"/>
      <c r="T994" s="20"/>
      <c r="U994" s="20"/>
      <c r="V994" s="20"/>
      <c r="W994" s="20"/>
      <c r="X994" s="20"/>
      <c r="Y994" s="20"/>
      <c r="Z994" s="20"/>
      <c r="AA994" s="20"/>
    </row>
    <row r="995" spans="4:27" ht="17.25" customHeight="1">
      <c r="D995" s="57"/>
      <c r="E995" s="57"/>
      <c r="F995" s="58"/>
      <c r="G995" s="58"/>
      <c r="H995" s="58"/>
      <c r="I995" s="58"/>
      <c r="J995" s="31"/>
      <c r="K995" s="20"/>
      <c r="L995" s="20"/>
      <c r="M995" s="20"/>
      <c r="N995" s="20"/>
      <c r="O995" s="20"/>
      <c r="P995" s="20"/>
      <c r="Q995" s="20"/>
      <c r="R995" s="20"/>
      <c r="S995" s="20"/>
      <c r="T995" s="20"/>
      <c r="U995" s="20"/>
      <c r="V995" s="20"/>
      <c r="W995" s="20"/>
      <c r="X995" s="20"/>
      <c r="Y995" s="20"/>
      <c r="Z995" s="20"/>
      <c r="AA995" s="20"/>
    </row>
    <row r="996" spans="4:27" ht="17.25" customHeight="1">
      <c r="D996" s="57"/>
      <c r="E996" s="57"/>
      <c r="F996" s="58"/>
      <c r="G996" s="58"/>
      <c r="H996" s="58"/>
      <c r="I996" s="58"/>
      <c r="J996" s="31"/>
      <c r="K996" s="20"/>
      <c r="L996" s="20"/>
      <c r="M996" s="20"/>
      <c r="N996" s="20"/>
      <c r="O996" s="20"/>
      <c r="P996" s="20"/>
      <c r="Q996" s="20"/>
      <c r="R996" s="20"/>
      <c r="S996" s="20"/>
      <c r="T996" s="20"/>
      <c r="U996" s="20"/>
      <c r="V996" s="20"/>
      <c r="W996" s="20"/>
      <c r="X996" s="20"/>
      <c r="Y996" s="20"/>
      <c r="Z996" s="20"/>
      <c r="AA996" s="20"/>
    </row>
    <row r="997" spans="4:27" ht="17.25" customHeight="1">
      <c r="D997" s="57"/>
      <c r="E997" s="57"/>
      <c r="F997" s="58"/>
      <c r="G997" s="58"/>
      <c r="H997" s="58"/>
      <c r="I997" s="58"/>
      <c r="J997" s="31"/>
      <c r="K997" s="20"/>
      <c r="L997" s="20"/>
      <c r="M997" s="20"/>
      <c r="N997" s="20"/>
      <c r="O997" s="20"/>
      <c r="P997" s="20"/>
      <c r="Q997" s="20"/>
      <c r="R997" s="20"/>
      <c r="S997" s="20"/>
      <c r="T997" s="20"/>
      <c r="U997" s="20"/>
      <c r="V997" s="20"/>
      <c r="W997" s="20"/>
      <c r="X997" s="20"/>
      <c r="Y997" s="20"/>
      <c r="Z997" s="20"/>
      <c r="AA997" s="20"/>
    </row>
    <row r="998" spans="4:27" ht="17.25" customHeight="1">
      <c r="D998" s="57"/>
      <c r="E998" s="57"/>
      <c r="F998" s="58"/>
      <c r="G998" s="58"/>
      <c r="H998" s="58"/>
      <c r="I998" s="58"/>
      <c r="J998" s="31"/>
      <c r="K998" s="20"/>
      <c r="L998" s="20"/>
      <c r="M998" s="20"/>
      <c r="N998" s="20"/>
      <c r="O998" s="20"/>
      <c r="P998" s="20"/>
      <c r="Q998" s="20"/>
      <c r="R998" s="20"/>
      <c r="S998" s="20"/>
      <c r="T998" s="20"/>
      <c r="U998" s="20"/>
      <c r="V998" s="20"/>
      <c r="W998" s="20"/>
      <c r="X998" s="20"/>
      <c r="Y998" s="20"/>
      <c r="Z998" s="20"/>
      <c r="AA998" s="20"/>
    </row>
    <row r="999" spans="4:27" ht="17.25" customHeight="1">
      <c r="D999" s="57"/>
      <c r="E999" s="57"/>
      <c r="F999" s="58"/>
      <c r="G999" s="58"/>
      <c r="H999" s="58"/>
      <c r="I999" s="58"/>
      <c r="J999" s="31"/>
      <c r="K999" s="20"/>
      <c r="L999" s="20"/>
      <c r="M999" s="20"/>
      <c r="N999" s="20"/>
      <c r="O999" s="20"/>
      <c r="P999" s="20"/>
      <c r="Q999" s="20"/>
      <c r="R999" s="20"/>
      <c r="S999" s="20"/>
      <c r="T999" s="20"/>
      <c r="U999" s="20"/>
      <c r="V999" s="20"/>
      <c r="W999" s="20"/>
      <c r="X999" s="20"/>
      <c r="Y999" s="20"/>
      <c r="Z999" s="20"/>
      <c r="AA999" s="20"/>
    </row>
    <row r="1000" spans="4:27" ht="17.25" customHeight="1">
      <c r="D1000" s="15"/>
      <c r="E1000" s="58"/>
      <c r="F1000" s="58"/>
      <c r="G1000" s="58"/>
      <c r="H1000" s="58"/>
      <c r="I1000" s="58"/>
      <c r="J1000" s="31"/>
      <c r="K1000" s="20"/>
      <c r="L1000" s="20"/>
      <c r="M1000" s="20"/>
      <c r="N1000" s="20"/>
      <c r="O1000" s="20"/>
      <c r="P1000" s="20"/>
      <c r="Q1000" s="20"/>
      <c r="R1000" s="20"/>
      <c r="S1000" s="20"/>
      <c r="T1000" s="20"/>
      <c r="U1000" s="20"/>
      <c r="V1000" s="20"/>
      <c r="W1000" s="20"/>
      <c r="X1000" s="20"/>
      <c r="Y1000" s="20"/>
      <c r="Z1000" s="20"/>
      <c r="AA1000" s="20"/>
    </row>
  </sheetData>
  <conditionalFormatting sqref="B3:D21">
    <cfRule type="containsBlanks" dxfId="56" priority="1">
      <formula>LEN(TRIM(B3))=0</formula>
    </cfRule>
  </conditionalFormatting>
  <conditionalFormatting sqref="D1000 D7:D21">
    <cfRule type="containsBlanks" dxfId="55" priority="3">
      <formula>LEN(TRIM(D7))=0</formula>
    </cfRule>
  </conditionalFormatting>
  <conditionalFormatting sqref="D1000">
    <cfRule type="containsBlanks" dxfId="54" priority="2">
      <formula>LEN(TRIM(D1000))=0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Schedule_choices!$C$2:$C$44</xm:f>
          </x14:formula1>
          <xm:sqref>D22:D57</xm:sqref>
        </x14:dataValidation>
        <x14:dataValidation type="list" allowBlank="1" showErrorMessage="1" xr:uid="{00000000-0002-0000-0A00-000001000000}">
          <x14:formula1>
            <xm:f>Year_schedules!$A$3:$A$1048576</xm:f>
          </x14:formula1>
          <xm:sqref>D3:D21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A1:A1000"/>
  <sheetViews>
    <sheetView workbookViewId="0"/>
  </sheetViews>
  <sheetFormatPr baseColWidth="10" defaultColWidth="11.28515625" defaultRowHeight="15" customHeight="1"/>
  <cols>
    <col min="1" max="26" width="11.42578125" customWidth="1"/>
  </cols>
  <sheetData>
    <row r="1" spans="1:1" ht="17.25" customHeight="1">
      <c r="A1" s="15" t="s">
        <v>4955</v>
      </c>
    </row>
    <row r="2" spans="1:1" ht="17.25" customHeight="1"/>
    <row r="3" spans="1:1" ht="17.25" customHeight="1"/>
    <row r="4" spans="1:1" ht="17.25" customHeight="1"/>
    <row r="5" spans="1:1" ht="17.25" customHeight="1"/>
    <row r="6" spans="1:1" ht="17.25" customHeight="1"/>
    <row r="7" spans="1:1" ht="17.25" customHeight="1"/>
    <row r="8" spans="1:1" ht="17.25" customHeight="1"/>
    <row r="9" spans="1:1" ht="17.25" customHeight="1"/>
    <row r="10" spans="1:1" ht="17.25" customHeight="1"/>
    <row r="11" spans="1:1" ht="17.25" customHeight="1"/>
    <row r="12" spans="1:1" ht="17.25" customHeight="1"/>
    <row r="13" spans="1:1" ht="17.25" customHeight="1"/>
    <row r="14" spans="1:1" ht="17.25" customHeight="1"/>
    <row r="15" spans="1:1" ht="17.25" customHeight="1"/>
    <row r="16" spans="1:1"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A1:B1000"/>
  <sheetViews>
    <sheetView workbookViewId="0"/>
  </sheetViews>
  <sheetFormatPr baseColWidth="10" defaultColWidth="11.28515625" defaultRowHeight="15" customHeight="1"/>
  <cols>
    <col min="1" max="1" width="31" customWidth="1"/>
    <col min="2" max="2" width="35.42578125" customWidth="1"/>
    <col min="3" max="26" width="11.42578125" customWidth="1"/>
  </cols>
  <sheetData>
    <row r="1" spans="1:2" ht="45" customHeight="1">
      <c r="A1" s="48" t="s">
        <v>4956</v>
      </c>
      <c r="B1" s="78" t="s">
        <v>4957</v>
      </c>
    </row>
    <row r="2" spans="1:2" ht="17.25" customHeight="1"/>
    <row r="3" spans="1:2" ht="17.25" customHeight="1"/>
    <row r="4" spans="1:2" ht="17.25" customHeight="1"/>
    <row r="5" spans="1:2" ht="17.25" customHeight="1"/>
    <row r="6" spans="1:2" ht="17.25" customHeight="1"/>
    <row r="7" spans="1:2" ht="17.25" customHeight="1"/>
    <row r="8" spans="1:2" ht="17.25" customHeight="1"/>
    <row r="9" spans="1:2" ht="17.25" customHeight="1"/>
    <row r="10" spans="1:2" ht="17.25" customHeight="1"/>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A1:Z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32.7109375" customWidth="1"/>
    <col min="2" max="2" width="68.7109375" customWidth="1"/>
    <col min="3" max="3" width="18.140625" customWidth="1"/>
    <col min="4" max="4" width="25.42578125" customWidth="1"/>
    <col min="5" max="5" width="39.7109375" customWidth="1"/>
    <col min="6" max="26" width="10.85546875" customWidth="1"/>
  </cols>
  <sheetData>
    <row r="1" spans="1:26" ht="43.5" customHeight="1">
      <c r="A1" s="79" t="s">
        <v>4811</v>
      </c>
      <c r="B1" s="39" t="s">
        <v>4812</v>
      </c>
      <c r="C1" s="79" t="s">
        <v>4813</v>
      </c>
      <c r="D1" s="39" t="s">
        <v>4812</v>
      </c>
      <c r="E1" s="80" t="s">
        <v>4814</v>
      </c>
      <c r="F1" s="20"/>
      <c r="G1" s="20"/>
      <c r="H1" s="20"/>
      <c r="I1" s="20"/>
      <c r="J1" s="20"/>
      <c r="K1" s="20"/>
      <c r="L1" s="20"/>
      <c r="M1" s="20"/>
      <c r="N1" s="20"/>
      <c r="O1" s="20"/>
      <c r="P1" s="20"/>
      <c r="Q1" s="20"/>
      <c r="R1" s="20"/>
      <c r="S1" s="20"/>
      <c r="T1" s="20"/>
      <c r="U1" s="20"/>
      <c r="V1" s="20"/>
      <c r="W1" s="20"/>
      <c r="X1" s="20"/>
      <c r="Y1" s="20"/>
      <c r="Z1" s="20"/>
    </row>
    <row r="2" spans="1:26" ht="17.25" customHeight="1">
      <c r="A2" s="81" t="s">
        <v>4815</v>
      </c>
      <c r="B2" s="82" t="s">
        <v>4816</v>
      </c>
      <c r="C2" s="81" t="s">
        <v>42</v>
      </c>
      <c r="D2" s="81" t="s">
        <v>4817</v>
      </c>
      <c r="E2" s="83" t="s">
        <v>4818</v>
      </c>
      <c r="F2" s="20"/>
      <c r="G2" s="20"/>
      <c r="H2" s="20"/>
      <c r="I2" s="20"/>
      <c r="J2" s="20"/>
      <c r="K2" s="20"/>
      <c r="L2" s="20"/>
      <c r="M2" s="20"/>
      <c r="N2" s="20"/>
      <c r="O2" s="20"/>
      <c r="P2" s="20"/>
      <c r="Q2" s="20"/>
      <c r="R2" s="20"/>
      <c r="S2" s="20"/>
      <c r="T2" s="20"/>
      <c r="U2" s="20"/>
      <c r="V2" s="20"/>
      <c r="W2" s="20"/>
      <c r="X2" s="20"/>
      <c r="Y2" s="20"/>
      <c r="Z2" s="20"/>
    </row>
    <row r="3" spans="1:26" ht="17.25" customHeight="1">
      <c r="A3" s="15" t="s">
        <v>4958</v>
      </c>
      <c r="B3" s="45" t="e">
        <f t="array" aca="1" ref="B3" ca="1">_xludf.XLOOKUP(A3,Units!$A$2:$A$100,Units!$C$2:$C$100,"")</f>
        <v>#NAME?</v>
      </c>
      <c r="C3" s="15"/>
      <c r="D3" s="15" t="e">
        <f t="array" aca="1" ref="D3" ca="1">_xludf.XLOOKUP(A3,Units!$A$2:$A$100,Units!$B$2:$B$100,"")</f>
        <v>#NAME?</v>
      </c>
      <c r="E3" s="47"/>
      <c r="F3" s="20"/>
      <c r="G3" s="20"/>
      <c r="H3" s="20"/>
      <c r="I3" s="20"/>
      <c r="J3" s="20"/>
      <c r="K3" s="20"/>
      <c r="L3" s="20"/>
      <c r="M3" s="20"/>
      <c r="N3" s="20"/>
      <c r="O3" s="20"/>
      <c r="P3" s="20"/>
      <c r="Q3" s="20"/>
      <c r="R3" s="20"/>
      <c r="S3" s="20"/>
      <c r="T3" s="20"/>
      <c r="U3" s="20"/>
      <c r="V3" s="20"/>
      <c r="W3" s="20"/>
      <c r="X3" s="20"/>
      <c r="Y3" s="20"/>
      <c r="Z3" s="20"/>
    </row>
    <row r="4" spans="1:26" ht="17.25" customHeight="1">
      <c r="A4" s="15" t="s">
        <v>4959</v>
      </c>
      <c r="B4" s="45" t="e">
        <f t="array" aca="1" ref="B4" ca="1">_xludf.XLOOKUP(A4,Units!$A$2:$A$100,Units!$C$2:$C$100,"")</f>
        <v>#NAME?</v>
      </c>
      <c r="C4" s="15"/>
      <c r="D4" s="15" t="e">
        <f t="array" aca="1" ref="D4" ca="1">_xludf.XLOOKUP(A4,Units!$A$2:$A$100,Units!$B$2:$B$100,"")</f>
        <v>#NAME?</v>
      </c>
      <c r="E4" s="47"/>
      <c r="F4" s="20"/>
      <c r="G4" s="20"/>
      <c r="H4" s="20"/>
      <c r="I4" s="20"/>
      <c r="J4" s="20"/>
      <c r="K4" s="20"/>
      <c r="L4" s="20"/>
      <c r="M4" s="20"/>
      <c r="N4" s="20"/>
      <c r="O4" s="20"/>
      <c r="P4" s="20"/>
      <c r="Q4" s="20"/>
      <c r="R4" s="20"/>
      <c r="S4" s="20"/>
      <c r="T4" s="20"/>
      <c r="U4" s="20"/>
      <c r="V4" s="20"/>
      <c r="W4" s="20"/>
      <c r="X4" s="20"/>
      <c r="Y4" s="20"/>
      <c r="Z4" s="20"/>
    </row>
    <row r="5" spans="1:26" ht="17.25" customHeight="1">
      <c r="A5" s="15" t="s">
        <v>4960</v>
      </c>
      <c r="B5" s="45" t="e">
        <f t="array" aca="1" ref="B5" ca="1">_xludf.XLOOKUP(A5,Units!$A$2:$A$100,Units!$C$2:$C$100,"")</f>
        <v>#NAME?</v>
      </c>
      <c r="C5" s="15"/>
      <c r="D5" s="15" t="e">
        <f t="array" aca="1" ref="D5" ca="1">_xludf.XLOOKUP(A5,Units!$A$2:$A$100,Units!$B$2:$B$100,"")</f>
        <v>#NAME?</v>
      </c>
      <c r="E5" s="47"/>
      <c r="F5" s="20"/>
      <c r="G5" s="20"/>
      <c r="H5" s="20"/>
      <c r="I5" s="20"/>
      <c r="J5" s="20"/>
      <c r="K5" s="20"/>
      <c r="L5" s="20"/>
      <c r="M5" s="20"/>
      <c r="N5" s="20"/>
      <c r="O5" s="20"/>
      <c r="P5" s="20"/>
      <c r="Q5" s="20"/>
      <c r="R5" s="20"/>
      <c r="S5" s="20"/>
      <c r="T5" s="20"/>
      <c r="U5" s="20"/>
      <c r="V5" s="20"/>
      <c r="W5" s="20"/>
      <c r="X5" s="20"/>
      <c r="Y5" s="20"/>
      <c r="Z5" s="20"/>
    </row>
    <row r="6" spans="1:26" ht="17.25" customHeight="1">
      <c r="A6" s="15" t="s">
        <v>4961</v>
      </c>
      <c r="B6" s="45" t="e">
        <f t="array" aca="1" ref="B6" ca="1">_xludf.XLOOKUP(A6,Units!$A$2:$A$100,Units!$C$2:$C$100,"")</f>
        <v>#NAME?</v>
      </c>
      <c r="C6" s="15"/>
      <c r="D6" s="15" t="e">
        <f t="array" aca="1" ref="D6" ca="1">_xludf.XLOOKUP(A6,Units!$A$2:$A$100,Units!$B$2:$B$100,"")</f>
        <v>#NAME?</v>
      </c>
      <c r="E6" s="47"/>
      <c r="F6" s="20"/>
      <c r="G6" s="20"/>
      <c r="H6" s="20"/>
      <c r="I6" s="20"/>
      <c r="J6" s="20"/>
      <c r="K6" s="20"/>
      <c r="L6" s="20"/>
      <c r="M6" s="20"/>
      <c r="N6" s="20"/>
      <c r="O6" s="20"/>
      <c r="P6" s="20"/>
      <c r="Q6" s="20"/>
      <c r="R6" s="20"/>
      <c r="S6" s="20"/>
      <c r="T6" s="20"/>
      <c r="U6" s="20"/>
      <c r="V6" s="20"/>
      <c r="W6" s="20"/>
      <c r="X6" s="20"/>
      <c r="Y6" s="20"/>
      <c r="Z6" s="20"/>
    </row>
    <row r="7" spans="1:26" ht="17.25" customHeight="1">
      <c r="A7" s="15" t="s">
        <v>4962</v>
      </c>
      <c r="B7" s="45" t="e">
        <f t="array" aca="1" ref="B7" ca="1">_xludf.XLOOKUP(A7,Units!$A$2:$A$100,Units!$C$2:$C$100,"")</f>
        <v>#NAME?</v>
      </c>
      <c r="C7" s="15"/>
      <c r="D7" s="15" t="e">
        <f t="array" aca="1" ref="D7" ca="1">_xludf.XLOOKUP(A7,Units!$A$2:$A$100,Units!$B$2:$B$100,"")</f>
        <v>#NAME?</v>
      </c>
      <c r="E7" s="47"/>
      <c r="F7" s="20"/>
      <c r="G7" s="20"/>
      <c r="H7" s="20"/>
      <c r="I7" s="20"/>
      <c r="J7" s="20"/>
      <c r="K7" s="20"/>
      <c r="L7" s="20"/>
      <c r="M7" s="20"/>
      <c r="N7" s="20"/>
      <c r="O7" s="20"/>
      <c r="P7" s="20"/>
      <c r="Q7" s="20"/>
      <c r="R7" s="20"/>
      <c r="S7" s="20"/>
      <c r="T7" s="20"/>
      <c r="U7" s="20"/>
      <c r="V7" s="20"/>
      <c r="W7" s="20"/>
      <c r="X7" s="20"/>
      <c r="Y7" s="20"/>
      <c r="Z7" s="20"/>
    </row>
    <row r="8" spans="1:26" ht="17.25" customHeight="1">
      <c r="A8" s="15" t="s">
        <v>4963</v>
      </c>
      <c r="B8" s="45" t="e">
        <f t="array" aca="1" ref="B8" ca="1">_xludf.XLOOKUP(A8,Units!$A$2:$A$100,Units!$C$2:$C$100,"")</f>
        <v>#NAME?</v>
      </c>
      <c r="C8" s="15"/>
      <c r="D8" s="15" t="e">
        <f t="array" aca="1" ref="D8" ca="1">_xludf.XLOOKUP(A8,Units!$A$2:$A$100,Units!$B$2:$B$100,"")</f>
        <v>#NAME?</v>
      </c>
      <c r="E8" s="47"/>
      <c r="F8" s="20"/>
      <c r="G8" s="20"/>
      <c r="H8" s="20"/>
      <c r="I8" s="20"/>
      <c r="J8" s="20"/>
      <c r="K8" s="20"/>
      <c r="L8" s="20"/>
      <c r="M8" s="20"/>
      <c r="N8" s="20"/>
      <c r="O8" s="20"/>
      <c r="P8" s="20"/>
      <c r="Q8" s="20"/>
      <c r="R8" s="20"/>
      <c r="S8" s="20"/>
      <c r="T8" s="20"/>
      <c r="U8" s="20"/>
      <c r="V8" s="20"/>
      <c r="W8" s="20"/>
      <c r="X8" s="20"/>
      <c r="Y8" s="20"/>
      <c r="Z8" s="20"/>
    </row>
    <row r="9" spans="1:26" ht="17.25" customHeight="1">
      <c r="A9" s="15" t="s">
        <v>4964</v>
      </c>
      <c r="B9" s="45" t="e">
        <f t="array" aca="1" ref="B9" ca="1">_xludf.XLOOKUP(A9,Units!$A$2:$A$100,Units!$C$2:$C$100,"")</f>
        <v>#NAME?</v>
      </c>
      <c r="C9" s="15"/>
      <c r="D9" s="15" t="e">
        <f t="array" aca="1" ref="D9" ca="1">_xludf.XLOOKUP(A9,Units!$A$2:$A$100,Units!$B$2:$B$100,"")</f>
        <v>#NAME?</v>
      </c>
      <c r="E9" s="47"/>
      <c r="F9" s="20"/>
      <c r="G9" s="20"/>
      <c r="H9" s="20"/>
      <c r="I9" s="20"/>
      <c r="J9" s="20"/>
      <c r="K9" s="20"/>
      <c r="L9" s="20"/>
      <c r="M9" s="20"/>
      <c r="N9" s="20"/>
      <c r="O9" s="20"/>
      <c r="P9" s="20"/>
      <c r="Q9" s="20"/>
      <c r="R9" s="20"/>
      <c r="S9" s="20"/>
      <c r="T9" s="20"/>
      <c r="U9" s="20"/>
      <c r="V9" s="20"/>
      <c r="W9" s="20"/>
      <c r="X9" s="20"/>
      <c r="Y9" s="20"/>
      <c r="Z9" s="20"/>
    </row>
    <row r="10" spans="1:26" ht="17.25" customHeight="1">
      <c r="A10" s="15" t="s">
        <v>4963</v>
      </c>
      <c r="B10" s="45" t="e">
        <f t="array" aca="1" ref="B10" ca="1">_xludf.XLOOKUP(A10,Units!$A$2:$A$100,Units!$C$2:$C$100,"")</f>
        <v>#NAME?</v>
      </c>
      <c r="C10" s="15"/>
      <c r="D10" s="15" t="e">
        <f t="array" aca="1" ref="D10" ca="1">_xludf.XLOOKUP(A10,Units!$A$2:$A$100,Units!$B$2:$B$100,"")</f>
        <v>#NAME?</v>
      </c>
      <c r="E10" s="47"/>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5" t="s">
        <v>4965</v>
      </c>
      <c r="B11" s="45" t="e">
        <f t="array" aca="1" ref="B11" ca="1">_xludf.XLOOKUP(A11,Units!$A$2:$A$100,Units!$C$2:$C$100,"")</f>
        <v>#NAME?</v>
      </c>
      <c r="C11" s="15"/>
      <c r="D11" s="15" t="e">
        <f t="array" aca="1" ref="D11" ca="1">_xludf.XLOOKUP(A11,Units!$A$2:$A$100,Units!$B$2:$B$100,"")</f>
        <v>#NAME?</v>
      </c>
      <c r="E11" s="47"/>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5" t="s">
        <v>4966</v>
      </c>
      <c r="B12" s="45" t="e">
        <f t="array" aca="1" ref="B12" ca="1">_xludf.XLOOKUP(A12,Units!$A$2:$A$100,Units!$C$2:$C$100,"")</f>
        <v>#NAME?</v>
      </c>
      <c r="C12" s="15"/>
      <c r="D12" s="15" t="e">
        <f t="array" aca="1" ref="D12" ca="1">_xludf.XLOOKUP(A12,Units!$A$2:$A$100,Units!$B$2:$B$100,"")</f>
        <v>#NAME?</v>
      </c>
      <c r="E12" s="47"/>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5" t="s">
        <v>4967</v>
      </c>
      <c r="B13" s="45" t="e">
        <f t="array" aca="1" ref="B13" ca="1">_xludf.XLOOKUP(A13,Units!$A$2:$A$100,Units!$C$2:$C$100,"")</f>
        <v>#NAME?</v>
      </c>
      <c r="C13" s="15"/>
      <c r="D13" s="15" t="e">
        <f t="array" aca="1" ref="D13" ca="1">_xludf.XLOOKUP(A13,Units!$A$2:$A$100,Units!$B$2:$B$100,"")</f>
        <v>#NAME?</v>
      </c>
      <c r="E13" s="47"/>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5" t="s">
        <v>4959</v>
      </c>
      <c r="B14" s="45" t="e">
        <f t="array" aca="1" ref="B14" ca="1">IF(_xludf.XLOOKUP(A14,Units!$A$2:$A$100,Units!$C$2:$C$100,"")=0,"",_xludf.XLOOKUP(A14,Units!$A$2:$A$100,Units!$C$2:$C$100,""))</f>
        <v>#NAME?</v>
      </c>
      <c r="C14" s="15"/>
      <c r="D14" s="15" t="e">
        <f t="array" aca="1" ref="D14" ca="1">IF(_xludf.XLOOKUP(A14,Units!$A$2:$A$100,Units!$B$2:$B$100,"")=0,"",_xludf.XLOOKUP(A14,Units!$A$2:$A$100,Units!$B$2:$B$100,""))</f>
        <v>#NAME?</v>
      </c>
      <c r="E14" s="47"/>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5"/>
      <c r="B15" s="45" t="e">
        <f t="array" aca="1" ref="B15" ca="1">IF(_xludf.XLOOKUP(A15,Units!$A$2:$A$100,Units!$C$2:$C$100,"")=0,"",_xludf.XLOOKUP(A15,Units!$A$2:$A$100,Units!$C$2:$C$100,""))</f>
        <v>#NAME?</v>
      </c>
      <c r="C15" s="15"/>
      <c r="D15" s="15" t="e">
        <f t="array" aca="1" ref="D15" ca="1">IF(_xludf.XLOOKUP(A15,Units!$A$2:$A$100,Units!$B$2:$B$100,"")=0,"",_xludf.XLOOKUP(A15,Units!$A$2:$A$100,Units!$B$2:$B$100,""))</f>
        <v>#NAME?</v>
      </c>
      <c r="E15" s="47"/>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5" t="s">
        <v>4959</v>
      </c>
      <c r="B16" s="45" t="e">
        <f t="array" aca="1" ref="B16" ca="1">IF(_xludf.XLOOKUP(A16,Units!$A$2:$A$100,Units!$C$2:$C$100,"")=0,"",_xludf.XLOOKUP(A16,Units!$A$2:$A$100,Units!$C$2:$C$100,""))</f>
        <v>#NAME?</v>
      </c>
      <c r="C16" s="15">
        <v>15</v>
      </c>
      <c r="D16" s="15" t="e">
        <f t="array" aca="1" ref="D16" ca="1">IF(_xludf.XLOOKUP(A16,Units!$A$2:$A$100,Units!$B$2:$B$100,"")=0,"",_xludf.XLOOKUP(A16,Units!$A$2:$A$100,Units!$B$2:$B$100,""))</f>
        <v>#NAME?</v>
      </c>
      <c r="E16" s="47"/>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5" t="s">
        <v>4966</v>
      </c>
      <c r="B17" s="45" t="e">
        <f t="array" aca="1" ref="B17" ca="1">IF(_xludf.XLOOKUP(A17,Units!$A$2:$A$100,Units!$C$2:$C$100,"")=0,"",_xludf.XLOOKUP(A17,Units!$A$2:$A$100,Units!$C$2:$C$100,""))</f>
        <v>#NAME?</v>
      </c>
      <c r="C17" s="15">
        <v>5</v>
      </c>
      <c r="D17" s="15" t="e">
        <f t="array" aca="1" ref="D17" ca="1">IF(_xludf.XLOOKUP(A17,Units!$A$2:$A$100,Units!$B$2:$B$100,"")=0,"",_xludf.XLOOKUP(A17,Units!$A$2:$A$100,Units!$B$2:$B$100,""))</f>
        <v>#NAME?</v>
      </c>
      <c r="E17" s="47"/>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5"/>
      <c r="B18" s="45" t="e">
        <f t="array" aca="1" ref="B18" ca="1">IF(_xludf.XLOOKUP(A18,Units!$A$2:$A$100,Units!$C$2:$C$100,"")=0,"",_xludf.XLOOKUP(A18,Units!$A$2:$A$100,Units!$C$2:$C$100,""))</f>
        <v>#NAME?</v>
      </c>
      <c r="C18" s="15"/>
      <c r="D18" s="15" t="e">
        <f t="array" aca="1" ref="D18" ca="1">IF(_xludf.XLOOKUP(A18,Units!$A$2:$A$100,Units!$B$2:$B$100,"")=0,"",_xludf.XLOOKUP(A18,Units!$A$2:$A$100,Units!$B$2:$B$100,""))</f>
        <v>#NAME?</v>
      </c>
      <c r="E18" s="47"/>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5"/>
      <c r="B19" s="45" t="e">
        <f t="array" aca="1" ref="B19" ca="1">IF(_xludf.XLOOKUP(A19,Units!$A$2:$A$100,Units!$C$2:$C$100,"")=0,"",_xludf.XLOOKUP(A19,Units!$A$2:$A$100,Units!$C$2:$C$100,""))</f>
        <v>#NAME?</v>
      </c>
      <c r="C19" s="15"/>
      <c r="D19" s="15" t="e">
        <f t="array" aca="1" ref="D19" ca="1">IF(_xludf.XLOOKUP(A19,Units!$A$2:$A$100,Units!$B$2:$B$100,"")=0,"",_xludf.XLOOKUP(A19,Units!$A$2:$A$100,Units!$B$2:$B$100,""))</f>
        <v>#NAME?</v>
      </c>
      <c r="E19" s="47"/>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5"/>
      <c r="B20" s="45" t="e">
        <f t="array" aca="1" ref="B20" ca="1">IF(_xludf.XLOOKUP(A20,Units!$A$2:$A$100,Units!$C$2:$C$100,"")=0,"",_xludf.XLOOKUP(A20,Units!$A$2:$A$100,Units!$C$2:$C$100,""))</f>
        <v>#NAME?</v>
      </c>
      <c r="C20" s="15"/>
      <c r="D20" s="15" t="e">
        <f t="array" aca="1" ref="D20" ca="1">IF(_xludf.XLOOKUP(A20,Units!$A$2:$A$100,Units!$B$2:$B$100,"")=0,"",_xludf.XLOOKUP(A20,Units!$A$2:$A$100,Units!$B$2:$B$100,""))</f>
        <v>#NAME?</v>
      </c>
      <c r="E20" s="47"/>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5"/>
      <c r="B21" s="45" t="e">
        <f t="array" aca="1" ref="B21" ca="1">IF(_xludf.XLOOKUP(A21,Units!$A$2:$A$100,Units!$C$2:$C$100,"")=0,"",_xludf.XLOOKUP(A21,Units!$A$2:$A$100,Units!$C$2:$C$100,""))</f>
        <v>#NAME?</v>
      </c>
      <c r="C21" s="15"/>
      <c r="D21" s="15" t="e">
        <f t="array" aca="1" ref="D21" ca="1">IF(_xludf.XLOOKUP(A21,Units!$A$2:$A$100,Units!$B$2:$B$100,"")=0,"",_xludf.XLOOKUP(A21,Units!$A$2:$A$100,Units!$B$2:$B$100,""))</f>
        <v>#NAME?</v>
      </c>
      <c r="E21" s="47"/>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5"/>
      <c r="B22" s="45" t="e">
        <f t="array" aca="1" ref="B22" ca="1">IF(_xludf.XLOOKUP(A22,Units!$A$2:$A$100,Units!$C$2:$C$100,"")=0,"",_xludf.XLOOKUP(A22,Units!$A$2:$A$100,Units!$C$2:$C$100,""))</f>
        <v>#NAME?</v>
      </c>
      <c r="C22" s="15"/>
      <c r="D22" s="15" t="e">
        <f t="array" aca="1" ref="D22" ca="1">IF(_xludf.XLOOKUP(A22,Units!$A$2:$A$100,Units!$B$2:$B$100,"")=0,"",_xludf.XLOOKUP(A22,Units!$A$2:$A$100,Units!$B$2:$B$100,""))</f>
        <v>#NAME?</v>
      </c>
      <c r="E22" s="47"/>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5"/>
      <c r="B23" s="45" t="e">
        <f t="array" aca="1" ref="B23" ca="1">IF(_xludf.XLOOKUP(A23,Units!$A$2:$A$100,Units!$C$2:$C$100,"")=0,"",_xludf.XLOOKUP(A23,Units!$A$2:$A$100,Units!$C$2:$C$100,""))</f>
        <v>#NAME?</v>
      </c>
      <c r="C23" s="15"/>
      <c r="D23" s="15" t="e">
        <f t="array" aca="1" ref="D23" ca="1">IF(_xludf.XLOOKUP(A23,Units!$A$2:$A$100,Units!$B$2:$B$100,"")=0,"",_xludf.XLOOKUP(A23,Units!$A$2:$A$100,Units!$B$2:$B$100,""))</f>
        <v>#NAME?</v>
      </c>
      <c r="E23" s="47"/>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5"/>
      <c r="B24" s="45" t="e">
        <f t="array" aca="1" ref="B24" ca="1">IF(_xludf.XLOOKUP(A24,Units!$A$2:$A$100,Units!$C$2:$C$100,"")=0,"",_xludf.XLOOKUP(A24,Units!$A$2:$A$100,Units!$C$2:$C$100,""))</f>
        <v>#NAME?</v>
      </c>
      <c r="C24" s="15"/>
      <c r="D24" s="15" t="e">
        <f t="array" aca="1" ref="D24" ca="1">IF(_xludf.XLOOKUP(A24,Units!$A$2:$A$100,Units!$B$2:$B$100,"")=0,"",_xludf.XLOOKUP(A24,Units!$A$2:$A$100,Units!$B$2:$B$100,""))</f>
        <v>#NAME?</v>
      </c>
      <c r="E24" s="47"/>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5"/>
      <c r="B25" s="45" t="e">
        <f t="array" aca="1" ref="B25" ca="1">IF(_xludf.XLOOKUP(A25,Units!$A$2:$A$100,Units!$C$2:$C$100,"")=0,"",_xludf.XLOOKUP(A25,Units!$A$2:$A$100,Units!$C$2:$C$100,""))</f>
        <v>#NAME?</v>
      </c>
      <c r="C25" s="15"/>
      <c r="D25" s="15" t="e">
        <f t="array" aca="1" ref="D25" ca="1">IF(_xludf.XLOOKUP(A25,Units!$A$2:$A$100,Units!$B$2:$B$100,"")=0,"",_xludf.XLOOKUP(A25,Units!$A$2:$A$100,Units!$B$2:$B$100,""))</f>
        <v>#NAME?</v>
      </c>
      <c r="E25" s="47"/>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5"/>
      <c r="B26" s="45" t="e">
        <f t="array" aca="1" ref="B26" ca="1">IF(_xludf.XLOOKUP(A26,Units!$A$2:$A$100,Units!$C$2:$C$100,"")=0,"",_xludf.XLOOKUP(A26,Units!$A$2:$A$100,Units!$C$2:$C$100,""))</f>
        <v>#NAME?</v>
      </c>
      <c r="C26" s="15"/>
      <c r="D26" s="15" t="e">
        <f t="array" aca="1" ref="D26" ca="1">IF(_xludf.XLOOKUP(A26,Units!$A$2:$A$100,Units!$B$2:$B$100,"")=0,"",_xludf.XLOOKUP(A26,Units!$A$2:$A$100,Units!$B$2:$B$100,""))</f>
        <v>#NAME?</v>
      </c>
      <c r="E26" s="47"/>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5"/>
      <c r="B27" s="45" t="e">
        <f t="array" aca="1" ref="B27" ca="1">IF(_xludf.XLOOKUP(A27,Units!$A$2:$A$100,Units!$C$2:$C$100,"")=0,"",_xludf.XLOOKUP(A27,Units!$A$2:$A$100,Units!$C$2:$C$100,""))</f>
        <v>#NAME?</v>
      </c>
      <c r="C27" s="15"/>
      <c r="D27" s="15" t="e">
        <f t="array" aca="1" ref="D27" ca="1">IF(_xludf.XLOOKUP(A27,Units!$A$2:$A$100,Units!$B$2:$B$100,"")=0,"",_xludf.XLOOKUP(A27,Units!$A$2:$A$100,Units!$B$2:$B$100,""))</f>
        <v>#NAME?</v>
      </c>
      <c r="E27" s="47"/>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5"/>
      <c r="B28" s="45" t="e">
        <f t="array" aca="1" ref="B28" ca="1">IF(_xludf.XLOOKUP(A28,Units!$A$2:$A$100,Units!$C$2:$C$100,"")=0,"",_xludf.XLOOKUP(A28,Units!$A$2:$A$100,Units!$C$2:$C$100,""))</f>
        <v>#NAME?</v>
      </c>
      <c r="C28" s="15"/>
      <c r="D28" s="15" t="e">
        <f t="array" aca="1" ref="D28" ca="1">IF(_xludf.XLOOKUP(A28,Units!$A$2:$A$100,Units!$B$2:$B$100,"")=0,"",_xludf.XLOOKUP(A28,Units!$A$2:$A$100,Units!$B$2:$B$100,""))</f>
        <v>#NAME?</v>
      </c>
      <c r="E28" s="47"/>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5"/>
      <c r="B29" s="45" t="e">
        <f t="array" aca="1" ref="B29" ca="1">IF(_xludf.XLOOKUP(A29,Units!$A$2:$A$100,Units!$C$2:$C$100,"")=0,"",_xludf.XLOOKUP(A29,Units!$A$2:$A$100,Units!$C$2:$C$100,""))</f>
        <v>#NAME?</v>
      </c>
      <c r="C29" s="15"/>
      <c r="D29" s="15" t="e">
        <f t="array" aca="1" ref="D29" ca="1">IF(_xludf.XLOOKUP(A29,Units!$A$2:$A$100,Units!$B$2:$B$100,"")=0,"",_xludf.XLOOKUP(A29,Units!$A$2:$A$100,Units!$B$2:$B$100,""))</f>
        <v>#NAME?</v>
      </c>
      <c r="E29" s="47"/>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5"/>
      <c r="B30" s="45" t="e">
        <f t="array" aca="1" ref="B30" ca="1">IF(_xludf.XLOOKUP(A30,Units!$A$2:$A$100,Units!$C$2:$C$100,"")=0,"",_xludf.XLOOKUP(A30,Units!$A$2:$A$100,Units!$C$2:$C$100,""))</f>
        <v>#NAME?</v>
      </c>
      <c r="C30" s="15"/>
      <c r="D30" s="15" t="e">
        <f t="array" aca="1" ref="D30" ca="1">IF(_xludf.XLOOKUP(A30,Units!$A$2:$A$100,Units!$B$2:$B$100,"")=0,"",_xludf.XLOOKUP(A30,Units!$A$2:$A$100,Units!$B$2:$B$100,""))</f>
        <v>#NAME?</v>
      </c>
      <c r="E30" s="47"/>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5"/>
      <c r="B31" s="45" t="e">
        <f t="array" aca="1" ref="B31" ca="1">IF(_xludf.XLOOKUP(A31,Units!$A$2:$A$100,Units!$C$2:$C$100,"")=0,"",_xludf.XLOOKUP(A31,Units!$A$2:$A$100,Units!$C$2:$C$100,""))</f>
        <v>#NAME?</v>
      </c>
      <c r="C31" s="15"/>
      <c r="D31" s="15" t="e">
        <f t="array" aca="1" ref="D31" ca="1">IF(_xludf.XLOOKUP(A31,Units!$A$2:$A$100,Units!$B$2:$B$100,"")=0,"",_xludf.XLOOKUP(A31,Units!$A$2:$A$100,Units!$B$2:$B$100,""))</f>
        <v>#NAME?</v>
      </c>
      <c r="E31" s="47"/>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5"/>
      <c r="B32" s="45" t="e">
        <f t="array" aca="1" ref="B32" ca="1">IF(_xludf.XLOOKUP(A32,Units!$A$2:$A$100,Units!$C$2:$C$100,"")=0,"",_xludf.XLOOKUP(A32,Units!$A$2:$A$100,Units!$C$2:$C$100,""))</f>
        <v>#NAME?</v>
      </c>
      <c r="C32" s="15"/>
      <c r="D32" s="15" t="e">
        <f t="array" aca="1" ref="D32" ca="1">IF(_xludf.XLOOKUP(A32,Units!$A$2:$A$100,Units!$B$2:$B$100,"")=0,"",_xludf.XLOOKUP(A32,Units!$A$2:$A$100,Units!$B$2:$B$100,""))</f>
        <v>#NAME?</v>
      </c>
      <c r="E32" s="47"/>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5"/>
      <c r="B33" s="45" t="e">
        <f t="array" aca="1" ref="B33" ca="1">IF(_xludf.XLOOKUP(A33,Units!$A$2:$A$100,Units!$C$2:$C$100,"")=0,"",_xludf.XLOOKUP(A33,Units!$A$2:$A$100,Units!$C$2:$C$100,""))</f>
        <v>#NAME?</v>
      </c>
      <c r="C33" s="15"/>
      <c r="D33" s="15" t="e">
        <f t="array" aca="1" ref="D33" ca="1">IF(_xludf.XLOOKUP(A33,Units!$A$2:$A$100,Units!$B$2:$B$100,"")=0,"",_xludf.XLOOKUP(A33,Units!$A$2:$A$100,Units!$B$2:$B$100,""))</f>
        <v>#NAME?</v>
      </c>
      <c r="E33" s="47"/>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5"/>
      <c r="B34" s="45" t="e">
        <f t="array" aca="1" ref="B34" ca="1">IF(_xludf.XLOOKUP(A34,Units!$A$2:$A$100,Units!$C$2:$C$100,"")=0,"",_xludf.XLOOKUP(A34,Units!$A$2:$A$100,Units!$C$2:$C$100,""))</f>
        <v>#NAME?</v>
      </c>
      <c r="C34" s="15"/>
      <c r="D34" s="15" t="e">
        <f t="array" aca="1" ref="D34" ca="1">IF(_xludf.XLOOKUP(A34,Units!$A$2:$A$100,Units!$B$2:$B$100,"")=0,"",_xludf.XLOOKUP(A34,Units!$A$2:$A$100,Units!$B$2:$B$100,""))</f>
        <v>#NAME?</v>
      </c>
      <c r="E34" s="47"/>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5"/>
      <c r="B35" s="45" t="e">
        <f t="array" aca="1" ref="B35" ca="1">IF(_xludf.XLOOKUP(A35,Units!$A$2:$A$100,Units!$C$2:$C$100,"")=0,"",_xludf.XLOOKUP(A35,Units!$A$2:$A$100,Units!$C$2:$C$100,""))</f>
        <v>#NAME?</v>
      </c>
      <c r="C35" s="15"/>
      <c r="D35" s="15" t="e">
        <f t="array" aca="1" ref="D35" ca="1">IF(_xludf.XLOOKUP(A35,Units!$A$2:$A$100,Units!$B$2:$B$100,"")=0,"",_xludf.XLOOKUP(A35,Units!$A$2:$A$100,Units!$B$2:$B$100,""))</f>
        <v>#NAME?</v>
      </c>
      <c r="E35" s="47"/>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5"/>
      <c r="B36" s="45" t="e">
        <f t="array" aca="1" ref="B36" ca="1">IF(_xludf.XLOOKUP(A36,Units!$A$2:$A$100,Units!$C$2:$C$100,"")=0,"",_xludf.XLOOKUP(A36,Units!$A$2:$A$100,Units!$C$2:$C$100,""))</f>
        <v>#NAME?</v>
      </c>
      <c r="C36" s="15"/>
      <c r="D36" s="15" t="e">
        <f t="array" aca="1" ref="D36" ca="1">IF(_xludf.XLOOKUP(A36,Units!$A$2:$A$100,Units!$B$2:$B$100,"")=0,"",_xludf.XLOOKUP(A36,Units!$A$2:$A$100,Units!$B$2:$B$100,""))</f>
        <v>#NAME?</v>
      </c>
      <c r="E36" s="47"/>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5"/>
      <c r="B37" s="45" t="e">
        <f t="array" aca="1" ref="B37" ca="1">IF(_xludf.XLOOKUP(A37,Units!$A$2:$A$100,Units!$C$2:$C$100,"")=0,"",_xludf.XLOOKUP(A37,Units!$A$2:$A$100,Units!$C$2:$C$100,""))</f>
        <v>#NAME?</v>
      </c>
      <c r="C37" s="15"/>
      <c r="D37" s="15" t="e">
        <f t="array" aca="1" ref="D37" ca="1">IF(_xludf.XLOOKUP(A37,Units!$A$2:$A$100,Units!$B$2:$B$100,"")=0,"",_xludf.XLOOKUP(A37,Units!$A$2:$A$100,Units!$B$2:$B$100,""))</f>
        <v>#NAME?</v>
      </c>
      <c r="E37" s="47"/>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5"/>
      <c r="B38" s="45" t="e">
        <f t="array" aca="1" ref="B38" ca="1">IF(_xludf.XLOOKUP(A38,Units!$A$2:$A$100,Units!$C$2:$C$100,"")=0,"",_xludf.XLOOKUP(A38,Units!$A$2:$A$100,Units!$C$2:$C$100,""))</f>
        <v>#NAME?</v>
      </c>
      <c r="C38" s="15"/>
      <c r="D38" s="15" t="e">
        <f t="array" aca="1" ref="D38" ca="1">IF(_xludf.XLOOKUP(A38,Units!$A$2:$A$100,Units!$B$2:$B$100,"")=0,"",_xludf.XLOOKUP(A38,Units!$A$2:$A$100,Units!$B$2:$B$100,""))</f>
        <v>#NAME?</v>
      </c>
      <c r="E38" s="47"/>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5"/>
      <c r="B39" s="45" t="e">
        <f t="array" aca="1" ref="B39" ca="1">IF(_xludf.XLOOKUP(A39,Units!$A$2:$A$100,Units!$C$2:$C$100,"")=0,"",_xludf.XLOOKUP(A39,Units!$A$2:$A$100,Units!$C$2:$C$100,""))</f>
        <v>#NAME?</v>
      </c>
      <c r="C39" s="15"/>
      <c r="D39" s="15" t="e">
        <f t="array" aca="1" ref="D39" ca="1">IF(_xludf.XLOOKUP(A39,Units!$A$2:$A$100,Units!$B$2:$B$100,"")=0,"",_xludf.XLOOKUP(A39,Units!$A$2:$A$100,Units!$B$2:$B$100,""))</f>
        <v>#NAME?</v>
      </c>
      <c r="E39" s="47"/>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5"/>
      <c r="B40" s="45" t="e">
        <f t="array" aca="1" ref="B40" ca="1">IF(_xludf.XLOOKUP(A40,Units!$A$2:$A$100,Units!$C$2:$C$100,"")=0,"",_xludf.XLOOKUP(A40,Units!$A$2:$A$100,Units!$C$2:$C$100,""))</f>
        <v>#NAME?</v>
      </c>
      <c r="C40" s="15"/>
      <c r="D40" s="15" t="e">
        <f t="array" aca="1" ref="D40" ca="1">IF(_xludf.XLOOKUP(A40,Units!$A$2:$A$100,Units!$B$2:$B$100,"")=0,"",_xludf.XLOOKUP(A40,Units!$A$2:$A$100,Units!$B$2:$B$100,""))</f>
        <v>#NAME?</v>
      </c>
      <c r="E40" s="47"/>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5"/>
      <c r="B41" s="45" t="e">
        <f t="array" aca="1" ref="B41" ca="1">IF(_xludf.XLOOKUP(A41,Units!$A$2:$A$100,Units!$C$2:$C$100,"")=0,"",_xludf.XLOOKUP(A41,Units!$A$2:$A$100,Units!$C$2:$C$100,""))</f>
        <v>#NAME?</v>
      </c>
      <c r="C41" s="15"/>
      <c r="D41" s="15" t="e">
        <f t="array" aca="1" ref="D41" ca="1">IF(_xludf.XLOOKUP(A41,Units!$A$2:$A$100,Units!$B$2:$B$100,"")=0,"",_xludf.XLOOKUP(A41,Units!$A$2:$A$100,Units!$B$2:$B$100,""))</f>
        <v>#NAME?</v>
      </c>
      <c r="E41" s="47"/>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5"/>
      <c r="B42" s="45" t="e">
        <f t="array" aca="1" ref="B42" ca="1">IF(_xludf.XLOOKUP(A42,Units!$A$2:$A$100,Units!$C$2:$C$100,"")=0,"",_xludf.XLOOKUP(A42,Units!$A$2:$A$100,Units!$C$2:$C$100,""))</f>
        <v>#NAME?</v>
      </c>
      <c r="C42" s="15"/>
      <c r="D42" s="15" t="e">
        <f t="array" aca="1" ref="D42" ca="1">IF(_xludf.XLOOKUP(A42,Units!$A$2:$A$100,Units!$B$2:$B$100,"")=0,"",_xludf.XLOOKUP(A42,Units!$A$2:$A$100,Units!$B$2:$B$100,""))</f>
        <v>#NAME?</v>
      </c>
      <c r="E42" s="47"/>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5"/>
      <c r="B43" s="45" t="e">
        <f t="array" aca="1" ref="B43" ca="1">IF(_xludf.XLOOKUP(A43,Units!$A$2:$A$100,Units!$C$2:$C$100,"")=0,"",_xludf.XLOOKUP(A43,Units!$A$2:$A$100,Units!$C$2:$C$100,""))</f>
        <v>#NAME?</v>
      </c>
      <c r="C43" s="15"/>
      <c r="D43" s="15" t="e">
        <f t="array" aca="1" ref="D43" ca="1">IF(_xludf.XLOOKUP(A43,Units!$A$2:$A$100,Units!$B$2:$B$100,"")=0,"",_xludf.XLOOKUP(A43,Units!$A$2:$A$100,Units!$B$2:$B$100,""))</f>
        <v>#NAME?</v>
      </c>
      <c r="E43" s="47"/>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5"/>
      <c r="B44" s="45" t="e">
        <f t="array" aca="1" ref="B44" ca="1">IF(_xludf.XLOOKUP(A44,Units!$A$2:$A$100,Units!$C$2:$C$100,"")=0,"",_xludf.XLOOKUP(A44,Units!$A$2:$A$100,Units!$C$2:$C$100,""))</f>
        <v>#NAME?</v>
      </c>
      <c r="C44" s="15"/>
      <c r="D44" s="15" t="e">
        <f t="array" aca="1" ref="D44" ca="1">IF(_xludf.XLOOKUP(A44,Units!$A$2:$A$100,Units!$B$2:$B$100,"")=0,"",_xludf.XLOOKUP(A44,Units!$A$2:$A$100,Units!$B$2:$B$100,""))</f>
        <v>#NAME?</v>
      </c>
      <c r="E44" s="47"/>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5"/>
      <c r="B45" s="45" t="e">
        <f t="array" aca="1" ref="B45" ca="1">IF(_xludf.XLOOKUP(A45,Units!$A$2:$A$100,Units!$C$2:$C$100,"")=0,"",_xludf.XLOOKUP(A45,Units!$A$2:$A$100,Units!$C$2:$C$100,""))</f>
        <v>#NAME?</v>
      </c>
      <c r="C45" s="15"/>
      <c r="D45" s="15" t="e">
        <f t="array" aca="1" ref="D45" ca="1">IF(_xludf.XLOOKUP(A45,Units!$A$2:$A$100,Units!$B$2:$B$100,"")=0,"",_xludf.XLOOKUP(A45,Units!$A$2:$A$100,Units!$B$2:$B$100,""))</f>
        <v>#NAME?</v>
      </c>
      <c r="E45" s="47"/>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5"/>
      <c r="B46" s="45" t="e">
        <f t="array" aca="1" ref="B46" ca="1">IF(_xludf.XLOOKUP(A46,Units!$A$2:$A$100,Units!$C$2:$C$100,"")=0,"",_xludf.XLOOKUP(A46,Units!$A$2:$A$100,Units!$C$2:$C$100,""))</f>
        <v>#NAME?</v>
      </c>
      <c r="C46" s="15"/>
      <c r="D46" s="15" t="e">
        <f t="array" aca="1" ref="D46" ca="1">IF(_xludf.XLOOKUP(A46,Units!$A$2:$A$100,Units!$B$2:$B$100,"")=0,"",_xludf.XLOOKUP(A46,Units!$A$2:$A$100,Units!$B$2:$B$100,""))</f>
        <v>#NAME?</v>
      </c>
      <c r="E46" s="47"/>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5"/>
      <c r="B47" s="45" t="e">
        <f t="array" aca="1" ref="B47" ca="1">IF(_xludf.XLOOKUP(A47,Units!$A$2:$A$100,Units!$C$2:$C$100,"")=0,"",_xludf.XLOOKUP(A47,Units!$A$2:$A$100,Units!$C$2:$C$100,""))</f>
        <v>#NAME?</v>
      </c>
      <c r="C47" s="15"/>
      <c r="D47" s="15" t="e">
        <f t="array" aca="1" ref="D47" ca="1">IF(_xludf.XLOOKUP(A47,Units!$A$2:$A$100,Units!$B$2:$B$100,"")=0,"",_xludf.XLOOKUP(A47,Units!$A$2:$A$100,Units!$B$2:$B$100,""))</f>
        <v>#NAME?</v>
      </c>
      <c r="E47" s="47"/>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5"/>
      <c r="B48" s="45" t="e">
        <f t="array" aca="1" ref="B48" ca="1">IF(_xludf.XLOOKUP(A48,Units!$A$2:$A$100,Units!$C$2:$C$100,"")=0,"",_xludf.XLOOKUP(A48,Units!$A$2:$A$100,Units!$C$2:$C$100,""))</f>
        <v>#NAME?</v>
      </c>
      <c r="C48" s="15"/>
      <c r="D48" s="15" t="e">
        <f t="array" aca="1" ref="D48" ca="1">IF(_xludf.XLOOKUP(A48,Units!$A$2:$A$100,Units!$B$2:$B$100,"")=0,"",_xludf.XLOOKUP(A48,Units!$A$2:$A$100,Units!$B$2:$B$100,""))</f>
        <v>#NAME?</v>
      </c>
      <c r="E48" s="47"/>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5"/>
      <c r="B49" s="45" t="e">
        <f t="array" aca="1" ref="B49" ca="1">IF(_xludf.XLOOKUP(A49,Units!$A$2:$A$100,Units!$C$2:$C$100,"")=0,"",_xludf.XLOOKUP(A49,Units!$A$2:$A$100,Units!$C$2:$C$100,""))</f>
        <v>#NAME?</v>
      </c>
      <c r="C49" s="15"/>
      <c r="D49" s="15" t="e">
        <f t="array" aca="1" ref="D49" ca="1">IF(_xludf.XLOOKUP(A49,Units!$A$2:$A$100,Units!$B$2:$B$100,"")=0,"",_xludf.XLOOKUP(A49,Units!$A$2:$A$100,Units!$B$2:$B$100,""))</f>
        <v>#NAME?</v>
      </c>
      <c r="E49" s="47"/>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5"/>
      <c r="B50" s="45" t="e">
        <f t="array" aca="1" ref="B50" ca="1">IF(_xludf.XLOOKUP(A50,Units!$A$2:$A$100,Units!$C$2:$C$100,"")=0,"",_xludf.XLOOKUP(A50,Units!$A$2:$A$100,Units!$C$2:$C$100,""))</f>
        <v>#NAME?</v>
      </c>
      <c r="D50" s="15" t="e">
        <f t="array" aca="1" ref="D50" ca="1">IF(_xludf.XLOOKUP(A50,Units!$A$2:$A$100,Units!$B$2:$B$100,"")=0,"",_xludf.XLOOKUP(A50,Units!$A$2:$A$100,Units!$B$2:$B$100,""))</f>
        <v>#NAME?</v>
      </c>
      <c r="E50" s="47"/>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5"/>
      <c r="B51" s="45" t="e">
        <f t="array" aca="1" ref="B51" ca="1">IF(_xludf.XLOOKUP(A51,Units!$A$2:$A$100,Units!$C$2:$C$100,"")=0,"",_xludf.XLOOKUP(A51,Units!$A$2:$A$100,Units!$C$2:$C$100,""))</f>
        <v>#NAME?</v>
      </c>
      <c r="D51" s="15" t="e">
        <f t="array" aca="1" ref="D51" ca="1">IF(_xludf.XLOOKUP(A51,Units!$A$2:$A$100,Units!$B$2:$B$100,"")=0,"",_xludf.XLOOKUP(A51,Units!$A$2:$A$100,Units!$B$2:$B$100,""))</f>
        <v>#NAME?</v>
      </c>
      <c r="E51" s="47"/>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5"/>
      <c r="B52" s="45" t="e">
        <f t="array" aca="1" ref="B52" ca="1">IF(_xludf.XLOOKUP(A52,Units!$A$2:$A$100,Units!$C$2:$C$100,"")=0,"",_xludf.XLOOKUP(A52,Units!$A$2:$A$100,Units!$C$2:$C$100,""))</f>
        <v>#NAME?</v>
      </c>
      <c r="D52" s="15" t="e">
        <f t="array" aca="1" ref="D52" ca="1">IF(_xludf.XLOOKUP(A52,Units!$A$2:$A$100,Units!$B$2:$B$100,"")=0,"",_xludf.XLOOKUP(A52,Units!$A$2:$A$100,Units!$B$2:$B$100,""))</f>
        <v>#NAME?</v>
      </c>
      <c r="E52" s="47"/>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5"/>
      <c r="B53" s="45" t="e">
        <f t="array" aca="1" ref="B53" ca="1">IF(_xludf.XLOOKUP(A53,Units!$A$2:$A$100,Units!$C$2:$C$100,"")=0,"",_xludf.XLOOKUP(A53,Units!$A$2:$A$100,Units!$C$2:$C$100,""))</f>
        <v>#NAME?</v>
      </c>
      <c r="D53" s="15" t="e">
        <f t="array" aca="1" ref="D53" ca="1">IF(_xludf.XLOOKUP(A53,Units!$A$2:$A$100,Units!$B$2:$B$100,"")=0,"",_xludf.XLOOKUP(A53,Units!$A$2:$A$100,Units!$B$2:$B$100,""))</f>
        <v>#NAME?</v>
      </c>
      <c r="E53" s="47"/>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5"/>
      <c r="B54" s="45" t="e">
        <f t="array" aca="1" ref="B54" ca="1">IF(_xludf.XLOOKUP(A54,Units!$A$2:$A$100,Units!$C$2:$C$100,"")=0,"",_xludf.XLOOKUP(A54,Units!$A$2:$A$100,Units!$C$2:$C$100,""))</f>
        <v>#NAME?</v>
      </c>
      <c r="D54" s="15" t="e">
        <f t="array" aca="1" ref="D54" ca="1">IF(_xludf.XLOOKUP(A54,Units!$A$2:$A$100,Units!$B$2:$B$100,"")=0,"",_xludf.XLOOKUP(A54,Units!$A$2:$A$100,Units!$B$2:$B$100,""))</f>
        <v>#NAME?</v>
      </c>
      <c r="E54" s="47"/>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5"/>
      <c r="B55" s="45" t="e">
        <f t="array" aca="1" ref="B55" ca="1">IF(_xludf.XLOOKUP(A55,Units!$A$2:$A$100,Units!$C$2:$C$100,"")=0,"",_xludf.XLOOKUP(A55,Units!$A$2:$A$100,Units!$C$2:$C$100,""))</f>
        <v>#NAME?</v>
      </c>
      <c r="D55" s="15" t="e">
        <f t="array" aca="1" ref="D55" ca="1">IF(_xludf.XLOOKUP(A55,Units!$A$2:$A$100,Units!$B$2:$B$100,"")=0,"",_xludf.XLOOKUP(A55,Units!$A$2:$A$100,Units!$B$2:$B$100,""))</f>
        <v>#NAME?</v>
      </c>
      <c r="E55" s="47"/>
      <c r="F55" s="20"/>
      <c r="G55" s="20"/>
      <c r="H55" s="20"/>
      <c r="I55" s="20"/>
      <c r="J55" s="20"/>
      <c r="K55" s="20"/>
      <c r="L55" s="20"/>
      <c r="M55" s="20"/>
      <c r="N55" s="20"/>
      <c r="O55" s="20"/>
      <c r="P55" s="20"/>
      <c r="Q55" s="20"/>
      <c r="R55" s="20"/>
      <c r="S55" s="20"/>
      <c r="T55" s="20"/>
      <c r="U55" s="20"/>
      <c r="V55" s="20"/>
      <c r="W55" s="20"/>
      <c r="X55" s="20"/>
      <c r="Y55" s="20"/>
      <c r="Z55" s="20"/>
    </row>
    <row r="56" spans="1:26" ht="17.25" customHeight="1">
      <c r="B56" s="45" t="e">
        <f t="array" aca="1" ref="B56" ca="1">IF(_xludf.XLOOKUP(A56,Units!$A$2:$A$100,Units!$C$2:$C$100,"")=0,"",_xludf.XLOOKUP(A56,Units!$A$2:$A$100,Units!$C$2:$C$100,""))</f>
        <v>#NAME?</v>
      </c>
      <c r="D56" s="15" t="e">
        <f t="array" aca="1" ref="D56" ca="1">IF(_xludf.XLOOKUP(A56,Units!$A$2:$A$100,Units!$B$2:$B$100,"")=0,"",_xludf.XLOOKUP(A56,Units!$A$2:$A$100,Units!$B$2:$B$100,""))</f>
        <v>#NAME?</v>
      </c>
      <c r="E56" s="47"/>
      <c r="F56" s="20"/>
      <c r="G56" s="20"/>
      <c r="H56" s="20"/>
      <c r="I56" s="20"/>
      <c r="J56" s="20"/>
      <c r="K56" s="20"/>
      <c r="L56" s="20"/>
      <c r="M56" s="20"/>
      <c r="N56" s="20"/>
      <c r="O56" s="20"/>
      <c r="P56" s="20"/>
      <c r="Q56" s="20"/>
      <c r="R56" s="20"/>
      <c r="S56" s="20"/>
      <c r="T56" s="20"/>
      <c r="U56" s="20"/>
      <c r="V56" s="20"/>
      <c r="W56" s="20"/>
      <c r="X56" s="20"/>
      <c r="Y56" s="20"/>
      <c r="Z56" s="20"/>
    </row>
    <row r="57" spans="1:26" ht="17.25" customHeight="1">
      <c r="B57" s="45" t="e">
        <f t="array" aca="1" ref="B57" ca="1">IF(_xludf.XLOOKUP(A57,Units!$A$2:$A$100,Units!$C$2:$C$100,"")=0,"",_xludf.XLOOKUP(A57,Units!$A$2:$A$100,Units!$C$2:$C$100,""))</f>
        <v>#NAME?</v>
      </c>
      <c r="D57" s="15" t="e">
        <f t="array" aca="1" ref="D57" ca="1">IF(_xludf.XLOOKUP(A57,Units!$A$2:$A$100,Units!$B$2:$B$100,"")=0,"",_xludf.XLOOKUP(A57,Units!$A$2:$A$100,Units!$B$2:$B$100,""))</f>
        <v>#NAME?</v>
      </c>
      <c r="E57" s="47"/>
      <c r="F57" s="20"/>
      <c r="G57" s="20"/>
      <c r="H57" s="20"/>
      <c r="I57" s="20"/>
      <c r="J57" s="20"/>
      <c r="K57" s="20"/>
      <c r="L57" s="20"/>
      <c r="M57" s="20"/>
      <c r="N57" s="20"/>
      <c r="O57" s="20"/>
      <c r="P57" s="20"/>
      <c r="Q57" s="20"/>
      <c r="R57" s="20"/>
      <c r="S57" s="20"/>
      <c r="T57" s="20"/>
      <c r="U57" s="20"/>
      <c r="V57" s="20"/>
      <c r="W57" s="20"/>
      <c r="X57" s="20"/>
      <c r="Y57" s="20"/>
      <c r="Z57" s="20"/>
    </row>
    <row r="58" spans="1:26" ht="17.25" customHeight="1">
      <c r="B58" s="45" t="e">
        <f t="array" aca="1" ref="B58" ca="1">IF(_xludf.XLOOKUP(A58,Units!$A$2:$A$100,Units!$C$2:$C$100,"")=0,"",_xludf.XLOOKUP(A58,Units!$A$2:$A$100,Units!$C$2:$C$100,""))</f>
        <v>#NAME?</v>
      </c>
      <c r="D58" s="15" t="e">
        <f t="array" aca="1" ref="D58" ca="1">IF(_xludf.XLOOKUP(A58,Units!$A$2:$A$100,Units!$B$2:$B$100,"")=0,"",_xludf.XLOOKUP(A58,Units!$A$2:$A$100,Units!$B$2:$B$100,""))</f>
        <v>#NAME?</v>
      </c>
      <c r="E58" s="47"/>
      <c r="F58" s="20"/>
      <c r="G58" s="20"/>
      <c r="H58" s="20"/>
      <c r="I58" s="20"/>
      <c r="J58" s="20"/>
      <c r="K58" s="20"/>
      <c r="L58" s="20"/>
      <c r="M58" s="20"/>
      <c r="N58" s="20"/>
      <c r="O58" s="20"/>
      <c r="P58" s="20"/>
      <c r="Q58" s="20"/>
      <c r="R58" s="20"/>
      <c r="S58" s="20"/>
      <c r="T58" s="20"/>
      <c r="U58" s="20"/>
      <c r="V58" s="20"/>
      <c r="W58" s="20"/>
      <c r="X58" s="20"/>
      <c r="Y58" s="20"/>
      <c r="Z58" s="20"/>
    </row>
    <row r="59" spans="1:26" ht="17.25" customHeight="1">
      <c r="B59" s="45" t="e">
        <f t="array" aca="1" ref="B59" ca="1">IF(_xludf.XLOOKUP(A59,Units!$A$2:$A$100,Units!$C$2:$C$100,"")=0,"",_xludf.XLOOKUP(A59,Units!$A$2:$A$100,Units!$C$2:$C$100,""))</f>
        <v>#NAME?</v>
      </c>
      <c r="D59" s="15" t="e">
        <f t="array" aca="1" ref="D59" ca="1">IF(_xludf.XLOOKUP(A59,Units!$A$2:$A$100,Units!$B$2:$B$100,"")=0,"",_xludf.XLOOKUP(A59,Units!$A$2:$A$100,Units!$B$2:$B$100,""))</f>
        <v>#NAME?</v>
      </c>
      <c r="E59" s="47"/>
      <c r="F59" s="20"/>
      <c r="G59" s="20"/>
      <c r="H59" s="20"/>
      <c r="I59" s="20"/>
      <c r="J59" s="20"/>
      <c r="K59" s="20"/>
      <c r="L59" s="20"/>
      <c r="M59" s="20"/>
      <c r="N59" s="20"/>
      <c r="O59" s="20"/>
      <c r="P59" s="20"/>
      <c r="Q59" s="20"/>
      <c r="R59" s="20"/>
      <c r="S59" s="20"/>
      <c r="T59" s="20"/>
      <c r="U59" s="20"/>
      <c r="V59" s="20"/>
      <c r="W59" s="20"/>
      <c r="X59" s="20"/>
      <c r="Y59" s="20"/>
      <c r="Z59" s="20"/>
    </row>
    <row r="60" spans="1:26" ht="17.25" customHeight="1">
      <c r="B60" s="45" t="e">
        <f t="array" aca="1" ref="B60" ca="1">IF(_xludf.XLOOKUP(A60,Units!$A$2:$A$100,Units!$C$2:$C$100,"")=0,"",_xludf.XLOOKUP(A60,Units!$A$2:$A$100,Units!$C$2:$C$100,""))</f>
        <v>#NAME?</v>
      </c>
      <c r="D60" s="15" t="e">
        <f t="array" aca="1" ref="D60" ca="1">IF(_xludf.XLOOKUP(A60,Units!$A$2:$A$100,Units!$B$2:$B$100,"")=0,"",_xludf.XLOOKUP(A60,Units!$A$2:$A$100,Units!$B$2:$B$100,""))</f>
        <v>#NAME?</v>
      </c>
      <c r="E60" s="47"/>
      <c r="F60" s="20"/>
      <c r="G60" s="20"/>
      <c r="H60" s="20"/>
      <c r="I60" s="20"/>
      <c r="J60" s="20"/>
      <c r="K60" s="20"/>
      <c r="L60" s="20"/>
      <c r="M60" s="20"/>
      <c r="N60" s="20"/>
      <c r="O60" s="20"/>
      <c r="P60" s="20"/>
      <c r="Q60" s="20"/>
      <c r="R60" s="20"/>
      <c r="S60" s="20"/>
      <c r="T60" s="20"/>
      <c r="U60" s="20"/>
      <c r="V60" s="20"/>
      <c r="W60" s="20"/>
      <c r="X60" s="20"/>
      <c r="Y60" s="20"/>
      <c r="Z60" s="20"/>
    </row>
    <row r="61" spans="1:26" ht="17.25" customHeight="1">
      <c r="B61" s="45" t="e">
        <f t="array" aca="1" ref="B61" ca="1">IF(_xludf.XLOOKUP(A61,Units!$A$2:$A$100,Units!$C$2:$C$100,"")=0,"",_xludf.XLOOKUP(A61,Units!$A$2:$A$100,Units!$C$2:$C$100,""))</f>
        <v>#NAME?</v>
      </c>
      <c r="D61" s="15" t="e">
        <f t="array" aca="1" ref="D61" ca="1">IF(_xludf.XLOOKUP(A61,Units!$A$2:$A$100,Units!$B$2:$B$100,"")=0,"",_xludf.XLOOKUP(A61,Units!$A$2:$A$100,Units!$B$2:$B$100,""))</f>
        <v>#NAME?</v>
      </c>
      <c r="E61" s="47"/>
      <c r="F61" s="20"/>
      <c r="G61" s="20"/>
      <c r="H61" s="20"/>
      <c r="I61" s="20"/>
      <c r="J61" s="20"/>
      <c r="K61" s="20"/>
      <c r="L61" s="20"/>
      <c r="M61" s="20"/>
      <c r="N61" s="20"/>
      <c r="O61" s="20"/>
      <c r="P61" s="20"/>
      <c r="Q61" s="20"/>
      <c r="R61" s="20"/>
      <c r="S61" s="20"/>
      <c r="T61" s="20"/>
      <c r="U61" s="20"/>
      <c r="V61" s="20"/>
      <c r="W61" s="20"/>
      <c r="X61" s="20"/>
      <c r="Y61" s="20"/>
      <c r="Z61" s="20"/>
    </row>
    <row r="62" spans="1:26" ht="17.25" customHeight="1">
      <c r="B62" s="45" t="e">
        <f t="array" aca="1" ref="B62" ca="1">IF(_xludf.XLOOKUP(A62,Units!$A$2:$A$100,Units!$C$2:$C$100,"")=0,"",_xludf.XLOOKUP(A62,Units!$A$2:$A$100,Units!$C$2:$C$100,""))</f>
        <v>#NAME?</v>
      </c>
      <c r="D62" s="15" t="e">
        <f t="array" aca="1" ref="D62" ca="1">IF(_xludf.XLOOKUP(A62,Units!$A$2:$A$100,Units!$B$2:$B$100,"")=0,"",_xludf.XLOOKUP(A62,Units!$A$2:$A$100,Units!$B$2:$B$100,""))</f>
        <v>#NAME?</v>
      </c>
      <c r="E62" s="47"/>
      <c r="F62" s="20"/>
      <c r="G62" s="20"/>
      <c r="H62" s="20"/>
      <c r="I62" s="20"/>
      <c r="J62" s="20"/>
      <c r="K62" s="20"/>
      <c r="L62" s="20"/>
      <c r="M62" s="20"/>
      <c r="N62" s="20"/>
      <c r="O62" s="20"/>
      <c r="P62" s="20"/>
      <c r="Q62" s="20"/>
      <c r="R62" s="20"/>
      <c r="S62" s="20"/>
      <c r="T62" s="20"/>
      <c r="U62" s="20"/>
      <c r="V62" s="20"/>
      <c r="W62" s="20"/>
      <c r="X62" s="20"/>
      <c r="Y62" s="20"/>
      <c r="Z62" s="20"/>
    </row>
    <row r="63" spans="1:26" ht="17.25" customHeight="1">
      <c r="B63" s="45" t="e">
        <f t="array" aca="1" ref="B63" ca="1">IF(_xludf.XLOOKUP(A63,Units!$A$2:$A$100,Units!$C$2:$C$100,"")=0,"",_xludf.XLOOKUP(A63,Units!$A$2:$A$100,Units!$C$2:$C$100,""))</f>
        <v>#NAME?</v>
      </c>
      <c r="D63" s="15" t="e">
        <f t="array" aca="1" ref="D63" ca="1">IF(_xludf.XLOOKUP(A63,Units!$A$2:$A$100,Units!$B$2:$B$100,"")=0,"",_xludf.XLOOKUP(A63,Units!$A$2:$A$100,Units!$B$2:$B$100,""))</f>
        <v>#NAME?</v>
      </c>
      <c r="E63" s="47"/>
      <c r="F63" s="20"/>
      <c r="G63" s="20"/>
      <c r="H63" s="20"/>
      <c r="I63" s="20"/>
      <c r="J63" s="20"/>
      <c r="K63" s="20"/>
      <c r="L63" s="20"/>
      <c r="M63" s="20"/>
      <c r="N63" s="20"/>
      <c r="O63" s="20"/>
      <c r="P63" s="20"/>
      <c r="Q63" s="20"/>
      <c r="R63" s="20"/>
      <c r="S63" s="20"/>
      <c r="T63" s="20"/>
      <c r="U63" s="20"/>
      <c r="V63" s="20"/>
      <c r="W63" s="20"/>
      <c r="X63" s="20"/>
      <c r="Y63" s="20"/>
      <c r="Z63" s="20"/>
    </row>
    <row r="64" spans="1:26" ht="17.25" customHeight="1">
      <c r="B64" s="45" t="e">
        <f t="array" aca="1" ref="B64" ca="1">IF(_xludf.XLOOKUP(A64,Units!$A$2:$A$100,Units!$C$2:$C$100,"")=0,"",_xludf.XLOOKUP(A64,Units!$A$2:$A$100,Units!$C$2:$C$100,""))</f>
        <v>#NAME?</v>
      </c>
      <c r="D64" s="15" t="e">
        <f t="array" aca="1" ref="D64" ca="1">IF(_xludf.XLOOKUP(A64,Units!$A$2:$A$100,Units!$B$2:$B$100,"")=0,"",_xludf.XLOOKUP(A64,Units!$A$2:$A$100,Units!$B$2:$B$100,""))</f>
        <v>#NAME?</v>
      </c>
      <c r="E64" s="47"/>
      <c r="F64" s="20"/>
      <c r="G64" s="20"/>
      <c r="H64" s="20"/>
      <c r="I64" s="20"/>
      <c r="J64" s="20"/>
      <c r="K64" s="20"/>
      <c r="L64" s="20"/>
      <c r="M64" s="20"/>
      <c r="N64" s="20"/>
      <c r="O64" s="20"/>
      <c r="P64" s="20"/>
      <c r="Q64" s="20"/>
      <c r="R64" s="20"/>
      <c r="S64" s="20"/>
      <c r="T64" s="20"/>
      <c r="U64" s="20"/>
      <c r="V64" s="20"/>
      <c r="W64" s="20"/>
      <c r="X64" s="20"/>
      <c r="Y64" s="20"/>
      <c r="Z64" s="20"/>
    </row>
    <row r="65" spans="2:26" ht="17.25" customHeight="1">
      <c r="B65" s="45" t="e">
        <f t="array" aca="1" ref="B65" ca="1">IF(_xludf.XLOOKUP(A65,Units!$A$2:$A$100,Units!$C$2:$C$100,"")=0,"",_xludf.XLOOKUP(A65,Units!$A$2:$A$100,Units!$C$2:$C$100,""))</f>
        <v>#NAME?</v>
      </c>
      <c r="D65" s="15" t="e">
        <f t="array" aca="1" ref="D65" ca="1">IF(_xludf.XLOOKUP(A65,Units!$A$2:$A$100,Units!$B$2:$B$100,"")=0,"",_xludf.XLOOKUP(A65,Units!$A$2:$A$100,Units!$B$2:$B$100,""))</f>
        <v>#NAME?</v>
      </c>
      <c r="E65" s="47"/>
      <c r="F65" s="20"/>
      <c r="G65" s="20"/>
      <c r="H65" s="20"/>
      <c r="I65" s="20"/>
      <c r="J65" s="20"/>
      <c r="K65" s="20"/>
      <c r="L65" s="20"/>
      <c r="M65" s="20"/>
      <c r="N65" s="20"/>
      <c r="O65" s="20"/>
      <c r="P65" s="20"/>
      <c r="Q65" s="20"/>
      <c r="R65" s="20"/>
      <c r="S65" s="20"/>
      <c r="T65" s="20"/>
      <c r="U65" s="20"/>
      <c r="V65" s="20"/>
      <c r="W65" s="20"/>
      <c r="X65" s="20"/>
      <c r="Y65" s="20"/>
      <c r="Z65" s="20"/>
    </row>
    <row r="66" spans="2:26" ht="17.25" customHeight="1">
      <c r="B66" s="45" t="e">
        <f t="array" aca="1" ref="B66" ca="1">IF(_xludf.XLOOKUP(A66,Units!$A$2:$A$100,Units!$C$2:$C$100,"")=0,"",_xludf.XLOOKUP(A66,Units!$A$2:$A$100,Units!$C$2:$C$100,""))</f>
        <v>#NAME?</v>
      </c>
      <c r="D66" s="15" t="e">
        <f t="array" aca="1" ref="D66" ca="1">IF(_xludf.XLOOKUP(A66,Units!$A$2:$A$100,Units!$B$2:$B$100,"")=0,"",_xludf.XLOOKUP(A66,Units!$A$2:$A$100,Units!$B$2:$B$100,""))</f>
        <v>#NAME?</v>
      </c>
      <c r="E66" s="47"/>
      <c r="F66" s="20"/>
      <c r="G66" s="20"/>
      <c r="H66" s="20"/>
      <c r="I66" s="20"/>
      <c r="J66" s="20"/>
      <c r="K66" s="20"/>
      <c r="L66" s="20"/>
      <c r="M66" s="20"/>
      <c r="N66" s="20"/>
      <c r="O66" s="20"/>
      <c r="P66" s="20"/>
      <c r="Q66" s="20"/>
      <c r="R66" s="20"/>
      <c r="S66" s="20"/>
      <c r="T66" s="20"/>
      <c r="U66" s="20"/>
      <c r="V66" s="20"/>
      <c r="W66" s="20"/>
      <c r="X66" s="20"/>
      <c r="Y66" s="20"/>
      <c r="Z66" s="20"/>
    </row>
    <row r="67" spans="2:26" ht="17.25" customHeight="1">
      <c r="B67" s="45" t="e">
        <f t="array" aca="1" ref="B67" ca="1">IF(_xludf.XLOOKUP(A67,Units!$A$2:$A$100,Units!$C$2:$C$100,"")=0,"",_xludf.XLOOKUP(A67,Units!$A$2:$A$100,Units!$C$2:$C$100,""))</f>
        <v>#NAME?</v>
      </c>
      <c r="D67" s="15" t="e">
        <f t="array" aca="1" ref="D67" ca="1">IF(_xludf.XLOOKUP(A67,Units!$A$2:$A$100,Units!$B$2:$B$100,"")=0,"",_xludf.XLOOKUP(A67,Units!$A$2:$A$100,Units!$B$2:$B$100,""))</f>
        <v>#NAME?</v>
      </c>
      <c r="E67" s="47"/>
      <c r="F67" s="20"/>
      <c r="G67" s="20"/>
      <c r="H67" s="20"/>
      <c r="I67" s="20"/>
      <c r="J67" s="20"/>
      <c r="K67" s="20"/>
      <c r="L67" s="20"/>
      <c r="M67" s="20"/>
      <c r="N67" s="20"/>
      <c r="O67" s="20"/>
      <c r="P67" s="20"/>
      <c r="Q67" s="20"/>
      <c r="R67" s="20"/>
      <c r="S67" s="20"/>
      <c r="T67" s="20"/>
      <c r="U67" s="20"/>
      <c r="V67" s="20"/>
      <c r="W67" s="20"/>
      <c r="X67" s="20"/>
      <c r="Y67" s="20"/>
      <c r="Z67" s="20"/>
    </row>
    <row r="68" spans="2:26" ht="17.25" customHeight="1">
      <c r="B68" s="45" t="e">
        <f t="array" aca="1" ref="B68" ca="1">IF(_xludf.XLOOKUP(A68,Units!$A$2:$A$100,Units!$C$2:$C$100,"")=0,"",_xludf.XLOOKUP(A68,Units!$A$2:$A$100,Units!$C$2:$C$100,""))</f>
        <v>#NAME?</v>
      </c>
      <c r="D68" s="15" t="e">
        <f t="array" aca="1" ref="D68" ca="1">IF(_xludf.XLOOKUP(A68,Units!$A$2:$A$100,Units!$B$2:$B$100,"")=0,"",_xludf.XLOOKUP(A68,Units!$A$2:$A$100,Units!$B$2:$B$100,""))</f>
        <v>#NAME?</v>
      </c>
      <c r="E68" s="47"/>
      <c r="F68" s="20"/>
      <c r="G68" s="20"/>
      <c r="H68" s="20"/>
      <c r="I68" s="20"/>
      <c r="J68" s="20"/>
      <c r="K68" s="20"/>
      <c r="L68" s="20"/>
      <c r="M68" s="20"/>
      <c r="N68" s="20"/>
      <c r="O68" s="20"/>
      <c r="P68" s="20"/>
      <c r="Q68" s="20"/>
      <c r="R68" s="20"/>
      <c r="S68" s="20"/>
      <c r="T68" s="20"/>
      <c r="U68" s="20"/>
      <c r="V68" s="20"/>
      <c r="W68" s="20"/>
      <c r="X68" s="20"/>
      <c r="Y68" s="20"/>
      <c r="Z68" s="20"/>
    </row>
    <row r="69" spans="2:26" ht="17.25" customHeight="1">
      <c r="B69" s="45" t="e">
        <f t="array" aca="1" ref="B69" ca="1">IF(_xludf.XLOOKUP(A69,Units!$A$2:$A$100,Units!$C$2:$C$100,"")=0,"",_xludf.XLOOKUP(A69,Units!$A$2:$A$100,Units!$C$2:$C$100,""))</f>
        <v>#NAME?</v>
      </c>
      <c r="D69" s="15" t="e">
        <f t="array" aca="1" ref="D69" ca="1">IF(_xludf.XLOOKUP(A69,Units!$A$2:$A$100,Units!$B$2:$B$100,"")=0,"",_xludf.XLOOKUP(A69,Units!$A$2:$A$100,Units!$B$2:$B$100,""))</f>
        <v>#NAME?</v>
      </c>
      <c r="E69" s="47"/>
      <c r="F69" s="20"/>
      <c r="G69" s="20"/>
      <c r="H69" s="20"/>
      <c r="I69" s="20"/>
      <c r="J69" s="20"/>
      <c r="K69" s="20"/>
      <c r="L69" s="20"/>
      <c r="M69" s="20"/>
      <c r="N69" s="20"/>
      <c r="O69" s="20"/>
      <c r="P69" s="20"/>
      <c r="Q69" s="20"/>
      <c r="R69" s="20"/>
      <c r="S69" s="20"/>
      <c r="T69" s="20"/>
      <c r="U69" s="20"/>
      <c r="V69" s="20"/>
      <c r="W69" s="20"/>
      <c r="X69" s="20"/>
      <c r="Y69" s="20"/>
      <c r="Z69" s="20"/>
    </row>
    <row r="70" spans="2:26" ht="17.25" customHeight="1">
      <c r="B70" s="45" t="e">
        <f t="array" aca="1" ref="B70" ca="1">IF(_xludf.XLOOKUP(A70,Units!$A$2:$A$100,Units!$C$2:$C$100,"")=0,"",_xludf.XLOOKUP(A70,Units!$A$2:$A$100,Units!$C$2:$C$100,""))</f>
        <v>#NAME?</v>
      </c>
      <c r="D70" s="15" t="e">
        <f t="array" aca="1" ref="D70" ca="1">IF(_xludf.XLOOKUP(A70,Units!$A$2:$A$100,Units!$B$2:$B$100,"")=0,"",_xludf.XLOOKUP(A70,Units!$A$2:$A$100,Units!$B$2:$B$100,""))</f>
        <v>#NAME?</v>
      </c>
      <c r="E70" s="47"/>
      <c r="F70" s="20"/>
      <c r="G70" s="20"/>
      <c r="H70" s="20"/>
      <c r="I70" s="20"/>
      <c r="J70" s="20"/>
      <c r="K70" s="20"/>
      <c r="L70" s="20"/>
      <c r="M70" s="20"/>
      <c r="N70" s="20"/>
      <c r="O70" s="20"/>
      <c r="P70" s="20"/>
      <c r="Q70" s="20"/>
      <c r="R70" s="20"/>
      <c r="S70" s="20"/>
      <c r="T70" s="20"/>
      <c r="U70" s="20"/>
      <c r="V70" s="20"/>
      <c r="W70" s="20"/>
      <c r="X70" s="20"/>
      <c r="Y70" s="20"/>
      <c r="Z70" s="20"/>
    </row>
    <row r="71" spans="2:26" ht="17.25" customHeight="1">
      <c r="B71" s="45" t="e">
        <f t="array" aca="1" ref="B71" ca="1">IF(_xludf.XLOOKUP(A71,Units!$A$2:$A$100,Units!$C$2:$C$100,"")=0,"",_xludf.XLOOKUP(A71,Units!$A$2:$A$100,Units!$C$2:$C$100,""))</f>
        <v>#NAME?</v>
      </c>
      <c r="D71" s="15" t="e">
        <f t="array" aca="1" ref="D71" ca="1">IF(_xludf.XLOOKUP(A71,Units!$A$2:$A$100,Units!$B$2:$B$100,"")=0,"",_xludf.XLOOKUP(A71,Units!$A$2:$A$100,Units!$B$2:$B$100,""))</f>
        <v>#NAME?</v>
      </c>
      <c r="E71" s="47"/>
      <c r="F71" s="20"/>
      <c r="G71" s="20"/>
      <c r="H71" s="20"/>
      <c r="I71" s="20"/>
      <c r="J71" s="20"/>
      <c r="K71" s="20"/>
      <c r="L71" s="20"/>
      <c r="M71" s="20"/>
      <c r="N71" s="20"/>
      <c r="O71" s="20"/>
      <c r="P71" s="20"/>
      <c r="Q71" s="20"/>
      <c r="R71" s="20"/>
      <c r="S71" s="20"/>
      <c r="T71" s="20"/>
      <c r="U71" s="20"/>
      <c r="V71" s="20"/>
      <c r="W71" s="20"/>
      <c r="X71" s="20"/>
      <c r="Y71" s="20"/>
      <c r="Z71" s="20"/>
    </row>
    <row r="72" spans="2:26" ht="17.25" customHeight="1">
      <c r="B72" s="45" t="e">
        <f t="array" aca="1" ref="B72" ca="1">IF(_xludf.XLOOKUP(A72,Units!$A$2:$A$100,Units!$C$2:$C$100,"")=0,"",_xludf.XLOOKUP(A72,Units!$A$2:$A$100,Units!$C$2:$C$100,""))</f>
        <v>#NAME?</v>
      </c>
      <c r="D72" s="15" t="e">
        <f t="array" aca="1" ref="D72" ca="1">IF(_xludf.XLOOKUP(A72,Units!$A$2:$A$100,Units!$B$2:$B$100,"")=0,"",_xludf.XLOOKUP(A72,Units!$A$2:$A$100,Units!$B$2:$B$100,""))</f>
        <v>#NAME?</v>
      </c>
      <c r="E72" s="47"/>
      <c r="F72" s="20"/>
      <c r="G72" s="20"/>
      <c r="H72" s="20"/>
      <c r="I72" s="20"/>
      <c r="J72" s="20"/>
      <c r="K72" s="20"/>
      <c r="L72" s="20"/>
      <c r="M72" s="20"/>
      <c r="N72" s="20"/>
      <c r="O72" s="20"/>
      <c r="P72" s="20"/>
      <c r="Q72" s="20"/>
      <c r="R72" s="20"/>
      <c r="S72" s="20"/>
      <c r="T72" s="20"/>
      <c r="U72" s="20"/>
      <c r="V72" s="20"/>
      <c r="W72" s="20"/>
      <c r="X72" s="20"/>
      <c r="Y72" s="20"/>
      <c r="Z72" s="20"/>
    </row>
    <row r="73" spans="2:26" ht="17.25" customHeight="1">
      <c r="B73" s="45"/>
      <c r="E73" s="47"/>
      <c r="F73" s="20"/>
      <c r="G73" s="20"/>
      <c r="H73" s="20"/>
      <c r="I73" s="20"/>
      <c r="J73" s="20"/>
      <c r="K73" s="20"/>
      <c r="L73" s="20"/>
      <c r="M73" s="20"/>
      <c r="N73" s="20"/>
      <c r="O73" s="20"/>
      <c r="P73" s="20"/>
      <c r="Q73" s="20"/>
      <c r="R73" s="20"/>
      <c r="S73" s="20"/>
      <c r="T73" s="20"/>
      <c r="U73" s="20"/>
      <c r="V73" s="20"/>
      <c r="W73" s="20"/>
      <c r="X73" s="20"/>
      <c r="Y73" s="20"/>
      <c r="Z73" s="20"/>
    </row>
    <row r="74" spans="2:26" ht="17.25" customHeight="1">
      <c r="B74" s="45"/>
      <c r="E74" s="47"/>
      <c r="F74" s="20"/>
      <c r="G74" s="20"/>
      <c r="H74" s="20"/>
      <c r="I74" s="20"/>
      <c r="J74" s="20"/>
      <c r="K74" s="20"/>
      <c r="L74" s="20"/>
      <c r="M74" s="20"/>
      <c r="N74" s="20"/>
      <c r="O74" s="20"/>
      <c r="P74" s="20"/>
      <c r="Q74" s="20"/>
      <c r="R74" s="20"/>
      <c r="S74" s="20"/>
      <c r="T74" s="20"/>
      <c r="U74" s="20"/>
      <c r="V74" s="20"/>
      <c r="W74" s="20"/>
      <c r="X74" s="20"/>
      <c r="Y74" s="20"/>
      <c r="Z74" s="20"/>
    </row>
    <row r="75" spans="2:26" ht="17.25" customHeight="1">
      <c r="B75" s="45"/>
      <c r="E75" s="47"/>
      <c r="F75" s="20"/>
      <c r="G75" s="20"/>
      <c r="H75" s="20"/>
      <c r="I75" s="20"/>
      <c r="J75" s="20"/>
      <c r="K75" s="20"/>
      <c r="L75" s="20"/>
      <c r="M75" s="20"/>
      <c r="N75" s="20"/>
      <c r="O75" s="20"/>
      <c r="P75" s="20"/>
      <c r="Q75" s="20"/>
      <c r="R75" s="20"/>
      <c r="S75" s="20"/>
      <c r="T75" s="20"/>
      <c r="U75" s="20"/>
      <c r="V75" s="20"/>
      <c r="W75" s="20"/>
      <c r="X75" s="20"/>
      <c r="Y75" s="20"/>
      <c r="Z75" s="20"/>
    </row>
    <row r="76" spans="2:26" ht="17.25" customHeight="1">
      <c r="B76" s="45"/>
      <c r="E76" s="47"/>
      <c r="F76" s="20"/>
      <c r="G76" s="20"/>
      <c r="H76" s="20"/>
      <c r="I76" s="20"/>
      <c r="J76" s="20"/>
      <c r="K76" s="20"/>
      <c r="L76" s="20"/>
      <c r="M76" s="20"/>
      <c r="N76" s="20"/>
      <c r="O76" s="20"/>
      <c r="P76" s="20"/>
      <c r="Q76" s="20"/>
      <c r="R76" s="20"/>
      <c r="S76" s="20"/>
      <c r="T76" s="20"/>
      <c r="U76" s="20"/>
      <c r="V76" s="20"/>
      <c r="W76" s="20"/>
      <c r="X76" s="20"/>
      <c r="Y76" s="20"/>
      <c r="Z76" s="20"/>
    </row>
    <row r="77" spans="2:26" ht="17.25" customHeight="1">
      <c r="B77" s="45"/>
      <c r="E77" s="47"/>
      <c r="F77" s="20"/>
      <c r="G77" s="20"/>
      <c r="H77" s="20"/>
      <c r="I77" s="20"/>
      <c r="J77" s="20"/>
      <c r="K77" s="20"/>
      <c r="L77" s="20"/>
      <c r="M77" s="20"/>
      <c r="N77" s="20"/>
      <c r="O77" s="20"/>
      <c r="P77" s="20"/>
      <c r="Q77" s="20"/>
      <c r="R77" s="20"/>
      <c r="S77" s="20"/>
      <c r="T77" s="20"/>
      <c r="U77" s="20"/>
      <c r="V77" s="20"/>
      <c r="W77" s="20"/>
      <c r="X77" s="20"/>
      <c r="Y77" s="20"/>
      <c r="Z77" s="20"/>
    </row>
    <row r="78" spans="2:26" ht="17.25" customHeight="1">
      <c r="B78" s="45"/>
      <c r="E78" s="47"/>
      <c r="F78" s="20"/>
      <c r="G78" s="20"/>
      <c r="H78" s="20"/>
      <c r="I78" s="20"/>
      <c r="J78" s="20"/>
      <c r="K78" s="20"/>
      <c r="L78" s="20"/>
      <c r="M78" s="20"/>
      <c r="N78" s="20"/>
      <c r="O78" s="20"/>
      <c r="P78" s="20"/>
      <c r="Q78" s="20"/>
      <c r="R78" s="20"/>
      <c r="S78" s="20"/>
      <c r="T78" s="20"/>
      <c r="U78" s="20"/>
      <c r="V78" s="20"/>
      <c r="W78" s="20"/>
      <c r="X78" s="20"/>
      <c r="Y78" s="20"/>
      <c r="Z78" s="20"/>
    </row>
    <row r="79" spans="2:26" ht="17.25" customHeight="1">
      <c r="B79" s="45"/>
      <c r="E79" s="47"/>
      <c r="F79" s="20"/>
      <c r="G79" s="20"/>
      <c r="H79" s="20"/>
      <c r="I79" s="20"/>
      <c r="J79" s="20"/>
      <c r="K79" s="20"/>
      <c r="L79" s="20"/>
      <c r="M79" s="20"/>
      <c r="N79" s="20"/>
      <c r="O79" s="20"/>
      <c r="P79" s="20"/>
      <c r="Q79" s="20"/>
      <c r="R79" s="20"/>
      <c r="S79" s="20"/>
      <c r="T79" s="20"/>
      <c r="U79" s="20"/>
      <c r="V79" s="20"/>
      <c r="W79" s="20"/>
      <c r="X79" s="20"/>
      <c r="Y79" s="20"/>
      <c r="Z79" s="20"/>
    </row>
    <row r="80" spans="2:26" ht="17.25" customHeight="1">
      <c r="B80" s="45"/>
      <c r="E80" s="47"/>
      <c r="F80" s="20"/>
      <c r="G80" s="20"/>
      <c r="H80" s="20"/>
      <c r="I80" s="20"/>
      <c r="J80" s="20"/>
      <c r="K80" s="20"/>
      <c r="L80" s="20"/>
      <c r="M80" s="20"/>
      <c r="N80" s="20"/>
      <c r="O80" s="20"/>
      <c r="P80" s="20"/>
      <c r="Q80" s="20"/>
      <c r="R80" s="20"/>
      <c r="S80" s="20"/>
      <c r="T80" s="20"/>
      <c r="U80" s="20"/>
      <c r="V80" s="20"/>
      <c r="W80" s="20"/>
      <c r="X80" s="20"/>
      <c r="Y80" s="20"/>
      <c r="Z80" s="20"/>
    </row>
    <row r="81" spans="2:26" ht="17.25" customHeight="1">
      <c r="B81" s="45"/>
      <c r="E81" s="47"/>
      <c r="F81" s="20"/>
      <c r="G81" s="20"/>
      <c r="H81" s="20"/>
      <c r="I81" s="20"/>
      <c r="J81" s="20"/>
      <c r="K81" s="20"/>
      <c r="L81" s="20"/>
      <c r="M81" s="20"/>
      <c r="N81" s="20"/>
      <c r="O81" s="20"/>
      <c r="P81" s="20"/>
      <c r="Q81" s="20"/>
      <c r="R81" s="20"/>
      <c r="S81" s="20"/>
      <c r="T81" s="20"/>
      <c r="U81" s="20"/>
      <c r="V81" s="20"/>
      <c r="W81" s="20"/>
      <c r="X81" s="20"/>
      <c r="Y81" s="20"/>
      <c r="Z81" s="20"/>
    </row>
    <row r="82" spans="2:26" ht="17.25" customHeight="1">
      <c r="B82" s="45"/>
      <c r="E82" s="47"/>
      <c r="F82" s="20"/>
      <c r="G82" s="20"/>
      <c r="H82" s="20"/>
      <c r="I82" s="20"/>
      <c r="J82" s="20"/>
      <c r="K82" s="20"/>
      <c r="L82" s="20"/>
      <c r="M82" s="20"/>
      <c r="N82" s="20"/>
      <c r="O82" s="20"/>
      <c r="P82" s="20"/>
      <c r="Q82" s="20"/>
      <c r="R82" s="20"/>
      <c r="S82" s="20"/>
      <c r="T82" s="20"/>
      <c r="U82" s="20"/>
      <c r="V82" s="20"/>
      <c r="W82" s="20"/>
      <c r="X82" s="20"/>
      <c r="Y82" s="20"/>
      <c r="Z82" s="20"/>
    </row>
    <row r="83" spans="2:26" ht="17.25" customHeight="1">
      <c r="B83" s="45"/>
      <c r="E83" s="47"/>
      <c r="F83" s="20"/>
      <c r="G83" s="20"/>
      <c r="H83" s="20"/>
      <c r="I83" s="20"/>
      <c r="J83" s="20"/>
      <c r="K83" s="20"/>
      <c r="L83" s="20"/>
      <c r="M83" s="20"/>
      <c r="N83" s="20"/>
      <c r="O83" s="20"/>
      <c r="P83" s="20"/>
      <c r="Q83" s="20"/>
      <c r="R83" s="20"/>
      <c r="S83" s="20"/>
      <c r="T83" s="20"/>
      <c r="U83" s="20"/>
      <c r="V83" s="20"/>
      <c r="W83" s="20"/>
      <c r="X83" s="20"/>
      <c r="Y83" s="20"/>
      <c r="Z83" s="20"/>
    </row>
    <row r="84" spans="2:26" ht="17.25" customHeight="1">
      <c r="B84" s="45"/>
      <c r="E84" s="47"/>
      <c r="F84" s="20"/>
      <c r="G84" s="20"/>
      <c r="H84" s="20"/>
      <c r="I84" s="20"/>
      <c r="J84" s="20"/>
      <c r="K84" s="20"/>
      <c r="L84" s="20"/>
      <c r="M84" s="20"/>
      <c r="N84" s="20"/>
      <c r="O84" s="20"/>
      <c r="P84" s="20"/>
      <c r="Q84" s="20"/>
      <c r="R84" s="20"/>
      <c r="S84" s="20"/>
      <c r="T84" s="20"/>
      <c r="U84" s="20"/>
      <c r="V84" s="20"/>
      <c r="W84" s="20"/>
      <c r="X84" s="20"/>
      <c r="Y84" s="20"/>
      <c r="Z84" s="20"/>
    </row>
    <row r="85" spans="2:26" ht="17.25" customHeight="1">
      <c r="B85" s="45"/>
      <c r="E85" s="47"/>
      <c r="F85" s="20"/>
      <c r="G85" s="20"/>
      <c r="H85" s="20"/>
      <c r="I85" s="20"/>
      <c r="J85" s="20"/>
      <c r="K85" s="20"/>
      <c r="L85" s="20"/>
      <c r="M85" s="20"/>
      <c r="N85" s="20"/>
      <c r="O85" s="20"/>
      <c r="P85" s="20"/>
      <c r="Q85" s="20"/>
      <c r="R85" s="20"/>
      <c r="S85" s="20"/>
      <c r="T85" s="20"/>
      <c r="U85" s="20"/>
      <c r="V85" s="20"/>
      <c r="W85" s="20"/>
      <c r="X85" s="20"/>
      <c r="Y85" s="20"/>
      <c r="Z85" s="20"/>
    </row>
    <row r="86" spans="2:26" ht="17.25" customHeight="1">
      <c r="B86" s="45"/>
      <c r="E86" s="47"/>
      <c r="F86" s="20"/>
      <c r="G86" s="20"/>
      <c r="H86" s="20"/>
      <c r="I86" s="20"/>
      <c r="J86" s="20"/>
      <c r="K86" s="20"/>
      <c r="L86" s="20"/>
      <c r="M86" s="20"/>
      <c r="N86" s="20"/>
      <c r="O86" s="20"/>
      <c r="P86" s="20"/>
      <c r="Q86" s="20"/>
      <c r="R86" s="20"/>
      <c r="S86" s="20"/>
      <c r="T86" s="20"/>
      <c r="U86" s="20"/>
      <c r="V86" s="20"/>
      <c r="W86" s="20"/>
      <c r="X86" s="20"/>
      <c r="Y86" s="20"/>
      <c r="Z86" s="20"/>
    </row>
    <row r="87" spans="2:26" ht="17.25" customHeight="1">
      <c r="B87" s="45"/>
      <c r="E87" s="47"/>
      <c r="F87" s="20"/>
      <c r="G87" s="20"/>
      <c r="H87" s="20"/>
      <c r="I87" s="20"/>
      <c r="J87" s="20"/>
      <c r="K87" s="20"/>
      <c r="L87" s="20"/>
      <c r="M87" s="20"/>
      <c r="N87" s="20"/>
      <c r="O87" s="20"/>
      <c r="P87" s="20"/>
      <c r="Q87" s="20"/>
      <c r="R87" s="20"/>
      <c r="S87" s="20"/>
      <c r="T87" s="20"/>
      <c r="U87" s="20"/>
      <c r="V87" s="20"/>
      <c r="W87" s="20"/>
      <c r="X87" s="20"/>
      <c r="Y87" s="20"/>
      <c r="Z87" s="20"/>
    </row>
    <row r="88" spans="2:26" ht="17.25" customHeight="1">
      <c r="B88" s="45"/>
      <c r="E88" s="47"/>
      <c r="F88" s="20"/>
      <c r="G88" s="20"/>
      <c r="H88" s="20"/>
      <c r="I88" s="20"/>
      <c r="J88" s="20"/>
      <c r="K88" s="20"/>
      <c r="L88" s="20"/>
      <c r="M88" s="20"/>
      <c r="N88" s="20"/>
      <c r="O88" s="20"/>
      <c r="P88" s="20"/>
      <c r="Q88" s="20"/>
      <c r="R88" s="20"/>
      <c r="S88" s="20"/>
      <c r="T88" s="20"/>
      <c r="U88" s="20"/>
      <c r="V88" s="20"/>
      <c r="W88" s="20"/>
      <c r="X88" s="20"/>
      <c r="Y88" s="20"/>
      <c r="Z88" s="20"/>
    </row>
    <row r="89" spans="2:26" ht="17.25" customHeight="1">
      <c r="B89" s="45"/>
      <c r="E89" s="47"/>
      <c r="F89" s="20"/>
      <c r="G89" s="20"/>
      <c r="H89" s="20"/>
      <c r="I89" s="20"/>
      <c r="J89" s="20"/>
      <c r="K89" s="20"/>
      <c r="L89" s="20"/>
      <c r="M89" s="20"/>
      <c r="N89" s="20"/>
      <c r="O89" s="20"/>
      <c r="P89" s="20"/>
      <c r="Q89" s="20"/>
      <c r="R89" s="20"/>
      <c r="S89" s="20"/>
      <c r="T89" s="20"/>
      <c r="U89" s="20"/>
      <c r="V89" s="20"/>
      <c r="W89" s="20"/>
      <c r="X89" s="20"/>
      <c r="Y89" s="20"/>
      <c r="Z89" s="20"/>
    </row>
    <row r="90" spans="2:26" ht="17.25" customHeight="1">
      <c r="B90" s="45"/>
      <c r="E90" s="47"/>
      <c r="F90" s="20"/>
      <c r="G90" s="20"/>
      <c r="H90" s="20"/>
      <c r="I90" s="20"/>
      <c r="J90" s="20"/>
      <c r="K90" s="20"/>
      <c r="L90" s="20"/>
      <c r="M90" s="20"/>
      <c r="N90" s="20"/>
      <c r="O90" s="20"/>
      <c r="P90" s="20"/>
      <c r="Q90" s="20"/>
      <c r="R90" s="20"/>
      <c r="S90" s="20"/>
      <c r="T90" s="20"/>
      <c r="U90" s="20"/>
      <c r="V90" s="20"/>
      <c r="W90" s="20"/>
      <c r="X90" s="20"/>
      <c r="Y90" s="20"/>
      <c r="Z90" s="20"/>
    </row>
    <row r="91" spans="2:26" ht="17.25" customHeight="1">
      <c r="B91" s="45"/>
      <c r="E91" s="47"/>
      <c r="F91" s="20"/>
      <c r="G91" s="20"/>
      <c r="H91" s="20"/>
      <c r="I91" s="20"/>
      <c r="J91" s="20"/>
      <c r="K91" s="20"/>
      <c r="L91" s="20"/>
      <c r="M91" s="20"/>
      <c r="N91" s="20"/>
      <c r="O91" s="20"/>
      <c r="P91" s="20"/>
      <c r="Q91" s="20"/>
      <c r="R91" s="20"/>
      <c r="S91" s="20"/>
      <c r="T91" s="20"/>
      <c r="U91" s="20"/>
      <c r="V91" s="20"/>
      <c r="W91" s="20"/>
      <c r="X91" s="20"/>
      <c r="Y91" s="20"/>
      <c r="Z91" s="20"/>
    </row>
    <row r="92" spans="2:26" ht="17.25" customHeight="1">
      <c r="B92" s="45"/>
      <c r="E92" s="47"/>
      <c r="F92" s="20"/>
      <c r="G92" s="20"/>
      <c r="H92" s="20"/>
      <c r="I92" s="20"/>
      <c r="J92" s="20"/>
      <c r="K92" s="20"/>
      <c r="L92" s="20"/>
      <c r="M92" s="20"/>
      <c r="N92" s="20"/>
      <c r="O92" s="20"/>
      <c r="P92" s="20"/>
      <c r="Q92" s="20"/>
      <c r="R92" s="20"/>
      <c r="S92" s="20"/>
      <c r="T92" s="20"/>
      <c r="U92" s="20"/>
      <c r="V92" s="20"/>
      <c r="W92" s="20"/>
      <c r="X92" s="20"/>
      <c r="Y92" s="20"/>
      <c r="Z92" s="20"/>
    </row>
    <row r="93" spans="2:26" ht="17.25" customHeight="1">
      <c r="B93" s="45"/>
      <c r="E93" s="47"/>
      <c r="F93" s="20"/>
      <c r="G93" s="20"/>
      <c r="H93" s="20"/>
      <c r="I93" s="20"/>
      <c r="J93" s="20"/>
      <c r="K93" s="20"/>
      <c r="L93" s="20"/>
      <c r="M93" s="20"/>
      <c r="N93" s="20"/>
      <c r="O93" s="20"/>
      <c r="P93" s="20"/>
      <c r="Q93" s="20"/>
      <c r="R93" s="20"/>
      <c r="S93" s="20"/>
      <c r="T93" s="20"/>
      <c r="U93" s="20"/>
      <c r="V93" s="20"/>
      <c r="W93" s="20"/>
      <c r="X93" s="20"/>
      <c r="Y93" s="20"/>
      <c r="Z93" s="20"/>
    </row>
    <row r="94" spans="2:26" ht="17.25" customHeight="1">
      <c r="B94" s="45"/>
      <c r="E94" s="47"/>
      <c r="F94" s="20"/>
      <c r="G94" s="20"/>
      <c r="H94" s="20"/>
      <c r="I94" s="20"/>
      <c r="J94" s="20"/>
      <c r="K94" s="20"/>
      <c r="L94" s="20"/>
      <c r="M94" s="20"/>
      <c r="N94" s="20"/>
      <c r="O94" s="20"/>
      <c r="P94" s="20"/>
      <c r="Q94" s="20"/>
      <c r="R94" s="20"/>
      <c r="S94" s="20"/>
      <c r="T94" s="20"/>
      <c r="U94" s="20"/>
      <c r="V94" s="20"/>
      <c r="W94" s="20"/>
      <c r="X94" s="20"/>
      <c r="Y94" s="20"/>
      <c r="Z94" s="20"/>
    </row>
    <row r="95" spans="2:26" ht="17.25" customHeight="1">
      <c r="B95" s="45"/>
      <c r="E95" s="47"/>
      <c r="F95" s="20"/>
      <c r="G95" s="20"/>
      <c r="H95" s="20"/>
      <c r="I95" s="20"/>
      <c r="J95" s="20"/>
      <c r="K95" s="20"/>
      <c r="L95" s="20"/>
      <c r="M95" s="20"/>
      <c r="N95" s="20"/>
      <c r="O95" s="20"/>
      <c r="P95" s="20"/>
      <c r="Q95" s="20"/>
      <c r="R95" s="20"/>
      <c r="S95" s="20"/>
      <c r="T95" s="20"/>
      <c r="U95" s="20"/>
      <c r="V95" s="20"/>
      <c r="W95" s="20"/>
      <c r="X95" s="20"/>
      <c r="Y95" s="20"/>
      <c r="Z95" s="20"/>
    </row>
    <row r="96" spans="2:26" ht="17.25" customHeight="1">
      <c r="B96" s="45"/>
      <c r="E96" s="47"/>
      <c r="F96" s="20"/>
      <c r="G96" s="20"/>
      <c r="H96" s="20"/>
      <c r="I96" s="20"/>
      <c r="J96" s="20"/>
      <c r="K96" s="20"/>
      <c r="L96" s="20"/>
      <c r="M96" s="20"/>
      <c r="N96" s="20"/>
      <c r="O96" s="20"/>
      <c r="P96" s="20"/>
      <c r="Q96" s="20"/>
      <c r="R96" s="20"/>
      <c r="S96" s="20"/>
      <c r="T96" s="20"/>
      <c r="U96" s="20"/>
      <c r="V96" s="20"/>
      <c r="W96" s="20"/>
      <c r="X96" s="20"/>
      <c r="Y96" s="20"/>
      <c r="Z96" s="20"/>
    </row>
    <row r="97" spans="2:26" ht="17.25" customHeight="1">
      <c r="B97" s="45"/>
      <c r="E97" s="47"/>
      <c r="F97" s="20"/>
      <c r="G97" s="20"/>
      <c r="H97" s="20"/>
      <c r="I97" s="20"/>
      <c r="J97" s="20"/>
      <c r="K97" s="20"/>
      <c r="L97" s="20"/>
      <c r="M97" s="20"/>
      <c r="N97" s="20"/>
      <c r="O97" s="20"/>
      <c r="P97" s="20"/>
      <c r="Q97" s="20"/>
      <c r="R97" s="20"/>
      <c r="S97" s="20"/>
      <c r="T97" s="20"/>
      <c r="U97" s="20"/>
      <c r="V97" s="20"/>
      <c r="W97" s="20"/>
      <c r="X97" s="20"/>
      <c r="Y97" s="20"/>
      <c r="Z97" s="20"/>
    </row>
    <row r="98" spans="2:26" ht="17.25" customHeight="1">
      <c r="B98" s="45"/>
      <c r="E98" s="47"/>
      <c r="F98" s="20"/>
      <c r="G98" s="20"/>
      <c r="H98" s="20"/>
      <c r="I98" s="20"/>
      <c r="J98" s="20"/>
      <c r="K98" s="20"/>
      <c r="L98" s="20"/>
      <c r="M98" s="20"/>
      <c r="N98" s="20"/>
      <c r="O98" s="20"/>
      <c r="P98" s="20"/>
      <c r="Q98" s="20"/>
      <c r="R98" s="20"/>
      <c r="S98" s="20"/>
      <c r="T98" s="20"/>
      <c r="U98" s="20"/>
      <c r="V98" s="20"/>
      <c r="W98" s="20"/>
      <c r="X98" s="20"/>
      <c r="Y98" s="20"/>
      <c r="Z98" s="20"/>
    </row>
    <row r="99" spans="2:26" ht="17.25" customHeight="1">
      <c r="B99" s="45"/>
      <c r="E99" s="47"/>
      <c r="F99" s="20"/>
      <c r="G99" s="20"/>
      <c r="H99" s="20"/>
      <c r="I99" s="20"/>
      <c r="J99" s="20"/>
      <c r="K99" s="20"/>
      <c r="L99" s="20"/>
      <c r="M99" s="20"/>
      <c r="N99" s="20"/>
      <c r="O99" s="20"/>
      <c r="P99" s="20"/>
      <c r="Q99" s="20"/>
      <c r="R99" s="20"/>
      <c r="S99" s="20"/>
      <c r="T99" s="20"/>
      <c r="U99" s="20"/>
      <c r="V99" s="20"/>
      <c r="W99" s="20"/>
      <c r="X99" s="20"/>
      <c r="Y99" s="20"/>
      <c r="Z99" s="20"/>
    </row>
    <row r="100" spans="2:26" ht="17.25" customHeight="1">
      <c r="B100" s="45"/>
      <c r="E100" s="47"/>
      <c r="F100" s="20"/>
      <c r="G100" s="20"/>
      <c r="H100" s="20"/>
      <c r="I100" s="20"/>
      <c r="J100" s="20"/>
      <c r="K100" s="20"/>
      <c r="L100" s="20"/>
      <c r="M100" s="20"/>
      <c r="N100" s="20"/>
      <c r="O100" s="20"/>
      <c r="P100" s="20"/>
      <c r="Q100" s="20"/>
      <c r="R100" s="20"/>
      <c r="S100" s="20"/>
      <c r="T100" s="20"/>
      <c r="U100" s="20"/>
      <c r="V100" s="20"/>
      <c r="W100" s="20"/>
      <c r="X100" s="20"/>
      <c r="Y100" s="20"/>
      <c r="Z100" s="20"/>
    </row>
    <row r="101" spans="2:26" ht="17.25" customHeight="1">
      <c r="B101" s="45"/>
      <c r="E101" s="47"/>
      <c r="F101" s="20"/>
      <c r="G101" s="20"/>
      <c r="H101" s="20"/>
      <c r="I101" s="20"/>
      <c r="J101" s="20"/>
      <c r="K101" s="20"/>
      <c r="L101" s="20"/>
      <c r="M101" s="20"/>
      <c r="N101" s="20"/>
      <c r="O101" s="20"/>
      <c r="P101" s="20"/>
      <c r="Q101" s="20"/>
      <c r="R101" s="20"/>
      <c r="S101" s="20"/>
      <c r="T101" s="20"/>
      <c r="U101" s="20"/>
      <c r="V101" s="20"/>
      <c r="W101" s="20"/>
      <c r="X101" s="20"/>
      <c r="Y101" s="20"/>
      <c r="Z101" s="20"/>
    </row>
    <row r="102" spans="2:26" ht="17.25" customHeight="1">
      <c r="B102" s="45"/>
      <c r="E102" s="47"/>
      <c r="F102" s="20"/>
      <c r="G102" s="20"/>
      <c r="H102" s="20"/>
      <c r="I102" s="20"/>
      <c r="J102" s="20"/>
      <c r="K102" s="20"/>
      <c r="L102" s="20"/>
      <c r="M102" s="20"/>
      <c r="N102" s="20"/>
      <c r="O102" s="20"/>
      <c r="P102" s="20"/>
      <c r="Q102" s="20"/>
      <c r="R102" s="20"/>
      <c r="S102" s="20"/>
      <c r="T102" s="20"/>
      <c r="U102" s="20"/>
      <c r="V102" s="20"/>
      <c r="W102" s="20"/>
      <c r="X102" s="20"/>
      <c r="Y102" s="20"/>
      <c r="Z102" s="20"/>
    </row>
    <row r="103" spans="2:26" ht="17.25" customHeight="1">
      <c r="B103" s="45"/>
      <c r="E103" s="47"/>
      <c r="F103" s="20"/>
      <c r="G103" s="20"/>
      <c r="H103" s="20"/>
      <c r="I103" s="20"/>
      <c r="J103" s="20"/>
      <c r="K103" s="20"/>
      <c r="L103" s="20"/>
      <c r="M103" s="20"/>
      <c r="N103" s="20"/>
      <c r="O103" s="20"/>
      <c r="P103" s="20"/>
      <c r="Q103" s="20"/>
      <c r="R103" s="20"/>
      <c r="S103" s="20"/>
      <c r="T103" s="20"/>
      <c r="U103" s="20"/>
      <c r="V103" s="20"/>
      <c r="W103" s="20"/>
      <c r="X103" s="20"/>
      <c r="Y103" s="20"/>
      <c r="Z103" s="20"/>
    </row>
    <row r="104" spans="2:26" ht="17.25" customHeight="1">
      <c r="B104" s="45"/>
      <c r="E104" s="47"/>
      <c r="F104" s="20"/>
      <c r="G104" s="20"/>
      <c r="H104" s="20"/>
      <c r="I104" s="20"/>
      <c r="J104" s="20"/>
      <c r="K104" s="20"/>
      <c r="L104" s="20"/>
      <c r="M104" s="20"/>
      <c r="N104" s="20"/>
      <c r="O104" s="20"/>
      <c r="P104" s="20"/>
      <c r="Q104" s="20"/>
      <c r="R104" s="20"/>
      <c r="S104" s="20"/>
      <c r="T104" s="20"/>
      <c r="U104" s="20"/>
      <c r="V104" s="20"/>
      <c r="W104" s="20"/>
      <c r="X104" s="20"/>
      <c r="Y104" s="20"/>
      <c r="Z104" s="20"/>
    </row>
    <row r="105" spans="2:26" ht="17.25" customHeight="1">
      <c r="B105" s="45"/>
      <c r="E105" s="47"/>
      <c r="F105" s="20"/>
      <c r="G105" s="20"/>
      <c r="H105" s="20"/>
      <c r="I105" s="20"/>
      <c r="J105" s="20"/>
      <c r="K105" s="20"/>
      <c r="L105" s="20"/>
      <c r="M105" s="20"/>
      <c r="N105" s="20"/>
      <c r="O105" s="20"/>
      <c r="P105" s="20"/>
      <c r="Q105" s="20"/>
      <c r="R105" s="20"/>
      <c r="S105" s="20"/>
      <c r="T105" s="20"/>
      <c r="U105" s="20"/>
      <c r="V105" s="20"/>
      <c r="W105" s="20"/>
      <c r="X105" s="20"/>
      <c r="Y105" s="20"/>
      <c r="Z105" s="20"/>
    </row>
    <row r="106" spans="2:26" ht="17.25" customHeight="1">
      <c r="B106" s="45"/>
      <c r="E106" s="47"/>
      <c r="F106" s="20"/>
      <c r="G106" s="20"/>
      <c r="H106" s="20"/>
      <c r="I106" s="20"/>
      <c r="J106" s="20"/>
      <c r="K106" s="20"/>
      <c r="L106" s="20"/>
      <c r="M106" s="20"/>
      <c r="N106" s="20"/>
      <c r="O106" s="20"/>
      <c r="P106" s="20"/>
      <c r="Q106" s="20"/>
      <c r="R106" s="20"/>
      <c r="S106" s="20"/>
      <c r="T106" s="20"/>
      <c r="U106" s="20"/>
      <c r="V106" s="20"/>
      <c r="W106" s="20"/>
      <c r="X106" s="20"/>
      <c r="Y106" s="20"/>
      <c r="Z106" s="20"/>
    </row>
    <row r="107" spans="2:26" ht="17.25" customHeight="1">
      <c r="B107" s="45"/>
      <c r="E107" s="47"/>
      <c r="F107" s="20"/>
      <c r="G107" s="20"/>
      <c r="H107" s="20"/>
      <c r="I107" s="20"/>
      <c r="J107" s="20"/>
      <c r="K107" s="20"/>
      <c r="L107" s="20"/>
      <c r="M107" s="20"/>
      <c r="N107" s="20"/>
      <c r="O107" s="20"/>
      <c r="P107" s="20"/>
      <c r="Q107" s="20"/>
      <c r="R107" s="20"/>
      <c r="S107" s="20"/>
      <c r="T107" s="20"/>
      <c r="U107" s="20"/>
      <c r="V107" s="20"/>
      <c r="W107" s="20"/>
      <c r="X107" s="20"/>
      <c r="Y107" s="20"/>
      <c r="Z107" s="20"/>
    </row>
    <row r="108" spans="2:26" ht="17.25" customHeight="1">
      <c r="B108" s="45"/>
      <c r="E108" s="47"/>
      <c r="F108" s="20"/>
      <c r="G108" s="20"/>
      <c r="H108" s="20"/>
      <c r="I108" s="20"/>
      <c r="J108" s="20"/>
      <c r="K108" s="20"/>
      <c r="L108" s="20"/>
      <c r="M108" s="20"/>
      <c r="N108" s="20"/>
      <c r="O108" s="20"/>
      <c r="P108" s="20"/>
      <c r="Q108" s="20"/>
      <c r="R108" s="20"/>
      <c r="S108" s="20"/>
      <c r="T108" s="20"/>
      <c r="U108" s="20"/>
      <c r="V108" s="20"/>
      <c r="W108" s="20"/>
      <c r="X108" s="20"/>
      <c r="Y108" s="20"/>
      <c r="Z108" s="20"/>
    </row>
    <row r="109" spans="2:26" ht="17.25" customHeight="1">
      <c r="B109" s="45"/>
      <c r="E109" s="47"/>
      <c r="F109" s="20"/>
      <c r="G109" s="20"/>
      <c r="H109" s="20"/>
      <c r="I109" s="20"/>
      <c r="J109" s="20"/>
      <c r="K109" s="20"/>
      <c r="L109" s="20"/>
      <c r="M109" s="20"/>
      <c r="N109" s="20"/>
      <c r="O109" s="20"/>
      <c r="P109" s="20"/>
      <c r="Q109" s="20"/>
      <c r="R109" s="20"/>
      <c r="S109" s="20"/>
      <c r="T109" s="20"/>
      <c r="U109" s="20"/>
      <c r="V109" s="20"/>
      <c r="W109" s="20"/>
      <c r="X109" s="20"/>
      <c r="Y109" s="20"/>
      <c r="Z109" s="20"/>
    </row>
    <row r="110" spans="2:26" ht="17.25" customHeight="1">
      <c r="B110" s="45"/>
      <c r="E110" s="47"/>
      <c r="F110" s="20"/>
      <c r="G110" s="20"/>
      <c r="H110" s="20"/>
      <c r="I110" s="20"/>
      <c r="J110" s="20"/>
      <c r="K110" s="20"/>
      <c r="L110" s="20"/>
      <c r="M110" s="20"/>
      <c r="N110" s="20"/>
      <c r="O110" s="20"/>
      <c r="P110" s="20"/>
      <c r="Q110" s="20"/>
      <c r="R110" s="20"/>
      <c r="S110" s="20"/>
      <c r="T110" s="20"/>
      <c r="U110" s="20"/>
      <c r="V110" s="20"/>
      <c r="W110" s="20"/>
      <c r="X110" s="20"/>
      <c r="Y110" s="20"/>
      <c r="Z110" s="20"/>
    </row>
    <row r="111" spans="2:26" ht="17.25" customHeight="1">
      <c r="B111" s="45"/>
      <c r="E111" s="47"/>
      <c r="F111" s="20"/>
      <c r="G111" s="20"/>
      <c r="H111" s="20"/>
      <c r="I111" s="20"/>
      <c r="J111" s="20"/>
      <c r="K111" s="20"/>
      <c r="L111" s="20"/>
      <c r="M111" s="20"/>
      <c r="N111" s="20"/>
      <c r="O111" s="20"/>
      <c r="P111" s="20"/>
      <c r="Q111" s="20"/>
      <c r="R111" s="20"/>
      <c r="S111" s="20"/>
      <c r="T111" s="20"/>
      <c r="U111" s="20"/>
      <c r="V111" s="20"/>
      <c r="W111" s="20"/>
      <c r="X111" s="20"/>
      <c r="Y111" s="20"/>
      <c r="Z111" s="20"/>
    </row>
    <row r="112" spans="2:26" ht="17.25" customHeight="1">
      <c r="B112" s="45"/>
      <c r="E112" s="47"/>
      <c r="F112" s="20"/>
      <c r="G112" s="20"/>
      <c r="H112" s="20"/>
      <c r="I112" s="20"/>
      <c r="J112" s="20"/>
      <c r="K112" s="20"/>
      <c r="L112" s="20"/>
      <c r="M112" s="20"/>
      <c r="N112" s="20"/>
      <c r="O112" s="20"/>
      <c r="P112" s="20"/>
      <c r="Q112" s="20"/>
      <c r="R112" s="20"/>
      <c r="S112" s="20"/>
      <c r="T112" s="20"/>
      <c r="U112" s="20"/>
      <c r="V112" s="20"/>
      <c r="W112" s="20"/>
      <c r="X112" s="20"/>
      <c r="Y112" s="20"/>
      <c r="Z112" s="20"/>
    </row>
    <row r="113" spans="2:26" ht="17.25" customHeight="1">
      <c r="B113" s="45"/>
      <c r="E113" s="47"/>
      <c r="F113" s="20"/>
      <c r="G113" s="20"/>
      <c r="H113" s="20"/>
      <c r="I113" s="20"/>
      <c r="J113" s="20"/>
      <c r="K113" s="20"/>
      <c r="L113" s="20"/>
      <c r="M113" s="20"/>
      <c r="N113" s="20"/>
      <c r="O113" s="20"/>
      <c r="P113" s="20"/>
      <c r="Q113" s="20"/>
      <c r="R113" s="20"/>
      <c r="S113" s="20"/>
      <c r="T113" s="20"/>
      <c r="U113" s="20"/>
      <c r="V113" s="20"/>
      <c r="W113" s="20"/>
      <c r="X113" s="20"/>
      <c r="Y113" s="20"/>
      <c r="Z113" s="20"/>
    </row>
    <row r="114" spans="2:26" ht="17.25" customHeight="1">
      <c r="B114" s="45"/>
      <c r="E114" s="47"/>
      <c r="F114" s="20"/>
      <c r="G114" s="20"/>
      <c r="H114" s="20"/>
      <c r="I114" s="20"/>
      <c r="J114" s="20"/>
      <c r="K114" s="20"/>
      <c r="L114" s="20"/>
      <c r="M114" s="20"/>
      <c r="N114" s="20"/>
      <c r="O114" s="20"/>
      <c r="P114" s="20"/>
      <c r="Q114" s="20"/>
      <c r="R114" s="20"/>
      <c r="S114" s="20"/>
      <c r="T114" s="20"/>
      <c r="U114" s="20"/>
      <c r="V114" s="20"/>
      <c r="W114" s="20"/>
      <c r="X114" s="20"/>
      <c r="Y114" s="20"/>
      <c r="Z114" s="20"/>
    </row>
    <row r="115" spans="2:26" ht="17.25" customHeight="1">
      <c r="B115" s="45"/>
      <c r="E115" s="47"/>
      <c r="F115" s="20"/>
      <c r="G115" s="20"/>
      <c r="H115" s="20"/>
      <c r="I115" s="20"/>
      <c r="J115" s="20"/>
      <c r="K115" s="20"/>
      <c r="L115" s="20"/>
      <c r="M115" s="20"/>
      <c r="N115" s="20"/>
      <c r="O115" s="20"/>
      <c r="P115" s="20"/>
      <c r="Q115" s="20"/>
      <c r="R115" s="20"/>
      <c r="S115" s="20"/>
      <c r="T115" s="20"/>
      <c r="U115" s="20"/>
      <c r="V115" s="20"/>
      <c r="W115" s="20"/>
      <c r="X115" s="20"/>
      <c r="Y115" s="20"/>
      <c r="Z115" s="20"/>
    </row>
    <row r="116" spans="2:26" ht="17.25" customHeight="1">
      <c r="B116" s="45"/>
      <c r="E116" s="47"/>
      <c r="F116" s="20"/>
      <c r="G116" s="20"/>
      <c r="H116" s="20"/>
      <c r="I116" s="20"/>
      <c r="J116" s="20"/>
      <c r="K116" s="20"/>
      <c r="L116" s="20"/>
      <c r="M116" s="20"/>
      <c r="N116" s="20"/>
      <c r="O116" s="20"/>
      <c r="P116" s="20"/>
      <c r="Q116" s="20"/>
      <c r="R116" s="20"/>
      <c r="S116" s="20"/>
      <c r="T116" s="20"/>
      <c r="U116" s="20"/>
      <c r="V116" s="20"/>
      <c r="W116" s="20"/>
      <c r="X116" s="20"/>
      <c r="Y116" s="20"/>
      <c r="Z116" s="20"/>
    </row>
    <row r="117" spans="2:26" ht="17.25" customHeight="1">
      <c r="B117" s="45"/>
      <c r="E117" s="47"/>
      <c r="F117" s="20"/>
      <c r="G117" s="20"/>
      <c r="H117" s="20"/>
      <c r="I117" s="20"/>
      <c r="J117" s="20"/>
      <c r="K117" s="20"/>
      <c r="L117" s="20"/>
      <c r="M117" s="20"/>
      <c r="N117" s="20"/>
      <c r="O117" s="20"/>
      <c r="P117" s="20"/>
      <c r="Q117" s="20"/>
      <c r="R117" s="20"/>
      <c r="S117" s="20"/>
      <c r="T117" s="20"/>
      <c r="U117" s="20"/>
      <c r="V117" s="20"/>
      <c r="W117" s="20"/>
      <c r="X117" s="20"/>
      <c r="Y117" s="20"/>
      <c r="Z117" s="20"/>
    </row>
    <row r="118" spans="2:26" ht="17.25" customHeight="1">
      <c r="B118" s="45"/>
      <c r="E118" s="47"/>
      <c r="F118" s="20"/>
      <c r="G118" s="20"/>
      <c r="H118" s="20"/>
      <c r="I118" s="20"/>
      <c r="J118" s="20"/>
      <c r="K118" s="20"/>
      <c r="L118" s="20"/>
      <c r="M118" s="20"/>
      <c r="N118" s="20"/>
      <c r="O118" s="20"/>
      <c r="P118" s="20"/>
      <c r="Q118" s="20"/>
      <c r="R118" s="20"/>
      <c r="S118" s="20"/>
      <c r="T118" s="20"/>
      <c r="U118" s="20"/>
      <c r="V118" s="20"/>
      <c r="W118" s="20"/>
      <c r="X118" s="20"/>
      <c r="Y118" s="20"/>
      <c r="Z118" s="20"/>
    </row>
    <row r="119" spans="2:26" ht="17.25" customHeight="1">
      <c r="B119" s="45"/>
      <c r="E119" s="47"/>
      <c r="F119" s="20"/>
      <c r="G119" s="20"/>
      <c r="H119" s="20"/>
      <c r="I119" s="20"/>
      <c r="J119" s="20"/>
      <c r="K119" s="20"/>
      <c r="L119" s="20"/>
      <c r="M119" s="20"/>
      <c r="N119" s="20"/>
      <c r="O119" s="20"/>
      <c r="P119" s="20"/>
      <c r="Q119" s="20"/>
      <c r="R119" s="20"/>
      <c r="S119" s="20"/>
      <c r="T119" s="20"/>
      <c r="U119" s="20"/>
      <c r="V119" s="20"/>
      <c r="W119" s="20"/>
      <c r="X119" s="20"/>
      <c r="Y119" s="20"/>
      <c r="Z119" s="20"/>
    </row>
    <row r="120" spans="2:26" ht="17.25" customHeight="1">
      <c r="B120" s="45"/>
      <c r="E120" s="47"/>
      <c r="F120" s="20"/>
      <c r="G120" s="20"/>
      <c r="H120" s="20"/>
      <c r="I120" s="20"/>
      <c r="J120" s="20"/>
      <c r="K120" s="20"/>
      <c r="L120" s="20"/>
      <c r="M120" s="20"/>
      <c r="N120" s="20"/>
      <c r="O120" s="20"/>
      <c r="P120" s="20"/>
      <c r="Q120" s="20"/>
      <c r="R120" s="20"/>
      <c r="S120" s="20"/>
      <c r="T120" s="20"/>
      <c r="U120" s="20"/>
      <c r="V120" s="20"/>
      <c r="W120" s="20"/>
      <c r="X120" s="20"/>
      <c r="Y120" s="20"/>
      <c r="Z120" s="20"/>
    </row>
    <row r="121" spans="2:26" ht="17.25" customHeight="1">
      <c r="B121" s="45"/>
      <c r="E121" s="47"/>
      <c r="F121" s="20"/>
      <c r="G121" s="20"/>
      <c r="H121" s="20"/>
      <c r="I121" s="20"/>
      <c r="J121" s="20"/>
      <c r="K121" s="20"/>
      <c r="L121" s="20"/>
      <c r="M121" s="20"/>
      <c r="N121" s="20"/>
      <c r="O121" s="20"/>
      <c r="P121" s="20"/>
      <c r="Q121" s="20"/>
      <c r="R121" s="20"/>
      <c r="S121" s="20"/>
      <c r="T121" s="20"/>
      <c r="U121" s="20"/>
      <c r="V121" s="20"/>
      <c r="W121" s="20"/>
      <c r="X121" s="20"/>
      <c r="Y121" s="20"/>
      <c r="Z121" s="20"/>
    </row>
    <row r="122" spans="2:26" ht="17.25" customHeight="1">
      <c r="B122" s="45"/>
      <c r="E122" s="47"/>
      <c r="F122" s="20"/>
      <c r="G122" s="20"/>
      <c r="H122" s="20"/>
      <c r="I122" s="20"/>
      <c r="J122" s="20"/>
      <c r="K122" s="20"/>
      <c r="L122" s="20"/>
      <c r="M122" s="20"/>
      <c r="N122" s="20"/>
      <c r="O122" s="20"/>
      <c r="P122" s="20"/>
      <c r="Q122" s="20"/>
      <c r="R122" s="20"/>
      <c r="S122" s="20"/>
      <c r="T122" s="20"/>
      <c r="U122" s="20"/>
      <c r="V122" s="20"/>
      <c r="W122" s="20"/>
      <c r="X122" s="20"/>
      <c r="Y122" s="20"/>
      <c r="Z122" s="20"/>
    </row>
    <row r="123" spans="2:26" ht="17.25" customHeight="1">
      <c r="B123" s="45"/>
      <c r="E123" s="47"/>
      <c r="F123" s="20"/>
      <c r="G123" s="20"/>
      <c r="H123" s="20"/>
      <c r="I123" s="20"/>
      <c r="J123" s="20"/>
      <c r="K123" s="20"/>
      <c r="L123" s="20"/>
      <c r="M123" s="20"/>
      <c r="N123" s="20"/>
      <c r="O123" s="20"/>
      <c r="P123" s="20"/>
      <c r="Q123" s="20"/>
      <c r="R123" s="20"/>
      <c r="S123" s="20"/>
      <c r="T123" s="20"/>
      <c r="U123" s="20"/>
      <c r="V123" s="20"/>
      <c r="W123" s="20"/>
      <c r="X123" s="20"/>
      <c r="Y123" s="20"/>
      <c r="Z123" s="20"/>
    </row>
    <row r="124" spans="2:26" ht="17.25" customHeight="1">
      <c r="B124" s="45"/>
      <c r="E124" s="47"/>
      <c r="F124" s="20"/>
      <c r="G124" s="20"/>
      <c r="H124" s="20"/>
      <c r="I124" s="20"/>
      <c r="J124" s="20"/>
      <c r="K124" s="20"/>
      <c r="L124" s="20"/>
      <c r="M124" s="20"/>
      <c r="N124" s="20"/>
      <c r="O124" s="20"/>
      <c r="P124" s="20"/>
      <c r="Q124" s="20"/>
      <c r="R124" s="20"/>
      <c r="S124" s="20"/>
      <c r="T124" s="20"/>
      <c r="U124" s="20"/>
      <c r="V124" s="20"/>
      <c r="W124" s="20"/>
      <c r="X124" s="20"/>
      <c r="Y124" s="20"/>
      <c r="Z124" s="20"/>
    </row>
    <row r="125" spans="2:26" ht="17.25" customHeight="1">
      <c r="B125" s="45"/>
      <c r="E125" s="47"/>
      <c r="F125" s="20"/>
      <c r="G125" s="20"/>
      <c r="H125" s="20"/>
      <c r="I125" s="20"/>
      <c r="J125" s="20"/>
      <c r="K125" s="20"/>
      <c r="L125" s="20"/>
      <c r="M125" s="20"/>
      <c r="N125" s="20"/>
      <c r="O125" s="20"/>
      <c r="P125" s="20"/>
      <c r="Q125" s="20"/>
      <c r="R125" s="20"/>
      <c r="S125" s="20"/>
      <c r="T125" s="20"/>
      <c r="U125" s="20"/>
      <c r="V125" s="20"/>
      <c r="W125" s="20"/>
      <c r="X125" s="20"/>
      <c r="Y125" s="20"/>
      <c r="Z125" s="20"/>
    </row>
    <row r="126" spans="2:26" ht="17.25" customHeight="1">
      <c r="B126" s="45"/>
      <c r="E126" s="47"/>
      <c r="F126" s="20"/>
      <c r="G126" s="20"/>
      <c r="H126" s="20"/>
      <c r="I126" s="20"/>
      <c r="J126" s="20"/>
      <c r="K126" s="20"/>
      <c r="L126" s="20"/>
      <c r="M126" s="20"/>
      <c r="N126" s="20"/>
      <c r="O126" s="20"/>
      <c r="P126" s="20"/>
      <c r="Q126" s="20"/>
      <c r="R126" s="20"/>
      <c r="S126" s="20"/>
      <c r="T126" s="20"/>
      <c r="U126" s="20"/>
      <c r="V126" s="20"/>
      <c r="W126" s="20"/>
      <c r="X126" s="20"/>
      <c r="Y126" s="20"/>
      <c r="Z126" s="20"/>
    </row>
    <row r="127" spans="2:26" ht="17.25" customHeight="1">
      <c r="B127" s="45"/>
      <c r="E127" s="47"/>
      <c r="F127" s="20"/>
      <c r="G127" s="20"/>
      <c r="H127" s="20"/>
      <c r="I127" s="20"/>
      <c r="J127" s="20"/>
      <c r="K127" s="20"/>
      <c r="L127" s="20"/>
      <c r="M127" s="20"/>
      <c r="N127" s="20"/>
      <c r="O127" s="20"/>
      <c r="P127" s="20"/>
      <c r="Q127" s="20"/>
      <c r="R127" s="20"/>
      <c r="S127" s="20"/>
      <c r="T127" s="20"/>
      <c r="U127" s="20"/>
      <c r="V127" s="20"/>
      <c r="W127" s="20"/>
      <c r="X127" s="20"/>
      <c r="Y127" s="20"/>
      <c r="Z127" s="20"/>
    </row>
    <row r="128" spans="2:26" ht="17.25" customHeight="1">
      <c r="B128" s="45"/>
      <c r="E128" s="47"/>
      <c r="F128" s="20"/>
      <c r="G128" s="20"/>
      <c r="H128" s="20"/>
      <c r="I128" s="20"/>
      <c r="J128" s="20"/>
      <c r="K128" s="20"/>
      <c r="L128" s="20"/>
      <c r="M128" s="20"/>
      <c r="N128" s="20"/>
      <c r="O128" s="20"/>
      <c r="P128" s="20"/>
      <c r="Q128" s="20"/>
      <c r="R128" s="20"/>
      <c r="S128" s="20"/>
      <c r="T128" s="20"/>
      <c r="U128" s="20"/>
      <c r="V128" s="20"/>
      <c r="W128" s="20"/>
      <c r="X128" s="20"/>
      <c r="Y128" s="20"/>
      <c r="Z128" s="20"/>
    </row>
    <row r="129" spans="2:26" ht="17.25" customHeight="1">
      <c r="B129" s="45"/>
      <c r="E129" s="47"/>
      <c r="F129" s="20"/>
      <c r="G129" s="20"/>
      <c r="H129" s="20"/>
      <c r="I129" s="20"/>
      <c r="J129" s="20"/>
      <c r="K129" s="20"/>
      <c r="L129" s="20"/>
      <c r="M129" s="20"/>
      <c r="N129" s="20"/>
      <c r="O129" s="20"/>
      <c r="P129" s="20"/>
      <c r="Q129" s="20"/>
      <c r="R129" s="20"/>
      <c r="S129" s="20"/>
      <c r="T129" s="20"/>
      <c r="U129" s="20"/>
      <c r="V129" s="20"/>
      <c r="W129" s="20"/>
      <c r="X129" s="20"/>
      <c r="Y129" s="20"/>
      <c r="Z129" s="20"/>
    </row>
    <row r="130" spans="2:26" ht="17.25" customHeight="1">
      <c r="B130" s="45"/>
      <c r="E130" s="47"/>
      <c r="F130" s="20"/>
      <c r="G130" s="20"/>
      <c r="H130" s="20"/>
      <c r="I130" s="20"/>
      <c r="J130" s="20"/>
      <c r="K130" s="20"/>
      <c r="L130" s="20"/>
      <c r="M130" s="20"/>
      <c r="N130" s="20"/>
      <c r="O130" s="20"/>
      <c r="P130" s="20"/>
      <c r="Q130" s="20"/>
      <c r="R130" s="20"/>
      <c r="S130" s="20"/>
      <c r="T130" s="20"/>
      <c r="U130" s="20"/>
      <c r="V130" s="20"/>
      <c r="W130" s="20"/>
      <c r="X130" s="20"/>
      <c r="Y130" s="20"/>
      <c r="Z130" s="20"/>
    </row>
    <row r="131" spans="2:26" ht="17.25" customHeight="1">
      <c r="B131" s="45"/>
      <c r="E131" s="47"/>
      <c r="F131" s="20"/>
      <c r="G131" s="20"/>
      <c r="H131" s="20"/>
      <c r="I131" s="20"/>
      <c r="J131" s="20"/>
      <c r="K131" s="20"/>
      <c r="L131" s="20"/>
      <c r="M131" s="20"/>
      <c r="N131" s="20"/>
      <c r="O131" s="20"/>
      <c r="P131" s="20"/>
      <c r="Q131" s="20"/>
      <c r="R131" s="20"/>
      <c r="S131" s="20"/>
      <c r="T131" s="20"/>
      <c r="U131" s="20"/>
      <c r="V131" s="20"/>
      <c r="W131" s="20"/>
      <c r="X131" s="20"/>
      <c r="Y131" s="20"/>
      <c r="Z131" s="20"/>
    </row>
    <row r="132" spans="2:26" ht="17.25" customHeight="1">
      <c r="B132" s="45"/>
      <c r="E132" s="47"/>
      <c r="F132" s="20"/>
      <c r="G132" s="20"/>
      <c r="H132" s="20"/>
      <c r="I132" s="20"/>
      <c r="J132" s="20"/>
      <c r="K132" s="20"/>
      <c r="L132" s="20"/>
      <c r="M132" s="20"/>
      <c r="N132" s="20"/>
      <c r="O132" s="20"/>
      <c r="P132" s="20"/>
      <c r="Q132" s="20"/>
      <c r="R132" s="20"/>
      <c r="S132" s="20"/>
      <c r="T132" s="20"/>
      <c r="U132" s="20"/>
      <c r="V132" s="20"/>
      <c r="W132" s="20"/>
      <c r="X132" s="20"/>
      <c r="Y132" s="20"/>
      <c r="Z132" s="20"/>
    </row>
    <row r="133" spans="2:26" ht="17.25" customHeight="1">
      <c r="B133" s="45"/>
      <c r="E133" s="47"/>
      <c r="F133" s="20"/>
      <c r="G133" s="20"/>
      <c r="H133" s="20"/>
      <c r="I133" s="20"/>
      <c r="J133" s="20"/>
      <c r="K133" s="20"/>
      <c r="L133" s="20"/>
      <c r="M133" s="20"/>
      <c r="N133" s="20"/>
      <c r="O133" s="20"/>
      <c r="P133" s="20"/>
      <c r="Q133" s="20"/>
      <c r="R133" s="20"/>
      <c r="S133" s="20"/>
      <c r="T133" s="20"/>
      <c r="U133" s="20"/>
      <c r="V133" s="20"/>
      <c r="W133" s="20"/>
      <c r="X133" s="20"/>
      <c r="Y133" s="20"/>
      <c r="Z133" s="20"/>
    </row>
    <row r="134" spans="2:26" ht="17.25" customHeight="1">
      <c r="B134" s="45"/>
      <c r="E134" s="47"/>
      <c r="F134" s="20"/>
      <c r="G134" s="20"/>
      <c r="H134" s="20"/>
      <c r="I134" s="20"/>
      <c r="J134" s="20"/>
      <c r="K134" s="20"/>
      <c r="L134" s="20"/>
      <c r="M134" s="20"/>
      <c r="N134" s="20"/>
      <c r="O134" s="20"/>
      <c r="P134" s="20"/>
      <c r="Q134" s="20"/>
      <c r="R134" s="20"/>
      <c r="S134" s="20"/>
      <c r="T134" s="20"/>
      <c r="U134" s="20"/>
      <c r="V134" s="20"/>
      <c r="W134" s="20"/>
      <c r="X134" s="20"/>
      <c r="Y134" s="20"/>
      <c r="Z134" s="20"/>
    </row>
    <row r="135" spans="2:26" ht="17.25" customHeight="1">
      <c r="B135" s="45"/>
      <c r="E135" s="47"/>
      <c r="F135" s="20"/>
      <c r="G135" s="20"/>
      <c r="H135" s="20"/>
      <c r="I135" s="20"/>
      <c r="J135" s="20"/>
      <c r="K135" s="20"/>
      <c r="L135" s="20"/>
      <c r="M135" s="20"/>
      <c r="N135" s="20"/>
      <c r="O135" s="20"/>
      <c r="P135" s="20"/>
      <c r="Q135" s="20"/>
      <c r="R135" s="20"/>
      <c r="S135" s="20"/>
      <c r="T135" s="20"/>
      <c r="U135" s="20"/>
      <c r="V135" s="20"/>
      <c r="W135" s="20"/>
      <c r="X135" s="20"/>
      <c r="Y135" s="20"/>
      <c r="Z135" s="20"/>
    </row>
    <row r="136" spans="2:26" ht="17.25" customHeight="1">
      <c r="B136" s="45"/>
      <c r="E136" s="47"/>
      <c r="F136" s="20"/>
      <c r="G136" s="20"/>
      <c r="H136" s="20"/>
      <c r="I136" s="20"/>
      <c r="J136" s="20"/>
      <c r="K136" s="20"/>
      <c r="L136" s="20"/>
      <c r="M136" s="20"/>
      <c r="N136" s="20"/>
      <c r="O136" s="20"/>
      <c r="P136" s="20"/>
      <c r="Q136" s="20"/>
      <c r="R136" s="20"/>
      <c r="S136" s="20"/>
      <c r="T136" s="20"/>
      <c r="U136" s="20"/>
      <c r="V136" s="20"/>
      <c r="W136" s="20"/>
      <c r="X136" s="20"/>
      <c r="Y136" s="20"/>
      <c r="Z136" s="20"/>
    </row>
    <row r="137" spans="2:26" ht="17.25" customHeight="1">
      <c r="B137" s="45"/>
      <c r="E137" s="47"/>
      <c r="F137" s="20"/>
      <c r="G137" s="20"/>
      <c r="H137" s="20"/>
      <c r="I137" s="20"/>
      <c r="J137" s="20"/>
      <c r="K137" s="20"/>
      <c r="L137" s="20"/>
      <c r="M137" s="20"/>
      <c r="N137" s="20"/>
      <c r="O137" s="20"/>
      <c r="P137" s="20"/>
      <c r="Q137" s="20"/>
      <c r="R137" s="20"/>
      <c r="S137" s="20"/>
      <c r="T137" s="20"/>
      <c r="U137" s="20"/>
      <c r="V137" s="20"/>
      <c r="W137" s="20"/>
      <c r="X137" s="20"/>
      <c r="Y137" s="20"/>
      <c r="Z137" s="20"/>
    </row>
    <row r="138" spans="2:26" ht="17.25" customHeight="1">
      <c r="B138" s="45"/>
      <c r="E138" s="47"/>
      <c r="F138" s="20"/>
      <c r="G138" s="20"/>
      <c r="H138" s="20"/>
      <c r="I138" s="20"/>
      <c r="J138" s="20"/>
      <c r="K138" s="20"/>
      <c r="L138" s="20"/>
      <c r="M138" s="20"/>
      <c r="N138" s="20"/>
      <c r="O138" s="20"/>
      <c r="P138" s="20"/>
      <c r="Q138" s="20"/>
      <c r="R138" s="20"/>
      <c r="S138" s="20"/>
      <c r="T138" s="20"/>
      <c r="U138" s="20"/>
      <c r="V138" s="20"/>
      <c r="W138" s="20"/>
      <c r="X138" s="20"/>
      <c r="Y138" s="20"/>
      <c r="Z138" s="20"/>
    </row>
    <row r="139" spans="2:26" ht="17.25" customHeight="1">
      <c r="B139" s="45"/>
      <c r="E139" s="47"/>
      <c r="F139" s="20"/>
      <c r="G139" s="20"/>
      <c r="H139" s="20"/>
      <c r="I139" s="20"/>
      <c r="J139" s="20"/>
      <c r="K139" s="20"/>
      <c r="L139" s="20"/>
      <c r="M139" s="20"/>
      <c r="N139" s="20"/>
      <c r="O139" s="20"/>
      <c r="P139" s="20"/>
      <c r="Q139" s="20"/>
      <c r="R139" s="20"/>
      <c r="S139" s="20"/>
      <c r="T139" s="20"/>
      <c r="U139" s="20"/>
      <c r="V139" s="20"/>
      <c r="W139" s="20"/>
      <c r="X139" s="20"/>
      <c r="Y139" s="20"/>
      <c r="Z139" s="20"/>
    </row>
    <row r="140" spans="2:26" ht="17.25" customHeight="1">
      <c r="B140" s="45"/>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2:26" ht="17.25" customHeight="1">
      <c r="B141" s="45"/>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2:26" ht="17.25" customHeight="1">
      <c r="B142" s="45"/>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2:26" ht="17.25" customHeight="1">
      <c r="B143" s="45"/>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2:26" ht="17.25" customHeight="1">
      <c r="B144" s="45"/>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45"/>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45"/>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45"/>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45"/>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45"/>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45"/>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45"/>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45"/>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45"/>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45"/>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45"/>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45"/>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45"/>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45"/>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45"/>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45"/>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45"/>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45"/>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45"/>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45"/>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45"/>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45"/>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45"/>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45"/>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45"/>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45"/>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45"/>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45"/>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45"/>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45"/>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45"/>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45"/>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45"/>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45"/>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45"/>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45"/>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45"/>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45"/>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45"/>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45"/>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45"/>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45"/>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45"/>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45"/>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45"/>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45"/>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45"/>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45"/>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45"/>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45"/>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45"/>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45"/>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45"/>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45"/>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45"/>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45"/>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45"/>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45"/>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45"/>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45"/>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45"/>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45"/>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45"/>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45"/>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45"/>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45"/>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45"/>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45"/>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45"/>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45"/>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45"/>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45"/>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45"/>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45"/>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45"/>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45"/>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45"/>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45"/>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45"/>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45"/>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45"/>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45"/>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45"/>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45"/>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45"/>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45"/>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45"/>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45"/>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45"/>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45"/>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45"/>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45"/>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45"/>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45"/>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45"/>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45"/>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45"/>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45"/>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45"/>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45"/>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45"/>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45"/>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45"/>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45"/>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45"/>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45"/>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45"/>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45"/>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45"/>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45"/>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45"/>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45"/>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45"/>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45"/>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45"/>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45"/>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45"/>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45"/>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45"/>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45"/>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45"/>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45"/>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45"/>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45"/>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45"/>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45"/>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45"/>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45"/>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45"/>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45"/>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45"/>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45"/>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45"/>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45"/>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45"/>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45"/>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45"/>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45"/>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45"/>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45"/>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45"/>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45"/>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45"/>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45"/>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45"/>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45"/>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45"/>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45"/>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45"/>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45"/>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45"/>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45"/>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45"/>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45"/>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45"/>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45"/>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45"/>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45"/>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45"/>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45"/>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45"/>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45"/>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45"/>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45"/>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45"/>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45"/>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45"/>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45"/>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45"/>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45"/>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45"/>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45"/>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45"/>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45"/>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45"/>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45"/>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45"/>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45"/>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45"/>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45"/>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45"/>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45"/>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45"/>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45"/>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45"/>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45"/>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45"/>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45"/>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45"/>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45"/>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45"/>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45"/>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45"/>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45"/>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45"/>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45"/>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45"/>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45"/>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45"/>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45"/>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45"/>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45"/>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45"/>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45"/>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45"/>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45"/>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45"/>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45"/>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45"/>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45"/>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45"/>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45"/>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45"/>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45"/>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45"/>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45"/>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45"/>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45"/>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45"/>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45"/>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45"/>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45"/>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45"/>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45"/>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45"/>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45"/>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45"/>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45"/>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45"/>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45"/>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45"/>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45"/>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45"/>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45"/>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45"/>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45"/>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45"/>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45"/>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45"/>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45"/>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45"/>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45"/>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45"/>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45"/>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45"/>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45"/>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45"/>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45"/>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45"/>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45"/>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45"/>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45"/>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45"/>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45"/>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45"/>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45"/>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45"/>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45"/>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45"/>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45"/>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45"/>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45"/>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45"/>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45"/>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45"/>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45"/>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45"/>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45"/>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45"/>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45"/>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45"/>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45"/>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45"/>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45"/>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45"/>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45"/>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45"/>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45"/>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45"/>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45"/>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45"/>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45"/>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45"/>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45"/>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45"/>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45"/>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45"/>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45"/>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45"/>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45"/>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45"/>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45"/>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45"/>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45"/>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45"/>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45"/>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45"/>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45"/>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45"/>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45"/>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45"/>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45"/>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45"/>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45"/>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45"/>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45"/>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45"/>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45"/>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45"/>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45"/>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45"/>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45"/>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45"/>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45"/>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45"/>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45"/>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45"/>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45"/>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45"/>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45"/>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45"/>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45"/>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45"/>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45"/>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45"/>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45"/>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45"/>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45"/>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45"/>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45"/>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45"/>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45"/>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45"/>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45"/>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45"/>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45"/>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45"/>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45"/>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45"/>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45"/>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45"/>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45"/>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45"/>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45"/>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45"/>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45"/>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45"/>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45"/>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45"/>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45"/>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45"/>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45"/>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45"/>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45"/>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45"/>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45"/>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45"/>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45"/>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45"/>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45"/>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45"/>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45"/>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45"/>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45"/>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45"/>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45"/>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45"/>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45"/>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45"/>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45"/>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45"/>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45"/>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45"/>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45"/>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45"/>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45"/>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45"/>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45"/>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45"/>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45"/>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45"/>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45"/>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45"/>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45"/>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45"/>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45"/>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45"/>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45"/>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45"/>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45"/>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45"/>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45"/>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45"/>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45"/>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45"/>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45"/>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45"/>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45"/>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45"/>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45"/>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45"/>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45"/>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45"/>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45"/>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45"/>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45"/>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45"/>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45"/>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45"/>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45"/>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45"/>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45"/>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45"/>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45"/>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45"/>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45"/>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45"/>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45"/>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45"/>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45"/>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45"/>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45"/>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45"/>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45"/>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45"/>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45"/>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45"/>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45"/>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45"/>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45"/>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45"/>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45"/>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45"/>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45"/>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45"/>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45"/>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45"/>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45"/>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45"/>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45"/>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45"/>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45"/>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45"/>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45"/>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45"/>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45"/>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45"/>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45"/>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45"/>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45"/>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45"/>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45"/>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45"/>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45"/>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45"/>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45"/>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45"/>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45"/>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45"/>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45"/>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45"/>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45"/>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45"/>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45"/>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45"/>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45"/>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45"/>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45"/>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45"/>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45"/>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45"/>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45"/>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45"/>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45"/>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45"/>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45"/>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45"/>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45"/>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45"/>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45"/>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45"/>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45"/>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45"/>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45"/>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45"/>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45"/>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45"/>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45"/>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45"/>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45"/>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45"/>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45"/>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45"/>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45"/>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45"/>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45"/>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45"/>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45"/>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45"/>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45"/>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45"/>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45"/>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45"/>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45"/>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45"/>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45"/>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45"/>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45"/>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45"/>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45"/>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45"/>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45"/>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45"/>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45"/>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45"/>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45"/>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45"/>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45"/>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45"/>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45"/>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45"/>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45"/>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45"/>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45"/>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45"/>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45"/>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45"/>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45"/>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45"/>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45"/>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45"/>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45"/>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45"/>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45"/>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45"/>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45"/>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45"/>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45"/>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45"/>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45"/>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45"/>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45"/>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45"/>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45"/>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45"/>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45"/>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45"/>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45"/>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45"/>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45"/>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45"/>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45"/>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45"/>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45"/>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45"/>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45"/>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45"/>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45"/>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45"/>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45"/>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45"/>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45"/>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45"/>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45"/>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45"/>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45"/>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45"/>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45"/>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45"/>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45"/>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45"/>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45"/>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45"/>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45"/>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45"/>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45"/>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45"/>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45"/>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45"/>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45"/>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45"/>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45"/>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45"/>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45"/>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45"/>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45"/>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45"/>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45"/>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45"/>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45"/>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45"/>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45"/>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45"/>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45"/>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45"/>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45"/>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45"/>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45"/>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45"/>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45"/>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45"/>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45"/>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45"/>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45"/>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45"/>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45"/>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45"/>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45"/>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45"/>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45"/>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45"/>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45"/>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45"/>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45"/>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45"/>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45"/>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45"/>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45"/>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45"/>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45"/>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45"/>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45"/>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45"/>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45"/>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45"/>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45"/>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45"/>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45"/>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45"/>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45"/>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45"/>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45"/>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45"/>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45"/>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45"/>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45"/>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45"/>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45"/>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45"/>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45"/>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45"/>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45"/>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45"/>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45"/>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45"/>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45"/>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45"/>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45"/>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45"/>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45"/>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45"/>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45"/>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45"/>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45"/>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45"/>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45"/>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45"/>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45"/>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45"/>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45"/>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45"/>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45"/>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45"/>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45"/>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45"/>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45"/>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45"/>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45"/>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45"/>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45"/>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45"/>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45"/>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45"/>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45"/>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45"/>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45"/>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45"/>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45"/>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45"/>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45"/>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45"/>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45"/>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45"/>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45"/>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45"/>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45"/>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45"/>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45"/>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45"/>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45"/>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45"/>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45"/>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45"/>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45"/>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45"/>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45"/>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45"/>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45"/>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45"/>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45"/>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45"/>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45"/>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45"/>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45"/>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45"/>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45"/>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45"/>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45"/>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45"/>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45"/>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45"/>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45"/>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45"/>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45"/>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45"/>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45"/>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45"/>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45"/>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45"/>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45"/>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45"/>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45"/>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45"/>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45"/>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45"/>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45"/>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45"/>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45"/>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45"/>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45"/>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45"/>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45"/>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45"/>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45"/>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45"/>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45"/>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45"/>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45"/>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45"/>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45"/>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45"/>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45"/>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45"/>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45"/>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45"/>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45"/>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45"/>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45"/>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45"/>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45"/>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45"/>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45"/>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45"/>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45"/>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45"/>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45"/>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45"/>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45"/>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45"/>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45"/>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45"/>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45"/>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45"/>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45"/>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45"/>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45"/>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45"/>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45"/>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45"/>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45"/>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45"/>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45"/>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45"/>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45"/>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45"/>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45"/>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45"/>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45"/>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45"/>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45"/>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45"/>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45"/>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45"/>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45"/>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45"/>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45"/>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45"/>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45"/>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45"/>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45"/>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45"/>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45"/>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45"/>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45"/>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45"/>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45"/>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45"/>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45"/>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45"/>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45"/>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45"/>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45"/>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45"/>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45"/>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45"/>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45"/>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45"/>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45"/>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45"/>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45"/>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45"/>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45"/>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45"/>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45"/>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45"/>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45"/>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45"/>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45"/>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45"/>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45"/>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45"/>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45"/>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45"/>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45"/>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45"/>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45"/>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45"/>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45"/>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45"/>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45"/>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45"/>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45"/>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45"/>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45"/>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45"/>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45"/>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45"/>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45"/>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45"/>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45"/>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45"/>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45"/>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45"/>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45"/>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45"/>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45"/>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45"/>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45"/>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45"/>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45"/>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45"/>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45"/>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45"/>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45"/>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45"/>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45"/>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A3:A49">
    <cfRule type="containsBlanks" dxfId="53" priority="1">
      <formula>LEN(TRIM(A3))=0</formula>
    </cfRule>
  </conditionalFormatting>
  <conditionalFormatting sqref="C3:C49 E3:E49">
    <cfRule type="containsBlanks" dxfId="52" priority="2">
      <formula>LEN(TRIM(C3))=0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Drop_downs!$G$3:$G$15</xm:f>
          </x14:formula1>
          <xm:sqref>A3:A55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sheetPr>
  <dimension ref="A1:Z1000"/>
  <sheetViews>
    <sheetView workbookViewId="0"/>
  </sheetViews>
  <sheetFormatPr baseColWidth="10" defaultColWidth="11.28515625" defaultRowHeight="15" customHeight="1"/>
  <cols>
    <col min="1" max="1" width="43.85546875" customWidth="1"/>
    <col min="2" max="2" width="27.42578125" customWidth="1"/>
    <col min="3" max="6" width="20.140625" customWidth="1"/>
    <col min="7" max="7" width="19.42578125" customWidth="1"/>
    <col min="8" max="26" width="8.85546875" customWidth="1"/>
  </cols>
  <sheetData>
    <row r="1" spans="1:26" ht="17.25" customHeight="1">
      <c r="A1" s="48" t="s">
        <v>4814</v>
      </c>
      <c r="B1" s="84"/>
      <c r="C1" s="84"/>
      <c r="D1" s="84"/>
      <c r="E1" s="84"/>
      <c r="F1" s="84"/>
      <c r="G1" s="84"/>
      <c r="H1" s="20"/>
      <c r="I1" s="20"/>
      <c r="J1" s="20"/>
      <c r="K1" s="20"/>
      <c r="L1" s="20"/>
      <c r="M1" s="20"/>
      <c r="N1" s="20"/>
      <c r="O1" s="20"/>
      <c r="P1" s="20"/>
      <c r="Q1" s="20"/>
      <c r="R1" s="20"/>
      <c r="S1" s="20"/>
      <c r="T1" s="20"/>
      <c r="U1" s="20"/>
      <c r="V1" s="20"/>
      <c r="W1" s="20"/>
      <c r="X1" s="20"/>
      <c r="Y1" s="20"/>
      <c r="Z1" s="20"/>
    </row>
    <row r="2" spans="1:26" ht="17.25" customHeight="1">
      <c r="A2" s="41" t="s">
        <v>4832</v>
      </c>
      <c r="B2" s="41" t="s">
        <v>4968</v>
      </c>
      <c r="C2" s="43" t="s">
        <v>4969</v>
      </c>
      <c r="D2" s="43" t="s">
        <v>4970</v>
      </c>
      <c r="E2" s="44" t="s">
        <v>4971</v>
      </c>
      <c r="F2" s="44" t="s">
        <v>4972</v>
      </c>
      <c r="G2" s="44" t="s">
        <v>4973</v>
      </c>
      <c r="H2" s="44" t="s">
        <v>4945</v>
      </c>
      <c r="I2" s="20"/>
      <c r="J2" s="20"/>
      <c r="K2" s="20"/>
      <c r="L2" s="20"/>
      <c r="M2" s="20"/>
      <c r="N2" s="20"/>
      <c r="O2" s="20"/>
      <c r="P2" s="20"/>
      <c r="Q2" s="20"/>
      <c r="R2" s="20"/>
      <c r="S2" s="20"/>
      <c r="T2" s="20"/>
      <c r="U2" s="20"/>
      <c r="V2" s="20"/>
      <c r="W2" s="20"/>
      <c r="X2" s="20"/>
      <c r="Y2" s="20"/>
      <c r="Z2" s="20"/>
    </row>
    <row r="3" spans="1:26" ht="17.25" customHeight="1">
      <c r="A3" s="15" t="s">
        <v>4974</v>
      </c>
      <c r="B3" s="15" t="s">
        <v>4975</v>
      </c>
      <c r="C3" s="15">
        <v>20</v>
      </c>
      <c r="D3" s="15" t="s">
        <v>4976</v>
      </c>
      <c r="E3" s="15">
        <v>26</v>
      </c>
      <c r="F3" s="15" t="s">
        <v>4977</v>
      </c>
      <c r="G3" s="15" t="s">
        <v>4978</v>
      </c>
      <c r="H3" s="56" t="s">
        <v>4840</v>
      </c>
      <c r="I3" s="20"/>
      <c r="J3" s="20"/>
      <c r="K3" s="20"/>
      <c r="L3" s="20"/>
      <c r="M3" s="20"/>
      <c r="N3" s="20"/>
      <c r="O3" s="20"/>
      <c r="P3" s="20"/>
      <c r="Q3" s="20"/>
      <c r="R3" s="20"/>
      <c r="S3" s="20"/>
      <c r="T3" s="20"/>
      <c r="U3" s="20"/>
      <c r="V3" s="20"/>
      <c r="W3" s="20"/>
      <c r="X3" s="20"/>
      <c r="Y3" s="20"/>
      <c r="Z3" s="20"/>
    </row>
    <row r="4" spans="1:26" ht="17.25" customHeight="1">
      <c r="A4" s="15" t="s">
        <v>4979</v>
      </c>
      <c r="B4" s="15" t="s">
        <v>4975</v>
      </c>
      <c r="C4" s="15">
        <v>20</v>
      </c>
      <c r="D4" s="15" t="s">
        <v>4976</v>
      </c>
      <c r="E4" s="15">
        <v>26</v>
      </c>
      <c r="F4" s="15" t="s">
        <v>4977</v>
      </c>
      <c r="G4" s="15" t="s">
        <v>4978</v>
      </c>
      <c r="H4" s="56" t="s">
        <v>4840</v>
      </c>
      <c r="I4" s="20"/>
      <c r="J4" s="20"/>
      <c r="K4" s="20"/>
      <c r="L4" s="20"/>
      <c r="M4" s="20"/>
      <c r="N4" s="20"/>
      <c r="O4" s="20"/>
      <c r="P4" s="20"/>
      <c r="Q4" s="20"/>
      <c r="R4" s="20"/>
      <c r="S4" s="20"/>
      <c r="T4" s="20"/>
      <c r="U4" s="20"/>
      <c r="V4" s="20"/>
      <c r="W4" s="20"/>
      <c r="X4" s="20"/>
      <c r="Y4" s="20"/>
      <c r="Z4" s="20"/>
    </row>
    <row r="5" spans="1:26" ht="17.25" customHeight="1">
      <c r="A5" s="15" t="s">
        <v>4980</v>
      </c>
      <c r="B5" s="15" t="s">
        <v>4975</v>
      </c>
      <c r="C5" s="15">
        <v>20</v>
      </c>
      <c r="D5" s="15" t="s">
        <v>4976</v>
      </c>
      <c r="E5" s="15">
        <v>26</v>
      </c>
      <c r="F5" s="15" t="s">
        <v>4977</v>
      </c>
      <c r="G5" s="15" t="s">
        <v>4978</v>
      </c>
      <c r="H5" s="56" t="s">
        <v>4840</v>
      </c>
      <c r="I5" s="20"/>
      <c r="J5" s="20"/>
      <c r="K5" s="20"/>
      <c r="L5" s="20"/>
      <c r="M5" s="20"/>
      <c r="N5" s="20"/>
      <c r="O5" s="20"/>
      <c r="P5" s="20"/>
      <c r="Q5" s="20"/>
      <c r="R5" s="20"/>
      <c r="S5" s="20"/>
      <c r="T5" s="20"/>
      <c r="U5" s="20"/>
      <c r="V5" s="20"/>
      <c r="W5" s="20"/>
      <c r="X5" s="20"/>
      <c r="Y5" s="20"/>
      <c r="Z5" s="20"/>
    </row>
    <row r="6" spans="1:26" ht="17.25" customHeight="1">
      <c r="A6" s="15" t="s">
        <v>4981</v>
      </c>
      <c r="B6" s="15" t="s">
        <v>4975</v>
      </c>
      <c r="C6" s="15">
        <v>20</v>
      </c>
      <c r="D6" s="15" t="s">
        <v>4982</v>
      </c>
      <c r="E6" s="15">
        <v>26</v>
      </c>
      <c r="F6" s="15" t="s">
        <v>4983</v>
      </c>
      <c r="G6" s="15" t="s">
        <v>4978</v>
      </c>
      <c r="H6" s="56" t="s">
        <v>4840</v>
      </c>
      <c r="I6" s="20"/>
      <c r="J6" s="20"/>
      <c r="K6" s="20"/>
      <c r="L6" s="20"/>
      <c r="M6" s="20"/>
      <c r="N6" s="20"/>
      <c r="O6" s="20"/>
      <c r="P6" s="20"/>
      <c r="Q6" s="20"/>
      <c r="R6" s="20"/>
      <c r="S6" s="20"/>
      <c r="T6" s="20"/>
      <c r="U6" s="20"/>
      <c r="V6" s="20"/>
      <c r="W6" s="20"/>
      <c r="X6" s="20"/>
      <c r="Y6" s="20"/>
      <c r="Z6" s="20"/>
    </row>
    <row r="7" spans="1:26" ht="17.25" customHeight="1">
      <c r="A7" s="15" t="s">
        <v>4984</v>
      </c>
      <c r="B7" s="15" t="s">
        <v>4975</v>
      </c>
      <c r="C7" s="15">
        <v>20</v>
      </c>
      <c r="D7" s="15" t="s">
        <v>4982</v>
      </c>
      <c r="E7" s="15">
        <v>26</v>
      </c>
      <c r="F7" s="15" t="s">
        <v>4983</v>
      </c>
      <c r="G7" s="15" t="s">
        <v>4978</v>
      </c>
      <c r="H7" s="56" t="s">
        <v>4840</v>
      </c>
      <c r="I7" s="20"/>
      <c r="J7" s="20"/>
      <c r="K7" s="20"/>
      <c r="L7" s="20"/>
      <c r="M7" s="20"/>
      <c r="N7" s="20"/>
      <c r="O7" s="20"/>
      <c r="P7" s="20"/>
      <c r="Q7" s="20"/>
      <c r="R7" s="20"/>
      <c r="S7" s="20"/>
      <c r="T7" s="20"/>
      <c r="U7" s="20"/>
      <c r="V7" s="20"/>
      <c r="W7" s="20"/>
      <c r="X7" s="20"/>
      <c r="Y7" s="20"/>
      <c r="Z7" s="20"/>
    </row>
    <row r="8" spans="1:26" ht="17.25" customHeight="1">
      <c r="A8" s="15" t="s">
        <v>4985</v>
      </c>
      <c r="B8" s="15" t="s">
        <v>4975</v>
      </c>
      <c r="C8" s="15">
        <v>20</v>
      </c>
      <c r="D8" s="15" t="s">
        <v>4982</v>
      </c>
      <c r="E8" s="15">
        <v>26</v>
      </c>
      <c r="F8" s="15" t="s">
        <v>4983</v>
      </c>
      <c r="G8" s="15" t="s">
        <v>4978</v>
      </c>
      <c r="H8" s="56" t="s">
        <v>4840</v>
      </c>
      <c r="I8" s="20"/>
      <c r="J8" s="20"/>
      <c r="K8" s="20"/>
      <c r="L8" s="20"/>
      <c r="M8" s="20"/>
      <c r="N8" s="20"/>
      <c r="O8" s="20"/>
      <c r="P8" s="20"/>
      <c r="Q8" s="20"/>
      <c r="R8" s="20"/>
      <c r="S8" s="20"/>
      <c r="T8" s="20"/>
      <c r="U8" s="20"/>
      <c r="V8" s="20"/>
      <c r="W8" s="20"/>
      <c r="X8" s="20"/>
      <c r="Y8" s="20"/>
      <c r="Z8" s="20"/>
    </row>
    <row r="9" spans="1:26" ht="17.25" customHeight="1">
      <c r="A9" s="15" t="s">
        <v>4986</v>
      </c>
      <c r="B9" s="15" t="s">
        <v>4975</v>
      </c>
      <c r="C9" s="15">
        <v>20</v>
      </c>
      <c r="D9" s="15" t="s">
        <v>4987</v>
      </c>
      <c r="E9" s="15">
        <v>26</v>
      </c>
      <c r="F9" s="15" t="s">
        <v>4988</v>
      </c>
      <c r="G9" s="15" t="s">
        <v>4978</v>
      </c>
      <c r="H9" s="56" t="s">
        <v>4840</v>
      </c>
      <c r="I9" s="20"/>
      <c r="J9" s="20"/>
      <c r="K9" s="20"/>
      <c r="L9" s="20"/>
      <c r="M9" s="20"/>
      <c r="N9" s="20"/>
      <c r="O9" s="20"/>
      <c r="P9" s="20"/>
      <c r="Q9" s="20"/>
      <c r="R9" s="20"/>
      <c r="S9" s="20"/>
      <c r="T9" s="20"/>
      <c r="U9" s="20"/>
      <c r="V9" s="20"/>
      <c r="W9" s="20"/>
      <c r="X9" s="20"/>
      <c r="Y9" s="20"/>
      <c r="Z9" s="20"/>
    </row>
    <row r="10" spans="1:26" ht="17.25" customHeight="1">
      <c r="A10" s="15" t="s">
        <v>4989</v>
      </c>
      <c r="B10" s="15" t="s">
        <v>4975</v>
      </c>
      <c r="C10" s="15">
        <v>20</v>
      </c>
      <c r="D10" s="15" t="s">
        <v>4987</v>
      </c>
      <c r="E10" s="15">
        <v>26</v>
      </c>
      <c r="F10" s="15" t="s">
        <v>4988</v>
      </c>
      <c r="G10" s="15" t="s">
        <v>4978</v>
      </c>
      <c r="H10" s="56" t="s">
        <v>4840</v>
      </c>
      <c r="I10" s="20"/>
      <c r="J10" s="20"/>
      <c r="K10" s="20"/>
      <c r="L10" s="20"/>
      <c r="M10" s="20"/>
      <c r="N10" s="20"/>
      <c r="O10" s="20"/>
      <c r="P10" s="20"/>
      <c r="Q10" s="20"/>
      <c r="R10" s="20"/>
      <c r="S10" s="20"/>
      <c r="T10" s="20"/>
      <c r="U10" s="20"/>
      <c r="V10" s="20"/>
      <c r="W10" s="20"/>
      <c r="X10" s="20"/>
      <c r="Y10" s="20"/>
      <c r="Z10" s="20"/>
    </row>
    <row r="11" spans="1:26" ht="17.25" customHeight="1">
      <c r="A11" s="15" t="s">
        <v>4990</v>
      </c>
      <c r="B11" s="15" t="s">
        <v>4975</v>
      </c>
      <c r="C11" s="15">
        <v>20</v>
      </c>
      <c r="D11" s="15" t="s">
        <v>4987</v>
      </c>
      <c r="E11" s="15">
        <v>26</v>
      </c>
      <c r="F11" s="15" t="s">
        <v>4988</v>
      </c>
      <c r="G11" s="15" t="s">
        <v>4978</v>
      </c>
      <c r="H11" s="56" t="s">
        <v>4840</v>
      </c>
      <c r="I11" s="20"/>
      <c r="J11" s="20"/>
      <c r="K11" s="20"/>
      <c r="L11" s="20"/>
      <c r="M11" s="20"/>
      <c r="N11" s="20"/>
      <c r="O11" s="20"/>
      <c r="P11" s="20"/>
      <c r="Q11" s="20"/>
      <c r="R11" s="20"/>
      <c r="S11" s="20"/>
      <c r="T11" s="20"/>
      <c r="U11" s="20"/>
      <c r="V11" s="20"/>
      <c r="W11" s="20"/>
      <c r="X11" s="20"/>
      <c r="Y11" s="20"/>
      <c r="Z11" s="20"/>
    </row>
    <row r="12" spans="1:26" ht="17.25" customHeight="1">
      <c r="A12" s="15" t="s">
        <v>4991</v>
      </c>
      <c r="B12" s="15" t="s">
        <v>4975</v>
      </c>
      <c r="C12" s="15">
        <v>20</v>
      </c>
      <c r="D12" s="15" t="s">
        <v>4992</v>
      </c>
      <c r="E12" s="15">
        <v>26</v>
      </c>
      <c r="F12" s="15" t="s">
        <v>4993</v>
      </c>
      <c r="G12" s="15" t="s">
        <v>4978</v>
      </c>
      <c r="H12" s="56" t="s">
        <v>4840</v>
      </c>
      <c r="I12" s="20"/>
      <c r="J12" s="20"/>
      <c r="K12" s="20"/>
      <c r="L12" s="20"/>
      <c r="M12" s="20"/>
      <c r="N12" s="20"/>
      <c r="O12" s="20"/>
      <c r="P12" s="20"/>
      <c r="Q12" s="20"/>
      <c r="R12" s="20"/>
      <c r="S12" s="20"/>
      <c r="T12" s="20"/>
      <c r="U12" s="20"/>
      <c r="V12" s="20"/>
      <c r="W12" s="20"/>
      <c r="X12" s="20"/>
      <c r="Y12" s="20"/>
      <c r="Z12" s="20"/>
    </row>
    <row r="13" spans="1:26" ht="17.25" customHeight="1">
      <c r="A13" s="15" t="s">
        <v>4994</v>
      </c>
      <c r="B13" s="15" t="s">
        <v>4975</v>
      </c>
      <c r="C13" s="15">
        <v>20</v>
      </c>
      <c r="D13" s="15" t="s">
        <v>4995</v>
      </c>
      <c r="E13" s="15">
        <v>26</v>
      </c>
      <c r="F13" s="15" t="s">
        <v>4996</v>
      </c>
      <c r="G13" s="15" t="s">
        <v>4978</v>
      </c>
      <c r="H13" s="56" t="s">
        <v>4840</v>
      </c>
      <c r="I13" s="20"/>
      <c r="J13" s="20"/>
      <c r="K13" s="20"/>
      <c r="L13" s="20"/>
      <c r="M13" s="20"/>
      <c r="N13" s="20"/>
      <c r="O13" s="20"/>
      <c r="P13" s="20"/>
      <c r="Q13" s="20"/>
      <c r="R13" s="20"/>
      <c r="S13" s="20"/>
      <c r="T13" s="20"/>
      <c r="U13" s="20"/>
      <c r="V13" s="20"/>
      <c r="W13" s="20"/>
      <c r="X13" s="20"/>
      <c r="Y13" s="20"/>
      <c r="Z13" s="20"/>
    </row>
    <row r="14" spans="1:26" ht="17.25" customHeight="1">
      <c r="A14" s="15" t="s">
        <v>4997</v>
      </c>
      <c r="B14" s="15" t="s">
        <v>4975</v>
      </c>
      <c r="C14" s="15">
        <v>20</v>
      </c>
      <c r="D14" s="15" t="s">
        <v>4995</v>
      </c>
      <c r="E14" s="15">
        <v>26</v>
      </c>
      <c r="F14" s="15" t="s">
        <v>4996</v>
      </c>
      <c r="G14" s="15" t="s">
        <v>4978</v>
      </c>
      <c r="H14" s="56" t="s">
        <v>4840</v>
      </c>
      <c r="I14" s="20"/>
      <c r="J14" s="20"/>
      <c r="K14" s="20"/>
      <c r="L14" s="20"/>
      <c r="M14" s="20"/>
      <c r="N14" s="20"/>
      <c r="O14" s="20"/>
      <c r="P14" s="20"/>
      <c r="Q14" s="20"/>
      <c r="R14" s="20"/>
      <c r="S14" s="20"/>
      <c r="T14" s="20"/>
      <c r="U14" s="20"/>
      <c r="V14" s="20"/>
      <c r="W14" s="20"/>
      <c r="X14" s="20"/>
      <c r="Y14" s="20"/>
      <c r="Z14" s="20"/>
    </row>
    <row r="15" spans="1:26" ht="17.25" customHeight="1">
      <c r="A15" s="15" t="s">
        <v>4998</v>
      </c>
      <c r="B15" s="15" t="s">
        <v>4975</v>
      </c>
      <c r="C15" s="15">
        <v>20</v>
      </c>
      <c r="D15" s="15" t="s">
        <v>4992</v>
      </c>
      <c r="E15" s="15">
        <v>26</v>
      </c>
      <c r="F15" s="15" t="s">
        <v>4993</v>
      </c>
      <c r="G15" s="15" t="s">
        <v>4978</v>
      </c>
      <c r="H15" s="56" t="s">
        <v>4840</v>
      </c>
      <c r="I15" s="20"/>
      <c r="J15" s="20"/>
      <c r="K15" s="20"/>
      <c r="L15" s="20"/>
      <c r="M15" s="20"/>
      <c r="N15" s="20"/>
      <c r="O15" s="20"/>
      <c r="P15" s="20"/>
      <c r="Q15" s="20"/>
      <c r="R15" s="20"/>
      <c r="S15" s="20"/>
      <c r="T15" s="20"/>
      <c r="U15" s="20"/>
      <c r="V15" s="20"/>
      <c r="W15" s="20"/>
      <c r="X15" s="20"/>
      <c r="Y15" s="20"/>
      <c r="Z15" s="20"/>
    </row>
    <row r="16" spans="1:26" ht="17.25" customHeight="1">
      <c r="A16" s="15" t="s">
        <v>4999</v>
      </c>
      <c r="B16" s="15" t="s">
        <v>4975</v>
      </c>
      <c r="C16" s="15">
        <v>20</v>
      </c>
      <c r="D16" s="15" t="s">
        <v>4992</v>
      </c>
      <c r="E16" s="15">
        <v>26</v>
      </c>
      <c r="F16" s="15" t="s">
        <v>4993</v>
      </c>
      <c r="G16" s="15" t="s">
        <v>4978</v>
      </c>
      <c r="H16" s="56" t="s">
        <v>4840</v>
      </c>
      <c r="I16" s="20"/>
      <c r="J16" s="20"/>
      <c r="K16" s="20"/>
      <c r="L16" s="20"/>
      <c r="M16" s="20"/>
      <c r="N16" s="20"/>
      <c r="O16" s="20"/>
      <c r="P16" s="20"/>
      <c r="Q16" s="20"/>
      <c r="R16" s="20"/>
      <c r="S16" s="20"/>
      <c r="T16" s="20"/>
      <c r="U16" s="20"/>
      <c r="V16" s="20"/>
      <c r="W16" s="20"/>
      <c r="X16" s="20"/>
      <c r="Y16" s="20"/>
      <c r="Z16" s="20"/>
    </row>
    <row r="17" spans="1:26" ht="17.25" customHeight="1">
      <c r="A17" s="15" t="s">
        <v>5000</v>
      </c>
      <c r="B17" s="15" t="s">
        <v>4975</v>
      </c>
      <c r="C17" s="15">
        <v>20</v>
      </c>
      <c r="D17" s="15" t="s">
        <v>5001</v>
      </c>
      <c r="E17" s="15">
        <v>26</v>
      </c>
      <c r="F17" s="15" t="s">
        <v>5002</v>
      </c>
      <c r="G17" s="15" t="s">
        <v>4978</v>
      </c>
      <c r="H17" s="56" t="s">
        <v>4840</v>
      </c>
      <c r="I17" s="20"/>
      <c r="J17" s="20"/>
      <c r="K17" s="20"/>
      <c r="L17" s="20"/>
      <c r="M17" s="20"/>
      <c r="N17" s="20"/>
      <c r="O17" s="20"/>
      <c r="P17" s="20"/>
      <c r="Q17" s="20"/>
      <c r="R17" s="20"/>
      <c r="S17" s="20"/>
      <c r="T17" s="20"/>
      <c r="U17" s="20"/>
      <c r="V17" s="20"/>
      <c r="W17" s="20"/>
      <c r="X17" s="20"/>
      <c r="Y17" s="20"/>
      <c r="Z17" s="20"/>
    </row>
    <row r="18" spans="1:26" ht="17.25" customHeight="1">
      <c r="A18" s="15" t="s">
        <v>5003</v>
      </c>
      <c r="B18" s="15" t="s">
        <v>4975</v>
      </c>
      <c r="C18" s="15">
        <v>20</v>
      </c>
      <c r="D18" s="15" t="s">
        <v>5001</v>
      </c>
      <c r="E18" s="15">
        <v>26</v>
      </c>
      <c r="F18" s="15" t="s">
        <v>5002</v>
      </c>
      <c r="G18" s="15" t="s">
        <v>4978</v>
      </c>
      <c r="H18" s="56" t="s">
        <v>4840</v>
      </c>
      <c r="I18" s="20"/>
      <c r="J18" s="20"/>
      <c r="K18" s="20"/>
      <c r="L18" s="20"/>
      <c r="M18" s="20"/>
      <c r="N18" s="20"/>
      <c r="O18" s="20"/>
      <c r="P18" s="20"/>
      <c r="Q18" s="20"/>
      <c r="R18" s="20"/>
      <c r="S18" s="20"/>
      <c r="T18" s="20"/>
      <c r="U18" s="20"/>
      <c r="V18" s="20"/>
      <c r="W18" s="20"/>
      <c r="X18" s="20"/>
      <c r="Y18" s="20"/>
      <c r="Z18" s="20"/>
    </row>
    <row r="19" spans="1:26" ht="17.25" customHeight="1">
      <c r="A19" s="15" t="s">
        <v>5004</v>
      </c>
      <c r="B19" s="15" t="s">
        <v>4975</v>
      </c>
      <c r="C19" s="15">
        <v>20</v>
      </c>
      <c r="D19" s="15" t="s">
        <v>5005</v>
      </c>
      <c r="E19" s="15">
        <v>26</v>
      </c>
      <c r="F19" s="15" t="s">
        <v>5006</v>
      </c>
      <c r="G19" s="15" t="s">
        <v>4978</v>
      </c>
      <c r="H19" s="56" t="s">
        <v>4840</v>
      </c>
      <c r="I19" s="20"/>
      <c r="J19" s="20"/>
      <c r="K19" s="20"/>
      <c r="L19" s="20"/>
      <c r="M19" s="20"/>
      <c r="N19" s="20"/>
      <c r="O19" s="20"/>
      <c r="P19" s="20"/>
      <c r="Q19" s="20"/>
      <c r="R19" s="20"/>
      <c r="S19" s="20"/>
      <c r="T19" s="20"/>
      <c r="U19" s="20"/>
      <c r="V19" s="20"/>
      <c r="W19" s="20"/>
      <c r="X19" s="20"/>
      <c r="Y19" s="20"/>
      <c r="Z19" s="20"/>
    </row>
    <row r="20" spans="1:26" ht="17.25" customHeight="1">
      <c r="A20" s="15" t="s">
        <v>5007</v>
      </c>
      <c r="B20" s="15" t="s">
        <v>4975</v>
      </c>
      <c r="C20" s="15">
        <v>20</v>
      </c>
      <c r="D20" s="15" t="s">
        <v>5008</v>
      </c>
      <c r="E20" s="15">
        <v>26</v>
      </c>
      <c r="F20" s="15" t="s">
        <v>5009</v>
      </c>
      <c r="G20" s="15" t="s">
        <v>4978</v>
      </c>
      <c r="H20" s="56" t="s">
        <v>4840</v>
      </c>
      <c r="I20" s="20"/>
      <c r="J20" s="20"/>
      <c r="K20" s="20"/>
      <c r="L20" s="20"/>
      <c r="M20" s="20"/>
      <c r="N20" s="20"/>
      <c r="O20" s="20"/>
      <c r="P20" s="20"/>
      <c r="Q20" s="20"/>
      <c r="R20" s="20"/>
      <c r="S20" s="20"/>
      <c r="T20" s="20"/>
      <c r="U20" s="20"/>
      <c r="V20" s="20"/>
      <c r="W20" s="20"/>
      <c r="X20" s="20"/>
      <c r="Y20" s="20"/>
      <c r="Z20" s="20"/>
    </row>
    <row r="21" spans="1:26" ht="17.25" customHeight="1">
      <c r="A21" s="15" t="s">
        <v>5010</v>
      </c>
      <c r="B21" s="15" t="s">
        <v>4975</v>
      </c>
      <c r="C21" s="15">
        <v>20</v>
      </c>
      <c r="D21" s="15" t="s">
        <v>5001</v>
      </c>
      <c r="E21" s="15">
        <v>26</v>
      </c>
      <c r="F21" s="15" t="s">
        <v>5002</v>
      </c>
      <c r="G21" s="15" t="s">
        <v>4978</v>
      </c>
      <c r="H21" s="56" t="s">
        <v>4840</v>
      </c>
      <c r="I21" s="20"/>
      <c r="J21" s="20"/>
      <c r="K21" s="20"/>
      <c r="L21" s="20"/>
      <c r="M21" s="20"/>
      <c r="N21" s="20"/>
      <c r="O21" s="20"/>
      <c r="P21" s="20"/>
      <c r="Q21" s="20"/>
      <c r="R21" s="20"/>
      <c r="S21" s="20"/>
      <c r="T21" s="20"/>
      <c r="U21" s="20"/>
      <c r="V21" s="20"/>
      <c r="W21" s="20"/>
      <c r="X21" s="20"/>
      <c r="Y21" s="20"/>
      <c r="Z21" s="20"/>
    </row>
    <row r="22" spans="1:26" ht="17.25" customHeight="1">
      <c r="B22" s="57"/>
      <c r="C22" s="57"/>
      <c r="D22" s="57"/>
      <c r="E22" s="57"/>
      <c r="F22" s="57"/>
      <c r="G22" s="57"/>
      <c r="H22" s="20"/>
      <c r="I22" s="20"/>
      <c r="J22" s="20"/>
      <c r="K22" s="20"/>
      <c r="L22" s="20"/>
      <c r="M22" s="20"/>
      <c r="N22" s="20"/>
      <c r="O22" s="20"/>
      <c r="P22" s="20"/>
      <c r="Q22" s="20"/>
      <c r="R22" s="20"/>
      <c r="S22" s="20"/>
      <c r="T22" s="20"/>
      <c r="U22" s="20"/>
      <c r="V22" s="20"/>
      <c r="W22" s="20"/>
      <c r="X22" s="20"/>
      <c r="Y22" s="20"/>
      <c r="Z22" s="20"/>
    </row>
    <row r="23" spans="1:26" ht="17.25" customHeight="1">
      <c r="B23" s="57"/>
      <c r="C23" s="57"/>
      <c r="D23" s="57"/>
      <c r="E23" s="57"/>
      <c r="F23" s="57"/>
      <c r="G23" s="57"/>
      <c r="H23" s="20"/>
      <c r="I23" s="20"/>
      <c r="J23" s="20"/>
      <c r="K23" s="20"/>
      <c r="L23" s="20"/>
      <c r="M23" s="20"/>
      <c r="N23" s="20"/>
      <c r="O23" s="20"/>
      <c r="P23" s="20"/>
      <c r="Q23" s="20"/>
      <c r="R23" s="20"/>
      <c r="S23" s="20"/>
      <c r="T23" s="20"/>
      <c r="U23" s="20"/>
      <c r="V23" s="20"/>
      <c r="W23" s="20"/>
      <c r="X23" s="20"/>
      <c r="Y23" s="20"/>
      <c r="Z23" s="20"/>
    </row>
    <row r="24" spans="1:26" ht="17.25" customHeight="1">
      <c r="B24" s="57"/>
      <c r="C24" s="57"/>
      <c r="D24" s="57"/>
      <c r="E24" s="57"/>
      <c r="F24" s="57"/>
      <c r="G24" s="57"/>
      <c r="H24" s="20"/>
      <c r="I24" s="20"/>
      <c r="J24" s="20"/>
      <c r="K24" s="20"/>
      <c r="L24" s="20"/>
      <c r="M24" s="20"/>
      <c r="N24" s="20"/>
      <c r="O24" s="20"/>
      <c r="P24" s="20"/>
      <c r="Q24" s="20"/>
      <c r="R24" s="20"/>
      <c r="S24" s="20"/>
      <c r="T24" s="20"/>
      <c r="U24" s="20"/>
      <c r="V24" s="20"/>
      <c r="W24" s="20"/>
      <c r="X24" s="20"/>
      <c r="Y24" s="20"/>
      <c r="Z24" s="20"/>
    </row>
    <row r="25" spans="1:26" ht="17.25" customHeight="1">
      <c r="B25" s="57"/>
      <c r="C25" s="57"/>
      <c r="D25" s="57"/>
      <c r="E25" s="57"/>
      <c r="F25" s="57"/>
      <c r="G25" s="57"/>
      <c r="H25" s="20"/>
      <c r="I25" s="20"/>
      <c r="J25" s="20"/>
      <c r="K25" s="20"/>
      <c r="L25" s="20"/>
      <c r="M25" s="20"/>
      <c r="N25" s="20"/>
      <c r="O25" s="20"/>
      <c r="P25" s="20"/>
      <c r="Q25" s="20"/>
      <c r="R25" s="20"/>
      <c r="S25" s="20"/>
      <c r="T25" s="20"/>
      <c r="U25" s="20"/>
      <c r="V25" s="20"/>
      <c r="W25" s="20"/>
      <c r="X25" s="20"/>
      <c r="Y25" s="20"/>
      <c r="Z25" s="20"/>
    </row>
    <row r="26" spans="1:26" ht="17.25" customHeight="1">
      <c r="A26" s="85"/>
      <c r="B26" s="57"/>
      <c r="C26" s="57"/>
      <c r="D26" s="57"/>
      <c r="E26" s="57"/>
      <c r="F26" s="57"/>
      <c r="G26" s="57"/>
      <c r="H26" s="20"/>
      <c r="I26" s="20"/>
      <c r="J26" s="20"/>
      <c r="K26" s="20"/>
      <c r="L26" s="20"/>
      <c r="M26" s="20"/>
      <c r="N26" s="20"/>
      <c r="O26" s="20"/>
      <c r="P26" s="20"/>
      <c r="Q26" s="20"/>
      <c r="R26" s="20"/>
      <c r="S26" s="20"/>
      <c r="T26" s="20"/>
      <c r="U26" s="20"/>
      <c r="V26" s="20"/>
      <c r="W26" s="20"/>
      <c r="X26" s="20"/>
      <c r="Y26" s="20"/>
      <c r="Z26" s="20"/>
    </row>
    <row r="27" spans="1:26" ht="17.25" customHeight="1">
      <c r="A27" s="86"/>
      <c r="B27" s="57"/>
      <c r="C27" s="57"/>
      <c r="D27" s="57"/>
      <c r="E27" s="57"/>
      <c r="F27" s="57"/>
      <c r="G27" s="57"/>
      <c r="H27" s="20"/>
      <c r="I27" s="20"/>
      <c r="J27" s="20"/>
      <c r="K27" s="20"/>
      <c r="L27" s="20"/>
      <c r="M27" s="20"/>
      <c r="N27" s="20"/>
      <c r="O27" s="20"/>
      <c r="P27" s="20"/>
      <c r="Q27" s="20"/>
      <c r="R27" s="20"/>
      <c r="S27" s="20"/>
      <c r="T27" s="20"/>
      <c r="U27" s="20"/>
      <c r="V27" s="20"/>
      <c r="W27" s="20"/>
      <c r="X27" s="20"/>
      <c r="Y27" s="20"/>
      <c r="Z27" s="20"/>
    </row>
    <row r="28" spans="1:26" ht="17.25" customHeight="1">
      <c r="B28" s="57"/>
      <c r="C28" s="57"/>
      <c r="D28" s="57"/>
      <c r="E28" s="57"/>
      <c r="F28" s="57"/>
      <c r="G28" s="57"/>
      <c r="H28" s="20"/>
      <c r="I28" s="20"/>
      <c r="J28" s="20"/>
      <c r="K28" s="20"/>
      <c r="L28" s="20"/>
      <c r="M28" s="20"/>
      <c r="N28" s="20"/>
      <c r="O28" s="20"/>
      <c r="P28" s="20"/>
      <c r="Q28" s="20"/>
      <c r="R28" s="20"/>
      <c r="S28" s="20"/>
      <c r="T28" s="20"/>
      <c r="U28" s="20"/>
      <c r="V28" s="20"/>
      <c r="W28" s="20"/>
      <c r="X28" s="20"/>
      <c r="Y28" s="20"/>
      <c r="Z28" s="20"/>
    </row>
    <row r="29" spans="1:26" ht="17.25" customHeight="1">
      <c r="A29" s="60"/>
      <c r="B29" s="57"/>
      <c r="C29" s="57"/>
      <c r="D29" s="57"/>
      <c r="E29" s="57"/>
      <c r="F29" s="57"/>
      <c r="G29" s="57"/>
      <c r="H29" s="20"/>
      <c r="I29" s="20"/>
      <c r="J29" s="20"/>
      <c r="K29" s="20"/>
      <c r="L29" s="20"/>
      <c r="M29" s="20"/>
      <c r="N29" s="20"/>
      <c r="O29" s="20"/>
      <c r="P29" s="20"/>
      <c r="Q29" s="20"/>
      <c r="R29" s="20"/>
      <c r="S29" s="20"/>
      <c r="T29" s="20"/>
      <c r="U29" s="20"/>
      <c r="V29" s="20"/>
      <c r="W29" s="20"/>
      <c r="X29" s="20"/>
      <c r="Y29" s="20"/>
      <c r="Z29" s="20"/>
    </row>
    <row r="30" spans="1:26" ht="17.25" customHeight="1">
      <c r="B30" s="57"/>
      <c r="C30" s="57"/>
      <c r="D30" s="57"/>
      <c r="E30" s="57"/>
      <c r="F30" s="57"/>
      <c r="G30" s="57"/>
      <c r="H30" s="20"/>
      <c r="I30" s="20"/>
      <c r="J30" s="20"/>
      <c r="K30" s="20"/>
      <c r="L30" s="20"/>
      <c r="M30" s="20"/>
      <c r="N30" s="20"/>
      <c r="O30" s="20"/>
      <c r="P30" s="20"/>
      <c r="Q30" s="20"/>
      <c r="R30" s="20"/>
      <c r="S30" s="20"/>
      <c r="T30" s="20"/>
      <c r="U30" s="20"/>
      <c r="V30" s="20"/>
      <c r="W30" s="20"/>
      <c r="X30" s="20"/>
      <c r="Y30" s="20"/>
      <c r="Z30" s="20"/>
    </row>
    <row r="31" spans="1:26" ht="17.25" customHeight="1">
      <c r="B31" s="57"/>
      <c r="C31" s="57"/>
      <c r="D31" s="57"/>
      <c r="E31" s="57"/>
      <c r="F31" s="57"/>
      <c r="G31" s="57"/>
      <c r="H31" s="20"/>
      <c r="I31" s="20"/>
      <c r="J31" s="20"/>
      <c r="K31" s="20"/>
      <c r="L31" s="20"/>
      <c r="M31" s="20"/>
      <c r="N31" s="20"/>
      <c r="O31" s="20"/>
      <c r="P31" s="20"/>
      <c r="Q31" s="20"/>
      <c r="R31" s="20"/>
      <c r="S31" s="20"/>
      <c r="T31" s="20"/>
      <c r="U31" s="20"/>
      <c r="V31" s="20"/>
      <c r="W31" s="20"/>
      <c r="X31" s="20"/>
      <c r="Y31" s="20"/>
      <c r="Z31" s="20"/>
    </row>
    <row r="32" spans="1:26" ht="17.25" customHeight="1">
      <c r="B32" s="57"/>
      <c r="C32" s="57"/>
      <c r="D32" s="57"/>
      <c r="E32" s="57"/>
      <c r="F32" s="57"/>
      <c r="G32" s="57"/>
      <c r="H32" s="20"/>
      <c r="I32" s="20"/>
      <c r="J32" s="20"/>
      <c r="K32" s="20"/>
      <c r="L32" s="20"/>
      <c r="M32" s="20"/>
      <c r="N32" s="20"/>
      <c r="O32" s="20"/>
      <c r="P32" s="20"/>
      <c r="Q32" s="20"/>
      <c r="R32" s="20"/>
      <c r="S32" s="20"/>
      <c r="T32" s="20"/>
      <c r="U32" s="20"/>
      <c r="V32" s="20"/>
      <c r="W32" s="20"/>
      <c r="X32" s="20"/>
      <c r="Y32" s="20"/>
      <c r="Z32" s="20"/>
    </row>
    <row r="33" spans="2:26" ht="17.25" customHeight="1">
      <c r="B33" s="57"/>
      <c r="C33" s="57"/>
      <c r="D33" s="57"/>
      <c r="E33" s="57"/>
      <c r="F33" s="57"/>
      <c r="G33" s="57"/>
      <c r="H33" s="20"/>
      <c r="I33" s="20"/>
      <c r="J33" s="20"/>
      <c r="K33" s="20"/>
      <c r="L33" s="20"/>
      <c r="M33" s="20"/>
      <c r="N33" s="20"/>
      <c r="O33" s="20"/>
      <c r="P33" s="20"/>
      <c r="Q33" s="20"/>
      <c r="R33" s="20"/>
      <c r="S33" s="20"/>
      <c r="T33" s="20"/>
      <c r="U33" s="20"/>
      <c r="V33" s="20"/>
      <c r="W33" s="20"/>
      <c r="X33" s="20"/>
      <c r="Y33" s="20"/>
      <c r="Z33" s="20"/>
    </row>
    <row r="34" spans="2:26" ht="17.25" customHeight="1">
      <c r="B34" s="57"/>
      <c r="C34" s="57"/>
      <c r="D34" s="57"/>
      <c r="E34" s="57"/>
      <c r="F34" s="57"/>
      <c r="G34" s="57"/>
      <c r="H34" s="20"/>
      <c r="I34" s="20"/>
      <c r="J34" s="20"/>
      <c r="K34" s="20"/>
      <c r="L34" s="20"/>
      <c r="M34" s="20"/>
      <c r="N34" s="20"/>
      <c r="O34" s="20"/>
      <c r="P34" s="20"/>
      <c r="Q34" s="20"/>
      <c r="R34" s="20"/>
      <c r="S34" s="20"/>
      <c r="T34" s="20"/>
      <c r="U34" s="20"/>
      <c r="V34" s="20"/>
      <c r="W34" s="20"/>
      <c r="X34" s="20"/>
      <c r="Y34" s="20"/>
      <c r="Z34" s="20"/>
    </row>
    <row r="35" spans="2:26" ht="17.25" customHeight="1">
      <c r="B35" s="57"/>
      <c r="C35" s="57"/>
      <c r="D35" s="57"/>
      <c r="E35" s="57"/>
      <c r="F35" s="57"/>
      <c r="G35" s="57"/>
      <c r="H35" s="20"/>
      <c r="I35" s="20"/>
      <c r="J35" s="20"/>
      <c r="K35" s="20"/>
      <c r="L35" s="20"/>
      <c r="M35" s="20"/>
      <c r="N35" s="20"/>
      <c r="O35" s="20"/>
      <c r="P35" s="20"/>
      <c r="Q35" s="20"/>
      <c r="R35" s="20"/>
      <c r="S35" s="20"/>
      <c r="T35" s="20"/>
      <c r="U35" s="20"/>
      <c r="V35" s="20"/>
      <c r="W35" s="20"/>
      <c r="X35" s="20"/>
      <c r="Y35" s="20"/>
      <c r="Z35" s="20"/>
    </row>
    <row r="36" spans="2:26" ht="17.25" customHeight="1">
      <c r="B36" s="57"/>
      <c r="C36" s="57"/>
      <c r="D36" s="57"/>
      <c r="E36" s="57"/>
      <c r="F36" s="57"/>
      <c r="G36" s="57"/>
      <c r="H36" s="20"/>
      <c r="I36" s="20"/>
      <c r="J36" s="20"/>
      <c r="K36" s="20"/>
      <c r="L36" s="20"/>
      <c r="M36" s="20"/>
      <c r="N36" s="20"/>
      <c r="O36" s="20"/>
      <c r="P36" s="20"/>
      <c r="Q36" s="20"/>
      <c r="R36" s="20"/>
      <c r="S36" s="20"/>
      <c r="T36" s="20"/>
      <c r="U36" s="20"/>
      <c r="V36" s="20"/>
      <c r="W36" s="20"/>
      <c r="X36" s="20"/>
      <c r="Y36" s="20"/>
      <c r="Z36" s="20"/>
    </row>
    <row r="37" spans="2:26" ht="17.25" customHeight="1">
      <c r="B37" s="57"/>
      <c r="C37" s="57"/>
      <c r="D37" s="57"/>
      <c r="E37" s="57"/>
      <c r="F37" s="57"/>
      <c r="G37" s="57"/>
      <c r="H37" s="20"/>
      <c r="I37" s="20"/>
      <c r="J37" s="20"/>
      <c r="K37" s="20"/>
      <c r="L37" s="20"/>
      <c r="M37" s="20"/>
      <c r="N37" s="20"/>
      <c r="O37" s="20"/>
      <c r="P37" s="20"/>
      <c r="Q37" s="20"/>
      <c r="R37" s="20"/>
      <c r="S37" s="20"/>
      <c r="T37" s="20"/>
      <c r="U37" s="20"/>
      <c r="V37" s="20"/>
      <c r="W37" s="20"/>
      <c r="X37" s="20"/>
      <c r="Y37" s="20"/>
      <c r="Z37" s="20"/>
    </row>
    <row r="38" spans="2:26" ht="17.25" customHeight="1">
      <c r="B38" s="57"/>
      <c r="C38" s="57"/>
      <c r="D38" s="57"/>
      <c r="E38" s="57"/>
      <c r="F38" s="57"/>
      <c r="G38" s="57"/>
      <c r="H38" s="20"/>
      <c r="I38" s="20"/>
      <c r="J38" s="20"/>
      <c r="K38" s="20"/>
      <c r="L38" s="20"/>
      <c r="M38" s="20"/>
      <c r="N38" s="20"/>
      <c r="O38" s="20"/>
      <c r="P38" s="20"/>
      <c r="Q38" s="20"/>
      <c r="R38" s="20"/>
      <c r="S38" s="20"/>
      <c r="T38" s="20"/>
      <c r="U38" s="20"/>
      <c r="V38" s="20"/>
      <c r="W38" s="20"/>
      <c r="X38" s="20"/>
      <c r="Y38" s="20"/>
      <c r="Z38" s="20"/>
    </row>
    <row r="39" spans="2:26" ht="17.25" customHeight="1">
      <c r="B39" s="57"/>
      <c r="C39" s="57"/>
      <c r="D39" s="57"/>
      <c r="E39" s="57"/>
      <c r="F39" s="57"/>
      <c r="G39" s="57"/>
      <c r="H39" s="20"/>
      <c r="I39" s="20"/>
      <c r="J39" s="20"/>
      <c r="K39" s="20"/>
      <c r="L39" s="20"/>
      <c r="M39" s="20"/>
      <c r="N39" s="20"/>
      <c r="O39" s="20"/>
      <c r="P39" s="20"/>
      <c r="Q39" s="20"/>
      <c r="R39" s="20"/>
      <c r="S39" s="20"/>
      <c r="T39" s="20"/>
      <c r="U39" s="20"/>
      <c r="V39" s="20"/>
      <c r="W39" s="20"/>
      <c r="X39" s="20"/>
      <c r="Y39" s="20"/>
      <c r="Z39" s="20"/>
    </row>
    <row r="40" spans="2:26" ht="17.25" customHeight="1">
      <c r="B40" s="57"/>
      <c r="C40" s="57"/>
      <c r="D40" s="57"/>
      <c r="E40" s="57"/>
      <c r="F40" s="57"/>
      <c r="G40" s="57"/>
      <c r="H40" s="20"/>
      <c r="I40" s="20"/>
      <c r="J40" s="20"/>
      <c r="K40" s="20"/>
      <c r="L40" s="20"/>
      <c r="M40" s="20"/>
      <c r="N40" s="20"/>
      <c r="O40" s="20"/>
      <c r="P40" s="20"/>
      <c r="Q40" s="20"/>
      <c r="R40" s="20"/>
      <c r="S40" s="20"/>
      <c r="T40" s="20"/>
      <c r="U40" s="20"/>
      <c r="V40" s="20"/>
      <c r="W40" s="20"/>
      <c r="X40" s="20"/>
      <c r="Y40" s="20"/>
      <c r="Z40" s="20"/>
    </row>
    <row r="41" spans="2:26" ht="17.25" customHeight="1">
      <c r="B41" s="57"/>
      <c r="C41" s="57"/>
      <c r="D41" s="57"/>
      <c r="E41" s="57"/>
      <c r="F41" s="57"/>
      <c r="G41" s="57"/>
      <c r="H41" s="20"/>
      <c r="I41" s="20"/>
      <c r="J41" s="20"/>
      <c r="K41" s="20"/>
      <c r="L41" s="20"/>
      <c r="M41" s="20"/>
      <c r="N41" s="20"/>
      <c r="O41" s="20"/>
      <c r="P41" s="20"/>
      <c r="Q41" s="20"/>
      <c r="R41" s="20"/>
      <c r="S41" s="20"/>
      <c r="T41" s="20"/>
      <c r="U41" s="20"/>
      <c r="V41" s="20"/>
      <c r="W41" s="20"/>
      <c r="X41" s="20"/>
      <c r="Y41" s="20"/>
      <c r="Z41" s="20"/>
    </row>
    <row r="42" spans="2:26" ht="17.25" customHeight="1">
      <c r="B42" s="57"/>
      <c r="C42" s="57"/>
      <c r="D42" s="57"/>
      <c r="E42" s="57"/>
      <c r="F42" s="57"/>
      <c r="G42" s="57"/>
      <c r="H42" s="20"/>
      <c r="I42" s="20"/>
      <c r="J42" s="20"/>
      <c r="K42" s="20"/>
      <c r="L42" s="20"/>
      <c r="M42" s="20"/>
      <c r="N42" s="20"/>
      <c r="O42" s="20"/>
      <c r="P42" s="20"/>
      <c r="Q42" s="20"/>
      <c r="R42" s="20"/>
      <c r="S42" s="20"/>
      <c r="T42" s="20"/>
      <c r="U42" s="20"/>
      <c r="V42" s="20"/>
      <c r="W42" s="20"/>
      <c r="X42" s="20"/>
      <c r="Y42" s="20"/>
      <c r="Z42" s="20"/>
    </row>
    <row r="43" spans="2:26" ht="17.25" customHeight="1">
      <c r="B43" s="57"/>
      <c r="C43" s="57"/>
      <c r="D43" s="57"/>
      <c r="E43" s="57"/>
      <c r="F43" s="57"/>
      <c r="G43" s="57"/>
      <c r="H43" s="20"/>
      <c r="I43" s="20"/>
      <c r="J43" s="20"/>
      <c r="K43" s="20"/>
      <c r="L43" s="20"/>
      <c r="M43" s="20"/>
      <c r="N43" s="20"/>
      <c r="O43" s="20"/>
      <c r="P43" s="20"/>
      <c r="Q43" s="20"/>
      <c r="R43" s="20"/>
      <c r="S43" s="20"/>
      <c r="T43" s="20"/>
      <c r="U43" s="20"/>
      <c r="V43" s="20"/>
      <c r="W43" s="20"/>
      <c r="X43" s="20"/>
      <c r="Y43" s="20"/>
      <c r="Z43" s="20"/>
    </row>
    <row r="44" spans="2:26" ht="17.25" customHeight="1">
      <c r="B44" s="57"/>
      <c r="C44" s="57"/>
      <c r="D44" s="57"/>
      <c r="E44" s="57"/>
      <c r="F44" s="57"/>
      <c r="G44" s="57"/>
      <c r="H44" s="20"/>
      <c r="I44" s="20"/>
      <c r="J44" s="20"/>
      <c r="K44" s="20"/>
      <c r="L44" s="20"/>
      <c r="M44" s="20"/>
      <c r="N44" s="20"/>
      <c r="O44" s="20"/>
      <c r="P44" s="20"/>
      <c r="Q44" s="20"/>
      <c r="R44" s="20"/>
      <c r="S44" s="20"/>
      <c r="T44" s="20"/>
      <c r="U44" s="20"/>
      <c r="V44" s="20"/>
      <c r="W44" s="20"/>
      <c r="X44" s="20"/>
      <c r="Y44" s="20"/>
      <c r="Z44" s="20"/>
    </row>
    <row r="45" spans="2:26" ht="17.25" customHeight="1">
      <c r="B45" s="57"/>
      <c r="C45" s="57"/>
      <c r="D45" s="57"/>
      <c r="E45" s="57"/>
      <c r="F45" s="57"/>
      <c r="G45" s="57"/>
      <c r="H45" s="20"/>
      <c r="I45" s="20"/>
      <c r="J45" s="20"/>
      <c r="K45" s="20"/>
      <c r="L45" s="20"/>
      <c r="M45" s="20"/>
      <c r="N45" s="20"/>
      <c r="O45" s="20"/>
      <c r="P45" s="20"/>
      <c r="Q45" s="20"/>
      <c r="R45" s="20"/>
      <c r="S45" s="20"/>
      <c r="T45" s="20"/>
      <c r="U45" s="20"/>
      <c r="V45" s="20"/>
      <c r="W45" s="20"/>
      <c r="X45" s="20"/>
      <c r="Y45" s="20"/>
      <c r="Z45" s="20"/>
    </row>
    <row r="46" spans="2:26" ht="17.25" customHeight="1">
      <c r="B46" s="57"/>
      <c r="C46" s="57"/>
      <c r="D46" s="57"/>
      <c r="E46" s="57"/>
      <c r="F46" s="57"/>
      <c r="G46" s="57"/>
      <c r="H46" s="20"/>
      <c r="I46" s="20"/>
      <c r="J46" s="20"/>
      <c r="K46" s="20"/>
      <c r="L46" s="20"/>
      <c r="M46" s="20"/>
      <c r="N46" s="20"/>
      <c r="O46" s="20"/>
      <c r="P46" s="20"/>
      <c r="Q46" s="20"/>
      <c r="R46" s="20"/>
      <c r="S46" s="20"/>
      <c r="T46" s="20"/>
      <c r="U46" s="20"/>
      <c r="V46" s="20"/>
      <c r="W46" s="20"/>
      <c r="X46" s="20"/>
      <c r="Y46" s="20"/>
      <c r="Z46" s="20"/>
    </row>
    <row r="47" spans="2:26" ht="17.25" customHeight="1">
      <c r="B47" s="57"/>
      <c r="C47" s="57"/>
      <c r="D47" s="57"/>
      <c r="E47" s="57"/>
      <c r="F47" s="57"/>
      <c r="G47" s="57"/>
      <c r="H47" s="20"/>
      <c r="I47" s="20"/>
      <c r="J47" s="20"/>
      <c r="K47" s="20"/>
      <c r="L47" s="20"/>
      <c r="M47" s="20"/>
      <c r="N47" s="20"/>
      <c r="O47" s="20"/>
      <c r="P47" s="20"/>
      <c r="Q47" s="20"/>
      <c r="R47" s="20"/>
      <c r="S47" s="20"/>
      <c r="T47" s="20"/>
      <c r="U47" s="20"/>
      <c r="V47" s="20"/>
      <c r="W47" s="20"/>
      <c r="X47" s="20"/>
      <c r="Y47" s="20"/>
      <c r="Z47" s="20"/>
    </row>
    <row r="48" spans="2:26" ht="17.25" customHeight="1">
      <c r="B48" s="57"/>
      <c r="C48" s="57"/>
      <c r="D48" s="57"/>
      <c r="E48" s="57"/>
      <c r="F48" s="57"/>
      <c r="G48" s="57"/>
      <c r="H48" s="20"/>
      <c r="I48" s="20"/>
      <c r="J48" s="20"/>
      <c r="K48" s="20"/>
      <c r="L48" s="20"/>
      <c r="M48" s="20"/>
      <c r="N48" s="20"/>
      <c r="O48" s="20"/>
      <c r="P48" s="20"/>
      <c r="Q48" s="20"/>
      <c r="R48" s="20"/>
      <c r="S48" s="20"/>
      <c r="T48" s="20"/>
      <c r="U48" s="20"/>
      <c r="V48" s="20"/>
      <c r="W48" s="20"/>
      <c r="X48" s="20"/>
      <c r="Y48" s="20"/>
      <c r="Z48" s="20"/>
    </row>
    <row r="49" spans="2:26" ht="17.25" customHeight="1">
      <c r="B49" s="57"/>
      <c r="C49" s="57"/>
      <c r="D49" s="57"/>
      <c r="E49" s="57"/>
      <c r="F49" s="57"/>
      <c r="G49" s="57"/>
      <c r="H49" s="20"/>
      <c r="I49" s="20"/>
      <c r="J49" s="20"/>
      <c r="K49" s="20"/>
      <c r="L49" s="20"/>
      <c r="M49" s="20"/>
      <c r="N49" s="20"/>
      <c r="O49" s="20"/>
      <c r="P49" s="20"/>
      <c r="Q49" s="20"/>
      <c r="R49" s="20"/>
      <c r="S49" s="20"/>
      <c r="T49" s="20"/>
      <c r="U49" s="20"/>
      <c r="V49" s="20"/>
      <c r="W49" s="20"/>
      <c r="X49" s="20"/>
      <c r="Y49" s="20"/>
      <c r="Z49" s="20"/>
    </row>
    <row r="50" spans="2:26" ht="17.25" customHeight="1">
      <c r="B50" s="57"/>
      <c r="C50" s="57"/>
      <c r="D50" s="57"/>
      <c r="E50" s="57"/>
      <c r="F50" s="57"/>
      <c r="G50" s="57"/>
      <c r="H50" s="20"/>
      <c r="I50" s="20"/>
      <c r="J50" s="20"/>
      <c r="K50" s="20"/>
      <c r="L50" s="20"/>
      <c r="M50" s="20"/>
      <c r="N50" s="20"/>
      <c r="O50" s="20"/>
      <c r="P50" s="20"/>
      <c r="Q50" s="20"/>
      <c r="R50" s="20"/>
      <c r="S50" s="20"/>
      <c r="T50" s="20"/>
      <c r="U50" s="20"/>
      <c r="V50" s="20"/>
      <c r="W50" s="20"/>
      <c r="X50" s="20"/>
      <c r="Y50" s="20"/>
      <c r="Z50" s="20"/>
    </row>
    <row r="51" spans="2:26" ht="17.25" customHeight="1">
      <c r="B51" s="57"/>
      <c r="C51" s="57"/>
      <c r="D51" s="57"/>
      <c r="E51" s="57"/>
      <c r="F51" s="57"/>
      <c r="G51" s="57"/>
      <c r="H51" s="20"/>
      <c r="I51" s="20"/>
      <c r="J51" s="20"/>
      <c r="K51" s="20"/>
      <c r="L51" s="20"/>
      <c r="M51" s="20"/>
      <c r="N51" s="20"/>
      <c r="O51" s="20"/>
      <c r="P51" s="20"/>
      <c r="Q51" s="20"/>
      <c r="R51" s="20"/>
      <c r="S51" s="20"/>
      <c r="T51" s="20"/>
      <c r="U51" s="20"/>
      <c r="V51" s="20"/>
      <c r="W51" s="20"/>
      <c r="X51" s="20"/>
      <c r="Y51" s="20"/>
      <c r="Z51" s="20"/>
    </row>
    <row r="52" spans="2:26" ht="17.25" customHeight="1">
      <c r="B52" s="57"/>
      <c r="C52" s="57"/>
      <c r="D52" s="57"/>
      <c r="E52" s="57"/>
      <c r="F52" s="57"/>
      <c r="G52" s="57"/>
      <c r="H52" s="20"/>
      <c r="I52" s="20"/>
      <c r="J52" s="20"/>
      <c r="K52" s="20"/>
      <c r="L52" s="20"/>
      <c r="M52" s="20"/>
      <c r="N52" s="20"/>
      <c r="O52" s="20"/>
      <c r="P52" s="20"/>
      <c r="Q52" s="20"/>
      <c r="R52" s="20"/>
      <c r="S52" s="20"/>
      <c r="T52" s="20"/>
      <c r="U52" s="20"/>
      <c r="V52" s="20"/>
      <c r="W52" s="20"/>
      <c r="X52" s="20"/>
      <c r="Y52" s="20"/>
      <c r="Z52" s="20"/>
    </row>
    <row r="53" spans="2:26" ht="17.25" customHeight="1">
      <c r="B53" s="57"/>
      <c r="C53" s="57"/>
      <c r="D53" s="57"/>
      <c r="E53" s="57"/>
      <c r="F53" s="57"/>
      <c r="G53" s="57"/>
      <c r="H53" s="20"/>
      <c r="I53" s="20"/>
      <c r="J53" s="20"/>
      <c r="K53" s="20"/>
      <c r="L53" s="20"/>
      <c r="M53" s="20"/>
      <c r="N53" s="20"/>
      <c r="O53" s="20"/>
      <c r="P53" s="20"/>
      <c r="Q53" s="20"/>
      <c r="R53" s="20"/>
      <c r="S53" s="20"/>
      <c r="T53" s="20"/>
      <c r="U53" s="20"/>
      <c r="V53" s="20"/>
      <c r="W53" s="20"/>
      <c r="X53" s="20"/>
      <c r="Y53" s="20"/>
      <c r="Z53" s="20"/>
    </row>
    <row r="54" spans="2:26" ht="17.25" customHeight="1">
      <c r="B54" s="57"/>
      <c r="C54" s="57"/>
      <c r="D54" s="57"/>
      <c r="E54" s="57"/>
      <c r="F54" s="57"/>
      <c r="G54" s="57"/>
      <c r="H54" s="20"/>
      <c r="I54" s="20"/>
      <c r="J54" s="20"/>
      <c r="K54" s="20"/>
      <c r="L54" s="20"/>
      <c r="M54" s="20"/>
      <c r="N54" s="20"/>
      <c r="O54" s="20"/>
      <c r="P54" s="20"/>
      <c r="Q54" s="20"/>
      <c r="R54" s="20"/>
      <c r="S54" s="20"/>
      <c r="T54" s="20"/>
      <c r="U54" s="20"/>
      <c r="V54" s="20"/>
      <c r="W54" s="20"/>
      <c r="X54" s="20"/>
      <c r="Y54" s="20"/>
      <c r="Z54" s="20"/>
    </row>
    <row r="55" spans="2:26" ht="17.25" customHeight="1">
      <c r="B55" s="57"/>
      <c r="C55" s="57"/>
      <c r="D55" s="57"/>
      <c r="E55" s="57"/>
      <c r="F55" s="57"/>
      <c r="G55" s="57"/>
      <c r="H55" s="20"/>
      <c r="I55" s="20"/>
      <c r="J55" s="20"/>
      <c r="K55" s="20"/>
      <c r="L55" s="20"/>
      <c r="M55" s="20"/>
      <c r="N55" s="20"/>
      <c r="O55" s="20"/>
      <c r="P55" s="20"/>
      <c r="Q55" s="20"/>
      <c r="R55" s="20"/>
      <c r="S55" s="20"/>
      <c r="T55" s="20"/>
      <c r="U55" s="20"/>
      <c r="V55" s="20"/>
      <c r="W55" s="20"/>
      <c r="X55" s="20"/>
      <c r="Y55" s="20"/>
      <c r="Z55" s="20"/>
    </row>
    <row r="56" spans="2:26" ht="17.25" customHeight="1">
      <c r="B56" s="57"/>
      <c r="C56" s="57"/>
      <c r="D56" s="57"/>
      <c r="E56" s="57"/>
      <c r="F56" s="57"/>
      <c r="G56" s="57"/>
      <c r="H56" s="20"/>
      <c r="I56" s="20"/>
      <c r="J56" s="20"/>
      <c r="K56" s="20"/>
      <c r="L56" s="20"/>
      <c r="M56" s="20"/>
      <c r="N56" s="20"/>
      <c r="O56" s="20"/>
      <c r="P56" s="20"/>
      <c r="Q56" s="20"/>
      <c r="R56" s="20"/>
      <c r="S56" s="20"/>
      <c r="T56" s="20"/>
      <c r="U56" s="20"/>
      <c r="V56" s="20"/>
      <c r="W56" s="20"/>
      <c r="X56" s="20"/>
      <c r="Y56" s="20"/>
      <c r="Z56" s="20"/>
    </row>
    <row r="57" spans="2:26" ht="17.25" customHeight="1">
      <c r="B57" s="57"/>
      <c r="C57" s="57"/>
      <c r="D57" s="57"/>
      <c r="E57" s="57"/>
      <c r="F57" s="57"/>
      <c r="G57" s="57"/>
      <c r="H57" s="20"/>
      <c r="I57" s="20"/>
      <c r="J57" s="20"/>
      <c r="K57" s="20"/>
      <c r="L57" s="20"/>
      <c r="M57" s="20"/>
      <c r="N57" s="20"/>
      <c r="O57" s="20"/>
      <c r="P57" s="20"/>
      <c r="Q57" s="20"/>
      <c r="R57" s="20"/>
      <c r="S57" s="20"/>
      <c r="T57" s="20"/>
      <c r="U57" s="20"/>
      <c r="V57" s="20"/>
      <c r="W57" s="20"/>
      <c r="X57" s="20"/>
      <c r="Y57" s="20"/>
      <c r="Z57" s="20"/>
    </row>
    <row r="58" spans="2:26" ht="17.25" customHeight="1">
      <c r="B58" s="57"/>
      <c r="C58" s="57"/>
      <c r="D58" s="57"/>
      <c r="E58" s="57"/>
      <c r="F58" s="57"/>
      <c r="G58" s="57"/>
      <c r="H58" s="20"/>
      <c r="I58" s="20"/>
      <c r="J58" s="20"/>
      <c r="K58" s="20"/>
      <c r="L58" s="20"/>
      <c r="M58" s="20"/>
      <c r="N58" s="20"/>
      <c r="O58" s="20"/>
      <c r="P58" s="20"/>
      <c r="Q58" s="20"/>
      <c r="R58" s="20"/>
      <c r="S58" s="20"/>
      <c r="T58" s="20"/>
      <c r="U58" s="20"/>
      <c r="V58" s="20"/>
      <c r="W58" s="20"/>
      <c r="X58" s="20"/>
      <c r="Y58" s="20"/>
      <c r="Z58" s="20"/>
    </row>
    <row r="59" spans="2:26" ht="17.25" customHeight="1">
      <c r="B59" s="57"/>
      <c r="C59" s="57"/>
      <c r="D59" s="57"/>
      <c r="E59" s="57"/>
      <c r="F59" s="57"/>
      <c r="G59" s="57"/>
      <c r="H59" s="20"/>
      <c r="I59" s="20"/>
      <c r="J59" s="20"/>
      <c r="K59" s="20"/>
      <c r="L59" s="20"/>
      <c r="M59" s="20"/>
      <c r="N59" s="20"/>
      <c r="O59" s="20"/>
      <c r="P59" s="20"/>
      <c r="Q59" s="20"/>
      <c r="R59" s="20"/>
      <c r="S59" s="20"/>
      <c r="T59" s="20"/>
      <c r="U59" s="20"/>
      <c r="V59" s="20"/>
      <c r="W59" s="20"/>
      <c r="X59" s="20"/>
      <c r="Y59" s="20"/>
      <c r="Z59" s="20"/>
    </row>
    <row r="60" spans="2:26" ht="17.25" customHeight="1">
      <c r="B60" s="57"/>
      <c r="C60" s="57"/>
      <c r="D60" s="57"/>
      <c r="E60" s="57"/>
      <c r="F60" s="57"/>
      <c r="G60" s="57"/>
      <c r="H60" s="20"/>
      <c r="I60" s="20"/>
      <c r="J60" s="20"/>
      <c r="K60" s="20"/>
      <c r="L60" s="20"/>
      <c r="M60" s="20"/>
      <c r="N60" s="20"/>
      <c r="O60" s="20"/>
      <c r="P60" s="20"/>
      <c r="Q60" s="20"/>
      <c r="R60" s="20"/>
      <c r="S60" s="20"/>
      <c r="T60" s="20"/>
      <c r="U60" s="20"/>
      <c r="V60" s="20"/>
      <c r="W60" s="20"/>
      <c r="X60" s="20"/>
      <c r="Y60" s="20"/>
      <c r="Z60" s="20"/>
    </row>
    <row r="61" spans="2:26" ht="17.25" customHeight="1">
      <c r="B61" s="57"/>
      <c r="C61" s="57"/>
      <c r="D61" s="57"/>
      <c r="E61" s="57"/>
      <c r="F61" s="57"/>
      <c r="G61" s="57"/>
      <c r="H61" s="20"/>
      <c r="I61" s="20"/>
      <c r="J61" s="20"/>
      <c r="K61" s="20"/>
      <c r="L61" s="20"/>
      <c r="M61" s="20"/>
      <c r="N61" s="20"/>
      <c r="O61" s="20"/>
      <c r="P61" s="20"/>
      <c r="Q61" s="20"/>
      <c r="R61" s="20"/>
      <c r="S61" s="20"/>
      <c r="T61" s="20"/>
      <c r="U61" s="20"/>
      <c r="V61" s="20"/>
      <c r="W61" s="20"/>
      <c r="X61" s="20"/>
      <c r="Y61" s="20"/>
      <c r="Z61" s="20"/>
    </row>
    <row r="62" spans="2:26" ht="17.25" customHeight="1">
      <c r="B62" s="57"/>
      <c r="C62" s="57"/>
      <c r="D62" s="57"/>
      <c r="E62" s="57"/>
      <c r="F62" s="57"/>
      <c r="G62" s="57"/>
      <c r="H62" s="20"/>
      <c r="I62" s="20"/>
      <c r="J62" s="20"/>
      <c r="K62" s="20"/>
      <c r="L62" s="20"/>
      <c r="M62" s="20"/>
      <c r="N62" s="20"/>
      <c r="O62" s="20"/>
      <c r="P62" s="20"/>
      <c r="Q62" s="20"/>
      <c r="R62" s="20"/>
      <c r="S62" s="20"/>
      <c r="T62" s="20"/>
      <c r="U62" s="20"/>
      <c r="V62" s="20"/>
      <c r="W62" s="20"/>
      <c r="X62" s="20"/>
      <c r="Y62" s="20"/>
      <c r="Z62" s="20"/>
    </row>
    <row r="63" spans="2:26" ht="17.25" customHeight="1">
      <c r="B63" s="57"/>
      <c r="C63" s="57"/>
      <c r="D63" s="57"/>
      <c r="E63" s="57"/>
      <c r="F63" s="57"/>
      <c r="G63" s="57"/>
      <c r="H63" s="20"/>
      <c r="I63" s="20"/>
      <c r="J63" s="20"/>
      <c r="K63" s="20"/>
      <c r="L63" s="20"/>
      <c r="M63" s="20"/>
      <c r="N63" s="20"/>
      <c r="O63" s="20"/>
      <c r="P63" s="20"/>
      <c r="Q63" s="20"/>
      <c r="R63" s="20"/>
      <c r="S63" s="20"/>
      <c r="T63" s="20"/>
      <c r="U63" s="20"/>
      <c r="V63" s="20"/>
      <c r="W63" s="20"/>
      <c r="X63" s="20"/>
      <c r="Y63" s="20"/>
      <c r="Z63" s="20"/>
    </row>
    <row r="64" spans="2:26" ht="17.25" customHeight="1">
      <c r="B64" s="57"/>
      <c r="C64" s="57"/>
      <c r="D64" s="57"/>
      <c r="E64" s="57"/>
      <c r="F64" s="57"/>
      <c r="G64" s="57"/>
      <c r="H64" s="20"/>
      <c r="I64" s="20"/>
      <c r="J64" s="20"/>
      <c r="K64" s="20"/>
      <c r="L64" s="20"/>
      <c r="M64" s="20"/>
      <c r="N64" s="20"/>
      <c r="O64" s="20"/>
      <c r="P64" s="20"/>
      <c r="Q64" s="20"/>
      <c r="R64" s="20"/>
      <c r="S64" s="20"/>
      <c r="T64" s="20"/>
      <c r="U64" s="20"/>
      <c r="V64" s="20"/>
      <c r="W64" s="20"/>
      <c r="X64" s="20"/>
      <c r="Y64" s="20"/>
      <c r="Z64" s="20"/>
    </row>
    <row r="65" spans="2:26" ht="17.25" customHeight="1">
      <c r="B65" s="57"/>
      <c r="C65" s="57"/>
      <c r="D65" s="57"/>
      <c r="E65" s="57"/>
      <c r="F65" s="57"/>
      <c r="G65" s="57"/>
      <c r="H65" s="20"/>
      <c r="I65" s="20"/>
      <c r="J65" s="20"/>
      <c r="K65" s="20"/>
      <c r="L65" s="20"/>
      <c r="M65" s="20"/>
      <c r="N65" s="20"/>
      <c r="O65" s="20"/>
      <c r="P65" s="20"/>
      <c r="Q65" s="20"/>
      <c r="R65" s="20"/>
      <c r="S65" s="20"/>
      <c r="T65" s="20"/>
      <c r="U65" s="20"/>
      <c r="V65" s="20"/>
      <c r="W65" s="20"/>
      <c r="X65" s="20"/>
      <c r="Y65" s="20"/>
      <c r="Z65" s="20"/>
    </row>
    <row r="66" spans="2:26" ht="17.25" customHeight="1">
      <c r="B66" s="57"/>
      <c r="C66" s="57"/>
      <c r="D66" s="57"/>
      <c r="E66" s="57"/>
      <c r="F66" s="57"/>
      <c r="G66" s="57"/>
      <c r="H66" s="20"/>
      <c r="I66" s="20"/>
      <c r="J66" s="20"/>
      <c r="K66" s="20"/>
      <c r="L66" s="20"/>
      <c r="M66" s="20"/>
      <c r="N66" s="20"/>
      <c r="O66" s="20"/>
      <c r="P66" s="20"/>
      <c r="Q66" s="20"/>
      <c r="R66" s="20"/>
      <c r="S66" s="20"/>
      <c r="T66" s="20"/>
      <c r="U66" s="20"/>
      <c r="V66" s="20"/>
      <c r="W66" s="20"/>
      <c r="X66" s="20"/>
      <c r="Y66" s="20"/>
      <c r="Z66" s="20"/>
    </row>
    <row r="67" spans="2:26" ht="17.25" customHeight="1">
      <c r="B67" s="57"/>
      <c r="C67" s="57"/>
      <c r="D67" s="57"/>
      <c r="E67" s="57"/>
      <c r="F67" s="57"/>
      <c r="G67" s="57"/>
      <c r="H67" s="20"/>
      <c r="I67" s="20"/>
      <c r="J67" s="20"/>
      <c r="K67" s="20"/>
      <c r="L67" s="20"/>
      <c r="M67" s="20"/>
      <c r="N67" s="20"/>
      <c r="O67" s="20"/>
      <c r="P67" s="20"/>
      <c r="Q67" s="20"/>
      <c r="R67" s="20"/>
      <c r="S67" s="20"/>
      <c r="T67" s="20"/>
      <c r="U67" s="20"/>
      <c r="V67" s="20"/>
      <c r="W67" s="20"/>
      <c r="X67" s="20"/>
      <c r="Y67" s="20"/>
      <c r="Z67" s="20"/>
    </row>
    <row r="68" spans="2:26" ht="17.25" customHeight="1">
      <c r="B68" s="57"/>
      <c r="C68" s="57"/>
      <c r="D68" s="57"/>
      <c r="E68" s="57"/>
      <c r="F68" s="57"/>
      <c r="G68" s="57"/>
      <c r="H68" s="20"/>
      <c r="I68" s="20"/>
      <c r="J68" s="20"/>
      <c r="K68" s="20"/>
      <c r="L68" s="20"/>
      <c r="M68" s="20"/>
      <c r="N68" s="20"/>
      <c r="O68" s="20"/>
      <c r="P68" s="20"/>
      <c r="Q68" s="20"/>
      <c r="R68" s="20"/>
      <c r="S68" s="20"/>
      <c r="T68" s="20"/>
      <c r="U68" s="20"/>
      <c r="V68" s="20"/>
      <c r="W68" s="20"/>
      <c r="X68" s="20"/>
      <c r="Y68" s="20"/>
      <c r="Z68" s="20"/>
    </row>
    <row r="69" spans="2:26" ht="17.25" customHeight="1">
      <c r="B69" s="57"/>
      <c r="C69" s="57"/>
      <c r="D69" s="57"/>
      <c r="E69" s="57"/>
      <c r="F69" s="57"/>
      <c r="G69" s="57"/>
      <c r="H69" s="20"/>
      <c r="I69" s="20"/>
      <c r="J69" s="20"/>
      <c r="K69" s="20"/>
      <c r="L69" s="20"/>
      <c r="M69" s="20"/>
      <c r="N69" s="20"/>
      <c r="O69" s="20"/>
      <c r="P69" s="20"/>
      <c r="Q69" s="20"/>
      <c r="R69" s="20"/>
      <c r="S69" s="20"/>
      <c r="T69" s="20"/>
      <c r="U69" s="20"/>
      <c r="V69" s="20"/>
      <c r="W69" s="20"/>
      <c r="X69" s="20"/>
      <c r="Y69" s="20"/>
      <c r="Z69" s="20"/>
    </row>
    <row r="70" spans="2:26" ht="17.25" customHeight="1">
      <c r="B70" s="57"/>
      <c r="C70" s="57"/>
      <c r="D70" s="57"/>
      <c r="E70" s="57"/>
      <c r="F70" s="57"/>
      <c r="G70" s="57"/>
      <c r="H70" s="20"/>
      <c r="I70" s="20"/>
      <c r="J70" s="20"/>
      <c r="K70" s="20"/>
      <c r="L70" s="20"/>
      <c r="M70" s="20"/>
      <c r="N70" s="20"/>
      <c r="O70" s="20"/>
      <c r="P70" s="20"/>
      <c r="Q70" s="20"/>
      <c r="R70" s="20"/>
      <c r="S70" s="20"/>
      <c r="T70" s="20"/>
      <c r="U70" s="20"/>
      <c r="V70" s="20"/>
      <c r="W70" s="20"/>
      <c r="X70" s="20"/>
      <c r="Y70" s="20"/>
      <c r="Z70" s="20"/>
    </row>
    <row r="71" spans="2:26" ht="17.25" customHeight="1">
      <c r="B71" s="57"/>
      <c r="C71" s="57"/>
      <c r="D71" s="57"/>
      <c r="E71" s="57"/>
      <c r="F71" s="57"/>
      <c r="G71" s="57"/>
      <c r="H71" s="20"/>
      <c r="I71" s="20"/>
      <c r="J71" s="20"/>
      <c r="K71" s="20"/>
      <c r="L71" s="20"/>
      <c r="M71" s="20"/>
      <c r="N71" s="20"/>
      <c r="O71" s="20"/>
      <c r="P71" s="20"/>
      <c r="Q71" s="20"/>
      <c r="R71" s="20"/>
      <c r="S71" s="20"/>
      <c r="T71" s="20"/>
      <c r="U71" s="20"/>
      <c r="V71" s="20"/>
      <c r="W71" s="20"/>
      <c r="X71" s="20"/>
      <c r="Y71" s="20"/>
      <c r="Z71" s="20"/>
    </row>
    <row r="72" spans="2:26" ht="17.25" customHeight="1">
      <c r="B72" s="57"/>
      <c r="C72" s="57"/>
      <c r="D72" s="57"/>
      <c r="E72" s="57"/>
      <c r="F72" s="57"/>
      <c r="G72" s="57"/>
      <c r="H72" s="20"/>
      <c r="I72" s="20"/>
      <c r="J72" s="20"/>
      <c r="K72" s="20"/>
      <c r="L72" s="20"/>
      <c r="M72" s="20"/>
      <c r="N72" s="20"/>
      <c r="O72" s="20"/>
      <c r="P72" s="20"/>
      <c r="Q72" s="20"/>
      <c r="R72" s="20"/>
      <c r="S72" s="20"/>
      <c r="T72" s="20"/>
      <c r="U72" s="20"/>
      <c r="V72" s="20"/>
      <c r="W72" s="20"/>
      <c r="X72" s="20"/>
      <c r="Y72" s="20"/>
      <c r="Z72" s="20"/>
    </row>
    <row r="73" spans="2:26" ht="17.25" customHeight="1">
      <c r="B73" s="57"/>
      <c r="C73" s="57"/>
      <c r="D73" s="57"/>
      <c r="E73" s="57"/>
      <c r="F73" s="57"/>
      <c r="G73" s="57"/>
      <c r="H73" s="20"/>
      <c r="I73" s="20"/>
      <c r="J73" s="20"/>
      <c r="K73" s="20"/>
      <c r="L73" s="20"/>
      <c r="M73" s="20"/>
      <c r="N73" s="20"/>
      <c r="O73" s="20"/>
      <c r="P73" s="20"/>
      <c r="Q73" s="20"/>
      <c r="R73" s="20"/>
      <c r="S73" s="20"/>
      <c r="T73" s="20"/>
      <c r="U73" s="20"/>
      <c r="V73" s="20"/>
      <c r="W73" s="20"/>
      <c r="X73" s="20"/>
      <c r="Y73" s="20"/>
      <c r="Z73" s="20"/>
    </row>
    <row r="74" spans="2:26" ht="17.25" customHeight="1">
      <c r="B74" s="57"/>
      <c r="C74" s="57"/>
      <c r="D74" s="57"/>
      <c r="E74" s="57"/>
      <c r="F74" s="57"/>
      <c r="G74" s="57"/>
      <c r="H74" s="20"/>
      <c r="I74" s="20"/>
      <c r="J74" s="20"/>
      <c r="K74" s="20"/>
      <c r="L74" s="20"/>
      <c r="M74" s="20"/>
      <c r="N74" s="20"/>
      <c r="O74" s="20"/>
      <c r="P74" s="20"/>
      <c r="Q74" s="20"/>
      <c r="R74" s="20"/>
      <c r="S74" s="20"/>
      <c r="T74" s="20"/>
      <c r="U74" s="20"/>
      <c r="V74" s="20"/>
      <c r="W74" s="20"/>
      <c r="X74" s="20"/>
      <c r="Y74" s="20"/>
      <c r="Z74" s="20"/>
    </row>
    <row r="75" spans="2:26" ht="17.25" customHeight="1">
      <c r="B75" s="57"/>
      <c r="C75" s="57"/>
      <c r="D75" s="57"/>
      <c r="E75" s="57"/>
      <c r="F75" s="57"/>
      <c r="G75" s="57"/>
      <c r="H75" s="20"/>
      <c r="I75" s="20"/>
      <c r="J75" s="20"/>
      <c r="K75" s="20"/>
      <c r="L75" s="20"/>
      <c r="M75" s="20"/>
      <c r="N75" s="20"/>
      <c r="O75" s="20"/>
      <c r="P75" s="20"/>
      <c r="Q75" s="20"/>
      <c r="R75" s="20"/>
      <c r="S75" s="20"/>
      <c r="T75" s="20"/>
      <c r="U75" s="20"/>
      <c r="V75" s="20"/>
      <c r="W75" s="20"/>
      <c r="X75" s="20"/>
      <c r="Y75" s="20"/>
      <c r="Z75" s="20"/>
    </row>
    <row r="76" spans="2:26" ht="17.25" customHeight="1">
      <c r="B76" s="57"/>
      <c r="C76" s="57"/>
      <c r="D76" s="57"/>
      <c r="E76" s="57"/>
      <c r="F76" s="57"/>
      <c r="G76" s="57"/>
      <c r="H76" s="20"/>
      <c r="I76" s="20"/>
      <c r="J76" s="20"/>
      <c r="K76" s="20"/>
      <c r="L76" s="20"/>
      <c r="M76" s="20"/>
      <c r="N76" s="20"/>
      <c r="O76" s="20"/>
      <c r="P76" s="20"/>
      <c r="Q76" s="20"/>
      <c r="R76" s="20"/>
      <c r="S76" s="20"/>
      <c r="T76" s="20"/>
      <c r="U76" s="20"/>
      <c r="V76" s="20"/>
      <c r="W76" s="20"/>
      <c r="X76" s="20"/>
      <c r="Y76" s="20"/>
      <c r="Z76" s="20"/>
    </row>
    <row r="77" spans="2:26" ht="17.25" customHeight="1">
      <c r="B77" s="57"/>
      <c r="C77" s="57"/>
      <c r="D77" s="57"/>
      <c r="E77" s="57"/>
      <c r="F77" s="57"/>
      <c r="G77" s="57"/>
      <c r="H77" s="20"/>
      <c r="I77" s="20"/>
      <c r="J77" s="20"/>
      <c r="K77" s="20"/>
      <c r="L77" s="20"/>
      <c r="M77" s="20"/>
      <c r="N77" s="20"/>
      <c r="O77" s="20"/>
      <c r="P77" s="20"/>
      <c r="Q77" s="20"/>
      <c r="R77" s="20"/>
      <c r="S77" s="20"/>
      <c r="T77" s="20"/>
      <c r="U77" s="20"/>
      <c r="V77" s="20"/>
      <c r="W77" s="20"/>
      <c r="X77" s="20"/>
      <c r="Y77" s="20"/>
      <c r="Z77" s="20"/>
    </row>
    <row r="78" spans="2:26" ht="17.25" customHeight="1">
      <c r="B78" s="57"/>
      <c r="C78" s="57"/>
      <c r="D78" s="57"/>
      <c r="E78" s="57"/>
      <c r="F78" s="57"/>
      <c r="G78" s="57"/>
      <c r="H78" s="20"/>
      <c r="I78" s="20"/>
      <c r="J78" s="20"/>
      <c r="K78" s="20"/>
      <c r="L78" s="20"/>
      <c r="M78" s="20"/>
      <c r="N78" s="20"/>
      <c r="O78" s="20"/>
      <c r="P78" s="20"/>
      <c r="Q78" s="20"/>
      <c r="R78" s="20"/>
      <c r="S78" s="20"/>
      <c r="T78" s="20"/>
      <c r="U78" s="20"/>
      <c r="V78" s="20"/>
      <c r="W78" s="20"/>
      <c r="X78" s="20"/>
      <c r="Y78" s="20"/>
      <c r="Z78" s="20"/>
    </row>
    <row r="79" spans="2:26" ht="17.25" customHeight="1">
      <c r="B79" s="57"/>
      <c r="C79" s="57"/>
      <c r="D79" s="57"/>
      <c r="E79" s="57"/>
      <c r="F79" s="57"/>
      <c r="G79" s="57"/>
      <c r="H79" s="20"/>
      <c r="I79" s="20"/>
      <c r="J79" s="20"/>
      <c r="K79" s="20"/>
      <c r="L79" s="20"/>
      <c r="M79" s="20"/>
      <c r="N79" s="20"/>
      <c r="O79" s="20"/>
      <c r="P79" s="20"/>
      <c r="Q79" s="20"/>
      <c r="R79" s="20"/>
      <c r="S79" s="20"/>
      <c r="T79" s="20"/>
      <c r="U79" s="20"/>
      <c r="V79" s="20"/>
      <c r="W79" s="20"/>
      <c r="X79" s="20"/>
      <c r="Y79" s="20"/>
      <c r="Z79" s="20"/>
    </row>
    <row r="80" spans="2:26" ht="17.25" customHeight="1">
      <c r="B80" s="57"/>
      <c r="C80" s="57"/>
      <c r="D80" s="57"/>
      <c r="E80" s="57"/>
      <c r="F80" s="57"/>
      <c r="G80" s="57"/>
      <c r="H80" s="20"/>
      <c r="I80" s="20"/>
      <c r="J80" s="20"/>
      <c r="K80" s="20"/>
      <c r="L80" s="20"/>
      <c r="M80" s="20"/>
      <c r="N80" s="20"/>
      <c r="O80" s="20"/>
      <c r="P80" s="20"/>
      <c r="Q80" s="20"/>
      <c r="R80" s="20"/>
      <c r="S80" s="20"/>
      <c r="T80" s="20"/>
      <c r="U80" s="20"/>
      <c r="V80" s="20"/>
      <c r="W80" s="20"/>
      <c r="X80" s="20"/>
      <c r="Y80" s="20"/>
      <c r="Z80" s="20"/>
    </row>
    <row r="81" spans="2:26" ht="17.25" customHeight="1">
      <c r="B81" s="57"/>
      <c r="C81" s="57"/>
      <c r="D81" s="57"/>
      <c r="E81" s="57"/>
      <c r="F81" s="57"/>
      <c r="G81" s="57"/>
      <c r="H81" s="20"/>
      <c r="I81" s="20"/>
      <c r="J81" s="20"/>
      <c r="K81" s="20"/>
      <c r="L81" s="20"/>
      <c r="M81" s="20"/>
      <c r="N81" s="20"/>
      <c r="O81" s="20"/>
      <c r="P81" s="20"/>
      <c r="Q81" s="20"/>
      <c r="R81" s="20"/>
      <c r="S81" s="20"/>
      <c r="T81" s="20"/>
      <c r="U81" s="20"/>
      <c r="V81" s="20"/>
      <c r="W81" s="20"/>
      <c r="X81" s="20"/>
      <c r="Y81" s="20"/>
      <c r="Z81" s="20"/>
    </row>
    <row r="82" spans="2:26" ht="17.25" customHeight="1">
      <c r="B82" s="57"/>
      <c r="C82" s="57"/>
      <c r="D82" s="57"/>
      <c r="E82" s="57"/>
      <c r="F82" s="57"/>
      <c r="G82" s="57"/>
      <c r="H82" s="20"/>
      <c r="I82" s="20"/>
      <c r="J82" s="20"/>
      <c r="K82" s="20"/>
      <c r="L82" s="20"/>
      <c r="M82" s="20"/>
      <c r="N82" s="20"/>
      <c r="O82" s="20"/>
      <c r="P82" s="20"/>
      <c r="Q82" s="20"/>
      <c r="R82" s="20"/>
      <c r="S82" s="20"/>
      <c r="T82" s="20"/>
      <c r="U82" s="20"/>
      <c r="V82" s="20"/>
      <c r="W82" s="20"/>
      <c r="X82" s="20"/>
      <c r="Y82" s="20"/>
      <c r="Z82" s="20"/>
    </row>
    <row r="83" spans="2:26" ht="17.25" customHeight="1">
      <c r="B83" s="57"/>
      <c r="C83" s="57"/>
      <c r="D83" s="57"/>
      <c r="E83" s="57"/>
      <c r="F83" s="57"/>
      <c r="G83" s="57"/>
      <c r="H83" s="20"/>
      <c r="I83" s="20"/>
      <c r="J83" s="20"/>
      <c r="K83" s="20"/>
      <c r="L83" s="20"/>
      <c r="M83" s="20"/>
      <c r="N83" s="20"/>
      <c r="O83" s="20"/>
      <c r="P83" s="20"/>
      <c r="Q83" s="20"/>
      <c r="R83" s="20"/>
      <c r="S83" s="20"/>
      <c r="T83" s="20"/>
      <c r="U83" s="20"/>
      <c r="V83" s="20"/>
      <c r="W83" s="20"/>
      <c r="X83" s="20"/>
      <c r="Y83" s="20"/>
      <c r="Z83" s="20"/>
    </row>
    <row r="84" spans="2:26" ht="17.25" customHeight="1">
      <c r="B84" s="57"/>
      <c r="C84" s="57"/>
      <c r="D84" s="57"/>
      <c r="E84" s="57"/>
      <c r="F84" s="57"/>
      <c r="G84" s="57"/>
      <c r="H84" s="20"/>
      <c r="I84" s="20"/>
      <c r="J84" s="20"/>
      <c r="K84" s="20"/>
      <c r="L84" s="20"/>
      <c r="M84" s="20"/>
      <c r="N84" s="20"/>
      <c r="O84" s="20"/>
      <c r="P84" s="20"/>
      <c r="Q84" s="20"/>
      <c r="R84" s="20"/>
      <c r="S84" s="20"/>
      <c r="T84" s="20"/>
      <c r="U84" s="20"/>
      <c r="V84" s="20"/>
      <c r="W84" s="20"/>
      <c r="X84" s="20"/>
      <c r="Y84" s="20"/>
      <c r="Z84" s="20"/>
    </row>
    <row r="85" spans="2:26" ht="17.25" customHeight="1">
      <c r="B85" s="57"/>
      <c r="C85" s="57"/>
      <c r="D85" s="57"/>
      <c r="E85" s="57"/>
      <c r="F85" s="57"/>
      <c r="G85" s="57"/>
      <c r="H85" s="20"/>
      <c r="I85" s="20"/>
      <c r="J85" s="20"/>
      <c r="K85" s="20"/>
      <c r="L85" s="20"/>
      <c r="M85" s="20"/>
      <c r="N85" s="20"/>
      <c r="O85" s="20"/>
      <c r="P85" s="20"/>
      <c r="Q85" s="20"/>
      <c r="R85" s="20"/>
      <c r="S85" s="20"/>
      <c r="T85" s="20"/>
      <c r="U85" s="20"/>
      <c r="V85" s="20"/>
      <c r="W85" s="20"/>
      <c r="X85" s="20"/>
      <c r="Y85" s="20"/>
      <c r="Z85" s="20"/>
    </row>
    <row r="86" spans="2:26" ht="17.25" customHeight="1">
      <c r="B86" s="57"/>
      <c r="C86" s="57"/>
      <c r="D86" s="57"/>
      <c r="E86" s="57"/>
      <c r="F86" s="57"/>
      <c r="G86" s="57"/>
      <c r="H86" s="20"/>
      <c r="I86" s="20"/>
      <c r="J86" s="20"/>
      <c r="K86" s="20"/>
      <c r="L86" s="20"/>
      <c r="M86" s="20"/>
      <c r="N86" s="20"/>
      <c r="O86" s="20"/>
      <c r="P86" s="20"/>
      <c r="Q86" s="20"/>
      <c r="R86" s="20"/>
      <c r="S86" s="20"/>
      <c r="T86" s="20"/>
      <c r="U86" s="20"/>
      <c r="V86" s="20"/>
      <c r="W86" s="20"/>
      <c r="X86" s="20"/>
      <c r="Y86" s="20"/>
      <c r="Z86" s="20"/>
    </row>
    <row r="87" spans="2:26" ht="17.25" customHeight="1">
      <c r="B87" s="57"/>
      <c r="C87" s="57"/>
      <c r="D87" s="57"/>
      <c r="E87" s="57"/>
      <c r="F87" s="57"/>
      <c r="G87" s="57"/>
      <c r="H87" s="20"/>
      <c r="I87" s="20"/>
      <c r="J87" s="20"/>
      <c r="K87" s="20"/>
      <c r="L87" s="20"/>
      <c r="M87" s="20"/>
      <c r="N87" s="20"/>
      <c r="O87" s="20"/>
      <c r="P87" s="20"/>
      <c r="Q87" s="20"/>
      <c r="R87" s="20"/>
      <c r="S87" s="20"/>
      <c r="T87" s="20"/>
      <c r="U87" s="20"/>
      <c r="V87" s="20"/>
      <c r="W87" s="20"/>
      <c r="X87" s="20"/>
      <c r="Y87" s="20"/>
      <c r="Z87" s="20"/>
    </row>
    <row r="88" spans="2:26" ht="17.25" customHeight="1">
      <c r="B88" s="57"/>
      <c r="C88" s="57"/>
      <c r="D88" s="57"/>
      <c r="E88" s="57"/>
      <c r="F88" s="57"/>
      <c r="G88" s="57"/>
      <c r="H88" s="20"/>
      <c r="I88" s="20"/>
      <c r="J88" s="20"/>
      <c r="K88" s="20"/>
      <c r="L88" s="20"/>
      <c r="M88" s="20"/>
      <c r="N88" s="20"/>
      <c r="O88" s="20"/>
      <c r="P88" s="20"/>
      <c r="Q88" s="20"/>
      <c r="R88" s="20"/>
      <c r="S88" s="20"/>
      <c r="T88" s="20"/>
      <c r="U88" s="20"/>
      <c r="V88" s="20"/>
      <c r="W88" s="20"/>
      <c r="X88" s="20"/>
      <c r="Y88" s="20"/>
      <c r="Z88" s="20"/>
    </row>
    <row r="89" spans="2:26" ht="17.25" customHeight="1">
      <c r="B89" s="57"/>
      <c r="C89" s="57"/>
      <c r="D89" s="57"/>
      <c r="E89" s="57"/>
      <c r="F89" s="57"/>
      <c r="G89" s="57"/>
      <c r="H89" s="20"/>
      <c r="I89" s="20"/>
      <c r="J89" s="20"/>
      <c r="K89" s="20"/>
      <c r="L89" s="20"/>
      <c r="M89" s="20"/>
      <c r="N89" s="20"/>
      <c r="O89" s="20"/>
      <c r="P89" s="20"/>
      <c r="Q89" s="20"/>
      <c r="R89" s="20"/>
      <c r="S89" s="20"/>
      <c r="T89" s="20"/>
      <c r="U89" s="20"/>
      <c r="V89" s="20"/>
      <c r="W89" s="20"/>
      <c r="X89" s="20"/>
      <c r="Y89" s="20"/>
      <c r="Z89" s="20"/>
    </row>
    <row r="90" spans="2:26" ht="17.25" customHeight="1">
      <c r="B90" s="57"/>
      <c r="C90" s="57"/>
      <c r="D90" s="57"/>
      <c r="E90" s="57"/>
      <c r="F90" s="57"/>
      <c r="G90" s="57"/>
      <c r="H90" s="20"/>
      <c r="I90" s="20"/>
      <c r="J90" s="20"/>
      <c r="K90" s="20"/>
      <c r="L90" s="20"/>
      <c r="M90" s="20"/>
      <c r="N90" s="20"/>
      <c r="O90" s="20"/>
      <c r="P90" s="20"/>
      <c r="Q90" s="20"/>
      <c r="R90" s="20"/>
      <c r="S90" s="20"/>
      <c r="T90" s="20"/>
      <c r="U90" s="20"/>
      <c r="V90" s="20"/>
      <c r="W90" s="20"/>
      <c r="X90" s="20"/>
      <c r="Y90" s="20"/>
      <c r="Z90" s="20"/>
    </row>
    <row r="91" spans="2:26" ht="17.25" customHeight="1">
      <c r="B91" s="57"/>
      <c r="C91" s="57"/>
      <c r="D91" s="57"/>
      <c r="E91" s="57"/>
      <c r="F91" s="57"/>
      <c r="G91" s="57"/>
      <c r="H91" s="20"/>
      <c r="I91" s="20"/>
      <c r="J91" s="20"/>
      <c r="K91" s="20"/>
      <c r="L91" s="20"/>
      <c r="M91" s="20"/>
      <c r="N91" s="20"/>
      <c r="O91" s="20"/>
      <c r="P91" s="20"/>
      <c r="Q91" s="20"/>
      <c r="R91" s="20"/>
      <c r="S91" s="20"/>
      <c r="T91" s="20"/>
      <c r="U91" s="20"/>
      <c r="V91" s="20"/>
      <c r="W91" s="20"/>
      <c r="X91" s="20"/>
      <c r="Y91" s="20"/>
      <c r="Z91" s="20"/>
    </row>
    <row r="92" spans="2:26" ht="17.25" customHeight="1">
      <c r="B92" s="57"/>
      <c r="C92" s="57"/>
      <c r="D92" s="57"/>
      <c r="E92" s="57"/>
      <c r="F92" s="57"/>
      <c r="G92" s="57"/>
      <c r="H92" s="20"/>
      <c r="I92" s="20"/>
      <c r="J92" s="20"/>
      <c r="K92" s="20"/>
      <c r="L92" s="20"/>
      <c r="M92" s="20"/>
      <c r="N92" s="20"/>
      <c r="O92" s="20"/>
      <c r="P92" s="20"/>
      <c r="Q92" s="20"/>
      <c r="R92" s="20"/>
      <c r="S92" s="20"/>
      <c r="T92" s="20"/>
      <c r="U92" s="20"/>
      <c r="V92" s="20"/>
      <c r="W92" s="20"/>
      <c r="X92" s="20"/>
      <c r="Y92" s="20"/>
      <c r="Z92" s="20"/>
    </row>
    <row r="93" spans="2:26" ht="17.25" customHeight="1">
      <c r="B93" s="57"/>
      <c r="C93" s="57"/>
      <c r="D93" s="57"/>
      <c r="E93" s="57"/>
      <c r="F93" s="57"/>
      <c r="G93" s="57"/>
      <c r="H93" s="20"/>
      <c r="I93" s="20"/>
      <c r="J93" s="20"/>
      <c r="K93" s="20"/>
      <c r="L93" s="20"/>
      <c r="M93" s="20"/>
      <c r="N93" s="20"/>
      <c r="O93" s="20"/>
      <c r="P93" s="20"/>
      <c r="Q93" s="20"/>
      <c r="R93" s="20"/>
      <c r="S93" s="20"/>
      <c r="T93" s="20"/>
      <c r="U93" s="20"/>
      <c r="V93" s="20"/>
      <c r="W93" s="20"/>
      <c r="X93" s="20"/>
      <c r="Y93" s="20"/>
      <c r="Z93" s="20"/>
    </row>
    <row r="94" spans="2:26" ht="17.25" customHeight="1">
      <c r="B94" s="57"/>
      <c r="C94" s="57"/>
      <c r="D94" s="57"/>
      <c r="E94" s="57"/>
      <c r="F94" s="57"/>
      <c r="G94" s="57"/>
      <c r="H94" s="20"/>
      <c r="I94" s="20"/>
      <c r="J94" s="20"/>
      <c r="K94" s="20"/>
      <c r="L94" s="20"/>
      <c r="M94" s="20"/>
      <c r="N94" s="20"/>
      <c r="O94" s="20"/>
      <c r="P94" s="20"/>
      <c r="Q94" s="20"/>
      <c r="R94" s="20"/>
      <c r="S94" s="20"/>
      <c r="T94" s="20"/>
      <c r="U94" s="20"/>
      <c r="V94" s="20"/>
      <c r="W94" s="20"/>
      <c r="X94" s="20"/>
      <c r="Y94" s="20"/>
      <c r="Z94" s="20"/>
    </row>
    <row r="95" spans="2:26" ht="17.25" customHeight="1">
      <c r="B95" s="57"/>
      <c r="C95" s="57"/>
      <c r="D95" s="57"/>
      <c r="E95" s="57"/>
      <c r="F95" s="57"/>
      <c r="G95" s="57"/>
      <c r="H95" s="20"/>
      <c r="I95" s="20"/>
      <c r="J95" s="20"/>
      <c r="K95" s="20"/>
      <c r="L95" s="20"/>
      <c r="M95" s="20"/>
      <c r="N95" s="20"/>
      <c r="O95" s="20"/>
      <c r="P95" s="20"/>
      <c r="Q95" s="20"/>
      <c r="R95" s="20"/>
      <c r="S95" s="20"/>
      <c r="T95" s="20"/>
      <c r="U95" s="20"/>
      <c r="V95" s="20"/>
      <c r="W95" s="20"/>
      <c r="X95" s="20"/>
      <c r="Y95" s="20"/>
      <c r="Z95" s="20"/>
    </row>
    <row r="96" spans="2:26" ht="17.25" customHeight="1">
      <c r="B96" s="57"/>
      <c r="C96" s="57"/>
      <c r="D96" s="57"/>
      <c r="E96" s="57"/>
      <c r="F96" s="57"/>
      <c r="G96" s="57"/>
      <c r="H96" s="20"/>
      <c r="I96" s="20"/>
      <c r="J96" s="20"/>
      <c r="K96" s="20"/>
      <c r="L96" s="20"/>
      <c r="M96" s="20"/>
      <c r="N96" s="20"/>
      <c r="O96" s="20"/>
      <c r="P96" s="20"/>
      <c r="Q96" s="20"/>
      <c r="R96" s="20"/>
      <c r="S96" s="20"/>
      <c r="T96" s="20"/>
      <c r="U96" s="20"/>
      <c r="V96" s="20"/>
      <c r="W96" s="20"/>
      <c r="X96" s="20"/>
      <c r="Y96" s="20"/>
      <c r="Z96" s="20"/>
    </row>
    <row r="97" spans="2:26" ht="17.25" customHeight="1">
      <c r="B97" s="57"/>
      <c r="C97" s="57"/>
      <c r="D97" s="57"/>
      <c r="E97" s="57"/>
      <c r="F97" s="57"/>
      <c r="G97" s="57"/>
      <c r="H97" s="20"/>
      <c r="I97" s="20"/>
      <c r="J97" s="20"/>
      <c r="K97" s="20"/>
      <c r="L97" s="20"/>
      <c r="M97" s="20"/>
      <c r="N97" s="20"/>
      <c r="O97" s="20"/>
      <c r="P97" s="20"/>
      <c r="Q97" s="20"/>
      <c r="R97" s="20"/>
      <c r="S97" s="20"/>
      <c r="T97" s="20"/>
      <c r="U97" s="20"/>
      <c r="V97" s="20"/>
      <c r="W97" s="20"/>
      <c r="X97" s="20"/>
      <c r="Y97" s="20"/>
      <c r="Z97" s="20"/>
    </row>
    <row r="98" spans="2:26" ht="17.25" customHeight="1">
      <c r="B98" s="57"/>
      <c r="C98" s="57"/>
      <c r="D98" s="57"/>
      <c r="E98" s="57"/>
      <c r="F98" s="57"/>
      <c r="G98" s="57"/>
      <c r="H98" s="20"/>
      <c r="I98" s="20"/>
      <c r="J98" s="20"/>
      <c r="K98" s="20"/>
      <c r="L98" s="20"/>
      <c r="M98" s="20"/>
      <c r="N98" s="20"/>
      <c r="O98" s="20"/>
      <c r="P98" s="20"/>
      <c r="Q98" s="20"/>
      <c r="R98" s="20"/>
      <c r="S98" s="20"/>
      <c r="T98" s="20"/>
      <c r="U98" s="20"/>
      <c r="V98" s="20"/>
      <c r="W98" s="20"/>
      <c r="X98" s="20"/>
      <c r="Y98" s="20"/>
      <c r="Z98" s="20"/>
    </row>
    <row r="99" spans="2:26" ht="17.25" customHeight="1">
      <c r="B99" s="57"/>
      <c r="C99" s="57"/>
      <c r="D99" s="57"/>
      <c r="E99" s="57"/>
      <c r="F99" s="57"/>
      <c r="G99" s="57"/>
      <c r="H99" s="20"/>
      <c r="I99" s="20"/>
      <c r="J99" s="20"/>
      <c r="K99" s="20"/>
      <c r="L99" s="20"/>
      <c r="M99" s="20"/>
      <c r="N99" s="20"/>
      <c r="O99" s="20"/>
      <c r="P99" s="20"/>
      <c r="Q99" s="20"/>
      <c r="R99" s="20"/>
      <c r="S99" s="20"/>
      <c r="T99" s="20"/>
      <c r="U99" s="20"/>
      <c r="V99" s="20"/>
      <c r="W99" s="20"/>
      <c r="X99" s="20"/>
      <c r="Y99" s="20"/>
      <c r="Z99" s="20"/>
    </row>
    <row r="100" spans="2:26" ht="17.25" customHeight="1">
      <c r="B100" s="57"/>
      <c r="C100" s="57"/>
      <c r="D100" s="57"/>
      <c r="E100" s="57"/>
      <c r="F100" s="57"/>
      <c r="G100" s="57"/>
      <c r="H100" s="20"/>
      <c r="I100" s="20"/>
      <c r="J100" s="20"/>
      <c r="K100" s="20"/>
      <c r="L100" s="20"/>
      <c r="M100" s="20"/>
      <c r="N100" s="20"/>
      <c r="O100" s="20"/>
      <c r="P100" s="20"/>
      <c r="Q100" s="20"/>
      <c r="R100" s="20"/>
      <c r="S100" s="20"/>
      <c r="T100" s="20"/>
      <c r="U100" s="20"/>
      <c r="V100" s="20"/>
      <c r="W100" s="20"/>
      <c r="X100" s="20"/>
      <c r="Y100" s="20"/>
      <c r="Z100" s="20"/>
    </row>
    <row r="101" spans="2:26" ht="17.25" customHeight="1">
      <c r="B101" s="57"/>
      <c r="C101" s="57"/>
      <c r="D101" s="57"/>
      <c r="E101" s="57"/>
      <c r="F101" s="57"/>
      <c r="G101" s="57"/>
      <c r="H101" s="20"/>
      <c r="I101" s="20"/>
      <c r="J101" s="20"/>
      <c r="K101" s="20"/>
      <c r="L101" s="20"/>
      <c r="M101" s="20"/>
      <c r="N101" s="20"/>
      <c r="O101" s="20"/>
      <c r="P101" s="20"/>
      <c r="Q101" s="20"/>
      <c r="R101" s="20"/>
      <c r="S101" s="20"/>
      <c r="T101" s="20"/>
      <c r="U101" s="20"/>
      <c r="V101" s="20"/>
      <c r="W101" s="20"/>
      <c r="X101" s="20"/>
      <c r="Y101" s="20"/>
      <c r="Z101" s="20"/>
    </row>
    <row r="102" spans="2:26" ht="17.25" customHeight="1">
      <c r="B102" s="57"/>
      <c r="C102" s="57"/>
      <c r="D102" s="57"/>
      <c r="E102" s="57"/>
      <c r="F102" s="57"/>
      <c r="G102" s="57"/>
      <c r="H102" s="20"/>
      <c r="I102" s="20"/>
      <c r="J102" s="20"/>
      <c r="K102" s="20"/>
      <c r="L102" s="20"/>
      <c r="M102" s="20"/>
      <c r="N102" s="20"/>
      <c r="O102" s="20"/>
      <c r="P102" s="20"/>
      <c r="Q102" s="20"/>
      <c r="R102" s="20"/>
      <c r="S102" s="20"/>
      <c r="T102" s="20"/>
      <c r="U102" s="20"/>
      <c r="V102" s="20"/>
      <c r="W102" s="20"/>
      <c r="X102" s="20"/>
      <c r="Y102" s="20"/>
      <c r="Z102" s="20"/>
    </row>
    <row r="103" spans="2:26" ht="17.25" customHeight="1">
      <c r="B103" s="57"/>
      <c r="C103" s="57"/>
      <c r="D103" s="57"/>
      <c r="E103" s="57"/>
      <c r="F103" s="57"/>
      <c r="G103" s="57"/>
      <c r="H103" s="20"/>
      <c r="I103" s="20"/>
      <c r="J103" s="20"/>
      <c r="K103" s="20"/>
      <c r="L103" s="20"/>
      <c r="M103" s="20"/>
      <c r="N103" s="20"/>
      <c r="O103" s="20"/>
      <c r="P103" s="20"/>
      <c r="Q103" s="20"/>
      <c r="R103" s="20"/>
      <c r="S103" s="20"/>
      <c r="T103" s="20"/>
      <c r="U103" s="20"/>
      <c r="V103" s="20"/>
      <c r="W103" s="20"/>
      <c r="X103" s="20"/>
      <c r="Y103" s="20"/>
      <c r="Z103" s="20"/>
    </row>
    <row r="104" spans="2:26" ht="17.25" customHeight="1">
      <c r="B104" s="57"/>
      <c r="C104" s="57"/>
      <c r="D104" s="57"/>
      <c r="E104" s="57"/>
      <c r="F104" s="57"/>
      <c r="G104" s="57"/>
      <c r="H104" s="20"/>
      <c r="I104" s="20"/>
      <c r="J104" s="20"/>
      <c r="K104" s="20"/>
      <c r="L104" s="20"/>
      <c r="M104" s="20"/>
      <c r="N104" s="20"/>
      <c r="O104" s="20"/>
      <c r="P104" s="20"/>
      <c r="Q104" s="20"/>
      <c r="R104" s="20"/>
      <c r="S104" s="20"/>
      <c r="T104" s="20"/>
      <c r="U104" s="20"/>
      <c r="V104" s="20"/>
      <c r="W104" s="20"/>
      <c r="X104" s="20"/>
      <c r="Y104" s="20"/>
      <c r="Z104" s="20"/>
    </row>
    <row r="105" spans="2:26" ht="17.25" customHeight="1">
      <c r="B105" s="57"/>
      <c r="C105" s="57"/>
      <c r="D105" s="57"/>
      <c r="E105" s="57"/>
      <c r="F105" s="57"/>
      <c r="G105" s="57"/>
      <c r="H105" s="20"/>
      <c r="I105" s="20"/>
      <c r="J105" s="20"/>
      <c r="K105" s="20"/>
      <c r="L105" s="20"/>
      <c r="M105" s="20"/>
      <c r="N105" s="20"/>
      <c r="O105" s="20"/>
      <c r="P105" s="20"/>
      <c r="Q105" s="20"/>
      <c r="R105" s="20"/>
      <c r="S105" s="20"/>
      <c r="T105" s="20"/>
      <c r="U105" s="20"/>
      <c r="V105" s="20"/>
      <c r="W105" s="20"/>
      <c r="X105" s="20"/>
      <c r="Y105" s="20"/>
      <c r="Z105" s="20"/>
    </row>
    <row r="106" spans="2:26" ht="17.25" customHeight="1">
      <c r="B106" s="57"/>
      <c r="C106" s="57"/>
      <c r="D106" s="57"/>
      <c r="E106" s="57"/>
      <c r="F106" s="57"/>
      <c r="G106" s="57"/>
      <c r="H106" s="20"/>
      <c r="I106" s="20"/>
      <c r="J106" s="20"/>
      <c r="K106" s="20"/>
      <c r="L106" s="20"/>
      <c r="M106" s="20"/>
      <c r="N106" s="20"/>
      <c r="O106" s="20"/>
      <c r="P106" s="20"/>
      <c r="Q106" s="20"/>
      <c r="R106" s="20"/>
      <c r="S106" s="20"/>
      <c r="T106" s="20"/>
      <c r="U106" s="20"/>
      <c r="V106" s="20"/>
      <c r="W106" s="20"/>
      <c r="X106" s="20"/>
      <c r="Y106" s="20"/>
      <c r="Z106" s="20"/>
    </row>
    <row r="107" spans="2:26" ht="17.25" customHeight="1">
      <c r="B107" s="57"/>
      <c r="C107" s="57"/>
      <c r="D107" s="57"/>
      <c r="E107" s="57"/>
      <c r="F107" s="57"/>
      <c r="G107" s="57"/>
      <c r="H107" s="20"/>
      <c r="I107" s="20"/>
      <c r="J107" s="20"/>
      <c r="K107" s="20"/>
      <c r="L107" s="20"/>
      <c r="M107" s="20"/>
      <c r="N107" s="20"/>
      <c r="O107" s="20"/>
      <c r="P107" s="20"/>
      <c r="Q107" s="20"/>
      <c r="R107" s="20"/>
      <c r="S107" s="20"/>
      <c r="T107" s="20"/>
      <c r="U107" s="20"/>
      <c r="V107" s="20"/>
      <c r="W107" s="20"/>
      <c r="X107" s="20"/>
      <c r="Y107" s="20"/>
      <c r="Z107" s="20"/>
    </row>
    <row r="108" spans="2:26" ht="17.25" customHeight="1">
      <c r="B108" s="57"/>
      <c r="C108" s="57"/>
      <c r="D108" s="57"/>
      <c r="E108" s="57"/>
      <c r="F108" s="57"/>
      <c r="G108" s="57"/>
      <c r="H108" s="20"/>
      <c r="I108" s="20"/>
      <c r="J108" s="20"/>
      <c r="K108" s="20"/>
      <c r="L108" s="20"/>
      <c r="M108" s="20"/>
      <c r="N108" s="20"/>
      <c r="O108" s="20"/>
      <c r="P108" s="20"/>
      <c r="Q108" s="20"/>
      <c r="R108" s="20"/>
      <c r="S108" s="20"/>
      <c r="T108" s="20"/>
      <c r="U108" s="20"/>
      <c r="V108" s="20"/>
      <c r="W108" s="20"/>
      <c r="X108" s="20"/>
      <c r="Y108" s="20"/>
      <c r="Z108" s="20"/>
    </row>
    <row r="109" spans="2:26" ht="17.25" customHeight="1">
      <c r="B109" s="57"/>
      <c r="C109" s="57"/>
      <c r="D109" s="57"/>
      <c r="E109" s="57"/>
      <c r="F109" s="57"/>
      <c r="G109" s="57"/>
      <c r="H109" s="20"/>
      <c r="I109" s="20"/>
      <c r="J109" s="20"/>
      <c r="K109" s="20"/>
      <c r="L109" s="20"/>
      <c r="M109" s="20"/>
      <c r="N109" s="20"/>
      <c r="O109" s="20"/>
      <c r="P109" s="20"/>
      <c r="Q109" s="20"/>
      <c r="R109" s="20"/>
      <c r="S109" s="20"/>
      <c r="T109" s="20"/>
      <c r="U109" s="20"/>
      <c r="V109" s="20"/>
      <c r="W109" s="20"/>
      <c r="X109" s="20"/>
      <c r="Y109" s="20"/>
      <c r="Z109" s="20"/>
    </row>
    <row r="110" spans="2:26" ht="17.25" customHeight="1">
      <c r="B110" s="57"/>
      <c r="C110" s="57"/>
      <c r="D110" s="57"/>
      <c r="E110" s="57"/>
      <c r="F110" s="57"/>
      <c r="G110" s="57"/>
      <c r="H110" s="20"/>
      <c r="I110" s="20"/>
      <c r="J110" s="20"/>
      <c r="K110" s="20"/>
      <c r="L110" s="20"/>
      <c r="M110" s="20"/>
      <c r="N110" s="20"/>
      <c r="O110" s="20"/>
      <c r="P110" s="20"/>
      <c r="Q110" s="20"/>
      <c r="R110" s="20"/>
      <c r="S110" s="20"/>
      <c r="T110" s="20"/>
      <c r="U110" s="20"/>
      <c r="V110" s="20"/>
      <c r="W110" s="20"/>
      <c r="X110" s="20"/>
      <c r="Y110" s="20"/>
      <c r="Z110" s="20"/>
    </row>
    <row r="111" spans="2:26" ht="17.25" customHeight="1">
      <c r="B111" s="57"/>
      <c r="C111" s="57"/>
      <c r="D111" s="57"/>
      <c r="E111" s="57"/>
      <c r="F111" s="57"/>
      <c r="G111" s="57"/>
      <c r="H111" s="20"/>
      <c r="I111" s="20"/>
      <c r="J111" s="20"/>
      <c r="K111" s="20"/>
      <c r="L111" s="20"/>
      <c r="M111" s="20"/>
      <c r="N111" s="20"/>
      <c r="O111" s="20"/>
      <c r="P111" s="20"/>
      <c r="Q111" s="20"/>
      <c r="R111" s="20"/>
      <c r="S111" s="20"/>
      <c r="T111" s="20"/>
      <c r="U111" s="20"/>
      <c r="V111" s="20"/>
      <c r="W111" s="20"/>
      <c r="X111" s="20"/>
      <c r="Y111" s="20"/>
      <c r="Z111" s="20"/>
    </row>
    <row r="112" spans="2:26" ht="17.25" customHeight="1">
      <c r="B112" s="57"/>
      <c r="C112" s="57"/>
      <c r="D112" s="57"/>
      <c r="E112" s="57"/>
      <c r="F112" s="57"/>
      <c r="G112" s="57"/>
      <c r="H112" s="20"/>
      <c r="I112" s="20"/>
      <c r="J112" s="20"/>
      <c r="K112" s="20"/>
      <c r="L112" s="20"/>
      <c r="M112" s="20"/>
      <c r="N112" s="20"/>
      <c r="O112" s="20"/>
      <c r="P112" s="20"/>
      <c r="Q112" s="20"/>
      <c r="R112" s="20"/>
      <c r="S112" s="20"/>
      <c r="T112" s="20"/>
      <c r="U112" s="20"/>
      <c r="V112" s="20"/>
      <c r="W112" s="20"/>
      <c r="X112" s="20"/>
      <c r="Y112" s="20"/>
      <c r="Z112" s="20"/>
    </row>
    <row r="113" spans="2:26" ht="17.25" customHeight="1">
      <c r="B113" s="57"/>
      <c r="C113" s="57"/>
      <c r="D113" s="57"/>
      <c r="E113" s="57"/>
      <c r="F113" s="57"/>
      <c r="G113" s="57"/>
      <c r="H113" s="20"/>
      <c r="I113" s="20"/>
      <c r="J113" s="20"/>
      <c r="K113" s="20"/>
      <c r="L113" s="20"/>
      <c r="M113" s="20"/>
      <c r="N113" s="20"/>
      <c r="O113" s="20"/>
      <c r="P113" s="20"/>
      <c r="Q113" s="20"/>
      <c r="R113" s="20"/>
      <c r="S113" s="20"/>
      <c r="T113" s="20"/>
      <c r="U113" s="20"/>
      <c r="V113" s="20"/>
      <c r="W113" s="20"/>
      <c r="X113" s="20"/>
      <c r="Y113" s="20"/>
      <c r="Z113" s="20"/>
    </row>
    <row r="114" spans="2:26" ht="17.25" customHeight="1">
      <c r="B114" s="57"/>
      <c r="C114" s="57"/>
      <c r="D114" s="57"/>
      <c r="E114" s="57"/>
      <c r="F114" s="57"/>
      <c r="G114" s="57"/>
      <c r="H114" s="20"/>
      <c r="I114" s="20"/>
      <c r="J114" s="20"/>
      <c r="K114" s="20"/>
      <c r="L114" s="20"/>
      <c r="M114" s="20"/>
      <c r="N114" s="20"/>
      <c r="O114" s="20"/>
      <c r="P114" s="20"/>
      <c r="Q114" s="20"/>
      <c r="R114" s="20"/>
      <c r="S114" s="20"/>
      <c r="T114" s="20"/>
      <c r="U114" s="20"/>
      <c r="V114" s="20"/>
      <c r="W114" s="20"/>
      <c r="X114" s="20"/>
      <c r="Y114" s="20"/>
      <c r="Z114" s="20"/>
    </row>
    <row r="115" spans="2:26" ht="17.25" customHeight="1">
      <c r="B115" s="57"/>
      <c r="C115" s="57"/>
      <c r="D115" s="57"/>
      <c r="E115" s="57"/>
      <c r="F115" s="57"/>
      <c r="G115" s="57"/>
      <c r="H115" s="20"/>
      <c r="I115" s="20"/>
      <c r="J115" s="20"/>
      <c r="K115" s="20"/>
      <c r="L115" s="20"/>
      <c r="M115" s="20"/>
      <c r="N115" s="20"/>
      <c r="O115" s="20"/>
      <c r="P115" s="20"/>
      <c r="Q115" s="20"/>
      <c r="R115" s="20"/>
      <c r="S115" s="20"/>
      <c r="T115" s="20"/>
      <c r="U115" s="20"/>
      <c r="V115" s="20"/>
      <c r="W115" s="20"/>
      <c r="X115" s="20"/>
      <c r="Y115" s="20"/>
      <c r="Z115" s="20"/>
    </row>
    <row r="116" spans="2:26" ht="17.25" customHeight="1">
      <c r="B116" s="57"/>
      <c r="C116" s="57"/>
      <c r="D116" s="57"/>
      <c r="E116" s="57"/>
      <c r="F116" s="57"/>
      <c r="G116" s="57"/>
      <c r="H116" s="20"/>
      <c r="I116" s="20"/>
      <c r="J116" s="20"/>
      <c r="K116" s="20"/>
      <c r="L116" s="20"/>
      <c r="M116" s="20"/>
      <c r="N116" s="20"/>
      <c r="O116" s="20"/>
      <c r="P116" s="20"/>
      <c r="Q116" s="20"/>
      <c r="R116" s="20"/>
      <c r="S116" s="20"/>
      <c r="T116" s="20"/>
      <c r="U116" s="20"/>
      <c r="V116" s="20"/>
      <c r="W116" s="20"/>
      <c r="X116" s="20"/>
      <c r="Y116" s="20"/>
      <c r="Z116" s="20"/>
    </row>
    <row r="117" spans="2:26" ht="17.25" customHeight="1">
      <c r="B117" s="57"/>
      <c r="C117" s="57"/>
      <c r="D117" s="57"/>
      <c r="E117" s="57"/>
      <c r="F117" s="57"/>
      <c r="G117" s="57"/>
      <c r="H117" s="20"/>
      <c r="I117" s="20"/>
      <c r="J117" s="20"/>
      <c r="K117" s="20"/>
      <c r="L117" s="20"/>
      <c r="M117" s="20"/>
      <c r="N117" s="20"/>
      <c r="O117" s="20"/>
      <c r="P117" s="20"/>
      <c r="Q117" s="20"/>
      <c r="R117" s="20"/>
      <c r="S117" s="20"/>
      <c r="T117" s="20"/>
      <c r="U117" s="20"/>
      <c r="V117" s="20"/>
      <c r="W117" s="20"/>
      <c r="X117" s="20"/>
      <c r="Y117" s="20"/>
      <c r="Z117" s="20"/>
    </row>
    <row r="118" spans="2:26" ht="17.25" customHeight="1">
      <c r="B118" s="57"/>
      <c r="C118" s="57"/>
      <c r="D118" s="57"/>
      <c r="E118" s="57"/>
      <c r="F118" s="57"/>
      <c r="G118" s="57"/>
      <c r="H118" s="20"/>
      <c r="I118" s="20"/>
      <c r="J118" s="20"/>
      <c r="K118" s="20"/>
      <c r="L118" s="20"/>
      <c r="M118" s="20"/>
      <c r="N118" s="20"/>
      <c r="O118" s="20"/>
      <c r="P118" s="20"/>
      <c r="Q118" s="20"/>
      <c r="R118" s="20"/>
      <c r="S118" s="20"/>
      <c r="T118" s="20"/>
      <c r="U118" s="20"/>
      <c r="V118" s="20"/>
      <c r="W118" s="20"/>
      <c r="X118" s="20"/>
      <c r="Y118" s="20"/>
      <c r="Z118" s="20"/>
    </row>
    <row r="119" spans="2:26" ht="17.25" customHeight="1">
      <c r="B119" s="57"/>
      <c r="C119" s="57"/>
      <c r="D119" s="57"/>
      <c r="E119" s="57"/>
      <c r="F119" s="57"/>
      <c r="G119" s="57"/>
      <c r="H119" s="20"/>
      <c r="I119" s="20"/>
      <c r="J119" s="20"/>
      <c r="K119" s="20"/>
      <c r="L119" s="20"/>
      <c r="M119" s="20"/>
      <c r="N119" s="20"/>
      <c r="O119" s="20"/>
      <c r="P119" s="20"/>
      <c r="Q119" s="20"/>
      <c r="R119" s="20"/>
      <c r="S119" s="20"/>
      <c r="T119" s="20"/>
      <c r="U119" s="20"/>
      <c r="V119" s="20"/>
      <c r="W119" s="20"/>
      <c r="X119" s="20"/>
      <c r="Y119" s="20"/>
      <c r="Z119" s="20"/>
    </row>
    <row r="120" spans="2:26" ht="17.25" customHeight="1">
      <c r="B120" s="57"/>
      <c r="C120" s="57"/>
      <c r="D120" s="57"/>
      <c r="E120" s="57"/>
      <c r="F120" s="57"/>
      <c r="G120" s="57"/>
      <c r="H120" s="20"/>
      <c r="I120" s="20"/>
      <c r="J120" s="20"/>
      <c r="K120" s="20"/>
      <c r="L120" s="20"/>
      <c r="M120" s="20"/>
      <c r="N120" s="20"/>
      <c r="O120" s="20"/>
      <c r="P120" s="20"/>
      <c r="Q120" s="20"/>
      <c r="R120" s="20"/>
      <c r="S120" s="20"/>
      <c r="T120" s="20"/>
      <c r="U120" s="20"/>
      <c r="V120" s="20"/>
      <c r="W120" s="20"/>
      <c r="X120" s="20"/>
      <c r="Y120" s="20"/>
      <c r="Z120" s="20"/>
    </row>
    <row r="121" spans="2:26" ht="17.25" customHeight="1">
      <c r="B121" s="57"/>
      <c r="C121" s="57"/>
      <c r="D121" s="57"/>
      <c r="E121" s="57"/>
      <c r="F121" s="57"/>
      <c r="G121" s="57"/>
      <c r="H121" s="20"/>
      <c r="I121" s="20"/>
      <c r="J121" s="20"/>
      <c r="K121" s="20"/>
      <c r="L121" s="20"/>
      <c r="M121" s="20"/>
      <c r="N121" s="20"/>
      <c r="O121" s="20"/>
      <c r="P121" s="20"/>
      <c r="Q121" s="20"/>
      <c r="R121" s="20"/>
      <c r="S121" s="20"/>
      <c r="T121" s="20"/>
      <c r="U121" s="20"/>
      <c r="V121" s="20"/>
      <c r="W121" s="20"/>
      <c r="X121" s="20"/>
      <c r="Y121" s="20"/>
      <c r="Z121" s="20"/>
    </row>
    <row r="122" spans="2:26" ht="17.25" customHeight="1">
      <c r="B122" s="57"/>
      <c r="C122" s="57"/>
      <c r="D122" s="57"/>
      <c r="E122" s="57"/>
      <c r="F122" s="57"/>
      <c r="G122" s="57"/>
      <c r="H122" s="20"/>
      <c r="I122" s="20"/>
      <c r="J122" s="20"/>
      <c r="K122" s="20"/>
      <c r="L122" s="20"/>
      <c r="M122" s="20"/>
      <c r="N122" s="20"/>
      <c r="O122" s="20"/>
      <c r="P122" s="20"/>
      <c r="Q122" s="20"/>
      <c r="R122" s="20"/>
      <c r="S122" s="20"/>
      <c r="T122" s="20"/>
      <c r="U122" s="20"/>
      <c r="V122" s="20"/>
      <c r="W122" s="20"/>
      <c r="X122" s="20"/>
      <c r="Y122" s="20"/>
      <c r="Z122" s="20"/>
    </row>
    <row r="123" spans="2:26" ht="17.25" customHeight="1">
      <c r="B123" s="57"/>
      <c r="C123" s="57"/>
      <c r="D123" s="57"/>
      <c r="E123" s="57"/>
      <c r="F123" s="57"/>
      <c r="G123" s="57"/>
      <c r="H123" s="20"/>
      <c r="I123" s="20"/>
      <c r="J123" s="20"/>
      <c r="K123" s="20"/>
      <c r="L123" s="20"/>
      <c r="M123" s="20"/>
      <c r="N123" s="20"/>
      <c r="O123" s="20"/>
      <c r="P123" s="20"/>
      <c r="Q123" s="20"/>
      <c r="R123" s="20"/>
      <c r="S123" s="20"/>
      <c r="T123" s="20"/>
      <c r="U123" s="20"/>
      <c r="V123" s="20"/>
      <c r="W123" s="20"/>
      <c r="X123" s="20"/>
      <c r="Y123" s="20"/>
      <c r="Z123" s="20"/>
    </row>
    <row r="124" spans="2:26" ht="17.25" customHeight="1">
      <c r="B124" s="57"/>
      <c r="C124" s="57"/>
      <c r="D124" s="57"/>
      <c r="E124" s="57"/>
      <c r="F124" s="57"/>
      <c r="G124" s="57"/>
      <c r="H124" s="20"/>
      <c r="I124" s="20"/>
      <c r="J124" s="20"/>
      <c r="K124" s="20"/>
      <c r="L124" s="20"/>
      <c r="M124" s="20"/>
      <c r="N124" s="20"/>
      <c r="O124" s="20"/>
      <c r="P124" s="20"/>
      <c r="Q124" s="20"/>
      <c r="R124" s="20"/>
      <c r="S124" s="20"/>
      <c r="T124" s="20"/>
      <c r="U124" s="20"/>
      <c r="V124" s="20"/>
      <c r="W124" s="20"/>
      <c r="X124" s="20"/>
      <c r="Y124" s="20"/>
      <c r="Z124" s="20"/>
    </row>
    <row r="125" spans="2:26" ht="17.25" customHeight="1">
      <c r="B125" s="57"/>
      <c r="C125" s="57"/>
      <c r="D125" s="57"/>
      <c r="E125" s="57"/>
      <c r="F125" s="57"/>
      <c r="G125" s="57"/>
      <c r="H125" s="20"/>
      <c r="I125" s="20"/>
      <c r="J125" s="20"/>
      <c r="K125" s="20"/>
      <c r="L125" s="20"/>
      <c r="M125" s="20"/>
      <c r="N125" s="20"/>
      <c r="O125" s="20"/>
      <c r="P125" s="20"/>
      <c r="Q125" s="20"/>
      <c r="R125" s="20"/>
      <c r="S125" s="20"/>
      <c r="T125" s="20"/>
      <c r="U125" s="20"/>
      <c r="V125" s="20"/>
      <c r="W125" s="20"/>
      <c r="X125" s="20"/>
      <c r="Y125" s="20"/>
      <c r="Z125" s="20"/>
    </row>
    <row r="126" spans="2:26" ht="17.25" customHeight="1">
      <c r="B126" s="57"/>
      <c r="C126" s="57"/>
      <c r="D126" s="57"/>
      <c r="E126" s="57"/>
      <c r="F126" s="57"/>
      <c r="G126" s="57"/>
      <c r="H126" s="20"/>
      <c r="I126" s="20"/>
      <c r="J126" s="20"/>
      <c r="K126" s="20"/>
      <c r="L126" s="20"/>
      <c r="M126" s="20"/>
      <c r="N126" s="20"/>
      <c r="O126" s="20"/>
      <c r="P126" s="20"/>
      <c r="Q126" s="20"/>
      <c r="R126" s="20"/>
      <c r="S126" s="20"/>
      <c r="T126" s="20"/>
      <c r="U126" s="20"/>
      <c r="V126" s="20"/>
      <c r="W126" s="20"/>
      <c r="X126" s="20"/>
      <c r="Y126" s="20"/>
      <c r="Z126" s="20"/>
    </row>
    <row r="127" spans="2:26" ht="17.25" customHeight="1">
      <c r="B127" s="57"/>
      <c r="C127" s="57"/>
      <c r="D127" s="57"/>
      <c r="E127" s="57"/>
      <c r="F127" s="57"/>
      <c r="G127" s="57"/>
      <c r="H127" s="20"/>
      <c r="I127" s="20"/>
      <c r="J127" s="20"/>
      <c r="K127" s="20"/>
      <c r="L127" s="20"/>
      <c r="M127" s="20"/>
      <c r="N127" s="20"/>
      <c r="O127" s="20"/>
      <c r="P127" s="20"/>
      <c r="Q127" s="20"/>
      <c r="R127" s="20"/>
      <c r="S127" s="20"/>
      <c r="T127" s="20"/>
      <c r="U127" s="20"/>
      <c r="V127" s="20"/>
      <c r="W127" s="20"/>
      <c r="X127" s="20"/>
      <c r="Y127" s="20"/>
      <c r="Z127" s="20"/>
    </row>
    <row r="128" spans="2:26" ht="17.25" customHeight="1">
      <c r="B128" s="57"/>
      <c r="C128" s="57"/>
      <c r="D128" s="57"/>
      <c r="E128" s="57"/>
      <c r="F128" s="57"/>
      <c r="G128" s="57"/>
      <c r="H128" s="20"/>
      <c r="I128" s="20"/>
      <c r="J128" s="20"/>
      <c r="K128" s="20"/>
      <c r="L128" s="20"/>
      <c r="M128" s="20"/>
      <c r="N128" s="20"/>
      <c r="O128" s="20"/>
      <c r="P128" s="20"/>
      <c r="Q128" s="20"/>
      <c r="R128" s="20"/>
      <c r="S128" s="20"/>
      <c r="T128" s="20"/>
      <c r="U128" s="20"/>
      <c r="V128" s="20"/>
      <c r="W128" s="20"/>
      <c r="X128" s="20"/>
      <c r="Y128" s="20"/>
      <c r="Z128" s="20"/>
    </row>
    <row r="129" spans="2:26" ht="17.25" customHeight="1">
      <c r="B129" s="57"/>
      <c r="C129" s="57"/>
      <c r="D129" s="57"/>
      <c r="E129" s="57"/>
      <c r="F129" s="57"/>
      <c r="G129" s="57"/>
      <c r="H129" s="20"/>
      <c r="I129" s="20"/>
      <c r="J129" s="20"/>
      <c r="K129" s="20"/>
      <c r="L129" s="20"/>
      <c r="M129" s="20"/>
      <c r="N129" s="20"/>
      <c r="O129" s="20"/>
      <c r="P129" s="20"/>
      <c r="Q129" s="20"/>
      <c r="R129" s="20"/>
      <c r="S129" s="20"/>
      <c r="T129" s="20"/>
      <c r="U129" s="20"/>
      <c r="V129" s="20"/>
      <c r="W129" s="20"/>
      <c r="X129" s="20"/>
      <c r="Y129" s="20"/>
      <c r="Z129" s="20"/>
    </row>
    <row r="130" spans="2:26" ht="17.25" customHeight="1">
      <c r="B130" s="57"/>
      <c r="C130" s="57"/>
      <c r="D130" s="57"/>
      <c r="E130" s="57"/>
      <c r="F130" s="57"/>
      <c r="G130" s="57"/>
      <c r="H130" s="20"/>
      <c r="I130" s="20"/>
      <c r="J130" s="20"/>
      <c r="K130" s="20"/>
      <c r="L130" s="20"/>
      <c r="M130" s="20"/>
      <c r="N130" s="20"/>
      <c r="O130" s="20"/>
      <c r="P130" s="20"/>
      <c r="Q130" s="20"/>
      <c r="R130" s="20"/>
      <c r="S130" s="20"/>
      <c r="T130" s="20"/>
      <c r="U130" s="20"/>
      <c r="V130" s="20"/>
      <c r="W130" s="20"/>
      <c r="X130" s="20"/>
      <c r="Y130" s="20"/>
      <c r="Z130" s="20"/>
    </row>
    <row r="131" spans="2:26" ht="17.25" customHeight="1">
      <c r="B131" s="57"/>
      <c r="C131" s="57"/>
      <c r="D131" s="57"/>
      <c r="E131" s="57"/>
      <c r="F131" s="57"/>
      <c r="G131" s="57"/>
      <c r="H131" s="20"/>
      <c r="I131" s="20"/>
      <c r="J131" s="20"/>
      <c r="K131" s="20"/>
      <c r="L131" s="20"/>
      <c r="M131" s="20"/>
      <c r="N131" s="20"/>
      <c r="O131" s="20"/>
      <c r="P131" s="20"/>
      <c r="Q131" s="20"/>
      <c r="R131" s="20"/>
      <c r="S131" s="20"/>
      <c r="T131" s="20"/>
      <c r="U131" s="20"/>
      <c r="V131" s="20"/>
      <c r="W131" s="20"/>
      <c r="X131" s="20"/>
      <c r="Y131" s="20"/>
      <c r="Z131" s="20"/>
    </row>
    <row r="132" spans="2:26" ht="17.25" customHeight="1">
      <c r="B132" s="57"/>
      <c r="C132" s="57"/>
      <c r="D132" s="57"/>
      <c r="E132" s="57"/>
      <c r="F132" s="57"/>
      <c r="G132" s="57"/>
      <c r="H132" s="20"/>
      <c r="I132" s="20"/>
      <c r="J132" s="20"/>
      <c r="K132" s="20"/>
      <c r="L132" s="20"/>
      <c r="M132" s="20"/>
      <c r="N132" s="20"/>
      <c r="O132" s="20"/>
      <c r="P132" s="20"/>
      <c r="Q132" s="20"/>
      <c r="R132" s="20"/>
      <c r="S132" s="20"/>
      <c r="T132" s="20"/>
      <c r="U132" s="20"/>
      <c r="V132" s="20"/>
      <c r="W132" s="20"/>
      <c r="X132" s="20"/>
      <c r="Y132" s="20"/>
      <c r="Z132" s="20"/>
    </row>
    <row r="133" spans="2:26" ht="17.25" customHeight="1">
      <c r="B133" s="57"/>
      <c r="C133" s="57"/>
      <c r="D133" s="57"/>
      <c r="E133" s="57"/>
      <c r="F133" s="57"/>
      <c r="G133" s="57"/>
      <c r="H133" s="20"/>
      <c r="I133" s="20"/>
      <c r="J133" s="20"/>
      <c r="K133" s="20"/>
      <c r="L133" s="20"/>
      <c r="M133" s="20"/>
      <c r="N133" s="20"/>
      <c r="O133" s="20"/>
      <c r="P133" s="20"/>
      <c r="Q133" s="20"/>
      <c r="R133" s="20"/>
      <c r="S133" s="20"/>
      <c r="T133" s="20"/>
      <c r="U133" s="20"/>
      <c r="V133" s="20"/>
      <c r="W133" s="20"/>
      <c r="X133" s="20"/>
      <c r="Y133" s="20"/>
      <c r="Z133" s="20"/>
    </row>
    <row r="134" spans="2:26" ht="17.25" customHeight="1">
      <c r="B134" s="57"/>
      <c r="C134" s="57"/>
      <c r="D134" s="57"/>
      <c r="E134" s="57"/>
      <c r="F134" s="57"/>
      <c r="G134" s="57"/>
      <c r="H134" s="20"/>
      <c r="I134" s="20"/>
      <c r="J134" s="20"/>
      <c r="K134" s="20"/>
      <c r="L134" s="20"/>
      <c r="M134" s="20"/>
      <c r="N134" s="20"/>
      <c r="O134" s="20"/>
      <c r="P134" s="20"/>
      <c r="Q134" s="20"/>
      <c r="R134" s="20"/>
      <c r="S134" s="20"/>
      <c r="T134" s="20"/>
      <c r="U134" s="20"/>
      <c r="V134" s="20"/>
      <c r="W134" s="20"/>
      <c r="X134" s="20"/>
      <c r="Y134" s="20"/>
      <c r="Z134" s="20"/>
    </row>
    <row r="135" spans="2:26" ht="17.25" customHeight="1">
      <c r="B135" s="57"/>
      <c r="C135" s="57"/>
      <c r="D135" s="57"/>
      <c r="E135" s="57"/>
      <c r="F135" s="57"/>
      <c r="G135" s="57"/>
      <c r="H135" s="20"/>
      <c r="I135" s="20"/>
      <c r="J135" s="20"/>
      <c r="K135" s="20"/>
      <c r="L135" s="20"/>
      <c r="M135" s="20"/>
      <c r="N135" s="20"/>
      <c r="O135" s="20"/>
      <c r="P135" s="20"/>
      <c r="Q135" s="20"/>
      <c r="R135" s="20"/>
      <c r="S135" s="20"/>
      <c r="T135" s="20"/>
      <c r="U135" s="20"/>
      <c r="V135" s="20"/>
      <c r="W135" s="20"/>
      <c r="X135" s="20"/>
      <c r="Y135" s="20"/>
      <c r="Z135" s="20"/>
    </row>
    <row r="136" spans="2:26" ht="17.25" customHeight="1">
      <c r="B136" s="57"/>
      <c r="C136" s="57"/>
      <c r="D136" s="57"/>
      <c r="E136" s="57"/>
      <c r="F136" s="57"/>
      <c r="G136" s="57"/>
      <c r="H136" s="20"/>
      <c r="I136" s="20"/>
      <c r="J136" s="20"/>
      <c r="K136" s="20"/>
      <c r="L136" s="20"/>
      <c r="M136" s="20"/>
      <c r="N136" s="20"/>
      <c r="O136" s="20"/>
      <c r="P136" s="20"/>
      <c r="Q136" s="20"/>
      <c r="R136" s="20"/>
      <c r="S136" s="20"/>
      <c r="T136" s="20"/>
      <c r="U136" s="20"/>
      <c r="V136" s="20"/>
      <c r="W136" s="20"/>
      <c r="X136" s="20"/>
      <c r="Y136" s="20"/>
      <c r="Z136" s="20"/>
    </row>
    <row r="137" spans="2:26" ht="17.25" customHeight="1">
      <c r="B137" s="57"/>
      <c r="C137" s="57"/>
      <c r="D137" s="57"/>
      <c r="E137" s="57"/>
      <c r="F137" s="57"/>
      <c r="G137" s="57"/>
      <c r="H137" s="20"/>
      <c r="I137" s="20"/>
      <c r="J137" s="20"/>
      <c r="K137" s="20"/>
      <c r="L137" s="20"/>
      <c r="M137" s="20"/>
      <c r="N137" s="20"/>
      <c r="O137" s="20"/>
      <c r="P137" s="20"/>
      <c r="Q137" s="20"/>
      <c r="R137" s="20"/>
      <c r="S137" s="20"/>
      <c r="T137" s="20"/>
      <c r="U137" s="20"/>
      <c r="V137" s="20"/>
      <c r="W137" s="20"/>
      <c r="X137" s="20"/>
      <c r="Y137" s="20"/>
      <c r="Z137" s="20"/>
    </row>
    <row r="138" spans="2:26" ht="17.25" customHeight="1">
      <c r="B138" s="57"/>
      <c r="C138" s="57"/>
      <c r="D138" s="57"/>
      <c r="E138" s="57"/>
      <c r="F138" s="57"/>
      <c r="G138" s="57"/>
      <c r="H138" s="20"/>
      <c r="I138" s="20"/>
      <c r="J138" s="20"/>
      <c r="K138" s="20"/>
      <c r="L138" s="20"/>
      <c r="M138" s="20"/>
      <c r="N138" s="20"/>
      <c r="O138" s="20"/>
      <c r="P138" s="20"/>
      <c r="Q138" s="20"/>
      <c r="R138" s="20"/>
      <c r="S138" s="20"/>
      <c r="T138" s="20"/>
      <c r="U138" s="20"/>
      <c r="V138" s="20"/>
      <c r="W138" s="20"/>
      <c r="X138" s="20"/>
      <c r="Y138" s="20"/>
      <c r="Z138" s="20"/>
    </row>
    <row r="139" spans="2:26" ht="17.25" customHeight="1">
      <c r="B139" s="57"/>
      <c r="C139" s="57"/>
      <c r="D139" s="57"/>
      <c r="E139" s="57"/>
      <c r="F139" s="57"/>
      <c r="G139" s="57"/>
      <c r="H139" s="20"/>
      <c r="I139" s="20"/>
      <c r="J139" s="20"/>
      <c r="K139" s="20"/>
      <c r="L139" s="20"/>
      <c r="M139" s="20"/>
      <c r="N139" s="20"/>
      <c r="O139" s="20"/>
      <c r="P139" s="20"/>
      <c r="Q139" s="20"/>
      <c r="R139" s="20"/>
      <c r="S139" s="20"/>
      <c r="T139" s="20"/>
      <c r="U139" s="20"/>
      <c r="V139" s="20"/>
      <c r="W139" s="20"/>
      <c r="X139" s="20"/>
      <c r="Y139" s="20"/>
      <c r="Z139" s="20"/>
    </row>
    <row r="140" spans="2:26" ht="17.25" customHeight="1">
      <c r="B140" s="57"/>
      <c r="C140" s="57"/>
      <c r="D140" s="57"/>
      <c r="E140" s="57"/>
      <c r="F140" s="57"/>
      <c r="G140" s="57"/>
      <c r="H140" s="20"/>
      <c r="I140" s="20"/>
      <c r="J140" s="20"/>
      <c r="K140" s="20"/>
      <c r="L140" s="20"/>
      <c r="M140" s="20"/>
      <c r="N140" s="20"/>
      <c r="O140" s="20"/>
      <c r="P140" s="20"/>
      <c r="Q140" s="20"/>
      <c r="R140" s="20"/>
      <c r="S140" s="20"/>
      <c r="T140" s="20"/>
      <c r="U140" s="20"/>
      <c r="V140" s="20"/>
      <c r="W140" s="20"/>
      <c r="X140" s="20"/>
      <c r="Y140" s="20"/>
      <c r="Z140" s="20"/>
    </row>
    <row r="141" spans="2:26" ht="17.25" customHeight="1">
      <c r="B141" s="57"/>
      <c r="C141" s="57"/>
      <c r="D141" s="57"/>
      <c r="E141" s="57"/>
      <c r="F141" s="57"/>
      <c r="G141" s="57"/>
      <c r="H141" s="20"/>
      <c r="I141" s="20"/>
      <c r="J141" s="20"/>
      <c r="K141" s="20"/>
      <c r="L141" s="20"/>
      <c r="M141" s="20"/>
      <c r="N141" s="20"/>
      <c r="O141" s="20"/>
      <c r="P141" s="20"/>
      <c r="Q141" s="20"/>
      <c r="R141" s="20"/>
      <c r="S141" s="20"/>
      <c r="T141" s="20"/>
      <c r="U141" s="20"/>
      <c r="V141" s="20"/>
      <c r="W141" s="20"/>
      <c r="X141" s="20"/>
      <c r="Y141" s="20"/>
      <c r="Z141" s="20"/>
    </row>
    <row r="142" spans="2:26" ht="17.25" customHeight="1">
      <c r="B142" s="57"/>
      <c r="C142" s="57"/>
      <c r="D142" s="57"/>
      <c r="E142" s="57"/>
      <c r="F142" s="57"/>
      <c r="G142" s="57"/>
      <c r="H142" s="20"/>
      <c r="I142" s="20"/>
      <c r="J142" s="20"/>
      <c r="K142" s="20"/>
      <c r="L142" s="20"/>
      <c r="M142" s="20"/>
      <c r="N142" s="20"/>
      <c r="O142" s="20"/>
      <c r="P142" s="20"/>
      <c r="Q142" s="20"/>
      <c r="R142" s="20"/>
      <c r="S142" s="20"/>
      <c r="T142" s="20"/>
      <c r="U142" s="20"/>
      <c r="V142" s="20"/>
      <c r="W142" s="20"/>
      <c r="X142" s="20"/>
      <c r="Y142" s="20"/>
      <c r="Z142" s="20"/>
    </row>
    <row r="143" spans="2:26" ht="17.25" customHeight="1">
      <c r="B143" s="57"/>
      <c r="C143" s="57"/>
      <c r="D143" s="57"/>
      <c r="E143" s="57"/>
      <c r="F143" s="57"/>
      <c r="G143" s="57"/>
      <c r="H143" s="20"/>
      <c r="I143" s="20"/>
      <c r="J143" s="20"/>
      <c r="K143" s="20"/>
      <c r="L143" s="20"/>
      <c r="M143" s="20"/>
      <c r="N143" s="20"/>
      <c r="O143" s="20"/>
      <c r="P143" s="20"/>
      <c r="Q143" s="20"/>
      <c r="R143" s="20"/>
      <c r="S143" s="20"/>
      <c r="T143" s="20"/>
      <c r="U143" s="20"/>
      <c r="V143" s="20"/>
      <c r="W143" s="20"/>
      <c r="X143" s="20"/>
      <c r="Y143" s="20"/>
      <c r="Z143" s="20"/>
    </row>
    <row r="144" spans="2:26" ht="17.25" customHeight="1">
      <c r="B144" s="57"/>
      <c r="C144" s="57"/>
      <c r="D144" s="57"/>
      <c r="E144" s="57"/>
      <c r="F144" s="57"/>
      <c r="G144" s="57"/>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57"/>
      <c r="C145" s="57"/>
      <c r="D145" s="57"/>
      <c r="E145" s="57"/>
      <c r="F145" s="57"/>
      <c r="G145" s="57"/>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57"/>
      <c r="C146" s="57"/>
      <c r="D146" s="57"/>
      <c r="E146" s="57"/>
      <c r="F146" s="57"/>
      <c r="G146" s="57"/>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57"/>
      <c r="C147" s="57"/>
      <c r="D147" s="57"/>
      <c r="E147" s="57"/>
      <c r="F147" s="57"/>
      <c r="G147" s="57"/>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57"/>
      <c r="C148" s="57"/>
      <c r="D148" s="57"/>
      <c r="E148" s="57"/>
      <c r="F148" s="57"/>
      <c r="G148" s="57"/>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57"/>
      <c r="C149" s="57"/>
      <c r="D149" s="57"/>
      <c r="E149" s="57"/>
      <c r="F149" s="57"/>
      <c r="G149" s="57"/>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57"/>
      <c r="C150" s="57"/>
      <c r="D150" s="57"/>
      <c r="E150" s="57"/>
      <c r="F150" s="57"/>
      <c r="G150" s="57"/>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57"/>
      <c r="C151" s="57"/>
      <c r="D151" s="57"/>
      <c r="E151" s="57"/>
      <c r="F151" s="57"/>
      <c r="G151" s="57"/>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57"/>
      <c r="C152" s="57"/>
      <c r="D152" s="57"/>
      <c r="E152" s="57"/>
      <c r="F152" s="57"/>
      <c r="G152" s="57"/>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57"/>
      <c r="C153" s="57"/>
      <c r="D153" s="57"/>
      <c r="E153" s="57"/>
      <c r="F153" s="57"/>
      <c r="G153" s="57"/>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57"/>
      <c r="C154" s="57"/>
      <c r="D154" s="57"/>
      <c r="E154" s="57"/>
      <c r="F154" s="57"/>
      <c r="G154" s="57"/>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57"/>
      <c r="C155" s="57"/>
      <c r="D155" s="57"/>
      <c r="E155" s="57"/>
      <c r="F155" s="57"/>
      <c r="G155" s="57"/>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57"/>
      <c r="C156" s="57"/>
      <c r="D156" s="57"/>
      <c r="E156" s="57"/>
      <c r="F156" s="57"/>
      <c r="G156" s="57"/>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57"/>
      <c r="C157" s="57"/>
      <c r="D157" s="57"/>
      <c r="E157" s="57"/>
      <c r="F157" s="57"/>
      <c r="G157" s="57"/>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57"/>
      <c r="C158" s="57"/>
      <c r="D158" s="57"/>
      <c r="E158" s="57"/>
      <c r="F158" s="57"/>
      <c r="G158" s="57"/>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57"/>
      <c r="C159" s="57"/>
      <c r="D159" s="57"/>
      <c r="E159" s="57"/>
      <c r="F159" s="57"/>
      <c r="G159" s="57"/>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57"/>
      <c r="C160" s="57"/>
      <c r="D160" s="57"/>
      <c r="E160" s="57"/>
      <c r="F160" s="57"/>
      <c r="G160" s="57"/>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57"/>
      <c r="C161" s="57"/>
      <c r="D161" s="57"/>
      <c r="E161" s="57"/>
      <c r="F161" s="57"/>
      <c r="G161" s="57"/>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57"/>
      <c r="C162" s="57"/>
      <c r="D162" s="57"/>
      <c r="E162" s="57"/>
      <c r="F162" s="57"/>
      <c r="G162" s="57"/>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57"/>
      <c r="C163" s="57"/>
      <c r="D163" s="57"/>
      <c r="E163" s="57"/>
      <c r="F163" s="57"/>
      <c r="G163" s="57"/>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57"/>
      <c r="C164" s="57"/>
      <c r="D164" s="57"/>
      <c r="E164" s="57"/>
      <c r="F164" s="57"/>
      <c r="G164" s="57"/>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57"/>
      <c r="C165" s="57"/>
      <c r="D165" s="57"/>
      <c r="E165" s="57"/>
      <c r="F165" s="57"/>
      <c r="G165" s="57"/>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57"/>
      <c r="C166" s="57"/>
      <c r="D166" s="57"/>
      <c r="E166" s="57"/>
      <c r="F166" s="57"/>
      <c r="G166" s="57"/>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57"/>
      <c r="C167" s="57"/>
      <c r="D167" s="57"/>
      <c r="E167" s="57"/>
      <c r="F167" s="57"/>
      <c r="G167" s="57"/>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57"/>
      <c r="C168" s="57"/>
      <c r="D168" s="57"/>
      <c r="E168" s="57"/>
      <c r="F168" s="57"/>
      <c r="G168" s="57"/>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57"/>
      <c r="C169" s="57"/>
      <c r="D169" s="57"/>
      <c r="E169" s="57"/>
      <c r="F169" s="57"/>
      <c r="G169" s="57"/>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57"/>
      <c r="C170" s="57"/>
      <c r="D170" s="57"/>
      <c r="E170" s="57"/>
      <c r="F170" s="57"/>
      <c r="G170" s="57"/>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57"/>
      <c r="C171" s="57"/>
      <c r="D171" s="57"/>
      <c r="E171" s="57"/>
      <c r="F171" s="57"/>
      <c r="G171" s="57"/>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57"/>
      <c r="C172" s="57"/>
      <c r="D172" s="57"/>
      <c r="E172" s="57"/>
      <c r="F172" s="57"/>
      <c r="G172" s="57"/>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57"/>
      <c r="C173" s="57"/>
      <c r="D173" s="57"/>
      <c r="E173" s="57"/>
      <c r="F173" s="57"/>
      <c r="G173" s="57"/>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57"/>
      <c r="C174" s="57"/>
      <c r="D174" s="57"/>
      <c r="E174" s="57"/>
      <c r="F174" s="57"/>
      <c r="G174" s="57"/>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57"/>
      <c r="C175" s="57"/>
      <c r="D175" s="57"/>
      <c r="E175" s="57"/>
      <c r="F175" s="57"/>
      <c r="G175" s="57"/>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57"/>
      <c r="C176" s="57"/>
      <c r="D176" s="57"/>
      <c r="E176" s="57"/>
      <c r="F176" s="57"/>
      <c r="G176" s="57"/>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57"/>
      <c r="C177" s="57"/>
      <c r="D177" s="57"/>
      <c r="E177" s="57"/>
      <c r="F177" s="57"/>
      <c r="G177" s="57"/>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57"/>
      <c r="C178" s="57"/>
      <c r="D178" s="57"/>
      <c r="E178" s="57"/>
      <c r="F178" s="57"/>
      <c r="G178" s="57"/>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57"/>
      <c r="C179" s="57"/>
      <c r="D179" s="57"/>
      <c r="E179" s="57"/>
      <c r="F179" s="57"/>
      <c r="G179" s="57"/>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57"/>
      <c r="C180" s="57"/>
      <c r="D180" s="57"/>
      <c r="E180" s="57"/>
      <c r="F180" s="57"/>
      <c r="G180" s="57"/>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57"/>
      <c r="C181" s="57"/>
      <c r="D181" s="57"/>
      <c r="E181" s="57"/>
      <c r="F181" s="57"/>
      <c r="G181" s="57"/>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57"/>
      <c r="C182" s="57"/>
      <c r="D182" s="57"/>
      <c r="E182" s="57"/>
      <c r="F182" s="57"/>
      <c r="G182" s="57"/>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57"/>
      <c r="C183" s="57"/>
      <c r="D183" s="57"/>
      <c r="E183" s="57"/>
      <c r="F183" s="57"/>
      <c r="G183" s="57"/>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57"/>
      <c r="C184" s="57"/>
      <c r="D184" s="57"/>
      <c r="E184" s="57"/>
      <c r="F184" s="57"/>
      <c r="G184" s="57"/>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57"/>
      <c r="C185" s="57"/>
      <c r="D185" s="57"/>
      <c r="E185" s="57"/>
      <c r="F185" s="57"/>
      <c r="G185" s="57"/>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57"/>
      <c r="C186" s="57"/>
      <c r="D186" s="57"/>
      <c r="E186" s="57"/>
      <c r="F186" s="57"/>
      <c r="G186" s="57"/>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57"/>
      <c r="C187" s="57"/>
      <c r="D187" s="57"/>
      <c r="E187" s="57"/>
      <c r="F187" s="57"/>
      <c r="G187" s="57"/>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57"/>
      <c r="C188" s="57"/>
      <c r="D188" s="57"/>
      <c r="E188" s="57"/>
      <c r="F188" s="57"/>
      <c r="G188" s="57"/>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57"/>
      <c r="C189" s="57"/>
      <c r="D189" s="57"/>
      <c r="E189" s="57"/>
      <c r="F189" s="57"/>
      <c r="G189" s="57"/>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57"/>
      <c r="C190" s="57"/>
      <c r="D190" s="57"/>
      <c r="E190" s="57"/>
      <c r="F190" s="57"/>
      <c r="G190" s="57"/>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57"/>
      <c r="C191" s="57"/>
      <c r="D191" s="57"/>
      <c r="E191" s="57"/>
      <c r="F191" s="57"/>
      <c r="G191" s="57"/>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57"/>
      <c r="C192" s="57"/>
      <c r="D192" s="57"/>
      <c r="E192" s="57"/>
      <c r="F192" s="57"/>
      <c r="G192" s="57"/>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57"/>
      <c r="C193" s="57"/>
      <c r="D193" s="57"/>
      <c r="E193" s="57"/>
      <c r="F193" s="57"/>
      <c r="G193" s="57"/>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57"/>
      <c r="C194" s="57"/>
      <c r="D194" s="57"/>
      <c r="E194" s="57"/>
      <c r="F194" s="57"/>
      <c r="G194" s="57"/>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57"/>
      <c r="C195" s="57"/>
      <c r="D195" s="57"/>
      <c r="E195" s="57"/>
      <c r="F195" s="57"/>
      <c r="G195" s="57"/>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57"/>
      <c r="C196" s="57"/>
      <c r="D196" s="57"/>
      <c r="E196" s="57"/>
      <c r="F196" s="57"/>
      <c r="G196" s="57"/>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57"/>
      <c r="C197" s="57"/>
      <c r="D197" s="57"/>
      <c r="E197" s="57"/>
      <c r="F197" s="57"/>
      <c r="G197" s="57"/>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57"/>
      <c r="C198" s="57"/>
      <c r="D198" s="57"/>
      <c r="E198" s="57"/>
      <c r="F198" s="57"/>
      <c r="G198" s="57"/>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57"/>
      <c r="C199" s="57"/>
      <c r="D199" s="57"/>
      <c r="E199" s="57"/>
      <c r="F199" s="57"/>
      <c r="G199" s="57"/>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57"/>
      <c r="C200" s="57"/>
      <c r="D200" s="57"/>
      <c r="E200" s="57"/>
      <c r="F200" s="57"/>
      <c r="G200" s="57"/>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57"/>
      <c r="C201" s="57"/>
      <c r="D201" s="57"/>
      <c r="E201" s="57"/>
      <c r="F201" s="57"/>
      <c r="G201" s="57"/>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57"/>
      <c r="C202" s="57"/>
      <c r="D202" s="57"/>
      <c r="E202" s="57"/>
      <c r="F202" s="57"/>
      <c r="G202" s="57"/>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57"/>
      <c r="C203" s="57"/>
      <c r="D203" s="57"/>
      <c r="E203" s="57"/>
      <c r="F203" s="57"/>
      <c r="G203" s="57"/>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57"/>
      <c r="C204" s="57"/>
      <c r="D204" s="57"/>
      <c r="E204" s="57"/>
      <c r="F204" s="57"/>
      <c r="G204" s="57"/>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57"/>
      <c r="C205" s="57"/>
      <c r="D205" s="57"/>
      <c r="E205" s="57"/>
      <c r="F205" s="57"/>
      <c r="G205" s="57"/>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57"/>
      <c r="C206" s="57"/>
      <c r="D206" s="57"/>
      <c r="E206" s="57"/>
      <c r="F206" s="57"/>
      <c r="G206" s="57"/>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57"/>
      <c r="C207" s="57"/>
      <c r="D207" s="57"/>
      <c r="E207" s="57"/>
      <c r="F207" s="57"/>
      <c r="G207" s="57"/>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57"/>
      <c r="C208" s="57"/>
      <c r="D208" s="57"/>
      <c r="E208" s="57"/>
      <c r="F208" s="57"/>
      <c r="G208" s="57"/>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57"/>
      <c r="C209" s="57"/>
      <c r="D209" s="57"/>
      <c r="E209" s="57"/>
      <c r="F209" s="57"/>
      <c r="G209" s="57"/>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57"/>
      <c r="C210" s="57"/>
      <c r="D210" s="57"/>
      <c r="E210" s="57"/>
      <c r="F210" s="57"/>
      <c r="G210" s="57"/>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57"/>
      <c r="C211" s="57"/>
      <c r="D211" s="57"/>
      <c r="E211" s="57"/>
      <c r="F211" s="57"/>
      <c r="G211" s="57"/>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57"/>
      <c r="C212" s="57"/>
      <c r="D212" s="57"/>
      <c r="E212" s="57"/>
      <c r="F212" s="57"/>
      <c r="G212" s="57"/>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57"/>
      <c r="C213" s="57"/>
      <c r="D213" s="57"/>
      <c r="E213" s="57"/>
      <c r="F213" s="57"/>
      <c r="G213" s="57"/>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57"/>
      <c r="C214" s="57"/>
      <c r="D214" s="57"/>
      <c r="E214" s="57"/>
      <c r="F214" s="57"/>
      <c r="G214" s="57"/>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57"/>
      <c r="C215" s="57"/>
      <c r="D215" s="57"/>
      <c r="E215" s="57"/>
      <c r="F215" s="57"/>
      <c r="G215" s="57"/>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57"/>
      <c r="C216" s="57"/>
      <c r="D216" s="57"/>
      <c r="E216" s="57"/>
      <c r="F216" s="57"/>
      <c r="G216" s="57"/>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57"/>
      <c r="C217" s="57"/>
      <c r="D217" s="57"/>
      <c r="E217" s="57"/>
      <c r="F217" s="57"/>
      <c r="G217" s="57"/>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57"/>
      <c r="C218" s="57"/>
      <c r="D218" s="57"/>
      <c r="E218" s="57"/>
      <c r="F218" s="57"/>
      <c r="G218" s="57"/>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57"/>
      <c r="C219" s="57"/>
      <c r="D219" s="57"/>
      <c r="E219" s="57"/>
      <c r="F219" s="57"/>
      <c r="G219" s="57"/>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57"/>
      <c r="C220" s="57"/>
      <c r="D220" s="57"/>
      <c r="E220" s="57"/>
      <c r="F220" s="57"/>
      <c r="G220" s="57"/>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57"/>
      <c r="C221" s="57"/>
      <c r="D221" s="57"/>
      <c r="E221" s="57"/>
      <c r="F221" s="57"/>
      <c r="G221" s="57"/>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57"/>
      <c r="C222" s="57"/>
      <c r="D222" s="57"/>
      <c r="E222" s="57"/>
      <c r="F222" s="57"/>
      <c r="G222" s="57"/>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57"/>
      <c r="C223" s="57"/>
      <c r="D223" s="57"/>
      <c r="E223" s="57"/>
      <c r="F223" s="57"/>
      <c r="G223" s="57"/>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57"/>
      <c r="C224" s="57"/>
      <c r="D224" s="57"/>
      <c r="E224" s="57"/>
      <c r="F224" s="57"/>
      <c r="G224" s="57"/>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57"/>
      <c r="C225" s="57"/>
      <c r="D225" s="57"/>
      <c r="E225" s="57"/>
      <c r="F225" s="57"/>
      <c r="G225" s="57"/>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57"/>
      <c r="C226" s="57"/>
      <c r="D226" s="57"/>
      <c r="E226" s="57"/>
      <c r="F226" s="57"/>
      <c r="G226" s="57"/>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57"/>
      <c r="C227" s="57"/>
      <c r="D227" s="57"/>
      <c r="E227" s="57"/>
      <c r="F227" s="57"/>
      <c r="G227" s="57"/>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57"/>
      <c r="C228" s="57"/>
      <c r="D228" s="57"/>
      <c r="E228" s="57"/>
      <c r="F228" s="57"/>
      <c r="G228" s="57"/>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57"/>
      <c r="C229" s="57"/>
      <c r="D229" s="57"/>
      <c r="E229" s="57"/>
      <c r="F229" s="57"/>
      <c r="G229" s="57"/>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57"/>
      <c r="C230" s="57"/>
      <c r="D230" s="57"/>
      <c r="E230" s="57"/>
      <c r="F230" s="57"/>
      <c r="G230" s="57"/>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57"/>
      <c r="C231" s="57"/>
      <c r="D231" s="57"/>
      <c r="E231" s="57"/>
      <c r="F231" s="57"/>
      <c r="G231" s="57"/>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57"/>
      <c r="C232" s="57"/>
      <c r="D232" s="57"/>
      <c r="E232" s="57"/>
      <c r="F232" s="57"/>
      <c r="G232" s="57"/>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57"/>
      <c r="C233" s="57"/>
      <c r="D233" s="57"/>
      <c r="E233" s="57"/>
      <c r="F233" s="57"/>
      <c r="G233" s="57"/>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57"/>
      <c r="C234" s="57"/>
      <c r="D234" s="57"/>
      <c r="E234" s="57"/>
      <c r="F234" s="57"/>
      <c r="G234" s="57"/>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57"/>
      <c r="C235" s="57"/>
      <c r="D235" s="57"/>
      <c r="E235" s="57"/>
      <c r="F235" s="57"/>
      <c r="G235" s="57"/>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57"/>
      <c r="C236" s="57"/>
      <c r="D236" s="57"/>
      <c r="E236" s="57"/>
      <c r="F236" s="57"/>
      <c r="G236" s="57"/>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57"/>
      <c r="C237" s="57"/>
      <c r="D237" s="57"/>
      <c r="E237" s="57"/>
      <c r="F237" s="57"/>
      <c r="G237" s="57"/>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57"/>
      <c r="C238" s="57"/>
      <c r="D238" s="57"/>
      <c r="E238" s="57"/>
      <c r="F238" s="57"/>
      <c r="G238" s="57"/>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57"/>
      <c r="C239" s="57"/>
      <c r="D239" s="57"/>
      <c r="E239" s="57"/>
      <c r="F239" s="57"/>
      <c r="G239" s="57"/>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57"/>
      <c r="C240" s="57"/>
      <c r="D240" s="57"/>
      <c r="E240" s="57"/>
      <c r="F240" s="57"/>
      <c r="G240" s="57"/>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57"/>
      <c r="C241" s="57"/>
      <c r="D241" s="57"/>
      <c r="E241" s="57"/>
      <c r="F241" s="57"/>
      <c r="G241" s="57"/>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57"/>
      <c r="C242" s="57"/>
      <c r="D242" s="57"/>
      <c r="E242" s="57"/>
      <c r="F242" s="57"/>
      <c r="G242" s="57"/>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57"/>
      <c r="C243" s="57"/>
      <c r="D243" s="57"/>
      <c r="E243" s="57"/>
      <c r="F243" s="57"/>
      <c r="G243" s="57"/>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57"/>
      <c r="C244" s="57"/>
      <c r="D244" s="57"/>
      <c r="E244" s="57"/>
      <c r="F244" s="57"/>
      <c r="G244" s="57"/>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57"/>
      <c r="C245" s="57"/>
      <c r="D245" s="57"/>
      <c r="E245" s="57"/>
      <c r="F245" s="57"/>
      <c r="G245" s="57"/>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57"/>
      <c r="C246" s="57"/>
      <c r="D246" s="57"/>
      <c r="E246" s="57"/>
      <c r="F246" s="57"/>
      <c r="G246" s="57"/>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57"/>
      <c r="C247" s="57"/>
      <c r="D247" s="57"/>
      <c r="E247" s="57"/>
      <c r="F247" s="57"/>
      <c r="G247" s="57"/>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57"/>
      <c r="C248" s="57"/>
      <c r="D248" s="57"/>
      <c r="E248" s="57"/>
      <c r="F248" s="57"/>
      <c r="G248" s="57"/>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57"/>
      <c r="C249" s="57"/>
      <c r="D249" s="57"/>
      <c r="E249" s="57"/>
      <c r="F249" s="57"/>
      <c r="G249" s="57"/>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57"/>
      <c r="C250" s="57"/>
      <c r="D250" s="57"/>
      <c r="E250" s="57"/>
      <c r="F250" s="57"/>
      <c r="G250" s="57"/>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57"/>
      <c r="C251" s="57"/>
      <c r="D251" s="57"/>
      <c r="E251" s="57"/>
      <c r="F251" s="57"/>
      <c r="G251" s="57"/>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57"/>
      <c r="C252" s="57"/>
      <c r="D252" s="57"/>
      <c r="E252" s="57"/>
      <c r="F252" s="57"/>
      <c r="G252" s="57"/>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57"/>
      <c r="C253" s="57"/>
      <c r="D253" s="57"/>
      <c r="E253" s="57"/>
      <c r="F253" s="57"/>
      <c r="G253" s="57"/>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57"/>
      <c r="C254" s="57"/>
      <c r="D254" s="57"/>
      <c r="E254" s="57"/>
      <c r="F254" s="57"/>
      <c r="G254" s="57"/>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57"/>
      <c r="C255" s="57"/>
      <c r="D255" s="57"/>
      <c r="E255" s="57"/>
      <c r="F255" s="57"/>
      <c r="G255" s="57"/>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57"/>
      <c r="C256" s="57"/>
      <c r="D256" s="57"/>
      <c r="E256" s="57"/>
      <c r="F256" s="57"/>
      <c r="G256" s="57"/>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57"/>
      <c r="C257" s="57"/>
      <c r="D257" s="57"/>
      <c r="E257" s="57"/>
      <c r="F257" s="57"/>
      <c r="G257" s="57"/>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57"/>
      <c r="C258" s="57"/>
      <c r="D258" s="57"/>
      <c r="E258" s="57"/>
      <c r="F258" s="57"/>
      <c r="G258" s="57"/>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57"/>
      <c r="C259" s="57"/>
      <c r="D259" s="57"/>
      <c r="E259" s="57"/>
      <c r="F259" s="57"/>
      <c r="G259" s="57"/>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57"/>
      <c r="C260" s="57"/>
      <c r="D260" s="57"/>
      <c r="E260" s="57"/>
      <c r="F260" s="57"/>
      <c r="G260" s="57"/>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57"/>
      <c r="C261" s="57"/>
      <c r="D261" s="57"/>
      <c r="E261" s="57"/>
      <c r="F261" s="57"/>
      <c r="G261" s="57"/>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57"/>
      <c r="C262" s="57"/>
      <c r="D262" s="57"/>
      <c r="E262" s="57"/>
      <c r="F262" s="57"/>
      <c r="G262" s="57"/>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57"/>
      <c r="C263" s="57"/>
      <c r="D263" s="57"/>
      <c r="E263" s="57"/>
      <c r="F263" s="57"/>
      <c r="G263" s="57"/>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57"/>
      <c r="C264" s="57"/>
      <c r="D264" s="57"/>
      <c r="E264" s="57"/>
      <c r="F264" s="57"/>
      <c r="G264" s="57"/>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57"/>
      <c r="C265" s="57"/>
      <c r="D265" s="57"/>
      <c r="E265" s="57"/>
      <c r="F265" s="57"/>
      <c r="G265" s="57"/>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57"/>
      <c r="C266" s="57"/>
      <c r="D266" s="57"/>
      <c r="E266" s="57"/>
      <c r="F266" s="57"/>
      <c r="G266" s="57"/>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57"/>
      <c r="C267" s="57"/>
      <c r="D267" s="57"/>
      <c r="E267" s="57"/>
      <c r="F267" s="57"/>
      <c r="G267" s="57"/>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57"/>
      <c r="C268" s="57"/>
      <c r="D268" s="57"/>
      <c r="E268" s="57"/>
      <c r="F268" s="57"/>
      <c r="G268" s="57"/>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57"/>
      <c r="C269" s="57"/>
      <c r="D269" s="57"/>
      <c r="E269" s="57"/>
      <c r="F269" s="57"/>
      <c r="G269" s="57"/>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57"/>
      <c r="C270" s="57"/>
      <c r="D270" s="57"/>
      <c r="E270" s="57"/>
      <c r="F270" s="57"/>
      <c r="G270" s="57"/>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57"/>
      <c r="C271" s="57"/>
      <c r="D271" s="57"/>
      <c r="E271" s="57"/>
      <c r="F271" s="57"/>
      <c r="G271" s="57"/>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57"/>
      <c r="C272" s="57"/>
      <c r="D272" s="57"/>
      <c r="E272" s="57"/>
      <c r="F272" s="57"/>
      <c r="G272" s="57"/>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57"/>
      <c r="C273" s="57"/>
      <c r="D273" s="57"/>
      <c r="E273" s="57"/>
      <c r="F273" s="57"/>
      <c r="G273" s="57"/>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57"/>
      <c r="C274" s="57"/>
      <c r="D274" s="57"/>
      <c r="E274" s="57"/>
      <c r="F274" s="57"/>
      <c r="G274" s="57"/>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57"/>
      <c r="C275" s="57"/>
      <c r="D275" s="57"/>
      <c r="E275" s="57"/>
      <c r="F275" s="57"/>
      <c r="G275" s="57"/>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57"/>
      <c r="C276" s="57"/>
      <c r="D276" s="57"/>
      <c r="E276" s="57"/>
      <c r="F276" s="57"/>
      <c r="G276" s="57"/>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57"/>
      <c r="C277" s="57"/>
      <c r="D277" s="57"/>
      <c r="E277" s="57"/>
      <c r="F277" s="57"/>
      <c r="G277" s="57"/>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57"/>
      <c r="C278" s="57"/>
      <c r="D278" s="57"/>
      <c r="E278" s="57"/>
      <c r="F278" s="57"/>
      <c r="G278" s="57"/>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57"/>
      <c r="C279" s="57"/>
      <c r="D279" s="57"/>
      <c r="E279" s="57"/>
      <c r="F279" s="57"/>
      <c r="G279" s="57"/>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57"/>
      <c r="C280" s="57"/>
      <c r="D280" s="57"/>
      <c r="E280" s="57"/>
      <c r="F280" s="57"/>
      <c r="G280" s="57"/>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57"/>
      <c r="C281" s="57"/>
      <c r="D281" s="57"/>
      <c r="E281" s="57"/>
      <c r="F281" s="57"/>
      <c r="G281" s="57"/>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57"/>
      <c r="C282" s="57"/>
      <c r="D282" s="57"/>
      <c r="E282" s="57"/>
      <c r="F282" s="57"/>
      <c r="G282" s="57"/>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57"/>
      <c r="C283" s="57"/>
      <c r="D283" s="57"/>
      <c r="E283" s="57"/>
      <c r="F283" s="57"/>
      <c r="G283" s="57"/>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57"/>
      <c r="C284" s="57"/>
      <c r="D284" s="57"/>
      <c r="E284" s="57"/>
      <c r="F284" s="57"/>
      <c r="G284" s="57"/>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57"/>
      <c r="C285" s="57"/>
      <c r="D285" s="57"/>
      <c r="E285" s="57"/>
      <c r="F285" s="57"/>
      <c r="G285" s="57"/>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57"/>
      <c r="C286" s="57"/>
      <c r="D286" s="57"/>
      <c r="E286" s="57"/>
      <c r="F286" s="57"/>
      <c r="G286" s="57"/>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57"/>
      <c r="C287" s="57"/>
      <c r="D287" s="57"/>
      <c r="E287" s="57"/>
      <c r="F287" s="57"/>
      <c r="G287" s="57"/>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57"/>
      <c r="C288" s="57"/>
      <c r="D288" s="57"/>
      <c r="E288" s="57"/>
      <c r="F288" s="57"/>
      <c r="G288" s="57"/>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57"/>
      <c r="C289" s="57"/>
      <c r="D289" s="57"/>
      <c r="E289" s="57"/>
      <c r="F289" s="57"/>
      <c r="G289" s="57"/>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57"/>
      <c r="C290" s="57"/>
      <c r="D290" s="57"/>
      <c r="E290" s="57"/>
      <c r="F290" s="57"/>
      <c r="G290" s="57"/>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57"/>
      <c r="C291" s="57"/>
      <c r="D291" s="57"/>
      <c r="E291" s="57"/>
      <c r="F291" s="57"/>
      <c r="G291" s="57"/>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57"/>
      <c r="C292" s="57"/>
      <c r="D292" s="57"/>
      <c r="E292" s="57"/>
      <c r="F292" s="57"/>
      <c r="G292" s="57"/>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57"/>
      <c r="C293" s="57"/>
      <c r="D293" s="57"/>
      <c r="E293" s="57"/>
      <c r="F293" s="57"/>
      <c r="G293" s="57"/>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57"/>
      <c r="C294" s="57"/>
      <c r="D294" s="57"/>
      <c r="E294" s="57"/>
      <c r="F294" s="57"/>
      <c r="G294" s="57"/>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57"/>
      <c r="C295" s="57"/>
      <c r="D295" s="57"/>
      <c r="E295" s="57"/>
      <c r="F295" s="57"/>
      <c r="G295" s="57"/>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57"/>
      <c r="C296" s="57"/>
      <c r="D296" s="57"/>
      <c r="E296" s="57"/>
      <c r="F296" s="57"/>
      <c r="G296" s="57"/>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57"/>
      <c r="C297" s="57"/>
      <c r="D297" s="57"/>
      <c r="E297" s="57"/>
      <c r="F297" s="57"/>
      <c r="G297" s="57"/>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57"/>
      <c r="C298" s="57"/>
      <c r="D298" s="57"/>
      <c r="E298" s="57"/>
      <c r="F298" s="57"/>
      <c r="G298" s="57"/>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57"/>
      <c r="C299" s="57"/>
      <c r="D299" s="57"/>
      <c r="E299" s="57"/>
      <c r="F299" s="57"/>
      <c r="G299" s="57"/>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57"/>
      <c r="C300" s="57"/>
      <c r="D300" s="57"/>
      <c r="E300" s="57"/>
      <c r="F300" s="57"/>
      <c r="G300" s="57"/>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57"/>
      <c r="C301" s="57"/>
      <c r="D301" s="57"/>
      <c r="E301" s="57"/>
      <c r="F301" s="57"/>
      <c r="G301" s="57"/>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57"/>
      <c r="C302" s="57"/>
      <c r="D302" s="57"/>
      <c r="E302" s="57"/>
      <c r="F302" s="57"/>
      <c r="G302" s="57"/>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57"/>
      <c r="C303" s="57"/>
      <c r="D303" s="57"/>
      <c r="E303" s="57"/>
      <c r="F303" s="57"/>
      <c r="G303" s="57"/>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57"/>
      <c r="C304" s="57"/>
      <c r="D304" s="57"/>
      <c r="E304" s="57"/>
      <c r="F304" s="57"/>
      <c r="G304" s="57"/>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57"/>
      <c r="C305" s="57"/>
      <c r="D305" s="57"/>
      <c r="E305" s="57"/>
      <c r="F305" s="57"/>
      <c r="G305" s="57"/>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57"/>
      <c r="C306" s="57"/>
      <c r="D306" s="57"/>
      <c r="E306" s="57"/>
      <c r="F306" s="57"/>
      <c r="G306" s="57"/>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57"/>
      <c r="C307" s="57"/>
      <c r="D307" s="57"/>
      <c r="E307" s="57"/>
      <c r="F307" s="57"/>
      <c r="G307" s="57"/>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57"/>
      <c r="C308" s="57"/>
      <c r="D308" s="57"/>
      <c r="E308" s="57"/>
      <c r="F308" s="57"/>
      <c r="G308" s="57"/>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57"/>
      <c r="C309" s="57"/>
      <c r="D309" s="57"/>
      <c r="E309" s="57"/>
      <c r="F309" s="57"/>
      <c r="G309" s="57"/>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57"/>
      <c r="C310" s="57"/>
      <c r="D310" s="57"/>
      <c r="E310" s="57"/>
      <c r="F310" s="57"/>
      <c r="G310" s="57"/>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57"/>
      <c r="C311" s="57"/>
      <c r="D311" s="57"/>
      <c r="E311" s="57"/>
      <c r="F311" s="57"/>
      <c r="G311" s="57"/>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57"/>
      <c r="C312" s="57"/>
      <c r="D312" s="57"/>
      <c r="E312" s="57"/>
      <c r="F312" s="57"/>
      <c r="G312" s="57"/>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57"/>
      <c r="C313" s="57"/>
      <c r="D313" s="57"/>
      <c r="E313" s="57"/>
      <c r="F313" s="57"/>
      <c r="G313" s="57"/>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57"/>
      <c r="C314" s="57"/>
      <c r="D314" s="57"/>
      <c r="E314" s="57"/>
      <c r="F314" s="57"/>
      <c r="G314" s="57"/>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57"/>
      <c r="C315" s="57"/>
      <c r="D315" s="57"/>
      <c r="E315" s="57"/>
      <c r="F315" s="57"/>
      <c r="G315" s="57"/>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57"/>
      <c r="C316" s="57"/>
      <c r="D316" s="57"/>
      <c r="E316" s="57"/>
      <c r="F316" s="57"/>
      <c r="G316" s="57"/>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57"/>
      <c r="C317" s="57"/>
      <c r="D317" s="57"/>
      <c r="E317" s="57"/>
      <c r="F317" s="57"/>
      <c r="G317" s="57"/>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57"/>
      <c r="C318" s="57"/>
      <c r="D318" s="57"/>
      <c r="E318" s="57"/>
      <c r="F318" s="57"/>
      <c r="G318" s="57"/>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57"/>
      <c r="C319" s="57"/>
      <c r="D319" s="57"/>
      <c r="E319" s="57"/>
      <c r="F319" s="57"/>
      <c r="G319" s="57"/>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57"/>
      <c r="C320" s="57"/>
      <c r="D320" s="57"/>
      <c r="E320" s="57"/>
      <c r="F320" s="57"/>
      <c r="G320" s="57"/>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57"/>
      <c r="C321" s="57"/>
      <c r="D321" s="57"/>
      <c r="E321" s="57"/>
      <c r="F321" s="57"/>
      <c r="G321" s="57"/>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57"/>
      <c r="C322" s="57"/>
      <c r="D322" s="57"/>
      <c r="E322" s="57"/>
      <c r="F322" s="57"/>
      <c r="G322" s="57"/>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57"/>
      <c r="C323" s="57"/>
      <c r="D323" s="57"/>
      <c r="E323" s="57"/>
      <c r="F323" s="57"/>
      <c r="G323" s="57"/>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57"/>
      <c r="C324" s="57"/>
      <c r="D324" s="57"/>
      <c r="E324" s="57"/>
      <c r="F324" s="57"/>
      <c r="G324" s="57"/>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57"/>
      <c r="C325" s="57"/>
      <c r="D325" s="57"/>
      <c r="E325" s="57"/>
      <c r="F325" s="57"/>
      <c r="G325" s="57"/>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57"/>
      <c r="C326" s="57"/>
      <c r="D326" s="57"/>
      <c r="E326" s="57"/>
      <c r="F326" s="57"/>
      <c r="G326" s="57"/>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57"/>
      <c r="C327" s="57"/>
      <c r="D327" s="57"/>
      <c r="E327" s="57"/>
      <c r="F327" s="57"/>
      <c r="G327" s="57"/>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57"/>
      <c r="C328" s="57"/>
      <c r="D328" s="57"/>
      <c r="E328" s="57"/>
      <c r="F328" s="57"/>
      <c r="G328" s="57"/>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57"/>
      <c r="C329" s="57"/>
      <c r="D329" s="57"/>
      <c r="E329" s="57"/>
      <c r="F329" s="57"/>
      <c r="G329" s="57"/>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57"/>
      <c r="C330" s="57"/>
      <c r="D330" s="57"/>
      <c r="E330" s="57"/>
      <c r="F330" s="57"/>
      <c r="G330" s="57"/>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57"/>
      <c r="C331" s="57"/>
      <c r="D331" s="57"/>
      <c r="E331" s="57"/>
      <c r="F331" s="57"/>
      <c r="G331" s="57"/>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57"/>
      <c r="C332" s="57"/>
      <c r="D332" s="57"/>
      <c r="E332" s="57"/>
      <c r="F332" s="57"/>
      <c r="G332" s="57"/>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57"/>
      <c r="C333" s="57"/>
      <c r="D333" s="57"/>
      <c r="E333" s="57"/>
      <c r="F333" s="57"/>
      <c r="G333" s="57"/>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57"/>
      <c r="C334" s="57"/>
      <c r="D334" s="57"/>
      <c r="E334" s="57"/>
      <c r="F334" s="57"/>
      <c r="G334" s="57"/>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57"/>
      <c r="C335" s="57"/>
      <c r="D335" s="57"/>
      <c r="E335" s="57"/>
      <c r="F335" s="57"/>
      <c r="G335" s="57"/>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57"/>
      <c r="C336" s="57"/>
      <c r="D336" s="57"/>
      <c r="E336" s="57"/>
      <c r="F336" s="57"/>
      <c r="G336" s="57"/>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57"/>
      <c r="C337" s="57"/>
      <c r="D337" s="57"/>
      <c r="E337" s="57"/>
      <c r="F337" s="57"/>
      <c r="G337" s="57"/>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57"/>
      <c r="C338" s="57"/>
      <c r="D338" s="57"/>
      <c r="E338" s="57"/>
      <c r="F338" s="57"/>
      <c r="G338" s="57"/>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57"/>
      <c r="C339" s="57"/>
      <c r="D339" s="57"/>
      <c r="E339" s="57"/>
      <c r="F339" s="57"/>
      <c r="G339" s="57"/>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57"/>
      <c r="C340" s="57"/>
      <c r="D340" s="57"/>
      <c r="E340" s="57"/>
      <c r="F340" s="57"/>
      <c r="G340" s="57"/>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57"/>
      <c r="C341" s="57"/>
      <c r="D341" s="57"/>
      <c r="E341" s="57"/>
      <c r="F341" s="57"/>
      <c r="G341" s="57"/>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57"/>
      <c r="C342" s="57"/>
      <c r="D342" s="57"/>
      <c r="E342" s="57"/>
      <c r="F342" s="57"/>
      <c r="G342" s="57"/>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57"/>
      <c r="C343" s="57"/>
      <c r="D343" s="57"/>
      <c r="E343" s="57"/>
      <c r="F343" s="57"/>
      <c r="G343" s="57"/>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57"/>
      <c r="C344" s="57"/>
      <c r="D344" s="57"/>
      <c r="E344" s="57"/>
      <c r="F344" s="57"/>
      <c r="G344" s="57"/>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57"/>
      <c r="C345" s="57"/>
      <c r="D345" s="57"/>
      <c r="E345" s="57"/>
      <c r="F345" s="57"/>
      <c r="G345" s="57"/>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57"/>
      <c r="C346" s="57"/>
      <c r="D346" s="57"/>
      <c r="E346" s="57"/>
      <c r="F346" s="57"/>
      <c r="G346" s="57"/>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57"/>
      <c r="C347" s="57"/>
      <c r="D347" s="57"/>
      <c r="E347" s="57"/>
      <c r="F347" s="57"/>
      <c r="G347" s="57"/>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57"/>
      <c r="C348" s="57"/>
      <c r="D348" s="57"/>
      <c r="E348" s="57"/>
      <c r="F348" s="57"/>
      <c r="G348" s="57"/>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57"/>
      <c r="C349" s="57"/>
      <c r="D349" s="57"/>
      <c r="E349" s="57"/>
      <c r="F349" s="57"/>
      <c r="G349" s="57"/>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57"/>
      <c r="C350" s="57"/>
      <c r="D350" s="57"/>
      <c r="E350" s="57"/>
      <c r="F350" s="57"/>
      <c r="G350" s="57"/>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57"/>
      <c r="C351" s="57"/>
      <c r="D351" s="57"/>
      <c r="E351" s="57"/>
      <c r="F351" s="57"/>
      <c r="G351" s="57"/>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57"/>
      <c r="C352" s="57"/>
      <c r="D352" s="57"/>
      <c r="E352" s="57"/>
      <c r="F352" s="57"/>
      <c r="G352" s="57"/>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57"/>
      <c r="C353" s="57"/>
      <c r="D353" s="57"/>
      <c r="E353" s="57"/>
      <c r="F353" s="57"/>
      <c r="G353" s="57"/>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57"/>
      <c r="C354" s="57"/>
      <c r="D354" s="57"/>
      <c r="E354" s="57"/>
      <c r="F354" s="57"/>
      <c r="G354" s="57"/>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57"/>
      <c r="C355" s="57"/>
      <c r="D355" s="57"/>
      <c r="E355" s="57"/>
      <c r="F355" s="57"/>
      <c r="G355" s="57"/>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57"/>
      <c r="C356" s="57"/>
      <c r="D356" s="57"/>
      <c r="E356" s="57"/>
      <c r="F356" s="57"/>
      <c r="G356" s="57"/>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57"/>
      <c r="C357" s="57"/>
      <c r="D357" s="57"/>
      <c r="E357" s="57"/>
      <c r="F357" s="57"/>
      <c r="G357" s="57"/>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57"/>
      <c r="C358" s="57"/>
      <c r="D358" s="57"/>
      <c r="E358" s="57"/>
      <c r="F358" s="57"/>
      <c r="G358" s="57"/>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57"/>
      <c r="C359" s="57"/>
      <c r="D359" s="57"/>
      <c r="E359" s="57"/>
      <c r="F359" s="57"/>
      <c r="G359" s="57"/>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57"/>
      <c r="C360" s="57"/>
      <c r="D360" s="57"/>
      <c r="E360" s="57"/>
      <c r="F360" s="57"/>
      <c r="G360" s="57"/>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57"/>
      <c r="C361" s="57"/>
      <c r="D361" s="57"/>
      <c r="E361" s="57"/>
      <c r="F361" s="57"/>
      <c r="G361" s="57"/>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57"/>
      <c r="C362" s="57"/>
      <c r="D362" s="57"/>
      <c r="E362" s="57"/>
      <c r="F362" s="57"/>
      <c r="G362" s="57"/>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57"/>
      <c r="C363" s="57"/>
      <c r="D363" s="57"/>
      <c r="E363" s="57"/>
      <c r="F363" s="57"/>
      <c r="G363" s="57"/>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57"/>
      <c r="C364" s="57"/>
      <c r="D364" s="57"/>
      <c r="E364" s="57"/>
      <c r="F364" s="57"/>
      <c r="G364" s="57"/>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57"/>
      <c r="C365" s="57"/>
      <c r="D365" s="57"/>
      <c r="E365" s="57"/>
      <c r="F365" s="57"/>
      <c r="G365" s="57"/>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57"/>
      <c r="C366" s="57"/>
      <c r="D366" s="57"/>
      <c r="E366" s="57"/>
      <c r="F366" s="57"/>
      <c r="G366" s="57"/>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57"/>
      <c r="C367" s="57"/>
      <c r="D367" s="57"/>
      <c r="E367" s="57"/>
      <c r="F367" s="57"/>
      <c r="G367" s="57"/>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57"/>
      <c r="C368" s="57"/>
      <c r="D368" s="57"/>
      <c r="E368" s="57"/>
      <c r="F368" s="57"/>
      <c r="G368" s="57"/>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57"/>
      <c r="C369" s="57"/>
      <c r="D369" s="57"/>
      <c r="E369" s="57"/>
      <c r="F369" s="57"/>
      <c r="G369" s="57"/>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57"/>
      <c r="C370" s="57"/>
      <c r="D370" s="57"/>
      <c r="E370" s="57"/>
      <c r="F370" s="57"/>
      <c r="G370" s="57"/>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57"/>
      <c r="C371" s="57"/>
      <c r="D371" s="57"/>
      <c r="E371" s="57"/>
      <c r="F371" s="57"/>
      <c r="G371" s="57"/>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57"/>
      <c r="C372" s="57"/>
      <c r="D372" s="57"/>
      <c r="E372" s="57"/>
      <c r="F372" s="57"/>
      <c r="G372" s="57"/>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57"/>
      <c r="C373" s="57"/>
      <c r="D373" s="57"/>
      <c r="E373" s="57"/>
      <c r="F373" s="57"/>
      <c r="G373" s="57"/>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57"/>
      <c r="C374" s="57"/>
      <c r="D374" s="57"/>
      <c r="E374" s="57"/>
      <c r="F374" s="57"/>
      <c r="G374" s="57"/>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57"/>
      <c r="C375" s="57"/>
      <c r="D375" s="57"/>
      <c r="E375" s="57"/>
      <c r="F375" s="57"/>
      <c r="G375" s="57"/>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57"/>
      <c r="C376" s="57"/>
      <c r="D376" s="57"/>
      <c r="E376" s="57"/>
      <c r="F376" s="57"/>
      <c r="G376" s="57"/>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57"/>
      <c r="C377" s="57"/>
      <c r="D377" s="57"/>
      <c r="E377" s="57"/>
      <c r="F377" s="57"/>
      <c r="G377" s="57"/>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57"/>
      <c r="C378" s="57"/>
      <c r="D378" s="57"/>
      <c r="E378" s="57"/>
      <c r="F378" s="57"/>
      <c r="G378" s="57"/>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57"/>
      <c r="C379" s="57"/>
      <c r="D379" s="57"/>
      <c r="E379" s="57"/>
      <c r="F379" s="57"/>
      <c r="G379" s="57"/>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57"/>
      <c r="C380" s="57"/>
      <c r="D380" s="57"/>
      <c r="E380" s="57"/>
      <c r="F380" s="57"/>
      <c r="G380" s="57"/>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57"/>
      <c r="C381" s="57"/>
      <c r="D381" s="57"/>
      <c r="E381" s="57"/>
      <c r="F381" s="57"/>
      <c r="G381" s="57"/>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57"/>
      <c r="C382" s="57"/>
      <c r="D382" s="57"/>
      <c r="E382" s="57"/>
      <c r="F382" s="57"/>
      <c r="G382" s="57"/>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57"/>
      <c r="C383" s="57"/>
      <c r="D383" s="57"/>
      <c r="E383" s="57"/>
      <c r="F383" s="57"/>
      <c r="G383" s="57"/>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57"/>
      <c r="C384" s="57"/>
      <c r="D384" s="57"/>
      <c r="E384" s="57"/>
      <c r="F384" s="57"/>
      <c r="G384" s="57"/>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57"/>
      <c r="C385" s="57"/>
      <c r="D385" s="57"/>
      <c r="E385" s="57"/>
      <c r="F385" s="57"/>
      <c r="G385" s="57"/>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57"/>
      <c r="C386" s="57"/>
      <c r="D386" s="57"/>
      <c r="E386" s="57"/>
      <c r="F386" s="57"/>
      <c r="G386" s="57"/>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57"/>
      <c r="C387" s="57"/>
      <c r="D387" s="57"/>
      <c r="E387" s="57"/>
      <c r="F387" s="57"/>
      <c r="G387" s="57"/>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57"/>
      <c r="C388" s="57"/>
      <c r="D388" s="57"/>
      <c r="E388" s="57"/>
      <c r="F388" s="57"/>
      <c r="G388" s="57"/>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57"/>
      <c r="C389" s="57"/>
      <c r="D389" s="57"/>
      <c r="E389" s="57"/>
      <c r="F389" s="57"/>
      <c r="G389" s="57"/>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57"/>
      <c r="C390" s="57"/>
      <c r="D390" s="57"/>
      <c r="E390" s="57"/>
      <c r="F390" s="57"/>
      <c r="G390" s="57"/>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57"/>
      <c r="C391" s="57"/>
      <c r="D391" s="57"/>
      <c r="E391" s="57"/>
      <c r="F391" s="57"/>
      <c r="G391" s="57"/>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57"/>
      <c r="C392" s="57"/>
      <c r="D392" s="57"/>
      <c r="E392" s="57"/>
      <c r="F392" s="57"/>
      <c r="G392" s="57"/>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57"/>
      <c r="C393" s="57"/>
      <c r="D393" s="57"/>
      <c r="E393" s="57"/>
      <c r="F393" s="57"/>
      <c r="G393" s="57"/>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57"/>
      <c r="C394" s="57"/>
      <c r="D394" s="57"/>
      <c r="E394" s="57"/>
      <c r="F394" s="57"/>
      <c r="G394" s="57"/>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57"/>
      <c r="C395" s="57"/>
      <c r="D395" s="57"/>
      <c r="E395" s="57"/>
      <c r="F395" s="57"/>
      <c r="G395" s="57"/>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57"/>
      <c r="C396" s="57"/>
      <c r="D396" s="57"/>
      <c r="E396" s="57"/>
      <c r="F396" s="57"/>
      <c r="G396" s="57"/>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57"/>
      <c r="C397" s="57"/>
      <c r="D397" s="57"/>
      <c r="E397" s="57"/>
      <c r="F397" s="57"/>
      <c r="G397" s="57"/>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57"/>
      <c r="C398" s="57"/>
      <c r="D398" s="57"/>
      <c r="E398" s="57"/>
      <c r="F398" s="57"/>
      <c r="G398" s="57"/>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57"/>
      <c r="C399" s="57"/>
      <c r="D399" s="57"/>
      <c r="E399" s="57"/>
      <c r="F399" s="57"/>
      <c r="G399" s="57"/>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57"/>
      <c r="C400" s="57"/>
      <c r="D400" s="57"/>
      <c r="E400" s="57"/>
      <c r="F400" s="57"/>
      <c r="G400" s="57"/>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57"/>
      <c r="C401" s="57"/>
      <c r="D401" s="57"/>
      <c r="E401" s="57"/>
      <c r="F401" s="57"/>
      <c r="G401" s="57"/>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57"/>
      <c r="C402" s="57"/>
      <c r="D402" s="57"/>
      <c r="E402" s="57"/>
      <c r="F402" s="57"/>
      <c r="G402" s="57"/>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57"/>
      <c r="C403" s="57"/>
      <c r="D403" s="57"/>
      <c r="E403" s="57"/>
      <c r="F403" s="57"/>
      <c r="G403" s="57"/>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57"/>
      <c r="C404" s="57"/>
      <c r="D404" s="57"/>
      <c r="E404" s="57"/>
      <c r="F404" s="57"/>
      <c r="G404" s="57"/>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57"/>
      <c r="C405" s="57"/>
      <c r="D405" s="57"/>
      <c r="E405" s="57"/>
      <c r="F405" s="57"/>
      <c r="G405" s="57"/>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57"/>
      <c r="C406" s="57"/>
      <c r="D406" s="57"/>
      <c r="E406" s="57"/>
      <c r="F406" s="57"/>
      <c r="G406" s="57"/>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57"/>
      <c r="C407" s="57"/>
      <c r="D407" s="57"/>
      <c r="E407" s="57"/>
      <c r="F407" s="57"/>
      <c r="G407" s="57"/>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57"/>
      <c r="C408" s="57"/>
      <c r="D408" s="57"/>
      <c r="E408" s="57"/>
      <c r="F408" s="57"/>
      <c r="G408" s="57"/>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57"/>
      <c r="C409" s="57"/>
      <c r="D409" s="57"/>
      <c r="E409" s="57"/>
      <c r="F409" s="57"/>
      <c r="G409" s="57"/>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57"/>
      <c r="C410" s="57"/>
      <c r="D410" s="57"/>
      <c r="E410" s="57"/>
      <c r="F410" s="57"/>
      <c r="G410" s="57"/>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57"/>
      <c r="C411" s="57"/>
      <c r="D411" s="57"/>
      <c r="E411" s="57"/>
      <c r="F411" s="57"/>
      <c r="G411" s="57"/>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57"/>
      <c r="C412" s="57"/>
      <c r="D412" s="57"/>
      <c r="E412" s="57"/>
      <c r="F412" s="57"/>
      <c r="G412" s="57"/>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57"/>
      <c r="C413" s="57"/>
      <c r="D413" s="57"/>
      <c r="E413" s="57"/>
      <c r="F413" s="57"/>
      <c r="G413" s="57"/>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57"/>
      <c r="C414" s="57"/>
      <c r="D414" s="57"/>
      <c r="E414" s="57"/>
      <c r="F414" s="57"/>
      <c r="G414" s="57"/>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57"/>
      <c r="C415" s="57"/>
      <c r="D415" s="57"/>
      <c r="E415" s="57"/>
      <c r="F415" s="57"/>
      <c r="G415" s="57"/>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57"/>
      <c r="C416" s="57"/>
      <c r="D416" s="57"/>
      <c r="E416" s="57"/>
      <c r="F416" s="57"/>
      <c r="G416" s="57"/>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57"/>
      <c r="C417" s="57"/>
      <c r="D417" s="57"/>
      <c r="E417" s="57"/>
      <c r="F417" s="57"/>
      <c r="G417" s="57"/>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57"/>
      <c r="C418" s="57"/>
      <c r="D418" s="57"/>
      <c r="E418" s="57"/>
      <c r="F418" s="57"/>
      <c r="G418" s="57"/>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57"/>
      <c r="C419" s="57"/>
      <c r="D419" s="57"/>
      <c r="E419" s="57"/>
      <c r="F419" s="57"/>
      <c r="G419" s="57"/>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57"/>
      <c r="C420" s="57"/>
      <c r="D420" s="57"/>
      <c r="E420" s="57"/>
      <c r="F420" s="57"/>
      <c r="G420" s="57"/>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57"/>
      <c r="C421" s="57"/>
      <c r="D421" s="57"/>
      <c r="E421" s="57"/>
      <c r="F421" s="57"/>
      <c r="G421" s="57"/>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57"/>
      <c r="C422" s="57"/>
      <c r="D422" s="57"/>
      <c r="E422" s="57"/>
      <c r="F422" s="57"/>
      <c r="G422" s="57"/>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57"/>
      <c r="C423" s="57"/>
      <c r="D423" s="57"/>
      <c r="E423" s="57"/>
      <c r="F423" s="57"/>
      <c r="G423" s="57"/>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57"/>
      <c r="C424" s="57"/>
      <c r="D424" s="57"/>
      <c r="E424" s="57"/>
      <c r="F424" s="57"/>
      <c r="G424" s="57"/>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57"/>
      <c r="C425" s="57"/>
      <c r="D425" s="57"/>
      <c r="E425" s="57"/>
      <c r="F425" s="57"/>
      <c r="G425" s="57"/>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57"/>
      <c r="C426" s="57"/>
      <c r="D426" s="57"/>
      <c r="E426" s="57"/>
      <c r="F426" s="57"/>
      <c r="G426" s="57"/>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57"/>
      <c r="C427" s="57"/>
      <c r="D427" s="57"/>
      <c r="E427" s="57"/>
      <c r="F427" s="57"/>
      <c r="G427" s="57"/>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57"/>
      <c r="C428" s="57"/>
      <c r="D428" s="57"/>
      <c r="E428" s="57"/>
      <c r="F428" s="57"/>
      <c r="G428" s="57"/>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57"/>
      <c r="C429" s="57"/>
      <c r="D429" s="57"/>
      <c r="E429" s="57"/>
      <c r="F429" s="57"/>
      <c r="G429" s="57"/>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57"/>
      <c r="C430" s="57"/>
      <c r="D430" s="57"/>
      <c r="E430" s="57"/>
      <c r="F430" s="57"/>
      <c r="G430" s="57"/>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57"/>
      <c r="C431" s="57"/>
      <c r="D431" s="57"/>
      <c r="E431" s="57"/>
      <c r="F431" s="57"/>
      <c r="G431" s="57"/>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57"/>
      <c r="C432" s="57"/>
      <c r="D432" s="57"/>
      <c r="E432" s="57"/>
      <c r="F432" s="57"/>
      <c r="G432" s="57"/>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57"/>
      <c r="C433" s="57"/>
      <c r="D433" s="57"/>
      <c r="E433" s="57"/>
      <c r="F433" s="57"/>
      <c r="G433" s="57"/>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57"/>
      <c r="C434" s="57"/>
      <c r="D434" s="57"/>
      <c r="E434" s="57"/>
      <c r="F434" s="57"/>
      <c r="G434" s="57"/>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57"/>
      <c r="C435" s="57"/>
      <c r="D435" s="57"/>
      <c r="E435" s="57"/>
      <c r="F435" s="57"/>
      <c r="G435" s="57"/>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57"/>
      <c r="C436" s="57"/>
      <c r="D436" s="57"/>
      <c r="E436" s="57"/>
      <c r="F436" s="57"/>
      <c r="G436" s="57"/>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57"/>
      <c r="C437" s="57"/>
      <c r="D437" s="57"/>
      <c r="E437" s="57"/>
      <c r="F437" s="57"/>
      <c r="G437" s="57"/>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57"/>
      <c r="C438" s="57"/>
      <c r="D438" s="57"/>
      <c r="E438" s="57"/>
      <c r="F438" s="57"/>
      <c r="G438" s="57"/>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57"/>
      <c r="C439" s="57"/>
      <c r="D439" s="57"/>
      <c r="E439" s="57"/>
      <c r="F439" s="57"/>
      <c r="G439" s="57"/>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57"/>
      <c r="C440" s="57"/>
      <c r="D440" s="57"/>
      <c r="E440" s="57"/>
      <c r="F440" s="57"/>
      <c r="G440" s="57"/>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57"/>
      <c r="C441" s="57"/>
      <c r="D441" s="57"/>
      <c r="E441" s="57"/>
      <c r="F441" s="57"/>
      <c r="G441" s="57"/>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57"/>
      <c r="C442" s="57"/>
      <c r="D442" s="57"/>
      <c r="E442" s="57"/>
      <c r="F442" s="57"/>
      <c r="G442" s="57"/>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57"/>
      <c r="C443" s="57"/>
      <c r="D443" s="57"/>
      <c r="E443" s="57"/>
      <c r="F443" s="57"/>
      <c r="G443" s="57"/>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57"/>
      <c r="C444" s="57"/>
      <c r="D444" s="57"/>
      <c r="E444" s="57"/>
      <c r="F444" s="57"/>
      <c r="G444" s="57"/>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57"/>
      <c r="C445" s="57"/>
      <c r="D445" s="57"/>
      <c r="E445" s="57"/>
      <c r="F445" s="57"/>
      <c r="G445" s="57"/>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57"/>
      <c r="C446" s="57"/>
      <c r="D446" s="57"/>
      <c r="E446" s="57"/>
      <c r="F446" s="57"/>
      <c r="G446" s="57"/>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57"/>
      <c r="C447" s="57"/>
      <c r="D447" s="57"/>
      <c r="E447" s="57"/>
      <c r="F447" s="57"/>
      <c r="G447" s="57"/>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57"/>
      <c r="C448" s="57"/>
      <c r="D448" s="57"/>
      <c r="E448" s="57"/>
      <c r="F448" s="57"/>
      <c r="G448" s="57"/>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57"/>
      <c r="C449" s="57"/>
      <c r="D449" s="57"/>
      <c r="E449" s="57"/>
      <c r="F449" s="57"/>
      <c r="G449" s="57"/>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57"/>
      <c r="C450" s="57"/>
      <c r="D450" s="57"/>
      <c r="E450" s="57"/>
      <c r="F450" s="57"/>
      <c r="G450" s="57"/>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57"/>
      <c r="C451" s="57"/>
      <c r="D451" s="57"/>
      <c r="E451" s="57"/>
      <c r="F451" s="57"/>
      <c r="G451" s="57"/>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57"/>
      <c r="C452" s="57"/>
      <c r="D452" s="57"/>
      <c r="E452" s="57"/>
      <c r="F452" s="57"/>
      <c r="G452" s="57"/>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57"/>
      <c r="C453" s="57"/>
      <c r="D453" s="57"/>
      <c r="E453" s="57"/>
      <c r="F453" s="57"/>
      <c r="G453" s="57"/>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57"/>
      <c r="C454" s="57"/>
      <c r="D454" s="57"/>
      <c r="E454" s="57"/>
      <c r="F454" s="57"/>
      <c r="G454" s="57"/>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57"/>
      <c r="C455" s="57"/>
      <c r="D455" s="57"/>
      <c r="E455" s="57"/>
      <c r="F455" s="57"/>
      <c r="G455" s="57"/>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57"/>
      <c r="C456" s="57"/>
      <c r="D456" s="57"/>
      <c r="E456" s="57"/>
      <c r="F456" s="57"/>
      <c r="G456" s="57"/>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57"/>
      <c r="C457" s="57"/>
      <c r="D457" s="57"/>
      <c r="E457" s="57"/>
      <c r="F457" s="57"/>
      <c r="G457" s="57"/>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57"/>
      <c r="C458" s="57"/>
      <c r="D458" s="57"/>
      <c r="E458" s="57"/>
      <c r="F458" s="57"/>
      <c r="G458" s="57"/>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57"/>
      <c r="C459" s="57"/>
      <c r="D459" s="57"/>
      <c r="E459" s="57"/>
      <c r="F459" s="57"/>
      <c r="G459" s="57"/>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57"/>
      <c r="C460" s="57"/>
      <c r="D460" s="57"/>
      <c r="E460" s="57"/>
      <c r="F460" s="57"/>
      <c r="G460" s="57"/>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57"/>
      <c r="C461" s="57"/>
      <c r="D461" s="57"/>
      <c r="E461" s="57"/>
      <c r="F461" s="57"/>
      <c r="G461" s="57"/>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57"/>
      <c r="C462" s="57"/>
      <c r="D462" s="57"/>
      <c r="E462" s="57"/>
      <c r="F462" s="57"/>
      <c r="G462" s="57"/>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57"/>
      <c r="C463" s="57"/>
      <c r="D463" s="57"/>
      <c r="E463" s="57"/>
      <c r="F463" s="57"/>
      <c r="G463" s="57"/>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57"/>
      <c r="C464" s="57"/>
      <c r="D464" s="57"/>
      <c r="E464" s="57"/>
      <c r="F464" s="57"/>
      <c r="G464" s="57"/>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57"/>
      <c r="C465" s="57"/>
      <c r="D465" s="57"/>
      <c r="E465" s="57"/>
      <c r="F465" s="57"/>
      <c r="G465" s="57"/>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57"/>
      <c r="C466" s="57"/>
      <c r="D466" s="57"/>
      <c r="E466" s="57"/>
      <c r="F466" s="57"/>
      <c r="G466" s="57"/>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57"/>
      <c r="C467" s="57"/>
      <c r="D467" s="57"/>
      <c r="E467" s="57"/>
      <c r="F467" s="57"/>
      <c r="G467" s="57"/>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57"/>
      <c r="C468" s="57"/>
      <c r="D468" s="57"/>
      <c r="E468" s="57"/>
      <c r="F468" s="57"/>
      <c r="G468" s="57"/>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57"/>
      <c r="C469" s="57"/>
      <c r="D469" s="57"/>
      <c r="E469" s="57"/>
      <c r="F469" s="57"/>
      <c r="G469" s="57"/>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57"/>
      <c r="C470" s="57"/>
      <c r="D470" s="57"/>
      <c r="E470" s="57"/>
      <c r="F470" s="57"/>
      <c r="G470" s="57"/>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57"/>
      <c r="C471" s="57"/>
      <c r="D471" s="57"/>
      <c r="E471" s="57"/>
      <c r="F471" s="57"/>
      <c r="G471" s="57"/>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57"/>
      <c r="C472" s="57"/>
      <c r="D472" s="57"/>
      <c r="E472" s="57"/>
      <c r="F472" s="57"/>
      <c r="G472" s="57"/>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57"/>
      <c r="C473" s="57"/>
      <c r="D473" s="57"/>
      <c r="E473" s="57"/>
      <c r="F473" s="57"/>
      <c r="G473" s="57"/>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57"/>
      <c r="C474" s="57"/>
      <c r="D474" s="57"/>
      <c r="E474" s="57"/>
      <c r="F474" s="57"/>
      <c r="G474" s="57"/>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57"/>
      <c r="C475" s="57"/>
      <c r="D475" s="57"/>
      <c r="E475" s="57"/>
      <c r="F475" s="57"/>
      <c r="G475" s="57"/>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57"/>
      <c r="C476" s="57"/>
      <c r="D476" s="57"/>
      <c r="E476" s="57"/>
      <c r="F476" s="57"/>
      <c r="G476" s="57"/>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57"/>
      <c r="C477" s="57"/>
      <c r="D477" s="57"/>
      <c r="E477" s="57"/>
      <c r="F477" s="57"/>
      <c r="G477" s="57"/>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57"/>
      <c r="C478" s="57"/>
      <c r="D478" s="57"/>
      <c r="E478" s="57"/>
      <c r="F478" s="57"/>
      <c r="G478" s="57"/>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57"/>
      <c r="C479" s="57"/>
      <c r="D479" s="57"/>
      <c r="E479" s="57"/>
      <c r="F479" s="57"/>
      <c r="G479" s="57"/>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57"/>
      <c r="C480" s="57"/>
      <c r="D480" s="57"/>
      <c r="E480" s="57"/>
      <c r="F480" s="57"/>
      <c r="G480" s="57"/>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57"/>
      <c r="C481" s="57"/>
      <c r="D481" s="57"/>
      <c r="E481" s="57"/>
      <c r="F481" s="57"/>
      <c r="G481" s="57"/>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57"/>
      <c r="C482" s="57"/>
      <c r="D482" s="57"/>
      <c r="E482" s="57"/>
      <c r="F482" s="57"/>
      <c r="G482" s="57"/>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57"/>
      <c r="C483" s="57"/>
      <c r="D483" s="57"/>
      <c r="E483" s="57"/>
      <c r="F483" s="57"/>
      <c r="G483" s="57"/>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57"/>
      <c r="C484" s="57"/>
      <c r="D484" s="57"/>
      <c r="E484" s="57"/>
      <c r="F484" s="57"/>
      <c r="G484" s="57"/>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57"/>
      <c r="C485" s="57"/>
      <c r="D485" s="57"/>
      <c r="E485" s="57"/>
      <c r="F485" s="57"/>
      <c r="G485" s="57"/>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57"/>
      <c r="C486" s="57"/>
      <c r="D486" s="57"/>
      <c r="E486" s="57"/>
      <c r="F486" s="57"/>
      <c r="G486" s="57"/>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57"/>
      <c r="C487" s="57"/>
      <c r="D487" s="57"/>
      <c r="E487" s="57"/>
      <c r="F487" s="57"/>
      <c r="G487" s="57"/>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57"/>
      <c r="C488" s="57"/>
      <c r="D488" s="57"/>
      <c r="E488" s="57"/>
      <c r="F488" s="57"/>
      <c r="G488" s="57"/>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57"/>
      <c r="C489" s="57"/>
      <c r="D489" s="57"/>
      <c r="E489" s="57"/>
      <c r="F489" s="57"/>
      <c r="G489" s="57"/>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57"/>
      <c r="C490" s="57"/>
      <c r="D490" s="57"/>
      <c r="E490" s="57"/>
      <c r="F490" s="57"/>
      <c r="G490" s="57"/>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57"/>
      <c r="C491" s="57"/>
      <c r="D491" s="57"/>
      <c r="E491" s="57"/>
      <c r="F491" s="57"/>
      <c r="G491" s="57"/>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57"/>
      <c r="C492" s="57"/>
      <c r="D492" s="57"/>
      <c r="E492" s="57"/>
      <c r="F492" s="57"/>
      <c r="G492" s="57"/>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57"/>
      <c r="C493" s="57"/>
      <c r="D493" s="57"/>
      <c r="E493" s="57"/>
      <c r="F493" s="57"/>
      <c r="G493" s="57"/>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57"/>
      <c r="C494" s="57"/>
      <c r="D494" s="57"/>
      <c r="E494" s="57"/>
      <c r="F494" s="57"/>
      <c r="G494" s="57"/>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57"/>
      <c r="C495" s="57"/>
      <c r="D495" s="57"/>
      <c r="E495" s="57"/>
      <c r="F495" s="57"/>
      <c r="G495" s="57"/>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57"/>
      <c r="C496" s="57"/>
      <c r="D496" s="57"/>
      <c r="E496" s="57"/>
      <c r="F496" s="57"/>
      <c r="G496" s="57"/>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57"/>
      <c r="C497" s="57"/>
      <c r="D497" s="57"/>
      <c r="E497" s="57"/>
      <c r="F497" s="57"/>
      <c r="G497" s="57"/>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57"/>
      <c r="C498" s="57"/>
      <c r="D498" s="57"/>
      <c r="E498" s="57"/>
      <c r="F498" s="57"/>
      <c r="G498" s="57"/>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57"/>
      <c r="C499" s="57"/>
      <c r="D499" s="57"/>
      <c r="E499" s="57"/>
      <c r="F499" s="57"/>
      <c r="G499" s="57"/>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57"/>
      <c r="C500" s="57"/>
      <c r="D500" s="57"/>
      <c r="E500" s="57"/>
      <c r="F500" s="57"/>
      <c r="G500" s="57"/>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57"/>
      <c r="C501" s="57"/>
      <c r="D501" s="57"/>
      <c r="E501" s="57"/>
      <c r="F501" s="57"/>
      <c r="G501" s="57"/>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57"/>
      <c r="C502" s="57"/>
      <c r="D502" s="57"/>
      <c r="E502" s="57"/>
      <c r="F502" s="57"/>
      <c r="G502" s="57"/>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57"/>
      <c r="C503" s="57"/>
      <c r="D503" s="57"/>
      <c r="E503" s="57"/>
      <c r="F503" s="57"/>
      <c r="G503" s="57"/>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57"/>
      <c r="C504" s="57"/>
      <c r="D504" s="57"/>
      <c r="E504" s="57"/>
      <c r="F504" s="57"/>
      <c r="G504" s="57"/>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57"/>
      <c r="C505" s="57"/>
      <c r="D505" s="57"/>
      <c r="E505" s="57"/>
      <c r="F505" s="57"/>
      <c r="G505" s="57"/>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57"/>
      <c r="C506" s="57"/>
      <c r="D506" s="57"/>
      <c r="E506" s="57"/>
      <c r="F506" s="57"/>
      <c r="G506" s="57"/>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57"/>
      <c r="C507" s="57"/>
      <c r="D507" s="57"/>
      <c r="E507" s="57"/>
      <c r="F507" s="57"/>
      <c r="G507" s="57"/>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57"/>
      <c r="C508" s="57"/>
      <c r="D508" s="57"/>
      <c r="E508" s="57"/>
      <c r="F508" s="57"/>
      <c r="G508" s="57"/>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57"/>
      <c r="C509" s="57"/>
      <c r="D509" s="57"/>
      <c r="E509" s="57"/>
      <c r="F509" s="57"/>
      <c r="G509" s="57"/>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57"/>
      <c r="C510" s="57"/>
      <c r="D510" s="57"/>
      <c r="E510" s="57"/>
      <c r="F510" s="57"/>
      <c r="G510" s="57"/>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57"/>
      <c r="C511" s="57"/>
      <c r="D511" s="57"/>
      <c r="E511" s="57"/>
      <c r="F511" s="57"/>
      <c r="G511" s="57"/>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57"/>
      <c r="C512" s="57"/>
      <c r="D512" s="57"/>
      <c r="E512" s="57"/>
      <c r="F512" s="57"/>
      <c r="G512" s="57"/>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57"/>
      <c r="C513" s="57"/>
      <c r="D513" s="57"/>
      <c r="E513" s="57"/>
      <c r="F513" s="57"/>
      <c r="G513" s="57"/>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57"/>
      <c r="C514" s="57"/>
      <c r="D514" s="57"/>
      <c r="E514" s="57"/>
      <c r="F514" s="57"/>
      <c r="G514" s="57"/>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57"/>
      <c r="C515" s="57"/>
      <c r="D515" s="57"/>
      <c r="E515" s="57"/>
      <c r="F515" s="57"/>
      <c r="G515" s="57"/>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57"/>
      <c r="C516" s="57"/>
      <c r="D516" s="57"/>
      <c r="E516" s="57"/>
      <c r="F516" s="57"/>
      <c r="G516" s="57"/>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57"/>
      <c r="C517" s="57"/>
      <c r="D517" s="57"/>
      <c r="E517" s="57"/>
      <c r="F517" s="57"/>
      <c r="G517" s="57"/>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57"/>
      <c r="C518" s="57"/>
      <c r="D518" s="57"/>
      <c r="E518" s="57"/>
      <c r="F518" s="57"/>
      <c r="G518" s="57"/>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57"/>
      <c r="C519" s="57"/>
      <c r="D519" s="57"/>
      <c r="E519" s="57"/>
      <c r="F519" s="57"/>
      <c r="G519" s="57"/>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57"/>
      <c r="C520" s="57"/>
      <c r="D520" s="57"/>
      <c r="E520" s="57"/>
      <c r="F520" s="57"/>
      <c r="G520" s="57"/>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57"/>
      <c r="C521" s="57"/>
      <c r="D521" s="57"/>
      <c r="E521" s="57"/>
      <c r="F521" s="57"/>
      <c r="G521" s="57"/>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57"/>
      <c r="C522" s="57"/>
      <c r="D522" s="57"/>
      <c r="E522" s="57"/>
      <c r="F522" s="57"/>
      <c r="G522" s="57"/>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57"/>
      <c r="C523" s="57"/>
      <c r="D523" s="57"/>
      <c r="E523" s="57"/>
      <c r="F523" s="57"/>
      <c r="G523" s="57"/>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57"/>
      <c r="C524" s="57"/>
      <c r="D524" s="57"/>
      <c r="E524" s="57"/>
      <c r="F524" s="57"/>
      <c r="G524" s="57"/>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57"/>
      <c r="C525" s="57"/>
      <c r="D525" s="57"/>
      <c r="E525" s="57"/>
      <c r="F525" s="57"/>
      <c r="G525" s="57"/>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57"/>
      <c r="C526" s="57"/>
      <c r="D526" s="57"/>
      <c r="E526" s="57"/>
      <c r="F526" s="57"/>
      <c r="G526" s="57"/>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57"/>
      <c r="C527" s="57"/>
      <c r="D527" s="57"/>
      <c r="E527" s="57"/>
      <c r="F527" s="57"/>
      <c r="G527" s="57"/>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57"/>
      <c r="C528" s="57"/>
      <c r="D528" s="57"/>
      <c r="E528" s="57"/>
      <c r="F528" s="57"/>
      <c r="G528" s="57"/>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57"/>
      <c r="C529" s="57"/>
      <c r="D529" s="57"/>
      <c r="E529" s="57"/>
      <c r="F529" s="57"/>
      <c r="G529" s="57"/>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57"/>
      <c r="C530" s="57"/>
      <c r="D530" s="57"/>
      <c r="E530" s="57"/>
      <c r="F530" s="57"/>
      <c r="G530" s="57"/>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57"/>
      <c r="C531" s="57"/>
      <c r="D531" s="57"/>
      <c r="E531" s="57"/>
      <c r="F531" s="57"/>
      <c r="G531" s="57"/>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57"/>
      <c r="C532" s="57"/>
      <c r="D532" s="57"/>
      <c r="E532" s="57"/>
      <c r="F532" s="57"/>
      <c r="G532" s="57"/>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57"/>
      <c r="C533" s="57"/>
      <c r="D533" s="57"/>
      <c r="E533" s="57"/>
      <c r="F533" s="57"/>
      <c r="G533" s="57"/>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57"/>
      <c r="C534" s="57"/>
      <c r="D534" s="57"/>
      <c r="E534" s="57"/>
      <c r="F534" s="57"/>
      <c r="G534" s="57"/>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57"/>
      <c r="C535" s="57"/>
      <c r="D535" s="57"/>
      <c r="E535" s="57"/>
      <c r="F535" s="57"/>
      <c r="G535" s="57"/>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57"/>
      <c r="C536" s="57"/>
      <c r="D536" s="57"/>
      <c r="E536" s="57"/>
      <c r="F536" s="57"/>
      <c r="G536" s="57"/>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57"/>
      <c r="C537" s="57"/>
      <c r="D537" s="57"/>
      <c r="E537" s="57"/>
      <c r="F537" s="57"/>
      <c r="G537" s="57"/>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57"/>
      <c r="C538" s="57"/>
      <c r="D538" s="57"/>
      <c r="E538" s="57"/>
      <c r="F538" s="57"/>
      <c r="G538" s="57"/>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57"/>
      <c r="C539" s="57"/>
      <c r="D539" s="57"/>
      <c r="E539" s="57"/>
      <c r="F539" s="57"/>
      <c r="G539" s="57"/>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57"/>
      <c r="C540" s="57"/>
      <c r="D540" s="57"/>
      <c r="E540" s="57"/>
      <c r="F540" s="57"/>
      <c r="G540" s="57"/>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57"/>
      <c r="C541" s="57"/>
      <c r="D541" s="57"/>
      <c r="E541" s="57"/>
      <c r="F541" s="57"/>
      <c r="G541" s="57"/>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57"/>
      <c r="C542" s="57"/>
      <c r="D542" s="57"/>
      <c r="E542" s="57"/>
      <c r="F542" s="57"/>
      <c r="G542" s="57"/>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57"/>
      <c r="C543" s="57"/>
      <c r="D543" s="57"/>
      <c r="E543" s="57"/>
      <c r="F543" s="57"/>
      <c r="G543" s="57"/>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57"/>
      <c r="C544" s="57"/>
      <c r="D544" s="57"/>
      <c r="E544" s="57"/>
      <c r="F544" s="57"/>
      <c r="G544" s="57"/>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57"/>
      <c r="C545" s="57"/>
      <c r="D545" s="57"/>
      <c r="E545" s="57"/>
      <c r="F545" s="57"/>
      <c r="G545" s="57"/>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57"/>
      <c r="C546" s="57"/>
      <c r="D546" s="57"/>
      <c r="E546" s="57"/>
      <c r="F546" s="57"/>
      <c r="G546" s="57"/>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57"/>
      <c r="C547" s="57"/>
      <c r="D547" s="57"/>
      <c r="E547" s="57"/>
      <c r="F547" s="57"/>
      <c r="G547" s="57"/>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57"/>
      <c r="C548" s="57"/>
      <c r="D548" s="57"/>
      <c r="E548" s="57"/>
      <c r="F548" s="57"/>
      <c r="G548" s="57"/>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57"/>
      <c r="C549" s="57"/>
      <c r="D549" s="57"/>
      <c r="E549" s="57"/>
      <c r="F549" s="57"/>
      <c r="G549" s="57"/>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57"/>
      <c r="C550" s="57"/>
      <c r="D550" s="57"/>
      <c r="E550" s="57"/>
      <c r="F550" s="57"/>
      <c r="G550" s="57"/>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57"/>
      <c r="C551" s="57"/>
      <c r="D551" s="57"/>
      <c r="E551" s="57"/>
      <c r="F551" s="57"/>
      <c r="G551" s="57"/>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57"/>
      <c r="C552" s="57"/>
      <c r="D552" s="57"/>
      <c r="E552" s="57"/>
      <c r="F552" s="57"/>
      <c r="G552" s="57"/>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57"/>
      <c r="C553" s="57"/>
      <c r="D553" s="57"/>
      <c r="E553" s="57"/>
      <c r="F553" s="57"/>
      <c r="G553" s="57"/>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57"/>
      <c r="C554" s="57"/>
      <c r="D554" s="57"/>
      <c r="E554" s="57"/>
      <c r="F554" s="57"/>
      <c r="G554" s="57"/>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57"/>
      <c r="C555" s="57"/>
      <c r="D555" s="57"/>
      <c r="E555" s="57"/>
      <c r="F555" s="57"/>
      <c r="G555" s="57"/>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57"/>
      <c r="C556" s="57"/>
      <c r="D556" s="57"/>
      <c r="E556" s="57"/>
      <c r="F556" s="57"/>
      <c r="G556" s="57"/>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57"/>
      <c r="C557" s="57"/>
      <c r="D557" s="57"/>
      <c r="E557" s="57"/>
      <c r="F557" s="57"/>
      <c r="G557" s="57"/>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57"/>
      <c r="C558" s="57"/>
      <c r="D558" s="57"/>
      <c r="E558" s="57"/>
      <c r="F558" s="57"/>
      <c r="G558" s="57"/>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57"/>
      <c r="C559" s="57"/>
      <c r="D559" s="57"/>
      <c r="E559" s="57"/>
      <c r="F559" s="57"/>
      <c r="G559" s="57"/>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57"/>
      <c r="C560" s="57"/>
      <c r="D560" s="57"/>
      <c r="E560" s="57"/>
      <c r="F560" s="57"/>
      <c r="G560" s="57"/>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57"/>
      <c r="C561" s="57"/>
      <c r="D561" s="57"/>
      <c r="E561" s="57"/>
      <c r="F561" s="57"/>
      <c r="G561" s="57"/>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57"/>
      <c r="C562" s="57"/>
      <c r="D562" s="57"/>
      <c r="E562" s="57"/>
      <c r="F562" s="57"/>
      <c r="G562" s="57"/>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57"/>
      <c r="C563" s="57"/>
      <c r="D563" s="57"/>
      <c r="E563" s="57"/>
      <c r="F563" s="57"/>
      <c r="G563" s="57"/>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57"/>
      <c r="C564" s="57"/>
      <c r="D564" s="57"/>
      <c r="E564" s="57"/>
      <c r="F564" s="57"/>
      <c r="G564" s="57"/>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57"/>
      <c r="C565" s="57"/>
      <c r="D565" s="57"/>
      <c r="E565" s="57"/>
      <c r="F565" s="57"/>
      <c r="G565" s="57"/>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57"/>
      <c r="C566" s="57"/>
      <c r="D566" s="57"/>
      <c r="E566" s="57"/>
      <c r="F566" s="57"/>
      <c r="G566" s="57"/>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57"/>
      <c r="C567" s="57"/>
      <c r="D567" s="57"/>
      <c r="E567" s="57"/>
      <c r="F567" s="57"/>
      <c r="G567" s="57"/>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57"/>
      <c r="C568" s="57"/>
      <c r="D568" s="57"/>
      <c r="E568" s="57"/>
      <c r="F568" s="57"/>
      <c r="G568" s="57"/>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57"/>
      <c r="C569" s="57"/>
      <c r="D569" s="57"/>
      <c r="E569" s="57"/>
      <c r="F569" s="57"/>
      <c r="G569" s="57"/>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57"/>
      <c r="C570" s="57"/>
      <c r="D570" s="57"/>
      <c r="E570" s="57"/>
      <c r="F570" s="57"/>
      <c r="G570" s="57"/>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57"/>
      <c r="C571" s="57"/>
      <c r="D571" s="57"/>
      <c r="E571" s="57"/>
      <c r="F571" s="57"/>
      <c r="G571" s="57"/>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57"/>
      <c r="C572" s="57"/>
      <c r="D572" s="57"/>
      <c r="E572" s="57"/>
      <c r="F572" s="57"/>
      <c r="G572" s="57"/>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57"/>
      <c r="C573" s="57"/>
      <c r="D573" s="57"/>
      <c r="E573" s="57"/>
      <c r="F573" s="57"/>
      <c r="G573" s="57"/>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57"/>
      <c r="C574" s="57"/>
      <c r="D574" s="57"/>
      <c r="E574" s="57"/>
      <c r="F574" s="57"/>
      <c r="G574" s="57"/>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57"/>
      <c r="C575" s="57"/>
      <c r="D575" s="57"/>
      <c r="E575" s="57"/>
      <c r="F575" s="57"/>
      <c r="G575" s="57"/>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57"/>
      <c r="C576" s="57"/>
      <c r="D576" s="57"/>
      <c r="E576" s="57"/>
      <c r="F576" s="57"/>
      <c r="G576" s="57"/>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57"/>
      <c r="C577" s="57"/>
      <c r="D577" s="57"/>
      <c r="E577" s="57"/>
      <c r="F577" s="57"/>
      <c r="G577" s="57"/>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57"/>
      <c r="C578" s="57"/>
      <c r="D578" s="57"/>
      <c r="E578" s="57"/>
      <c r="F578" s="57"/>
      <c r="G578" s="57"/>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57"/>
      <c r="C579" s="57"/>
      <c r="D579" s="57"/>
      <c r="E579" s="57"/>
      <c r="F579" s="57"/>
      <c r="G579" s="57"/>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57"/>
      <c r="C580" s="57"/>
      <c r="D580" s="57"/>
      <c r="E580" s="57"/>
      <c r="F580" s="57"/>
      <c r="G580" s="57"/>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57"/>
      <c r="C581" s="57"/>
      <c r="D581" s="57"/>
      <c r="E581" s="57"/>
      <c r="F581" s="57"/>
      <c r="G581" s="57"/>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57"/>
      <c r="C582" s="57"/>
      <c r="D582" s="57"/>
      <c r="E582" s="57"/>
      <c r="F582" s="57"/>
      <c r="G582" s="57"/>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57"/>
      <c r="C583" s="57"/>
      <c r="D583" s="57"/>
      <c r="E583" s="57"/>
      <c r="F583" s="57"/>
      <c r="G583" s="57"/>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57"/>
      <c r="C584" s="57"/>
      <c r="D584" s="57"/>
      <c r="E584" s="57"/>
      <c r="F584" s="57"/>
      <c r="G584" s="57"/>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57"/>
      <c r="C585" s="57"/>
      <c r="D585" s="57"/>
      <c r="E585" s="57"/>
      <c r="F585" s="57"/>
      <c r="G585" s="57"/>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57"/>
      <c r="C586" s="57"/>
      <c r="D586" s="57"/>
      <c r="E586" s="57"/>
      <c r="F586" s="57"/>
      <c r="G586" s="57"/>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57"/>
      <c r="C587" s="57"/>
      <c r="D587" s="57"/>
      <c r="E587" s="57"/>
      <c r="F587" s="57"/>
      <c r="G587" s="57"/>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57"/>
      <c r="C588" s="57"/>
      <c r="D588" s="57"/>
      <c r="E588" s="57"/>
      <c r="F588" s="57"/>
      <c r="G588" s="57"/>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57"/>
      <c r="C589" s="57"/>
      <c r="D589" s="57"/>
      <c r="E589" s="57"/>
      <c r="F589" s="57"/>
      <c r="G589" s="57"/>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57"/>
      <c r="C590" s="57"/>
      <c r="D590" s="57"/>
      <c r="E590" s="57"/>
      <c r="F590" s="57"/>
      <c r="G590" s="57"/>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57"/>
      <c r="C591" s="57"/>
      <c r="D591" s="57"/>
      <c r="E591" s="57"/>
      <c r="F591" s="57"/>
      <c r="G591" s="57"/>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57"/>
      <c r="C592" s="57"/>
      <c r="D592" s="57"/>
      <c r="E592" s="57"/>
      <c r="F592" s="57"/>
      <c r="G592" s="57"/>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57"/>
      <c r="C593" s="57"/>
      <c r="D593" s="57"/>
      <c r="E593" s="57"/>
      <c r="F593" s="57"/>
      <c r="G593" s="57"/>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57"/>
      <c r="C594" s="57"/>
      <c r="D594" s="57"/>
      <c r="E594" s="57"/>
      <c r="F594" s="57"/>
      <c r="G594" s="57"/>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57"/>
      <c r="C595" s="57"/>
      <c r="D595" s="57"/>
      <c r="E595" s="57"/>
      <c r="F595" s="57"/>
      <c r="G595" s="57"/>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57"/>
      <c r="C596" s="57"/>
      <c r="D596" s="57"/>
      <c r="E596" s="57"/>
      <c r="F596" s="57"/>
      <c r="G596" s="57"/>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57"/>
      <c r="C597" s="57"/>
      <c r="D597" s="57"/>
      <c r="E597" s="57"/>
      <c r="F597" s="57"/>
      <c r="G597" s="57"/>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57"/>
      <c r="C598" s="57"/>
      <c r="D598" s="57"/>
      <c r="E598" s="57"/>
      <c r="F598" s="57"/>
      <c r="G598" s="57"/>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57"/>
      <c r="C599" s="57"/>
      <c r="D599" s="57"/>
      <c r="E599" s="57"/>
      <c r="F599" s="57"/>
      <c r="G599" s="57"/>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57"/>
      <c r="C600" s="57"/>
      <c r="D600" s="57"/>
      <c r="E600" s="57"/>
      <c r="F600" s="57"/>
      <c r="G600" s="57"/>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57"/>
      <c r="C601" s="57"/>
      <c r="D601" s="57"/>
      <c r="E601" s="57"/>
      <c r="F601" s="57"/>
      <c r="G601" s="57"/>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57"/>
      <c r="C602" s="57"/>
      <c r="D602" s="57"/>
      <c r="E602" s="57"/>
      <c r="F602" s="57"/>
      <c r="G602" s="57"/>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57"/>
      <c r="C603" s="57"/>
      <c r="D603" s="57"/>
      <c r="E603" s="57"/>
      <c r="F603" s="57"/>
      <c r="G603" s="57"/>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57"/>
      <c r="C604" s="57"/>
      <c r="D604" s="57"/>
      <c r="E604" s="57"/>
      <c r="F604" s="57"/>
      <c r="G604" s="57"/>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57"/>
      <c r="C605" s="57"/>
      <c r="D605" s="57"/>
      <c r="E605" s="57"/>
      <c r="F605" s="57"/>
      <c r="G605" s="57"/>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57"/>
      <c r="C606" s="57"/>
      <c r="D606" s="57"/>
      <c r="E606" s="57"/>
      <c r="F606" s="57"/>
      <c r="G606" s="57"/>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57"/>
      <c r="C607" s="57"/>
      <c r="D607" s="57"/>
      <c r="E607" s="57"/>
      <c r="F607" s="57"/>
      <c r="G607" s="57"/>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57"/>
      <c r="C608" s="57"/>
      <c r="D608" s="57"/>
      <c r="E608" s="57"/>
      <c r="F608" s="57"/>
      <c r="G608" s="57"/>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57"/>
      <c r="C609" s="57"/>
      <c r="D609" s="57"/>
      <c r="E609" s="57"/>
      <c r="F609" s="57"/>
      <c r="G609" s="57"/>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57"/>
      <c r="C610" s="57"/>
      <c r="D610" s="57"/>
      <c r="E610" s="57"/>
      <c r="F610" s="57"/>
      <c r="G610" s="57"/>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57"/>
      <c r="C611" s="57"/>
      <c r="D611" s="57"/>
      <c r="E611" s="57"/>
      <c r="F611" s="57"/>
      <c r="G611" s="57"/>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57"/>
      <c r="C612" s="57"/>
      <c r="D612" s="57"/>
      <c r="E612" s="57"/>
      <c r="F612" s="57"/>
      <c r="G612" s="57"/>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57"/>
      <c r="C613" s="57"/>
      <c r="D613" s="57"/>
      <c r="E613" s="57"/>
      <c r="F613" s="57"/>
      <c r="G613" s="57"/>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57"/>
      <c r="C614" s="57"/>
      <c r="D614" s="57"/>
      <c r="E614" s="57"/>
      <c r="F614" s="57"/>
      <c r="G614" s="57"/>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57"/>
      <c r="C615" s="57"/>
      <c r="D615" s="57"/>
      <c r="E615" s="57"/>
      <c r="F615" s="57"/>
      <c r="G615" s="57"/>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57"/>
      <c r="C616" s="57"/>
      <c r="D616" s="57"/>
      <c r="E616" s="57"/>
      <c r="F616" s="57"/>
      <c r="G616" s="57"/>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57"/>
      <c r="C617" s="57"/>
      <c r="D617" s="57"/>
      <c r="E617" s="57"/>
      <c r="F617" s="57"/>
      <c r="G617" s="57"/>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57"/>
      <c r="C618" s="57"/>
      <c r="D618" s="57"/>
      <c r="E618" s="57"/>
      <c r="F618" s="57"/>
      <c r="G618" s="57"/>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57"/>
      <c r="C619" s="57"/>
      <c r="D619" s="57"/>
      <c r="E619" s="57"/>
      <c r="F619" s="57"/>
      <c r="G619" s="57"/>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57"/>
      <c r="C620" s="57"/>
      <c r="D620" s="57"/>
      <c r="E620" s="57"/>
      <c r="F620" s="57"/>
      <c r="G620" s="57"/>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57"/>
      <c r="C621" s="57"/>
      <c r="D621" s="57"/>
      <c r="E621" s="57"/>
      <c r="F621" s="57"/>
      <c r="G621" s="57"/>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57"/>
      <c r="C622" s="57"/>
      <c r="D622" s="57"/>
      <c r="E622" s="57"/>
      <c r="F622" s="57"/>
      <c r="G622" s="57"/>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57"/>
      <c r="C623" s="57"/>
      <c r="D623" s="57"/>
      <c r="E623" s="57"/>
      <c r="F623" s="57"/>
      <c r="G623" s="57"/>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57"/>
      <c r="C624" s="57"/>
      <c r="D624" s="57"/>
      <c r="E624" s="57"/>
      <c r="F624" s="57"/>
      <c r="G624" s="57"/>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57"/>
      <c r="C625" s="57"/>
      <c r="D625" s="57"/>
      <c r="E625" s="57"/>
      <c r="F625" s="57"/>
      <c r="G625" s="57"/>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57"/>
      <c r="C626" s="57"/>
      <c r="D626" s="57"/>
      <c r="E626" s="57"/>
      <c r="F626" s="57"/>
      <c r="G626" s="57"/>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57"/>
      <c r="C627" s="57"/>
      <c r="D627" s="57"/>
      <c r="E627" s="57"/>
      <c r="F627" s="57"/>
      <c r="G627" s="57"/>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57"/>
      <c r="C628" s="57"/>
      <c r="D628" s="57"/>
      <c r="E628" s="57"/>
      <c r="F628" s="57"/>
      <c r="G628" s="57"/>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57"/>
      <c r="C629" s="57"/>
      <c r="D629" s="57"/>
      <c r="E629" s="57"/>
      <c r="F629" s="57"/>
      <c r="G629" s="57"/>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57"/>
      <c r="C630" s="57"/>
      <c r="D630" s="57"/>
      <c r="E630" s="57"/>
      <c r="F630" s="57"/>
      <c r="G630" s="57"/>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57"/>
      <c r="C631" s="57"/>
      <c r="D631" s="57"/>
      <c r="E631" s="57"/>
      <c r="F631" s="57"/>
      <c r="G631" s="57"/>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57"/>
      <c r="C632" s="57"/>
      <c r="D632" s="57"/>
      <c r="E632" s="57"/>
      <c r="F632" s="57"/>
      <c r="G632" s="57"/>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57"/>
      <c r="C633" s="57"/>
      <c r="D633" s="57"/>
      <c r="E633" s="57"/>
      <c r="F633" s="57"/>
      <c r="G633" s="57"/>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57"/>
      <c r="C634" s="57"/>
      <c r="D634" s="57"/>
      <c r="E634" s="57"/>
      <c r="F634" s="57"/>
      <c r="G634" s="57"/>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57"/>
      <c r="C635" s="57"/>
      <c r="D635" s="57"/>
      <c r="E635" s="57"/>
      <c r="F635" s="57"/>
      <c r="G635" s="57"/>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57"/>
      <c r="C636" s="57"/>
      <c r="D636" s="57"/>
      <c r="E636" s="57"/>
      <c r="F636" s="57"/>
      <c r="G636" s="57"/>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57"/>
      <c r="C637" s="57"/>
      <c r="D637" s="57"/>
      <c r="E637" s="57"/>
      <c r="F637" s="57"/>
      <c r="G637" s="57"/>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57"/>
      <c r="C638" s="57"/>
      <c r="D638" s="57"/>
      <c r="E638" s="57"/>
      <c r="F638" s="57"/>
      <c r="G638" s="57"/>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57"/>
      <c r="C639" s="57"/>
      <c r="D639" s="57"/>
      <c r="E639" s="57"/>
      <c r="F639" s="57"/>
      <c r="G639" s="57"/>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57"/>
      <c r="C640" s="57"/>
      <c r="D640" s="57"/>
      <c r="E640" s="57"/>
      <c r="F640" s="57"/>
      <c r="G640" s="57"/>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57"/>
      <c r="C641" s="57"/>
      <c r="D641" s="57"/>
      <c r="E641" s="57"/>
      <c r="F641" s="57"/>
      <c r="G641" s="57"/>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57"/>
      <c r="C642" s="57"/>
      <c r="D642" s="57"/>
      <c r="E642" s="57"/>
      <c r="F642" s="57"/>
      <c r="G642" s="57"/>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57"/>
      <c r="C643" s="57"/>
      <c r="D643" s="57"/>
      <c r="E643" s="57"/>
      <c r="F643" s="57"/>
      <c r="G643" s="57"/>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57"/>
      <c r="C644" s="57"/>
      <c r="D644" s="57"/>
      <c r="E644" s="57"/>
      <c r="F644" s="57"/>
      <c r="G644" s="57"/>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57"/>
      <c r="C645" s="57"/>
      <c r="D645" s="57"/>
      <c r="E645" s="57"/>
      <c r="F645" s="57"/>
      <c r="G645" s="57"/>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57"/>
      <c r="C646" s="57"/>
      <c r="D646" s="57"/>
      <c r="E646" s="57"/>
      <c r="F646" s="57"/>
      <c r="G646" s="57"/>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57"/>
      <c r="C647" s="57"/>
      <c r="D647" s="57"/>
      <c r="E647" s="57"/>
      <c r="F647" s="57"/>
      <c r="G647" s="57"/>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57"/>
      <c r="C648" s="57"/>
      <c r="D648" s="57"/>
      <c r="E648" s="57"/>
      <c r="F648" s="57"/>
      <c r="G648" s="57"/>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57"/>
      <c r="C649" s="57"/>
      <c r="D649" s="57"/>
      <c r="E649" s="57"/>
      <c r="F649" s="57"/>
      <c r="G649" s="57"/>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57"/>
      <c r="C650" s="57"/>
      <c r="D650" s="57"/>
      <c r="E650" s="57"/>
      <c r="F650" s="57"/>
      <c r="G650" s="57"/>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57"/>
      <c r="C651" s="57"/>
      <c r="D651" s="57"/>
      <c r="E651" s="57"/>
      <c r="F651" s="57"/>
      <c r="G651" s="57"/>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57"/>
      <c r="C652" s="57"/>
      <c r="D652" s="57"/>
      <c r="E652" s="57"/>
      <c r="F652" s="57"/>
      <c r="G652" s="57"/>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57"/>
      <c r="C653" s="57"/>
      <c r="D653" s="57"/>
      <c r="E653" s="57"/>
      <c r="F653" s="57"/>
      <c r="G653" s="57"/>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57"/>
      <c r="C654" s="57"/>
      <c r="D654" s="57"/>
      <c r="E654" s="57"/>
      <c r="F654" s="57"/>
      <c r="G654" s="57"/>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57"/>
      <c r="C655" s="57"/>
      <c r="D655" s="57"/>
      <c r="E655" s="57"/>
      <c r="F655" s="57"/>
      <c r="G655" s="57"/>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57"/>
      <c r="C656" s="57"/>
      <c r="D656" s="57"/>
      <c r="E656" s="57"/>
      <c r="F656" s="57"/>
      <c r="G656" s="57"/>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57"/>
      <c r="C657" s="57"/>
      <c r="D657" s="57"/>
      <c r="E657" s="57"/>
      <c r="F657" s="57"/>
      <c r="G657" s="57"/>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57"/>
      <c r="C658" s="57"/>
      <c r="D658" s="57"/>
      <c r="E658" s="57"/>
      <c r="F658" s="57"/>
      <c r="G658" s="57"/>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57"/>
      <c r="C659" s="57"/>
      <c r="D659" s="57"/>
      <c r="E659" s="57"/>
      <c r="F659" s="57"/>
      <c r="G659" s="57"/>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57"/>
      <c r="C660" s="57"/>
      <c r="D660" s="57"/>
      <c r="E660" s="57"/>
      <c r="F660" s="57"/>
      <c r="G660" s="57"/>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57"/>
      <c r="C661" s="57"/>
      <c r="D661" s="57"/>
      <c r="E661" s="57"/>
      <c r="F661" s="57"/>
      <c r="G661" s="57"/>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57"/>
      <c r="C662" s="57"/>
      <c r="D662" s="57"/>
      <c r="E662" s="57"/>
      <c r="F662" s="57"/>
      <c r="G662" s="57"/>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57"/>
      <c r="C663" s="57"/>
      <c r="D663" s="57"/>
      <c r="E663" s="57"/>
      <c r="F663" s="57"/>
      <c r="G663" s="57"/>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57"/>
      <c r="C664" s="57"/>
      <c r="D664" s="57"/>
      <c r="E664" s="57"/>
      <c r="F664" s="57"/>
      <c r="G664" s="57"/>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57"/>
      <c r="C665" s="57"/>
      <c r="D665" s="57"/>
      <c r="E665" s="57"/>
      <c r="F665" s="57"/>
      <c r="G665" s="57"/>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57"/>
      <c r="C666" s="57"/>
      <c r="D666" s="57"/>
      <c r="E666" s="57"/>
      <c r="F666" s="57"/>
      <c r="G666" s="57"/>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57"/>
      <c r="C667" s="57"/>
      <c r="D667" s="57"/>
      <c r="E667" s="57"/>
      <c r="F667" s="57"/>
      <c r="G667" s="57"/>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57"/>
      <c r="C668" s="57"/>
      <c r="D668" s="57"/>
      <c r="E668" s="57"/>
      <c r="F668" s="57"/>
      <c r="G668" s="57"/>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57"/>
      <c r="C669" s="57"/>
      <c r="D669" s="57"/>
      <c r="E669" s="57"/>
      <c r="F669" s="57"/>
      <c r="G669" s="57"/>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57"/>
      <c r="C670" s="57"/>
      <c r="D670" s="57"/>
      <c r="E670" s="57"/>
      <c r="F670" s="57"/>
      <c r="G670" s="57"/>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57"/>
      <c r="C671" s="57"/>
      <c r="D671" s="57"/>
      <c r="E671" s="57"/>
      <c r="F671" s="57"/>
      <c r="G671" s="57"/>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57"/>
      <c r="C672" s="57"/>
      <c r="D672" s="57"/>
      <c r="E672" s="57"/>
      <c r="F672" s="57"/>
      <c r="G672" s="57"/>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57"/>
      <c r="C673" s="57"/>
      <c r="D673" s="57"/>
      <c r="E673" s="57"/>
      <c r="F673" s="57"/>
      <c r="G673" s="57"/>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57"/>
      <c r="C674" s="57"/>
      <c r="D674" s="57"/>
      <c r="E674" s="57"/>
      <c r="F674" s="57"/>
      <c r="G674" s="57"/>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57"/>
      <c r="C675" s="57"/>
      <c r="D675" s="57"/>
      <c r="E675" s="57"/>
      <c r="F675" s="57"/>
      <c r="G675" s="57"/>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57"/>
      <c r="C676" s="57"/>
      <c r="D676" s="57"/>
      <c r="E676" s="57"/>
      <c r="F676" s="57"/>
      <c r="G676" s="57"/>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57"/>
      <c r="C677" s="57"/>
      <c r="D677" s="57"/>
      <c r="E677" s="57"/>
      <c r="F677" s="57"/>
      <c r="G677" s="57"/>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57"/>
      <c r="C678" s="57"/>
      <c r="D678" s="57"/>
      <c r="E678" s="57"/>
      <c r="F678" s="57"/>
      <c r="G678" s="57"/>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57"/>
      <c r="C679" s="57"/>
      <c r="D679" s="57"/>
      <c r="E679" s="57"/>
      <c r="F679" s="57"/>
      <c r="G679" s="57"/>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57"/>
      <c r="C680" s="57"/>
      <c r="D680" s="57"/>
      <c r="E680" s="57"/>
      <c r="F680" s="57"/>
      <c r="G680" s="57"/>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57"/>
      <c r="C681" s="57"/>
      <c r="D681" s="57"/>
      <c r="E681" s="57"/>
      <c r="F681" s="57"/>
      <c r="G681" s="57"/>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57"/>
      <c r="C682" s="57"/>
      <c r="D682" s="57"/>
      <c r="E682" s="57"/>
      <c r="F682" s="57"/>
      <c r="G682" s="57"/>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57"/>
      <c r="C683" s="57"/>
      <c r="D683" s="57"/>
      <c r="E683" s="57"/>
      <c r="F683" s="57"/>
      <c r="G683" s="57"/>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57"/>
      <c r="C684" s="57"/>
      <c r="D684" s="57"/>
      <c r="E684" s="57"/>
      <c r="F684" s="57"/>
      <c r="G684" s="57"/>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57"/>
      <c r="C685" s="57"/>
      <c r="D685" s="57"/>
      <c r="E685" s="57"/>
      <c r="F685" s="57"/>
      <c r="G685" s="57"/>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57"/>
      <c r="C686" s="57"/>
      <c r="D686" s="57"/>
      <c r="E686" s="57"/>
      <c r="F686" s="57"/>
      <c r="G686" s="57"/>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57"/>
      <c r="C687" s="57"/>
      <c r="D687" s="57"/>
      <c r="E687" s="57"/>
      <c r="F687" s="57"/>
      <c r="G687" s="57"/>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57"/>
      <c r="C688" s="57"/>
      <c r="D688" s="57"/>
      <c r="E688" s="57"/>
      <c r="F688" s="57"/>
      <c r="G688" s="57"/>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57"/>
      <c r="C689" s="57"/>
      <c r="D689" s="57"/>
      <c r="E689" s="57"/>
      <c r="F689" s="57"/>
      <c r="G689" s="57"/>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57"/>
      <c r="C690" s="57"/>
      <c r="D690" s="57"/>
      <c r="E690" s="57"/>
      <c r="F690" s="57"/>
      <c r="G690" s="57"/>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57"/>
      <c r="C691" s="57"/>
      <c r="D691" s="57"/>
      <c r="E691" s="57"/>
      <c r="F691" s="57"/>
      <c r="G691" s="57"/>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57"/>
      <c r="C692" s="57"/>
      <c r="D692" s="57"/>
      <c r="E692" s="57"/>
      <c r="F692" s="57"/>
      <c r="G692" s="57"/>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57"/>
      <c r="C693" s="57"/>
      <c r="D693" s="57"/>
      <c r="E693" s="57"/>
      <c r="F693" s="57"/>
      <c r="G693" s="57"/>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57"/>
      <c r="C694" s="57"/>
      <c r="D694" s="57"/>
      <c r="E694" s="57"/>
      <c r="F694" s="57"/>
      <c r="G694" s="57"/>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57"/>
      <c r="C695" s="57"/>
      <c r="D695" s="57"/>
      <c r="E695" s="57"/>
      <c r="F695" s="57"/>
      <c r="G695" s="57"/>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57"/>
      <c r="C696" s="57"/>
      <c r="D696" s="57"/>
      <c r="E696" s="57"/>
      <c r="F696" s="57"/>
      <c r="G696" s="57"/>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57"/>
      <c r="C697" s="57"/>
      <c r="D697" s="57"/>
      <c r="E697" s="57"/>
      <c r="F697" s="57"/>
      <c r="G697" s="57"/>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57"/>
      <c r="C698" s="57"/>
      <c r="D698" s="57"/>
      <c r="E698" s="57"/>
      <c r="F698" s="57"/>
      <c r="G698" s="57"/>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57"/>
      <c r="C699" s="57"/>
      <c r="D699" s="57"/>
      <c r="E699" s="57"/>
      <c r="F699" s="57"/>
      <c r="G699" s="57"/>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57"/>
      <c r="C700" s="57"/>
      <c r="D700" s="57"/>
      <c r="E700" s="57"/>
      <c r="F700" s="57"/>
      <c r="G700" s="57"/>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57"/>
      <c r="C701" s="57"/>
      <c r="D701" s="57"/>
      <c r="E701" s="57"/>
      <c r="F701" s="57"/>
      <c r="G701" s="57"/>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57"/>
      <c r="C702" s="57"/>
      <c r="D702" s="57"/>
      <c r="E702" s="57"/>
      <c r="F702" s="57"/>
      <c r="G702" s="57"/>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57"/>
      <c r="C703" s="57"/>
      <c r="D703" s="57"/>
      <c r="E703" s="57"/>
      <c r="F703" s="57"/>
      <c r="G703" s="57"/>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57"/>
      <c r="C704" s="57"/>
      <c r="D704" s="57"/>
      <c r="E704" s="57"/>
      <c r="F704" s="57"/>
      <c r="G704" s="57"/>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57"/>
      <c r="C705" s="57"/>
      <c r="D705" s="57"/>
      <c r="E705" s="57"/>
      <c r="F705" s="57"/>
      <c r="G705" s="57"/>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57"/>
      <c r="C706" s="57"/>
      <c r="D706" s="57"/>
      <c r="E706" s="57"/>
      <c r="F706" s="57"/>
      <c r="G706" s="57"/>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57"/>
      <c r="C707" s="57"/>
      <c r="D707" s="57"/>
      <c r="E707" s="57"/>
      <c r="F707" s="57"/>
      <c r="G707" s="57"/>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57"/>
      <c r="C708" s="57"/>
      <c r="D708" s="57"/>
      <c r="E708" s="57"/>
      <c r="F708" s="57"/>
      <c r="G708" s="57"/>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57"/>
      <c r="C709" s="57"/>
      <c r="D709" s="57"/>
      <c r="E709" s="57"/>
      <c r="F709" s="57"/>
      <c r="G709" s="57"/>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57"/>
      <c r="C710" s="57"/>
      <c r="D710" s="57"/>
      <c r="E710" s="57"/>
      <c r="F710" s="57"/>
      <c r="G710" s="57"/>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57"/>
      <c r="C711" s="57"/>
      <c r="D711" s="57"/>
      <c r="E711" s="57"/>
      <c r="F711" s="57"/>
      <c r="G711" s="57"/>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57"/>
      <c r="C712" s="57"/>
      <c r="D712" s="57"/>
      <c r="E712" s="57"/>
      <c r="F712" s="57"/>
      <c r="G712" s="57"/>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57"/>
      <c r="C713" s="57"/>
      <c r="D713" s="57"/>
      <c r="E713" s="57"/>
      <c r="F713" s="57"/>
      <c r="G713" s="57"/>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57"/>
      <c r="C714" s="57"/>
      <c r="D714" s="57"/>
      <c r="E714" s="57"/>
      <c r="F714" s="57"/>
      <c r="G714" s="57"/>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57"/>
      <c r="C715" s="57"/>
      <c r="D715" s="57"/>
      <c r="E715" s="57"/>
      <c r="F715" s="57"/>
      <c r="G715" s="57"/>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57"/>
      <c r="C716" s="57"/>
      <c r="D716" s="57"/>
      <c r="E716" s="57"/>
      <c r="F716" s="57"/>
      <c r="G716" s="57"/>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57"/>
      <c r="C717" s="57"/>
      <c r="D717" s="57"/>
      <c r="E717" s="57"/>
      <c r="F717" s="57"/>
      <c r="G717" s="57"/>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57"/>
      <c r="C718" s="57"/>
      <c r="D718" s="57"/>
      <c r="E718" s="57"/>
      <c r="F718" s="57"/>
      <c r="G718" s="57"/>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57"/>
      <c r="C719" s="57"/>
      <c r="D719" s="57"/>
      <c r="E719" s="57"/>
      <c r="F719" s="57"/>
      <c r="G719" s="57"/>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57"/>
      <c r="C720" s="57"/>
      <c r="D720" s="57"/>
      <c r="E720" s="57"/>
      <c r="F720" s="57"/>
      <c r="G720" s="57"/>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57"/>
      <c r="C721" s="57"/>
      <c r="D721" s="57"/>
      <c r="E721" s="57"/>
      <c r="F721" s="57"/>
      <c r="G721" s="57"/>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57"/>
      <c r="C722" s="57"/>
      <c r="D722" s="57"/>
      <c r="E722" s="57"/>
      <c r="F722" s="57"/>
      <c r="G722" s="57"/>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57"/>
      <c r="C723" s="57"/>
      <c r="D723" s="57"/>
      <c r="E723" s="57"/>
      <c r="F723" s="57"/>
      <c r="G723" s="57"/>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57"/>
      <c r="C724" s="57"/>
      <c r="D724" s="57"/>
      <c r="E724" s="57"/>
      <c r="F724" s="57"/>
      <c r="G724" s="57"/>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57"/>
      <c r="C725" s="57"/>
      <c r="D725" s="57"/>
      <c r="E725" s="57"/>
      <c r="F725" s="57"/>
      <c r="G725" s="57"/>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57"/>
      <c r="C726" s="57"/>
      <c r="D726" s="57"/>
      <c r="E726" s="57"/>
      <c r="F726" s="57"/>
      <c r="G726" s="57"/>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57"/>
      <c r="C727" s="57"/>
      <c r="D727" s="57"/>
      <c r="E727" s="57"/>
      <c r="F727" s="57"/>
      <c r="G727" s="57"/>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57"/>
      <c r="C728" s="57"/>
      <c r="D728" s="57"/>
      <c r="E728" s="57"/>
      <c r="F728" s="57"/>
      <c r="G728" s="57"/>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57"/>
      <c r="C729" s="57"/>
      <c r="D729" s="57"/>
      <c r="E729" s="57"/>
      <c r="F729" s="57"/>
      <c r="G729" s="57"/>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57"/>
      <c r="C730" s="57"/>
      <c r="D730" s="57"/>
      <c r="E730" s="57"/>
      <c r="F730" s="57"/>
      <c r="G730" s="57"/>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57"/>
      <c r="C731" s="57"/>
      <c r="D731" s="57"/>
      <c r="E731" s="57"/>
      <c r="F731" s="57"/>
      <c r="G731" s="57"/>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57"/>
      <c r="C732" s="57"/>
      <c r="D732" s="57"/>
      <c r="E732" s="57"/>
      <c r="F732" s="57"/>
      <c r="G732" s="57"/>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57"/>
      <c r="C733" s="57"/>
      <c r="D733" s="57"/>
      <c r="E733" s="57"/>
      <c r="F733" s="57"/>
      <c r="G733" s="57"/>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57"/>
      <c r="C734" s="57"/>
      <c r="D734" s="57"/>
      <c r="E734" s="57"/>
      <c r="F734" s="57"/>
      <c r="G734" s="57"/>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57"/>
      <c r="C735" s="57"/>
      <c r="D735" s="57"/>
      <c r="E735" s="57"/>
      <c r="F735" s="57"/>
      <c r="G735" s="57"/>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57"/>
      <c r="C736" s="57"/>
      <c r="D736" s="57"/>
      <c r="E736" s="57"/>
      <c r="F736" s="57"/>
      <c r="G736" s="57"/>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57"/>
      <c r="C737" s="57"/>
      <c r="D737" s="57"/>
      <c r="E737" s="57"/>
      <c r="F737" s="57"/>
      <c r="G737" s="57"/>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57"/>
      <c r="C738" s="57"/>
      <c r="D738" s="57"/>
      <c r="E738" s="57"/>
      <c r="F738" s="57"/>
      <c r="G738" s="57"/>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57"/>
      <c r="C739" s="57"/>
      <c r="D739" s="57"/>
      <c r="E739" s="57"/>
      <c r="F739" s="57"/>
      <c r="G739" s="57"/>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57"/>
      <c r="C740" s="57"/>
      <c r="D740" s="57"/>
      <c r="E740" s="57"/>
      <c r="F740" s="57"/>
      <c r="G740" s="57"/>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57"/>
      <c r="C741" s="57"/>
      <c r="D741" s="57"/>
      <c r="E741" s="57"/>
      <c r="F741" s="57"/>
      <c r="G741" s="57"/>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57"/>
      <c r="C742" s="57"/>
      <c r="D742" s="57"/>
      <c r="E742" s="57"/>
      <c r="F742" s="57"/>
      <c r="G742" s="57"/>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57"/>
      <c r="C743" s="57"/>
      <c r="D743" s="57"/>
      <c r="E743" s="57"/>
      <c r="F743" s="57"/>
      <c r="G743" s="57"/>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57"/>
      <c r="C744" s="57"/>
      <c r="D744" s="57"/>
      <c r="E744" s="57"/>
      <c r="F744" s="57"/>
      <c r="G744" s="57"/>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57"/>
      <c r="C745" s="57"/>
      <c r="D745" s="57"/>
      <c r="E745" s="57"/>
      <c r="F745" s="57"/>
      <c r="G745" s="57"/>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57"/>
      <c r="C746" s="57"/>
      <c r="D746" s="57"/>
      <c r="E746" s="57"/>
      <c r="F746" s="57"/>
      <c r="G746" s="57"/>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57"/>
      <c r="C747" s="57"/>
      <c r="D747" s="57"/>
      <c r="E747" s="57"/>
      <c r="F747" s="57"/>
      <c r="G747" s="57"/>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57"/>
      <c r="C748" s="57"/>
      <c r="D748" s="57"/>
      <c r="E748" s="57"/>
      <c r="F748" s="57"/>
      <c r="G748" s="57"/>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57"/>
      <c r="C749" s="57"/>
      <c r="D749" s="57"/>
      <c r="E749" s="57"/>
      <c r="F749" s="57"/>
      <c r="G749" s="57"/>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57"/>
      <c r="C750" s="57"/>
      <c r="D750" s="57"/>
      <c r="E750" s="57"/>
      <c r="F750" s="57"/>
      <c r="G750" s="57"/>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57"/>
      <c r="C751" s="57"/>
      <c r="D751" s="57"/>
      <c r="E751" s="57"/>
      <c r="F751" s="57"/>
      <c r="G751" s="57"/>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57"/>
      <c r="C752" s="57"/>
      <c r="D752" s="57"/>
      <c r="E752" s="57"/>
      <c r="F752" s="57"/>
      <c r="G752" s="57"/>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57"/>
      <c r="C753" s="57"/>
      <c r="D753" s="57"/>
      <c r="E753" s="57"/>
      <c r="F753" s="57"/>
      <c r="G753" s="57"/>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57"/>
      <c r="C754" s="57"/>
      <c r="D754" s="57"/>
      <c r="E754" s="57"/>
      <c r="F754" s="57"/>
      <c r="G754" s="57"/>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57"/>
      <c r="C755" s="57"/>
      <c r="D755" s="57"/>
      <c r="E755" s="57"/>
      <c r="F755" s="57"/>
      <c r="G755" s="57"/>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57"/>
      <c r="C756" s="57"/>
      <c r="D756" s="57"/>
      <c r="E756" s="57"/>
      <c r="F756" s="57"/>
      <c r="G756" s="57"/>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57"/>
      <c r="C757" s="57"/>
      <c r="D757" s="57"/>
      <c r="E757" s="57"/>
      <c r="F757" s="57"/>
      <c r="G757" s="57"/>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57"/>
      <c r="C758" s="57"/>
      <c r="D758" s="57"/>
      <c r="E758" s="57"/>
      <c r="F758" s="57"/>
      <c r="G758" s="57"/>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57"/>
      <c r="C759" s="57"/>
      <c r="D759" s="57"/>
      <c r="E759" s="57"/>
      <c r="F759" s="57"/>
      <c r="G759" s="57"/>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57"/>
      <c r="C760" s="57"/>
      <c r="D760" s="57"/>
      <c r="E760" s="57"/>
      <c r="F760" s="57"/>
      <c r="G760" s="57"/>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57"/>
      <c r="C761" s="57"/>
      <c r="D761" s="57"/>
      <c r="E761" s="57"/>
      <c r="F761" s="57"/>
      <c r="G761" s="57"/>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57"/>
      <c r="C762" s="57"/>
      <c r="D762" s="57"/>
      <c r="E762" s="57"/>
      <c r="F762" s="57"/>
      <c r="G762" s="57"/>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57"/>
      <c r="C763" s="57"/>
      <c r="D763" s="57"/>
      <c r="E763" s="57"/>
      <c r="F763" s="57"/>
      <c r="G763" s="57"/>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57"/>
      <c r="C764" s="57"/>
      <c r="D764" s="57"/>
      <c r="E764" s="57"/>
      <c r="F764" s="57"/>
      <c r="G764" s="57"/>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57"/>
      <c r="C765" s="57"/>
      <c r="D765" s="57"/>
      <c r="E765" s="57"/>
      <c r="F765" s="57"/>
      <c r="G765" s="57"/>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57"/>
      <c r="C766" s="57"/>
      <c r="D766" s="57"/>
      <c r="E766" s="57"/>
      <c r="F766" s="57"/>
      <c r="G766" s="57"/>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57"/>
      <c r="C767" s="57"/>
      <c r="D767" s="57"/>
      <c r="E767" s="57"/>
      <c r="F767" s="57"/>
      <c r="G767" s="57"/>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57"/>
      <c r="C768" s="57"/>
      <c r="D768" s="57"/>
      <c r="E768" s="57"/>
      <c r="F768" s="57"/>
      <c r="G768" s="57"/>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57"/>
      <c r="C769" s="57"/>
      <c r="D769" s="57"/>
      <c r="E769" s="57"/>
      <c r="F769" s="57"/>
      <c r="G769" s="57"/>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57"/>
      <c r="C770" s="57"/>
      <c r="D770" s="57"/>
      <c r="E770" s="57"/>
      <c r="F770" s="57"/>
      <c r="G770" s="57"/>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57"/>
      <c r="C771" s="57"/>
      <c r="D771" s="57"/>
      <c r="E771" s="57"/>
      <c r="F771" s="57"/>
      <c r="G771" s="57"/>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57"/>
      <c r="C772" s="57"/>
      <c r="D772" s="57"/>
      <c r="E772" s="57"/>
      <c r="F772" s="57"/>
      <c r="G772" s="57"/>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57"/>
      <c r="C773" s="57"/>
      <c r="D773" s="57"/>
      <c r="E773" s="57"/>
      <c r="F773" s="57"/>
      <c r="G773" s="57"/>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57"/>
      <c r="C774" s="57"/>
      <c r="D774" s="57"/>
      <c r="E774" s="57"/>
      <c r="F774" s="57"/>
      <c r="G774" s="57"/>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57"/>
      <c r="C775" s="57"/>
      <c r="D775" s="57"/>
      <c r="E775" s="57"/>
      <c r="F775" s="57"/>
      <c r="G775" s="57"/>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57"/>
      <c r="C776" s="57"/>
      <c r="D776" s="57"/>
      <c r="E776" s="57"/>
      <c r="F776" s="57"/>
      <c r="G776" s="57"/>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57"/>
      <c r="C777" s="57"/>
      <c r="D777" s="57"/>
      <c r="E777" s="57"/>
      <c r="F777" s="57"/>
      <c r="G777" s="57"/>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57"/>
      <c r="C778" s="57"/>
      <c r="D778" s="57"/>
      <c r="E778" s="57"/>
      <c r="F778" s="57"/>
      <c r="G778" s="57"/>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57"/>
      <c r="C779" s="57"/>
      <c r="D779" s="57"/>
      <c r="E779" s="57"/>
      <c r="F779" s="57"/>
      <c r="G779" s="57"/>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57"/>
      <c r="C780" s="57"/>
      <c r="D780" s="57"/>
      <c r="E780" s="57"/>
      <c r="F780" s="57"/>
      <c r="G780" s="57"/>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57"/>
      <c r="C781" s="57"/>
      <c r="D781" s="57"/>
      <c r="E781" s="57"/>
      <c r="F781" s="57"/>
      <c r="G781" s="57"/>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57"/>
      <c r="C782" s="57"/>
      <c r="D782" s="57"/>
      <c r="E782" s="57"/>
      <c r="F782" s="57"/>
      <c r="G782" s="57"/>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57"/>
      <c r="C783" s="57"/>
      <c r="D783" s="57"/>
      <c r="E783" s="57"/>
      <c r="F783" s="57"/>
      <c r="G783" s="57"/>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57"/>
      <c r="C784" s="57"/>
      <c r="D784" s="57"/>
      <c r="E784" s="57"/>
      <c r="F784" s="57"/>
      <c r="G784" s="57"/>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57"/>
      <c r="C785" s="57"/>
      <c r="D785" s="57"/>
      <c r="E785" s="57"/>
      <c r="F785" s="57"/>
      <c r="G785" s="57"/>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57"/>
      <c r="C786" s="57"/>
      <c r="D786" s="57"/>
      <c r="E786" s="57"/>
      <c r="F786" s="57"/>
      <c r="G786" s="57"/>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57"/>
      <c r="C787" s="57"/>
      <c r="D787" s="57"/>
      <c r="E787" s="57"/>
      <c r="F787" s="57"/>
      <c r="G787" s="57"/>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57"/>
      <c r="C788" s="57"/>
      <c r="D788" s="57"/>
      <c r="E788" s="57"/>
      <c r="F788" s="57"/>
      <c r="G788" s="57"/>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57"/>
      <c r="C789" s="57"/>
      <c r="D789" s="57"/>
      <c r="E789" s="57"/>
      <c r="F789" s="57"/>
      <c r="G789" s="57"/>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57"/>
      <c r="C790" s="57"/>
      <c r="D790" s="57"/>
      <c r="E790" s="57"/>
      <c r="F790" s="57"/>
      <c r="G790" s="57"/>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57"/>
      <c r="C791" s="57"/>
      <c r="D791" s="57"/>
      <c r="E791" s="57"/>
      <c r="F791" s="57"/>
      <c r="G791" s="57"/>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57"/>
      <c r="C792" s="57"/>
      <c r="D792" s="57"/>
      <c r="E792" s="57"/>
      <c r="F792" s="57"/>
      <c r="G792" s="57"/>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57"/>
      <c r="C793" s="57"/>
      <c r="D793" s="57"/>
      <c r="E793" s="57"/>
      <c r="F793" s="57"/>
      <c r="G793" s="57"/>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57"/>
      <c r="C794" s="57"/>
      <c r="D794" s="57"/>
      <c r="E794" s="57"/>
      <c r="F794" s="57"/>
      <c r="G794" s="57"/>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57"/>
      <c r="C795" s="57"/>
      <c r="D795" s="57"/>
      <c r="E795" s="57"/>
      <c r="F795" s="57"/>
      <c r="G795" s="57"/>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57"/>
      <c r="C796" s="57"/>
      <c r="D796" s="57"/>
      <c r="E796" s="57"/>
      <c r="F796" s="57"/>
      <c r="G796" s="57"/>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57"/>
      <c r="C797" s="57"/>
      <c r="D797" s="57"/>
      <c r="E797" s="57"/>
      <c r="F797" s="57"/>
      <c r="G797" s="57"/>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57"/>
      <c r="C798" s="57"/>
      <c r="D798" s="57"/>
      <c r="E798" s="57"/>
      <c r="F798" s="57"/>
      <c r="G798" s="57"/>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57"/>
      <c r="C799" s="57"/>
      <c r="D799" s="57"/>
      <c r="E799" s="57"/>
      <c r="F799" s="57"/>
      <c r="G799" s="57"/>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57"/>
      <c r="C800" s="57"/>
      <c r="D800" s="57"/>
      <c r="E800" s="57"/>
      <c r="F800" s="57"/>
      <c r="G800" s="57"/>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57"/>
      <c r="C801" s="57"/>
      <c r="D801" s="57"/>
      <c r="E801" s="57"/>
      <c r="F801" s="57"/>
      <c r="G801" s="57"/>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57"/>
      <c r="C802" s="57"/>
      <c r="D802" s="57"/>
      <c r="E802" s="57"/>
      <c r="F802" s="57"/>
      <c r="G802" s="57"/>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57"/>
      <c r="C803" s="57"/>
      <c r="D803" s="57"/>
      <c r="E803" s="57"/>
      <c r="F803" s="57"/>
      <c r="G803" s="57"/>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57"/>
      <c r="C804" s="57"/>
      <c r="D804" s="57"/>
      <c r="E804" s="57"/>
      <c r="F804" s="57"/>
      <c r="G804" s="57"/>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57"/>
      <c r="C805" s="57"/>
      <c r="D805" s="57"/>
      <c r="E805" s="57"/>
      <c r="F805" s="57"/>
      <c r="G805" s="57"/>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57"/>
      <c r="C806" s="57"/>
      <c r="D806" s="57"/>
      <c r="E806" s="57"/>
      <c r="F806" s="57"/>
      <c r="G806" s="57"/>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57"/>
      <c r="C807" s="57"/>
      <c r="D807" s="57"/>
      <c r="E807" s="57"/>
      <c r="F807" s="57"/>
      <c r="G807" s="57"/>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57"/>
      <c r="C808" s="57"/>
      <c r="D808" s="57"/>
      <c r="E808" s="57"/>
      <c r="F808" s="57"/>
      <c r="G808" s="57"/>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57"/>
      <c r="C809" s="57"/>
      <c r="D809" s="57"/>
      <c r="E809" s="57"/>
      <c r="F809" s="57"/>
      <c r="G809" s="57"/>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57"/>
      <c r="C810" s="57"/>
      <c r="D810" s="57"/>
      <c r="E810" s="57"/>
      <c r="F810" s="57"/>
      <c r="G810" s="57"/>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57"/>
      <c r="C811" s="57"/>
      <c r="D811" s="57"/>
      <c r="E811" s="57"/>
      <c r="F811" s="57"/>
      <c r="G811" s="57"/>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57"/>
      <c r="C812" s="57"/>
      <c r="D812" s="57"/>
      <c r="E812" s="57"/>
      <c r="F812" s="57"/>
      <c r="G812" s="57"/>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57"/>
      <c r="C813" s="57"/>
      <c r="D813" s="57"/>
      <c r="E813" s="57"/>
      <c r="F813" s="57"/>
      <c r="G813" s="57"/>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57"/>
      <c r="C814" s="57"/>
      <c r="D814" s="57"/>
      <c r="E814" s="57"/>
      <c r="F814" s="57"/>
      <c r="G814" s="57"/>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57"/>
      <c r="C815" s="57"/>
      <c r="D815" s="57"/>
      <c r="E815" s="57"/>
      <c r="F815" s="57"/>
      <c r="G815" s="57"/>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57"/>
      <c r="C816" s="57"/>
      <c r="D816" s="57"/>
      <c r="E816" s="57"/>
      <c r="F816" s="57"/>
      <c r="G816" s="57"/>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57"/>
      <c r="C817" s="57"/>
      <c r="D817" s="57"/>
      <c r="E817" s="57"/>
      <c r="F817" s="57"/>
      <c r="G817" s="57"/>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57"/>
      <c r="C818" s="57"/>
      <c r="D818" s="57"/>
      <c r="E818" s="57"/>
      <c r="F818" s="57"/>
      <c r="G818" s="57"/>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57"/>
      <c r="C819" s="57"/>
      <c r="D819" s="57"/>
      <c r="E819" s="57"/>
      <c r="F819" s="57"/>
      <c r="G819" s="57"/>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57"/>
      <c r="C820" s="57"/>
      <c r="D820" s="57"/>
      <c r="E820" s="57"/>
      <c r="F820" s="57"/>
      <c r="G820" s="57"/>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57"/>
      <c r="C821" s="57"/>
      <c r="D821" s="57"/>
      <c r="E821" s="57"/>
      <c r="F821" s="57"/>
      <c r="G821" s="57"/>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57"/>
      <c r="C822" s="57"/>
      <c r="D822" s="57"/>
      <c r="E822" s="57"/>
      <c r="F822" s="57"/>
      <c r="G822" s="57"/>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57"/>
      <c r="C823" s="57"/>
      <c r="D823" s="57"/>
      <c r="E823" s="57"/>
      <c r="F823" s="57"/>
      <c r="G823" s="57"/>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57"/>
      <c r="C824" s="57"/>
      <c r="D824" s="57"/>
      <c r="E824" s="57"/>
      <c r="F824" s="57"/>
      <c r="G824" s="57"/>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57"/>
      <c r="C825" s="57"/>
      <c r="D825" s="57"/>
      <c r="E825" s="57"/>
      <c r="F825" s="57"/>
      <c r="G825" s="57"/>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57"/>
      <c r="C826" s="57"/>
      <c r="D826" s="57"/>
      <c r="E826" s="57"/>
      <c r="F826" s="57"/>
      <c r="G826" s="57"/>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57"/>
      <c r="C827" s="57"/>
      <c r="D827" s="57"/>
      <c r="E827" s="57"/>
      <c r="F827" s="57"/>
      <c r="G827" s="57"/>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57"/>
      <c r="C828" s="57"/>
      <c r="D828" s="57"/>
      <c r="E828" s="57"/>
      <c r="F828" s="57"/>
      <c r="G828" s="57"/>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57"/>
      <c r="C829" s="57"/>
      <c r="D829" s="57"/>
      <c r="E829" s="57"/>
      <c r="F829" s="57"/>
      <c r="G829" s="57"/>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57"/>
      <c r="C830" s="57"/>
      <c r="D830" s="57"/>
      <c r="E830" s="57"/>
      <c r="F830" s="57"/>
      <c r="G830" s="57"/>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57"/>
      <c r="C831" s="57"/>
      <c r="D831" s="57"/>
      <c r="E831" s="57"/>
      <c r="F831" s="57"/>
      <c r="G831" s="57"/>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57"/>
      <c r="C832" s="57"/>
      <c r="D832" s="57"/>
      <c r="E832" s="57"/>
      <c r="F832" s="57"/>
      <c r="G832" s="57"/>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57"/>
      <c r="C833" s="57"/>
      <c r="D833" s="57"/>
      <c r="E833" s="57"/>
      <c r="F833" s="57"/>
      <c r="G833" s="57"/>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57"/>
      <c r="C834" s="57"/>
      <c r="D834" s="57"/>
      <c r="E834" s="57"/>
      <c r="F834" s="57"/>
      <c r="G834" s="57"/>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57"/>
      <c r="C835" s="57"/>
      <c r="D835" s="57"/>
      <c r="E835" s="57"/>
      <c r="F835" s="57"/>
      <c r="G835" s="57"/>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57"/>
      <c r="C836" s="57"/>
      <c r="D836" s="57"/>
      <c r="E836" s="57"/>
      <c r="F836" s="57"/>
      <c r="G836" s="57"/>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57"/>
      <c r="C837" s="57"/>
      <c r="D837" s="57"/>
      <c r="E837" s="57"/>
      <c r="F837" s="57"/>
      <c r="G837" s="57"/>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57"/>
      <c r="C838" s="57"/>
      <c r="D838" s="57"/>
      <c r="E838" s="57"/>
      <c r="F838" s="57"/>
      <c r="G838" s="57"/>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57"/>
      <c r="C839" s="57"/>
      <c r="D839" s="57"/>
      <c r="E839" s="57"/>
      <c r="F839" s="57"/>
      <c r="G839" s="57"/>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57"/>
      <c r="C840" s="57"/>
      <c r="D840" s="57"/>
      <c r="E840" s="57"/>
      <c r="F840" s="57"/>
      <c r="G840" s="57"/>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57"/>
      <c r="C841" s="57"/>
      <c r="D841" s="57"/>
      <c r="E841" s="57"/>
      <c r="F841" s="57"/>
      <c r="G841" s="57"/>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57"/>
      <c r="C842" s="57"/>
      <c r="D842" s="57"/>
      <c r="E842" s="57"/>
      <c r="F842" s="57"/>
      <c r="G842" s="57"/>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57"/>
      <c r="C843" s="57"/>
      <c r="D843" s="57"/>
      <c r="E843" s="57"/>
      <c r="F843" s="57"/>
      <c r="G843" s="57"/>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57"/>
      <c r="C844" s="57"/>
      <c r="D844" s="57"/>
      <c r="E844" s="57"/>
      <c r="F844" s="57"/>
      <c r="G844" s="57"/>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57"/>
      <c r="C845" s="57"/>
      <c r="D845" s="57"/>
      <c r="E845" s="57"/>
      <c r="F845" s="57"/>
      <c r="G845" s="57"/>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57"/>
      <c r="C846" s="57"/>
      <c r="D846" s="57"/>
      <c r="E846" s="57"/>
      <c r="F846" s="57"/>
      <c r="G846" s="57"/>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57"/>
      <c r="C847" s="57"/>
      <c r="D847" s="57"/>
      <c r="E847" s="57"/>
      <c r="F847" s="57"/>
      <c r="G847" s="57"/>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57"/>
      <c r="C848" s="57"/>
      <c r="D848" s="57"/>
      <c r="E848" s="57"/>
      <c r="F848" s="57"/>
      <c r="G848" s="57"/>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57"/>
      <c r="C849" s="57"/>
      <c r="D849" s="57"/>
      <c r="E849" s="57"/>
      <c r="F849" s="57"/>
      <c r="G849" s="57"/>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57"/>
      <c r="C850" s="57"/>
      <c r="D850" s="57"/>
      <c r="E850" s="57"/>
      <c r="F850" s="57"/>
      <c r="G850" s="57"/>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57"/>
      <c r="C851" s="57"/>
      <c r="D851" s="57"/>
      <c r="E851" s="57"/>
      <c r="F851" s="57"/>
      <c r="G851" s="57"/>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57"/>
      <c r="C852" s="57"/>
      <c r="D852" s="57"/>
      <c r="E852" s="57"/>
      <c r="F852" s="57"/>
      <c r="G852" s="57"/>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57"/>
      <c r="C853" s="57"/>
      <c r="D853" s="57"/>
      <c r="E853" s="57"/>
      <c r="F853" s="57"/>
      <c r="G853" s="57"/>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57"/>
      <c r="C854" s="57"/>
      <c r="D854" s="57"/>
      <c r="E854" s="57"/>
      <c r="F854" s="57"/>
      <c r="G854" s="57"/>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57"/>
      <c r="C855" s="57"/>
      <c r="D855" s="57"/>
      <c r="E855" s="57"/>
      <c r="F855" s="57"/>
      <c r="G855" s="57"/>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57"/>
      <c r="C856" s="57"/>
      <c r="D856" s="57"/>
      <c r="E856" s="57"/>
      <c r="F856" s="57"/>
      <c r="G856" s="57"/>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57"/>
      <c r="C857" s="57"/>
      <c r="D857" s="57"/>
      <c r="E857" s="57"/>
      <c r="F857" s="57"/>
      <c r="G857" s="57"/>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57"/>
      <c r="C858" s="57"/>
      <c r="D858" s="57"/>
      <c r="E858" s="57"/>
      <c r="F858" s="57"/>
      <c r="G858" s="57"/>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57"/>
      <c r="C859" s="57"/>
      <c r="D859" s="57"/>
      <c r="E859" s="57"/>
      <c r="F859" s="57"/>
      <c r="G859" s="57"/>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57"/>
      <c r="C860" s="57"/>
      <c r="D860" s="57"/>
      <c r="E860" s="57"/>
      <c r="F860" s="57"/>
      <c r="G860" s="57"/>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57"/>
      <c r="C861" s="57"/>
      <c r="D861" s="57"/>
      <c r="E861" s="57"/>
      <c r="F861" s="57"/>
      <c r="G861" s="57"/>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57"/>
      <c r="C862" s="57"/>
      <c r="D862" s="57"/>
      <c r="E862" s="57"/>
      <c r="F862" s="57"/>
      <c r="G862" s="57"/>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57"/>
      <c r="C863" s="57"/>
      <c r="D863" s="57"/>
      <c r="E863" s="57"/>
      <c r="F863" s="57"/>
      <c r="G863" s="57"/>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57"/>
      <c r="C864" s="57"/>
      <c r="D864" s="57"/>
      <c r="E864" s="57"/>
      <c r="F864" s="57"/>
      <c r="G864" s="57"/>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57"/>
      <c r="C865" s="57"/>
      <c r="D865" s="57"/>
      <c r="E865" s="57"/>
      <c r="F865" s="57"/>
      <c r="G865" s="57"/>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57"/>
      <c r="C866" s="57"/>
      <c r="D866" s="57"/>
      <c r="E866" s="57"/>
      <c r="F866" s="57"/>
      <c r="G866" s="57"/>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57"/>
      <c r="C867" s="57"/>
      <c r="D867" s="57"/>
      <c r="E867" s="57"/>
      <c r="F867" s="57"/>
      <c r="G867" s="57"/>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57"/>
      <c r="C868" s="57"/>
      <c r="D868" s="57"/>
      <c r="E868" s="57"/>
      <c r="F868" s="57"/>
      <c r="G868" s="57"/>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57"/>
      <c r="C869" s="57"/>
      <c r="D869" s="57"/>
      <c r="E869" s="57"/>
      <c r="F869" s="57"/>
      <c r="G869" s="57"/>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57"/>
      <c r="C870" s="57"/>
      <c r="D870" s="57"/>
      <c r="E870" s="57"/>
      <c r="F870" s="57"/>
      <c r="G870" s="57"/>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57"/>
      <c r="C871" s="57"/>
      <c r="D871" s="57"/>
      <c r="E871" s="57"/>
      <c r="F871" s="57"/>
      <c r="G871" s="57"/>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57"/>
      <c r="C872" s="57"/>
      <c r="D872" s="57"/>
      <c r="E872" s="57"/>
      <c r="F872" s="57"/>
      <c r="G872" s="57"/>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57"/>
      <c r="C873" s="57"/>
      <c r="D873" s="57"/>
      <c r="E873" s="57"/>
      <c r="F873" s="57"/>
      <c r="G873" s="57"/>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57"/>
      <c r="C874" s="57"/>
      <c r="D874" s="57"/>
      <c r="E874" s="57"/>
      <c r="F874" s="57"/>
      <c r="G874" s="57"/>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57"/>
      <c r="C875" s="57"/>
      <c r="D875" s="57"/>
      <c r="E875" s="57"/>
      <c r="F875" s="57"/>
      <c r="G875" s="57"/>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57"/>
      <c r="C876" s="57"/>
      <c r="D876" s="57"/>
      <c r="E876" s="57"/>
      <c r="F876" s="57"/>
      <c r="G876" s="57"/>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57"/>
      <c r="C877" s="57"/>
      <c r="D877" s="57"/>
      <c r="E877" s="57"/>
      <c r="F877" s="57"/>
      <c r="G877" s="57"/>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57"/>
      <c r="C878" s="57"/>
      <c r="D878" s="57"/>
      <c r="E878" s="57"/>
      <c r="F878" s="57"/>
      <c r="G878" s="57"/>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57"/>
      <c r="C879" s="57"/>
      <c r="D879" s="57"/>
      <c r="E879" s="57"/>
      <c r="F879" s="57"/>
      <c r="G879" s="57"/>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57"/>
      <c r="C880" s="57"/>
      <c r="D880" s="57"/>
      <c r="E880" s="57"/>
      <c r="F880" s="57"/>
      <c r="G880" s="57"/>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57"/>
      <c r="C881" s="57"/>
      <c r="D881" s="57"/>
      <c r="E881" s="57"/>
      <c r="F881" s="57"/>
      <c r="G881" s="57"/>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57"/>
      <c r="C882" s="57"/>
      <c r="D882" s="57"/>
      <c r="E882" s="57"/>
      <c r="F882" s="57"/>
      <c r="G882" s="57"/>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57"/>
      <c r="C883" s="57"/>
      <c r="D883" s="57"/>
      <c r="E883" s="57"/>
      <c r="F883" s="57"/>
      <c r="G883" s="57"/>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57"/>
      <c r="C884" s="57"/>
      <c r="D884" s="57"/>
      <c r="E884" s="57"/>
      <c r="F884" s="57"/>
      <c r="G884" s="57"/>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57"/>
      <c r="C885" s="57"/>
      <c r="D885" s="57"/>
      <c r="E885" s="57"/>
      <c r="F885" s="57"/>
      <c r="G885" s="57"/>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57"/>
      <c r="C886" s="57"/>
      <c r="D886" s="57"/>
      <c r="E886" s="57"/>
      <c r="F886" s="57"/>
      <c r="G886" s="57"/>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57"/>
      <c r="C887" s="57"/>
      <c r="D887" s="57"/>
      <c r="E887" s="57"/>
      <c r="F887" s="57"/>
      <c r="G887" s="57"/>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57"/>
      <c r="C888" s="57"/>
      <c r="D888" s="57"/>
      <c r="E888" s="57"/>
      <c r="F888" s="57"/>
      <c r="G888" s="57"/>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57"/>
      <c r="C889" s="57"/>
      <c r="D889" s="57"/>
      <c r="E889" s="57"/>
      <c r="F889" s="57"/>
      <c r="G889" s="57"/>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57"/>
      <c r="C890" s="57"/>
      <c r="D890" s="57"/>
      <c r="E890" s="57"/>
      <c r="F890" s="57"/>
      <c r="G890" s="57"/>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57"/>
      <c r="C891" s="57"/>
      <c r="D891" s="57"/>
      <c r="E891" s="57"/>
      <c r="F891" s="57"/>
      <c r="G891" s="57"/>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57"/>
      <c r="C892" s="57"/>
      <c r="D892" s="57"/>
      <c r="E892" s="57"/>
      <c r="F892" s="57"/>
      <c r="G892" s="57"/>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57"/>
      <c r="C893" s="57"/>
      <c r="D893" s="57"/>
      <c r="E893" s="57"/>
      <c r="F893" s="57"/>
      <c r="G893" s="57"/>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57"/>
      <c r="C894" s="57"/>
      <c r="D894" s="57"/>
      <c r="E894" s="57"/>
      <c r="F894" s="57"/>
      <c r="G894" s="57"/>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57"/>
      <c r="C895" s="57"/>
      <c r="D895" s="57"/>
      <c r="E895" s="57"/>
      <c r="F895" s="57"/>
      <c r="G895" s="57"/>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57"/>
      <c r="C896" s="57"/>
      <c r="D896" s="57"/>
      <c r="E896" s="57"/>
      <c r="F896" s="57"/>
      <c r="G896" s="57"/>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57"/>
      <c r="C897" s="57"/>
      <c r="D897" s="57"/>
      <c r="E897" s="57"/>
      <c r="F897" s="57"/>
      <c r="G897" s="57"/>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57"/>
      <c r="C898" s="57"/>
      <c r="D898" s="57"/>
      <c r="E898" s="57"/>
      <c r="F898" s="57"/>
      <c r="G898" s="57"/>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57"/>
      <c r="C899" s="57"/>
      <c r="D899" s="57"/>
      <c r="E899" s="57"/>
      <c r="F899" s="57"/>
      <c r="G899" s="57"/>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57"/>
      <c r="C900" s="57"/>
      <c r="D900" s="57"/>
      <c r="E900" s="57"/>
      <c r="F900" s="57"/>
      <c r="G900" s="57"/>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57"/>
      <c r="C901" s="57"/>
      <c r="D901" s="57"/>
      <c r="E901" s="57"/>
      <c r="F901" s="57"/>
      <c r="G901" s="57"/>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57"/>
      <c r="C902" s="57"/>
      <c r="D902" s="57"/>
      <c r="E902" s="57"/>
      <c r="F902" s="57"/>
      <c r="G902" s="57"/>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57"/>
      <c r="C903" s="57"/>
      <c r="D903" s="57"/>
      <c r="E903" s="57"/>
      <c r="F903" s="57"/>
      <c r="G903" s="57"/>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57"/>
      <c r="C904" s="57"/>
      <c r="D904" s="57"/>
      <c r="E904" s="57"/>
      <c r="F904" s="57"/>
      <c r="G904" s="57"/>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57"/>
      <c r="C905" s="57"/>
      <c r="D905" s="57"/>
      <c r="E905" s="57"/>
      <c r="F905" s="57"/>
      <c r="G905" s="57"/>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57"/>
      <c r="C906" s="57"/>
      <c r="D906" s="57"/>
      <c r="E906" s="57"/>
      <c r="F906" s="57"/>
      <c r="G906" s="57"/>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57"/>
      <c r="C907" s="57"/>
      <c r="D907" s="57"/>
      <c r="E907" s="57"/>
      <c r="F907" s="57"/>
      <c r="G907" s="57"/>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57"/>
      <c r="C908" s="57"/>
      <c r="D908" s="57"/>
      <c r="E908" s="57"/>
      <c r="F908" s="57"/>
      <c r="G908" s="57"/>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57"/>
      <c r="C909" s="57"/>
      <c r="D909" s="57"/>
      <c r="E909" s="57"/>
      <c r="F909" s="57"/>
      <c r="G909" s="57"/>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57"/>
      <c r="C910" s="57"/>
      <c r="D910" s="57"/>
      <c r="E910" s="57"/>
      <c r="F910" s="57"/>
      <c r="G910" s="57"/>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57"/>
      <c r="C911" s="57"/>
      <c r="D911" s="57"/>
      <c r="E911" s="57"/>
      <c r="F911" s="57"/>
      <c r="G911" s="57"/>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57"/>
      <c r="C912" s="57"/>
      <c r="D912" s="57"/>
      <c r="E912" s="57"/>
      <c r="F912" s="57"/>
      <c r="G912" s="57"/>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57"/>
      <c r="C913" s="57"/>
      <c r="D913" s="57"/>
      <c r="E913" s="57"/>
      <c r="F913" s="57"/>
      <c r="G913" s="57"/>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57"/>
      <c r="C914" s="57"/>
      <c r="D914" s="57"/>
      <c r="E914" s="57"/>
      <c r="F914" s="57"/>
      <c r="G914" s="57"/>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57"/>
      <c r="C915" s="57"/>
      <c r="D915" s="57"/>
      <c r="E915" s="57"/>
      <c r="F915" s="57"/>
      <c r="G915" s="57"/>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57"/>
      <c r="C916" s="57"/>
      <c r="D916" s="57"/>
      <c r="E916" s="57"/>
      <c r="F916" s="57"/>
      <c r="G916" s="57"/>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57"/>
      <c r="C917" s="57"/>
      <c r="D917" s="57"/>
      <c r="E917" s="57"/>
      <c r="F917" s="57"/>
      <c r="G917" s="57"/>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57"/>
      <c r="C918" s="57"/>
      <c r="D918" s="57"/>
      <c r="E918" s="57"/>
      <c r="F918" s="57"/>
      <c r="G918" s="57"/>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57"/>
      <c r="C919" s="57"/>
      <c r="D919" s="57"/>
      <c r="E919" s="57"/>
      <c r="F919" s="57"/>
      <c r="G919" s="57"/>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57"/>
      <c r="C920" s="57"/>
      <c r="D920" s="57"/>
      <c r="E920" s="57"/>
      <c r="F920" s="57"/>
      <c r="G920" s="57"/>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57"/>
      <c r="C921" s="57"/>
      <c r="D921" s="57"/>
      <c r="E921" s="57"/>
      <c r="F921" s="57"/>
      <c r="G921" s="57"/>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57"/>
      <c r="C922" s="57"/>
      <c r="D922" s="57"/>
      <c r="E922" s="57"/>
      <c r="F922" s="57"/>
      <c r="G922" s="57"/>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57"/>
      <c r="C923" s="57"/>
      <c r="D923" s="57"/>
      <c r="E923" s="57"/>
      <c r="F923" s="57"/>
      <c r="G923" s="57"/>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57"/>
      <c r="C924" s="57"/>
      <c r="D924" s="57"/>
      <c r="E924" s="57"/>
      <c r="F924" s="57"/>
      <c r="G924" s="57"/>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57"/>
      <c r="C925" s="57"/>
      <c r="D925" s="57"/>
      <c r="E925" s="57"/>
      <c r="F925" s="57"/>
      <c r="G925" s="57"/>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57"/>
      <c r="C926" s="57"/>
      <c r="D926" s="57"/>
      <c r="E926" s="57"/>
      <c r="F926" s="57"/>
      <c r="G926" s="57"/>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57"/>
      <c r="C927" s="57"/>
      <c r="D927" s="57"/>
      <c r="E927" s="57"/>
      <c r="F927" s="57"/>
      <c r="G927" s="57"/>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57"/>
      <c r="C928" s="57"/>
      <c r="D928" s="57"/>
      <c r="E928" s="57"/>
      <c r="F928" s="57"/>
      <c r="G928" s="57"/>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57"/>
      <c r="C929" s="57"/>
      <c r="D929" s="57"/>
      <c r="E929" s="57"/>
      <c r="F929" s="57"/>
      <c r="G929" s="57"/>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57"/>
      <c r="C930" s="57"/>
      <c r="D930" s="57"/>
      <c r="E930" s="57"/>
      <c r="F930" s="57"/>
      <c r="G930" s="57"/>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57"/>
      <c r="C931" s="57"/>
      <c r="D931" s="57"/>
      <c r="E931" s="57"/>
      <c r="F931" s="57"/>
      <c r="G931" s="57"/>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57"/>
      <c r="C932" s="57"/>
      <c r="D932" s="57"/>
      <c r="E932" s="57"/>
      <c r="F932" s="57"/>
      <c r="G932" s="57"/>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57"/>
      <c r="C933" s="57"/>
      <c r="D933" s="57"/>
      <c r="E933" s="57"/>
      <c r="F933" s="57"/>
      <c r="G933" s="57"/>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57"/>
      <c r="C934" s="57"/>
      <c r="D934" s="57"/>
      <c r="E934" s="57"/>
      <c r="F934" s="57"/>
      <c r="G934" s="57"/>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57"/>
      <c r="C935" s="57"/>
      <c r="D935" s="57"/>
      <c r="E935" s="57"/>
      <c r="F935" s="57"/>
      <c r="G935" s="57"/>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57"/>
      <c r="C936" s="57"/>
      <c r="D936" s="57"/>
      <c r="E936" s="57"/>
      <c r="F936" s="57"/>
      <c r="G936" s="57"/>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57"/>
      <c r="C937" s="57"/>
      <c r="D937" s="57"/>
      <c r="E937" s="57"/>
      <c r="F937" s="57"/>
      <c r="G937" s="57"/>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57"/>
      <c r="C938" s="57"/>
      <c r="D938" s="57"/>
      <c r="E938" s="57"/>
      <c r="F938" s="57"/>
      <c r="G938" s="57"/>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57"/>
      <c r="C939" s="57"/>
      <c r="D939" s="57"/>
      <c r="E939" s="57"/>
      <c r="F939" s="57"/>
      <c r="G939" s="57"/>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57"/>
      <c r="C940" s="57"/>
      <c r="D940" s="57"/>
      <c r="E940" s="57"/>
      <c r="F940" s="57"/>
      <c r="G940" s="57"/>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57"/>
      <c r="C941" s="57"/>
      <c r="D941" s="57"/>
      <c r="E941" s="57"/>
      <c r="F941" s="57"/>
      <c r="G941" s="57"/>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57"/>
      <c r="C942" s="57"/>
      <c r="D942" s="57"/>
      <c r="E942" s="57"/>
      <c r="F942" s="57"/>
      <c r="G942" s="57"/>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57"/>
      <c r="C943" s="57"/>
      <c r="D943" s="57"/>
      <c r="E943" s="57"/>
      <c r="F943" s="57"/>
      <c r="G943" s="57"/>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57"/>
      <c r="C944" s="57"/>
      <c r="D944" s="57"/>
      <c r="E944" s="57"/>
      <c r="F944" s="57"/>
      <c r="G944" s="57"/>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57"/>
      <c r="C945" s="57"/>
      <c r="D945" s="57"/>
      <c r="E945" s="57"/>
      <c r="F945" s="57"/>
      <c r="G945" s="57"/>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57"/>
      <c r="C946" s="57"/>
      <c r="D946" s="57"/>
      <c r="E946" s="57"/>
      <c r="F946" s="57"/>
      <c r="G946" s="57"/>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57"/>
      <c r="C947" s="57"/>
      <c r="D947" s="57"/>
      <c r="E947" s="57"/>
      <c r="F947" s="57"/>
      <c r="G947" s="57"/>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57"/>
      <c r="C948" s="57"/>
      <c r="D948" s="57"/>
      <c r="E948" s="57"/>
      <c r="F948" s="57"/>
      <c r="G948" s="57"/>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57"/>
      <c r="C949" s="57"/>
      <c r="D949" s="57"/>
      <c r="E949" s="57"/>
      <c r="F949" s="57"/>
      <c r="G949" s="57"/>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57"/>
      <c r="C950" s="57"/>
      <c r="D950" s="57"/>
      <c r="E950" s="57"/>
      <c r="F950" s="57"/>
      <c r="G950" s="57"/>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57"/>
      <c r="C951" s="57"/>
      <c r="D951" s="57"/>
      <c r="E951" s="57"/>
      <c r="F951" s="57"/>
      <c r="G951" s="57"/>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57"/>
      <c r="C952" s="57"/>
      <c r="D952" s="57"/>
      <c r="E952" s="57"/>
      <c r="F952" s="57"/>
      <c r="G952" s="57"/>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57"/>
      <c r="C953" s="57"/>
      <c r="D953" s="57"/>
      <c r="E953" s="57"/>
      <c r="F953" s="57"/>
      <c r="G953" s="57"/>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57"/>
      <c r="C954" s="57"/>
      <c r="D954" s="57"/>
      <c r="E954" s="57"/>
      <c r="F954" s="57"/>
      <c r="G954" s="57"/>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57"/>
      <c r="C955" s="57"/>
      <c r="D955" s="57"/>
      <c r="E955" s="57"/>
      <c r="F955" s="57"/>
      <c r="G955" s="57"/>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57"/>
      <c r="C956" s="57"/>
      <c r="D956" s="57"/>
      <c r="E956" s="57"/>
      <c r="F956" s="57"/>
      <c r="G956" s="57"/>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57"/>
      <c r="C957" s="57"/>
      <c r="D957" s="57"/>
      <c r="E957" s="57"/>
      <c r="F957" s="57"/>
      <c r="G957" s="57"/>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57"/>
      <c r="C958" s="57"/>
      <c r="D958" s="57"/>
      <c r="E958" s="57"/>
      <c r="F958" s="57"/>
      <c r="G958" s="57"/>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57"/>
      <c r="C959" s="57"/>
      <c r="D959" s="57"/>
      <c r="E959" s="57"/>
      <c r="F959" s="57"/>
      <c r="G959" s="57"/>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57"/>
      <c r="C960" s="57"/>
      <c r="D960" s="57"/>
      <c r="E960" s="57"/>
      <c r="F960" s="57"/>
      <c r="G960" s="57"/>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57"/>
      <c r="C961" s="57"/>
      <c r="D961" s="57"/>
      <c r="E961" s="57"/>
      <c r="F961" s="57"/>
      <c r="G961" s="57"/>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57"/>
      <c r="C962" s="57"/>
      <c r="D962" s="57"/>
      <c r="E962" s="57"/>
      <c r="F962" s="57"/>
      <c r="G962" s="57"/>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57"/>
      <c r="C963" s="57"/>
      <c r="D963" s="57"/>
      <c r="E963" s="57"/>
      <c r="F963" s="57"/>
      <c r="G963" s="57"/>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57"/>
      <c r="C964" s="57"/>
      <c r="D964" s="57"/>
      <c r="E964" s="57"/>
      <c r="F964" s="57"/>
      <c r="G964" s="57"/>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57"/>
      <c r="C965" s="57"/>
      <c r="D965" s="57"/>
      <c r="E965" s="57"/>
      <c r="F965" s="57"/>
      <c r="G965" s="57"/>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57"/>
      <c r="C966" s="57"/>
      <c r="D966" s="57"/>
      <c r="E966" s="57"/>
      <c r="F966" s="57"/>
      <c r="G966" s="57"/>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57"/>
      <c r="C967" s="57"/>
      <c r="D967" s="57"/>
      <c r="E967" s="57"/>
      <c r="F967" s="57"/>
      <c r="G967" s="57"/>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57"/>
      <c r="C968" s="57"/>
      <c r="D968" s="57"/>
      <c r="E968" s="57"/>
      <c r="F968" s="57"/>
      <c r="G968" s="57"/>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57"/>
      <c r="C969" s="57"/>
      <c r="D969" s="57"/>
      <c r="E969" s="57"/>
      <c r="F969" s="57"/>
      <c r="G969" s="57"/>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57"/>
      <c r="C970" s="57"/>
      <c r="D970" s="57"/>
      <c r="E970" s="57"/>
      <c r="F970" s="57"/>
      <c r="G970" s="57"/>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57"/>
      <c r="C971" s="57"/>
      <c r="D971" s="57"/>
      <c r="E971" s="57"/>
      <c r="F971" s="57"/>
      <c r="G971" s="57"/>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57"/>
      <c r="C972" s="57"/>
      <c r="D972" s="57"/>
      <c r="E972" s="57"/>
      <c r="F972" s="57"/>
      <c r="G972" s="57"/>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57"/>
      <c r="C973" s="57"/>
      <c r="D973" s="57"/>
      <c r="E973" s="57"/>
      <c r="F973" s="57"/>
      <c r="G973" s="57"/>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57"/>
      <c r="C974" s="57"/>
      <c r="D974" s="57"/>
      <c r="E974" s="57"/>
      <c r="F974" s="57"/>
      <c r="G974" s="57"/>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57"/>
      <c r="C975" s="57"/>
      <c r="D975" s="57"/>
      <c r="E975" s="57"/>
      <c r="F975" s="57"/>
      <c r="G975" s="57"/>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57"/>
      <c r="C976" s="57"/>
      <c r="D976" s="57"/>
      <c r="E976" s="57"/>
      <c r="F976" s="57"/>
      <c r="G976" s="57"/>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57"/>
      <c r="C977" s="57"/>
      <c r="D977" s="57"/>
      <c r="E977" s="57"/>
      <c r="F977" s="57"/>
      <c r="G977" s="57"/>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57"/>
      <c r="C978" s="57"/>
      <c r="D978" s="57"/>
      <c r="E978" s="57"/>
      <c r="F978" s="57"/>
      <c r="G978" s="57"/>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57"/>
      <c r="C979" s="57"/>
      <c r="D979" s="57"/>
      <c r="E979" s="57"/>
      <c r="F979" s="57"/>
      <c r="G979" s="57"/>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57"/>
      <c r="C980" s="57"/>
      <c r="D980" s="57"/>
      <c r="E980" s="57"/>
      <c r="F980" s="57"/>
      <c r="G980" s="57"/>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57"/>
      <c r="C981" s="57"/>
      <c r="D981" s="57"/>
      <c r="E981" s="57"/>
      <c r="F981" s="57"/>
      <c r="G981" s="57"/>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57"/>
      <c r="C982" s="57"/>
      <c r="D982" s="57"/>
      <c r="E982" s="57"/>
      <c r="F982" s="57"/>
      <c r="G982" s="57"/>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57"/>
      <c r="C983" s="57"/>
      <c r="D983" s="57"/>
      <c r="E983" s="57"/>
      <c r="F983" s="57"/>
      <c r="G983" s="57"/>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57"/>
      <c r="C984" s="57"/>
      <c r="D984" s="57"/>
      <c r="E984" s="57"/>
      <c r="F984" s="57"/>
      <c r="G984" s="57"/>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57"/>
      <c r="C985" s="57"/>
      <c r="D985" s="57"/>
      <c r="E985" s="57"/>
      <c r="F985" s="57"/>
      <c r="G985" s="57"/>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57"/>
      <c r="C986" s="57"/>
      <c r="D986" s="57"/>
      <c r="E986" s="57"/>
      <c r="F986" s="57"/>
      <c r="G986" s="57"/>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57"/>
      <c r="C987" s="57"/>
      <c r="D987" s="57"/>
      <c r="E987" s="57"/>
      <c r="F987" s="57"/>
      <c r="G987" s="57"/>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57"/>
      <c r="C988" s="57"/>
      <c r="D988" s="57"/>
      <c r="E988" s="57"/>
      <c r="F988" s="57"/>
      <c r="G988" s="57"/>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57"/>
      <c r="C989" s="57"/>
      <c r="D989" s="57"/>
      <c r="E989" s="57"/>
      <c r="F989" s="57"/>
      <c r="G989" s="57"/>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57"/>
      <c r="C990" s="57"/>
      <c r="D990" s="57"/>
      <c r="E990" s="57"/>
      <c r="F990" s="57"/>
      <c r="G990" s="57"/>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57"/>
      <c r="C991" s="57"/>
      <c r="D991" s="57"/>
      <c r="E991" s="57"/>
      <c r="F991" s="57"/>
      <c r="G991" s="57"/>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57"/>
      <c r="C992" s="57"/>
      <c r="D992" s="57"/>
      <c r="E992" s="57"/>
      <c r="F992" s="57"/>
      <c r="G992" s="57"/>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57"/>
      <c r="C993" s="57"/>
      <c r="D993" s="57"/>
      <c r="E993" s="57"/>
      <c r="F993" s="57"/>
      <c r="G993" s="57"/>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57"/>
      <c r="C994" s="57"/>
      <c r="D994" s="57"/>
      <c r="E994" s="57"/>
      <c r="F994" s="57"/>
      <c r="G994" s="57"/>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57"/>
      <c r="C995" s="57"/>
      <c r="D995" s="57"/>
      <c r="E995" s="57"/>
      <c r="F995" s="57"/>
      <c r="G995" s="57"/>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57"/>
      <c r="C996" s="57"/>
      <c r="D996" s="57"/>
      <c r="E996" s="57"/>
      <c r="F996" s="57"/>
      <c r="G996" s="57"/>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57"/>
      <c r="C997" s="57"/>
      <c r="D997" s="57"/>
      <c r="E997" s="57"/>
      <c r="F997" s="57"/>
      <c r="G997" s="57"/>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57"/>
      <c r="C998" s="57"/>
      <c r="D998" s="57"/>
      <c r="E998" s="57"/>
      <c r="F998" s="57"/>
      <c r="G998" s="57"/>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57"/>
      <c r="C999" s="57"/>
      <c r="D999" s="57"/>
      <c r="E999" s="57"/>
      <c r="F999" s="57"/>
      <c r="G999" s="57"/>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57"/>
      <c r="C1000" s="57"/>
      <c r="D1000" s="57"/>
      <c r="E1000" s="57"/>
      <c r="F1000" s="57"/>
      <c r="G1000" s="57"/>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3:B21">
    <cfRule type="containsBlanks" dxfId="51" priority="1">
      <formula>LEN(TRIM(B3))=0</formula>
    </cfRule>
  </conditionalFormatting>
  <conditionalFormatting sqref="B3:C21">
    <cfRule type="containsBlanks" dxfId="50" priority="2">
      <formula>LEN(TRIM(B3))=0</formula>
    </cfRule>
  </conditionalFormatting>
  <conditionalFormatting sqref="D3:D21">
    <cfRule type="containsBlanks" dxfId="49" priority="3">
      <formula>LEN(TRIM(D3))=0</formula>
    </cfRule>
  </conditionalFormatting>
  <conditionalFormatting sqref="D3:E21">
    <cfRule type="containsBlanks" dxfId="48" priority="4">
      <formula>LEN(TRIM(D3))=0</formula>
    </cfRule>
  </conditionalFormatting>
  <conditionalFormatting sqref="F3:G21">
    <cfRule type="containsBlanks" dxfId="47" priority="5">
      <formula>LEN(TRIM(F3))=0</formula>
    </cfRule>
    <cfRule type="containsBlanks" dxfId="46" priority="6">
      <formula>LEN(TRIM(F3))=0</formula>
    </cfRule>
  </conditionalFormatting>
  <dataValidations count="1">
    <dataValidation type="list" allowBlank="1" showErrorMessage="1" sqref="G3:G47" xr:uid="{00000000-0002-0000-0E00-000001000000}">
      <formula1>"Celsius,Fahrenheit"</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E00-000000000000}">
          <x14:formula1>
            <xm:f>HVAC_options!$L$3:$L$14</xm:f>
          </x14:formula1>
          <xm:sqref>B3:B46</xm:sqref>
        </x14:dataValidation>
        <x14:dataValidation type="list" allowBlank="1" showErrorMessage="1" xr:uid="{00000000-0002-0000-0E00-000002000000}">
          <x14:formula1>
            <xm:f>Year_schedules!$A$3:$A$42</xm:f>
          </x14:formula1>
          <xm:sqref>D3:D21 F3:F21</xm:sqref>
        </x14:dataValidation>
        <x14:dataValidation type="list" allowBlank="1" showErrorMessage="1" xr:uid="{00000000-0002-0000-0E00-000003000000}">
          <x14:formula1>
            <xm:f>Schedule_choices!$E$3:$E$41</xm:f>
          </x14:formula1>
          <xm:sqref>D22:D55 F22:F55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Z1000"/>
  <sheetViews>
    <sheetView workbookViewId="0">
      <selection activeCell="B17" sqref="B17"/>
    </sheetView>
  </sheetViews>
  <sheetFormatPr baseColWidth="10" defaultColWidth="11.28515625" defaultRowHeight="15" customHeight="1"/>
  <cols>
    <col min="1" max="1" width="43.85546875" customWidth="1"/>
    <col min="2" max="3" width="28.140625" customWidth="1"/>
    <col min="4" max="4" width="19.42578125" customWidth="1"/>
    <col min="5" max="5" width="8.85546875" customWidth="1"/>
    <col min="6" max="6" width="47.7109375" customWidth="1"/>
    <col min="7" max="26" width="8.85546875" customWidth="1"/>
  </cols>
  <sheetData>
    <row r="1" spans="1:26" ht="17.25" customHeight="1">
      <c r="A1" s="48" t="s">
        <v>4814</v>
      </c>
      <c r="B1" s="84"/>
      <c r="C1" s="84"/>
      <c r="D1" s="87"/>
      <c r="E1" s="88"/>
      <c r="F1" s="58"/>
      <c r="G1" s="58"/>
      <c r="H1" s="58"/>
      <c r="I1" s="58"/>
      <c r="J1" s="58"/>
      <c r="K1" s="31"/>
      <c r="L1" s="20"/>
      <c r="M1" s="20"/>
      <c r="N1" s="20"/>
      <c r="O1" s="20"/>
      <c r="P1" s="20"/>
      <c r="Q1" s="20"/>
      <c r="R1" s="20"/>
      <c r="S1" s="20"/>
      <c r="T1" s="20"/>
      <c r="U1" s="20"/>
      <c r="V1" s="20"/>
      <c r="W1" s="20"/>
      <c r="X1" s="20"/>
      <c r="Y1" s="20"/>
      <c r="Z1" s="20"/>
    </row>
    <row r="2" spans="1:26" ht="17.25" customHeight="1">
      <c r="A2" s="41" t="s">
        <v>4832</v>
      </c>
      <c r="B2" s="44" t="s">
        <v>5011</v>
      </c>
      <c r="C2" s="44" t="s">
        <v>5012</v>
      </c>
      <c r="D2" s="74" t="s">
        <v>5013</v>
      </c>
      <c r="E2" s="54" t="s">
        <v>4836</v>
      </c>
      <c r="F2" s="89"/>
      <c r="G2" s="58"/>
      <c r="H2" s="58"/>
      <c r="I2" s="58"/>
      <c r="J2" s="58"/>
      <c r="K2" s="31"/>
      <c r="L2" s="20"/>
      <c r="M2" s="20"/>
      <c r="N2" s="20"/>
      <c r="O2" s="20"/>
      <c r="P2" s="20"/>
      <c r="Q2" s="20"/>
      <c r="R2" s="20"/>
      <c r="S2" s="20"/>
      <c r="T2" s="20"/>
      <c r="U2" s="20"/>
      <c r="V2" s="20"/>
      <c r="W2" s="20"/>
      <c r="X2" s="20"/>
      <c r="Y2" s="20"/>
      <c r="Z2" s="20"/>
    </row>
    <row r="3" spans="1:26" ht="17.25" customHeight="1">
      <c r="A3" s="15" t="s">
        <v>4837</v>
      </c>
      <c r="B3" s="15">
        <v>5.3999999999999999E-2</v>
      </c>
      <c r="C3" s="15" t="s">
        <v>5014</v>
      </c>
      <c r="D3" s="37" t="s">
        <v>5015</v>
      </c>
      <c r="E3" s="56" t="s">
        <v>4840</v>
      </c>
      <c r="F3" s="58"/>
      <c r="G3" s="58"/>
      <c r="H3" s="58"/>
      <c r="I3" s="58"/>
      <c r="J3" s="58"/>
      <c r="K3" s="31"/>
      <c r="L3" s="20"/>
      <c r="M3" s="20"/>
      <c r="N3" s="20"/>
      <c r="O3" s="20"/>
      <c r="P3" s="20"/>
      <c r="Q3" s="20"/>
      <c r="R3" s="20"/>
      <c r="S3" s="20"/>
      <c r="T3" s="20"/>
      <c r="U3" s="20"/>
      <c r="V3" s="20"/>
      <c r="W3" s="20"/>
      <c r="X3" s="20"/>
      <c r="Y3" s="20"/>
      <c r="Z3" s="20"/>
    </row>
    <row r="4" spans="1:26" ht="17.25" customHeight="1">
      <c r="A4" s="15" t="s">
        <v>4841</v>
      </c>
      <c r="B4" s="15">
        <v>5.3999999999999999E-2</v>
      </c>
      <c r="C4" s="15" t="s">
        <v>5016</v>
      </c>
      <c r="D4" s="37" t="s">
        <v>5015</v>
      </c>
      <c r="E4" s="56" t="s">
        <v>4840</v>
      </c>
      <c r="F4" s="58"/>
      <c r="G4" s="58"/>
      <c r="H4" s="58"/>
      <c r="I4" s="58"/>
      <c r="J4" s="58"/>
      <c r="K4" s="31"/>
      <c r="L4" s="20"/>
      <c r="M4" s="20"/>
      <c r="N4" s="20"/>
      <c r="O4" s="20"/>
      <c r="P4" s="20"/>
      <c r="Q4" s="20"/>
      <c r="R4" s="20"/>
      <c r="S4" s="20"/>
      <c r="T4" s="20"/>
      <c r="U4" s="20"/>
      <c r="V4" s="20"/>
      <c r="W4" s="20"/>
      <c r="X4" s="20"/>
      <c r="Y4" s="20"/>
      <c r="Z4" s="20"/>
    </row>
    <row r="5" spans="1:26" ht="17.25" customHeight="1">
      <c r="A5" s="15" t="s">
        <v>4842</v>
      </c>
      <c r="B5" s="15">
        <v>5.3999999999999999E-2</v>
      </c>
      <c r="C5" s="15" t="s">
        <v>5017</v>
      </c>
      <c r="D5" s="37" t="s">
        <v>5015</v>
      </c>
      <c r="E5" s="56" t="s">
        <v>4840</v>
      </c>
      <c r="F5" s="58"/>
      <c r="G5" s="58"/>
      <c r="H5" s="58"/>
      <c r="I5" s="58"/>
      <c r="J5" s="58"/>
      <c r="K5" s="31"/>
      <c r="L5" s="20"/>
      <c r="M5" s="20"/>
      <c r="N5" s="20"/>
      <c r="O5" s="20"/>
      <c r="P5" s="20"/>
      <c r="Q5" s="20"/>
      <c r="R5" s="20"/>
      <c r="S5" s="20"/>
      <c r="T5" s="20"/>
      <c r="U5" s="20"/>
      <c r="V5" s="20"/>
      <c r="W5" s="20"/>
      <c r="X5" s="20"/>
      <c r="Y5" s="20"/>
      <c r="Z5" s="20"/>
    </row>
    <row r="6" spans="1:26" ht="17.25" customHeight="1">
      <c r="A6" s="15" t="s">
        <v>4843</v>
      </c>
      <c r="B6" s="15">
        <v>1.0999999999999999E-2</v>
      </c>
      <c r="C6" s="15" t="s">
        <v>5018</v>
      </c>
      <c r="D6" s="37" t="s">
        <v>5015</v>
      </c>
      <c r="E6" s="56" t="s">
        <v>4840</v>
      </c>
      <c r="F6" s="58"/>
      <c r="G6" s="58"/>
      <c r="H6" s="58"/>
      <c r="I6" s="58"/>
      <c r="J6" s="58"/>
      <c r="K6" s="31"/>
      <c r="L6" s="20"/>
      <c r="M6" s="20"/>
      <c r="N6" s="20"/>
      <c r="O6" s="20"/>
      <c r="P6" s="20"/>
      <c r="Q6" s="20"/>
      <c r="R6" s="20"/>
      <c r="S6" s="20"/>
      <c r="T6" s="20"/>
      <c r="U6" s="20"/>
      <c r="V6" s="20"/>
      <c r="W6" s="20"/>
      <c r="X6" s="20"/>
      <c r="Y6" s="20"/>
      <c r="Z6" s="20"/>
    </row>
    <row r="7" spans="1:26" ht="17.25" customHeight="1">
      <c r="A7" s="15" t="s">
        <v>4845</v>
      </c>
      <c r="B7" s="15">
        <v>1.0999999999999999E-2</v>
      </c>
      <c r="C7" s="15" t="s">
        <v>5019</v>
      </c>
      <c r="D7" s="37" t="s">
        <v>5015</v>
      </c>
      <c r="E7" s="56" t="s">
        <v>4840</v>
      </c>
      <c r="F7" s="52"/>
      <c r="G7" s="52"/>
      <c r="H7" s="52"/>
      <c r="I7" s="52"/>
      <c r="J7" s="58"/>
      <c r="K7" s="31"/>
      <c r="L7" s="20"/>
      <c r="M7" s="20"/>
      <c r="N7" s="20"/>
      <c r="O7" s="20"/>
      <c r="P7" s="20"/>
      <c r="Q7" s="20"/>
      <c r="R7" s="20"/>
      <c r="S7" s="20"/>
      <c r="T7" s="20"/>
      <c r="U7" s="20"/>
      <c r="V7" s="20"/>
      <c r="W7" s="20"/>
      <c r="X7" s="20"/>
      <c r="Y7" s="20"/>
      <c r="Z7" s="20"/>
    </row>
    <row r="8" spans="1:26" ht="17.25" customHeight="1">
      <c r="A8" s="15" t="s">
        <v>4846</v>
      </c>
      <c r="B8" s="15">
        <v>1.0999999999999999E-2</v>
      </c>
      <c r="C8" s="15" t="s">
        <v>5020</v>
      </c>
      <c r="D8" s="37" t="s">
        <v>5015</v>
      </c>
      <c r="E8" s="56" t="s">
        <v>4840</v>
      </c>
      <c r="F8" s="77"/>
      <c r="G8" s="55"/>
      <c r="H8" s="77"/>
      <c r="I8" s="77"/>
      <c r="J8" s="89"/>
      <c r="K8" s="31"/>
      <c r="L8" s="20"/>
      <c r="M8" s="20"/>
      <c r="N8" s="20"/>
      <c r="O8" s="20"/>
      <c r="P8" s="20"/>
      <c r="Q8" s="20"/>
      <c r="R8" s="20"/>
      <c r="S8" s="20"/>
      <c r="T8" s="20"/>
      <c r="U8" s="20"/>
      <c r="V8" s="20"/>
      <c r="W8" s="20"/>
      <c r="X8" s="20"/>
      <c r="Y8" s="20"/>
      <c r="Z8" s="20"/>
    </row>
    <row r="9" spans="1:26" ht="17.25" customHeight="1">
      <c r="A9" s="15" t="s">
        <v>4847</v>
      </c>
      <c r="B9" s="15">
        <v>1.0999999999999999E-2</v>
      </c>
      <c r="C9" s="15" t="s">
        <v>5021</v>
      </c>
      <c r="D9" s="37" t="s">
        <v>5015</v>
      </c>
      <c r="E9" s="56" t="s">
        <v>4840</v>
      </c>
      <c r="F9" s="77"/>
      <c r="G9" s="55"/>
      <c r="H9" s="77"/>
      <c r="I9" s="77"/>
      <c r="J9" s="89"/>
      <c r="K9" s="31"/>
      <c r="L9" s="20"/>
      <c r="M9" s="20"/>
      <c r="N9" s="20"/>
      <c r="O9" s="20"/>
      <c r="P9" s="20"/>
      <c r="Q9" s="20"/>
      <c r="R9" s="20"/>
      <c r="S9" s="20"/>
      <c r="T9" s="20"/>
      <c r="U9" s="20"/>
      <c r="V9" s="20"/>
      <c r="W9" s="20"/>
      <c r="X9" s="20"/>
      <c r="Y9" s="20"/>
      <c r="Z9" s="20"/>
    </row>
    <row r="10" spans="1:26" ht="17.25" customHeight="1">
      <c r="A10" s="15" t="s">
        <v>4849</v>
      </c>
      <c r="B10" s="15">
        <v>1.0999999999999999E-2</v>
      </c>
      <c r="C10" s="15" t="s">
        <v>5022</v>
      </c>
      <c r="D10" s="37" t="s">
        <v>5015</v>
      </c>
      <c r="E10" s="56" t="s">
        <v>4840</v>
      </c>
      <c r="F10" s="77"/>
      <c r="G10" s="55"/>
      <c r="H10" s="77"/>
      <c r="I10" s="77"/>
      <c r="J10" s="89"/>
      <c r="K10" s="31"/>
      <c r="L10" s="20"/>
      <c r="M10" s="20"/>
      <c r="N10" s="20"/>
      <c r="O10" s="20"/>
      <c r="P10" s="20"/>
      <c r="Q10" s="20"/>
      <c r="R10" s="20"/>
      <c r="S10" s="20"/>
      <c r="T10" s="20"/>
      <c r="U10" s="20"/>
      <c r="V10" s="20"/>
      <c r="W10" s="20"/>
      <c r="X10" s="20"/>
      <c r="Y10" s="20"/>
      <c r="Z10" s="20"/>
    </row>
    <row r="11" spans="1:26" ht="17.25" customHeight="1">
      <c r="A11" s="15" t="s">
        <v>4850</v>
      </c>
      <c r="B11" s="15">
        <v>1.0999999999999999E-2</v>
      </c>
      <c r="C11" s="15" t="s">
        <v>5023</v>
      </c>
      <c r="D11" s="37" t="s">
        <v>5015</v>
      </c>
      <c r="E11" s="56" t="s">
        <v>4840</v>
      </c>
      <c r="F11" s="77"/>
      <c r="G11" s="55"/>
      <c r="H11" s="77"/>
      <c r="I11" s="77"/>
      <c r="J11" s="89"/>
      <c r="K11" s="31"/>
      <c r="L11" s="20"/>
      <c r="M11" s="20"/>
      <c r="N11" s="20"/>
      <c r="O11" s="20"/>
      <c r="P11" s="20"/>
      <c r="Q11" s="20"/>
      <c r="R11" s="20"/>
      <c r="S11" s="20"/>
      <c r="T11" s="20"/>
      <c r="U11" s="20"/>
      <c r="V11" s="20"/>
      <c r="W11" s="20"/>
      <c r="X11" s="20"/>
      <c r="Y11" s="20"/>
      <c r="Z11" s="20"/>
    </row>
    <row r="12" spans="1:26" ht="17.25" customHeight="1">
      <c r="A12" s="15" t="s">
        <v>4851</v>
      </c>
      <c r="B12" s="15">
        <v>4.0000000000000001E-3</v>
      </c>
      <c r="C12" s="15" t="s">
        <v>5024</v>
      </c>
      <c r="D12" s="37" t="s">
        <v>5015</v>
      </c>
      <c r="E12" s="56" t="s">
        <v>4840</v>
      </c>
      <c r="F12" s="77"/>
      <c r="G12" s="55"/>
      <c r="H12" s="77"/>
      <c r="I12" s="77"/>
      <c r="J12" s="89"/>
      <c r="K12" s="31"/>
      <c r="L12" s="20"/>
      <c r="M12" s="20"/>
      <c r="N12" s="20"/>
      <c r="O12" s="20"/>
      <c r="P12" s="20"/>
      <c r="Q12" s="20"/>
      <c r="R12" s="20"/>
      <c r="S12" s="20"/>
      <c r="T12" s="20"/>
      <c r="U12" s="20"/>
      <c r="V12" s="20"/>
      <c r="W12" s="20"/>
      <c r="X12" s="20"/>
      <c r="Y12" s="20"/>
      <c r="Z12" s="20"/>
    </row>
    <row r="13" spans="1:26" ht="17.25" customHeight="1">
      <c r="A13" s="15" t="s">
        <v>4853</v>
      </c>
      <c r="B13" s="15">
        <v>3.1E-2</v>
      </c>
      <c r="C13" s="15" t="s">
        <v>5025</v>
      </c>
      <c r="D13" s="37" t="s">
        <v>5015</v>
      </c>
      <c r="E13" s="56" t="s">
        <v>4840</v>
      </c>
      <c r="F13" s="77"/>
      <c r="G13" s="55"/>
      <c r="H13" s="77"/>
      <c r="I13" s="77"/>
      <c r="J13" s="89"/>
      <c r="K13" s="31"/>
      <c r="L13" s="20"/>
      <c r="M13" s="20"/>
      <c r="N13" s="20"/>
      <c r="O13" s="20"/>
      <c r="P13" s="20"/>
      <c r="Q13" s="20"/>
      <c r="R13" s="20"/>
      <c r="S13" s="20"/>
      <c r="T13" s="20"/>
      <c r="U13" s="20"/>
      <c r="V13" s="20"/>
      <c r="W13" s="20"/>
      <c r="X13" s="20"/>
      <c r="Y13" s="20"/>
      <c r="Z13" s="20"/>
    </row>
    <row r="14" spans="1:26" ht="17.25" customHeight="1">
      <c r="A14" s="15" t="s">
        <v>4855</v>
      </c>
      <c r="B14" s="15">
        <v>3.1E-2</v>
      </c>
      <c r="C14" s="15" t="s">
        <v>5026</v>
      </c>
      <c r="D14" s="37" t="s">
        <v>5015</v>
      </c>
      <c r="E14" s="56" t="s">
        <v>4840</v>
      </c>
      <c r="F14" s="77"/>
      <c r="G14" s="55"/>
      <c r="H14" s="55"/>
      <c r="I14" s="77"/>
      <c r="J14" s="89"/>
      <c r="K14" s="31"/>
      <c r="L14" s="20"/>
      <c r="M14" s="20"/>
      <c r="N14" s="20"/>
      <c r="O14" s="20"/>
      <c r="P14" s="20"/>
      <c r="Q14" s="20"/>
      <c r="R14" s="20"/>
      <c r="S14" s="20"/>
      <c r="T14" s="20"/>
      <c r="U14" s="20"/>
      <c r="V14" s="20"/>
      <c r="W14" s="20"/>
      <c r="X14" s="20"/>
      <c r="Y14" s="20"/>
      <c r="Z14" s="20"/>
    </row>
    <row r="15" spans="1:26" ht="17.25" customHeight="1">
      <c r="A15" s="15" t="s">
        <v>4856</v>
      </c>
      <c r="B15" s="15">
        <v>4.0000000000000001E-3</v>
      </c>
      <c r="C15" s="15" t="s">
        <v>5027</v>
      </c>
      <c r="D15" s="37" t="s">
        <v>5015</v>
      </c>
      <c r="E15" s="56" t="s">
        <v>4840</v>
      </c>
      <c r="F15" s="55"/>
      <c r="G15" s="55"/>
      <c r="H15" s="77"/>
      <c r="I15" s="77"/>
      <c r="J15" s="89"/>
      <c r="K15" s="31"/>
      <c r="L15" s="20"/>
      <c r="M15" s="20"/>
      <c r="N15" s="20"/>
      <c r="O15" s="20"/>
      <c r="P15" s="20"/>
      <c r="Q15" s="20"/>
      <c r="R15" s="20"/>
      <c r="S15" s="20"/>
      <c r="T15" s="20"/>
      <c r="U15" s="20"/>
      <c r="V15" s="20"/>
      <c r="W15" s="20"/>
      <c r="X15" s="20"/>
      <c r="Y15" s="20"/>
      <c r="Z15" s="20"/>
    </row>
    <row r="16" spans="1:26" ht="17.25" customHeight="1">
      <c r="A16" s="15" t="s">
        <v>4857</v>
      </c>
      <c r="B16" s="15">
        <v>4.0000000000000001E-3</v>
      </c>
      <c r="C16" s="15" t="s">
        <v>5028</v>
      </c>
      <c r="D16" s="37" t="s">
        <v>5015</v>
      </c>
      <c r="E16" s="56" t="s">
        <v>4840</v>
      </c>
      <c r="F16" s="55"/>
      <c r="G16" s="55"/>
      <c r="H16" s="77"/>
      <c r="I16" s="77"/>
      <c r="J16" s="89"/>
      <c r="K16" s="31"/>
      <c r="L16" s="20"/>
      <c r="M16" s="20"/>
      <c r="N16" s="20"/>
      <c r="O16" s="20"/>
      <c r="P16" s="20"/>
      <c r="Q16" s="20"/>
      <c r="R16" s="20"/>
      <c r="S16" s="20"/>
      <c r="T16" s="20"/>
      <c r="U16" s="20"/>
      <c r="V16" s="20"/>
      <c r="W16" s="20"/>
      <c r="X16" s="20"/>
      <c r="Y16" s="20"/>
      <c r="Z16" s="20"/>
    </row>
    <row r="17" spans="1:26" ht="17.25" customHeight="1">
      <c r="A17" s="15" t="s">
        <v>4858</v>
      </c>
      <c r="B17" s="15">
        <v>1.0999999999999999E-2</v>
      </c>
      <c r="C17" s="15" t="s">
        <v>5029</v>
      </c>
      <c r="D17" s="37" t="s">
        <v>5015</v>
      </c>
      <c r="E17" s="56" t="s">
        <v>4840</v>
      </c>
      <c r="F17" s="55"/>
      <c r="G17" s="55"/>
      <c r="H17" s="77"/>
      <c r="I17" s="77"/>
      <c r="J17" s="89"/>
      <c r="K17" s="31"/>
      <c r="L17" s="20"/>
      <c r="M17" s="20"/>
      <c r="N17" s="20"/>
      <c r="O17" s="20"/>
      <c r="P17" s="20"/>
      <c r="Q17" s="20"/>
      <c r="R17" s="20"/>
      <c r="S17" s="20"/>
      <c r="T17" s="20"/>
      <c r="U17" s="20"/>
      <c r="V17" s="20"/>
      <c r="W17" s="20"/>
      <c r="X17" s="20"/>
      <c r="Y17" s="20"/>
      <c r="Z17" s="20"/>
    </row>
    <row r="18" spans="1:26" ht="17.25" customHeight="1">
      <c r="A18" s="15" t="s">
        <v>4860</v>
      </c>
      <c r="B18" s="15">
        <v>0</v>
      </c>
      <c r="C18" s="15" t="s">
        <v>5030</v>
      </c>
      <c r="D18" s="37" t="s">
        <v>5015</v>
      </c>
      <c r="E18" s="56" t="s">
        <v>4840</v>
      </c>
      <c r="F18" s="55"/>
      <c r="G18" s="55"/>
      <c r="H18" s="77"/>
      <c r="I18" s="77"/>
      <c r="J18" s="89"/>
      <c r="K18" s="31"/>
      <c r="L18" s="20"/>
      <c r="M18" s="20"/>
      <c r="N18" s="20"/>
      <c r="O18" s="20"/>
      <c r="P18" s="20"/>
      <c r="Q18" s="20"/>
      <c r="R18" s="20"/>
      <c r="S18" s="20"/>
      <c r="T18" s="20"/>
      <c r="U18" s="20"/>
      <c r="V18" s="20"/>
      <c r="W18" s="20"/>
      <c r="X18" s="20"/>
      <c r="Y18" s="20"/>
      <c r="Z18" s="20"/>
    </row>
    <row r="19" spans="1:26" ht="17.25" customHeight="1">
      <c r="A19" s="15" t="s">
        <v>4861</v>
      </c>
      <c r="B19" s="15">
        <v>3.1E-2</v>
      </c>
      <c r="C19" s="15" t="s">
        <v>5031</v>
      </c>
      <c r="D19" s="37" t="s">
        <v>5015</v>
      </c>
      <c r="E19" s="56" t="s">
        <v>4840</v>
      </c>
      <c r="F19" s="55"/>
      <c r="G19" s="55"/>
      <c r="H19" s="77"/>
      <c r="I19" s="77"/>
      <c r="J19" s="89"/>
      <c r="K19" s="31"/>
      <c r="L19" s="20"/>
      <c r="M19" s="20"/>
      <c r="N19" s="20"/>
      <c r="O19" s="20"/>
      <c r="P19" s="20"/>
      <c r="Q19" s="20"/>
      <c r="R19" s="20"/>
      <c r="S19" s="20"/>
      <c r="T19" s="20"/>
      <c r="U19" s="20"/>
      <c r="V19" s="20"/>
      <c r="W19" s="20"/>
      <c r="X19" s="20"/>
      <c r="Y19" s="20"/>
      <c r="Z19" s="20"/>
    </row>
    <row r="20" spans="1:26" ht="17.25" customHeight="1">
      <c r="A20" s="15" t="s">
        <v>4863</v>
      </c>
      <c r="B20" s="15">
        <v>0</v>
      </c>
      <c r="C20" s="15" t="s">
        <v>5032</v>
      </c>
      <c r="D20" s="37" t="s">
        <v>5015</v>
      </c>
      <c r="E20" s="56" t="s">
        <v>4840</v>
      </c>
      <c r="F20" s="76"/>
      <c r="G20" s="15"/>
      <c r="H20" s="37"/>
      <c r="I20" s="37"/>
      <c r="J20" s="90"/>
      <c r="K20" s="31"/>
      <c r="L20" s="20"/>
      <c r="M20" s="20"/>
      <c r="N20" s="20"/>
      <c r="O20" s="20"/>
      <c r="P20" s="20"/>
      <c r="Q20" s="20"/>
      <c r="R20" s="20"/>
      <c r="S20" s="20"/>
      <c r="T20" s="20"/>
      <c r="U20" s="20"/>
      <c r="V20" s="20"/>
      <c r="W20" s="20"/>
      <c r="X20" s="20"/>
      <c r="Y20" s="20"/>
      <c r="Z20" s="20"/>
    </row>
    <row r="21" spans="1:26" ht="17.25" customHeight="1">
      <c r="A21" s="15" t="s">
        <v>4865</v>
      </c>
      <c r="B21" s="15">
        <v>0</v>
      </c>
      <c r="C21" s="15" t="s">
        <v>5033</v>
      </c>
      <c r="D21" s="37" t="s">
        <v>5015</v>
      </c>
      <c r="E21" s="56" t="s">
        <v>5034</v>
      </c>
      <c r="F21" s="76"/>
      <c r="G21" s="15"/>
      <c r="H21" s="37"/>
      <c r="I21" s="37"/>
      <c r="J21" s="90"/>
      <c r="K21" s="31"/>
      <c r="L21" s="20"/>
      <c r="M21" s="20"/>
      <c r="N21" s="20"/>
      <c r="O21" s="20"/>
      <c r="P21" s="20"/>
      <c r="Q21" s="20"/>
      <c r="R21" s="20"/>
      <c r="S21" s="20"/>
      <c r="T21" s="20"/>
      <c r="U21" s="20"/>
      <c r="V21" s="20"/>
      <c r="W21" s="20"/>
      <c r="X21" s="20"/>
      <c r="Y21" s="20"/>
      <c r="Z21" s="20"/>
    </row>
    <row r="22" spans="1:26" ht="17.25" customHeight="1">
      <c r="B22" s="57"/>
      <c r="C22" s="57"/>
      <c r="D22" s="57"/>
      <c r="E22" s="59"/>
      <c r="F22" s="15"/>
      <c r="G22" s="15"/>
      <c r="H22" s="37"/>
      <c r="I22" s="37"/>
      <c r="J22" s="90"/>
      <c r="K22" s="31"/>
      <c r="L22" s="20"/>
      <c r="M22" s="20"/>
      <c r="N22" s="20"/>
      <c r="O22" s="20"/>
      <c r="P22" s="20"/>
      <c r="Q22" s="20"/>
      <c r="R22" s="20"/>
      <c r="S22" s="20"/>
      <c r="T22" s="20"/>
      <c r="U22" s="20"/>
      <c r="V22" s="20"/>
      <c r="W22" s="20"/>
      <c r="X22" s="20"/>
      <c r="Y22" s="20"/>
      <c r="Z22" s="20"/>
    </row>
    <row r="23" spans="1:26" ht="17.25" customHeight="1">
      <c r="B23" s="57"/>
      <c r="C23" s="57"/>
      <c r="D23" s="57"/>
      <c r="E23" s="58"/>
      <c r="F23" s="91"/>
      <c r="G23" s="91"/>
      <c r="H23" s="91"/>
      <c r="I23" s="91"/>
      <c r="J23" s="76"/>
      <c r="K23" s="31"/>
      <c r="L23" s="20"/>
      <c r="M23" s="20"/>
      <c r="N23" s="20"/>
      <c r="O23" s="20"/>
      <c r="P23" s="20"/>
      <c r="Q23" s="20"/>
      <c r="R23" s="20"/>
      <c r="S23" s="20"/>
      <c r="T23" s="20"/>
      <c r="U23" s="20"/>
      <c r="V23" s="20"/>
      <c r="W23" s="20"/>
      <c r="X23" s="20"/>
      <c r="Y23" s="20"/>
      <c r="Z23" s="20"/>
    </row>
    <row r="24" spans="1:26" ht="17.25" customHeight="1">
      <c r="B24" s="57"/>
      <c r="C24" s="57"/>
      <c r="D24" s="57"/>
      <c r="E24" s="58"/>
      <c r="F24" s="15"/>
      <c r="K24" s="31"/>
      <c r="L24" s="20"/>
      <c r="M24" s="20"/>
      <c r="N24" s="20"/>
      <c r="O24" s="20"/>
      <c r="P24" s="20"/>
      <c r="Q24" s="20"/>
      <c r="R24" s="20"/>
      <c r="S24" s="20"/>
      <c r="T24" s="20"/>
      <c r="U24" s="20"/>
      <c r="V24" s="20"/>
      <c r="W24" s="20"/>
      <c r="X24" s="20"/>
      <c r="Y24" s="20"/>
      <c r="Z24" s="20"/>
    </row>
    <row r="25" spans="1:26" ht="17.25" customHeight="1">
      <c r="B25" s="57"/>
      <c r="C25" s="57"/>
      <c r="D25" s="57"/>
      <c r="E25" s="58"/>
      <c r="K25" s="31"/>
      <c r="L25" s="20"/>
      <c r="M25" s="20"/>
      <c r="N25" s="20"/>
      <c r="O25" s="20"/>
      <c r="P25" s="20"/>
      <c r="Q25" s="20"/>
      <c r="R25" s="20"/>
      <c r="S25" s="20"/>
      <c r="T25" s="20"/>
      <c r="U25" s="20"/>
      <c r="V25" s="20"/>
      <c r="W25" s="20"/>
      <c r="X25" s="20"/>
      <c r="Y25" s="20"/>
      <c r="Z25" s="20"/>
    </row>
    <row r="26" spans="1:26" ht="17.25" customHeight="1">
      <c r="B26" s="57"/>
      <c r="C26" s="57"/>
      <c r="D26" s="57"/>
      <c r="E26" s="58"/>
      <c r="F26" s="76"/>
      <c r="G26" s="76"/>
      <c r="H26" s="76"/>
      <c r="I26" s="76"/>
      <c r="J26" s="76"/>
      <c r="K26" s="31"/>
      <c r="L26" s="20"/>
      <c r="M26" s="20"/>
      <c r="N26" s="20"/>
      <c r="O26" s="20"/>
      <c r="P26" s="20"/>
      <c r="Q26" s="20"/>
      <c r="R26" s="20"/>
      <c r="S26" s="20"/>
      <c r="T26" s="20"/>
      <c r="U26" s="20"/>
      <c r="V26" s="20"/>
      <c r="W26" s="20"/>
      <c r="X26" s="20"/>
      <c r="Y26" s="20"/>
      <c r="Z26" s="20"/>
    </row>
    <row r="27" spans="1:26" ht="17.25" customHeight="1">
      <c r="B27" s="57"/>
      <c r="C27" s="57"/>
      <c r="D27" s="57"/>
      <c r="E27" s="58"/>
      <c r="F27" s="76"/>
      <c r="G27" s="76"/>
      <c r="H27" s="76"/>
      <c r="I27" s="76"/>
      <c r="J27" s="76"/>
      <c r="K27" s="31"/>
      <c r="L27" s="20"/>
      <c r="M27" s="20"/>
      <c r="N27" s="20"/>
      <c r="O27" s="20"/>
      <c r="P27" s="20"/>
      <c r="Q27" s="20"/>
      <c r="R27" s="20"/>
      <c r="S27" s="20"/>
      <c r="T27" s="20"/>
      <c r="U27" s="20"/>
      <c r="V27" s="20"/>
      <c r="W27" s="20"/>
      <c r="X27" s="20"/>
      <c r="Y27" s="20"/>
      <c r="Z27" s="20"/>
    </row>
    <row r="28" spans="1:26" ht="17.25" customHeight="1">
      <c r="B28" s="57"/>
      <c r="C28" s="57"/>
      <c r="D28" s="57"/>
      <c r="E28" s="58"/>
      <c r="F28" s="76"/>
      <c r="G28" s="76"/>
      <c r="H28" s="76"/>
      <c r="I28" s="76"/>
      <c r="J28" s="76"/>
      <c r="K28" s="31"/>
      <c r="L28" s="20"/>
      <c r="M28" s="20"/>
      <c r="N28" s="20"/>
      <c r="O28" s="20"/>
      <c r="P28" s="20"/>
      <c r="Q28" s="20"/>
      <c r="R28" s="20"/>
      <c r="S28" s="20"/>
      <c r="T28" s="20"/>
      <c r="U28" s="20"/>
      <c r="V28" s="20"/>
      <c r="W28" s="20"/>
      <c r="X28" s="20"/>
      <c r="Y28" s="20"/>
      <c r="Z28" s="20"/>
    </row>
    <row r="29" spans="1:26" ht="17.25" customHeight="1">
      <c r="B29" s="57"/>
      <c r="C29" s="57"/>
      <c r="D29" s="57"/>
      <c r="E29" s="58"/>
      <c r="F29" s="76"/>
      <c r="G29" s="76"/>
      <c r="H29" s="76"/>
      <c r="I29" s="76"/>
      <c r="J29" s="76"/>
      <c r="K29" s="31"/>
      <c r="L29" s="20"/>
      <c r="M29" s="20"/>
      <c r="N29" s="20"/>
      <c r="O29" s="20"/>
      <c r="P29" s="20"/>
      <c r="Q29" s="20"/>
      <c r="R29" s="20"/>
      <c r="S29" s="20"/>
      <c r="T29" s="20"/>
      <c r="U29" s="20"/>
      <c r="V29" s="20"/>
      <c r="W29" s="20"/>
      <c r="X29" s="20"/>
      <c r="Y29" s="20"/>
      <c r="Z29" s="20"/>
    </row>
    <row r="30" spans="1:26" ht="17.25" customHeight="1">
      <c r="B30" s="57"/>
      <c r="C30" s="57"/>
      <c r="D30" s="57"/>
      <c r="E30" s="58"/>
      <c r="F30" s="76"/>
      <c r="G30" s="76"/>
      <c r="H30" s="76"/>
      <c r="I30" s="76"/>
      <c r="J30" s="76"/>
      <c r="K30" s="31"/>
      <c r="L30" s="20"/>
      <c r="M30" s="20"/>
      <c r="N30" s="20"/>
      <c r="O30" s="20"/>
      <c r="P30" s="20"/>
      <c r="Q30" s="20"/>
      <c r="R30" s="20"/>
      <c r="S30" s="20"/>
      <c r="T30" s="20"/>
      <c r="U30" s="20"/>
      <c r="V30" s="20"/>
      <c r="W30" s="20"/>
      <c r="X30" s="20"/>
      <c r="Y30" s="20"/>
      <c r="Z30" s="20"/>
    </row>
    <row r="31" spans="1:26" ht="17.25" customHeight="1">
      <c r="B31" s="57"/>
      <c r="C31" s="57"/>
      <c r="D31" s="57"/>
      <c r="E31" s="58"/>
      <c r="F31" s="76"/>
      <c r="G31" s="76"/>
      <c r="H31" s="76"/>
      <c r="I31" s="76"/>
      <c r="J31" s="76"/>
      <c r="K31" s="31"/>
      <c r="L31" s="20"/>
      <c r="M31" s="20"/>
      <c r="N31" s="20"/>
      <c r="O31" s="20"/>
      <c r="P31" s="20"/>
      <c r="Q31" s="20"/>
      <c r="R31" s="20"/>
      <c r="S31" s="20"/>
      <c r="T31" s="20"/>
      <c r="U31" s="20"/>
      <c r="V31" s="20"/>
      <c r="W31" s="20"/>
      <c r="X31" s="20"/>
      <c r="Y31" s="20"/>
      <c r="Z31" s="20"/>
    </row>
    <row r="32" spans="1:26" ht="17.25" customHeight="1">
      <c r="B32" s="57"/>
      <c r="C32" s="57"/>
      <c r="D32" s="57"/>
      <c r="E32" s="58"/>
      <c r="F32" s="76"/>
      <c r="G32" s="76"/>
      <c r="H32" s="76"/>
      <c r="I32" s="76"/>
      <c r="J32" s="76"/>
      <c r="K32" s="31"/>
      <c r="L32" s="20"/>
      <c r="M32" s="20"/>
      <c r="N32" s="20"/>
      <c r="O32" s="20"/>
      <c r="P32" s="20"/>
      <c r="Q32" s="20"/>
      <c r="R32" s="20"/>
      <c r="S32" s="20"/>
      <c r="T32" s="20"/>
      <c r="U32" s="20"/>
      <c r="V32" s="20"/>
      <c r="W32" s="20"/>
      <c r="X32" s="20"/>
      <c r="Y32" s="20"/>
      <c r="Z32" s="20"/>
    </row>
    <row r="33" spans="2:26" ht="17.25" customHeight="1">
      <c r="B33" s="57"/>
      <c r="C33" s="57"/>
      <c r="D33" s="57"/>
      <c r="E33" s="58"/>
      <c r="F33" s="76"/>
      <c r="G33" s="76"/>
      <c r="H33" s="76"/>
      <c r="I33" s="76"/>
      <c r="J33" s="76"/>
      <c r="K33" s="31"/>
      <c r="L33" s="20"/>
      <c r="M33" s="20"/>
      <c r="N33" s="20"/>
      <c r="O33" s="20"/>
      <c r="P33" s="20"/>
      <c r="Q33" s="20"/>
      <c r="R33" s="20"/>
      <c r="S33" s="20"/>
      <c r="T33" s="20"/>
      <c r="U33" s="20"/>
      <c r="V33" s="20"/>
      <c r="W33" s="20"/>
      <c r="X33" s="20"/>
      <c r="Y33" s="20"/>
      <c r="Z33" s="20"/>
    </row>
    <row r="34" spans="2:26" ht="17.25" customHeight="1">
      <c r="B34" s="57"/>
      <c r="C34" s="57"/>
      <c r="D34" s="57"/>
      <c r="E34" s="58"/>
      <c r="F34" s="76"/>
      <c r="G34" s="76"/>
      <c r="H34" s="76"/>
      <c r="I34" s="76"/>
      <c r="J34" s="76"/>
      <c r="K34" s="31"/>
      <c r="L34" s="20"/>
      <c r="M34" s="20"/>
      <c r="N34" s="20"/>
      <c r="O34" s="20"/>
      <c r="P34" s="20"/>
      <c r="Q34" s="20"/>
      <c r="R34" s="20"/>
      <c r="S34" s="20"/>
      <c r="T34" s="20"/>
      <c r="U34" s="20"/>
      <c r="V34" s="20"/>
      <c r="W34" s="20"/>
      <c r="X34" s="20"/>
      <c r="Y34" s="20"/>
      <c r="Z34" s="20"/>
    </row>
    <row r="35" spans="2:26" ht="17.25" customHeight="1">
      <c r="B35" s="57"/>
      <c r="C35" s="57"/>
      <c r="D35" s="57"/>
      <c r="E35" s="58"/>
      <c r="F35" s="76"/>
      <c r="G35" s="76"/>
      <c r="H35" s="76"/>
      <c r="I35" s="76"/>
      <c r="J35" s="76"/>
      <c r="K35" s="31"/>
      <c r="L35" s="20"/>
      <c r="M35" s="20"/>
      <c r="N35" s="20"/>
      <c r="O35" s="20"/>
      <c r="P35" s="20"/>
      <c r="Q35" s="20"/>
      <c r="R35" s="20"/>
      <c r="S35" s="20"/>
      <c r="T35" s="20"/>
      <c r="U35" s="20"/>
      <c r="V35" s="20"/>
      <c r="W35" s="20"/>
      <c r="X35" s="20"/>
      <c r="Y35" s="20"/>
      <c r="Z35" s="20"/>
    </row>
    <row r="36" spans="2:26" ht="17.25" customHeight="1">
      <c r="B36" s="57"/>
      <c r="C36" s="57"/>
      <c r="D36" s="57"/>
      <c r="E36" s="58"/>
      <c r="F36" s="76"/>
      <c r="G36" s="76"/>
      <c r="H36" s="76"/>
      <c r="I36" s="76"/>
      <c r="J36" s="76"/>
      <c r="K36" s="31"/>
      <c r="L36" s="20"/>
      <c r="M36" s="20"/>
      <c r="N36" s="20"/>
      <c r="O36" s="20"/>
      <c r="P36" s="20"/>
      <c r="Q36" s="20"/>
      <c r="R36" s="20"/>
      <c r="S36" s="20"/>
      <c r="T36" s="20"/>
      <c r="U36" s="20"/>
      <c r="V36" s="20"/>
      <c r="W36" s="20"/>
      <c r="X36" s="20"/>
      <c r="Y36" s="20"/>
      <c r="Z36" s="20"/>
    </row>
    <row r="37" spans="2:26" ht="17.25" customHeight="1">
      <c r="B37" s="57"/>
      <c r="C37" s="57"/>
      <c r="D37" s="57"/>
      <c r="E37" s="58"/>
      <c r="F37" s="76"/>
      <c r="G37" s="76"/>
      <c r="H37" s="76"/>
      <c r="I37" s="76"/>
      <c r="J37" s="76"/>
      <c r="K37" s="31"/>
      <c r="L37" s="20"/>
      <c r="M37" s="20"/>
      <c r="N37" s="20"/>
      <c r="O37" s="20"/>
      <c r="P37" s="20"/>
      <c r="Q37" s="20"/>
      <c r="R37" s="20"/>
      <c r="S37" s="20"/>
      <c r="T37" s="20"/>
      <c r="U37" s="20"/>
      <c r="V37" s="20"/>
      <c r="W37" s="20"/>
      <c r="X37" s="20"/>
      <c r="Y37" s="20"/>
      <c r="Z37" s="20"/>
    </row>
    <row r="38" spans="2:26" ht="17.25" customHeight="1">
      <c r="B38" s="57"/>
      <c r="C38" s="57"/>
      <c r="D38" s="57"/>
      <c r="E38" s="58"/>
      <c r="F38" s="76"/>
      <c r="G38" s="76"/>
      <c r="H38" s="76"/>
      <c r="I38" s="76"/>
      <c r="J38" s="76"/>
      <c r="K38" s="31"/>
      <c r="L38" s="20"/>
      <c r="M38" s="20"/>
      <c r="N38" s="20"/>
      <c r="O38" s="20"/>
      <c r="P38" s="20"/>
      <c r="Q38" s="20"/>
      <c r="R38" s="20"/>
      <c r="S38" s="20"/>
      <c r="T38" s="20"/>
      <c r="U38" s="20"/>
      <c r="V38" s="20"/>
      <c r="W38" s="20"/>
      <c r="X38" s="20"/>
      <c r="Y38" s="20"/>
      <c r="Z38" s="20"/>
    </row>
    <row r="39" spans="2:26" ht="17.25" customHeight="1">
      <c r="B39" s="57"/>
      <c r="C39" s="57"/>
      <c r="D39" s="57"/>
      <c r="E39" s="58"/>
      <c r="F39" s="76"/>
      <c r="G39" s="76"/>
      <c r="H39" s="76"/>
      <c r="I39" s="76"/>
      <c r="J39" s="76"/>
      <c r="K39" s="31"/>
      <c r="L39" s="20"/>
      <c r="M39" s="20"/>
      <c r="N39" s="20"/>
      <c r="O39" s="20"/>
      <c r="P39" s="20"/>
      <c r="Q39" s="20"/>
      <c r="R39" s="20"/>
      <c r="S39" s="20"/>
      <c r="T39" s="20"/>
      <c r="U39" s="20"/>
      <c r="V39" s="20"/>
      <c r="W39" s="20"/>
      <c r="X39" s="20"/>
      <c r="Y39" s="20"/>
      <c r="Z39" s="20"/>
    </row>
    <row r="40" spans="2:26" ht="17.25" customHeight="1">
      <c r="B40" s="57"/>
      <c r="C40" s="57"/>
      <c r="D40" s="57"/>
      <c r="E40" s="58"/>
      <c r="F40" s="76"/>
      <c r="G40" s="76"/>
      <c r="H40" s="76"/>
      <c r="I40" s="76"/>
      <c r="J40" s="76"/>
      <c r="K40" s="31"/>
      <c r="L40" s="20"/>
      <c r="M40" s="20"/>
      <c r="N40" s="20"/>
      <c r="O40" s="20"/>
      <c r="P40" s="20"/>
      <c r="Q40" s="20"/>
      <c r="R40" s="20"/>
      <c r="S40" s="20"/>
      <c r="T40" s="20"/>
      <c r="U40" s="20"/>
      <c r="V40" s="20"/>
      <c r="W40" s="20"/>
      <c r="X40" s="20"/>
      <c r="Y40" s="20"/>
      <c r="Z40" s="20"/>
    </row>
    <row r="41" spans="2:26" ht="17.25" customHeight="1">
      <c r="B41" s="57"/>
      <c r="C41" s="57"/>
      <c r="D41" s="57"/>
      <c r="E41" s="58"/>
      <c r="F41" s="76"/>
      <c r="G41" s="76"/>
      <c r="H41" s="76"/>
      <c r="I41" s="76"/>
      <c r="J41" s="76"/>
      <c r="K41" s="31"/>
      <c r="L41" s="20"/>
      <c r="M41" s="20"/>
      <c r="N41" s="20"/>
      <c r="O41" s="20"/>
      <c r="P41" s="20"/>
      <c r="Q41" s="20"/>
      <c r="R41" s="20"/>
      <c r="S41" s="20"/>
      <c r="T41" s="20"/>
      <c r="U41" s="20"/>
      <c r="V41" s="20"/>
      <c r="W41" s="20"/>
      <c r="X41" s="20"/>
      <c r="Y41" s="20"/>
      <c r="Z41" s="20"/>
    </row>
    <row r="42" spans="2:26" ht="17.25" customHeight="1">
      <c r="B42" s="57"/>
      <c r="C42" s="57"/>
      <c r="D42" s="57"/>
      <c r="E42" s="58"/>
      <c r="F42" s="76"/>
      <c r="G42" s="76"/>
      <c r="H42" s="76"/>
      <c r="I42" s="76"/>
      <c r="J42" s="76"/>
      <c r="K42" s="31"/>
      <c r="L42" s="20"/>
      <c r="M42" s="20"/>
      <c r="N42" s="20"/>
      <c r="O42" s="20"/>
      <c r="P42" s="20"/>
      <c r="Q42" s="20"/>
      <c r="R42" s="20"/>
      <c r="S42" s="20"/>
      <c r="T42" s="20"/>
      <c r="U42" s="20"/>
      <c r="V42" s="20"/>
      <c r="W42" s="20"/>
      <c r="X42" s="20"/>
      <c r="Y42" s="20"/>
      <c r="Z42" s="20"/>
    </row>
    <row r="43" spans="2:26" ht="17.25" customHeight="1">
      <c r="B43" s="57"/>
      <c r="C43" s="57"/>
      <c r="D43" s="57"/>
      <c r="E43" s="58"/>
      <c r="F43" s="76"/>
      <c r="G43" s="76"/>
      <c r="H43" s="76"/>
      <c r="I43" s="76"/>
      <c r="J43" s="76"/>
      <c r="K43" s="31"/>
      <c r="L43" s="20"/>
      <c r="M43" s="20"/>
      <c r="N43" s="20"/>
      <c r="O43" s="20"/>
      <c r="P43" s="20"/>
      <c r="Q43" s="20"/>
      <c r="R43" s="20"/>
      <c r="S43" s="20"/>
      <c r="T43" s="20"/>
      <c r="U43" s="20"/>
      <c r="V43" s="20"/>
      <c r="W43" s="20"/>
      <c r="X43" s="20"/>
      <c r="Y43" s="20"/>
      <c r="Z43" s="20"/>
    </row>
    <row r="44" spans="2:26" ht="17.25" customHeight="1">
      <c r="B44" s="57"/>
      <c r="C44" s="57"/>
      <c r="D44" s="57"/>
      <c r="E44" s="58"/>
      <c r="F44" s="58"/>
      <c r="G44" s="58"/>
      <c r="H44" s="58"/>
      <c r="I44" s="58"/>
      <c r="J44" s="58"/>
      <c r="K44" s="31"/>
      <c r="L44" s="20"/>
      <c r="M44" s="20"/>
      <c r="N44" s="20"/>
      <c r="O44" s="20"/>
      <c r="P44" s="20"/>
      <c r="Q44" s="20"/>
      <c r="R44" s="20"/>
      <c r="S44" s="20"/>
      <c r="T44" s="20"/>
      <c r="U44" s="20"/>
      <c r="V44" s="20"/>
      <c r="W44" s="20"/>
      <c r="X44" s="20"/>
      <c r="Y44" s="20"/>
      <c r="Z44" s="20"/>
    </row>
    <row r="45" spans="2:26" ht="17.25" customHeight="1">
      <c r="B45" s="57"/>
      <c r="C45" s="57"/>
      <c r="D45" s="57"/>
      <c r="E45" s="58"/>
      <c r="F45" s="58"/>
      <c r="G45" s="58"/>
      <c r="H45" s="58"/>
      <c r="I45" s="58"/>
      <c r="J45" s="58"/>
      <c r="K45" s="31"/>
      <c r="L45" s="20"/>
      <c r="M45" s="20"/>
      <c r="N45" s="20"/>
      <c r="O45" s="20"/>
      <c r="P45" s="20"/>
      <c r="Q45" s="20"/>
      <c r="R45" s="20"/>
      <c r="S45" s="20"/>
      <c r="T45" s="20"/>
      <c r="U45" s="20"/>
      <c r="V45" s="20"/>
      <c r="W45" s="20"/>
      <c r="X45" s="20"/>
      <c r="Y45" s="20"/>
      <c r="Z45" s="20"/>
    </row>
    <row r="46" spans="2:26" ht="17.25" customHeight="1">
      <c r="B46" s="57"/>
      <c r="C46" s="57"/>
      <c r="D46" s="57"/>
      <c r="E46" s="58"/>
      <c r="F46" s="58"/>
      <c r="G46" s="58"/>
      <c r="H46" s="58"/>
      <c r="I46" s="58"/>
      <c r="J46" s="58"/>
      <c r="K46" s="31"/>
      <c r="L46" s="20"/>
      <c r="M46" s="20"/>
      <c r="N46" s="20"/>
      <c r="O46" s="20"/>
      <c r="P46" s="20"/>
      <c r="Q46" s="20"/>
      <c r="R46" s="20"/>
      <c r="S46" s="20"/>
      <c r="T46" s="20"/>
      <c r="U46" s="20"/>
      <c r="V46" s="20"/>
      <c r="W46" s="20"/>
      <c r="X46" s="20"/>
      <c r="Y46" s="20"/>
      <c r="Z46" s="20"/>
    </row>
    <row r="47" spans="2:26" ht="17.25" customHeight="1">
      <c r="B47" s="57"/>
      <c r="C47" s="57"/>
      <c r="D47" s="57"/>
      <c r="E47" s="58"/>
      <c r="F47" s="58"/>
      <c r="G47" s="58"/>
      <c r="H47" s="58"/>
      <c r="I47" s="58"/>
      <c r="J47" s="58"/>
      <c r="K47" s="31"/>
      <c r="L47" s="20"/>
      <c r="M47" s="20"/>
      <c r="N47" s="20"/>
      <c r="O47" s="20"/>
      <c r="P47" s="20"/>
      <c r="Q47" s="20"/>
      <c r="R47" s="20"/>
      <c r="S47" s="20"/>
      <c r="T47" s="20"/>
      <c r="U47" s="20"/>
      <c r="V47" s="20"/>
      <c r="W47" s="20"/>
      <c r="X47" s="20"/>
      <c r="Y47" s="20"/>
      <c r="Z47" s="20"/>
    </row>
    <row r="48" spans="2:26" ht="17.25" customHeight="1">
      <c r="B48" s="57"/>
      <c r="C48" s="57"/>
      <c r="D48" s="57"/>
      <c r="E48" s="58"/>
      <c r="F48" s="58"/>
      <c r="G48" s="58"/>
      <c r="H48" s="58"/>
      <c r="I48" s="58"/>
      <c r="J48" s="58"/>
      <c r="K48" s="31"/>
      <c r="L48" s="20"/>
      <c r="M48" s="20"/>
      <c r="N48" s="20"/>
      <c r="O48" s="20"/>
      <c r="P48" s="20"/>
      <c r="Q48" s="20"/>
      <c r="R48" s="20"/>
      <c r="S48" s="20"/>
      <c r="T48" s="20"/>
      <c r="U48" s="20"/>
      <c r="V48" s="20"/>
      <c r="W48" s="20"/>
      <c r="X48" s="20"/>
      <c r="Y48" s="20"/>
      <c r="Z48" s="20"/>
    </row>
    <row r="49" spans="2:26" ht="17.25" customHeight="1">
      <c r="B49" s="57"/>
      <c r="C49" s="57"/>
      <c r="D49" s="57"/>
      <c r="E49" s="58"/>
      <c r="F49" s="58"/>
      <c r="G49" s="58"/>
      <c r="H49" s="58"/>
      <c r="I49" s="58"/>
      <c r="J49" s="58"/>
      <c r="K49" s="31"/>
      <c r="L49" s="20"/>
      <c r="M49" s="20"/>
      <c r="N49" s="20"/>
      <c r="O49" s="20"/>
      <c r="P49" s="20"/>
      <c r="Q49" s="20"/>
      <c r="R49" s="20"/>
      <c r="S49" s="20"/>
      <c r="T49" s="20"/>
      <c r="U49" s="20"/>
      <c r="V49" s="20"/>
      <c r="W49" s="20"/>
      <c r="X49" s="20"/>
      <c r="Y49" s="20"/>
      <c r="Z49" s="20"/>
    </row>
    <row r="50" spans="2:26" ht="17.25" customHeight="1">
      <c r="B50" s="57"/>
      <c r="C50" s="57"/>
      <c r="D50" s="57"/>
      <c r="E50" s="58"/>
      <c r="F50" s="58"/>
      <c r="G50" s="58"/>
      <c r="H50" s="58"/>
      <c r="I50" s="58"/>
      <c r="J50" s="58"/>
      <c r="K50" s="31"/>
      <c r="L50" s="20"/>
      <c r="M50" s="20"/>
      <c r="N50" s="20"/>
      <c r="O50" s="20"/>
      <c r="P50" s="20"/>
      <c r="Q50" s="20"/>
      <c r="R50" s="20"/>
      <c r="S50" s="20"/>
      <c r="T50" s="20"/>
      <c r="U50" s="20"/>
      <c r="V50" s="20"/>
      <c r="W50" s="20"/>
      <c r="X50" s="20"/>
      <c r="Y50" s="20"/>
      <c r="Z50" s="20"/>
    </row>
    <row r="51" spans="2:26" ht="17.25" customHeight="1">
      <c r="B51" s="57"/>
      <c r="C51" s="57"/>
      <c r="D51" s="57"/>
      <c r="E51" s="58"/>
      <c r="F51" s="58"/>
      <c r="G51" s="58"/>
      <c r="H51" s="58"/>
      <c r="I51" s="58"/>
      <c r="J51" s="58"/>
      <c r="K51" s="31"/>
      <c r="L51" s="20"/>
      <c r="M51" s="20"/>
      <c r="N51" s="20"/>
      <c r="O51" s="20"/>
      <c r="P51" s="20"/>
      <c r="Q51" s="20"/>
      <c r="R51" s="20"/>
      <c r="S51" s="20"/>
      <c r="T51" s="20"/>
      <c r="U51" s="20"/>
      <c r="V51" s="20"/>
      <c r="W51" s="20"/>
      <c r="X51" s="20"/>
      <c r="Y51" s="20"/>
      <c r="Z51" s="20"/>
    </row>
    <row r="52" spans="2:26" ht="17.25" customHeight="1">
      <c r="B52" s="57"/>
      <c r="C52" s="57"/>
      <c r="D52" s="57"/>
      <c r="E52" s="58"/>
      <c r="F52" s="58"/>
      <c r="G52" s="58"/>
      <c r="H52" s="58"/>
      <c r="I52" s="58"/>
      <c r="J52" s="58"/>
      <c r="K52" s="31"/>
      <c r="L52" s="20"/>
      <c r="M52" s="20"/>
      <c r="N52" s="20"/>
      <c r="O52" s="20"/>
      <c r="P52" s="20"/>
      <c r="Q52" s="20"/>
      <c r="R52" s="20"/>
      <c r="S52" s="20"/>
      <c r="T52" s="20"/>
      <c r="U52" s="20"/>
      <c r="V52" s="20"/>
      <c r="W52" s="20"/>
      <c r="X52" s="20"/>
      <c r="Y52" s="20"/>
      <c r="Z52" s="20"/>
    </row>
    <row r="53" spans="2:26" ht="17.25" customHeight="1">
      <c r="B53" s="57"/>
      <c r="C53" s="57"/>
      <c r="D53" s="57"/>
      <c r="E53" s="58"/>
      <c r="F53" s="58"/>
      <c r="G53" s="58"/>
      <c r="H53" s="58"/>
      <c r="I53" s="58"/>
      <c r="J53" s="58"/>
      <c r="K53" s="31"/>
      <c r="L53" s="20"/>
      <c r="M53" s="20"/>
      <c r="N53" s="20"/>
      <c r="O53" s="20"/>
      <c r="P53" s="20"/>
      <c r="Q53" s="20"/>
      <c r="R53" s="20"/>
      <c r="S53" s="20"/>
      <c r="T53" s="20"/>
      <c r="U53" s="20"/>
      <c r="V53" s="20"/>
      <c r="W53" s="20"/>
      <c r="X53" s="20"/>
      <c r="Y53" s="20"/>
      <c r="Z53" s="20"/>
    </row>
    <row r="54" spans="2:26" ht="17.25" customHeight="1">
      <c r="B54" s="57"/>
      <c r="C54" s="57"/>
      <c r="D54" s="57"/>
      <c r="E54" s="58"/>
      <c r="F54" s="58"/>
      <c r="G54" s="58"/>
      <c r="H54" s="58"/>
      <c r="I54" s="58"/>
      <c r="J54" s="58"/>
      <c r="K54" s="31"/>
      <c r="L54" s="20"/>
      <c r="M54" s="20"/>
      <c r="N54" s="20"/>
      <c r="O54" s="20"/>
      <c r="P54" s="20"/>
      <c r="Q54" s="20"/>
      <c r="R54" s="20"/>
      <c r="S54" s="20"/>
      <c r="T54" s="20"/>
      <c r="U54" s="20"/>
      <c r="V54" s="20"/>
      <c r="W54" s="20"/>
      <c r="X54" s="20"/>
      <c r="Y54" s="20"/>
      <c r="Z54" s="20"/>
    </row>
    <row r="55" spans="2:26" ht="17.25" customHeight="1">
      <c r="B55" s="57"/>
      <c r="C55" s="57"/>
      <c r="D55" s="57"/>
      <c r="E55" s="58"/>
      <c r="F55" s="58"/>
      <c r="G55" s="58"/>
      <c r="H55" s="58"/>
      <c r="I55" s="58"/>
      <c r="J55" s="58"/>
      <c r="K55" s="31"/>
      <c r="L55" s="20"/>
      <c r="M55" s="20"/>
      <c r="N55" s="20"/>
      <c r="O55" s="20"/>
      <c r="P55" s="20"/>
      <c r="Q55" s="20"/>
      <c r="R55" s="20"/>
      <c r="S55" s="20"/>
      <c r="T55" s="20"/>
      <c r="U55" s="20"/>
      <c r="V55" s="20"/>
      <c r="W55" s="20"/>
      <c r="X55" s="20"/>
      <c r="Y55" s="20"/>
      <c r="Z55" s="20"/>
    </row>
    <row r="56" spans="2:26" ht="17.25" customHeight="1">
      <c r="D56" s="57"/>
      <c r="E56" s="58"/>
      <c r="F56" s="58"/>
      <c r="G56" s="58"/>
      <c r="H56" s="58"/>
      <c r="I56" s="58"/>
      <c r="J56" s="58"/>
      <c r="K56" s="31"/>
      <c r="L56" s="20"/>
      <c r="M56" s="20"/>
      <c r="N56" s="20"/>
      <c r="O56" s="20"/>
      <c r="P56" s="20"/>
      <c r="Q56" s="20"/>
      <c r="R56" s="20"/>
      <c r="S56" s="20"/>
      <c r="T56" s="20"/>
      <c r="U56" s="20"/>
      <c r="V56" s="20"/>
      <c r="W56" s="20"/>
      <c r="X56" s="20"/>
      <c r="Y56" s="20"/>
      <c r="Z56" s="20"/>
    </row>
    <row r="57" spans="2:26" ht="17.25" customHeight="1">
      <c r="D57" s="37"/>
      <c r="E57" s="58"/>
      <c r="F57" s="58"/>
      <c r="G57" s="58"/>
      <c r="H57" s="58"/>
      <c r="I57" s="58"/>
      <c r="J57" s="58"/>
      <c r="K57" s="31"/>
      <c r="L57" s="20"/>
      <c r="M57" s="20"/>
      <c r="N57" s="20"/>
      <c r="O57" s="20"/>
      <c r="P57" s="20"/>
      <c r="Q57" s="20"/>
      <c r="R57" s="20"/>
      <c r="S57" s="20"/>
      <c r="T57" s="20"/>
      <c r="U57" s="20"/>
      <c r="V57" s="20"/>
      <c r="W57" s="20"/>
      <c r="X57" s="20"/>
      <c r="Y57" s="20"/>
      <c r="Z57" s="20"/>
    </row>
    <row r="58" spans="2:26" ht="17.25" customHeight="1">
      <c r="D58" s="37"/>
      <c r="E58" s="58"/>
      <c r="F58" s="58"/>
      <c r="G58" s="58"/>
      <c r="H58" s="58"/>
      <c r="I58" s="58"/>
      <c r="J58" s="58"/>
      <c r="K58" s="31"/>
      <c r="L58" s="20"/>
      <c r="M58" s="20"/>
      <c r="N58" s="20"/>
      <c r="O58" s="20"/>
      <c r="P58" s="20"/>
      <c r="Q58" s="20"/>
      <c r="R58" s="20"/>
      <c r="S58" s="20"/>
      <c r="T58" s="20"/>
      <c r="U58" s="20"/>
      <c r="V58" s="20"/>
      <c r="W58" s="20"/>
      <c r="X58" s="20"/>
      <c r="Y58" s="20"/>
      <c r="Z58" s="20"/>
    </row>
    <row r="59" spans="2:26" ht="17.25" customHeight="1">
      <c r="D59" s="37"/>
      <c r="E59" s="58"/>
      <c r="F59" s="58"/>
      <c r="G59" s="58"/>
      <c r="H59" s="58"/>
      <c r="I59" s="58"/>
      <c r="J59" s="58"/>
      <c r="K59" s="31"/>
      <c r="L59" s="20"/>
      <c r="M59" s="20"/>
      <c r="N59" s="20"/>
      <c r="O59" s="20"/>
      <c r="P59" s="20"/>
      <c r="Q59" s="20"/>
      <c r="R59" s="20"/>
      <c r="S59" s="20"/>
      <c r="T59" s="20"/>
      <c r="U59" s="20"/>
      <c r="V59" s="20"/>
      <c r="W59" s="20"/>
      <c r="X59" s="20"/>
      <c r="Y59" s="20"/>
      <c r="Z59" s="20"/>
    </row>
    <row r="60" spans="2:26" ht="17.25" customHeight="1">
      <c r="D60" s="37"/>
      <c r="E60" s="58"/>
      <c r="F60" s="58"/>
      <c r="G60" s="58"/>
      <c r="H60" s="58"/>
      <c r="I60" s="58"/>
      <c r="J60" s="58"/>
      <c r="K60" s="31"/>
      <c r="L60" s="20"/>
      <c r="M60" s="20"/>
      <c r="N60" s="20"/>
      <c r="O60" s="20"/>
      <c r="P60" s="20"/>
      <c r="Q60" s="20"/>
      <c r="R60" s="20"/>
      <c r="S60" s="20"/>
      <c r="T60" s="20"/>
      <c r="U60" s="20"/>
      <c r="V60" s="20"/>
      <c r="W60" s="20"/>
      <c r="X60" s="20"/>
      <c r="Y60" s="20"/>
      <c r="Z60" s="20"/>
    </row>
    <row r="61" spans="2:26" ht="17.25" customHeight="1">
      <c r="D61" s="37"/>
      <c r="E61" s="58"/>
      <c r="F61" s="58"/>
      <c r="G61" s="58"/>
      <c r="H61" s="58"/>
      <c r="I61" s="58"/>
      <c r="J61" s="58"/>
      <c r="K61" s="31"/>
      <c r="L61" s="20"/>
      <c r="M61" s="20"/>
      <c r="N61" s="20"/>
      <c r="O61" s="20"/>
      <c r="P61" s="20"/>
      <c r="Q61" s="20"/>
      <c r="R61" s="20"/>
      <c r="S61" s="20"/>
      <c r="T61" s="20"/>
      <c r="U61" s="20"/>
      <c r="V61" s="20"/>
      <c r="W61" s="20"/>
      <c r="X61" s="20"/>
      <c r="Y61" s="20"/>
      <c r="Z61" s="20"/>
    </row>
    <row r="62" spans="2:26" ht="17.25" customHeight="1">
      <c r="D62" s="37"/>
      <c r="E62" s="58"/>
      <c r="F62" s="58"/>
      <c r="G62" s="58"/>
      <c r="H62" s="58"/>
      <c r="I62" s="58"/>
      <c r="J62" s="58"/>
      <c r="K62" s="31"/>
      <c r="L62" s="20"/>
      <c r="M62" s="20"/>
      <c r="N62" s="20"/>
      <c r="O62" s="20"/>
      <c r="P62" s="20"/>
      <c r="Q62" s="20"/>
      <c r="R62" s="20"/>
      <c r="S62" s="20"/>
      <c r="T62" s="20"/>
      <c r="U62" s="20"/>
      <c r="V62" s="20"/>
      <c r="W62" s="20"/>
      <c r="X62" s="20"/>
      <c r="Y62" s="20"/>
      <c r="Z62" s="20"/>
    </row>
    <row r="63" spans="2:26" ht="17.25" customHeight="1">
      <c r="D63" s="37"/>
      <c r="E63" s="58"/>
      <c r="F63" s="58"/>
      <c r="G63" s="58"/>
      <c r="H63" s="58"/>
      <c r="I63" s="58"/>
      <c r="J63" s="58"/>
      <c r="K63" s="31"/>
      <c r="L63" s="20"/>
      <c r="M63" s="20"/>
      <c r="N63" s="20"/>
      <c r="O63" s="20"/>
      <c r="P63" s="20"/>
      <c r="Q63" s="20"/>
      <c r="R63" s="20"/>
      <c r="S63" s="20"/>
      <c r="T63" s="20"/>
      <c r="U63" s="20"/>
      <c r="V63" s="20"/>
      <c r="W63" s="20"/>
      <c r="X63" s="20"/>
      <c r="Y63" s="20"/>
      <c r="Z63" s="20"/>
    </row>
    <row r="64" spans="2:26" ht="17.25" customHeight="1">
      <c r="D64" s="37"/>
      <c r="E64" s="58"/>
      <c r="F64" s="58"/>
      <c r="G64" s="58"/>
      <c r="H64" s="58"/>
      <c r="I64" s="58"/>
      <c r="J64" s="58"/>
      <c r="K64" s="31"/>
      <c r="L64" s="20"/>
      <c r="M64" s="20"/>
      <c r="N64" s="20"/>
      <c r="O64" s="20"/>
      <c r="P64" s="20"/>
      <c r="Q64" s="20"/>
      <c r="R64" s="20"/>
      <c r="S64" s="20"/>
      <c r="T64" s="20"/>
      <c r="U64" s="20"/>
      <c r="V64" s="20"/>
      <c r="W64" s="20"/>
      <c r="X64" s="20"/>
      <c r="Y64" s="20"/>
      <c r="Z64" s="20"/>
    </row>
    <row r="65" spans="4:26" ht="17.25" customHeight="1">
      <c r="D65" s="37"/>
      <c r="E65" s="58"/>
      <c r="F65" s="58"/>
      <c r="G65" s="58"/>
      <c r="H65" s="58"/>
      <c r="I65" s="58"/>
      <c r="J65" s="58"/>
      <c r="K65" s="31"/>
      <c r="L65" s="20"/>
      <c r="M65" s="20"/>
      <c r="N65" s="20"/>
      <c r="O65" s="20"/>
      <c r="P65" s="20"/>
      <c r="Q65" s="20"/>
      <c r="R65" s="20"/>
      <c r="S65" s="20"/>
      <c r="T65" s="20"/>
      <c r="U65" s="20"/>
      <c r="V65" s="20"/>
      <c r="W65" s="20"/>
      <c r="X65" s="20"/>
      <c r="Y65" s="20"/>
      <c r="Z65" s="20"/>
    </row>
    <row r="66" spans="4:26" ht="17.25" customHeight="1">
      <c r="D66" s="37"/>
      <c r="E66" s="58"/>
      <c r="F66" s="58"/>
      <c r="G66" s="58"/>
      <c r="H66" s="58"/>
      <c r="I66" s="58"/>
      <c r="J66" s="58"/>
      <c r="K66" s="31"/>
      <c r="L66" s="20"/>
      <c r="M66" s="20"/>
      <c r="N66" s="20"/>
      <c r="O66" s="20"/>
      <c r="P66" s="20"/>
      <c r="Q66" s="20"/>
      <c r="R66" s="20"/>
      <c r="S66" s="20"/>
      <c r="T66" s="20"/>
      <c r="U66" s="20"/>
      <c r="V66" s="20"/>
      <c r="W66" s="20"/>
      <c r="X66" s="20"/>
      <c r="Y66" s="20"/>
      <c r="Z66" s="20"/>
    </row>
    <row r="67" spans="4:26" ht="17.25" customHeight="1">
      <c r="D67" s="37"/>
      <c r="E67" s="58"/>
      <c r="F67" s="58"/>
      <c r="G67" s="58"/>
      <c r="H67" s="58"/>
      <c r="I67" s="58"/>
      <c r="J67" s="58"/>
      <c r="K67" s="31"/>
      <c r="L67" s="20"/>
      <c r="M67" s="20"/>
      <c r="N67" s="20"/>
      <c r="O67" s="20"/>
      <c r="P67" s="20"/>
      <c r="Q67" s="20"/>
      <c r="R67" s="20"/>
      <c r="S67" s="20"/>
      <c r="T67" s="20"/>
      <c r="U67" s="20"/>
      <c r="V67" s="20"/>
      <c r="W67" s="20"/>
      <c r="X67" s="20"/>
      <c r="Y67" s="20"/>
      <c r="Z67" s="20"/>
    </row>
    <row r="68" spans="4:26" ht="17.25" customHeight="1">
      <c r="D68" s="37"/>
      <c r="E68" s="58"/>
      <c r="F68" s="58"/>
      <c r="G68" s="58"/>
      <c r="H68" s="58"/>
      <c r="I68" s="58"/>
      <c r="J68" s="58"/>
      <c r="K68" s="31"/>
      <c r="L68" s="20"/>
      <c r="M68" s="20"/>
      <c r="N68" s="20"/>
      <c r="O68" s="20"/>
      <c r="P68" s="20"/>
      <c r="Q68" s="20"/>
      <c r="R68" s="20"/>
      <c r="S68" s="20"/>
      <c r="T68" s="20"/>
      <c r="U68" s="20"/>
      <c r="V68" s="20"/>
      <c r="W68" s="20"/>
      <c r="X68" s="20"/>
      <c r="Y68" s="20"/>
      <c r="Z68" s="20"/>
    </row>
    <row r="69" spans="4:26" ht="17.25" customHeight="1">
      <c r="D69" s="37"/>
      <c r="E69" s="58"/>
      <c r="F69" s="58"/>
      <c r="G69" s="58"/>
      <c r="H69" s="58"/>
      <c r="I69" s="58"/>
      <c r="J69" s="58"/>
      <c r="K69" s="31"/>
      <c r="L69" s="20"/>
      <c r="M69" s="20"/>
      <c r="N69" s="20"/>
      <c r="O69" s="20"/>
      <c r="P69" s="20"/>
      <c r="Q69" s="20"/>
      <c r="R69" s="20"/>
      <c r="S69" s="20"/>
      <c r="T69" s="20"/>
      <c r="U69" s="20"/>
      <c r="V69" s="20"/>
      <c r="W69" s="20"/>
      <c r="X69" s="20"/>
      <c r="Y69" s="20"/>
      <c r="Z69" s="20"/>
    </row>
    <row r="70" spans="4:26" ht="17.25" customHeight="1">
      <c r="D70" s="37"/>
      <c r="E70" s="58"/>
      <c r="F70" s="58"/>
      <c r="G70" s="58"/>
      <c r="H70" s="58"/>
      <c r="I70" s="58"/>
      <c r="J70" s="58"/>
      <c r="K70" s="31"/>
      <c r="L70" s="20"/>
      <c r="M70" s="20"/>
      <c r="N70" s="20"/>
      <c r="O70" s="20"/>
      <c r="P70" s="20"/>
      <c r="Q70" s="20"/>
      <c r="R70" s="20"/>
      <c r="S70" s="20"/>
      <c r="T70" s="20"/>
      <c r="U70" s="20"/>
      <c r="V70" s="20"/>
      <c r="W70" s="20"/>
      <c r="X70" s="20"/>
      <c r="Y70" s="20"/>
      <c r="Z70" s="20"/>
    </row>
    <row r="71" spans="4:26" ht="17.25" customHeight="1">
      <c r="D71" s="37"/>
      <c r="E71" s="58"/>
      <c r="F71" s="58"/>
      <c r="G71" s="58"/>
      <c r="H71" s="58"/>
      <c r="I71" s="58"/>
      <c r="J71" s="58"/>
      <c r="K71" s="31"/>
      <c r="L71" s="20"/>
      <c r="M71" s="20"/>
      <c r="N71" s="20"/>
      <c r="O71" s="20"/>
      <c r="P71" s="20"/>
      <c r="Q71" s="20"/>
      <c r="R71" s="20"/>
      <c r="S71" s="20"/>
      <c r="T71" s="20"/>
      <c r="U71" s="20"/>
      <c r="V71" s="20"/>
      <c r="W71" s="20"/>
      <c r="X71" s="20"/>
      <c r="Y71" s="20"/>
      <c r="Z71" s="20"/>
    </row>
    <row r="72" spans="4:26" ht="17.25" customHeight="1">
      <c r="D72" s="37"/>
      <c r="E72" s="58"/>
      <c r="F72" s="58"/>
      <c r="G72" s="58"/>
      <c r="H72" s="58"/>
      <c r="I72" s="58"/>
      <c r="J72" s="58"/>
      <c r="K72" s="31"/>
      <c r="L72" s="20"/>
      <c r="M72" s="20"/>
      <c r="N72" s="20"/>
      <c r="O72" s="20"/>
      <c r="P72" s="20"/>
      <c r="Q72" s="20"/>
      <c r="R72" s="20"/>
      <c r="S72" s="20"/>
      <c r="T72" s="20"/>
      <c r="U72" s="20"/>
      <c r="V72" s="20"/>
      <c r="W72" s="20"/>
      <c r="X72" s="20"/>
      <c r="Y72" s="20"/>
      <c r="Z72" s="20"/>
    </row>
    <row r="73" spans="4:26" ht="17.25" customHeight="1">
      <c r="D73" s="37"/>
      <c r="E73" s="58"/>
      <c r="F73" s="58"/>
      <c r="G73" s="58"/>
      <c r="H73" s="58"/>
      <c r="I73" s="58"/>
      <c r="J73" s="58"/>
      <c r="K73" s="31"/>
      <c r="L73" s="20"/>
      <c r="M73" s="20"/>
      <c r="N73" s="20"/>
      <c r="O73" s="20"/>
      <c r="P73" s="20"/>
      <c r="Q73" s="20"/>
      <c r="R73" s="20"/>
      <c r="S73" s="20"/>
      <c r="T73" s="20"/>
      <c r="U73" s="20"/>
      <c r="V73" s="20"/>
      <c r="W73" s="20"/>
      <c r="X73" s="20"/>
      <c r="Y73" s="20"/>
      <c r="Z73" s="20"/>
    </row>
    <row r="74" spans="4:26" ht="17.25" customHeight="1">
      <c r="D74" s="37"/>
      <c r="E74" s="58"/>
      <c r="F74" s="58"/>
      <c r="G74" s="58"/>
      <c r="H74" s="58"/>
      <c r="I74" s="58"/>
      <c r="J74" s="58"/>
      <c r="K74" s="31"/>
      <c r="L74" s="20"/>
      <c r="M74" s="20"/>
      <c r="N74" s="20"/>
      <c r="O74" s="20"/>
      <c r="P74" s="20"/>
      <c r="Q74" s="20"/>
      <c r="R74" s="20"/>
      <c r="S74" s="20"/>
      <c r="T74" s="20"/>
      <c r="U74" s="20"/>
      <c r="V74" s="20"/>
      <c r="W74" s="20"/>
      <c r="X74" s="20"/>
      <c r="Y74" s="20"/>
      <c r="Z74" s="20"/>
    </row>
    <row r="75" spans="4:26" ht="17.25" customHeight="1">
      <c r="D75" s="37"/>
      <c r="E75" s="58"/>
      <c r="F75" s="58"/>
      <c r="G75" s="58"/>
      <c r="H75" s="58"/>
      <c r="I75" s="58"/>
      <c r="J75" s="58"/>
      <c r="K75" s="31"/>
      <c r="L75" s="20"/>
      <c r="M75" s="20"/>
      <c r="N75" s="20"/>
      <c r="O75" s="20"/>
      <c r="P75" s="20"/>
      <c r="Q75" s="20"/>
      <c r="R75" s="20"/>
      <c r="S75" s="20"/>
      <c r="T75" s="20"/>
      <c r="U75" s="20"/>
      <c r="V75" s="20"/>
      <c r="W75" s="20"/>
      <c r="X75" s="20"/>
      <c r="Y75" s="20"/>
      <c r="Z75" s="20"/>
    </row>
    <row r="76" spans="4:26" ht="17.25" customHeight="1">
      <c r="D76" s="37"/>
      <c r="E76" s="58"/>
      <c r="F76" s="58"/>
      <c r="G76" s="58"/>
      <c r="H76" s="58"/>
      <c r="I76" s="58"/>
      <c r="J76" s="58"/>
      <c r="K76" s="31"/>
      <c r="L76" s="20"/>
      <c r="M76" s="20"/>
      <c r="N76" s="20"/>
      <c r="O76" s="20"/>
      <c r="P76" s="20"/>
      <c r="Q76" s="20"/>
      <c r="R76" s="20"/>
      <c r="S76" s="20"/>
      <c r="T76" s="20"/>
      <c r="U76" s="20"/>
      <c r="V76" s="20"/>
      <c r="W76" s="20"/>
      <c r="X76" s="20"/>
      <c r="Y76" s="20"/>
      <c r="Z76" s="20"/>
    </row>
    <row r="77" spans="4:26" ht="17.25" customHeight="1">
      <c r="D77" s="37"/>
      <c r="E77" s="58"/>
      <c r="F77" s="58"/>
      <c r="G77" s="58"/>
      <c r="H77" s="58"/>
      <c r="I77" s="58"/>
      <c r="J77" s="58"/>
      <c r="K77" s="31"/>
      <c r="L77" s="20"/>
      <c r="M77" s="20"/>
      <c r="N77" s="20"/>
      <c r="O77" s="20"/>
      <c r="P77" s="20"/>
      <c r="Q77" s="20"/>
      <c r="R77" s="20"/>
      <c r="S77" s="20"/>
      <c r="T77" s="20"/>
      <c r="U77" s="20"/>
      <c r="V77" s="20"/>
      <c r="W77" s="20"/>
      <c r="X77" s="20"/>
      <c r="Y77" s="20"/>
      <c r="Z77" s="20"/>
    </row>
    <row r="78" spans="4:26" ht="17.25" customHeight="1">
      <c r="D78" s="37"/>
      <c r="E78" s="58"/>
      <c r="F78" s="58"/>
      <c r="G78" s="58"/>
      <c r="H78" s="58"/>
      <c r="I78" s="58"/>
      <c r="J78" s="58"/>
      <c r="K78" s="31"/>
      <c r="L78" s="20"/>
      <c r="M78" s="20"/>
      <c r="N78" s="20"/>
      <c r="O78" s="20"/>
      <c r="P78" s="20"/>
      <c r="Q78" s="20"/>
      <c r="R78" s="20"/>
      <c r="S78" s="20"/>
      <c r="T78" s="20"/>
      <c r="U78" s="20"/>
      <c r="V78" s="20"/>
      <c r="W78" s="20"/>
      <c r="X78" s="20"/>
      <c r="Y78" s="20"/>
      <c r="Z78" s="20"/>
    </row>
    <row r="79" spans="4:26" ht="17.25" customHeight="1">
      <c r="D79" s="37"/>
      <c r="E79" s="58"/>
      <c r="F79" s="58"/>
      <c r="G79" s="58"/>
      <c r="H79" s="58"/>
      <c r="I79" s="58"/>
      <c r="J79" s="58"/>
      <c r="K79" s="31"/>
      <c r="L79" s="20"/>
      <c r="M79" s="20"/>
      <c r="N79" s="20"/>
      <c r="O79" s="20"/>
      <c r="P79" s="20"/>
      <c r="Q79" s="20"/>
      <c r="R79" s="20"/>
      <c r="S79" s="20"/>
      <c r="T79" s="20"/>
      <c r="U79" s="20"/>
      <c r="V79" s="20"/>
      <c r="W79" s="20"/>
      <c r="X79" s="20"/>
      <c r="Y79" s="20"/>
      <c r="Z79" s="20"/>
    </row>
    <row r="80" spans="4:26" ht="17.25" customHeight="1">
      <c r="D80" s="37"/>
      <c r="E80" s="58"/>
      <c r="F80" s="58"/>
      <c r="G80" s="58"/>
      <c r="H80" s="58"/>
      <c r="I80" s="58"/>
      <c r="J80" s="58"/>
      <c r="K80" s="31"/>
      <c r="L80" s="20"/>
      <c r="M80" s="20"/>
      <c r="N80" s="20"/>
      <c r="O80" s="20"/>
      <c r="P80" s="20"/>
      <c r="Q80" s="20"/>
      <c r="R80" s="20"/>
      <c r="S80" s="20"/>
      <c r="T80" s="20"/>
      <c r="U80" s="20"/>
      <c r="V80" s="20"/>
      <c r="W80" s="20"/>
      <c r="X80" s="20"/>
      <c r="Y80" s="20"/>
      <c r="Z80" s="20"/>
    </row>
    <row r="81" spans="4:26" ht="17.25" customHeight="1">
      <c r="D81" s="37"/>
      <c r="E81" s="58"/>
      <c r="F81" s="58"/>
      <c r="G81" s="58"/>
      <c r="H81" s="58"/>
      <c r="I81" s="58"/>
      <c r="J81" s="58"/>
      <c r="K81" s="31"/>
      <c r="L81" s="20"/>
      <c r="M81" s="20"/>
      <c r="N81" s="20"/>
      <c r="O81" s="20"/>
      <c r="P81" s="20"/>
      <c r="Q81" s="20"/>
      <c r="R81" s="20"/>
      <c r="S81" s="20"/>
      <c r="T81" s="20"/>
      <c r="U81" s="20"/>
      <c r="V81" s="20"/>
      <c r="W81" s="20"/>
      <c r="X81" s="20"/>
      <c r="Y81" s="20"/>
      <c r="Z81" s="20"/>
    </row>
    <row r="82" spans="4:26" ht="17.25" customHeight="1">
      <c r="D82" s="37"/>
      <c r="E82" s="58"/>
      <c r="F82" s="58"/>
      <c r="G82" s="58"/>
      <c r="H82" s="58"/>
      <c r="I82" s="58"/>
      <c r="J82" s="58"/>
      <c r="K82" s="31"/>
      <c r="L82" s="20"/>
      <c r="M82" s="20"/>
      <c r="N82" s="20"/>
      <c r="O82" s="20"/>
      <c r="P82" s="20"/>
      <c r="Q82" s="20"/>
      <c r="R82" s="20"/>
      <c r="S82" s="20"/>
      <c r="T82" s="20"/>
      <c r="U82" s="20"/>
      <c r="V82" s="20"/>
      <c r="W82" s="20"/>
      <c r="X82" s="20"/>
      <c r="Y82" s="20"/>
      <c r="Z82" s="20"/>
    </row>
    <row r="83" spans="4:26" ht="17.25" customHeight="1">
      <c r="D83" s="37"/>
      <c r="E83" s="58"/>
      <c r="F83" s="58"/>
      <c r="G83" s="58"/>
      <c r="H83" s="58"/>
      <c r="I83" s="58"/>
      <c r="J83" s="58"/>
      <c r="K83" s="31"/>
      <c r="L83" s="20"/>
      <c r="M83" s="20"/>
      <c r="N83" s="20"/>
      <c r="O83" s="20"/>
      <c r="P83" s="20"/>
      <c r="Q83" s="20"/>
      <c r="R83" s="20"/>
      <c r="S83" s="20"/>
      <c r="T83" s="20"/>
      <c r="U83" s="20"/>
      <c r="V83" s="20"/>
      <c r="W83" s="20"/>
      <c r="X83" s="20"/>
      <c r="Y83" s="20"/>
      <c r="Z83" s="20"/>
    </row>
    <row r="84" spans="4:26" ht="17.25" customHeight="1">
      <c r="D84" s="37"/>
      <c r="E84" s="58"/>
      <c r="F84" s="58"/>
      <c r="G84" s="58"/>
      <c r="H84" s="58"/>
      <c r="I84" s="58"/>
      <c r="J84" s="58"/>
      <c r="K84" s="31"/>
      <c r="L84" s="20"/>
      <c r="M84" s="20"/>
      <c r="N84" s="20"/>
      <c r="O84" s="20"/>
      <c r="P84" s="20"/>
      <c r="Q84" s="20"/>
      <c r="R84" s="20"/>
      <c r="S84" s="20"/>
      <c r="T84" s="20"/>
      <c r="U84" s="20"/>
      <c r="V84" s="20"/>
      <c r="W84" s="20"/>
      <c r="X84" s="20"/>
      <c r="Y84" s="20"/>
      <c r="Z84" s="20"/>
    </row>
    <row r="85" spans="4:26" ht="17.25" customHeight="1">
      <c r="D85" s="37"/>
      <c r="E85" s="58"/>
      <c r="F85" s="58"/>
      <c r="G85" s="58"/>
      <c r="H85" s="58"/>
      <c r="I85" s="58"/>
      <c r="J85" s="58"/>
      <c r="K85" s="31"/>
      <c r="L85" s="20"/>
      <c r="M85" s="20"/>
      <c r="N85" s="20"/>
      <c r="O85" s="20"/>
      <c r="P85" s="20"/>
      <c r="Q85" s="20"/>
      <c r="R85" s="20"/>
      <c r="S85" s="20"/>
      <c r="T85" s="20"/>
      <c r="U85" s="20"/>
      <c r="V85" s="20"/>
      <c r="W85" s="20"/>
      <c r="X85" s="20"/>
      <c r="Y85" s="20"/>
      <c r="Z85" s="20"/>
    </row>
    <row r="86" spans="4:26" ht="17.25" customHeight="1">
      <c r="D86" s="37"/>
      <c r="E86" s="58"/>
      <c r="F86" s="58"/>
      <c r="G86" s="58"/>
      <c r="H86" s="58"/>
      <c r="I86" s="58"/>
      <c r="J86" s="58"/>
      <c r="K86" s="31"/>
      <c r="L86" s="20"/>
      <c r="M86" s="20"/>
      <c r="N86" s="20"/>
      <c r="O86" s="20"/>
      <c r="P86" s="20"/>
      <c r="Q86" s="20"/>
      <c r="R86" s="20"/>
      <c r="S86" s="20"/>
      <c r="T86" s="20"/>
      <c r="U86" s="20"/>
      <c r="V86" s="20"/>
      <c r="W86" s="20"/>
      <c r="X86" s="20"/>
      <c r="Y86" s="20"/>
      <c r="Z86" s="20"/>
    </row>
    <row r="87" spans="4:26" ht="17.25" customHeight="1">
      <c r="D87" s="37"/>
      <c r="E87" s="58"/>
      <c r="F87" s="58"/>
      <c r="G87" s="58"/>
      <c r="H87" s="58"/>
      <c r="I87" s="58"/>
      <c r="J87" s="58"/>
      <c r="K87" s="31"/>
      <c r="L87" s="20"/>
      <c r="M87" s="20"/>
      <c r="N87" s="20"/>
      <c r="O87" s="20"/>
      <c r="P87" s="20"/>
      <c r="Q87" s="20"/>
      <c r="R87" s="20"/>
      <c r="S87" s="20"/>
      <c r="T87" s="20"/>
      <c r="U87" s="20"/>
      <c r="V87" s="20"/>
      <c r="W87" s="20"/>
      <c r="X87" s="20"/>
      <c r="Y87" s="20"/>
      <c r="Z87" s="20"/>
    </row>
    <row r="88" spans="4:26" ht="17.25" customHeight="1">
      <c r="D88" s="37"/>
      <c r="E88" s="58"/>
      <c r="F88" s="58"/>
      <c r="G88" s="58"/>
      <c r="H88" s="58"/>
      <c r="I88" s="58"/>
      <c r="J88" s="58"/>
      <c r="K88" s="31"/>
      <c r="L88" s="20"/>
      <c r="M88" s="20"/>
      <c r="N88" s="20"/>
      <c r="O88" s="20"/>
      <c r="P88" s="20"/>
      <c r="Q88" s="20"/>
      <c r="R88" s="20"/>
      <c r="S88" s="20"/>
      <c r="T88" s="20"/>
      <c r="U88" s="20"/>
      <c r="V88" s="20"/>
      <c r="W88" s="20"/>
      <c r="X88" s="20"/>
      <c r="Y88" s="20"/>
      <c r="Z88" s="20"/>
    </row>
    <row r="89" spans="4:26" ht="17.25" customHeight="1">
      <c r="D89" s="37"/>
      <c r="E89" s="58"/>
      <c r="F89" s="58"/>
      <c r="G89" s="58"/>
      <c r="H89" s="58"/>
      <c r="I89" s="58"/>
      <c r="J89" s="58"/>
      <c r="K89" s="31"/>
      <c r="L89" s="20"/>
      <c r="M89" s="20"/>
      <c r="N89" s="20"/>
      <c r="O89" s="20"/>
      <c r="P89" s="20"/>
      <c r="Q89" s="20"/>
      <c r="R89" s="20"/>
      <c r="S89" s="20"/>
      <c r="T89" s="20"/>
      <c r="U89" s="20"/>
      <c r="V89" s="20"/>
      <c r="W89" s="20"/>
      <c r="X89" s="20"/>
      <c r="Y89" s="20"/>
      <c r="Z89" s="20"/>
    </row>
    <row r="90" spans="4:26" ht="17.25" customHeight="1">
      <c r="D90" s="37"/>
      <c r="E90" s="58"/>
      <c r="F90" s="58"/>
      <c r="G90" s="58"/>
      <c r="H90" s="58"/>
      <c r="I90" s="58"/>
      <c r="J90" s="58"/>
      <c r="K90" s="31"/>
      <c r="L90" s="20"/>
      <c r="M90" s="20"/>
      <c r="N90" s="20"/>
      <c r="O90" s="20"/>
      <c r="P90" s="20"/>
      <c r="Q90" s="20"/>
      <c r="R90" s="20"/>
      <c r="S90" s="20"/>
      <c r="T90" s="20"/>
      <c r="U90" s="20"/>
      <c r="V90" s="20"/>
      <c r="W90" s="20"/>
      <c r="X90" s="20"/>
      <c r="Y90" s="20"/>
      <c r="Z90" s="20"/>
    </row>
    <row r="91" spans="4:26" ht="17.25" customHeight="1">
      <c r="D91" s="37"/>
      <c r="E91" s="58"/>
      <c r="F91" s="58"/>
      <c r="G91" s="58"/>
      <c r="H91" s="58"/>
      <c r="I91" s="58"/>
      <c r="J91" s="58"/>
      <c r="K91" s="31"/>
      <c r="L91" s="20"/>
      <c r="M91" s="20"/>
      <c r="N91" s="20"/>
      <c r="O91" s="20"/>
      <c r="P91" s="20"/>
      <c r="Q91" s="20"/>
      <c r="R91" s="20"/>
      <c r="S91" s="20"/>
      <c r="T91" s="20"/>
      <c r="U91" s="20"/>
      <c r="V91" s="20"/>
      <c r="W91" s="20"/>
      <c r="X91" s="20"/>
      <c r="Y91" s="20"/>
      <c r="Z91" s="20"/>
    </row>
    <row r="92" spans="4:26" ht="17.25" customHeight="1">
      <c r="D92" s="37"/>
      <c r="E92" s="58"/>
      <c r="F92" s="58"/>
      <c r="G92" s="58"/>
      <c r="H92" s="58"/>
      <c r="I92" s="58"/>
      <c r="J92" s="58"/>
      <c r="K92" s="31"/>
      <c r="L92" s="20"/>
      <c r="M92" s="20"/>
      <c r="N92" s="20"/>
      <c r="O92" s="20"/>
      <c r="P92" s="20"/>
      <c r="Q92" s="20"/>
      <c r="R92" s="20"/>
      <c r="S92" s="20"/>
      <c r="T92" s="20"/>
      <c r="U92" s="20"/>
      <c r="V92" s="20"/>
      <c r="W92" s="20"/>
      <c r="X92" s="20"/>
      <c r="Y92" s="20"/>
      <c r="Z92" s="20"/>
    </row>
    <row r="93" spans="4:26" ht="17.25" customHeight="1">
      <c r="D93" s="37"/>
      <c r="E93" s="58"/>
      <c r="F93" s="58"/>
      <c r="G93" s="58"/>
      <c r="H93" s="58"/>
      <c r="I93" s="58"/>
      <c r="J93" s="58"/>
      <c r="K93" s="31"/>
      <c r="L93" s="20"/>
      <c r="M93" s="20"/>
      <c r="N93" s="20"/>
      <c r="O93" s="20"/>
      <c r="P93" s="20"/>
      <c r="Q93" s="20"/>
      <c r="R93" s="20"/>
      <c r="S93" s="20"/>
      <c r="T93" s="20"/>
      <c r="U93" s="20"/>
      <c r="V93" s="20"/>
      <c r="W93" s="20"/>
      <c r="X93" s="20"/>
      <c r="Y93" s="20"/>
      <c r="Z93" s="20"/>
    </row>
    <row r="94" spans="4:26" ht="17.25" customHeight="1">
      <c r="D94" s="37"/>
      <c r="E94" s="58"/>
      <c r="F94" s="58"/>
      <c r="G94" s="58"/>
      <c r="H94" s="58"/>
      <c r="I94" s="58"/>
      <c r="J94" s="58"/>
      <c r="K94" s="31"/>
      <c r="L94" s="20"/>
      <c r="M94" s="20"/>
      <c r="N94" s="20"/>
      <c r="O94" s="20"/>
      <c r="P94" s="20"/>
      <c r="Q94" s="20"/>
      <c r="R94" s="20"/>
      <c r="S94" s="20"/>
      <c r="T94" s="20"/>
      <c r="U94" s="20"/>
      <c r="V94" s="20"/>
      <c r="W94" s="20"/>
      <c r="X94" s="20"/>
      <c r="Y94" s="20"/>
      <c r="Z94" s="20"/>
    </row>
    <row r="95" spans="4:26" ht="17.25" customHeight="1">
      <c r="D95" s="37"/>
      <c r="E95" s="58"/>
      <c r="F95" s="58"/>
      <c r="G95" s="58"/>
      <c r="H95" s="58"/>
      <c r="I95" s="58"/>
      <c r="J95" s="58"/>
      <c r="K95" s="31"/>
      <c r="L95" s="20"/>
      <c r="M95" s="20"/>
      <c r="N95" s="20"/>
      <c r="O95" s="20"/>
      <c r="P95" s="20"/>
      <c r="Q95" s="20"/>
      <c r="R95" s="20"/>
      <c r="S95" s="20"/>
      <c r="T95" s="20"/>
      <c r="U95" s="20"/>
      <c r="V95" s="20"/>
      <c r="W95" s="20"/>
      <c r="X95" s="20"/>
      <c r="Y95" s="20"/>
      <c r="Z95" s="20"/>
    </row>
    <row r="96" spans="4:26" ht="17.25" customHeight="1">
      <c r="D96" s="37"/>
      <c r="E96" s="58"/>
      <c r="F96" s="58"/>
      <c r="G96" s="58"/>
      <c r="H96" s="58"/>
      <c r="I96" s="58"/>
      <c r="J96" s="58"/>
      <c r="K96" s="31"/>
      <c r="L96" s="20"/>
      <c r="M96" s="20"/>
      <c r="N96" s="20"/>
      <c r="O96" s="20"/>
      <c r="P96" s="20"/>
      <c r="Q96" s="20"/>
      <c r="R96" s="20"/>
      <c r="S96" s="20"/>
      <c r="T96" s="20"/>
      <c r="U96" s="20"/>
      <c r="V96" s="20"/>
      <c r="W96" s="20"/>
      <c r="X96" s="20"/>
      <c r="Y96" s="20"/>
      <c r="Z96" s="20"/>
    </row>
    <row r="97" spans="4:26" ht="17.25" customHeight="1">
      <c r="D97" s="37"/>
      <c r="E97" s="58"/>
      <c r="F97" s="58"/>
      <c r="G97" s="58"/>
      <c r="H97" s="58"/>
      <c r="I97" s="58"/>
      <c r="J97" s="58"/>
      <c r="K97" s="31"/>
      <c r="L97" s="20"/>
      <c r="M97" s="20"/>
      <c r="N97" s="20"/>
      <c r="O97" s="20"/>
      <c r="P97" s="20"/>
      <c r="Q97" s="20"/>
      <c r="R97" s="20"/>
      <c r="S97" s="20"/>
      <c r="T97" s="20"/>
      <c r="U97" s="20"/>
      <c r="V97" s="20"/>
      <c r="W97" s="20"/>
      <c r="X97" s="20"/>
      <c r="Y97" s="20"/>
      <c r="Z97" s="20"/>
    </row>
    <row r="98" spans="4:26" ht="17.25" customHeight="1">
      <c r="D98" s="37"/>
      <c r="E98" s="58"/>
      <c r="F98" s="58"/>
      <c r="G98" s="58"/>
      <c r="H98" s="58"/>
      <c r="I98" s="58"/>
      <c r="J98" s="58"/>
      <c r="K98" s="31"/>
      <c r="L98" s="20"/>
      <c r="M98" s="20"/>
      <c r="N98" s="20"/>
      <c r="O98" s="20"/>
      <c r="P98" s="20"/>
      <c r="Q98" s="20"/>
      <c r="R98" s="20"/>
      <c r="S98" s="20"/>
      <c r="T98" s="20"/>
      <c r="U98" s="20"/>
      <c r="V98" s="20"/>
      <c r="W98" s="20"/>
      <c r="X98" s="20"/>
      <c r="Y98" s="20"/>
      <c r="Z98" s="20"/>
    </row>
    <row r="99" spans="4:26" ht="17.25" customHeight="1">
      <c r="D99" s="37"/>
      <c r="E99" s="58"/>
      <c r="F99" s="58"/>
      <c r="G99" s="58"/>
      <c r="H99" s="58"/>
      <c r="I99" s="58"/>
      <c r="J99" s="58"/>
      <c r="K99" s="31"/>
      <c r="L99" s="20"/>
      <c r="M99" s="20"/>
      <c r="N99" s="20"/>
      <c r="O99" s="20"/>
      <c r="P99" s="20"/>
      <c r="Q99" s="20"/>
      <c r="R99" s="20"/>
      <c r="S99" s="20"/>
      <c r="T99" s="20"/>
      <c r="U99" s="20"/>
      <c r="V99" s="20"/>
      <c r="W99" s="20"/>
      <c r="X99" s="20"/>
      <c r="Y99" s="20"/>
      <c r="Z99" s="20"/>
    </row>
    <row r="100" spans="4:26" ht="17.25" customHeight="1">
      <c r="D100" s="37"/>
      <c r="E100" s="58"/>
      <c r="F100" s="58"/>
      <c r="G100" s="58"/>
      <c r="H100" s="58"/>
      <c r="I100" s="58"/>
      <c r="J100" s="58"/>
      <c r="K100" s="31"/>
      <c r="L100" s="20"/>
      <c r="M100" s="20"/>
      <c r="N100" s="20"/>
      <c r="O100" s="20"/>
      <c r="P100" s="20"/>
      <c r="Q100" s="20"/>
      <c r="R100" s="20"/>
      <c r="S100" s="20"/>
      <c r="T100" s="20"/>
      <c r="U100" s="20"/>
      <c r="V100" s="20"/>
      <c r="W100" s="20"/>
      <c r="X100" s="20"/>
      <c r="Y100" s="20"/>
      <c r="Z100" s="20"/>
    </row>
    <row r="101" spans="4:26" ht="17.25" customHeight="1">
      <c r="D101" s="37"/>
      <c r="E101" s="58"/>
      <c r="F101" s="58"/>
      <c r="G101" s="58"/>
      <c r="H101" s="58"/>
      <c r="I101" s="58"/>
      <c r="J101" s="58"/>
      <c r="K101" s="31"/>
      <c r="L101" s="20"/>
      <c r="M101" s="20"/>
      <c r="N101" s="20"/>
      <c r="O101" s="20"/>
      <c r="P101" s="20"/>
      <c r="Q101" s="20"/>
      <c r="R101" s="20"/>
      <c r="S101" s="20"/>
      <c r="T101" s="20"/>
      <c r="U101" s="20"/>
      <c r="V101" s="20"/>
      <c r="W101" s="20"/>
      <c r="X101" s="20"/>
      <c r="Y101" s="20"/>
      <c r="Z101" s="20"/>
    </row>
    <row r="102" spans="4:26" ht="17.25" customHeight="1">
      <c r="D102" s="37"/>
      <c r="E102" s="58"/>
      <c r="F102" s="58"/>
      <c r="G102" s="58"/>
      <c r="H102" s="58"/>
      <c r="I102" s="58"/>
      <c r="J102" s="58"/>
      <c r="K102" s="31"/>
      <c r="L102" s="20"/>
      <c r="M102" s="20"/>
      <c r="N102" s="20"/>
      <c r="O102" s="20"/>
      <c r="P102" s="20"/>
      <c r="Q102" s="20"/>
      <c r="R102" s="20"/>
      <c r="S102" s="20"/>
      <c r="T102" s="20"/>
      <c r="U102" s="20"/>
      <c r="V102" s="20"/>
      <c r="W102" s="20"/>
      <c r="X102" s="20"/>
      <c r="Y102" s="20"/>
      <c r="Z102" s="20"/>
    </row>
    <row r="103" spans="4:26" ht="17.25" customHeight="1">
      <c r="D103" s="37"/>
      <c r="E103" s="58"/>
      <c r="F103" s="58"/>
      <c r="G103" s="58"/>
      <c r="H103" s="58"/>
      <c r="I103" s="58"/>
      <c r="J103" s="58"/>
      <c r="K103" s="31"/>
      <c r="L103" s="20"/>
      <c r="M103" s="20"/>
      <c r="N103" s="20"/>
      <c r="O103" s="20"/>
      <c r="P103" s="20"/>
      <c r="Q103" s="20"/>
      <c r="R103" s="20"/>
      <c r="S103" s="20"/>
      <c r="T103" s="20"/>
      <c r="U103" s="20"/>
      <c r="V103" s="20"/>
      <c r="W103" s="20"/>
      <c r="X103" s="20"/>
      <c r="Y103" s="20"/>
      <c r="Z103" s="20"/>
    </row>
    <row r="104" spans="4:26" ht="17.25" customHeight="1">
      <c r="D104" s="37"/>
      <c r="E104" s="58"/>
      <c r="F104" s="58"/>
      <c r="G104" s="58"/>
      <c r="H104" s="58"/>
      <c r="I104" s="58"/>
      <c r="J104" s="58"/>
      <c r="K104" s="31"/>
      <c r="L104" s="20"/>
      <c r="M104" s="20"/>
      <c r="N104" s="20"/>
      <c r="O104" s="20"/>
      <c r="P104" s="20"/>
      <c r="Q104" s="20"/>
      <c r="R104" s="20"/>
      <c r="S104" s="20"/>
      <c r="T104" s="20"/>
      <c r="U104" s="20"/>
      <c r="V104" s="20"/>
      <c r="W104" s="20"/>
      <c r="X104" s="20"/>
      <c r="Y104" s="20"/>
      <c r="Z104" s="20"/>
    </row>
    <row r="105" spans="4:26" ht="17.25" customHeight="1">
      <c r="D105" s="37"/>
      <c r="E105" s="58"/>
      <c r="F105" s="58"/>
      <c r="G105" s="58"/>
      <c r="H105" s="58"/>
      <c r="I105" s="58"/>
      <c r="J105" s="58"/>
      <c r="K105" s="31"/>
      <c r="L105" s="20"/>
      <c r="M105" s="20"/>
      <c r="N105" s="20"/>
      <c r="O105" s="20"/>
      <c r="P105" s="20"/>
      <c r="Q105" s="20"/>
      <c r="R105" s="20"/>
      <c r="S105" s="20"/>
      <c r="T105" s="20"/>
      <c r="U105" s="20"/>
      <c r="V105" s="20"/>
      <c r="W105" s="20"/>
      <c r="X105" s="20"/>
      <c r="Y105" s="20"/>
      <c r="Z105" s="20"/>
    </row>
    <row r="106" spans="4:26" ht="17.25" customHeight="1">
      <c r="D106" s="37"/>
      <c r="E106" s="58"/>
      <c r="F106" s="58"/>
      <c r="G106" s="58"/>
      <c r="H106" s="58"/>
      <c r="I106" s="58"/>
      <c r="J106" s="58"/>
      <c r="K106" s="31"/>
      <c r="L106" s="20"/>
      <c r="M106" s="20"/>
      <c r="N106" s="20"/>
      <c r="O106" s="20"/>
      <c r="P106" s="20"/>
      <c r="Q106" s="20"/>
      <c r="R106" s="20"/>
      <c r="S106" s="20"/>
      <c r="T106" s="20"/>
      <c r="U106" s="20"/>
      <c r="V106" s="20"/>
      <c r="W106" s="20"/>
      <c r="X106" s="20"/>
      <c r="Y106" s="20"/>
      <c r="Z106" s="20"/>
    </row>
    <row r="107" spans="4:26" ht="17.25" customHeight="1">
      <c r="D107" s="37"/>
      <c r="E107" s="58"/>
      <c r="F107" s="58"/>
      <c r="G107" s="58"/>
      <c r="H107" s="58"/>
      <c r="I107" s="58"/>
      <c r="J107" s="58"/>
      <c r="K107" s="31"/>
      <c r="L107" s="20"/>
      <c r="M107" s="20"/>
      <c r="N107" s="20"/>
      <c r="O107" s="20"/>
      <c r="P107" s="20"/>
      <c r="Q107" s="20"/>
      <c r="R107" s="20"/>
      <c r="S107" s="20"/>
      <c r="T107" s="20"/>
      <c r="U107" s="20"/>
      <c r="V107" s="20"/>
      <c r="W107" s="20"/>
      <c r="X107" s="20"/>
      <c r="Y107" s="20"/>
      <c r="Z107" s="20"/>
    </row>
    <row r="108" spans="4:26" ht="17.25" customHeight="1">
      <c r="D108" s="37"/>
      <c r="E108" s="58"/>
      <c r="F108" s="58"/>
      <c r="G108" s="58"/>
      <c r="H108" s="58"/>
      <c r="I108" s="58"/>
      <c r="J108" s="58"/>
      <c r="K108" s="31"/>
      <c r="L108" s="20"/>
      <c r="M108" s="20"/>
      <c r="N108" s="20"/>
      <c r="O108" s="20"/>
      <c r="P108" s="20"/>
      <c r="Q108" s="20"/>
      <c r="R108" s="20"/>
      <c r="S108" s="20"/>
      <c r="T108" s="20"/>
      <c r="U108" s="20"/>
      <c r="V108" s="20"/>
      <c r="W108" s="20"/>
      <c r="X108" s="20"/>
      <c r="Y108" s="20"/>
      <c r="Z108" s="20"/>
    </row>
    <row r="109" spans="4:26" ht="17.25" customHeight="1">
      <c r="D109" s="37"/>
      <c r="E109" s="58"/>
      <c r="F109" s="58"/>
      <c r="G109" s="58"/>
      <c r="H109" s="58"/>
      <c r="I109" s="58"/>
      <c r="J109" s="58"/>
      <c r="K109" s="31"/>
      <c r="L109" s="20"/>
      <c r="M109" s="20"/>
      <c r="N109" s="20"/>
      <c r="O109" s="20"/>
      <c r="P109" s="20"/>
      <c r="Q109" s="20"/>
      <c r="R109" s="20"/>
      <c r="S109" s="20"/>
      <c r="T109" s="20"/>
      <c r="U109" s="20"/>
      <c r="V109" s="20"/>
      <c r="W109" s="20"/>
      <c r="X109" s="20"/>
      <c r="Y109" s="20"/>
      <c r="Z109" s="20"/>
    </row>
    <row r="110" spans="4:26" ht="17.25" customHeight="1">
      <c r="D110" s="37"/>
      <c r="E110" s="58"/>
      <c r="F110" s="58"/>
      <c r="G110" s="58"/>
      <c r="H110" s="58"/>
      <c r="I110" s="58"/>
      <c r="J110" s="58"/>
      <c r="K110" s="31"/>
      <c r="L110" s="20"/>
      <c r="M110" s="20"/>
      <c r="N110" s="20"/>
      <c r="O110" s="20"/>
      <c r="P110" s="20"/>
      <c r="Q110" s="20"/>
      <c r="R110" s="20"/>
      <c r="S110" s="20"/>
      <c r="T110" s="20"/>
      <c r="U110" s="20"/>
      <c r="V110" s="20"/>
      <c r="W110" s="20"/>
      <c r="X110" s="20"/>
      <c r="Y110" s="20"/>
      <c r="Z110" s="20"/>
    </row>
    <row r="111" spans="4:26" ht="17.25" customHeight="1">
      <c r="D111" s="37"/>
      <c r="E111" s="58"/>
      <c r="F111" s="58"/>
      <c r="G111" s="58"/>
      <c r="H111" s="58"/>
      <c r="I111" s="58"/>
      <c r="J111" s="58"/>
      <c r="K111" s="31"/>
      <c r="L111" s="20"/>
      <c r="M111" s="20"/>
      <c r="N111" s="20"/>
      <c r="O111" s="20"/>
      <c r="P111" s="20"/>
      <c r="Q111" s="20"/>
      <c r="R111" s="20"/>
      <c r="S111" s="20"/>
      <c r="T111" s="20"/>
      <c r="U111" s="20"/>
      <c r="V111" s="20"/>
      <c r="W111" s="20"/>
      <c r="X111" s="20"/>
      <c r="Y111" s="20"/>
      <c r="Z111" s="20"/>
    </row>
    <row r="112" spans="4:26" ht="17.25" customHeight="1">
      <c r="D112" s="37"/>
      <c r="E112" s="58"/>
      <c r="F112" s="58"/>
      <c r="G112" s="58"/>
      <c r="H112" s="58"/>
      <c r="I112" s="58"/>
      <c r="J112" s="58"/>
      <c r="K112" s="31"/>
      <c r="L112" s="20"/>
      <c r="M112" s="20"/>
      <c r="N112" s="20"/>
      <c r="O112" s="20"/>
      <c r="P112" s="20"/>
      <c r="Q112" s="20"/>
      <c r="R112" s="20"/>
      <c r="S112" s="20"/>
      <c r="T112" s="20"/>
      <c r="U112" s="20"/>
      <c r="V112" s="20"/>
      <c r="W112" s="20"/>
      <c r="X112" s="20"/>
      <c r="Y112" s="20"/>
      <c r="Z112" s="20"/>
    </row>
    <row r="113" spans="4:26" ht="17.25" customHeight="1">
      <c r="D113" s="37"/>
      <c r="E113" s="58"/>
      <c r="F113" s="58"/>
      <c r="G113" s="58"/>
      <c r="H113" s="58"/>
      <c r="I113" s="58"/>
      <c r="J113" s="58"/>
      <c r="K113" s="31"/>
      <c r="L113" s="20"/>
      <c r="M113" s="20"/>
      <c r="N113" s="20"/>
      <c r="O113" s="20"/>
      <c r="P113" s="20"/>
      <c r="Q113" s="20"/>
      <c r="R113" s="20"/>
      <c r="S113" s="20"/>
      <c r="T113" s="20"/>
      <c r="U113" s="20"/>
      <c r="V113" s="20"/>
      <c r="W113" s="20"/>
      <c r="X113" s="20"/>
      <c r="Y113" s="20"/>
      <c r="Z113" s="20"/>
    </row>
    <row r="114" spans="4:26" ht="17.25" customHeight="1">
      <c r="D114" s="37"/>
      <c r="E114" s="58"/>
      <c r="F114" s="58"/>
      <c r="G114" s="58"/>
      <c r="H114" s="58"/>
      <c r="I114" s="58"/>
      <c r="J114" s="58"/>
      <c r="K114" s="31"/>
      <c r="L114" s="20"/>
      <c r="M114" s="20"/>
      <c r="N114" s="20"/>
      <c r="O114" s="20"/>
      <c r="P114" s="20"/>
      <c r="Q114" s="20"/>
      <c r="R114" s="20"/>
      <c r="S114" s="20"/>
      <c r="T114" s="20"/>
      <c r="U114" s="20"/>
      <c r="V114" s="20"/>
      <c r="W114" s="20"/>
      <c r="X114" s="20"/>
      <c r="Y114" s="20"/>
      <c r="Z114" s="20"/>
    </row>
    <row r="115" spans="4:26" ht="17.25" customHeight="1">
      <c r="D115" s="37"/>
      <c r="E115" s="58"/>
      <c r="F115" s="58"/>
      <c r="G115" s="58"/>
      <c r="H115" s="58"/>
      <c r="I115" s="58"/>
      <c r="J115" s="58"/>
      <c r="K115" s="31"/>
      <c r="L115" s="20"/>
      <c r="M115" s="20"/>
      <c r="N115" s="20"/>
      <c r="O115" s="20"/>
      <c r="P115" s="20"/>
      <c r="Q115" s="20"/>
      <c r="R115" s="20"/>
      <c r="S115" s="20"/>
      <c r="T115" s="20"/>
      <c r="U115" s="20"/>
      <c r="V115" s="20"/>
      <c r="W115" s="20"/>
      <c r="X115" s="20"/>
      <c r="Y115" s="20"/>
      <c r="Z115" s="20"/>
    </row>
    <row r="116" spans="4:26" ht="17.25" customHeight="1">
      <c r="D116" s="37"/>
      <c r="E116" s="58"/>
      <c r="F116" s="58"/>
      <c r="G116" s="58"/>
      <c r="H116" s="58"/>
      <c r="I116" s="58"/>
      <c r="J116" s="58"/>
      <c r="K116" s="31"/>
      <c r="L116" s="20"/>
      <c r="M116" s="20"/>
      <c r="N116" s="20"/>
      <c r="O116" s="20"/>
      <c r="P116" s="20"/>
      <c r="Q116" s="20"/>
      <c r="R116" s="20"/>
      <c r="S116" s="20"/>
      <c r="T116" s="20"/>
      <c r="U116" s="20"/>
      <c r="V116" s="20"/>
      <c r="W116" s="20"/>
      <c r="X116" s="20"/>
      <c r="Y116" s="20"/>
      <c r="Z116" s="20"/>
    </row>
    <row r="117" spans="4:26" ht="17.25" customHeight="1">
      <c r="D117" s="37"/>
      <c r="E117" s="58"/>
      <c r="F117" s="58"/>
      <c r="G117" s="58"/>
      <c r="H117" s="58"/>
      <c r="I117" s="58"/>
      <c r="J117" s="58"/>
      <c r="K117" s="31"/>
      <c r="L117" s="20"/>
      <c r="M117" s="20"/>
      <c r="N117" s="20"/>
      <c r="O117" s="20"/>
      <c r="P117" s="20"/>
      <c r="Q117" s="20"/>
      <c r="R117" s="20"/>
      <c r="S117" s="20"/>
      <c r="T117" s="20"/>
      <c r="U117" s="20"/>
      <c r="V117" s="20"/>
      <c r="W117" s="20"/>
      <c r="X117" s="20"/>
      <c r="Y117" s="20"/>
      <c r="Z117" s="20"/>
    </row>
    <row r="118" spans="4:26" ht="17.25" customHeight="1">
      <c r="D118" s="37"/>
      <c r="E118" s="58"/>
      <c r="F118" s="58"/>
      <c r="G118" s="58"/>
      <c r="H118" s="58"/>
      <c r="I118" s="58"/>
      <c r="J118" s="58"/>
      <c r="K118" s="31"/>
      <c r="L118" s="20"/>
      <c r="M118" s="20"/>
      <c r="N118" s="20"/>
      <c r="O118" s="20"/>
      <c r="P118" s="20"/>
      <c r="Q118" s="20"/>
      <c r="R118" s="20"/>
      <c r="S118" s="20"/>
      <c r="T118" s="20"/>
      <c r="U118" s="20"/>
      <c r="V118" s="20"/>
      <c r="W118" s="20"/>
      <c r="X118" s="20"/>
      <c r="Y118" s="20"/>
      <c r="Z118" s="20"/>
    </row>
    <row r="119" spans="4:26" ht="17.25" customHeight="1">
      <c r="D119" s="37"/>
      <c r="E119" s="58"/>
      <c r="F119" s="58"/>
      <c r="G119" s="58"/>
      <c r="H119" s="58"/>
      <c r="I119" s="58"/>
      <c r="J119" s="58"/>
      <c r="K119" s="31"/>
      <c r="L119" s="20"/>
      <c r="M119" s="20"/>
      <c r="N119" s="20"/>
      <c r="O119" s="20"/>
      <c r="P119" s="20"/>
      <c r="Q119" s="20"/>
      <c r="R119" s="20"/>
      <c r="S119" s="20"/>
      <c r="T119" s="20"/>
      <c r="U119" s="20"/>
      <c r="V119" s="20"/>
      <c r="W119" s="20"/>
      <c r="X119" s="20"/>
      <c r="Y119" s="20"/>
      <c r="Z119" s="20"/>
    </row>
    <row r="120" spans="4:26" ht="17.25" customHeight="1">
      <c r="D120" s="37"/>
      <c r="E120" s="58"/>
      <c r="F120" s="58"/>
      <c r="G120" s="58"/>
      <c r="H120" s="58"/>
      <c r="I120" s="58"/>
      <c r="J120" s="58"/>
      <c r="K120" s="31"/>
      <c r="L120" s="20"/>
      <c r="M120" s="20"/>
      <c r="N120" s="20"/>
      <c r="O120" s="20"/>
      <c r="P120" s="20"/>
      <c r="Q120" s="20"/>
      <c r="R120" s="20"/>
      <c r="S120" s="20"/>
      <c r="T120" s="20"/>
      <c r="U120" s="20"/>
      <c r="V120" s="20"/>
      <c r="W120" s="20"/>
      <c r="X120" s="20"/>
      <c r="Y120" s="20"/>
      <c r="Z120" s="20"/>
    </row>
    <row r="121" spans="4:26" ht="17.25" customHeight="1">
      <c r="D121" s="37"/>
      <c r="E121" s="58"/>
      <c r="F121" s="58"/>
      <c r="G121" s="58"/>
      <c r="H121" s="58"/>
      <c r="I121" s="58"/>
      <c r="J121" s="58"/>
      <c r="K121" s="31"/>
      <c r="L121" s="20"/>
      <c r="M121" s="20"/>
      <c r="N121" s="20"/>
      <c r="O121" s="20"/>
      <c r="P121" s="20"/>
      <c r="Q121" s="20"/>
      <c r="R121" s="20"/>
      <c r="S121" s="20"/>
      <c r="T121" s="20"/>
      <c r="U121" s="20"/>
      <c r="V121" s="20"/>
      <c r="W121" s="20"/>
      <c r="X121" s="20"/>
      <c r="Y121" s="20"/>
      <c r="Z121" s="20"/>
    </row>
    <row r="122" spans="4:26" ht="17.25" customHeight="1">
      <c r="D122" s="37"/>
      <c r="E122" s="58"/>
      <c r="F122" s="58"/>
      <c r="G122" s="58"/>
      <c r="H122" s="58"/>
      <c r="I122" s="58"/>
      <c r="J122" s="58"/>
      <c r="K122" s="31"/>
      <c r="L122" s="20"/>
      <c r="M122" s="20"/>
      <c r="N122" s="20"/>
      <c r="O122" s="20"/>
      <c r="P122" s="20"/>
      <c r="Q122" s="20"/>
      <c r="R122" s="20"/>
      <c r="S122" s="20"/>
      <c r="T122" s="20"/>
      <c r="U122" s="20"/>
      <c r="V122" s="20"/>
      <c r="W122" s="20"/>
      <c r="X122" s="20"/>
      <c r="Y122" s="20"/>
      <c r="Z122" s="20"/>
    </row>
    <row r="123" spans="4:26" ht="17.25" customHeight="1">
      <c r="D123" s="37"/>
      <c r="E123" s="58"/>
      <c r="F123" s="58"/>
      <c r="G123" s="58"/>
      <c r="H123" s="58"/>
      <c r="I123" s="58"/>
      <c r="J123" s="58"/>
      <c r="K123" s="31"/>
      <c r="L123" s="20"/>
      <c r="M123" s="20"/>
      <c r="N123" s="20"/>
      <c r="O123" s="20"/>
      <c r="P123" s="20"/>
      <c r="Q123" s="20"/>
      <c r="R123" s="20"/>
      <c r="S123" s="20"/>
      <c r="T123" s="20"/>
      <c r="U123" s="20"/>
      <c r="V123" s="20"/>
      <c r="W123" s="20"/>
      <c r="X123" s="20"/>
      <c r="Y123" s="20"/>
      <c r="Z123" s="20"/>
    </row>
    <row r="124" spans="4:26" ht="17.25" customHeight="1">
      <c r="D124" s="37"/>
      <c r="E124" s="58"/>
      <c r="F124" s="58"/>
      <c r="G124" s="58"/>
      <c r="H124" s="58"/>
      <c r="I124" s="58"/>
      <c r="J124" s="58"/>
      <c r="K124" s="31"/>
      <c r="L124" s="20"/>
      <c r="M124" s="20"/>
      <c r="N124" s="20"/>
      <c r="O124" s="20"/>
      <c r="P124" s="20"/>
      <c r="Q124" s="20"/>
      <c r="R124" s="20"/>
      <c r="S124" s="20"/>
      <c r="T124" s="20"/>
      <c r="U124" s="20"/>
      <c r="V124" s="20"/>
      <c r="W124" s="20"/>
      <c r="X124" s="20"/>
      <c r="Y124" s="20"/>
      <c r="Z124" s="20"/>
    </row>
    <row r="125" spans="4:26" ht="17.25" customHeight="1">
      <c r="D125" s="37"/>
      <c r="E125" s="58"/>
      <c r="F125" s="58"/>
      <c r="G125" s="58"/>
      <c r="H125" s="58"/>
      <c r="I125" s="58"/>
      <c r="J125" s="58"/>
      <c r="K125" s="31"/>
      <c r="L125" s="20"/>
      <c r="M125" s="20"/>
      <c r="N125" s="20"/>
      <c r="O125" s="20"/>
      <c r="P125" s="20"/>
      <c r="Q125" s="20"/>
      <c r="R125" s="20"/>
      <c r="S125" s="20"/>
      <c r="T125" s="20"/>
      <c r="U125" s="20"/>
      <c r="V125" s="20"/>
      <c r="W125" s="20"/>
      <c r="X125" s="20"/>
      <c r="Y125" s="20"/>
      <c r="Z125" s="20"/>
    </row>
    <row r="126" spans="4:26" ht="17.25" customHeight="1">
      <c r="D126" s="37"/>
      <c r="E126" s="58"/>
      <c r="F126" s="58"/>
      <c r="G126" s="58"/>
      <c r="H126" s="58"/>
      <c r="I126" s="58"/>
      <c r="J126" s="58"/>
      <c r="K126" s="31"/>
      <c r="L126" s="20"/>
      <c r="M126" s="20"/>
      <c r="N126" s="20"/>
      <c r="O126" s="20"/>
      <c r="P126" s="20"/>
      <c r="Q126" s="20"/>
      <c r="R126" s="20"/>
      <c r="S126" s="20"/>
      <c r="T126" s="20"/>
      <c r="U126" s="20"/>
      <c r="V126" s="20"/>
      <c r="W126" s="20"/>
      <c r="X126" s="20"/>
      <c r="Y126" s="20"/>
      <c r="Z126" s="20"/>
    </row>
    <row r="127" spans="4:26" ht="17.25" customHeight="1">
      <c r="D127" s="37"/>
      <c r="E127" s="58"/>
      <c r="F127" s="58"/>
      <c r="G127" s="58"/>
      <c r="H127" s="58"/>
      <c r="I127" s="58"/>
      <c r="J127" s="58"/>
      <c r="K127" s="31"/>
      <c r="L127" s="20"/>
      <c r="M127" s="20"/>
      <c r="N127" s="20"/>
      <c r="O127" s="20"/>
      <c r="P127" s="20"/>
      <c r="Q127" s="20"/>
      <c r="R127" s="20"/>
      <c r="S127" s="20"/>
      <c r="T127" s="20"/>
      <c r="U127" s="20"/>
      <c r="V127" s="20"/>
      <c r="W127" s="20"/>
      <c r="X127" s="20"/>
      <c r="Y127" s="20"/>
      <c r="Z127" s="20"/>
    </row>
    <row r="128" spans="4:26" ht="17.25" customHeight="1">
      <c r="D128" s="37"/>
      <c r="E128" s="58"/>
      <c r="F128" s="58"/>
      <c r="G128" s="58"/>
      <c r="H128" s="58"/>
      <c r="I128" s="58"/>
      <c r="J128" s="58"/>
      <c r="K128" s="31"/>
      <c r="L128" s="20"/>
      <c r="M128" s="20"/>
      <c r="N128" s="20"/>
      <c r="O128" s="20"/>
      <c r="P128" s="20"/>
      <c r="Q128" s="20"/>
      <c r="R128" s="20"/>
      <c r="S128" s="20"/>
      <c r="T128" s="20"/>
      <c r="U128" s="20"/>
      <c r="V128" s="20"/>
      <c r="W128" s="20"/>
      <c r="X128" s="20"/>
      <c r="Y128" s="20"/>
      <c r="Z128" s="20"/>
    </row>
    <row r="129" spans="4:26" ht="17.25" customHeight="1">
      <c r="D129" s="37"/>
      <c r="E129" s="58"/>
      <c r="F129" s="58"/>
      <c r="G129" s="58"/>
      <c r="H129" s="58"/>
      <c r="I129" s="58"/>
      <c r="J129" s="58"/>
      <c r="K129" s="31"/>
      <c r="L129" s="20"/>
      <c r="M129" s="20"/>
      <c r="N129" s="20"/>
      <c r="O129" s="20"/>
      <c r="P129" s="20"/>
      <c r="Q129" s="20"/>
      <c r="R129" s="20"/>
      <c r="S129" s="20"/>
      <c r="T129" s="20"/>
      <c r="U129" s="20"/>
      <c r="V129" s="20"/>
      <c r="W129" s="20"/>
      <c r="X129" s="20"/>
      <c r="Y129" s="20"/>
      <c r="Z129" s="20"/>
    </row>
    <row r="130" spans="4:26" ht="17.25" customHeight="1">
      <c r="D130" s="37"/>
      <c r="E130" s="58"/>
      <c r="F130" s="58"/>
      <c r="G130" s="58"/>
      <c r="H130" s="58"/>
      <c r="I130" s="58"/>
      <c r="J130" s="58"/>
      <c r="K130" s="31"/>
      <c r="L130" s="20"/>
      <c r="M130" s="20"/>
      <c r="N130" s="20"/>
      <c r="O130" s="20"/>
      <c r="P130" s="20"/>
      <c r="Q130" s="20"/>
      <c r="R130" s="20"/>
      <c r="S130" s="20"/>
      <c r="T130" s="20"/>
      <c r="U130" s="20"/>
      <c r="V130" s="20"/>
      <c r="W130" s="20"/>
      <c r="X130" s="20"/>
      <c r="Y130" s="20"/>
      <c r="Z130" s="20"/>
    </row>
    <row r="131" spans="4:26" ht="17.25" customHeight="1">
      <c r="D131" s="37"/>
      <c r="E131" s="58"/>
      <c r="F131" s="58"/>
      <c r="G131" s="58"/>
      <c r="H131" s="58"/>
      <c r="I131" s="58"/>
      <c r="J131" s="58"/>
      <c r="K131" s="31"/>
      <c r="L131" s="20"/>
      <c r="M131" s="20"/>
      <c r="N131" s="20"/>
      <c r="O131" s="20"/>
      <c r="P131" s="20"/>
      <c r="Q131" s="20"/>
      <c r="R131" s="20"/>
      <c r="S131" s="20"/>
      <c r="T131" s="20"/>
      <c r="U131" s="20"/>
      <c r="V131" s="20"/>
      <c r="W131" s="20"/>
      <c r="X131" s="20"/>
      <c r="Y131" s="20"/>
      <c r="Z131" s="20"/>
    </row>
    <row r="132" spans="4:26" ht="17.25" customHeight="1">
      <c r="D132" s="37"/>
      <c r="E132" s="58"/>
      <c r="F132" s="58"/>
      <c r="G132" s="58"/>
      <c r="H132" s="58"/>
      <c r="I132" s="58"/>
      <c r="J132" s="58"/>
      <c r="K132" s="31"/>
      <c r="L132" s="20"/>
      <c r="M132" s="20"/>
      <c r="N132" s="20"/>
      <c r="O132" s="20"/>
      <c r="P132" s="20"/>
      <c r="Q132" s="20"/>
      <c r="R132" s="20"/>
      <c r="S132" s="20"/>
      <c r="T132" s="20"/>
      <c r="U132" s="20"/>
      <c r="V132" s="20"/>
      <c r="W132" s="20"/>
      <c r="X132" s="20"/>
      <c r="Y132" s="20"/>
      <c r="Z132" s="20"/>
    </row>
    <row r="133" spans="4:26" ht="17.25" customHeight="1">
      <c r="D133" s="37"/>
      <c r="E133" s="58"/>
      <c r="F133" s="58"/>
      <c r="G133" s="58"/>
      <c r="H133" s="58"/>
      <c r="I133" s="58"/>
      <c r="J133" s="58"/>
      <c r="K133" s="31"/>
      <c r="L133" s="20"/>
      <c r="M133" s="20"/>
      <c r="N133" s="20"/>
      <c r="O133" s="20"/>
      <c r="P133" s="20"/>
      <c r="Q133" s="20"/>
      <c r="R133" s="20"/>
      <c r="S133" s="20"/>
      <c r="T133" s="20"/>
      <c r="U133" s="20"/>
      <c r="V133" s="20"/>
      <c r="W133" s="20"/>
      <c r="X133" s="20"/>
      <c r="Y133" s="20"/>
      <c r="Z133" s="20"/>
    </row>
    <row r="134" spans="4:26" ht="17.25" customHeight="1">
      <c r="D134" s="37"/>
      <c r="E134" s="58"/>
      <c r="F134" s="58"/>
      <c r="G134" s="58"/>
      <c r="H134" s="58"/>
      <c r="I134" s="58"/>
      <c r="J134" s="58"/>
      <c r="K134" s="31"/>
      <c r="L134" s="20"/>
      <c r="M134" s="20"/>
      <c r="N134" s="20"/>
      <c r="O134" s="20"/>
      <c r="P134" s="20"/>
      <c r="Q134" s="20"/>
      <c r="R134" s="20"/>
      <c r="S134" s="20"/>
      <c r="T134" s="20"/>
      <c r="U134" s="20"/>
      <c r="V134" s="20"/>
      <c r="W134" s="20"/>
      <c r="X134" s="20"/>
      <c r="Y134" s="20"/>
      <c r="Z134" s="20"/>
    </row>
    <row r="135" spans="4:26" ht="17.25" customHeight="1">
      <c r="D135" s="37"/>
      <c r="E135" s="58"/>
      <c r="F135" s="58"/>
      <c r="G135" s="58"/>
      <c r="H135" s="58"/>
      <c r="I135" s="58"/>
      <c r="J135" s="58"/>
      <c r="K135" s="31"/>
      <c r="L135" s="20"/>
      <c r="M135" s="20"/>
      <c r="N135" s="20"/>
      <c r="O135" s="20"/>
      <c r="P135" s="20"/>
      <c r="Q135" s="20"/>
      <c r="R135" s="20"/>
      <c r="S135" s="20"/>
      <c r="T135" s="20"/>
      <c r="U135" s="20"/>
      <c r="V135" s="20"/>
      <c r="W135" s="20"/>
      <c r="X135" s="20"/>
      <c r="Y135" s="20"/>
      <c r="Z135" s="20"/>
    </row>
    <row r="136" spans="4:26" ht="17.25" customHeight="1">
      <c r="D136" s="37"/>
      <c r="E136" s="58"/>
      <c r="F136" s="58"/>
      <c r="G136" s="58"/>
      <c r="H136" s="58"/>
      <c r="I136" s="58"/>
      <c r="J136" s="58"/>
      <c r="K136" s="31"/>
      <c r="L136" s="20"/>
      <c r="M136" s="20"/>
      <c r="N136" s="20"/>
      <c r="O136" s="20"/>
      <c r="P136" s="20"/>
      <c r="Q136" s="20"/>
      <c r="R136" s="20"/>
      <c r="S136" s="20"/>
      <c r="T136" s="20"/>
      <c r="U136" s="20"/>
      <c r="V136" s="20"/>
      <c r="W136" s="20"/>
      <c r="X136" s="20"/>
      <c r="Y136" s="20"/>
      <c r="Z136" s="20"/>
    </row>
    <row r="137" spans="4:26" ht="17.25" customHeight="1">
      <c r="D137" s="37"/>
      <c r="E137" s="58"/>
      <c r="F137" s="58"/>
      <c r="G137" s="58"/>
      <c r="H137" s="58"/>
      <c r="I137" s="58"/>
      <c r="J137" s="58"/>
      <c r="K137" s="31"/>
      <c r="L137" s="20"/>
      <c r="M137" s="20"/>
      <c r="N137" s="20"/>
      <c r="O137" s="20"/>
      <c r="P137" s="20"/>
      <c r="Q137" s="20"/>
      <c r="R137" s="20"/>
      <c r="S137" s="20"/>
      <c r="T137" s="20"/>
      <c r="U137" s="20"/>
      <c r="V137" s="20"/>
      <c r="W137" s="20"/>
      <c r="X137" s="20"/>
      <c r="Y137" s="20"/>
      <c r="Z137" s="20"/>
    </row>
    <row r="138" spans="4:26" ht="17.25" customHeight="1">
      <c r="D138" s="37"/>
      <c r="E138" s="58"/>
      <c r="F138" s="58"/>
      <c r="G138" s="58"/>
      <c r="H138" s="58"/>
      <c r="I138" s="58"/>
      <c r="J138" s="58"/>
      <c r="K138" s="31"/>
      <c r="L138" s="20"/>
      <c r="M138" s="20"/>
      <c r="N138" s="20"/>
      <c r="O138" s="20"/>
      <c r="P138" s="20"/>
      <c r="Q138" s="20"/>
      <c r="R138" s="20"/>
      <c r="S138" s="20"/>
      <c r="T138" s="20"/>
      <c r="U138" s="20"/>
      <c r="V138" s="20"/>
      <c r="W138" s="20"/>
      <c r="X138" s="20"/>
      <c r="Y138" s="20"/>
      <c r="Z138" s="20"/>
    </row>
    <row r="139" spans="4:26" ht="17.25" customHeight="1">
      <c r="D139" s="37"/>
      <c r="E139" s="58"/>
      <c r="F139" s="58"/>
      <c r="G139" s="58"/>
      <c r="H139" s="58"/>
      <c r="I139" s="58"/>
      <c r="J139" s="58"/>
      <c r="K139" s="31"/>
      <c r="L139" s="20"/>
      <c r="M139" s="20"/>
      <c r="N139" s="20"/>
      <c r="O139" s="20"/>
      <c r="P139" s="20"/>
      <c r="Q139" s="20"/>
      <c r="R139" s="20"/>
      <c r="S139" s="20"/>
      <c r="T139" s="20"/>
      <c r="U139" s="20"/>
      <c r="V139" s="20"/>
      <c r="W139" s="20"/>
      <c r="X139" s="20"/>
      <c r="Y139" s="20"/>
      <c r="Z139" s="20"/>
    </row>
    <row r="140" spans="4:26" ht="17.25" customHeight="1">
      <c r="D140" s="37"/>
      <c r="E140" s="58"/>
      <c r="F140" s="58"/>
      <c r="G140" s="58"/>
      <c r="H140" s="58"/>
      <c r="I140" s="58"/>
      <c r="J140" s="58"/>
      <c r="K140" s="31"/>
      <c r="L140" s="20"/>
      <c r="M140" s="20"/>
      <c r="N140" s="20"/>
      <c r="O140" s="20"/>
      <c r="P140" s="20"/>
      <c r="Q140" s="20"/>
      <c r="R140" s="20"/>
      <c r="S140" s="20"/>
      <c r="T140" s="20"/>
      <c r="U140" s="20"/>
      <c r="V140" s="20"/>
      <c r="W140" s="20"/>
      <c r="X140" s="20"/>
      <c r="Y140" s="20"/>
      <c r="Z140" s="20"/>
    </row>
    <row r="141" spans="4:26" ht="17.25" customHeight="1">
      <c r="D141" s="37"/>
      <c r="E141" s="58"/>
      <c r="F141" s="58"/>
      <c r="G141" s="58"/>
      <c r="H141" s="58"/>
      <c r="I141" s="58"/>
      <c r="J141" s="58"/>
      <c r="K141" s="31"/>
      <c r="L141" s="20"/>
      <c r="M141" s="20"/>
      <c r="N141" s="20"/>
      <c r="O141" s="20"/>
      <c r="P141" s="20"/>
      <c r="Q141" s="20"/>
      <c r="R141" s="20"/>
      <c r="S141" s="20"/>
      <c r="T141" s="20"/>
      <c r="U141" s="20"/>
      <c r="V141" s="20"/>
      <c r="W141" s="20"/>
      <c r="X141" s="20"/>
      <c r="Y141" s="20"/>
      <c r="Z141" s="20"/>
    </row>
    <row r="142" spans="4:26" ht="17.25" customHeight="1">
      <c r="D142" s="37"/>
      <c r="E142" s="58"/>
      <c r="F142" s="58"/>
      <c r="G142" s="58"/>
      <c r="H142" s="58"/>
      <c r="I142" s="58"/>
      <c r="J142" s="58"/>
      <c r="K142" s="31"/>
      <c r="L142" s="20"/>
      <c r="M142" s="20"/>
      <c r="N142" s="20"/>
      <c r="O142" s="20"/>
      <c r="P142" s="20"/>
      <c r="Q142" s="20"/>
      <c r="R142" s="20"/>
      <c r="S142" s="20"/>
      <c r="T142" s="20"/>
      <c r="U142" s="20"/>
      <c r="V142" s="20"/>
      <c r="W142" s="20"/>
      <c r="X142" s="20"/>
      <c r="Y142" s="20"/>
      <c r="Z142" s="20"/>
    </row>
    <row r="143" spans="4:26" ht="17.25" customHeight="1">
      <c r="D143" s="37"/>
      <c r="E143" s="58"/>
      <c r="F143" s="58"/>
      <c r="G143" s="58"/>
      <c r="H143" s="58"/>
      <c r="I143" s="58"/>
      <c r="J143" s="58"/>
      <c r="K143" s="31"/>
      <c r="L143" s="20"/>
      <c r="M143" s="20"/>
      <c r="N143" s="20"/>
      <c r="O143" s="20"/>
      <c r="P143" s="20"/>
      <c r="Q143" s="20"/>
      <c r="R143" s="20"/>
      <c r="S143" s="20"/>
      <c r="T143" s="20"/>
      <c r="U143" s="20"/>
      <c r="V143" s="20"/>
      <c r="W143" s="20"/>
      <c r="X143" s="20"/>
      <c r="Y143" s="20"/>
      <c r="Z143" s="20"/>
    </row>
    <row r="144" spans="4:26" ht="17.25" customHeight="1">
      <c r="D144" s="37"/>
      <c r="E144" s="58"/>
      <c r="F144" s="58"/>
      <c r="G144" s="58"/>
      <c r="H144" s="58"/>
      <c r="I144" s="58"/>
      <c r="J144" s="58"/>
      <c r="K144" s="31"/>
      <c r="L144" s="20"/>
      <c r="M144" s="20"/>
      <c r="N144" s="20"/>
      <c r="O144" s="20"/>
      <c r="P144" s="20"/>
      <c r="Q144" s="20"/>
      <c r="R144" s="20"/>
      <c r="S144" s="20"/>
      <c r="T144" s="20"/>
      <c r="U144" s="20"/>
      <c r="V144" s="20"/>
      <c r="W144" s="20"/>
      <c r="X144" s="20"/>
      <c r="Y144" s="20"/>
      <c r="Z144" s="20"/>
    </row>
    <row r="145" spans="4:26" ht="17.25" customHeight="1">
      <c r="D145" s="37"/>
      <c r="E145" s="58"/>
      <c r="F145" s="58"/>
      <c r="G145" s="58"/>
      <c r="H145" s="58"/>
      <c r="I145" s="58"/>
      <c r="J145" s="58"/>
      <c r="K145" s="31"/>
      <c r="L145" s="20"/>
      <c r="M145" s="20"/>
      <c r="N145" s="20"/>
      <c r="O145" s="20"/>
      <c r="P145" s="20"/>
      <c r="Q145" s="20"/>
      <c r="R145" s="20"/>
      <c r="S145" s="20"/>
      <c r="T145" s="20"/>
      <c r="U145" s="20"/>
      <c r="V145" s="20"/>
      <c r="W145" s="20"/>
      <c r="X145" s="20"/>
      <c r="Y145" s="20"/>
      <c r="Z145" s="20"/>
    </row>
    <row r="146" spans="4:26" ht="17.25" customHeight="1">
      <c r="D146" s="37"/>
      <c r="E146" s="58"/>
      <c r="F146" s="58"/>
      <c r="G146" s="58"/>
      <c r="H146" s="58"/>
      <c r="I146" s="58"/>
      <c r="J146" s="58"/>
      <c r="K146" s="31"/>
      <c r="L146" s="20"/>
      <c r="M146" s="20"/>
      <c r="N146" s="20"/>
      <c r="O146" s="20"/>
      <c r="P146" s="20"/>
      <c r="Q146" s="20"/>
      <c r="R146" s="20"/>
      <c r="S146" s="20"/>
      <c r="T146" s="20"/>
      <c r="U146" s="20"/>
      <c r="V146" s="20"/>
      <c r="W146" s="20"/>
      <c r="X146" s="20"/>
      <c r="Y146" s="20"/>
      <c r="Z146" s="20"/>
    </row>
    <row r="147" spans="4:26" ht="17.25" customHeight="1">
      <c r="D147" s="37"/>
      <c r="E147" s="58"/>
      <c r="F147" s="58"/>
      <c r="G147" s="58"/>
      <c r="H147" s="58"/>
      <c r="I147" s="58"/>
      <c r="J147" s="58"/>
      <c r="K147" s="31"/>
      <c r="L147" s="20"/>
      <c r="M147" s="20"/>
      <c r="N147" s="20"/>
      <c r="O147" s="20"/>
      <c r="P147" s="20"/>
      <c r="Q147" s="20"/>
      <c r="R147" s="20"/>
      <c r="S147" s="20"/>
      <c r="T147" s="20"/>
      <c r="U147" s="20"/>
      <c r="V147" s="20"/>
      <c r="W147" s="20"/>
      <c r="X147" s="20"/>
      <c r="Y147" s="20"/>
      <c r="Z147" s="20"/>
    </row>
    <row r="148" spans="4:26" ht="17.25" customHeight="1">
      <c r="D148" s="37"/>
      <c r="E148" s="58"/>
      <c r="F148" s="58"/>
      <c r="G148" s="58"/>
      <c r="H148" s="58"/>
      <c r="I148" s="58"/>
      <c r="J148" s="58"/>
      <c r="K148" s="31"/>
      <c r="L148" s="20"/>
      <c r="M148" s="20"/>
      <c r="N148" s="20"/>
      <c r="O148" s="20"/>
      <c r="P148" s="20"/>
      <c r="Q148" s="20"/>
      <c r="R148" s="20"/>
      <c r="S148" s="20"/>
      <c r="T148" s="20"/>
      <c r="U148" s="20"/>
      <c r="V148" s="20"/>
      <c r="W148" s="20"/>
      <c r="X148" s="20"/>
      <c r="Y148" s="20"/>
      <c r="Z148" s="20"/>
    </row>
    <row r="149" spans="4:26" ht="17.25" customHeight="1">
      <c r="D149" s="37"/>
      <c r="E149" s="58"/>
      <c r="F149" s="58"/>
      <c r="G149" s="58"/>
      <c r="H149" s="58"/>
      <c r="I149" s="58"/>
      <c r="J149" s="58"/>
      <c r="K149" s="31"/>
      <c r="L149" s="20"/>
      <c r="M149" s="20"/>
      <c r="N149" s="20"/>
      <c r="O149" s="20"/>
      <c r="P149" s="20"/>
      <c r="Q149" s="20"/>
      <c r="R149" s="20"/>
      <c r="S149" s="20"/>
      <c r="T149" s="20"/>
      <c r="U149" s="20"/>
      <c r="V149" s="20"/>
      <c r="W149" s="20"/>
      <c r="X149" s="20"/>
      <c r="Y149" s="20"/>
      <c r="Z149" s="20"/>
    </row>
    <row r="150" spans="4:26" ht="17.25" customHeight="1">
      <c r="D150" s="37"/>
      <c r="E150" s="58"/>
      <c r="F150" s="58"/>
      <c r="G150" s="58"/>
      <c r="H150" s="58"/>
      <c r="I150" s="58"/>
      <c r="J150" s="58"/>
      <c r="K150" s="31"/>
      <c r="L150" s="20"/>
      <c r="M150" s="20"/>
      <c r="N150" s="20"/>
      <c r="O150" s="20"/>
      <c r="P150" s="20"/>
      <c r="Q150" s="20"/>
      <c r="R150" s="20"/>
      <c r="S150" s="20"/>
      <c r="T150" s="20"/>
      <c r="U150" s="20"/>
      <c r="V150" s="20"/>
      <c r="W150" s="20"/>
      <c r="X150" s="20"/>
      <c r="Y150" s="20"/>
      <c r="Z150" s="20"/>
    </row>
    <row r="151" spans="4:26" ht="17.25" customHeight="1">
      <c r="D151" s="37"/>
      <c r="E151" s="58"/>
      <c r="F151" s="58"/>
      <c r="G151" s="58"/>
      <c r="H151" s="58"/>
      <c r="I151" s="58"/>
      <c r="J151" s="58"/>
      <c r="K151" s="31"/>
      <c r="L151" s="20"/>
      <c r="M151" s="20"/>
      <c r="N151" s="20"/>
      <c r="O151" s="20"/>
      <c r="P151" s="20"/>
      <c r="Q151" s="20"/>
      <c r="R151" s="20"/>
      <c r="S151" s="20"/>
      <c r="T151" s="20"/>
      <c r="U151" s="20"/>
      <c r="V151" s="20"/>
      <c r="W151" s="20"/>
      <c r="X151" s="20"/>
      <c r="Y151" s="20"/>
      <c r="Z151" s="20"/>
    </row>
    <row r="152" spans="4:26" ht="17.25" customHeight="1">
      <c r="D152" s="37"/>
      <c r="E152" s="58"/>
      <c r="F152" s="58"/>
      <c r="G152" s="58"/>
      <c r="H152" s="58"/>
      <c r="I152" s="58"/>
      <c r="J152" s="58"/>
      <c r="K152" s="31"/>
      <c r="L152" s="20"/>
      <c r="M152" s="20"/>
      <c r="N152" s="20"/>
      <c r="O152" s="20"/>
      <c r="P152" s="20"/>
      <c r="Q152" s="20"/>
      <c r="R152" s="20"/>
      <c r="S152" s="20"/>
      <c r="T152" s="20"/>
      <c r="U152" s="20"/>
      <c r="V152" s="20"/>
      <c r="W152" s="20"/>
      <c r="X152" s="20"/>
      <c r="Y152" s="20"/>
      <c r="Z152" s="20"/>
    </row>
    <row r="153" spans="4:26" ht="17.25" customHeight="1">
      <c r="D153" s="37"/>
      <c r="E153" s="58"/>
      <c r="F153" s="58"/>
      <c r="G153" s="58"/>
      <c r="H153" s="58"/>
      <c r="I153" s="58"/>
      <c r="J153" s="58"/>
      <c r="K153" s="31"/>
      <c r="L153" s="20"/>
      <c r="M153" s="20"/>
      <c r="N153" s="20"/>
      <c r="O153" s="20"/>
      <c r="P153" s="20"/>
      <c r="Q153" s="20"/>
      <c r="R153" s="20"/>
      <c r="S153" s="20"/>
      <c r="T153" s="20"/>
      <c r="U153" s="20"/>
      <c r="V153" s="20"/>
      <c r="W153" s="20"/>
      <c r="X153" s="20"/>
      <c r="Y153" s="20"/>
      <c r="Z153" s="20"/>
    </row>
    <row r="154" spans="4:26" ht="17.25" customHeight="1">
      <c r="D154" s="37"/>
      <c r="E154" s="58"/>
      <c r="F154" s="58"/>
      <c r="G154" s="58"/>
      <c r="H154" s="58"/>
      <c r="I154" s="58"/>
      <c r="J154" s="58"/>
      <c r="K154" s="31"/>
      <c r="L154" s="20"/>
      <c r="M154" s="20"/>
      <c r="N154" s="20"/>
      <c r="O154" s="20"/>
      <c r="P154" s="20"/>
      <c r="Q154" s="20"/>
      <c r="R154" s="20"/>
      <c r="S154" s="20"/>
      <c r="T154" s="20"/>
      <c r="U154" s="20"/>
      <c r="V154" s="20"/>
      <c r="W154" s="20"/>
      <c r="X154" s="20"/>
      <c r="Y154" s="20"/>
      <c r="Z154" s="20"/>
    </row>
    <row r="155" spans="4:26" ht="17.25" customHeight="1">
      <c r="D155" s="37"/>
      <c r="E155" s="58"/>
      <c r="F155" s="58"/>
      <c r="G155" s="58"/>
      <c r="H155" s="58"/>
      <c r="I155" s="58"/>
      <c r="J155" s="58"/>
      <c r="K155" s="31"/>
      <c r="L155" s="20"/>
      <c r="M155" s="20"/>
      <c r="N155" s="20"/>
      <c r="O155" s="20"/>
      <c r="P155" s="20"/>
      <c r="Q155" s="20"/>
      <c r="R155" s="20"/>
      <c r="S155" s="20"/>
      <c r="T155" s="20"/>
      <c r="U155" s="20"/>
      <c r="V155" s="20"/>
      <c r="W155" s="20"/>
      <c r="X155" s="20"/>
      <c r="Y155" s="20"/>
      <c r="Z155" s="20"/>
    </row>
    <row r="156" spans="4:26" ht="17.25" customHeight="1">
      <c r="D156" s="37"/>
      <c r="E156" s="58"/>
      <c r="F156" s="58"/>
      <c r="G156" s="58"/>
      <c r="H156" s="58"/>
      <c r="I156" s="58"/>
      <c r="J156" s="58"/>
      <c r="K156" s="31"/>
      <c r="L156" s="20"/>
      <c r="M156" s="20"/>
      <c r="N156" s="20"/>
      <c r="O156" s="20"/>
      <c r="P156" s="20"/>
      <c r="Q156" s="20"/>
      <c r="R156" s="20"/>
      <c r="S156" s="20"/>
      <c r="T156" s="20"/>
      <c r="U156" s="20"/>
      <c r="V156" s="20"/>
      <c r="W156" s="20"/>
      <c r="X156" s="20"/>
      <c r="Y156" s="20"/>
      <c r="Z156" s="20"/>
    </row>
    <row r="157" spans="4:26" ht="17.25" customHeight="1">
      <c r="D157" s="37"/>
      <c r="E157" s="58"/>
      <c r="F157" s="58"/>
      <c r="G157" s="58"/>
      <c r="H157" s="58"/>
      <c r="I157" s="58"/>
      <c r="J157" s="58"/>
      <c r="K157" s="31"/>
      <c r="L157" s="20"/>
      <c r="M157" s="20"/>
      <c r="N157" s="20"/>
      <c r="O157" s="20"/>
      <c r="P157" s="20"/>
      <c r="Q157" s="20"/>
      <c r="R157" s="20"/>
      <c r="S157" s="20"/>
      <c r="T157" s="20"/>
      <c r="U157" s="20"/>
      <c r="V157" s="20"/>
      <c r="W157" s="20"/>
      <c r="X157" s="20"/>
      <c r="Y157" s="20"/>
      <c r="Z157" s="20"/>
    </row>
    <row r="158" spans="4:26" ht="17.25" customHeight="1">
      <c r="D158" s="37"/>
      <c r="E158" s="58"/>
      <c r="F158" s="58"/>
      <c r="G158" s="58"/>
      <c r="H158" s="58"/>
      <c r="I158" s="58"/>
      <c r="J158" s="58"/>
      <c r="K158" s="31"/>
      <c r="L158" s="20"/>
      <c r="M158" s="20"/>
      <c r="N158" s="20"/>
      <c r="O158" s="20"/>
      <c r="P158" s="20"/>
      <c r="Q158" s="20"/>
      <c r="R158" s="20"/>
      <c r="S158" s="20"/>
      <c r="T158" s="20"/>
      <c r="U158" s="20"/>
      <c r="V158" s="20"/>
      <c r="W158" s="20"/>
      <c r="X158" s="20"/>
      <c r="Y158" s="20"/>
      <c r="Z158" s="20"/>
    </row>
    <row r="159" spans="4:26" ht="17.25" customHeight="1">
      <c r="D159" s="37"/>
      <c r="E159" s="58"/>
      <c r="F159" s="58"/>
      <c r="G159" s="58"/>
      <c r="H159" s="58"/>
      <c r="I159" s="58"/>
      <c r="J159" s="58"/>
      <c r="K159" s="31"/>
      <c r="L159" s="20"/>
      <c r="M159" s="20"/>
      <c r="N159" s="20"/>
      <c r="O159" s="20"/>
      <c r="P159" s="20"/>
      <c r="Q159" s="20"/>
      <c r="R159" s="20"/>
      <c r="S159" s="20"/>
      <c r="T159" s="20"/>
      <c r="U159" s="20"/>
      <c r="V159" s="20"/>
      <c r="W159" s="20"/>
      <c r="X159" s="20"/>
      <c r="Y159" s="20"/>
      <c r="Z159" s="20"/>
    </row>
    <row r="160" spans="4:26" ht="17.25" customHeight="1">
      <c r="D160" s="37"/>
      <c r="E160" s="58"/>
      <c r="F160" s="58"/>
      <c r="G160" s="58"/>
      <c r="H160" s="58"/>
      <c r="I160" s="58"/>
      <c r="J160" s="58"/>
      <c r="K160" s="31"/>
      <c r="L160" s="20"/>
      <c r="M160" s="20"/>
      <c r="N160" s="20"/>
      <c r="O160" s="20"/>
      <c r="P160" s="20"/>
      <c r="Q160" s="20"/>
      <c r="R160" s="20"/>
      <c r="S160" s="20"/>
      <c r="T160" s="20"/>
      <c r="U160" s="20"/>
      <c r="V160" s="20"/>
      <c r="W160" s="20"/>
      <c r="X160" s="20"/>
      <c r="Y160" s="20"/>
      <c r="Z160" s="20"/>
    </row>
    <row r="161" spans="4:26" ht="17.25" customHeight="1">
      <c r="D161" s="37"/>
      <c r="E161" s="58"/>
      <c r="F161" s="58"/>
      <c r="G161" s="58"/>
      <c r="H161" s="58"/>
      <c r="I161" s="58"/>
      <c r="J161" s="58"/>
      <c r="K161" s="31"/>
      <c r="L161" s="20"/>
      <c r="M161" s="20"/>
      <c r="N161" s="20"/>
      <c r="O161" s="20"/>
      <c r="P161" s="20"/>
      <c r="Q161" s="20"/>
      <c r="R161" s="20"/>
      <c r="S161" s="20"/>
      <c r="T161" s="20"/>
      <c r="U161" s="20"/>
      <c r="V161" s="20"/>
      <c r="W161" s="20"/>
      <c r="X161" s="20"/>
      <c r="Y161" s="20"/>
      <c r="Z161" s="20"/>
    </row>
    <row r="162" spans="4:26" ht="17.25" customHeight="1">
      <c r="D162" s="37"/>
      <c r="E162" s="58"/>
      <c r="F162" s="58"/>
      <c r="G162" s="58"/>
      <c r="H162" s="58"/>
      <c r="I162" s="58"/>
      <c r="J162" s="58"/>
      <c r="K162" s="31"/>
      <c r="L162" s="20"/>
      <c r="M162" s="20"/>
      <c r="N162" s="20"/>
      <c r="O162" s="20"/>
      <c r="P162" s="20"/>
      <c r="Q162" s="20"/>
      <c r="R162" s="20"/>
      <c r="S162" s="20"/>
      <c r="T162" s="20"/>
      <c r="U162" s="20"/>
      <c r="V162" s="20"/>
      <c r="W162" s="20"/>
      <c r="X162" s="20"/>
      <c r="Y162" s="20"/>
      <c r="Z162" s="20"/>
    </row>
    <row r="163" spans="4:26" ht="17.25" customHeight="1">
      <c r="D163" s="37"/>
      <c r="E163" s="58"/>
      <c r="F163" s="58"/>
      <c r="G163" s="58"/>
      <c r="H163" s="58"/>
      <c r="I163" s="58"/>
      <c r="J163" s="58"/>
      <c r="K163" s="31"/>
      <c r="L163" s="20"/>
      <c r="M163" s="20"/>
      <c r="N163" s="20"/>
      <c r="O163" s="20"/>
      <c r="P163" s="20"/>
      <c r="Q163" s="20"/>
      <c r="R163" s="20"/>
      <c r="S163" s="20"/>
      <c r="T163" s="20"/>
      <c r="U163" s="20"/>
      <c r="V163" s="20"/>
      <c r="W163" s="20"/>
      <c r="X163" s="20"/>
      <c r="Y163" s="20"/>
      <c r="Z163" s="20"/>
    </row>
    <row r="164" spans="4:26" ht="17.25" customHeight="1">
      <c r="D164" s="37"/>
      <c r="E164" s="58"/>
      <c r="F164" s="58"/>
      <c r="G164" s="58"/>
      <c r="H164" s="58"/>
      <c r="I164" s="58"/>
      <c r="J164" s="58"/>
      <c r="K164" s="31"/>
      <c r="L164" s="20"/>
      <c r="M164" s="20"/>
      <c r="N164" s="20"/>
      <c r="O164" s="20"/>
      <c r="P164" s="20"/>
      <c r="Q164" s="20"/>
      <c r="R164" s="20"/>
      <c r="S164" s="20"/>
      <c r="T164" s="20"/>
      <c r="U164" s="20"/>
      <c r="V164" s="20"/>
      <c r="W164" s="20"/>
      <c r="X164" s="20"/>
      <c r="Y164" s="20"/>
      <c r="Z164" s="20"/>
    </row>
    <row r="165" spans="4:26" ht="17.25" customHeight="1">
      <c r="D165" s="37"/>
      <c r="E165" s="58"/>
      <c r="F165" s="58"/>
      <c r="G165" s="58"/>
      <c r="H165" s="58"/>
      <c r="I165" s="58"/>
      <c r="J165" s="58"/>
      <c r="K165" s="31"/>
      <c r="L165" s="20"/>
      <c r="M165" s="20"/>
      <c r="N165" s="20"/>
      <c r="O165" s="20"/>
      <c r="P165" s="20"/>
      <c r="Q165" s="20"/>
      <c r="R165" s="20"/>
      <c r="S165" s="20"/>
      <c r="T165" s="20"/>
      <c r="U165" s="20"/>
      <c r="V165" s="20"/>
      <c r="W165" s="20"/>
      <c r="X165" s="20"/>
      <c r="Y165" s="20"/>
      <c r="Z165" s="20"/>
    </row>
    <row r="166" spans="4:26" ht="17.25" customHeight="1">
      <c r="D166" s="37"/>
      <c r="E166" s="58"/>
      <c r="F166" s="58"/>
      <c r="G166" s="58"/>
      <c r="H166" s="58"/>
      <c r="I166" s="58"/>
      <c r="J166" s="58"/>
      <c r="K166" s="31"/>
      <c r="L166" s="20"/>
      <c r="M166" s="20"/>
      <c r="N166" s="20"/>
      <c r="O166" s="20"/>
      <c r="P166" s="20"/>
      <c r="Q166" s="20"/>
      <c r="R166" s="20"/>
      <c r="S166" s="20"/>
      <c r="T166" s="20"/>
      <c r="U166" s="20"/>
      <c r="V166" s="20"/>
      <c r="W166" s="20"/>
      <c r="X166" s="20"/>
      <c r="Y166" s="20"/>
      <c r="Z166" s="20"/>
    </row>
    <row r="167" spans="4:26" ht="17.25" customHeight="1">
      <c r="D167" s="37"/>
      <c r="E167" s="58"/>
      <c r="F167" s="58"/>
      <c r="G167" s="58"/>
      <c r="H167" s="58"/>
      <c r="I167" s="58"/>
      <c r="J167" s="58"/>
      <c r="K167" s="31"/>
      <c r="L167" s="20"/>
      <c r="M167" s="20"/>
      <c r="N167" s="20"/>
      <c r="O167" s="20"/>
      <c r="P167" s="20"/>
      <c r="Q167" s="20"/>
      <c r="R167" s="20"/>
      <c r="S167" s="20"/>
      <c r="T167" s="20"/>
      <c r="U167" s="20"/>
      <c r="V167" s="20"/>
      <c r="W167" s="20"/>
      <c r="X167" s="20"/>
      <c r="Y167" s="20"/>
      <c r="Z167" s="20"/>
    </row>
    <row r="168" spans="4:26" ht="17.25" customHeight="1">
      <c r="D168" s="37"/>
      <c r="E168" s="58"/>
      <c r="F168" s="58"/>
      <c r="G168" s="58"/>
      <c r="H168" s="58"/>
      <c r="I168" s="58"/>
      <c r="J168" s="58"/>
      <c r="K168" s="31"/>
      <c r="L168" s="20"/>
      <c r="M168" s="20"/>
      <c r="N168" s="20"/>
      <c r="O168" s="20"/>
      <c r="P168" s="20"/>
      <c r="Q168" s="20"/>
      <c r="R168" s="20"/>
      <c r="S168" s="20"/>
      <c r="T168" s="20"/>
      <c r="U168" s="20"/>
      <c r="V168" s="20"/>
      <c r="W168" s="20"/>
      <c r="X168" s="20"/>
      <c r="Y168" s="20"/>
      <c r="Z168" s="20"/>
    </row>
    <row r="169" spans="4:26" ht="17.25" customHeight="1">
      <c r="D169" s="37"/>
      <c r="E169" s="58"/>
      <c r="F169" s="58"/>
      <c r="G169" s="58"/>
      <c r="H169" s="58"/>
      <c r="I169" s="58"/>
      <c r="J169" s="58"/>
      <c r="K169" s="31"/>
      <c r="L169" s="20"/>
      <c r="M169" s="20"/>
      <c r="N169" s="20"/>
      <c r="O169" s="20"/>
      <c r="P169" s="20"/>
      <c r="Q169" s="20"/>
      <c r="R169" s="20"/>
      <c r="S169" s="20"/>
      <c r="T169" s="20"/>
      <c r="U169" s="20"/>
      <c r="V169" s="20"/>
      <c r="W169" s="20"/>
      <c r="X169" s="20"/>
      <c r="Y169" s="20"/>
      <c r="Z169" s="20"/>
    </row>
    <row r="170" spans="4:26" ht="17.25" customHeight="1">
      <c r="D170" s="37"/>
      <c r="E170" s="58"/>
      <c r="F170" s="58"/>
      <c r="G170" s="58"/>
      <c r="H170" s="58"/>
      <c r="I170" s="58"/>
      <c r="J170" s="58"/>
      <c r="K170" s="31"/>
      <c r="L170" s="20"/>
      <c r="M170" s="20"/>
      <c r="N170" s="20"/>
      <c r="O170" s="20"/>
      <c r="P170" s="20"/>
      <c r="Q170" s="20"/>
      <c r="R170" s="20"/>
      <c r="S170" s="20"/>
      <c r="T170" s="20"/>
      <c r="U170" s="20"/>
      <c r="V170" s="20"/>
      <c r="W170" s="20"/>
      <c r="X170" s="20"/>
      <c r="Y170" s="20"/>
      <c r="Z170" s="20"/>
    </row>
    <row r="171" spans="4:26" ht="17.25" customHeight="1">
      <c r="D171" s="37"/>
      <c r="E171" s="58"/>
      <c r="F171" s="58"/>
      <c r="G171" s="58"/>
      <c r="H171" s="58"/>
      <c r="I171" s="58"/>
      <c r="J171" s="58"/>
      <c r="K171" s="31"/>
      <c r="L171" s="20"/>
      <c r="M171" s="20"/>
      <c r="N171" s="20"/>
      <c r="O171" s="20"/>
      <c r="P171" s="20"/>
      <c r="Q171" s="20"/>
      <c r="R171" s="20"/>
      <c r="S171" s="20"/>
      <c r="T171" s="20"/>
      <c r="U171" s="20"/>
      <c r="V171" s="20"/>
      <c r="W171" s="20"/>
      <c r="X171" s="20"/>
      <c r="Y171" s="20"/>
      <c r="Z171" s="20"/>
    </row>
    <row r="172" spans="4:26" ht="17.25" customHeight="1">
      <c r="D172" s="37"/>
      <c r="E172" s="58"/>
      <c r="F172" s="58"/>
      <c r="G172" s="58"/>
      <c r="H172" s="58"/>
      <c r="I172" s="58"/>
      <c r="J172" s="58"/>
      <c r="K172" s="31"/>
      <c r="L172" s="20"/>
      <c r="M172" s="20"/>
      <c r="N172" s="20"/>
      <c r="O172" s="20"/>
      <c r="P172" s="20"/>
      <c r="Q172" s="20"/>
      <c r="R172" s="20"/>
      <c r="S172" s="20"/>
      <c r="T172" s="20"/>
      <c r="U172" s="20"/>
      <c r="V172" s="20"/>
      <c r="W172" s="20"/>
      <c r="X172" s="20"/>
      <c r="Y172" s="20"/>
      <c r="Z172" s="20"/>
    </row>
    <row r="173" spans="4:26" ht="17.25" customHeight="1">
      <c r="D173" s="37"/>
      <c r="E173" s="58"/>
      <c r="F173" s="58"/>
      <c r="G173" s="58"/>
      <c r="H173" s="58"/>
      <c r="I173" s="58"/>
      <c r="J173" s="58"/>
      <c r="K173" s="31"/>
      <c r="L173" s="20"/>
      <c r="M173" s="20"/>
      <c r="N173" s="20"/>
      <c r="O173" s="20"/>
      <c r="P173" s="20"/>
      <c r="Q173" s="20"/>
      <c r="R173" s="20"/>
      <c r="S173" s="20"/>
      <c r="T173" s="20"/>
      <c r="U173" s="20"/>
      <c r="V173" s="20"/>
      <c r="W173" s="20"/>
      <c r="X173" s="20"/>
      <c r="Y173" s="20"/>
      <c r="Z173" s="20"/>
    </row>
    <row r="174" spans="4:26" ht="17.25" customHeight="1">
      <c r="D174" s="37"/>
      <c r="E174" s="58"/>
      <c r="F174" s="58"/>
      <c r="G174" s="58"/>
      <c r="H174" s="58"/>
      <c r="I174" s="58"/>
      <c r="J174" s="58"/>
      <c r="K174" s="31"/>
      <c r="L174" s="20"/>
      <c r="M174" s="20"/>
      <c r="N174" s="20"/>
      <c r="O174" s="20"/>
      <c r="P174" s="20"/>
      <c r="Q174" s="20"/>
      <c r="R174" s="20"/>
      <c r="S174" s="20"/>
      <c r="T174" s="20"/>
      <c r="U174" s="20"/>
      <c r="V174" s="20"/>
      <c r="W174" s="20"/>
      <c r="X174" s="20"/>
      <c r="Y174" s="20"/>
      <c r="Z174" s="20"/>
    </row>
    <row r="175" spans="4:26" ht="17.25" customHeight="1">
      <c r="D175" s="37"/>
      <c r="E175" s="58"/>
      <c r="F175" s="58"/>
      <c r="G175" s="58"/>
      <c r="H175" s="58"/>
      <c r="I175" s="58"/>
      <c r="J175" s="58"/>
      <c r="K175" s="31"/>
      <c r="L175" s="20"/>
      <c r="M175" s="20"/>
      <c r="N175" s="20"/>
      <c r="O175" s="20"/>
      <c r="P175" s="20"/>
      <c r="Q175" s="20"/>
      <c r="R175" s="20"/>
      <c r="S175" s="20"/>
      <c r="T175" s="20"/>
      <c r="U175" s="20"/>
      <c r="V175" s="20"/>
      <c r="W175" s="20"/>
      <c r="X175" s="20"/>
      <c r="Y175" s="20"/>
      <c r="Z175" s="20"/>
    </row>
    <row r="176" spans="4:26" ht="17.25" customHeight="1">
      <c r="D176" s="37"/>
      <c r="E176" s="58"/>
      <c r="F176" s="58"/>
      <c r="G176" s="58"/>
      <c r="H176" s="58"/>
      <c r="I176" s="58"/>
      <c r="J176" s="58"/>
      <c r="K176" s="31"/>
      <c r="L176" s="20"/>
      <c r="M176" s="20"/>
      <c r="N176" s="20"/>
      <c r="O176" s="20"/>
      <c r="P176" s="20"/>
      <c r="Q176" s="20"/>
      <c r="R176" s="20"/>
      <c r="S176" s="20"/>
      <c r="T176" s="20"/>
      <c r="U176" s="20"/>
      <c r="V176" s="20"/>
      <c r="W176" s="20"/>
      <c r="X176" s="20"/>
      <c r="Y176" s="20"/>
      <c r="Z176" s="20"/>
    </row>
    <row r="177" spans="4:26" ht="17.25" customHeight="1">
      <c r="D177" s="37"/>
      <c r="E177" s="58"/>
      <c r="F177" s="58"/>
      <c r="G177" s="58"/>
      <c r="H177" s="58"/>
      <c r="I177" s="58"/>
      <c r="J177" s="58"/>
      <c r="K177" s="31"/>
      <c r="L177" s="20"/>
      <c r="M177" s="20"/>
      <c r="N177" s="20"/>
      <c r="O177" s="20"/>
      <c r="P177" s="20"/>
      <c r="Q177" s="20"/>
      <c r="R177" s="20"/>
      <c r="S177" s="20"/>
      <c r="T177" s="20"/>
      <c r="U177" s="20"/>
      <c r="V177" s="20"/>
      <c r="W177" s="20"/>
      <c r="X177" s="20"/>
      <c r="Y177" s="20"/>
      <c r="Z177" s="20"/>
    </row>
    <row r="178" spans="4:26" ht="17.25" customHeight="1">
      <c r="D178" s="37"/>
      <c r="E178" s="58"/>
      <c r="F178" s="58"/>
      <c r="G178" s="58"/>
      <c r="H178" s="58"/>
      <c r="I178" s="58"/>
      <c r="J178" s="58"/>
      <c r="K178" s="31"/>
      <c r="L178" s="20"/>
      <c r="M178" s="20"/>
      <c r="N178" s="20"/>
      <c r="O178" s="20"/>
      <c r="P178" s="20"/>
      <c r="Q178" s="20"/>
      <c r="R178" s="20"/>
      <c r="S178" s="20"/>
      <c r="T178" s="20"/>
      <c r="U178" s="20"/>
      <c r="V178" s="20"/>
      <c r="W178" s="20"/>
      <c r="X178" s="20"/>
      <c r="Y178" s="20"/>
      <c r="Z178" s="20"/>
    </row>
    <row r="179" spans="4:26" ht="17.25" customHeight="1">
      <c r="D179" s="37"/>
      <c r="E179" s="58"/>
      <c r="F179" s="58"/>
      <c r="G179" s="58"/>
      <c r="H179" s="58"/>
      <c r="I179" s="58"/>
      <c r="J179" s="58"/>
      <c r="K179" s="31"/>
      <c r="L179" s="20"/>
      <c r="M179" s="20"/>
      <c r="N179" s="20"/>
      <c r="O179" s="20"/>
      <c r="P179" s="20"/>
      <c r="Q179" s="20"/>
      <c r="R179" s="20"/>
      <c r="S179" s="20"/>
      <c r="T179" s="20"/>
      <c r="U179" s="20"/>
      <c r="V179" s="20"/>
      <c r="W179" s="20"/>
      <c r="X179" s="20"/>
      <c r="Y179" s="20"/>
      <c r="Z179" s="20"/>
    </row>
    <row r="180" spans="4:26" ht="17.25" customHeight="1">
      <c r="D180" s="37"/>
      <c r="E180" s="58"/>
      <c r="F180" s="58"/>
      <c r="G180" s="58"/>
      <c r="H180" s="58"/>
      <c r="I180" s="58"/>
      <c r="J180" s="58"/>
      <c r="K180" s="31"/>
      <c r="L180" s="20"/>
      <c r="M180" s="20"/>
      <c r="N180" s="20"/>
      <c r="O180" s="20"/>
      <c r="P180" s="20"/>
      <c r="Q180" s="20"/>
      <c r="R180" s="20"/>
      <c r="S180" s="20"/>
      <c r="T180" s="20"/>
      <c r="U180" s="20"/>
      <c r="V180" s="20"/>
      <c r="W180" s="20"/>
      <c r="X180" s="20"/>
      <c r="Y180" s="20"/>
      <c r="Z180" s="20"/>
    </row>
    <row r="181" spans="4:26" ht="17.25" customHeight="1">
      <c r="D181" s="37"/>
      <c r="E181" s="58"/>
      <c r="F181" s="58"/>
      <c r="G181" s="58"/>
      <c r="H181" s="58"/>
      <c r="I181" s="58"/>
      <c r="J181" s="58"/>
      <c r="K181" s="31"/>
      <c r="L181" s="20"/>
      <c r="M181" s="20"/>
      <c r="N181" s="20"/>
      <c r="O181" s="20"/>
      <c r="P181" s="20"/>
      <c r="Q181" s="20"/>
      <c r="R181" s="20"/>
      <c r="S181" s="20"/>
      <c r="T181" s="20"/>
      <c r="U181" s="20"/>
      <c r="V181" s="20"/>
      <c r="W181" s="20"/>
      <c r="X181" s="20"/>
      <c r="Y181" s="20"/>
      <c r="Z181" s="20"/>
    </row>
    <row r="182" spans="4:26" ht="17.25" customHeight="1">
      <c r="D182" s="37"/>
      <c r="E182" s="58"/>
      <c r="F182" s="58"/>
      <c r="G182" s="58"/>
      <c r="H182" s="58"/>
      <c r="I182" s="58"/>
      <c r="J182" s="58"/>
      <c r="K182" s="31"/>
      <c r="L182" s="20"/>
      <c r="M182" s="20"/>
      <c r="N182" s="20"/>
      <c r="O182" s="20"/>
      <c r="P182" s="20"/>
      <c r="Q182" s="20"/>
      <c r="R182" s="20"/>
      <c r="S182" s="20"/>
      <c r="T182" s="20"/>
      <c r="U182" s="20"/>
      <c r="V182" s="20"/>
      <c r="W182" s="20"/>
      <c r="X182" s="20"/>
      <c r="Y182" s="20"/>
      <c r="Z182" s="20"/>
    </row>
    <row r="183" spans="4:26" ht="17.25" customHeight="1">
      <c r="D183" s="37"/>
      <c r="E183" s="58"/>
      <c r="F183" s="58"/>
      <c r="G183" s="58"/>
      <c r="H183" s="58"/>
      <c r="I183" s="58"/>
      <c r="J183" s="58"/>
      <c r="K183" s="31"/>
      <c r="L183" s="20"/>
      <c r="M183" s="20"/>
      <c r="N183" s="20"/>
      <c r="O183" s="20"/>
      <c r="P183" s="20"/>
      <c r="Q183" s="20"/>
      <c r="R183" s="20"/>
      <c r="S183" s="20"/>
      <c r="T183" s="20"/>
      <c r="U183" s="20"/>
      <c r="V183" s="20"/>
      <c r="W183" s="20"/>
      <c r="X183" s="20"/>
      <c r="Y183" s="20"/>
      <c r="Z183" s="20"/>
    </row>
    <row r="184" spans="4:26" ht="17.25" customHeight="1">
      <c r="D184" s="37"/>
      <c r="E184" s="58"/>
      <c r="F184" s="58"/>
      <c r="G184" s="58"/>
      <c r="H184" s="58"/>
      <c r="I184" s="58"/>
      <c r="J184" s="58"/>
      <c r="K184" s="31"/>
      <c r="L184" s="20"/>
      <c r="M184" s="20"/>
      <c r="N184" s="20"/>
      <c r="O184" s="20"/>
      <c r="P184" s="20"/>
      <c r="Q184" s="20"/>
      <c r="R184" s="20"/>
      <c r="S184" s="20"/>
      <c r="T184" s="20"/>
      <c r="U184" s="20"/>
      <c r="V184" s="20"/>
      <c r="W184" s="20"/>
      <c r="X184" s="20"/>
      <c r="Y184" s="20"/>
      <c r="Z184" s="20"/>
    </row>
    <row r="185" spans="4:26" ht="17.25" customHeight="1">
      <c r="D185" s="37"/>
      <c r="E185" s="58"/>
      <c r="F185" s="58"/>
      <c r="G185" s="58"/>
      <c r="H185" s="58"/>
      <c r="I185" s="58"/>
      <c r="J185" s="58"/>
      <c r="K185" s="31"/>
      <c r="L185" s="20"/>
      <c r="M185" s="20"/>
      <c r="N185" s="20"/>
      <c r="O185" s="20"/>
      <c r="P185" s="20"/>
      <c r="Q185" s="20"/>
      <c r="R185" s="20"/>
      <c r="S185" s="20"/>
      <c r="T185" s="20"/>
      <c r="U185" s="20"/>
      <c r="V185" s="20"/>
      <c r="W185" s="20"/>
      <c r="X185" s="20"/>
      <c r="Y185" s="20"/>
      <c r="Z185" s="20"/>
    </row>
    <row r="186" spans="4:26" ht="17.25" customHeight="1">
      <c r="D186" s="37"/>
      <c r="E186" s="58"/>
      <c r="F186" s="58"/>
      <c r="G186" s="58"/>
      <c r="H186" s="58"/>
      <c r="I186" s="58"/>
      <c r="J186" s="58"/>
      <c r="K186" s="31"/>
      <c r="L186" s="20"/>
      <c r="M186" s="20"/>
      <c r="N186" s="20"/>
      <c r="O186" s="20"/>
      <c r="P186" s="20"/>
      <c r="Q186" s="20"/>
      <c r="R186" s="20"/>
      <c r="S186" s="20"/>
      <c r="T186" s="20"/>
      <c r="U186" s="20"/>
      <c r="V186" s="20"/>
      <c r="W186" s="20"/>
      <c r="X186" s="20"/>
      <c r="Y186" s="20"/>
      <c r="Z186" s="20"/>
    </row>
    <row r="187" spans="4:26" ht="17.25" customHeight="1">
      <c r="D187" s="37"/>
      <c r="E187" s="58"/>
      <c r="F187" s="58"/>
      <c r="G187" s="58"/>
      <c r="H187" s="58"/>
      <c r="I187" s="58"/>
      <c r="J187" s="58"/>
      <c r="K187" s="31"/>
      <c r="L187" s="20"/>
      <c r="M187" s="20"/>
      <c r="N187" s="20"/>
      <c r="O187" s="20"/>
      <c r="P187" s="20"/>
      <c r="Q187" s="20"/>
      <c r="R187" s="20"/>
      <c r="S187" s="20"/>
      <c r="T187" s="20"/>
      <c r="U187" s="20"/>
      <c r="V187" s="20"/>
      <c r="W187" s="20"/>
      <c r="X187" s="20"/>
      <c r="Y187" s="20"/>
      <c r="Z187" s="20"/>
    </row>
    <row r="188" spans="4:26" ht="17.25" customHeight="1">
      <c r="D188" s="37"/>
      <c r="E188" s="58"/>
      <c r="F188" s="58"/>
      <c r="G188" s="58"/>
      <c r="H188" s="58"/>
      <c r="I188" s="58"/>
      <c r="J188" s="58"/>
      <c r="K188" s="31"/>
      <c r="L188" s="20"/>
      <c r="M188" s="20"/>
      <c r="N188" s="20"/>
      <c r="O188" s="20"/>
      <c r="P188" s="20"/>
      <c r="Q188" s="20"/>
      <c r="R188" s="20"/>
      <c r="S188" s="20"/>
      <c r="T188" s="20"/>
      <c r="U188" s="20"/>
      <c r="V188" s="20"/>
      <c r="W188" s="20"/>
      <c r="X188" s="20"/>
      <c r="Y188" s="20"/>
      <c r="Z188" s="20"/>
    </row>
    <row r="189" spans="4:26" ht="17.25" customHeight="1">
      <c r="D189" s="37"/>
      <c r="E189" s="58"/>
      <c r="F189" s="58"/>
      <c r="G189" s="58"/>
      <c r="H189" s="58"/>
      <c r="I189" s="58"/>
      <c r="J189" s="58"/>
      <c r="K189" s="31"/>
      <c r="L189" s="20"/>
      <c r="M189" s="20"/>
      <c r="N189" s="20"/>
      <c r="O189" s="20"/>
      <c r="P189" s="20"/>
      <c r="Q189" s="20"/>
      <c r="R189" s="20"/>
      <c r="S189" s="20"/>
      <c r="T189" s="20"/>
      <c r="U189" s="20"/>
      <c r="V189" s="20"/>
      <c r="W189" s="20"/>
      <c r="X189" s="20"/>
      <c r="Y189" s="20"/>
      <c r="Z189" s="20"/>
    </row>
    <row r="190" spans="4:26" ht="17.25" customHeight="1">
      <c r="D190" s="37"/>
      <c r="E190" s="58"/>
      <c r="F190" s="58"/>
      <c r="G190" s="58"/>
      <c r="H190" s="58"/>
      <c r="I190" s="58"/>
      <c r="J190" s="58"/>
      <c r="K190" s="31"/>
      <c r="L190" s="20"/>
      <c r="M190" s="20"/>
      <c r="N190" s="20"/>
      <c r="O190" s="20"/>
      <c r="P190" s="20"/>
      <c r="Q190" s="20"/>
      <c r="R190" s="20"/>
      <c r="S190" s="20"/>
      <c r="T190" s="20"/>
      <c r="U190" s="20"/>
      <c r="V190" s="20"/>
      <c r="W190" s="20"/>
      <c r="X190" s="20"/>
      <c r="Y190" s="20"/>
      <c r="Z190" s="20"/>
    </row>
    <row r="191" spans="4:26" ht="17.25" customHeight="1">
      <c r="D191" s="37"/>
      <c r="E191" s="58"/>
      <c r="F191" s="58"/>
      <c r="G191" s="58"/>
      <c r="H191" s="58"/>
      <c r="I191" s="58"/>
      <c r="J191" s="58"/>
      <c r="K191" s="31"/>
      <c r="L191" s="20"/>
      <c r="M191" s="20"/>
      <c r="N191" s="20"/>
      <c r="O191" s="20"/>
      <c r="P191" s="20"/>
      <c r="Q191" s="20"/>
      <c r="R191" s="20"/>
      <c r="S191" s="20"/>
      <c r="T191" s="20"/>
      <c r="U191" s="20"/>
      <c r="V191" s="20"/>
      <c r="W191" s="20"/>
      <c r="X191" s="20"/>
      <c r="Y191" s="20"/>
      <c r="Z191" s="20"/>
    </row>
    <row r="192" spans="4:26" ht="17.25" customHeight="1">
      <c r="D192" s="37"/>
      <c r="E192" s="58"/>
      <c r="F192" s="58"/>
      <c r="G192" s="58"/>
      <c r="H192" s="58"/>
      <c r="I192" s="58"/>
      <c r="J192" s="58"/>
      <c r="K192" s="31"/>
      <c r="L192" s="20"/>
      <c r="M192" s="20"/>
      <c r="N192" s="20"/>
      <c r="O192" s="20"/>
      <c r="P192" s="20"/>
      <c r="Q192" s="20"/>
      <c r="R192" s="20"/>
      <c r="S192" s="20"/>
      <c r="T192" s="20"/>
      <c r="U192" s="20"/>
      <c r="V192" s="20"/>
      <c r="W192" s="20"/>
      <c r="X192" s="20"/>
      <c r="Y192" s="20"/>
      <c r="Z192" s="20"/>
    </row>
    <row r="193" spans="4:26" ht="17.25" customHeight="1">
      <c r="D193" s="37"/>
      <c r="E193" s="58"/>
      <c r="F193" s="58"/>
      <c r="G193" s="58"/>
      <c r="H193" s="58"/>
      <c r="I193" s="58"/>
      <c r="J193" s="58"/>
      <c r="K193" s="31"/>
      <c r="L193" s="20"/>
      <c r="M193" s="20"/>
      <c r="N193" s="20"/>
      <c r="O193" s="20"/>
      <c r="P193" s="20"/>
      <c r="Q193" s="20"/>
      <c r="R193" s="20"/>
      <c r="S193" s="20"/>
      <c r="T193" s="20"/>
      <c r="U193" s="20"/>
      <c r="V193" s="20"/>
      <c r="W193" s="20"/>
      <c r="X193" s="20"/>
      <c r="Y193" s="20"/>
      <c r="Z193" s="20"/>
    </row>
    <row r="194" spans="4:26" ht="17.25" customHeight="1">
      <c r="D194" s="37"/>
      <c r="E194" s="58"/>
      <c r="F194" s="58"/>
      <c r="G194" s="58"/>
      <c r="H194" s="58"/>
      <c r="I194" s="58"/>
      <c r="J194" s="58"/>
      <c r="K194" s="31"/>
      <c r="L194" s="20"/>
      <c r="M194" s="20"/>
      <c r="N194" s="20"/>
      <c r="O194" s="20"/>
      <c r="P194" s="20"/>
      <c r="Q194" s="20"/>
      <c r="R194" s="20"/>
      <c r="S194" s="20"/>
      <c r="T194" s="20"/>
      <c r="U194" s="20"/>
      <c r="V194" s="20"/>
      <c r="W194" s="20"/>
      <c r="X194" s="20"/>
      <c r="Y194" s="20"/>
      <c r="Z194" s="20"/>
    </row>
    <row r="195" spans="4:26" ht="17.25" customHeight="1">
      <c r="D195" s="37"/>
      <c r="E195" s="58"/>
      <c r="F195" s="58"/>
      <c r="G195" s="58"/>
      <c r="H195" s="58"/>
      <c r="I195" s="58"/>
      <c r="J195" s="58"/>
      <c r="K195" s="31"/>
      <c r="L195" s="20"/>
      <c r="M195" s="20"/>
      <c r="N195" s="20"/>
      <c r="O195" s="20"/>
      <c r="P195" s="20"/>
      <c r="Q195" s="20"/>
      <c r="R195" s="20"/>
      <c r="S195" s="20"/>
      <c r="T195" s="20"/>
      <c r="U195" s="20"/>
      <c r="V195" s="20"/>
      <c r="W195" s="20"/>
      <c r="X195" s="20"/>
      <c r="Y195" s="20"/>
      <c r="Z195" s="20"/>
    </row>
    <row r="196" spans="4:26" ht="17.25" customHeight="1">
      <c r="D196" s="37"/>
      <c r="E196" s="58"/>
      <c r="F196" s="58"/>
      <c r="G196" s="58"/>
      <c r="H196" s="58"/>
      <c r="I196" s="58"/>
      <c r="J196" s="58"/>
      <c r="K196" s="31"/>
      <c r="L196" s="20"/>
      <c r="M196" s="20"/>
      <c r="N196" s="20"/>
      <c r="O196" s="20"/>
      <c r="P196" s="20"/>
      <c r="Q196" s="20"/>
      <c r="R196" s="20"/>
      <c r="S196" s="20"/>
      <c r="T196" s="20"/>
      <c r="U196" s="20"/>
      <c r="V196" s="20"/>
      <c r="W196" s="20"/>
      <c r="X196" s="20"/>
      <c r="Y196" s="20"/>
      <c r="Z196" s="20"/>
    </row>
    <row r="197" spans="4:26" ht="17.25" customHeight="1">
      <c r="D197" s="37"/>
      <c r="E197" s="58"/>
      <c r="F197" s="58"/>
      <c r="G197" s="58"/>
      <c r="H197" s="58"/>
      <c r="I197" s="58"/>
      <c r="J197" s="58"/>
      <c r="K197" s="31"/>
      <c r="L197" s="20"/>
      <c r="M197" s="20"/>
      <c r="N197" s="20"/>
      <c r="O197" s="20"/>
      <c r="P197" s="20"/>
      <c r="Q197" s="20"/>
      <c r="R197" s="20"/>
      <c r="S197" s="20"/>
      <c r="T197" s="20"/>
      <c r="U197" s="20"/>
      <c r="V197" s="20"/>
      <c r="W197" s="20"/>
      <c r="X197" s="20"/>
      <c r="Y197" s="20"/>
      <c r="Z197" s="20"/>
    </row>
    <row r="198" spans="4:26" ht="17.25" customHeight="1">
      <c r="D198" s="37"/>
      <c r="E198" s="58"/>
      <c r="F198" s="58"/>
      <c r="G198" s="58"/>
      <c r="H198" s="58"/>
      <c r="I198" s="58"/>
      <c r="J198" s="58"/>
      <c r="K198" s="31"/>
      <c r="L198" s="20"/>
      <c r="M198" s="20"/>
      <c r="N198" s="20"/>
      <c r="O198" s="20"/>
      <c r="P198" s="20"/>
      <c r="Q198" s="20"/>
      <c r="R198" s="20"/>
      <c r="S198" s="20"/>
      <c r="T198" s="20"/>
      <c r="U198" s="20"/>
      <c r="V198" s="20"/>
      <c r="W198" s="20"/>
      <c r="X198" s="20"/>
      <c r="Y198" s="20"/>
      <c r="Z198" s="20"/>
    </row>
    <row r="199" spans="4:26" ht="17.25" customHeight="1">
      <c r="D199" s="37"/>
      <c r="E199" s="58"/>
      <c r="F199" s="58"/>
      <c r="G199" s="58"/>
      <c r="H199" s="58"/>
      <c r="I199" s="58"/>
      <c r="J199" s="58"/>
      <c r="K199" s="31"/>
      <c r="L199" s="20"/>
      <c r="M199" s="20"/>
      <c r="N199" s="20"/>
      <c r="O199" s="20"/>
      <c r="P199" s="20"/>
      <c r="Q199" s="20"/>
      <c r="R199" s="20"/>
      <c r="S199" s="20"/>
      <c r="T199" s="20"/>
      <c r="U199" s="20"/>
      <c r="V199" s="20"/>
      <c r="W199" s="20"/>
      <c r="X199" s="20"/>
      <c r="Y199" s="20"/>
      <c r="Z199" s="20"/>
    </row>
    <row r="200" spans="4:26" ht="17.25" customHeight="1">
      <c r="D200" s="37"/>
      <c r="E200" s="58"/>
      <c r="F200" s="58"/>
      <c r="G200" s="58"/>
      <c r="H200" s="58"/>
      <c r="I200" s="58"/>
      <c r="J200" s="58"/>
      <c r="K200" s="31"/>
      <c r="L200" s="20"/>
      <c r="M200" s="20"/>
      <c r="N200" s="20"/>
      <c r="O200" s="20"/>
      <c r="P200" s="20"/>
      <c r="Q200" s="20"/>
      <c r="R200" s="20"/>
      <c r="S200" s="20"/>
      <c r="T200" s="20"/>
      <c r="U200" s="20"/>
      <c r="V200" s="20"/>
      <c r="W200" s="20"/>
      <c r="X200" s="20"/>
      <c r="Y200" s="20"/>
      <c r="Z200" s="20"/>
    </row>
    <row r="201" spans="4:26" ht="17.25" customHeight="1">
      <c r="D201" s="37"/>
      <c r="E201" s="58"/>
      <c r="F201" s="58"/>
      <c r="G201" s="58"/>
      <c r="H201" s="58"/>
      <c r="I201" s="58"/>
      <c r="J201" s="58"/>
      <c r="K201" s="31"/>
      <c r="L201" s="20"/>
      <c r="M201" s="20"/>
      <c r="N201" s="20"/>
      <c r="O201" s="20"/>
      <c r="P201" s="20"/>
      <c r="Q201" s="20"/>
      <c r="R201" s="20"/>
      <c r="S201" s="20"/>
      <c r="T201" s="20"/>
      <c r="U201" s="20"/>
      <c r="V201" s="20"/>
      <c r="W201" s="20"/>
      <c r="X201" s="20"/>
      <c r="Y201" s="20"/>
      <c r="Z201" s="20"/>
    </row>
    <row r="202" spans="4:26" ht="17.25" customHeight="1">
      <c r="D202" s="37"/>
      <c r="E202" s="58"/>
      <c r="F202" s="58"/>
      <c r="G202" s="58"/>
      <c r="H202" s="58"/>
      <c r="I202" s="58"/>
      <c r="J202" s="58"/>
      <c r="K202" s="31"/>
      <c r="L202" s="20"/>
      <c r="M202" s="20"/>
      <c r="N202" s="20"/>
      <c r="O202" s="20"/>
      <c r="P202" s="20"/>
      <c r="Q202" s="20"/>
      <c r="R202" s="20"/>
      <c r="S202" s="20"/>
      <c r="T202" s="20"/>
      <c r="U202" s="20"/>
      <c r="V202" s="20"/>
      <c r="W202" s="20"/>
      <c r="X202" s="20"/>
      <c r="Y202" s="20"/>
      <c r="Z202" s="20"/>
    </row>
    <row r="203" spans="4:26" ht="17.25" customHeight="1">
      <c r="D203" s="37"/>
      <c r="E203" s="58"/>
      <c r="F203" s="58"/>
      <c r="G203" s="58"/>
      <c r="H203" s="58"/>
      <c r="I203" s="58"/>
      <c r="J203" s="58"/>
      <c r="K203" s="31"/>
      <c r="L203" s="20"/>
      <c r="M203" s="20"/>
      <c r="N203" s="20"/>
      <c r="O203" s="20"/>
      <c r="P203" s="20"/>
      <c r="Q203" s="20"/>
      <c r="R203" s="20"/>
      <c r="S203" s="20"/>
      <c r="T203" s="20"/>
      <c r="U203" s="20"/>
      <c r="V203" s="20"/>
      <c r="W203" s="20"/>
      <c r="X203" s="20"/>
      <c r="Y203" s="20"/>
      <c r="Z203" s="20"/>
    </row>
    <row r="204" spans="4:26" ht="17.25" customHeight="1">
      <c r="D204" s="37"/>
      <c r="E204" s="58"/>
      <c r="F204" s="58"/>
      <c r="G204" s="58"/>
      <c r="H204" s="58"/>
      <c r="I204" s="58"/>
      <c r="J204" s="58"/>
      <c r="K204" s="31"/>
      <c r="L204" s="20"/>
      <c r="M204" s="20"/>
      <c r="N204" s="20"/>
      <c r="O204" s="20"/>
      <c r="P204" s="20"/>
      <c r="Q204" s="20"/>
      <c r="R204" s="20"/>
      <c r="S204" s="20"/>
      <c r="T204" s="20"/>
      <c r="U204" s="20"/>
      <c r="V204" s="20"/>
      <c r="W204" s="20"/>
      <c r="X204" s="20"/>
      <c r="Y204" s="20"/>
      <c r="Z204" s="20"/>
    </row>
    <row r="205" spans="4:26" ht="17.25" customHeight="1">
      <c r="D205" s="37"/>
      <c r="E205" s="58"/>
      <c r="F205" s="58"/>
      <c r="G205" s="58"/>
      <c r="H205" s="58"/>
      <c r="I205" s="58"/>
      <c r="J205" s="58"/>
      <c r="K205" s="31"/>
      <c r="L205" s="20"/>
      <c r="M205" s="20"/>
      <c r="N205" s="20"/>
      <c r="O205" s="20"/>
      <c r="P205" s="20"/>
      <c r="Q205" s="20"/>
      <c r="R205" s="20"/>
      <c r="S205" s="20"/>
      <c r="T205" s="20"/>
      <c r="U205" s="20"/>
      <c r="V205" s="20"/>
      <c r="W205" s="20"/>
      <c r="X205" s="20"/>
      <c r="Y205" s="20"/>
      <c r="Z205" s="20"/>
    </row>
    <row r="206" spans="4:26" ht="17.25" customHeight="1">
      <c r="D206" s="37"/>
      <c r="E206" s="58"/>
      <c r="F206" s="58"/>
      <c r="G206" s="58"/>
      <c r="H206" s="58"/>
      <c r="I206" s="58"/>
      <c r="J206" s="58"/>
      <c r="K206" s="31"/>
      <c r="L206" s="20"/>
      <c r="M206" s="20"/>
      <c r="N206" s="20"/>
      <c r="O206" s="20"/>
      <c r="P206" s="20"/>
      <c r="Q206" s="20"/>
      <c r="R206" s="20"/>
      <c r="S206" s="20"/>
      <c r="T206" s="20"/>
      <c r="U206" s="20"/>
      <c r="V206" s="20"/>
      <c r="W206" s="20"/>
      <c r="X206" s="20"/>
      <c r="Y206" s="20"/>
      <c r="Z206" s="20"/>
    </row>
    <row r="207" spans="4:26" ht="17.25" customHeight="1">
      <c r="D207" s="37"/>
      <c r="E207" s="58"/>
      <c r="F207" s="58"/>
      <c r="G207" s="58"/>
      <c r="H207" s="58"/>
      <c r="I207" s="58"/>
      <c r="J207" s="58"/>
      <c r="K207" s="31"/>
      <c r="L207" s="20"/>
      <c r="M207" s="20"/>
      <c r="N207" s="20"/>
      <c r="O207" s="20"/>
      <c r="P207" s="20"/>
      <c r="Q207" s="20"/>
      <c r="R207" s="20"/>
      <c r="S207" s="20"/>
      <c r="T207" s="20"/>
      <c r="U207" s="20"/>
      <c r="V207" s="20"/>
      <c r="W207" s="20"/>
      <c r="X207" s="20"/>
      <c r="Y207" s="20"/>
      <c r="Z207" s="20"/>
    </row>
    <row r="208" spans="4:26" ht="17.25" customHeight="1">
      <c r="D208" s="37"/>
      <c r="E208" s="58"/>
      <c r="F208" s="58"/>
      <c r="G208" s="58"/>
      <c r="H208" s="58"/>
      <c r="I208" s="58"/>
      <c r="J208" s="58"/>
      <c r="K208" s="31"/>
      <c r="L208" s="20"/>
      <c r="M208" s="20"/>
      <c r="N208" s="20"/>
      <c r="O208" s="20"/>
      <c r="P208" s="20"/>
      <c r="Q208" s="20"/>
      <c r="R208" s="20"/>
      <c r="S208" s="20"/>
      <c r="T208" s="20"/>
      <c r="U208" s="20"/>
      <c r="V208" s="20"/>
      <c r="W208" s="20"/>
      <c r="X208" s="20"/>
      <c r="Y208" s="20"/>
      <c r="Z208" s="20"/>
    </row>
    <row r="209" spans="4:26" ht="17.25" customHeight="1">
      <c r="D209" s="37"/>
      <c r="E209" s="58"/>
      <c r="F209" s="58"/>
      <c r="G209" s="58"/>
      <c r="H209" s="58"/>
      <c r="I209" s="58"/>
      <c r="J209" s="58"/>
      <c r="K209" s="31"/>
      <c r="L209" s="20"/>
      <c r="M209" s="20"/>
      <c r="N209" s="20"/>
      <c r="O209" s="20"/>
      <c r="P209" s="20"/>
      <c r="Q209" s="20"/>
      <c r="R209" s="20"/>
      <c r="S209" s="20"/>
      <c r="T209" s="20"/>
      <c r="U209" s="20"/>
      <c r="V209" s="20"/>
      <c r="W209" s="20"/>
      <c r="X209" s="20"/>
      <c r="Y209" s="20"/>
      <c r="Z209" s="20"/>
    </row>
    <row r="210" spans="4:26" ht="17.25" customHeight="1">
      <c r="D210" s="37"/>
      <c r="E210" s="58"/>
      <c r="F210" s="58"/>
      <c r="G210" s="58"/>
      <c r="H210" s="58"/>
      <c r="I210" s="58"/>
      <c r="J210" s="58"/>
      <c r="K210" s="31"/>
      <c r="L210" s="20"/>
      <c r="M210" s="20"/>
      <c r="N210" s="20"/>
      <c r="O210" s="20"/>
      <c r="P210" s="20"/>
      <c r="Q210" s="20"/>
      <c r="R210" s="20"/>
      <c r="S210" s="20"/>
      <c r="T210" s="20"/>
      <c r="U210" s="20"/>
      <c r="V210" s="20"/>
      <c r="W210" s="20"/>
      <c r="X210" s="20"/>
      <c r="Y210" s="20"/>
      <c r="Z210" s="20"/>
    </row>
    <row r="211" spans="4:26" ht="17.25" customHeight="1">
      <c r="D211" s="37"/>
      <c r="E211" s="58"/>
      <c r="F211" s="58"/>
      <c r="G211" s="58"/>
      <c r="H211" s="58"/>
      <c r="I211" s="58"/>
      <c r="J211" s="58"/>
      <c r="K211" s="31"/>
      <c r="L211" s="20"/>
      <c r="M211" s="20"/>
      <c r="N211" s="20"/>
      <c r="O211" s="20"/>
      <c r="P211" s="20"/>
      <c r="Q211" s="20"/>
      <c r="R211" s="20"/>
      <c r="S211" s="20"/>
      <c r="T211" s="20"/>
      <c r="U211" s="20"/>
      <c r="V211" s="20"/>
      <c r="W211" s="20"/>
      <c r="X211" s="20"/>
      <c r="Y211" s="20"/>
      <c r="Z211" s="20"/>
    </row>
    <row r="212" spans="4:26" ht="17.25" customHeight="1">
      <c r="D212" s="37"/>
      <c r="E212" s="58"/>
      <c r="F212" s="58"/>
      <c r="G212" s="58"/>
      <c r="H212" s="58"/>
      <c r="I212" s="58"/>
      <c r="J212" s="58"/>
      <c r="K212" s="31"/>
      <c r="L212" s="20"/>
      <c r="M212" s="20"/>
      <c r="N212" s="20"/>
      <c r="O212" s="20"/>
      <c r="P212" s="20"/>
      <c r="Q212" s="20"/>
      <c r="R212" s="20"/>
      <c r="S212" s="20"/>
      <c r="T212" s="20"/>
      <c r="U212" s="20"/>
      <c r="V212" s="20"/>
      <c r="W212" s="20"/>
      <c r="X212" s="20"/>
      <c r="Y212" s="20"/>
      <c r="Z212" s="20"/>
    </row>
    <row r="213" spans="4:26" ht="17.25" customHeight="1">
      <c r="D213" s="37"/>
      <c r="E213" s="58"/>
      <c r="F213" s="58"/>
      <c r="G213" s="58"/>
      <c r="H213" s="58"/>
      <c r="I213" s="58"/>
      <c r="J213" s="58"/>
      <c r="K213" s="31"/>
      <c r="L213" s="20"/>
      <c r="M213" s="20"/>
      <c r="N213" s="20"/>
      <c r="O213" s="20"/>
      <c r="P213" s="20"/>
      <c r="Q213" s="20"/>
      <c r="R213" s="20"/>
      <c r="S213" s="20"/>
      <c r="T213" s="20"/>
      <c r="U213" s="20"/>
      <c r="V213" s="20"/>
      <c r="W213" s="20"/>
      <c r="X213" s="20"/>
      <c r="Y213" s="20"/>
      <c r="Z213" s="20"/>
    </row>
    <row r="214" spans="4:26" ht="17.25" customHeight="1">
      <c r="D214" s="37"/>
      <c r="E214" s="58"/>
      <c r="F214" s="58"/>
      <c r="G214" s="58"/>
      <c r="H214" s="58"/>
      <c r="I214" s="58"/>
      <c r="J214" s="58"/>
      <c r="K214" s="31"/>
      <c r="L214" s="20"/>
      <c r="M214" s="20"/>
      <c r="N214" s="20"/>
      <c r="O214" s="20"/>
      <c r="P214" s="20"/>
      <c r="Q214" s="20"/>
      <c r="R214" s="20"/>
      <c r="S214" s="20"/>
      <c r="T214" s="20"/>
      <c r="U214" s="20"/>
      <c r="V214" s="20"/>
      <c r="W214" s="20"/>
      <c r="X214" s="20"/>
      <c r="Y214" s="20"/>
      <c r="Z214" s="20"/>
    </row>
    <row r="215" spans="4:26" ht="17.25" customHeight="1">
      <c r="D215" s="37"/>
      <c r="E215" s="58"/>
      <c r="F215" s="58"/>
      <c r="G215" s="58"/>
      <c r="H215" s="58"/>
      <c r="I215" s="58"/>
      <c r="J215" s="58"/>
      <c r="K215" s="31"/>
      <c r="L215" s="20"/>
      <c r="M215" s="20"/>
      <c r="N215" s="20"/>
      <c r="O215" s="20"/>
      <c r="P215" s="20"/>
      <c r="Q215" s="20"/>
      <c r="R215" s="20"/>
      <c r="S215" s="20"/>
      <c r="T215" s="20"/>
      <c r="U215" s="20"/>
      <c r="V215" s="20"/>
      <c r="W215" s="20"/>
      <c r="X215" s="20"/>
      <c r="Y215" s="20"/>
      <c r="Z215" s="20"/>
    </row>
    <row r="216" spans="4:26" ht="17.25" customHeight="1">
      <c r="D216" s="37"/>
      <c r="E216" s="58"/>
      <c r="F216" s="58"/>
      <c r="G216" s="58"/>
      <c r="H216" s="58"/>
      <c r="I216" s="58"/>
      <c r="J216" s="58"/>
      <c r="K216" s="31"/>
      <c r="L216" s="20"/>
      <c r="M216" s="20"/>
      <c r="N216" s="20"/>
      <c r="O216" s="20"/>
      <c r="P216" s="20"/>
      <c r="Q216" s="20"/>
      <c r="R216" s="20"/>
      <c r="S216" s="20"/>
      <c r="T216" s="20"/>
      <c r="U216" s="20"/>
      <c r="V216" s="20"/>
      <c r="W216" s="20"/>
      <c r="X216" s="20"/>
      <c r="Y216" s="20"/>
      <c r="Z216" s="20"/>
    </row>
    <row r="217" spans="4:26" ht="17.25" customHeight="1">
      <c r="D217" s="37"/>
      <c r="E217" s="58"/>
      <c r="F217" s="58"/>
      <c r="G217" s="58"/>
      <c r="H217" s="58"/>
      <c r="I217" s="58"/>
      <c r="J217" s="58"/>
      <c r="K217" s="31"/>
      <c r="L217" s="20"/>
      <c r="M217" s="20"/>
      <c r="N217" s="20"/>
      <c r="O217" s="20"/>
      <c r="P217" s="20"/>
      <c r="Q217" s="20"/>
      <c r="R217" s="20"/>
      <c r="S217" s="20"/>
      <c r="T217" s="20"/>
      <c r="U217" s="20"/>
      <c r="V217" s="20"/>
      <c r="W217" s="20"/>
      <c r="X217" s="20"/>
      <c r="Y217" s="20"/>
      <c r="Z217" s="20"/>
    </row>
    <row r="218" spans="4:26" ht="17.25" customHeight="1">
      <c r="D218" s="37"/>
      <c r="E218" s="58"/>
      <c r="F218" s="58"/>
      <c r="G218" s="58"/>
      <c r="H218" s="58"/>
      <c r="I218" s="58"/>
      <c r="J218" s="58"/>
      <c r="K218" s="31"/>
      <c r="L218" s="20"/>
      <c r="M218" s="20"/>
      <c r="N218" s="20"/>
      <c r="O218" s="20"/>
      <c r="P218" s="20"/>
      <c r="Q218" s="20"/>
      <c r="R218" s="20"/>
      <c r="S218" s="20"/>
      <c r="T218" s="20"/>
      <c r="U218" s="20"/>
      <c r="V218" s="20"/>
      <c r="W218" s="20"/>
      <c r="X218" s="20"/>
      <c r="Y218" s="20"/>
      <c r="Z218" s="20"/>
    </row>
    <row r="219" spans="4:26" ht="17.25" customHeight="1">
      <c r="D219" s="37"/>
      <c r="E219" s="58"/>
      <c r="F219" s="58"/>
      <c r="G219" s="58"/>
      <c r="H219" s="58"/>
      <c r="I219" s="58"/>
      <c r="J219" s="58"/>
      <c r="K219" s="31"/>
      <c r="L219" s="20"/>
      <c r="M219" s="20"/>
      <c r="N219" s="20"/>
      <c r="O219" s="20"/>
      <c r="P219" s="20"/>
      <c r="Q219" s="20"/>
      <c r="R219" s="20"/>
      <c r="S219" s="20"/>
      <c r="T219" s="20"/>
      <c r="U219" s="20"/>
      <c r="V219" s="20"/>
      <c r="W219" s="20"/>
      <c r="X219" s="20"/>
      <c r="Y219" s="20"/>
      <c r="Z219" s="20"/>
    </row>
    <row r="220" spans="4:26" ht="17.25" customHeight="1">
      <c r="D220" s="37"/>
      <c r="E220" s="58"/>
      <c r="F220" s="58"/>
      <c r="G220" s="58"/>
      <c r="H220" s="58"/>
      <c r="I220" s="58"/>
      <c r="J220" s="58"/>
      <c r="K220" s="31"/>
      <c r="L220" s="20"/>
      <c r="M220" s="20"/>
      <c r="N220" s="20"/>
      <c r="O220" s="20"/>
      <c r="P220" s="20"/>
      <c r="Q220" s="20"/>
      <c r="R220" s="20"/>
      <c r="S220" s="20"/>
      <c r="T220" s="20"/>
      <c r="U220" s="20"/>
      <c r="V220" s="20"/>
      <c r="W220" s="20"/>
      <c r="X220" s="20"/>
      <c r="Y220" s="20"/>
      <c r="Z220" s="20"/>
    </row>
    <row r="221" spans="4:26" ht="17.25" customHeight="1">
      <c r="D221" s="37"/>
      <c r="E221" s="58"/>
      <c r="F221" s="58"/>
      <c r="G221" s="58"/>
      <c r="H221" s="58"/>
      <c r="I221" s="58"/>
      <c r="J221" s="58"/>
      <c r="K221" s="31"/>
      <c r="L221" s="20"/>
      <c r="M221" s="20"/>
      <c r="N221" s="20"/>
      <c r="O221" s="20"/>
      <c r="P221" s="20"/>
      <c r="Q221" s="20"/>
      <c r="R221" s="20"/>
      <c r="S221" s="20"/>
      <c r="T221" s="20"/>
      <c r="U221" s="20"/>
      <c r="V221" s="20"/>
      <c r="W221" s="20"/>
      <c r="X221" s="20"/>
      <c r="Y221" s="20"/>
      <c r="Z221" s="20"/>
    </row>
    <row r="222" spans="4:26" ht="17.25" customHeight="1">
      <c r="D222" s="37"/>
      <c r="E222" s="58"/>
      <c r="F222" s="58"/>
      <c r="G222" s="58"/>
      <c r="H222" s="58"/>
      <c r="I222" s="58"/>
      <c r="J222" s="58"/>
      <c r="K222" s="31"/>
      <c r="L222" s="20"/>
      <c r="M222" s="20"/>
      <c r="N222" s="20"/>
      <c r="O222" s="20"/>
      <c r="P222" s="20"/>
      <c r="Q222" s="20"/>
      <c r="R222" s="20"/>
      <c r="S222" s="20"/>
      <c r="T222" s="20"/>
      <c r="U222" s="20"/>
      <c r="V222" s="20"/>
      <c r="W222" s="20"/>
      <c r="X222" s="20"/>
      <c r="Y222" s="20"/>
      <c r="Z222" s="20"/>
    </row>
    <row r="223" spans="4:26" ht="17.25" customHeight="1">
      <c r="D223" s="37"/>
      <c r="E223" s="58"/>
      <c r="F223" s="58"/>
      <c r="G223" s="58"/>
      <c r="H223" s="58"/>
      <c r="I223" s="58"/>
      <c r="J223" s="58"/>
      <c r="K223" s="31"/>
      <c r="L223" s="20"/>
      <c r="M223" s="20"/>
      <c r="N223" s="20"/>
      <c r="O223" s="20"/>
      <c r="P223" s="20"/>
      <c r="Q223" s="20"/>
      <c r="R223" s="20"/>
      <c r="S223" s="20"/>
      <c r="T223" s="20"/>
      <c r="U223" s="20"/>
      <c r="V223" s="20"/>
      <c r="W223" s="20"/>
      <c r="X223" s="20"/>
      <c r="Y223" s="20"/>
      <c r="Z223" s="20"/>
    </row>
    <row r="224" spans="4:26" ht="17.25" customHeight="1">
      <c r="D224" s="37"/>
      <c r="E224" s="58"/>
      <c r="F224" s="58"/>
      <c r="G224" s="58"/>
      <c r="H224" s="58"/>
      <c r="I224" s="58"/>
      <c r="J224" s="58"/>
      <c r="K224" s="31"/>
      <c r="L224" s="20"/>
      <c r="M224" s="20"/>
      <c r="N224" s="20"/>
      <c r="O224" s="20"/>
      <c r="P224" s="20"/>
      <c r="Q224" s="20"/>
      <c r="R224" s="20"/>
      <c r="S224" s="20"/>
      <c r="T224" s="20"/>
      <c r="U224" s="20"/>
      <c r="V224" s="20"/>
      <c r="W224" s="20"/>
      <c r="X224" s="20"/>
      <c r="Y224" s="20"/>
      <c r="Z224" s="20"/>
    </row>
    <row r="225" spans="4:26" ht="17.25" customHeight="1">
      <c r="D225" s="37"/>
      <c r="E225" s="58"/>
      <c r="F225" s="58"/>
      <c r="G225" s="58"/>
      <c r="H225" s="58"/>
      <c r="I225" s="58"/>
      <c r="J225" s="58"/>
      <c r="K225" s="31"/>
      <c r="L225" s="20"/>
      <c r="M225" s="20"/>
      <c r="N225" s="20"/>
      <c r="O225" s="20"/>
      <c r="P225" s="20"/>
      <c r="Q225" s="20"/>
      <c r="R225" s="20"/>
      <c r="S225" s="20"/>
      <c r="T225" s="20"/>
      <c r="U225" s="20"/>
      <c r="V225" s="20"/>
      <c r="W225" s="20"/>
      <c r="X225" s="20"/>
      <c r="Y225" s="20"/>
      <c r="Z225" s="20"/>
    </row>
    <row r="226" spans="4:26" ht="17.25" customHeight="1">
      <c r="D226" s="37"/>
      <c r="E226" s="58"/>
      <c r="F226" s="58"/>
      <c r="G226" s="58"/>
      <c r="H226" s="58"/>
      <c r="I226" s="58"/>
      <c r="J226" s="58"/>
      <c r="K226" s="31"/>
      <c r="L226" s="20"/>
      <c r="M226" s="20"/>
      <c r="N226" s="20"/>
      <c r="O226" s="20"/>
      <c r="P226" s="20"/>
      <c r="Q226" s="20"/>
      <c r="R226" s="20"/>
      <c r="S226" s="20"/>
      <c r="T226" s="20"/>
      <c r="U226" s="20"/>
      <c r="V226" s="20"/>
      <c r="W226" s="20"/>
      <c r="X226" s="20"/>
      <c r="Y226" s="20"/>
      <c r="Z226" s="20"/>
    </row>
    <row r="227" spans="4:26" ht="17.25" customHeight="1">
      <c r="D227" s="37"/>
      <c r="E227" s="58"/>
      <c r="F227" s="58"/>
      <c r="G227" s="58"/>
      <c r="H227" s="58"/>
      <c r="I227" s="58"/>
      <c r="J227" s="58"/>
      <c r="K227" s="31"/>
      <c r="L227" s="20"/>
      <c r="M227" s="20"/>
      <c r="N227" s="20"/>
      <c r="O227" s="20"/>
      <c r="P227" s="20"/>
      <c r="Q227" s="20"/>
      <c r="R227" s="20"/>
      <c r="S227" s="20"/>
      <c r="T227" s="20"/>
      <c r="U227" s="20"/>
      <c r="V227" s="20"/>
      <c r="W227" s="20"/>
      <c r="X227" s="20"/>
      <c r="Y227" s="20"/>
      <c r="Z227" s="20"/>
    </row>
    <row r="228" spans="4:26" ht="17.25" customHeight="1">
      <c r="D228" s="37"/>
      <c r="E228" s="58"/>
      <c r="F228" s="58"/>
      <c r="G228" s="58"/>
      <c r="H228" s="58"/>
      <c r="I228" s="58"/>
      <c r="J228" s="58"/>
      <c r="K228" s="31"/>
      <c r="L228" s="20"/>
      <c r="M228" s="20"/>
      <c r="N228" s="20"/>
      <c r="O228" s="20"/>
      <c r="P228" s="20"/>
      <c r="Q228" s="20"/>
      <c r="R228" s="20"/>
      <c r="S228" s="20"/>
      <c r="T228" s="20"/>
      <c r="U228" s="20"/>
      <c r="V228" s="20"/>
      <c r="W228" s="20"/>
      <c r="X228" s="20"/>
      <c r="Y228" s="20"/>
      <c r="Z228" s="20"/>
    </row>
    <row r="229" spans="4:26" ht="17.25" customHeight="1">
      <c r="D229" s="37"/>
      <c r="E229" s="58"/>
      <c r="F229" s="58"/>
      <c r="G229" s="58"/>
      <c r="H229" s="58"/>
      <c r="I229" s="58"/>
      <c r="J229" s="58"/>
      <c r="K229" s="31"/>
      <c r="L229" s="20"/>
      <c r="M229" s="20"/>
      <c r="N229" s="20"/>
      <c r="O229" s="20"/>
      <c r="P229" s="20"/>
      <c r="Q229" s="20"/>
      <c r="R229" s="20"/>
      <c r="S229" s="20"/>
      <c r="T229" s="20"/>
      <c r="U229" s="20"/>
      <c r="V229" s="20"/>
      <c r="W229" s="20"/>
      <c r="X229" s="20"/>
      <c r="Y229" s="20"/>
      <c r="Z229" s="20"/>
    </row>
    <row r="230" spans="4:26" ht="17.25" customHeight="1">
      <c r="D230" s="37"/>
      <c r="E230" s="58"/>
      <c r="F230" s="58"/>
      <c r="G230" s="58"/>
      <c r="H230" s="58"/>
      <c r="I230" s="58"/>
      <c r="J230" s="58"/>
      <c r="K230" s="31"/>
      <c r="L230" s="20"/>
      <c r="M230" s="20"/>
      <c r="N230" s="20"/>
      <c r="O230" s="20"/>
      <c r="P230" s="20"/>
      <c r="Q230" s="20"/>
      <c r="R230" s="20"/>
      <c r="S230" s="20"/>
      <c r="T230" s="20"/>
      <c r="U230" s="20"/>
      <c r="V230" s="20"/>
      <c r="W230" s="20"/>
      <c r="X230" s="20"/>
      <c r="Y230" s="20"/>
      <c r="Z230" s="20"/>
    </row>
    <row r="231" spans="4:26" ht="17.25" customHeight="1">
      <c r="D231" s="37"/>
      <c r="E231" s="58"/>
      <c r="F231" s="58"/>
      <c r="G231" s="58"/>
      <c r="H231" s="58"/>
      <c r="I231" s="58"/>
      <c r="J231" s="58"/>
      <c r="K231" s="31"/>
      <c r="L231" s="20"/>
      <c r="M231" s="20"/>
      <c r="N231" s="20"/>
      <c r="O231" s="20"/>
      <c r="P231" s="20"/>
      <c r="Q231" s="20"/>
      <c r="R231" s="20"/>
      <c r="S231" s="20"/>
      <c r="T231" s="20"/>
      <c r="U231" s="20"/>
      <c r="V231" s="20"/>
      <c r="W231" s="20"/>
      <c r="X231" s="20"/>
      <c r="Y231" s="20"/>
      <c r="Z231" s="20"/>
    </row>
    <row r="232" spans="4:26" ht="17.25" customHeight="1">
      <c r="D232" s="37"/>
      <c r="E232" s="58"/>
      <c r="F232" s="58"/>
      <c r="G232" s="58"/>
      <c r="H232" s="58"/>
      <c r="I232" s="58"/>
      <c r="J232" s="58"/>
      <c r="K232" s="31"/>
      <c r="L232" s="20"/>
      <c r="M232" s="20"/>
      <c r="N232" s="20"/>
      <c r="O232" s="20"/>
      <c r="P232" s="20"/>
      <c r="Q232" s="20"/>
      <c r="R232" s="20"/>
      <c r="S232" s="20"/>
      <c r="T232" s="20"/>
      <c r="U232" s="20"/>
      <c r="V232" s="20"/>
      <c r="W232" s="20"/>
      <c r="X232" s="20"/>
      <c r="Y232" s="20"/>
      <c r="Z232" s="20"/>
    </row>
    <row r="233" spans="4:26" ht="17.25" customHeight="1">
      <c r="D233" s="37"/>
      <c r="E233" s="58"/>
      <c r="F233" s="58"/>
      <c r="G233" s="58"/>
      <c r="H233" s="58"/>
      <c r="I233" s="58"/>
      <c r="J233" s="58"/>
      <c r="K233" s="31"/>
      <c r="L233" s="20"/>
      <c r="M233" s="20"/>
      <c r="N233" s="20"/>
      <c r="O233" s="20"/>
      <c r="P233" s="20"/>
      <c r="Q233" s="20"/>
      <c r="R233" s="20"/>
      <c r="S233" s="20"/>
      <c r="T233" s="20"/>
      <c r="U233" s="20"/>
      <c r="V233" s="20"/>
      <c r="W233" s="20"/>
      <c r="X233" s="20"/>
      <c r="Y233" s="20"/>
      <c r="Z233" s="20"/>
    </row>
    <row r="234" spans="4:26" ht="17.25" customHeight="1">
      <c r="D234" s="37"/>
      <c r="E234" s="58"/>
      <c r="F234" s="58"/>
      <c r="G234" s="58"/>
      <c r="H234" s="58"/>
      <c r="I234" s="58"/>
      <c r="J234" s="58"/>
      <c r="K234" s="31"/>
      <c r="L234" s="20"/>
      <c r="M234" s="20"/>
      <c r="N234" s="20"/>
      <c r="O234" s="20"/>
      <c r="P234" s="20"/>
      <c r="Q234" s="20"/>
      <c r="R234" s="20"/>
      <c r="S234" s="20"/>
      <c r="T234" s="20"/>
      <c r="U234" s="20"/>
      <c r="V234" s="20"/>
      <c r="W234" s="20"/>
      <c r="X234" s="20"/>
      <c r="Y234" s="20"/>
      <c r="Z234" s="20"/>
    </row>
    <row r="235" spans="4:26" ht="17.25" customHeight="1">
      <c r="D235" s="37"/>
      <c r="E235" s="58"/>
      <c r="F235" s="58"/>
      <c r="G235" s="58"/>
      <c r="H235" s="58"/>
      <c r="I235" s="58"/>
      <c r="J235" s="58"/>
      <c r="K235" s="31"/>
      <c r="L235" s="20"/>
      <c r="M235" s="20"/>
      <c r="N235" s="20"/>
      <c r="O235" s="20"/>
      <c r="P235" s="20"/>
      <c r="Q235" s="20"/>
      <c r="R235" s="20"/>
      <c r="S235" s="20"/>
      <c r="T235" s="20"/>
      <c r="U235" s="20"/>
      <c r="V235" s="20"/>
      <c r="W235" s="20"/>
      <c r="X235" s="20"/>
      <c r="Y235" s="20"/>
      <c r="Z235" s="20"/>
    </row>
    <row r="236" spans="4:26" ht="17.25" customHeight="1">
      <c r="D236" s="37"/>
      <c r="E236" s="58"/>
      <c r="F236" s="58"/>
      <c r="G236" s="58"/>
      <c r="H236" s="58"/>
      <c r="I236" s="58"/>
      <c r="J236" s="58"/>
      <c r="K236" s="31"/>
      <c r="L236" s="20"/>
      <c r="M236" s="20"/>
      <c r="N236" s="20"/>
      <c r="O236" s="20"/>
      <c r="P236" s="20"/>
      <c r="Q236" s="20"/>
      <c r="R236" s="20"/>
      <c r="S236" s="20"/>
      <c r="T236" s="20"/>
      <c r="U236" s="20"/>
      <c r="V236" s="20"/>
      <c r="W236" s="20"/>
      <c r="X236" s="20"/>
      <c r="Y236" s="20"/>
      <c r="Z236" s="20"/>
    </row>
    <row r="237" spans="4:26" ht="17.25" customHeight="1">
      <c r="D237" s="37"/>
      <c r="E237" s="58"/>
      <c r="F237" s="58"/>
      <c r="G237" s="58"/>
      <c r="H237" s="58"/>
      <c r="I237" s="58"/>
      <c r="J237" s="58"/>
      <c r="K237" s="31"/>
      <c r="L237" s="20"/>
      <c r="M237" s="20"/>
      <c r="N237" s="20"/>
      <c r="O237" s="20"/>
      <c r="P237" s="20"/>
      <c r="Q237" s="20"/>
      <c r="R237" s="20"/>
      <c r="S237" s="20"/>
      <c r="T237" s="20"/>
      <c r="U237" s="20"/>
      <c r="V237" s="20"/>
      <c r="W237" s="20"/>
      <c r="X237" s="20"/>
      <c r="Y237" s="20"/>
      <c r="Z237" s="20"/>
    </row>
    <row r="238" spans="4:26" ht="17.25" customHeight="1">
      <c r="D238" s="37"/>
      <c r="E238" s="58"/>
      <c r="F238" s="58"/>
      <c r="G238" s="58"/>
      <c r="H238" s="58"/>
      <c r="I238" s="58"/>
      <c r="J238" s="58"/>
      <c r="K238" s="31"/>
      <c r="L238" s="20"/>
      <c r="M238" s="20"/>
      <c r="N238" s="20"/>
      <c r="O238" s="20"/>
      <c r="P238" s="20"/>
      <c r="Q238" s="20"/>
      <c r="R238" s="20"/>
      <c r="S238" s="20"/>
      <c r="T238" s="20"/>
      <c r="U238" s="20"/>
      <c r="V238" s="20"/>
      <c r="W238" s="20"/>
      <c r="X238" s="20"/>
      <c r="Y238" s="20"/>
      <c r="Z238" s="20"/>
    </row>
    <row r="239" spans="4:26" ht="17.25" customHeight="1">
      <c r="D239" s="37"/>
      <c r="E239" s="58"/>
      <c r="F239" s="58"/>
      <c r="G239" s="58"/>
      <c r="H239" s="58"/>
      <c r="I239" s="58"/>
      <c r="J239" s="58"/>
      <c r="K239" s="31"/>
      <c r="L239" s="20"/>
      <c r="M239" s="20"/>
      <c r="N239" s="20"/>
      <c r="O239" s="20"/>
      <c r="P239" s="20"/>
      <c r="Q239" s="20"/>
      <c r="R239" s="20"/>
      <c r="S239" s="20"/>
      <c r="T239" s="20"/>
      <c r="U239" s="20"/>
      <c r="V239" s="20"/>
      <c r="W239" s="20"/>
      <c r="X239" s="20"/>
      <c r="Y239" s="20"/>
      <c r="Z239" s="20"/>
    </row>
    <row r="240" spans="4:26" ht="17.25" customHeight="1">
      <c r="D240" s="37"/>
      <c r="E240" s="58"/>
      <c r="F240" s="58"/>
      <c r="G240" s="58"/>
      <c r="H240" s="58"/>
      <c r="I240" s="58"/>
      <c r="J240" s="58"/>
      <c r="K240" s="31"/>
      <c r="L240" s="20"/>
      <c r="M240" s="20"/>
      <c r="N240" s="20"/>
      <c r="O240" s="20"/>
      <c r="P240" s="20"/>
      <c r="Q240" s="20"/>
      <c r="R240" s="20"/>
      <c r="S240" s="20"/>
      <c r="T240" s="20"/>
      <c r="U240" s="20"/>
      <c r="V240" s="20"/>
      <c r="W240" s="20"/>
      <c r="X240" s="20"/>
      <c r="Y240" s="20"/>
      <c r="Z240" s="20"/>
    </row>
    <row r="241" spans="4:26" ht="17.25" customHeight="1">
      <c r="D241" s="37"/>
      <c r="E241" s="58"/>
      <c r="F241" s="58"/>
      <c r="G241" s="58"/>
      <c r="H241" s="58"/>
      <c r="I241" s="58"/>
      <c r="J241" s="58"/>
      <c r="K241" s="31"/>
      <c r="L241" s="20"/>
      <c r="M241" s="20"/>
      <c r="N241" s="20"/>
      <c r="O241" s="20"/>
      <c r="P241" s="20"/>
      <c r="Q241" s="20"/>
      <c r="R241" s="20"/>
      <c r="S241" s="20"/>
      <c r="T241" s="20"/>
      <c r="U241" s="20"/>
      <c r="V241" s="20"/>
      <c r="W241" s="20"/>
      <c r="X241" s="20"/>
      <c r="Y241" s="20"/>
      <c r="Z241" s="20"/>
    </row>
    <row r="242" spans="4:26" ht="17.25" customHeight="1">
      <c r="D242" s="37"/>
      <c r="E242" s="58"/>
      <c r="F242" s="58"/>
      <c r="G242" s="58"/>
      <c r="H242" s="58"/>
      <c r="I242" s="58"/>
      <c r="J242" s="58"/>
      <c r="K242" s="31"/>
      <c r="L242" s="20"/>
      <c r="M242" s="20"/>
      <c r="N242" s="20"/>
      <c r="O242" s="20"/>
      <c r="P242" s="20"/>
      <c r="Q242" s="20"/>
      <c r="R242" s="20"/>
      <c r="S242" s="20"/>
      <c r="T242" s="20"/>
      <c r="U242" s="20"/>
      <c r="V242" s="20"/>
      <c r="W242" s="20"/>
      <c r="X242" s="20"/>
      <c r="Y242" s="20"/>
      <c r="Z242" s="20"/>
    </row>
    <row r="243" spans="4:26" ht="17.25" customHeight="1">
      <c r="D243" s="37"/>
      <c r="E243" s="58"/>
      <c r="F243" s="58"/>
      <c r="G243" s="58"/>
      <c r="H243" s="58"/>
      <c r="I243" s="58"/>
      <c r="J243" s="58"/>
      <c r="K243" s="31"/>
      <c r="L243" s="20"/>
      <c r="M243" s="20"/>
      <c r="N243" s="20"/>
      <c r="O243" s="20"/>
      <c r="P243" s="20"/>
      <c r="Q243" s="20"/>
      <c r="R243" s="20"/>
      <c r="S243" s="20"/>
      <c r="T243" s="20"/>
      <c r="U243" s="20"/>
      <c r="V243" s="20"/>
      <c r="W243" s="20"/>
      <c r="X243" s="20"/>
      <c r="Y243" s="20"/>
      <c r="Z243" s="20"/>
    </row>
    <row r="244" spans="4:26" ht="17.25" customHeight="1">
      <c r="D244" s="37"/>
      <c r="E244" s="58"/>
      <c r="F244" s="58"/>
      <c r="G244" s="58"/>
      <c r="H244" s="58"/>
      <c r="I244" s="58"/>
      <c r="J244" s="58"/>
      <c r="K244" s="31"/>
      <c r="L244" s="20"/>
      <c r="M244" s="20"/>
      <c r="N244" s="20"/>
      <c r="O244" s="20"/>
      <c r="P244" s="20"/>
      <c r="Q244" s="20"/>
      <c r="R244" s="20"/>
      <c r="S244" s="20"/>
      <c r="T244" s="20"/>
      <c r="U244" s="20"/>
      <c r="V244" s="20"/>
      <c r="W244" s="20"/>
      <c r="X244" s="20"/>
      <c r="Y244" s="20"/>
      <c r="Z244" s="20"/>
    </row>
    <row r="245" spans="4:26" ht="17.25" customHeight="1">
      <c r="D245" s="37"/>
      <c r="E245" s="58"/>
      <c r="F245" s="58"/>
      <c r="G245" s="58"/>
      <c r="H245" s="58"/>
      <c r="I245" s="58"/>
      <c r="J245" s="58"/>
      <c r="K245" s="31"/>
      <c r="L245" s="20"/>
      <c r="M245" s="20"/>
      <c r="N245" s="20"/>
      <c r="O245" s="20"/>
      <c r="P245" s="20"/>
      <c r="Q245" s="20"/>
      <c r="R245" s="20"/>
      <c r="S245" s="20"/>
      <c r="T245" s="20"/>
      <c r="U245" s="20"/>
      <c r="V245" s="20"/>
      <c r="W245" s="20"/>
      <c r="X245" s="20"/>
      <c r="Y245" s="20"/>
      <c r="Z245" s="20"/>
    </row>
    <row r="246" spans="4:26" ht="17.25" customHeight="1">
      <c r="D246" s="37"/>
      <c r="E246" s="58"/>
      <c r="F246" s="58"/>
      <c r="G246" s="58"/>
      <c r="H246" s="58"/>
      <c r="I246" s="58"/>
      <c r="J246" s="58"/>
      <c r="K246" s="31"/>
      <c r="L246" s="20"/>
      <c r="M246" s="20"/>
      <c r="N246" s="20"/>
      <c r="O246" s="20"/>
      <c r="P246" s="20"/>
      <c r="Q246" s="20"/>
      <c r="R246" s="20"/>
      <c r="S246" s="20"/>
      <c r="T246" s="20"/>
      <c r="U246" s="20"/>
      <c r="V246" s="20"/>
      <c r="W246" s="20"/>
      <c r="X246" s="20"/>
      <c r="Y246" s="20"/>
      <c r="Z246" s="20"/>
    </row>
    <row r="247" spans="4:26" ht="17.25" customHeight="1">
      <c r="D247" s="37"/>
      <c r="E247" s="58"/>
      <c r="F247" s="58"/>
      <c r="G247" s="58"/>
      <c r="H247" s="58"/>
      <c r="I247" s="58"/>
      <c r="J247" s="58"/>
      <c r="K247" s="31"/>
      <c r="L247" s="20"/>
      <c r="M247" s="20"/>
      <c r="N247" s="20"/>
      <c r="O247" s="20"/>
      <c r="P247" s="20"/>
      <c r="Q247" s="20"/>
      <c r="R247" s="20"/>
      <c r="S247" s="20"/>
      <c r="T247" s="20"/>
      <c r="U247" s="20"/>
      <c r="V247" s="20"/>
      <c r="W247" s="20"/>
      <c r="X247" s="20"/>
      <c r="Y247" s="20"/>
      <c r="Z247" s="20"/>
    </row>
    <row r="248" spans="4:26" ht="17.25" customHeight="1">
      <c r="D248" s="37"/>
      <c r="E248" s="58"/>
      <c r="F248" s="58"/>
      <c r="G248" s="58"/>
      <c r="H248" s="58"/>
      <c r="I248" s="58"/>
      <c r="J248" s="58"/>
      <c r="K248" s="31"/>
      <c r="L248" s="20"/>
      <c r="M248" s="20"/>
      <c r="N248" s="20"/>
      <c r="O248" s="20"/>
      <c r="P248" s="20"/>
      <c r="Q248" s="20"/>
      <c r="R248" s="20"/>
      <c r="S248" s="20"/>
      <c r="T248" s="20"/>
      <c r="U248" s="20"/>
      <c r="V248" s="20"/>
      <c r="W248" s="20"/>
      <c r="X248" s="20"/>
      <c r="Y248" s="20"/>
      <c r="Z248" s="20"/>
    </row>
    <row r="249" spans="4:26" ht="17.25" customHeight="1">
      <c r="D249" s="37"/>
      <c r="E249" s="58"/>
      <c r="F249" s="58"/>
      <c r="G249" s="58"/>
      <c r="H249" s="58"/>
      <c r="I249" s="58"/>
      <c r="J249" s="58"/>
      <c r="K249" s="31"/>
      <c r="L249" s="20"/>
      <c r="M249" s="20"/>
      <c r="N249" s="20"/>
      <c r="O249" s="20"/>
      <c r="P249" s="20"/>
      <c r="Q249" s="20"/>
      <c r="R249" s="20"/>
      <c r="S249" s="20"/>
      <c r="T249" s="20"/>
      <c r="U249" s="20"/>
      <c r="V249" s="20"/>
      <c r="W249" s="20"/>
      <c r="X249" s="20"/>
      <c r="Y249" s="20"/>
      <c r="Z249" s="20"/>
    </row>
    <row r="250" spans="4:26" ht="17.25" customHeight="1">
      <c r="D250" s="37"/>
      <c r="E250" s="58"/>
      <c r="F250" s="58"/>
      <c r="G250" s="58"/>
      <c r="H250" s="58"/>
      <c r="I250" s="58"/>
      <c r="J250" s="58"/>
      <c r="K250" s="31"/>
      <c r="L250" s="20"/>
      <c r="M250" s="20"/>
      <c r="N250" s="20"/>
      <c r="O250" s="20"/>
      <c r="P250" s="20"/>
      <c r="Q250" s="20"/>
      <c r="R250" s="20"/>
      <c r="S250" s="20"/>
      <c r="T250" s="20"/>
      <c r="U250" s="20"/>
      <c r="V250" s="20"/>
      <c r="W250" s="20"/>
      <c r="X250" s="20"/>
      <c r="Y250" s="20"/>
      <c r="Z250" s="20"/>
    </row>
    <row r="251" spans="4:26" ht="17.25" customHeight="1">
      <c r="D251" s="37"/>
      <c r="E251" s="58"/>
      <c r="F251" s="58"/>
      <c r="G251" s="58"/>
      <c r="H251" s="58"/>
      <c r="I251" s="58"/>
      <c r="J251" s="58"/>
      <c r="K251" s="31"/>
      <c r="L251" s="20"/>
      <c r="M251" s="20"/>
      <c r="N251" s="20"/>
      <c r="O251" s="20"/>
      <c r="P251" s="20"/>
      <c r="Q251" s="20"/>
      <c r="R251" s="20"/>
      <c r="S251" s="20"/>
      <c r="T251" s="20"/>
      <c r="U251" s="20"/>
      <c r="V251" s="20"/>
      <c r="W251" s="20"/>
      <c r="X251" s="20"/>
      <c r="Y251" s="20"/>
      <c r="Z251" s="20"/>
    </row>
    <row r="252" spans="4:26" ht="17.25" customHeight="1">
      <c r="D252" s="37"/>
      <c r="E252" s="58"/>
      <c r="F252" s="58"/>
      <c r="G252" s="58"/>
      <c r="H252" s="58"/>
      <c r="I252" s="58"/>
      <c r="J252" s="58"/>
      <c r="K252" s="31"/>
      <c r="L252" s="20"/>
      <c r="M252" s="20"/>
      <c r="N252" s="20"/>
      <c r="O252" s="20"/>
      <c r="P252" s="20"/>
      <c r="Q252" s="20"/>
      <c r="R252" s="20"/>
      <c r="S252" s="20"/>
      <c r="T252" s="20"/>
      <c r="U252" s="20"/>
      <c r="V252" s="20"/>
      <c r="W252" s="20"/>
      <c r="X252" s="20"/>
      <c r="Y252" s="20"/>
      <c r="Z252" s="20"/>
    </row>
    <row r="253" spans="4:26" ht="17.25" customHeight="1">
      <c r="D253" s="37"/>
      <c r="E253" s="58"/>
      <c r="F253" s="58"/>
      <c r="G253" s="58"/>
      <c r="H253" s="58"/>
      <c r="I253" s="58"/>
      <c r="J253" s="58"/>
      <c r="K253" s="31"/>
      <c r="L253" s="20"/>
      <c r="M253" s="20"/>
      <c r="N253" s="20"/>
      <c r="O253" s="20"/>
      <c r="P253" s="20"/>
      <c r="Q253" s="20"/>
      <c r="R253" s="20"/>
      <c r="S253" s="20"/>
      <c r="T253" s="20"/>
      <c r="U253" s="20"/>
      <c r="V253" s="20"/>
      <c r="W253" s="20"/>
      <c r="X253" s="20"/>
      <c r="Y253" s="20"/>
      <c r="Z253" s="20"/>
    </row>
    <row r="254" spans="4:26" ht="17.25" customHeight="1">
      <c r="D254" s="37"/>
      <c r="E254" s="58"/>
      <c r="F254" s="58"/>
      <c r="G254" s="58"/>
      <c r="H254" s="58"/>
      <c r="I254" s="58"/>
      <c r="J254" s="58"/>
      <c r="K254" s="31"/>
      <c r="L254" s="20"/>
      <c r="M254" s="20"/>
      <c r="N254" s="20"/>
      <c r="O254" s="20"/>
      <c r="P254" s="20"/>
      <c r="Q254" s="20"/>
      <c r="R254" s="20"/>
      <c r="S254" s="20"/>
      <c r="T254" s="20"/>
      <c r="U254" s="20"/>
      <c r="V254" s="20"/>
      <c r="W254" s="20"/>
      <c r="X254" s="20"/>
      <c r="Y254" s="20"/>
      <c r="Z254" s="20"/>
    </row>
    <row r="255" spans="4:26" ht="17.25" customHeight="1">
      <c r="D255" s="37"/>
      <c r="E255" s="58"/>
      <c r="F255" s="58"/>
      <c r="G255" s="58"/>
      <c r="H255" s="58"/>
      <c r="I255" s="58"/>
      <c r="J255" s="58"/>
      <c r="K255" s="31"/>
      <c r="L255" s="20"/>
      <c r="M255" s="20"/>
      <c r="N255" s="20"/>
      <c r="O255" s="20"/>
      <c r="P255" s="20"/>
      <c r="Q255" s="20"/>
      <c r="R255" s="20"/>
      <c r="S255" s="20"/>
      <c r="T255" s="20"/>
      <c r="U255" s="20"/>
      <c r="V255" s="20"/>
      <c r="W255" s="20"/>
      <c r="X255" s="20"/>
      <c r="Y255" s="20"/>
      <c r="Z255" s="20"/>
    </row>
    <row r="256" spans="4:26" ht="17.25" customHeight="1">
      <c r="D256" s="37"/>
      <c r="E256" s="58"/>
      <c r="F256" s="58"/>
      <c r="G256" s="58"/>
      <c r="H256" s="58"/>
      <c r="I256" s="58"/>
      <c r="J256" s="58"/>
      <c r="K256" s="31"/>
      <c r="L256" s="20"/>
      <c r="M256" s="20"/>
      <c r="N256" s="20"/>
      <c r="O256" s="20"/>
      <c r="P256" s="20"/>
      <c r="Q256" s="20"/>
      <c r="R256" s="20"/>
      <c r="S256" s="20"/>
      <c r="T256" s="20"/>
      <c r="U256" s="20"/>
      <c r="V256" s="20"/>
      <c r="W256" s="20"/>
      <c r="X256" s="20"/>
      <c r="Y256" s="20"/>
      <c r="Z256" s="20"/>
    </row>
    <row r="257" spans="4:26" ht="17.25" customHeight="1">
      <c r="D257" s="37"/>
      <c r="E257" s="58"/>
      <c r="F257" s="58"/>
      <c r="G257" s="58"/>
      <c r="H257" s="58"/>
      <c r="I257" s="58"/>
      <c r="J257" s="58"/>
      <c r="K257" s="31"/>
      <c r="L257" s="20"/>
      <c r="M257" s="20"/>
      <c r="N257" s="20"/>
      <c r="O257" s="20"/>
      <c r="P257" s="20"/>
      <c r="Q257" s="20"/>
      <c r="R257" s="20"/>
      <c r="S257" s="20"/>
      <c r="T257" s="20"/>
      <c r="U257" s="20"/>
      <c r="V257" s="20"/>
      <c r="W257" s="20"/>
      <c r="X257" s="20"/>
      <c r="Y257" s="20"/>
      <c r="Z257" s="20"/>
    </row>
    <row r="258" spans="4:26" ht="17.25" customHeight="1">
      <c r="D258" s="37"/>
      <c r="E258" s="58"/>
      <c r="F258" s="58"/>
      <c r="G258" s="58"/>
      <c r="H258" s="58"/>
      <c r="I258" s="58"/>
      <c r="J258" s="58"/>
      <c r="K258" s="31"/>
      <c r="L258" s="20"/>
      <c r="M258" s="20"/>
      <c r="N258" s="20"/>
      <c r="O258" s="20"/>
      <c r="P258" s="20"/>
      <c r="Q258" s="20"/>
      <c r="R258" s="20"/>
      <c r="S258" s="20"/>
      <c r="T258" s="20"/>
      <c r="U258" s="20"/>
      <c r="V258" s="20"/>
      <c r="W258" s="20"/>
      <c r="X258" s="20"/>
      <c r="Y258" s="20"/>
      <c r="Z258" s="20"/>
    </row>
    <row r="259" spans="4:26" ht="17.25" customHeight="1">
      <c r="D259" s="37"/>
      <c r="E259" s="58"/>
      <c r="F259" s="58"/>
      <c r="G259" s="58"/>
      <c r="H259" s="58"/>
      <c r="I259" s="58"/>
      <c r="J259" s="58"/>
      <c r="K259" s="31"/>
      <c r="L259" s="20"/>
      <c r="M259" s="20"/>
      <c r="N259" s="20"/>
      <c r="O259" s="20"/>
      <c r="P259" s="20"/>
      <c r="Q259" s="20"/>
      <c r="R259" s="20"/>
      <c r="S259" s="20"/>
      <c r="T259" s="20"/>
      <c r="U259" s="20"/>
      <c r="V259" s="20"/>
      <c r="W259" s="20"/>
      <c r="X259" s="20"/>
      <c r="Y259" s="20"/>
      <c r="Z259" s="20"/>
    </row>
    <row r="260" spans="4:26" ht="17.25" customHeight="1">
      <c r="D260" s="37"/>
      <c r="E260" s="58"/>
      <c r="F260" s="58"/>
      <c r="G260" s="58"/>
      <c r="H260" s="58"/>
      <c r="I260" s="58"/>
      <c r="J260" s="58"/>
      <c r="K260" s="31"/>
      <c r="L260" s="20"/>
      <c r="M260" s="20"/>
      <c r="N260" s="20"/>
      <c r="O260" s="20"/>
      <c r="P260" s="20"/>
      <c r="Q260" s="20"/>
      <c r="R260" s="20"/>
      <c r="S260" s="20"/>
      <c r="T260" s="20"/>
      <c r="U260" s="20"/>
      <c r="V260" s="20"/>
      <c r="W260" s="20"/>
      <c r="X260" s="20"/>
      <c r="Y260" s="20"/>
      <c r="Z260" s="20"/>
    </row>
    <row r="261" spans="4:26" ht="17.25" customHeight="1">
      <c r="D261" s="37"/>
      <c r="E261" s="58"/>
      <c r="F261" s="58"/>
      <c r="G261" s="58"/>
      <c r="H261" s="58"/>
      <c r="I261" s="58"/>
      <c r="J261" s="58"/>
      <c r="K261" s="31"/>
      <c r="L261" s="20"/>
      <c r="M261" s="20"/>
      <c r="N261" s="20"/>
      <c r="O261" s="20"/>
      <c r="P261" s="20"/>
      <c r="Q261" s="20"/>
      <c r="R261" s="20"/>
      <c r="S261" s="20"/>
      <c r="T261" s="20"/>
      <c r="U261" s="20"/>
      <c r="V261" s="20"/>
      <c r="W261" s="20"/>
      <c r="X261" s="20"/>
      <c r="Y261" s="20"/>
      <c r="Z261" s="20"/>
    </row>
    <row r="262" spans="4:26" ht="17.25" customHeight="1">
      <c r="D262" s="37"/>
      <c r="E262" s="58"/>
      <c r="F262" s="58"/>
      <c r="G262" s="58"/>
      <c r="H262" s="58"/>
      <c r="I262" s="58"/>
      <c r="J262" s="58"/>
      <c r="K262" s="31"/>
      <c r="L262" s="20"/>
      <c r="M262" s="20"/>
      <c r="N262" s="20"/>
      <c r="O262" s="20"/>
      <c r="P262" s="20"/>
      <c r="Q262" s="20"/>
      <c r="R262" s="20"/>
      <c r="S262" s="20"/>
      <c r="T262" s="20"/>
      <c r="U262" s="20"/>
      <c r="V262" s="20"/>
      <c r="W262" s="20"/>
      <c r="X262" s="20"/>
      <c r="Y262" s="20"/>
      <c r="Z262" s="20"/>
    </row>
    <row r="263" spans="4:26" ht="17.25" customHeight="1">
      <c r="D263" s="37"/>
      <c r="E263" s="58"/>
      <c r="F263" s="58"/>
      <c r="G263" s="58"/>
      <c r="H263" s="58"/>
      <c r="I263" s="58"/>
      <c r="J263" s="58"/>
      <c r="K263" s="31"/>
      <c r="L263" s="20"/>
      <c r="M263" s="20"/>
      <c r="N263" s="20"/>
      <c r="O263" s="20"/>
      <c r="P263" s="20"/>
      <c r="Q263" s="20"/>
      <c r="R263" s="20"/>
      <c r="S263" s="20"/>
      <c r="T263" s="20"/>
      <c r="U263" s="20"/>
      <c r="V263" s="20"/>
      <c r="W263" s="20"/>
      <c r="X263" s="20"/>
      <c r="Y263" s="20"/>
      <c r="Z263" s="20"/>
    </row>
    <row r="264" spans="4:26" ht="17.25" customHeight="1">
      <c r="D264" s="37"/>
      <c r="E264" s="58"/>
      <c r="F264" s="58"/>
      <c r="G264" s="58"/>
      <c r="H264" s="58"/>
      <c r="I264" s="58"/>
      <c r="J264" s="58"/>
      <c r="K264" s="31"/>
      <c r="L264" s="20"/>
      <c r="M264" s="20"/>
      <c r="N264" s="20"/>
      <c r="O264" s="20"/>
      <c r="P264" s="20"/>
      <c r="Q264" s="20"/>
      <c r="R264" s="20"/>
      <c r="S264" s="20"/>
      <c r="T264" s="20"/>
      <c r="U264" s="20"/>
      <c r="V264" s="20"/>
      <c r="W264" s="20"/>
      <c r="X264" s="20"/>
      <c r="Y264" s="20"/>
      <c r="Z264" s="20"/>
    </row>
    <row r="265" spans="4:26" ht="17.25" customHeight="1">
      <c r="D265" s="37"/>
      <c r="E265" s="58"/>
      <c r="F265" s="58"/>
      <c r="G265" s="58"/>
      <c r="H265" s="58"/>
      <c r="I265" s="58"/>
      <c r="J265" s="58"/>
      <c r="K265" s="31"/>
      <c r="L265" s="20"/>
      <c r="M265" s="20"/>
      <c r="N265" s="20"/>
      <c r="O265" s="20"/>
      <c r="P265" s="20"/>
      <c r="Q265" s="20"/>
      <c r="R265" s="20"/>
      <c r="S265" s="20"/>
      <c r="T265" s="20"/>
      <c r="U265" s="20"/>
      <c r="V265" s="20"/>
      <c r="W265" s="20"/>
      <c r="X265" s="20"/>
      <c r="Y265" s="20"/>
      <c r="Z265" s="20"/>
    </row>
    <row r="266" spans="4:26" ht="17.25" customHeight="1">
      <c r="D266" s="37"/>
      <c r="E266" s="58"/>
      <c r="F266" s="58"/>
      <c r="G266" s="58"/>
      <c r="H266" s="58"/>
      <c r="I266" s="58"/>
      <c r="J266" s="58"/>
      <c r="K266" s="31"/>
      <c r="L266" s="20"/>
      <c r="M266" s="20"/>
      <c r="N266" s="20"/>
      <c r="O266" s="20"/>
      <c r="P266" s="20"/>
      <c r="Q266" s="20"/>
      <c r="R266" s="20"/>
      <c r="S266" s="20"/>
      <c r="T266" s="20"/>
      <c r="U266" s="20"/>
      <c r="V266" s="20"/>
      <c r="W266" s="20"/>
      <c r="X266" s="20"/>
      <c r="Y266" s="20"/>
      <c r="Z266" s="20"/>
    </row>
    <row r="267" spans="4:26" ht="17.25" customHeight="1">
      <c r="D267" s="37"/>
      <c r="E267" s="58"/>
      <c r="F267" s="58"/>
      <c r="G267" s="58"/>
      <c r="H267" s="58"/>
      <c r="I267" s="58"/>
      <c r="J267" s="58"/>
      <c r="K267" s="31"/>
      <c r="L267" s="20"/>
      <c r="M267" s="20"/>
      <c r="N267" s="20"/>
      <c r="O267" s="20"/>
      <c r="P267" s="20"/>
      <c r="Q267" s="20"/>
      <c r="R267" s="20"/>
      <c r="S267" s="20"/>
      <c r="T267" s="20"/>
      <c r="U267" s="20"/>
      <c r="V267" s="20"/>
      <c r="W267" s="20"/>
      <c r="X267" s="20"/>
      <c r="Y267" s="20"/>
      <c r="Z267" s="20"/>
    </row>
    <row r="268" spans="4:26" ht="17.25" customHeight="1">
      <c r="D268" s="37"/>
      <c r="E268" s="58"/>
      <c r="F268" s="58"/>
      <c r="G268" s="58"/>
      <c r="H268" s="58"/>
      <c r="I268" s="58"/>
      <c r="J268" s="58"/>
      <c r="K268" s="31"/>
      <c r="L268" s="20"/>
      <c r="M268" s="20"/>
      <c r="N268" s="20"/>
      <c r="O268" s="20"/>
      <c r="P268" s="20"/>
      <c r="Q268" s="20"/>
      <c r="R268" s="20"/>
      <c r="S268" s="20"/>
      <c r="T268" s="20"/>
      <c r="U268" s="20"/>
      <c r="V268" s="20"/>
      <c r="W268" s="20"/>
      <c r="X268" s="20"/>
      <c r="Y268" s="20"/>
      <c r="Z268" s="20"/>
    </row>
    <row r="269" spans="4:26" ht="17.25" customHeight="1">
      <c r="D269" s="37"/>
      <c r="E269" s="58"/>
      <c r="F269" s="58"/>
      <c r="G269" s="58"/>
      <c r="H269" s="58"/>
      <c r="I269" s="58"/>
      <c r="J269" s="58"/>
      <c r="K269" s="31"/>
      <c r="L269" s="20"/>
      <c r="M269" s="20"/>
      <c r="N269" s="20"/>
      <c r="O269" s="20"/>
      <c r="P269" s="20"/>
      <c r="Q269" s="20"/>
      <c r="R269" s="20"/>
      <c r="S269" s="20"/>
      <c r="T269" s="20"/>
      <c r="U269" s="20"/>
      <c r="V269" s="20"/>
      <c r="W269" s="20"/>
      <c r="X269" s="20"/>
      <c r="Y269" s="20"/>
      <c r="Z269" s="20"/>
    </row>
    <row r="270" spans="4:26" ht="17.25" customHeight="1">
      <c r="D270" s="37"/>
      <c r="E270" s="58"/>
      <c r="F270" s="58"/>
      <c r="G270" s="58"/>
      <c r="H270" s="58"/>
      <c r="I270" s="58"/>
      <c r="J270" s="58"/>
      <c r="K270" s="31"/>
      <c r="L270" s="20"/>
      <c r="M270" s="20"/>
      <c r="N270" s="20"/>
      <c r="O270" s="20"/>
      <c r="P270" s="20"/>
      <c r="Q270" s="20"/>
      <c r="R270" s="20"/>
      <c r="S270" s="20"/>
      <c r="T270" s="20"/>
      <c r="U270" s="20"/>
      <c r="V270" s="20"/>
      <c r="W270" s="20"/>
      <c r="X270" s="20"/>
      <c r="Y270" s="20"/>
      <c r="Z270" s="20"/>
    </row>
    <row r="271" spans="4:26" ht="17.25" customHeight="1">
      <c r="D271" s="37"/>
      <c r="E271" s="58"/>
      <c r="F271" s="58"/>
      <c r="G271" s="58"/>
      <c r="H271" s="58"/>
      <c r="I271" s="58"/>
      <c r="J271" s="58"/>
      <c r="K271" s="31"/>
      <c r="L271" s="20"/>
      <c r="M271" s="20"/>
      <c r="N271" s="20"/>
      <c r="O271" s="20"/>
      <c r="P271" s="20"/>
      <c r="Q271" s="20"/>
      <c r="R271" s="20"/>
      <c r="S271" s="20"/>
      <c r="T271" s="20"/>
      <c r="U271" s="20"/>
      <c r="V271" s="20"/>
      <c r="W271" s="20"/>
      <c r="X271" s="20"/>
      <c r="Y271" s="20"/>
      <c r="Z271" s="20"/>
    </row>
    <row r="272" spans="4:26" ht="17.25" customHeight="1">
      <c r="D272" s="37"/>
      <c r="E272" s="58"/>
      <c r="F272" s="58"/>
      <c r="G272" s="58"/>
      <c r="H272" s="58"/>
      <c r="I272" s="58"/>
      <c r="J272" s="58"/>
      <c r="K272" s="31"/>
      <c r="L272" s="20"/>
      <c r="M272" s="20"/>
      <c r="N272" s="20"/>
      <c r="O272" s="20"/>
      <c r="P272" s="20"/>
      <c r="Q272" s="20"/>
      <c r="R272" s="20"/>
      <c r="S272" s="20"/>
      <c r="T272" s="20"/>
      <c r="U272" s="20"/>
      <c r="V272" s="20"/>
      <c r="W272" s="20"/>
      <c r="X272" s="20"/>
      <c r="Y272" s="20"/>
      <c r="Z272" s="20"/>
    </row>
    <row r="273" spans="4:26" ht="17.25" customHeight="1">
      <c r="D273" s="37"/>
      <c r="E273" s="58"/>
      <c r="F273" s="58"/>
      <c r="G273" s="58"/>
      <c r="H273" s="58"/>
      <c r="I273" s="58"/>
      <c r="J273" s="58"/>
      <c r="K273" s="31"/>
      <c r="L273" s="20"/>
      <c r="M273" s="20"/>
      <c r="N273" s="20"/>
      <c r="O273" s="20"/>
      <c r="P273" s="20"/>
      <c r="Q273" s="20"/>
      <c r="R273" s="20"/>
      <c r="S273" s="20"/>
      <c r="T273" s="20"/>
      <c r="U273" s="20"/>
      <c r="V273" s="20"/>
      <c r="W273" s="20"/>
      <c r="X273" s="20"/>
      <c r="Y273" s="20"/>
      <c r="Z273" s="20"/>
    </row>
    <row r="274" spans="4:26" ht="17.25" customHeight="1">
      <c r="D274" s="37"/>
      <c r="E274" s="58"/>
      <c r="F274" s="58"/>
      <c r="G274" s="58"/>
      <c r="H274" s="58"/>
      <c r="I274" s="58"/>
      <c r="J274" s="58"/>
      <c r="K274" s="31"/>
      <c r="L274" s="20"/>
      <c r="M274" s="20"/>
      <c r="N274" s="20"/>
      <c r="O274" s="20"/>
      <c r="P274" s="20"/>
      <c r="Q274" s="20"/>
      <c r="R274" s="20"/>
      <c r="S274" s="20"/>
      <c r="T274" s="20"/>
      <c r="U274" s="20"/>
      <c r="V274" s="20"/>
      <c r="W274" s="20"/>
      <c r="X274" s="20"/>
      <c r="Y274" s="20"/>
      <c r="Z274" s="20"/>
    </row>
    <row r="275" spans="4:26" ht="17.25" customHeight="1">
      <c r="D275" s="37"/>
      <c r="E275" s="58"/>
      <c r="F275" s="58"/>
      <c r="G275" s="58"/>
      <c r="H275" s="58"/>
      <c r="I275" s="58"/>
      <c r="J275" s="58"/>
      <c r="K275" s="31"/>
      <c r="L275" s="20"/>
      <c r="M275" s="20"/>
      <c r="N275" s="20"/>
      <c r="O275" s="20"/>
      <c r="P275" s="20"/>
      <c r="Q275" s="20"/>
      <c r="R275" s="20"/>
      <c r="S275" s="20"/>
      <c r="T275" s="20"/>
      <c r="U275" s="20"/>
      <c r="V275" s="20"/>
      <c r="W275" s="20"/>
      <c r="X275" s="20"/>
      <c r="Y275" s="20"/>
      <c r="Z275" s="20"/>
    </row>
    <row r="276" spans="4:26" ht="17.25" customHeight="1">
      <c r="D276" s="37"/>
      <c r="E276" s="58"/>
      <c r="F276" s="58"/>
      <c r="G276" s="58"/>
      <c r="H276" s="58"/>
      <c r="I276" s="58"/>
      <c r="J276" s="58"/>
      <c r="K276" s="31"/>
      <c r="L276" s="20"/>
      <c r="M276" s="20"/>
      <c r="N276" s="20"/>
      <c r="O276" s="20"/>
      <c r="P276" s="20"/>
      <c r="Q276" s="20"/>
      <c r="R276" s="20"/>
      <c r="S276" s="20"/>
      <c r="T276" s="20"/>
      <c r="U276" s="20"/>
      <c r="V276" s="20"/>
      <c r="W276" s="20"/>
      <c r="X276" s="20"/>
      <c r="Y276" s="20"/>
      <c r="Z276" s="20"/>
    </row>
    <row r="277" spans="4:26" ht="17.25" customHeight="1">
      <c r="D277" s="37"/>
      <c r="E277" s="58"/>
      <c r="F277" s="58"/>
      <c r="G277" s="58"/>
      <c r="H277" s="58"/>
      <c r="I277" s="58"/>
      <c r="J277" s="58"/>
      <c r="K277" s="31"/>
      <c r="L277" s="20"/>
      <c r="M277" s="20"/>
      <c r="N277" s="20"/>
      <c r="O277" s="20"/>
      <c r="P277" s="20"/>
      <c r="Q277" s="20"/>
      <c r="R277" s="20"/>
      <c r="S277" s="20"/>
      <c r="T277" s="20"/>
      <c r="U277" s="20"/>
      <c r="V277" s="20"/>
      <c r="W277" s="20"/>
      <c r="X277" s="20"/>
      <c r="Y277" s="20"/>
      <c r="Z277" s="20"/>
    </row>
    <row r="278" spans="4:26" ht="17.25" customHeight="1">
      <c r="D278" s="37"/>
      <c r="E278" s="58"/>
      <c r="F278" s="58"/>
      <c r="G278" s="58"/>
      <c r="H278" s="58"/>
      <c r="I278" s="58"/>
      <c r="J278" s="58"/>
      <c r="K278" s="31"/>
      <c r="L278" s="20"/>
      <c r="M278" s="20"/>
      <c r="N278" s="20"/>
      <c r="O278" s="20"/>
      <c r="P278" s="20"/>
      <c r="Q278" s="20"/>
      <c r="R278" s="20"/>
      <c r="S278" s="20"/>
      <c r="T278" s="20"/>
      <c r="U278" s="20"/>
      <c r="V278" s="20"/>
      <c r="W278" s="20"/>
      <c r="X278" s="20"/>
      <c r="Y278" s="20"/>
      <c r="Z278" s="20"/>
    </row>
    <row r="279" spans="4:26" ht="17.25" customHeight="1">
      <c r="D279" s="37"/>
      <c r="E279" s="58"/>
      <c r="F279" s="58"/>
      <c r="G279" s="58"/>
      <c r="H279" s="58"/>
      <c r="I279" s="58"/>
      <c r="J279" s="58"/>
      <c r="K279" s="31"/>
      <c r="L279" s="20"/>
      <c r="M279" s="20"/>
      <c r="N279" s="20"/>
      <c r="O279" s="20"/>
      <c r="P279" s="20"/>
      <c r="Q279" s="20"/>
      <c r="R279" s="20"/>
      <c r="S279" s="20"/>
      <c r="T279" s="20"/>
      <c r="U279" s="20"/>
      <c r="V279" s="20"/>
      <c r="W279" s="20"/>
      <c r="X279" s="20"/>
      <c r="Y279" s="20"/>
      <c r="Z279" s="20"/>
    </row>
    <row r="280" spans="4:26" ht="17.25" customHeight="1">
      <c r="D280" s="37"/>
      <c r="E280" s="58"/>
      <c r="F280" s="58"/>
      <c r="G280" s="58"/>
      <c r="H280" s="58"/>
      <c r="I280" s="58"/>
      <c r="J280" s="58"/>
      <c r="K280" s="31"/>
      <c r="L280" s="20"/>
      <c r="M280" s="20"/>
      <c r="N280" s="20"/>
      <c r="O280" s="20"/>
      <c r="P280" s="20"/>
      <c r="Q280" s="20"/>
      <c r="R280" s="20"/>
      <c r="S280" s="20"/>
      <c r="T280" s="20"/>
      <c r="U280" s="20"/>
      <c r="V280" s="20"/>
      <c r="W280" s="20"/>
      <c r="X280" s="20"/>
      <c r="Y280" s="20"/>
      <c r="Z280" s="20"/>
    </row>
    <row r="281" spans="4:26" ht="17.25" customHeight="1">
      <c r="D281" s="37"/>
      <c r="E281" s="58"/>
      <c r="F281" s="58"/>
      <c r="G281" s="58"/>
      <c r="H281" s="58"/>
      <c r="I281" s="58"/>
      <c r="J281" s="58"/>
      <c r="K281" s="31"/>
      <c r="L281" s="20"/>
      <c r="M281" s="20"/>
      <c r="N281" s="20"/>
      <c r="O281" s="20"/>
      <c r="P281" s="20"/>
      <c r="Q281" s="20"/>
      <c r="R281" s="20"/>
      <c r="S281" s="20"/>
      <c r="T281" s="20"/>
      <c r="U281" s="20"/>
      <c r="V281" s="20"/>
      <c r="W281" s="20"/>
      <c r="X281" s="20"/>
      <c r="Y281" s="20"/>
      <c r="Z281" s="20"/>
    </row>
    <row r="282" spans="4:26" ht="17.25" customHeight="1">
      <c r="D282" s="37"/>
      <c r="E282" s="58"/>
      <c r="F282" s="58"/>
      <c r="G282" s="58"/>
      <c r="H282" s="58"/>
      <c r="I282" s="58"/>
      <c r="J282" s="58"/>
      <c r="K282" s="31"/>
      <c r="L282" s="20"/>
      <c r="M282" s="20"/>
      <c r="N282" s="20"/>
      <c r="O282" s="20"/>
      <c r="P282" s="20"/>
      <c r="Q282" s="20"/>
      <c r="R282" s="20"/>
      <c r="S282" s="20"/>
      <c r="T282" s="20"/>
      <c r="U282" s="20"/>
      <c r="V282" s="20"/>
      <c r="W282" s="20"/>
      <c r="X282" s="20"/>
      <c r="Y282" s="20"/>
      <c r="Z282" s="20"/>
    </row>
    <row r="283" spans="4:26" ht="17.25" customHeight="1">
      <c r="D283" s="37"/>
      <c r="E283" s="58"/>
      <c r="F283" s="58"/>
      <c r="G283" s="58"/>
      <c r="H283" s="58"/>
      <c r="I283" s="58"/>
      <c r="J283" s="58"/>
      <c r="K283" s="31"/>
      <c r="L283" s="20"/>
      <c r="M283" s="20"/>
      <c r="N283" s="20"/>
      <c r="O283" s="20"/>
      <c r="P283" s="20"/>
      <c r="Q283" s="20"/>
      <c r="R283" s="20"/>
      <c r="S283" s="20"/>
      <c r="T283" s="20"/>
      <c r="U283" s="20"/>
      <c r="V283" s="20"/>
      <c r="W283" s="20"/>
      <c r="X283" s="20"/>
      <c r="Y283" s="20"/>
      <c r="Z283" s="20"/>
    </row>
    <row r="284" spans="4:26" ht="17.25" customHeight="1">
      <c r="D284" s="37"/>
      <c r="E284" s="58"/>
      <c r="F284" s="58"/>
      <c r="G284" s="58"/>
      <c r="H284" s="58"/>
      <c r="I284" s="58"/>
      <c r="J284" s="58"/>
      <c r="K284" s="31"/>
      <c r="L284" s="20"/>
      <c r="M284" s="20"/>
      <c r="N284" s="20"/>
      <c r="O284" s="20"/>
      <c r="P284" s="20"/>
      <c r="Q284" s="20"/>
      <c r="R284" s="20"/>
      <c r="S284" s="20"/>
      <c r="T284" s="20"/>
      <c r="U284" s="20"/>
      <c r="V284" s="20"/>
      <c r="W284" s="20"/>
      <c r="X284" s="20"/>
      <c r="Y284" s="20"/>
      <c r="Z284" s="20"/>
    </row>
    <row r="285" spans="4:26" ht="17.25" customHeight="1">
      <c r="D285" s="37"/>
      <c r="E285" s="58"/>
      <c r="F285" s="58"/>
      <c r="G285" s="58"/>
      <c r="H285" s="58"/>
      <c r="I285" s="58"/>
      <c r="J285" s="58"/>
      <c r="K285" s="31"/>
      <c r="L285" s="20"/>
      <c r="M285" s="20"/>
      <c r="N285" s="20"/>
      <c r="O285" s="20"/>
      <c r="P285" s="20"/>
      <c r="Q285" s="20"/>
      <c r="R285" s="20"/>
      <c r="S285" s="20"/>
      <c r="T285" s="20"/>
      <c r="U285" s="20"/>
      <c r="V285" s="20"/>
      <c r="W285" s="20"/>
      <c r="X285" s="20"/>
      <c r="Y285" s="20"/>
      <c r="Z285" s="20"/>
    </row>
    <row r="286" spans="4:26" ht="17.25" customHeight="1">
      <c r="D286" s="37"/>
      <c r="E286" s="58"/>
      <c r="F286" s="58"/>
      <c r="G286" s="58"/>
      <c r="H286" s="58"/>
      <c r="I286" s="58"/>
      <c r="J286" s="58"/>
      <c r="K286" s="31"/>
      <c r="L286" s="20"/>
      <c r="M286" s="20"/>
      <c r="N286" s="20"/>
      <c r="O286" s="20"/>
      <c r="P286" s="20"/>
      <c r="Q286" s="20"/>
      <c r="R286" s="20"/>
      <c r="S286" s="20"/>
      <c r="T286" s="20"/>
      <c r="U286" s="20"/>
      <c r="V286" s="20"/>
      <c r="W286" s="20"/>
      <c r="X286" s="20"/>
      <c r="Y286" s="20"/>
      <c r="Z286" s="20"/>
    </row>
    <row r="287" spans="4:26" ht="17.25" customHeight="1">
      <c r="D287" s="37"/>
      <c r="E287" s="58"/>
      <c r="F287" s="58"/>
      <c r="G287" s="58"/>
      <c r="H287" s="58"/>
      <c r="I287" s="58"/>
      <c r="J287" s="58"/>
      <c r="K287" s="31"/>
      <c r="L287" s="20"/>
      <c r="M287" s="20"/>
      <c r="N287" s="20"/>
      <c r="O287" s="20"/>
      <c r="P287" s="20"/>
      <c r="Q287" s="20"/>
      <c r="R287" s="20"/>
      <c r="S287" s="20"/>
      <c r="T287" s="20"/>
      <c r="U287" s="20"/>
      <c r="V287" s="20"/>
      <c r="W287" s="20"/>
      <c r="X287" s="20"/>
      <c r="Y287" s="20"/>
      <c r="Z287" s="20"/>
    </row>
    <row r="288" spans="4:26" ht="17.25" customHeight="1">
      <c r="D288" s="37"/>
      <c r="E288" s="58"/>
      <c r="F288" s="58"/>
      <c r="G288" s="58"/>
      <c r="H288" s="58"/>
      <c r="I288" s="58"/>
      <c r="J288" s="58"/>
      <c r="K288" s="31"/>
      <c r="L288" s="20"/>
      <c r="M288" s="20"/>
      <c r="N288" s="20"/>
      <c r="O288" s="20"/>
      <c r="P288" s="20"/>
      <c r="Q288" s="20"/>
      <c r="R288" s="20"/>
      <c r="S288" s="20"/>
      <c r="T288" s="20"/>
      <c r="U288" s="20"/>
      <c r="V288" s="20"/>
      <c r="W288" s="20"/>
      <c r="X288" s="20"/>
      <c r="Y288" s="20"/>
      <c r="Z288" s="20"/>
    </row>
    <row r="289" spans="4:26" ht="17.25" customHeight="1">
      <c r="D289" s="37"/>
      <c r="E289" s="58"/>
      <c r="F289" s="58"/>
      <c r="G289" s="58"/>
      <c r="H289" s="58"/>
      <c r="I289" s="58"/>
      <c r="J289" s="58"/>
      <c r="K289" s="31"/>
      <c r="L289" s="20"/>
      <c r="M289" s="20"/>
      <c r="N289" s="20"/>
      <c r="O289" s="20"/>
      <c r="P289" s="20"/>
      <c r="Q289" s="20"/>
      <c r="R289" s="20"/>
      <c r="S289" s="20"/>
      <c r="T289" s="20"/>
      <c r="U289" s="20"/>
      <c r="V289" s="20"/>
      <c r="W289" s="20"/>
      <c r="X289" s="20"/>
      <c r="Y289" s="20"/>
      <c r="Z289" s="20"/>
    </row>
    <row r="290" spans="4:26" ht="17.25" customHeight="1">
      <c r="D290" s="37"/>
      <c r="E290" s="58"/>
      <c r="F290" s="58"/>
      <c r="G290" s="58"/>
      <c r="H290" s="58"/>
      <c r="I290" s="58"/>
      <c r="J290" s="58"/>
      <c r="K290" s="31"/>
      <c r="L290" s="20"/>
      <c r="M290" s="20"/>
      <c r="N290" s="20"/>
      <c r="O290" s="20"/>
      <c r="P290" s="20"/>
      <c r="Q290" s="20"/>
      <c r="R290" s="20"/>
      <c r="S290" s="20"/>
      <c r="T290" s="20"/>
      <c r="U290" s="20"/>
      <c r="V290" s="20"/>
      <c r="W290" s="20"/>
      <c r="X290" s="20"/>
      <c r="Y290" s="20"/>
      <c r="Z290" s="20"/>
    </row>
    <row r="291" spans="4:26" ht="17.25" customHeight="1">
      <c r="D291" s="37"/>
      <c r="E291" s="58"/>
      <c r="F291" s="58"/>
      <c r="G291" s="58"/>
      <c r="H291" s="58"/>
      <c r="I291" s="58"/>
      <c r="J291" s="58"/>
      <c r="K291" s="31"/>
      <c r="L291" s="20"/>
      <c r="M291" s="20"/>
      <c r="N291" s="20"/>
      <c r="O291" s="20"/>
      <c r="P291" s="20"/>
      <c r="Q291" s="20"/>
      <c r="R291" s="20"/>
      <c r="S291" s="20"/>
      <c r="T291" s="20"/>
      <c r="U291" s="20"/>
      <c r="V291" s="20"/>
      <c r="W291" s="20"/>
      <c r="X291" s="20"/>
      <c r="Y291" s="20"/>
      <c r="Z291" s="20"/>
    </row>
    <row r="292" spans="4:26" ht="17.25" customHeight="1">
      <c r="D292" s="37"/>
      <c r="E292" s="58"/>
      <c r="F292" s="58"/>
      <c r="G292" s="58"/>
      <c r="H292" s="58"/>
      <c r="I292" s="58"/>
      <c r="J292" s="58"/>
      <c r="K292" s="31"/>
      <c r="L292" s="20"/>
      <c r="M292" s="20"/>
      <c r="N292" s="20"/>
      <c r="O292" s="20"/>
      <c r="P292" s="20"/>
      <c r="Q292" s="20"/>
      <c r="R292" s="20"/>
      <c r="S292" s="20"/>
      <c r="T292" s="20"/>
      <c r="U292" s="20"/>
      <c r="V292" s="20"/>
      <c r="W292" s="20"/>
      <c r="X292" s="20"/>
      <c r="Y292" s="20"/>
      <c r="Z292" s="20"/>
    </row>
    <row r="293" spans="4:26" ht="17.25" customHeight="1">
      <c r="D293" s="37"/>
      <c r="E293" s="58"/>
      <c r="F293" s="58"/>
      <c r="G293" s="58"/>
      <c r="H293" s="58"/>
      <c r="I293" s="58"/>
      <c r="J293" s="58"/>
      <c r="K293" s="31"/>
      <c r="L293" s="20"/>
      <c r="M293" s="20"/>
      <c r="N293" s="20"/>
      <c r="O293" s="20"/>
      <c r="P293" s="20"/>
      <c r="Q293" s="20"/>
      <c r="R293" s="20"/>
      <c r="S293" s="20"/>
      <c r="T293" s="20"/>
      <c r="U293" s="20"/>
      <c r="V293" s="20"/>
      <c r="W293" s="20"/>
      <c r="X293" s="20"/>
      <c r="Y293" s="20"/>
      <c r="Z293" s="20"/>
    </row>
    <row r="294" spans="4:26" ht="17.25" customHeight="1">
      <c r="D294" s="37"/>
      <c r="E294" s="58"/>
      <c r="F294" s="58"/>
      <c r="G294" s="58"/>
      <c r="H294" s="58"/>
      <c r="I294" s="58"/>
      <c r="J294" s="58"/>
      <c r="K294" s="31"/>
      <c r="L294" s="20"/>
      <c r="M294" s="20"/>
      <c r="N294" s="20"/>
      <c r="O294" s="20"/>
      <c r="P294" s="20"/>
      <c r="Q294" s="20"/>
      <c r="R294" s="20"/>
      <c r="S294" s="20"/>
      <c r="T294" s="20"/>
      <c r="U294" s="20"/>
      <c r="V294" s="20"/>
      <c r="W294" s="20"/>
      <c r="X294" s="20"/>
      <c r="Y294" s="20"/>
      <c r="Z294" s="20"/>
    </row>
    <row r="295" spans="4:26" ht="17.25" customHeight="1">
      <c r="D295" s="37"/>
      <c r="E295" s="58"/>
      <c r="F295" s="58"/>
      <c r="G295" s="58"/>
      <c r="H295" s="58"/>
      <c r="I295" s="58"/>
      <c r="J295" s="58"/>
      <c r="K295" s="31"/>
      <c r="L295" s="20"/>
      <c r="M295" s="20"/>
      <c r="N295" s="20"/>
      <c r="O295" s="20"/>
      <c r="P295" s="20"/>
      <c r="Q295" s="20"/>
      <c r="R295" s="20"/>
      <c r="S295" s="20"/>
      <c r="T295" s="20"/>
      <c r="U295" s="20"/>
      <c r="V295" s="20"/>
      <c r="W295" s="20"/>
      <c r="X295" s="20"/>
      <c r="Y295" s="20"/>
      <c r="Z295" s="20"/>
    </row>
    <row r="296" spans="4:26" ht="17.25" customHeight="1">
      <c r="D296" s="37"/>
      <c r="E296" s="58"/>
      <c r="F296" s="58"/>
      <c r="G296" s="58"/>
      <c r="H296" s="58"/>
      <c r="I296" s="58"/>
      <c r="J296" s="58"/>
      <c r="K296" s="31"/>
      <c r="L296" s="20"/>
      <c r="M296" s="20"/>
      <c r="N296" s="20"/>
      <c r="O296" s="20"/>
      <c r="P296" s="20"/>
      <c r="Q296" s="20"/>
      <c r="R296" s="20"/>
      <c r="S296" s="20"/>
      <c r="T296" s="20"/>
      <c r="U296" s="20"/>
      <c r="V296" s="20"/>
      <c r="W296" s="20"/>
      <c r="X296" s="20"/>
      <c r="Y296" s="20"/>
      <c r="Z296" s="20"/>
    </row>
    <row r="297" spans="4:26" ht="17.25" customHeight="1">
      <c r="D297" s="37"/>
      <c r="E297" s="58"/>
      <c r="F297" s="58"/>
      <c r="G297" s="58"/>
      <c r="H297" s="58"/>
      <c r="I297" s="58"/>
      <c r="J297" s="58"/>
      <c r="K297" s="31"/>
      <c r="L297" s="20"/>
      <c r="M297" s="20"/>
      <c r="N297" s="20"/>
      <c r="O297" s="20"/>
      <c r="P297" s="20"/>
      <c r="Q297" s="20"/>
      <c r="R297" s="20"/>
      <c r="S297" s="20"/>
      <c r="T297" s="20"/>
      <c r="U297" s="20"/>
      <c r="V297" s="20"/>
      <c r="W297" s="20"/>
      <c r="X297" s="20"/>
      <c r="Y297" s="20"/>
      <c r="Z297" s="20"/>
    </row>
    <row r="298" spans="4:26" ht="17.25" customHeight="1">
      <c r="D298" s="37"/>
      <c r="E298" s="58"/>
      <c r="F298" s="58"/>
      <c r="G298" s="58"/>
      <c r="H298" s="58"/>
      <c r="I298" s="58"/>
      <c r="J298" s="58"/>
      <c r="K298" s="31"/>
      <c r="L298" s="20"/>
      <c r="M298" s="20"/>
      <c r="N298" s="20"/>
      <c r="O298" s="20"/>
      <c r="P298" s="20"/>
      <c r="Q298" s="20"/>
      <c r="R298" s="20"/>
      <c r="S298" s="20"/>
      <c r="T298" s="20"/>
      <c r="U298" s="20"/>
      <c r="V298" s="20"/>
      <c r="W298" s="20"/>
      <c r="X298" s="20"/>
      <c r="Y298" s="20"/>
      <c r="Z298" s="20"/>
    </row>
    <row r="299" spans="4:26" ht="17.25" customHeight="1">
      <c r="D299" s="37"/>
      <c r="E299" s="58"/>
      <c r="F299" s="58"/>
      <c r="G299" s="58"/>
      <c r="H299" s="58"/>
      <c r="I299" s="58"/>
      <c r="J299" s="58"/>
      <c r="K299" s="31"/>
      <c r="L299" s="20"/>
      <c r="M299" s="20"/>
      <c r="N299" s="20"/>
      <c r="O299" s="20"/>
      <c r="P299" s="20"/>
      <c r="Q299" s="20"/>
      <c r="R299" s="20"/>
      <c r="S299" s="20"/>
      <c r="T299" s="20"/>
      <c r="U299" s="20"/>
      <c r="V299" s="20"/>
      <c r="W299" s="20"/>
      <c r="X299" s="20"/>
      <c r="Y299" s="20"/>
      <c r="Z299" s="20"/>
    </row>
    <row r="300" spans="4:26" ht="17.25" customHeight="1">
      <c r="D300" s="37"/>
      <c r="E300" s="58"/>
      <c r="F300" s="58"/>
      <c r="G300" s="58"/>
      <c r="H300" s="58"/>
      <c r="I300" s="58"/>
      <c r="J300" s="58"/>
      <c r="K300" s="31"/>
      <c r="L300" s="20"/>
      <c r="M300" s="20"/>
      <c r="N300" s="20"/>
      <c r="O300" s="20"/>
      <c r="P300" s="20"/>
      <c r="Q300" s="20"/>
      <c r="R300" s="20"/>
      <c r="S300" s="20"/>
      <c r="T300" s="20"/>
      <c r="U300" s="20"/>
      <c r="V300" s="20"/>
      <c r="W300" s="20"/>
      <c r="X300" s="20"/>
      <c r="Y300" s="20"/>
      <c r="Z300" s="20"/>
    </row>
    <row r="301" spans="4:26" ht="17.25" customHeight="1">
      <c r="D301" s="37"/>
      <c r="E301" s="58"/>
      <c r="F301" s="58"/>
      <c r="G301" s="58"/>
      <c r="H301" s="58"/>
      <c r="I301" s="58"/>
      <c r="J301" s="58"/>
      <c r="K301" s="31"/>
      <c r="L301" s="20"/>
      <c r="M301" s="20"/>
      <c r="N301" s="20"/>
      <c r="O301" s="20"/>
      <c r="P301" s="20"/>
      <c r="Q301" s="20"/>
      <c r="R301" s="20"/>
      <c r="S301" s="20"/>
      <c r="T301" s="20"/>
      <c r="U301" s="20"/>
      <c r="V301" s="20"/>
      <c r="W301" s="20"/>
      <c r="X301" s="20"/>
      <c r="Y301" s="20"/>
      <c r="Z301" s="20"/>
    </row>
    <row r="302" spans="4:26" ht="17.25" customHeight="1">
      <c r="D302" s="37"/>
      <c r="E302" s="58"/>
      <c r="F302" s="58"/>
      <c r="G302" s="58"/>
      <c r="H302" s="58"/>
      <c r="I302" s="58"/>
      <c r="J302" s="58"/>
      <c r="K302" s="31"/>
      <c r="L302" s="20"/>
      <c r="M302" s="20"/>
      <c r="N302" s="20"/>
      <c r="O302" s="20"/>
      <c r="P302" s="20"/>
      <c r="Q302" s="20"/>
      <c r="R302" s="20"/>
      <c r="S302" s="20"/>
      <c r="T302" s="20"/>
      <c r="U302" s="20"/>
      <c r="V302" s="20"/>
      <c r="W302" s="20"/>
      <c r="X302" s="20"/>
      <c r="Y302" s="20"/>
      <c r="Z302" s="20"/>
    </row>
    <row r="303" spans="4:26" ht="17.25" customHeight="1">
      <c r="D303" s="37"/>
      <c r="E303" s="58"/>
      <c r="F303" s="58"/>
      <c r="G303" s="58"/>
      <c r="H303" s="58"/>
      <c r="I303" s="58"/>
      <c r="J303" s="58"/>
      <c r="K303" s="31"/>
      <c r="L303" s="20"/>
      <c r="M303" s="20"/>
      <c r="N303" s="20"/>
      <c r="O303" s="20"/>
      <c r="P303" s="20"/>
      <c r="Q303" s="20"/>
      <c r="R303" s="20"/>
      <c r="S303" s="20"/>
      <c r="T303" s="20"/>
      <c r="U303" s="20"/>
      <c r="V303" s="20"/>
      <c r="W303" s="20"/>
      <c r="X303" s="20"/>
      <c r="Y303" s="20"/>
      <c r="Z303" s="20"/>
    </row>
    <row r="304" spans="4:26" ht="17.25" customHeight="1">
      <c r="D304" s="37"/>
      <c r="E304" s="58"/>
      <c r="F304" s="58"/>
      <c r="G304" s="58"/>
      <c r="H304" s="58"/>
      <c r="I304" s="58"/>
      <c r="J304" s="58"/>
      <c r="K304" s="31"/>
      <c r="L304" s="20"/>
      <c r="M304" s="20"/>
      <c r="N304" s="20"/>
      <c r="O304" s="20"/>
      <c r="P304" s="20"/>
      <c r="Q304" s="20"/>
      <c r="R304" s="20"/>
      <c r="S304" s="20"/>
      <c r="T304" s="20"/>
      <c r="U304" s="20"/>
      <c r="V304" s="20"/>
      <c r="W304" s="20"/>
      <c r="X304" s="20"/>
      <c r="Y304" s="20"/>
      <c r="Z304" s="20"/>
    </row>
    <row r="305" spans="2:26" ht="17.25" customHeight="1">
      <c r="D305" s="37"/>
      <c r="E305" s="58"/>
      <c r="F305" s="58"/>
      <c r="G305" s="58"/>
      <c r="H305" s="58"/>
      <c r="I305" s="58"/>
      <c r="J305" s="58"/>
      <c r="K305" s="31"/>
      <c r="L305" s="20"/>
      <c r="M305" s="20"/>
      <c r="N305" s="20"/>
      <c r="O305" s="20"/>
      <c r="P305" s="20"/>
      <c r="Q305" s="20"/>
      <c r="R305" s="20"/>
      <c r="S305" s="20"/>
      <c r="T305" s="20"/>
      <c r="U305" s="20"/>
      <c r="V305" s="20"/>
      <c r="W305" s="20"/>
      <c r="X305" s="20"/>
      <c r="Y305" s="20"/>
      <c r="Z305" s="20"/>
    </row>
    <row r="306" spans="2:26" ht="17.25" customHeight="1">
      <c r="D306" s="37"/>
      <c r="E306" s="58"/>
      <c r="F306" s="58"/>
      <c r="G306" s="58"/>
      <c r="H306" s="58"/>
      <c r="I306" s="58"/>
      <c r="J306" s="58"/>
      <c r="K306" s="31"/>
      <c r="L306" s="20"/>
      <c r="M306" s="20"/>
      <c r="N306" s="20"/>
      <c r="O306" s="20"/>
      <c r="P306" s="20"/>
      <c r="Q306" s="20"/>
      <c r="R306" s="20"/>
      <c r="S306" s="20"/>
      <c r="T306" s="20"/>
      <c r="U306" s="20"/>
      <c r="V306" s="20"/>
      <c r="W306" s="20"/>
      <c r="X306" s="20"/>
      <c r="Y306" s="20"/>
      <c r="Z306" s="20"/>
    </row>
    <row r="307" spans="2:26" ht="17.25" customHeight="1">
      <c r="B307" s="15"/>
      <c r="C307" s="15"/>
      <c r="D307" s="37"/>
      <c r="E307" s="58"/>
      <c r="F307" s="58"/>
      <c r="G307" s="58"/>
      <c r="H307" s="58"/>
      <c r="I307" s="58"/>
      <c r="J307" s="58"/>
      <c r="K307" s="31"/>
      <c r="L307" s="20"/>
      <c r="M307" s="20"/>
      <c r="N307" s="20"/>
      <c r="O307" s="20"/>
      <c r="P307" s="20"/>
      <c r="Q307" s="20"/>
      <c r="R307" s="20"/>
      <c r="S307" s="20"/>
      <c r="T307" s="20"/>
      <c r="U307" s="20"/>
      <c r="V307" s="20"/>
      <c r="W307" s="20"/>
      <c r="X307" s="20"/>
      <c r="Y307" s="20"/>
      <c r="Z307" s="20"/>
    </row>
    <row r="308" spans="2:26" ht="17.25" customHeight="1">
      <c r="B308" s="15"/>
      <c r="C308" s="15"/>
      <c r="D308" s="37"/>
      <c r="E308" s="58"/>
      <c r="F308" s="58"/>
      <c r="G308" s="58"/>
      <c r="H308" s="58"/>
      <c r="I308" s="58"/>
      <c r="J308" s="58"/>
      <c r="K308" s="31"/>
      <c r="L308" s="20"/>
      <c r="M308" s="20"/>
      <c r="N308" s="20"/>
      <c r="O308" s="20"/>
      <c r="P308" s="20"/>
      <c r="Q308" s="20"/>
      <c r="R308" s="20"/>
      <c r="S308" s="20"/>
      <c r="T308" s="20"/>
      <c r="U308" s="20"/>
      <c r="V308" s="20"/>
      <c r="W308" s="20"/>
      <c r="X308" s="20"/>
      <c r="Y308" s="20"/>
      <c r="Z308" s="20"/>
    </row>
    <row r="309" spans="2:26" ht="17.25" customHeight="1">
      <c r="B309" s="15"/>
      <c r="C309" s="15"/>
      <c r="D309" s="37"/>
      <c r="E309" s="58"/>
      <c r="F309" s="58"/>
      <c r="G309" s="58"/>
      <c r="H309" s="58"/>
      <c r="I309" s="58"/>
      <c r="J309" s="58"/>
      <c r="K309" s="31"/>
      <c r="L309" s="20"/>
      <c r="M309" s="20"/>
      <c r="N309" s="20"/>
      <c r="O309" s="20"/>
      <c r="P309" s="20"/>
      <c r="Q309" s="20"/>
      <c r="R309" s="20"/>
      <c r="S309" s="20"/>
      <c r="T309" s="20"/>
      <c r="U309" s="20"/>
      <c r="V309" s="20"/>
      <c r="W309" s="20"/>
      <c r="X309" s="20"/>
      <c r="Y309" s="20"/>
      <c r="Z309" s="20"/>
    </row>
    <row r="310" spans="2:26" ht="17.25" customHeight="1">
      <c r="B310" s="15"/>
      <c r="C310" s="15"/>
      <c r="D310" s="37"/>
      <c r="E310" s="58"/>
      <c r="F310" s="58"/>
      <c r="G310" s="58"/>
      <c r="H310" s="58"/>
      <c r="I310" s="58"/>
      <c r="J310" s="58"/>
      <c r="K310" s="31"/>
      <c r="L310" s="20"/>
      <c r="M310" s="20"/>
      <c r="N310" s="20"/>
      <c r="O310" s="20"/>
      <c r="P310" s="20"/>
      <c r="Q310" s="20"/>
      <c r="R310" s="20"/>
      <c r="S310" s="20"/>
      <c r="T310" s="20"/>
      <c r="U310" s="20"/>
      <c r="V310" s="20"/>
      <c r="W310" s="20"/>
      <c r="X310" s="20"/>
      <c r="Y310" s="20"/>
      <c r="Z310" s="20"/>
    </row>
    <row r="311" spans="2:26" ht="17.25" customHeight="1">
      <c r="B311" s="15"/>
      <c r="C311" s="15"/>
      <c r="D311" s="37"/>
      <c r="E311" s="58"/>
      <c r="F311" s="58"/>
      <c r="G311" s="58"/>
      <c r="H311" s="58"/>
      <c r="I311" s="58"/>
      <c r="J311" s="58"/>
      <c r="K311" s="31"/>
      <c r="L311" s="20"/>
      <c r="M311" s="20"/>
      <c r="N311" s="20"/>
      <c r="O311" s="20"/>
      <c r="P311" s="20"/>
      <c r="Q311" s="20"/>
      <c r="R311" s="20"/>
      <c r="S311" s="20"/>
      <c r="T311" s="20"/>
      <c r="U311" s="20"/>
      <c r="V311" s="20"/>
      <c r="W311" s="20"/>
      <c r="X311" s="20"/>
      <c r="Y311" s="20"/>
      <c r="Z311" s="20"/>
    </row>
    <row r="312" spans="2:26" ht="17.25" customHeight="1">
      <c r="B312" s="15"/>
      <c r="C312" s="15"/>
      <c r="D312" s="37"/>
      <c r="E312" s="58"/>
      <c r="F312" s="58"/>
      <c r="G312" s="58"/>
      <c r="H312" s="58"/>
      <c r="I312" s="58"/>
      <c r="J312" s="58"/>
      <c r="K312" s="31"/>
      <c r="L312" s="20"/>
      <c r="M312" s="20"/>
      <c r="N312" s="20"/>
      <c r="O312" s="20"/>
      <c r="P312" s="20"/>
      <c r="Q312" s="20"/>
      <c r="R312" s="20"/>
      <c r="S312" s="20"/>
      <c r="T312" s="20"/>
      <c r="U312" s="20"/>
      <c r="V312" s="20"/>
      <c r="W312" s="20"/>
      <c r="X312" s="20"/>
      <c r="Y312" s="20"/>
      <c r="Z312" s="20"/>
    </row>
    <row r="313" spans="2:26" ht="17.25" customHeight="1">
      <c r="B313" s="15"/>
      <c r="C313" s="15"/>
      <c r="D313" s="37"/>
      <c r="E313" s="58"/>
      <c r="F313" s="58"/>
      <c r="G313" s="58"/>
      <c r="H313" s="58"/>
      <c r="I313" s="58"/>
      <c r="J313" s="58"/>
      <c r="K313" s="31"/>
      <c r="L313" s="20"/>
      <c r="M313" s="20"/>
      <c r="N313" s="20"/>
      <c r="O313" s="20"/>
      <c r="P313" s="20"/>
      <c r="Q313" s="20"/>
      <c r="R313" s="20"/>
      <c r="S313" s="20"/>
      <c r="T313" s="20"/>
      <c r="U313" s="20"/>
      <c r="V313" s="20"/>
      <c r="W313" s="20"/>
      <c r="X313" s="20"/>
      <c r="Y313" s="20"/>
      <c r="Z313" s="20"/>
    </row>
    <row r="314" spans="2:26" ht="17.25" customHeight="1">
      <c r="B314" s="15"/>
      <c r="C314" s="15"/>
      <c r="D314" s="37"/>
      <c r="E314" s="58"/>
      <c r="F314" s="58"/>
      <c r="G314" s="58"/>
      <c r="H314" s="58"/>
      <c r="I314" s="58"/>
      <c r="J314" s="58"/>
      <c r="K314" s="31"/>
      <c r="L314" s="20"/>
      <c r="M314" s="20"/>
      <c r="N314" s="20"/>
      <c r="O314" s="20"/>
      <c r="P314" s="20"/>
      <c r="Q314" s="20"/>
      <c r="R314" s="20"/>
      <c r="S314" s="20"/>
      <c r="T314" s="20"/>
      <c r="U314" s="20"/>
      <c r="V314" s="20"/>
      <c r="W314" s="20"/>
      <c r="X314" s="20"/>
      <c r="Y314" s="20"/>
      <c r="Z314" s="20"/>
    </row>
    <row r="315" spans="2:26" ht="17.25" customHeight="1">
      <c r="B315" s="15"/>
      <c r="C315" s="15"/>
      <c r="D315" s="37"/>
      <c r="E315" s="58"/>
      <c r="F315" s="58"/>
      <c r="G315" s="58"/>
      <c r="H315" s="58"/>
      <c r="I315" s="58"/>
      <c r="J315" s="58"/>
      <c r="K315" s="31"/>
      <c r="L315" s="20"/>
      <c r="M315" s="20"/>
      <c r="N315" s="20"/>
      <c r="O315" s="20"/>
      <c r="P315" s="20"/>
      <c r="Q315" s="20"/>
      <c r="R315" s="20"/>
      <c r="S315" s="20"/>
      <c r="T315" s="20"/>
      <c r="U315" s="20"/>
      <c r="V315" s="20"/>
      <c r="W315" s="20"/>
      <c r="X315" s="20"/>
      <c r="Y315" s="20"/>
      <c r="Z315" s="20"/>
    </row>
    <row r="316" spans="2:26" ht="17.25" customHeight="1">
      <c r="B316" s="15"/>
      <c r="C316" s="15"/>
      <c r="D316" s="37"/>
      <c r="E316" s="58"/>
      <c r="F316" s="58"/>
      <c r="G316" s="58"/>
      <c r="H316" s="58"/>
      <c r="I316" s="58"/>
      <c r="J316" s="58"/>
      <c r="K316" s="31"/>
      <c r="L316" s="20"/>
      <c r="M316" s="20"/>
      <c r="N316" s="20"/>
      <c r="O316" s="20"/>
      <c r="P316" s="20"/>
      <c r="Q316" s="20"/>
      <c r="R316" s="20"/>
      <c r="S316" s="20"/>
      <c r="T316" s="20"/>
      <c r="U316" s="20"/>
      <c r="V316" s="20"/>
      <c r="W316" s="20"/>
      <c r="X316" s="20"/>
      <c r="Y316" s="20"/>
      <c r="Z316" s="20"/>
    </row>
    <row r="317" spans="2:26" ht="17.25" customHeight="1">
      <c r="B317" s="15"/>
      <c r="C317" s="15"/>
      <c r="D317" s="37"/>
      <c r="E317" s="58"/>
      <c r="F317" s="58"/>
      <c r="G317" s="58"/>
      <c r="H317" s="58"/>
      <c r="I317" s="58"/>
      <c r="J317" s="58"/>
      <c r="K317" s="31"/>
      <c r="L317" s="20"/>
      <c r="M317" s="20"/>
      <c r="N317" s="20"/>
      <c r="O317" s="20"/>
      <c r="P317" s="20"/>
      <c r="Q317" s="20"/>
      <c r="R317" s="20"/>
      <c r="S317" s="20"/>
      <c r="T317" s="20"/>
      <c r="U317" s="20"/>
      <c r="V317" s="20"/>
      <c r="W317" s="20"/>
      <c r="X317" s="20"/>
      <c r="Y317" s="20"/>
      <c r="Z317" s="20"/>
    </row>
    <row r="318" spans="2:26" ht="17.25" customHeight="1">
      <c r="B318" s="15"/>
      <c r="C318" s="15"/>
      <c r="D318" s="37"/>
      <c r="E318" s="58"/>
      <c r="F318" s="58"/>
      <c r="G318" s="58"/>
      <c r="H318" s="58"/>
      <c r="I318" s="58"/>
      <c r="J318" s="58"/>
      <c r="K318" s="31"/>
      <c r="L318" s="20"/>
      <c r="M318" s="20"/>
      <c r="N318" s="20"/>
      <c r="O318" s="20"/>
      <c r="P318" s="20"/>
      <c r="Q318" s="20"/>
      <c r="R318" s="20"/>
      <c r="S318" s="20"/>
      <c r="T318" s="20"/>
      <c r="U318" s="20"/>
      <c r="V318" s="20"/>
      <c r="W318" s="20"/>
      <c r="X318" s="20"/>
      <c r="Y318" s="20"/>
      <c r="Z318" s="20"/>
    </row>
    <row r="319" spans="2:26" ht="17.25" customHeight="1">
      <c r="B319" s="15"/>
      <c r="C319" s="15"/>
      <c r="D319" s="37"/>
      <c r="E319" s="58"/>
      <c r="F319" s="58"/>
      <c r="G319" s="58"/>
      <c r="H319" s="58"/>
      <c r="I319" s="58"/>
      <c r="J319" s="58"/>
      <c r="K319" s="31"/>
      <c r="L319" s="20"/>
      <c r="M319" s="20"/>
      <c r="N319" s="20"/>
      <c r="O319" s="20"/>
      <c r="P319" s="20"/>
      <c r="Q319" s="20"/>
      <c r="R319" s="20"/>
      <c r="S319" s="20"/>
      <c r="T319" s="20"/>
      <c r="U319" s="20"/>
      <c r="V319" s="20"/>
      <c r="W319" s="20"/>
      <c r="X319" s="20"/>
      <c r="Y319" s="20"/>
      <c r="Z319" s="20"/>
    </row>
    <row r="320" spans="2:26" ht="17.25" customHeight="1">
      <c r="B320" s="15"/>
      <c r="C320" s="15"/>
      <c r="D320" s="37"/>
      <c r="E320" s="58"/>
      <c r="F320" s="58"/>
      <c r="G320" s="58"/>
      <c r="H320" s="58"/>
      <c r="I320" s="58"/>
      <c r="J320" s="58"/>
      <c r="K320" s="31"/>
      <c r="L320" s="20"/>
      <c r="M320" s="20"/>
      <c r="N320" s="20"/>
      <c r="O320" s="20"/>
      <c r="P320" s="20"/>
      <c r="Q320" s="20"/>
      <c r="R320" s="20"/>
      <c r="S320" s="20"/>
      <c r="T320" s="20"/>
      <c r="U320" s="20"/>
      <c r="V320" s="20"/>
      <c r="W320" s="20"/>
      <c r="X320" s="20"/>
      <c r="Y320" s="20"/>
      <c r="Z320" s="20"/>
    </row>
    <row r="321" spans="2:26" ht="17.25" customHeight="1">
      <c r="B321" s="15"/>
      <c r="C321" s="15"/>
      <c r="D321" s="37"/>
      <c r="E321" s="58"/>
      <c r="F321" s="58"/>
      <c r="G321" s="58"/>
      <c r="H321" s="58"/>
      <c r="I321" s="58"/>
      <c r="J321" s="58"/>
      <c r="K321" s="31"/>
      <c r="L321" s="20"/>
      <c r="M321" s="20"/>
      <c r="N321" s="20"/>
      <c r="O321" s="20"/>
      <c r="P321" s="20"/>
      <c r="Q321" s="20"/>
      <c r="R321" s="20"/>
      <c r="S321" s="20"/>
      <c r="T321" s="20"/>
      <c r="U321" s="20"/>
      <c r="V321" s="20"/>
      <c r="W321" s="20"/>
      <c r="X321" s="20"/>
      <c r="Y321" s="20"/>
      <c r="Z321" s="20"/>
    </row>
    <row r="322" spans="2:26" ht="17.25" customHeight="1">
      <c r="B322" s="15"/>
      <c r="C322" s="15"/>
      <c r="D322" s="37"/>
      <c r="E322" s="58"/>
      <c r="F322" s="58"/>
      <c r="G322" s="58"/>
      <c r="H322" s="58"/>
      <c r="I322" s="58"/>
      <c r="J322" s="58"/>
      <c r="K322" s="31"/>
      <c r="L322" s="20"/>
      <c r="M322" s="20"/>
      <c r="N322" s="20"/>
      <c r="O322" s="20"/>
      <c r="P322" s="20"/>
      <c r="Q322" s="20"/>
      <c r="R322" s="20"/>
      <c r="S322" s="20"/>
      <c r="T322" s="20"/>
      <c r="U322" s="20"/>
      <c r="V322" s="20"/>
      <c r="W322" s="20"/>
      <c r="X322" s="20"/>
      <c r="Y322" s="20"/>
      <c r="Z322" s="20"/>
    </row>
    <row r="323" spans="2:26" ht="17.25" customHeight="1">
      <c r="B323" s="15"/>
      <c r="C323" s="15"/>
      <c r="D323" s="37"/>
      <c r="E323" s="58"/>
      <c r="F323" s="58"/>
      <c r="G323" s="58"/>
      <c r="H323" s="58"/>
      <c r="I323" s="58"/>
      <c r="J323" s="58"/>
      <c r="K323" s="31"/>
      <c r="L323" s="20"/>
      <c r="M323" s="20"/>
      <c r="N323" s="20"/>
      <c r="O323" s="20"/>
      <c r="P323" s="20"/>
      <c r="Q323" s="20"/>
      <c r="R323" s="20"/>
      <c r="S323" s="20"/>
      <c r="T323" s="20"/>
      <c r="U323" s="20"/>
      <c r="V323" s="20"/>
      <c r="W323" s="20"/>
      <c r="X323" s="20"/>
      <c r="Y323" s="20"/>
      <c r="Z323" s="20"/>
    </row>
    <row r="324" spans="2:26" ht="17.25" customHeight="1">
      <c r="B324" s="15"/>
      <c r="C324" s="15"/>
      <c r="D324" s="37"/>
      <c r="E324" s="58"/>
      <c r="F324" s="58"/>
      <c r="G324" s="58"/>
      <c r="H324" s="58"/>
      <c r="I324" s="58"/>
      <c r="J324" s="58"/>
      <c r="K324" s="31"/>
      <c r="L324" s="20"/>
      <c r="M324" s="20"/>
      <c r="N324" s="20"/>
      <c r="O324" s="20"/>
      <c r="P324" s="20"/>
      <c r="Q324" s="20"/>
      <c r="R324" s="20"/>
      <c r="S324" s="20"/>
      <c r="T324" s="20"/>
      <c r="U324" s="20"/>
      <c r="V324" s="20"/>
      <c r="W324" s="20"/>
      <c r="X324" s="20"/>
      <c r="Y324" s="20"/>
      <c r="Z324" s="20"/>
    </row>
    <row r="325" spans="2:26" ht="17.25" customHeight="1">
      <c r="B325" s="15"/>
      <c r="C325" s="15"/>
      <c r="D325" s="37"/>
      <c r="E325" s="58"/>
      <c r="F325" s="58"/>
      <c r="G325" s="58"/>
      <c r="H325" s="58"/>
      <c r="I325" s="58"/>
      <c r="J325" s="58"/>
      <c r="K325" s="31"/>
      <c r="L325" s="20"/>
      <c r="M325" s="20"/>
      <c r="N325" s="20"/>
      <c r="O325" s="20"/>
      <c r="P325" s="20"/>
      <c r="Q325" s="20"/>
      <c r="R325" s="20"/>
      <c r="S325" s="20"/>
      <c r="T325" s="20"/>
      <c r="U325" s="20"/>
      <c r="V325" s="20"/>
      <c r="W325" s="20"/>
      <c r="X325" s="20"/>
      <c r="Y325" s="20"/>
      <c r="Z325" s="20"/>
    </row>
    <row r="326" spans="2:26" ht="17.25" customHeight="1">
      <c r="B326" s="15"/>
      <c r="C326" s="15"/>
      <c r="D326" s="37"/>
      <c r="E326" s="58"/>
      <c r="F326" s="58"/>
      <c r="G326" s="58"/>
      <c r="H326" s="58"/>
      <c r="I326" s="58"/>
      <c r="J326" s="58"/>
      <c r="K326" s="31"/>
      <c r="L326" s="20"/>
      <c r="M326" s="20"/>
      <c r="N326" s="20"/>
      <c r="O326" s="20"/>
      <c r="P326" s="20"/>
      <c r="Q326" s="20"/>
      <c r="R326" s="20"/>
      <c r="S326" s="20"/>
      <c r="T326" s="20"/>
      <c r="U326" s="20"/>
      <c r="V326" s="20"/>
      <c r="W326" s="20"/>
      <c r="X326" s="20"/>
      <c r="Y326" s="20"/>
      <c r="Z326" s="20"/>
    </row>
    <row r="327" spans="2:26" ht="17.25" customHeight="1">
      <c r="B327" s="15"/>
      <c r="C327" s="15"/>
      <c r="D327" s="37"/>
      <c r="E327" s="58"/>
      <c r="F327" s="58"/>
      <c r="G327" s="58"/>
      <c r="H327" s="58"/>
      <c r="I327" s="58"/>
      <c r="J327" s="58"/>
      <c r="K327" s="31"/>
      <c r="L327" s="20"/>
      <c r="M327" s="20"/>
      <c r="N327" s="20"/>
      <c r="O327" s="20"/>
      <c r="P327" s="20"/>
      <c r="Q327" s="20"/>
      <c r="R327" s="20"/>
      <c r="S327" s="20"/>
      <c r="T327" s="20"/>
      <c r="U327" s="20"/>
      <c r="V327" s="20"/>
      <c r="W327" s="20"/>
      <c r="X327" s="20"/>
      <c r="Y327" s="20"/>
      <c r="Z327" s="20"/>
    </row>
    <row r="328" spans="2:26" ht="17.25" customHeight="1">
      <c r="B328" s="15"/>
      <c r="C328" s="15"/>
      <c r="D328" s="37"/>
      <c r="E328" s="58"/>
      <c r="F328" s="58"/>
      <c r="G328" s="58"/>
      <c r="H328" s="58"/>
      <c r="I328" s="58"/>
      <c r="J328" s="58"/>
      <c r="K328" s="31"/>
      <c r="L328" s="20"/>
      <c r="M328" s="20"/>
      <c r="N328" s="20"/>
      <c r="O328" s="20"/>
      <c r="P328" s="20"/>
      <c r="Q328" s="20"/>
      <c r="R328" s="20"/>
      <c r="S328" s="20"/>
      <c r="T328" s="20"/>
      <c r="U328" s="20"/>
      <c r="V328" s="20"/>
      <c r="W328" s="20"/>
      <c r="X328" s="20"/>
      <c r="Y328" s="20"/>
      <c r="Z328" s="20"/>
    </row>
    <row r="329" spans="2:26" ht="17.25" customHeight="1">
      <c r="B329" s="15"/>
      <c r="C329" s="15"/>
      <c r="D329" s="37"/>
      <c r="E329" s="58"/>
      <c r="F329" s="58"/>
      <c r="G329" s="58"/>
      <c r="H329" s="58"/>
      <c r="I329" s="58"/>
      <c r="J329" s="58"/>
      <c r="K329" s="31"/>
      <c r="L329" s="20"/>
      <c r="M329" s="20"/>
      <c r="N329" s="20"/>
      <c r="O329" s="20"/>
      <c r="P329" s="20"/>
      <c r="Q329" s="20"/>
      <c r="R329" s="20"/>
      <c r="S329" s="20"/>
      <c r="T329" s="20"/>
      <c r="U329" s="20"/>
      <c r="V329" s="20"/>
      <c r="W329" s="20"/>
      <c r="X329" s="20"/>
      <c r="Y329" s="20"/>
      <c r="Z329" s="20"/>
    </row>
    <row r="330" spans="2:26" ht="17.25" customHeight="1">
      <c r="B330" s="15"/>
      <c r="C330" s="15"/>
      <c r="D330" s="37"/>
      <c r="E330" s="58"/>
      <c r="F330" s="58"/>
      <c r="G330" s="58"/>
      <c r="H330" s="58"/>
      <c r="I330" s="58"/>
      <c r="J330" s="58"/>
      <c r="K330" s="31"/>
      <c r="L330" s="20"/>
      <c r="M330" s="20"/>
      <c r="N330" s="20"/>
      <c r="O330" s="20"/>
      <c r="P330" s="20"/>
      <c r="Q330" s="20"/>
      <c r="R330" s="20"/>
      <c r="S330" s="20"/>
      <c r="T330" s="20"/>
      <c r="U330" s="20"/>
      <c r="V330" s="20"/>
      <c r="W330" s="20"/>
      <c r="X330" s="20"/>
      <c r="Y330" s="20"/>
      <c r="Z330" s="20"/>
    </row>
    <row r="331" spans="2:26" ht="17.25" customHeight="1">
      <c r="B331" s="15"/>
      <c r="C331" s="15"/>
      <c r="D331" s="37"/>
      <c r="E331" s="58"/>
      <c r="F331" s="58"/>
      <c r="G331" s="58"/>
      <c r="H331" s="58"/>
      <c r="I331" s="58"/>
      <c r="J331" s="58"/>
      <c r="K331" s="31"/>
      <c r="L331" s="20"/>
      <c r="M331" s="20"/>
      <c r="N331" s="20"/>
      <c r="O331" s="20"/>
      <c r="P331" s="20"/>
      <c r="Q331" s="20"/>
      <c r="R331" s="20"/>
      <c r="S331" s="20"/>
      <c r="T331" s="20"/>
      <c r="U331" s="20"/>
      <c r="V331" s="20"/>
      <c r="W331" s="20"/>
      <c r="X331" s="20"/>
      <c r="Y331" s="20"/>
      <c r="Z331" s="20"/>
    </row>
    <row r="332" spans="2:26" ht="17.25" customHeight="1">
      <c r="B332" s="15"/>
      <c r="C332" s="15"/>
      <c r="D332" s="37"/>
      <c r="E332" s="58"/>
      <c r="F332" s="58"/>
      <c r="G332" s="58"/>
      <c r="H332" s="58"/>
      <c r="I332" s="58"/>
      <c r="J332" s="58"/>
      <c r="K332" s="31"/>
      <c r="L332" s="20"/>
      <c r="M332" s="20"/>
      <c r="N332" s="20"/>
      <c r="O332" s="20"/>
      <c r="P332" s="20"/>
      <c r="Q332" s="20"/>
      <c r="R332" s="20"/>
      <c r="S332" s="20"/>
      <c r="T332" s="20"/>
      <c r="U332" s="20"/>
      <c r="V332" s="20"/>
      <c r="W332" s="20"/>
      <c r="X332" s="20"/>
      <c r="Y332" s="20"/>
      <c r="Z332" s="20"/>
    </row>
    <row r="333" spans="2:26" ht="17.25" customHeight="1">
      <c r="B333" s="15"/>
      <c r="C333" s="15"/>
      <c r="D333" s="37"/>
      <c r="E333" s="58"/>
      <c r="F333" s="58"/>
      <c r="G333" s="58"/>
      <c r="H333" s="58"/>
      <c r="I333" s="58"/>
      <c r="J333" s="58"/>
      <c r="K333" s="31"/>
      <c r="L333" s="20"/>
      <c r="M333" s="20"/>
      <c r="N333" s="20"/>
      <c r="O333" s="20"/>
      <c r="P333" s="20"/>
      <c r="Q333" s="20"/>
      <c r="R333" s="20"/>
      <c r="S333" s="20"/>
      <c r="T333" s="20"/>
      <c r="U333" s="20"/>
      <c r="V333" s="20"/>
      <c r="W333" s="20"/>
      <c r="X333" s="20"/>
      <c r="Y333" s="20"/>
      <c r="Z333" s="20"/>
    </row>
    <row r="334" spans="2:26" ht="17.25" customHeight="1">
      <c r="B334" s="15"/>
      <c r="C334" s="15"/>
      <c r="D334" s="37"/>
      <c r="E334" s="58"/>
      <c r="F334" s="58"/>
      <c r="G334" s="58"/>
      <c r="H334" s="58"/>
      <c r="I334" s="58"/>
      <c r="J334" s="58"/>
      <c r="K334" s="31"/>
      <c r="L334" s="20"/>
      <c r="M334" s="20"/>
      <c r="N334" s="20"/>
      <c r="O334" s="20"/>
      <c r="P334" s="20"/>
      <c r="Q334" s="20"/>
      <c r="R334" s="20"/>
      <c r="S334" s="20"/>
      <c r="T334" s="20"/>
      <c r="U334" s="20"/>
      <c r="V334" s="20"/>
      <c r="W334" s="20"/>
      <c r="X334" s="20"/>
      <c r="Y334" s="20"/>
      <c r="Z334" s="20"/>
    </row>
    <row r="335" spans="2:26" ht="17.25" customHeight="1">
      <c r="B335" s="15"/>
      <c r="C335" s="15"/>
      <c r="D335" s="37"/>
      <c r="E335" s="58"/>
      <c r="F335" s="58"/>
      <c r="G335" s="58"/>
      <c r="H335" s="58"/>
      <c r="I335" s="58"/>
      <c r="J335" s="58"/>
      <c r="K335" s="31"/>
      <c r="L335" s="20"/>
      <c r="M335" s="20"/>
      <c r="N335" s="20"/>
      <c r="O335" s="20"/>
      <c r="P335" s="20"/>
      <c r="Q335" s="20"/>
      <c r="R335" s="20"/>
      <c r="S335" s="20"/>
      <c r="T335" s="20"/>
      <c r="U335" s="20"/>
      <c r="V335" s="20"/>
      <c r="W335" s="20"/>
      <c r="X335" s="20"/>
      <c r="Y335" s="20"/>
      <c r="Z335" s="20"/>
    </row>
    <row r="336" spans="2:26" ht="17.25" customHeight="1">
      <c r="B336" s="15"/>
      <c r="C336" s="15"/>
      <c r="D336" s="37"/>
      <c r="E336" s="58"/>
      <c r="F336" s="58"/>
      <c r="G336" s="58"/>
      <c r="H336" s="58"/>
      <c r="I336" s="58"/>
      <c r="J336" s="58"/>
      <c r="K336" s="31"/>
      <c r="L336" s="20"/>
      <c r="M336" s="20"/>
      <c r="N336" s="20"/>
      <c r="O336" s="20"/>
      <c r="P336" s="20"/>
      <c r="Q336" s="20"/>
      <c r="R336" s="20"/>
      <c r="S336" s="20"/>
      <c r="T336" s="20"/>
      <c r="U336" s="20"/>
      <c r="V336" s="20"/>
      <c r="W336" s="20"/>
      <c r="X336" s="20"/>
      <c r="Y336" s="20"/>
      <c r="Z336" s="20"/>
    </row>
    <row r="337" spans="2:26" ht="17.25" customHeight="1">
      <c r="B337" s="15"/>
      <c r="C337" s="15"/>
      <c r="D337" s="37"/>
      <c r="E337" s="58"/>
      <c r="F337" s="58"/>
      <c r="G337" s="58"/>
      <c r="H337" s="58"/>
      <c r="I337" s="58"/>
      <c r="J337" s="58"/>
      <c r="K337" s="31"/>
      <c r="L337" s="20"/>
      <c r="M337" s="20"/>
      <c r="N337" s="20"/>
      <c r="O337" s="20"/>
      <c r="P337" s="20"/>
      <c r="Q337" s="20"/>
      <c r="R337" s="20"/>
      <c r="S337" s="20"/>
      <c r="T337" s="20"/>
      <c r="U337" s="20"/>
      <c r="V337" s="20"/>
      <c r="W337" s="20"/>
      <c r="X337" s="20"/>
      <c r="Y337" s="20"/>
      <c r="Z337" s="20"/>
    </row>
    <row r="338" spans="2:26" ht="17.25" customHeight="1">
      <c r="B338" s="15"/>
      <c r="C338" s="15"/>
      <c r="D338" s="37"/>
      <c r="E338" s="58"/>
      <c r="F338" s="58"/>
      <c r="G338" s="58"/>
      <c r="H338" s="58"/>
      <c r="I338" s="58"/>
      <c r="J338" s="58"/>
      <c r="K338" s="31"/>
      <c r="L338" s="20"/>
      <c r="M338" s="20"/>
      <c r="N338" s="20"/>
      <c r="O338" s="20"/>
      <c r="P338" s="20"/>
      <c r="Q338" s="20"/>
      <c r="R338" s="20"/>
      <c r="S338" s="20"/>
      <c r="T338" s="20"/>
      <c r="U338" s="20"/>
      <c r="V338" s="20"/>
      <c r="W338" s="20"/>
      <c r="X338" s="20"/>
      <c r="Y338" s="20"/>
      <c r="Z338" s="20"/>
    </row>
    <row r="339" spans="2:26" ht="17.25" customHeight="1">
      <c r="B339" s="15"/>
      <c r="C339" s="15"/>
      <c r="D339" s="37"/>
      <c r="E339" s="58"/>
      <c r="F339" s="58"/>
      <c r="G339" s="58"/>
      <c r="H339" s="58"/>
      <c r="I339" s="58"/>
      <c r="J339" s="58"/>
      <c r="K339" s="31"/>
      <c r="L339" s="20"/>
      <c r="M339" s="20"/>
      <c r="N339" s="20"/>
      <c r="O339" s="20"/>
      <c r="P339" s="20"/>
      <c r="Q339" s="20"/>
      <c r="R339" s="20"/>
      <c r="S339" s="20"/>
      <c r="T339" s="20"/>
      <c r="U339" s="20"/>
      <c r="V339" s="20"/>
      <c r="W339" s="20"/>
      <c r="X339" s="20"/>
      <c r="Y339" s="20"/>
      <c r="Z339" s="20"/>
    </row>
    <row r="340" spans="2:26" ht="17.25" customHeight="1">
      <c r="B340" s="15"/>
      <c r="C340" s="15"/>
      <c r="D340" s="37"/>
      <c r="E340" s="58"/>
      <c r="F340" s="58"/>
      <c r="G340" s="58"/>
      <c r="H340" s="58"/>
      <c r="I340" s="58"/>
      <c r="J340" s="58"/>
      <c r="K340" s="31"/>
      <c r="L340" s="20"/>
      <c r="M340" s="20"/>
      <c r="N340" s="20"/>
      <c r="O340" s="20"/>
      <c r="P340" s="20"/>
      <c r="Q340" s="20"/>
      <c r="R340" s="20"/>
      <c r="S340" s="20"/>
      <c r="T340" s="20"/>
      <c r="U340" s="20"/>
      <c r="V340" s="20"/>
      <c r="W340" s="20"/>
      <c r="X340" s="20"/>
      <c r="Y340" s="20"/>
      <c r="Z340" s="20"/>
    </row>
    <row r="341" spans="2:26" ht="17.25" customHeight="1">
      <c r="B341" s="15"/>
      <c r="C341" s="15"/>
      <c r="D341" s="37"/>
      <c r="E341" s="58"/>
      <c r="F341" s="58"/>
      <c r="G341" s="58"/>
      <c r="H341" s="58"/>
      <c r="I341" s="58"/>
      <c r="J341" s="58"/>
      <c r="K341" s="31"/>
      <c r="L341" s="20"/>
      <c r="M341" s="20"/>
      <c r="N341" s="20"/>
      <c r="O341" s="20"/>
      <c r="P341" s="20"/>
      <c r="Q341" s="20"/>
      <c r="R341" s="20"/>
      <c r="S341" s="20"/>
      <c r="T341" s="20"/>
      <c r="U341" s="20"/>
      <c r="V341" s="20"/>
      <c r="W341" s="20"/>
      <c r="X341" s="20"/>
      <c r="Y341" s="20"/>
      <c r="Z341" s="20"/>
    </row>
    <row r="342" spans="2:26" ht="17.25" customHeight="1">
      <c r="B342" s="15"/>
      <c r="C342" s="15"/>
      <c r="D342" s="37"/>
      <c r="E342" s="58"/>
      <c r="F342" s="58"/>
      <c r="G342" s="58"/>
      <c r="H342" s="58"/>
      <c r="I342" s="58"/>
      <c r="J342" s="58"/>
      <c r="K342" s="31"/>
      <c r="L342" s="20"/>
      <c r="M342" s="20"/>
      <c r="N342" s="20"/>
      <c r="O342" s="20"/>
      <c r="P342" s="20"/>
      <c r="Q342" s="20"/>
      <c r="R342" s="20"/>
      <c r="S342" s="20"/>
      <c r="T342" s="20"/>
      <c r="U342" s="20"/>
      <c r="V342" s="20"/>
      <c r="W342" s="20"/>
      <c r="X342" s="20"/>
      <c r="Y342" s="20"/>
      <c r="Z342" s="20"/>
    </row>
    <row r="343" spans="2:26" ht="17.25" customHeight="1">
      <c r="B343" s="15"/>
      <c r="C343" s="15"/>
      <c r="D343" s="37"/>
      <c r="E343" s="58"/>
      <c r="F343" s="58"/>
      <c r="G343" s="58"/>
      <c r="H343" s="58"/>
      <c r="I343" s="58"/>
      <c r="J343" s="58"/>
      <c r="K343" s="31"/>
      <c r="L343" s="20"/>
      <c r="M343" s="20"/>
      <c r="N343" s="20"/>
      <c r="O343" s="20"/>
      <c r="P343" s="20"/>
      <c r="Q343" s="20"/>
      <c r="R343" s="20"/>
      <c r="S343" s="20"/>
      <c r="T343" s="20"/>
      <c r="U343" s="20"/>
      <c r="V343" s="20"/>
      <c r="W343" s="20"/>
      <c r="X343" s="20"/>
      <c r="Y343" s="20"/>
      <c r="Z343" s="20"/>
    </row>
    <row r="344" spans="2:26" ht="17.25" customHeight="1">
      <c r="B344" s="15"/>
      <c r="C344" s="15"/>
      <c r="D344" s="37"/>
      <c r="E344" s="58"/>
      <c r="F344" s="58"/>
      <c r="G344" s="58"/>
      <c r="H344" s="58"/>
      <c r="I344" s="58"/>
      <c r="J344" s="58"/>
      <c r="K344" s="31"/>
      <c r="L344" s="20"/>
      <c r="M344" s="20"/>
      <c r="N344" s="20"/>
      <c r="O344" s="20"/>
      <c r="P344" s="20"/>
      <c r="Q344" s="20"/>
      <c r="R344" s="20"/>
      <c r="S344" s="20"/>
      <c r="T344" s="20"/>
      <c r="U344" s="20"/>
      <c r="V344" s="20"/>
      <c r="W344" s="20"/>
      <c r="X344" s="20"/>
      <c r="Y344" s="20"/>
      <c r="Z344" s="20"/>
    </row>
    <row r="345" spans="2:26" ht="17.25" customHeight="1">
      <c r="B345" s="15"/>
      <c r="C345" s="15"/>
      <c r="D345" s="37"/>
      <c r="E345" s="58"/>
      <c r="F345" s="58"/>
      <c r="G345" s="58"/>
      <c r="H345" s="58"/>
      <c r="I345" s="58"/>
      <c r="J345" s="58"/>
      <c r="K345" s="31"/>
      <c r="L345" s="20"/>
      <c r="M345" s="20"/>
      <c r="N345" s="20"/>
      <c r="O345" s="20"/>
      <c r="P345" s="20"/>
      <c r="Q345" s="20"/>
      <c r="R345" s="20"/>
      <c r="S345" s="20"/>
      <c r="T345" s="20"/>
      <c r="U345" s="20"/>
      <c r="V345" s="20"/>
      <c r="W345" s="20"/>
      <c r="X345" s="20"/>
      <c r="Y345" s="20"/>
      <c r="Z345" s="20"/>
    </row>
    <row r="346" spans="2:26" ht="17.25" customHeight="1">
      <c r="B346" s="15"/>
      <c r="C346" s="15"/>
      <c r="D346" s="37"/>
      <c r="E346" s="58"/>
      <c r="F346" s="58"/>
      <c r="G346" s="58"/>
      <c r="H346" s="58"/>
      <c r="I346" s="58"/>
      <c r="J346" s="58"/>
      <c r="K346" s="31"/>
      <c r="L346" s="20"/>
      <c r="M346" s="20"/>
      <c r="N346" s="20"/>
      <c r="O346" s="20"/>
      <c r="P346" s="20"/>
      <c r="Q346" s="20"/>
      <c r="R346" s="20"/>
      <c r="S346" s="20"/>
      <c r="T346" s="20"/>
      <c r="U346" s="20"/>
      <c r="V346" s="20"/>
      <c r="W346" s="20"/>
      <c r="X346" s="20"/>
      <c r="Y346" s="20"/>
      <c r="Z346" s="20"/>
    </row>
    <row r="347" spans="2:26" ht="17.25" customHeight="1">
      <c r="B347" s="15"/>
      <c r="C347" s="15"/>
      <c r="D347" s="37"/>
      <c r="E347" s="58"/>
      <c r="F347" s="58"/>
      <c r="G347" s="58"/>
      <c r="H347" s="58"/>
      <c r="I347" s="58"/>
      <c r="J347" s="58"/>
      <c r="K347" s="31"/>
      <c r="L347" s="20"/>
      <c r="M347" s="20"/>
      <c r="N347" s="20"/>
      <c r="O347" s="20"/>
      <c r="P347" s="20"/>
      <c r="Q347" s="20"/>
      <c r="R347" s="20"/>
      <c r="S347" s="20"/>
      <c r="T347" s="20"/>
      <c r="U347" s="20"/>
      <c r="V347" s="20"/>
      <c r="W347" s="20"/>
      <c r="X347" s="20"/>
      <c r="Y347" s="20"/>
      <c r="Z347" s="20"/>
    </row>
    <row r="348" spans="2:26" ht="17.25" customHeight="1">
      <c r="B348" s="15"/>
      <c r="C348" s="15"/>
      <c r="D348" s="37"/>
      <c r="E348" s="58"/>
      <c r="F348" s="58"/>
      <c r="G348" s="58"/>
      <c r="H348" s="58"/>
      <c r="I348" s="58"/>
      <c r="J348" s="58"/>
      <c r="K348" s="31"/>
      <c r="L348" s="20"/>
      <c r="M348" s="20"/>
      <c r="N348" s="20"/>
      <c r="O348" s="20"/>
      <c r="P348" s="20"/>
      <c r="Q348" s="20"/>
      <c r="R348" s="20"/>
      <c r="S348" s="20"/>
      <c r="T348" s="20"/>
      <c r="U348" s="20"/>
      <c r="V348" s="20"/>
      <c r="W348" s="20"/>
      <c r="X348" s="20"/>
      <c r="Y348" s="20"/>
      <c r="Z348" s="20"/>
    </row>
    <row r="349" spans="2:26" ht="17.25" customHeight="1">
      <c r="B349" s="15"/>
      <c r="C349" s="15"/>
      <c r="D349" s="37"/>
      <c r="E349" s="58"/>
      <c r="F349" s="58"/>
      <c r="G349" s="58"/>
      <c r="H349" s="58"/>
      <c r="I349" s="58"/>
      <c r="J349" s="58"/>
      <c r="K349" s="31"/>
      <c r="L349" s="20"/>
      <c r="M349" s="20"/>
      <c r="N349" s="20"/>
      <c r="O349" s="20"/>
      <c r="P349" s="20"/>
      <c r="Q349" s="20"/>
      <c r="R349" s="20"/>
      <c r="S349" s="20"/>
      <c r="T349" s="20"/>
      <c r="U349" s="20"/>
      <c r="V349" s="20"/>
      <c r="W349" s="20"/>
      <c r="X349" s="20"/>
      <c r="Y349" s="20"/>
      <c r="Z349" s="20"/>
    </row>
    <row r="350" spans="2:26" ht="17.25" customHeight="1">
      <c r="B350" s="15"/>
      <c r="C350" s="15"/>
      <c r="D350" s="37"/>
      <c r="E350" s="58"/>
      <c r="F350" s="58"/>
      <c r="G350" s="58"/>
      <c r="H350" s="58"/>
      <c r="I350" s="58"/>
      <c r="J350" s="58"/>
      <c r="K350" s="31"/>
      <c r="L350" s="20"/>
      <c r="M350" s="20"/>
      <c r="N350" s="20"/>
      <c r="O350" s="20"/>
      <c r="P350" s="20"/>
      <c r="Q350" s="20"/>
      <c r="R350" s="20"/>
      <c r="S350" s="20"/>
      <c r="T350" s="20"/>
      <c r="U350" s="20"/>
      <c r="V350" s="20"/>
      <c r="W350" s="20"/>
      <c r="X350" s="20"/>
      <c r="Y350" s="20"/>
      <c r="Z350" s="20"/>
    </row>
    <row r="351" spans="2:26" ht="17.25" customHeight="1">
      <c r="B351" s="15"/>
      <c r="C351" s="15"/>
      <c r="D351" s="37"/>
      <c r="E351" s="58"/>
      <c r="F351" s="58"/>
      <c r="G351" s="58"/>
      <c r="H351" s="58"/>
      <c r="I351" s="58"/>
      <c r="J351" s="58"/>
      <c r="K351" s="31"/>
      <c r="L351" s="20"/>
      <c r="M351" s="20"/>
      <c r="N351" s="20"/>
      <c r="O351" s="20"/>
      <c r="P351" s="20"/>
      <c r="Q351" s="20"/>
      <c r="R351" s="20"/>
      <c r="S351" s="20"/>
      <c r="T351" s="20"/>
      <c r="U351" s="20"/>
      <c r="V351" s="20"/>
      <c r="W351" s="20"/>
      <c r="X351" s="20"/>
      <c r="Y351" s="20"/>
      <c r="Z351" s="20"/>
    </row>
    <row r="352" spans="2:26" ht="17.25" customHeight="1">
      <c r="B352" s="15"/>
      <c r="C352" s="15"/>
      <c r="D352" s="37"/>
      <c r="E352" s="58"/>
      <c r="F352" s="58"/>
      <c r="G352" s="58"/>
      <c r="H352" s="58"/>
      <c r="I352" s="58"/>
      <c r="J352" s="58"/>
      <c r="K352" s="31"/>
      <c r="L352" s="20"/>
      <c r="M352" s="20"/>
      <c r="N352" s="20"/>
      <c r="O352" s="20"/>
      <c r="P352" s="20"/>
      <c r="Q352" s="20"/>
      <c r="R352" s="20"/>
      <c r="S352" s="20"/>
      <c r="T352" s="20"/>
      <c r="U352" s="20"/>
      <c r="V352" s="20"/>
      <c r="W352" s="20"/>
      <c r="X352" s="20"/>
      <c r="Y352" s="20"/>
      <c r="Z352" s="20"/>
    </row>
    <row r="353" spans="2:26" ht="17.25" customHeight="1">
      <c r="B353" s="15"/>
      <c r="C353" s="15"/>
      <c r="D353" s="37"/>
      <c r="E353" s="58"/>
      <c r="F353" s="58"/>
      <c r="G353" s="58"/>
      <c r="H353" s="58"/>
      <c r="I353" s="58"/>
      <c r="J353" s="58"/>
      <c r="K353" s="31"/>
      <c r="L353" s="20"/>
      <c r="M353" s="20"/>
      <c r="N353" s="20"/>
      <c r="O353" s="20"/>
      <c r="P353" s="20"/>
      <c r="Q353" s="20"/>
      <c r="R353" s="20"/>
      <c r="S353" s="20"/>
      <c r="T353" s="20"/>
      <c r="U353" s="20"/>
      <c r="V353" s="20"/>
      <c r="W353" s="20"/>
      <c r="X353" s="20"/>
      <c r="Y353" s="20"/>
      <c r="Z353" s="20"/>
    </row>
    <row r="354" spans="2:26" ht="17.25" customHeight="1">
      <c r="B354" s="15"/>
      <c r="C354" s="15"/>
      <c r="D354" s="37"/>
      <c r="E354" s="58"/>
      <c r="F354" s="58"/>
      <c r="G354" s="58"/>
      <c r="H354" s="58"/>
      <c r="I354" s="58"/>
      <c r="J354" s="58"/>
      <c r="K354" s="31"/>
      <c r="L354" s="20"/>
      <c r="M354" s="20"/>
      <c r="N354" s="20"/>
      <c r="O354" s="20"/>
      <c r="P354" s="20"/>
      <c r="Q354" s="20"/>
      <c r="R354" s="20"/>
      <c r="S354" s="20"/>
      <c r="T354" s="20"/>
      <c r="U354" s="20"/>
      <c r="V354" s="20"/>
      <c r="W354" s="20"/>
      <c r="X354" s="20"/>
      <c r="Y354" s="20"/>
      <c r="Z354" s="20"/>
    </row>
    <row r="355" spans="2:26" ht="17.25" customHeight="1">
      <c r="B355" s="15"/>
      <c r="C355" s="15"/>
      <c r="D355" s="37"/>
      <c r="E355" s="58"/>
      <c r="F355" s="58"/>
      <c r="G355" s="58"/>
      <c r="H355" s="58"/>
      <c r="I355" s="58"/>
      <c r="J355" s="58"/>
      <c r="K355" s="31"/>
      <c r="L355" s="20"/>
      <c r="M355" s="20"/>
      <c r="N355" s="20"/>
      <c r="O355" s="20"/>
      <c r="P355" s="20"/>
      <c r="Q355" s="20"/>
      <c r="R355" s="20"/>
      <c r="S355" s="20"/>
      <c r="T355" s="20"/>
      <c r="U355" s="20"/>
      <c r="V355" s="20"/>
      <c r="W355" s="20"/>
      <c r="X355" s="20"/>
      <c r="Y355" s="20"/>
      <c r="Z355" s="20"/>
    </row>
    <row r="356" spans="2:26" ht="17.25" customHeight="1">
      <c r="B356" s="15"/>
      <c r="C356" s="15"/>
      <c r="D356" s="37"/>
      <c r="E356" s="58"/>
      <c r="F356" s="58"/>
      <c r="G356" s="58"/>
      <c r="H356" s="58"/>
      <c r="I356" s="58"/>
      <c r="J356" s="58"/>
      <c r="K356" s="31"/>
      <c r="L356" s="20"/>
      <c r="M356" s="20"/>
      <c r="N356" s="20"/>
      <c r="O356" s="20"/>
      <c r="P356" s="20"/>
      <c r="Q356" s="20"/>
      <c r="R356" s="20"/>
      <c r="S356" s="20"/>
      <c r="T356" s="20"/>
      <c r="U356" s="20"/>
      <c r="V356" s="20"/>
      <c r="W356" s="20"/>
      <c r="X356" s="20"/>
      <c r="Y356" s="20"/>
      <c r="Z356" s="20"/>
    </row>
    <row r="357" spans="2:26" ht="17.25" customHeight="1">
      <c r="B357" s="15"/>
      <c r="C357" s="15"/>
      <c r="D357" s="37"/>
      <c r="E357" s="58"/>
      <c r="F357" s="58"/>
      <c r="G357" s="58"/>
      <c r="H357" s="58"/>
      <c r="I357" s="58"/>
      <c r="J357" s="58"/>
      <c r="K357" s="31"/>
      <c r="L357" s="20"/>
      <c r="M357" s="20"/>
      <c r="N357" s="20"/>
      <c r="O357" s="20"/>
      <c r="P357" s="20"/>
      <c r="Q357" s="20"/>
      <c r="R357" s="20"/>
      <c r="S357" s="20"/>
      <c r="T357" s="20"/>
      <c r="U357" s="20"/>
      <c r="V357" s="20"/>
      <c r="W357" s="20"/>
      <c r="X357" s="20"/>
      <c r="Y357" s="20"/>
      <c r="Z357" s="20"/>
    </row>
    <row r="358" spans="2:26" ht="17.25" customHeight="1">
      <c r="B358" s="15"/>
      <c r="C358" s="15"/>
      <c r="D358" s="37"/>
      <c r="E358" s="58"/>
      <c r="F358" s="58"/>
      <c r="G358" s="58"/>
      <c r="H358" s="58"/>
      <c r="I358" s="58"/>
      <c r="J358" s="58"/>
      <c r="K358" s="31"/>
      <c r="L358" s="20"/>
      <c r="M358" s="20"/>
      <c r="N358" s="20"/>
      <c r="O358" s="20"/>
      <c r="P358" s="20"/>
      <c r="Q358" s="20"/>
      <c r="R358" s="20"/>
      <c r="S358" s="20"/>
      <c r="T358" s="20"/>
      <c r="U358" s="20"/>
      <c r="V358" s="20"/>
      <c r="W358" s="20"/>
      <c r="X358" s="20"/>
      <c r="Y358" s="20"/>
      <c r="Z358" s="20"/>
    </row>
    <row r="359" spans="2:26" ht="17.25" customHeight="1">
      <c r="B359" s="15"/>
      <c r="C359" s="15"/>
      <c r="D359" s="37"/>
      <c r="E359" s="58"/>
      <c r="F359" s="58"/>
      <c r="G359" s="58"/>
      <c r="H359" s="58"/>
      <c r="I359" s="58"/>
      <c r="J359" s="58"/>
      <c r="K359" s="31"/>
      <c r="L359" s="20"/>
      <c r="M359" s="20"/>
      <c r="N359" s="20"/>
      <c r="O359" s="20"/>
      <c r="P359" s="20"/>
      <c r="Q359" s="20"/>
      <c r="R359" s="20"/>
      <c r="S359" s="20"/>
      <c r="T359" s="20"/>
      <c r="U359" s="20"/>
      <c r="V359" s="20"/>
      <c r="W359" s="20"/>
      <c r="X359" s="20"/>
      <c r="Y359" s="20"/>
      <c r="Z359" s="20"/>
    </row>
    <row r="360" spans="2:26" ht="17.25" customHeight="1">
      <c r="B360" s="15"/>
      <c r="C360" s="15"/>
      <c r="D360" s="37"/>
      <c r="E360" s="58"/>
      <c r="F360" s="58"/>
      <c r="G360" s="58"/>
      <c r="H360" s="58"/>
      <c r="I360" s="58"/>
      <c r="J360" s="58"/>
      <c r="K360" s="31"/>
      <c r="L360" s="20"/>
      <c r="M360" s="20"/>
      <c r="N360" s="20"/>
      <c r="O360" s="20"/>
      <c r="P360" s="20"/>
      <c r="Q360" s="20"/>
      <c r="R360" s="20"/>
      <c r="S360" s="20"/>
      <c r="T360" s="20"/>
      <c r="U360" s="20"/>
      <c r="V360" s="20"/>
      <c r="W360" s="20"/>
      <c r="X360" s="20"/>
      <c r="Y360" s="20"/>
      <c r="Z360" s="20"/>
    </row>
    <row r="361" spans="2:26" ht="17.25" customHeight="1">
      <c r="B361" s="15"/>
      <c r="C361" s="15"/>
      <c r="D361" s="37"/>
      <c r="E361" s="58"/>
      <c r="F361" s="58"/>
      <c r="G361" s="58"/>
      <c r="H361" s="58"/>
      <c r="I361" s="58"/>
      <c r="J361" s="58"/>
      <c r="K361" s="31"/>
      <c r="L361" s="20"/>
      <c r="M361" s="20"/>
      <c r="N361" s="20"/>
      <c r="O361" s="20"/>
      <c r="P361" s="20"/>
      <c r="Q361" s="20"/>
      <c r="R361" s="20"/>
      <c r="S361" s="20"/>
      <c r="T361" s="20"/>
      <c r="U361" s="20"/>
      <c r="V361" s="20"/>
      <c r="W361" s="20"/>
      <c r="X361" s="20"/>
      <c r="Y361" s="20"/>
      <c r="Z361" s="20"/>
    </row>
    <row r="362" spans="2:26" ht="17.25" customHeight="1">
      <c r="B362" s="15"/>
      <c r="C362" s="15"/>
      <c r="D362" s="37"/>
      <c r="E362" s="58"/>
      <c r="F362" s="58"/>
      <c r="G362" s="58"/>
      <c r="H362" s="58"/>
      <c r="I362" s="58"/>
      <c r="J362" s="58"/>
      <c r="K362" s="31"/>
      <c r="L362" s="20"/>
      <c r="M362" s="20"/>
      <c r="N362" s="20"/>
      <c r="O362" s="20"/>
      <c r="P362" s="20"/>
      <c r="Q362" s="20"/>
      <c r="R362" s="20"/>
      <c r="S362" s="20"/>
      <c r="T362" s="20"/>
      <c r="U362" s="20"/>
      <c r="V362" s="20"/>
      <c r="W362" s="20"/>
      <c r="X362" s="20"/>
      <c r="Y362" s="20"/>
      <c r="Z362" s="20"/>
    </row>
    <row r="363" spans="2:26" ht="17.25" customHeight="1">
      <c r="B363" s="15"/>
      <c r="C363" s="15"/>
      <c r="D363" s="37"/>
      <c r="E363" s="58"/>
      <c r="F363" s="58"/>
      <c r="G363" s="58"/>
      <c r="H363" s="58"/>
      <c r="I363" s="58"/>
      <c r="J363" s="58"/>
      <c r="K363" s="31"/>
      <c r="L363" s="20"/>
      <c r="M363" s="20"/>
      <c r="N363" s="20"/>
      <c r="O363" s="20"/>
      <c r="P363" s="20"/>
      <c r="Q363" s="20"/>
      <c r="R363" s="20"/>
      <c r="S363" s="20"/>
      <c r="T363" s="20"/>
      <c r="U363" s="20"/>
      <c r="V363" s="20"/>
      <c r="W363" s="20"/>
      <c r="X363" s="20"/>
      <c r="Y363" s="20"/>
      <c r="Z363" s="20"/>
    </row>
    <row r="364" spans="2:26" ht="17.25" customHeight="1">
      <c r="B364" s="15"/>
      <c r="C364" s="15"/>
      <c r="D364" s="37"/>
      <c r="E364" s="58"/>
      <c r="F364" s="58"/>
      <c r="G364" s="58"/>
      <c r="H364" s="58"/>
      <c r="I364" s="58"/>
      <c r="J364" s="58"/>
      <c r="K364" s="31"/>
      <c r="L364" s="20"/>
      <c r="M364" s="20"/>
      <c r="N364" s="20"/>
      <c r="O364" s="20"/>
      <c r="P364" s="20"/>
      <c r="Q364" s="20"/>
      <c r="R364" s="20"/>
      <c r="S364" s="20"/>
      <c r="T364" s="20"/>
      <c r="U364" s="20"/>
      <c r="V364" s="20"/>
      <c r="W364" s="20"/>
      <c r="X364" s="20"/>
      <c r="Y364" s="20"/>
      <c r="Z364" s="20"/>
    </row>
    <row r="365" spans="2:26" ht="17.25" customHeight="1">
      <c r="B365" s="15"/>
      <c r="C365" s="15"/>
      <c r="D365" s="37"/>
      <c r="E365" s="58"/>
      <c r="F365" s="58"/>
      <c r="G365" s="58"/>
      <c r="H365" s="58"/>
      <c r="I365" s="58"/>
      <c r="J365" s="58"/>
      <c r="K365" s="31"/>
      <c r="L365" s="20"/>
      <c r="M365" s="20"/>
      <c r="N365" s="20"/>
      <c r="O365" s="20"/>
      <c r="P365" s="20"/>
      <c r="Q365" s="20"/>
      <c r="R365" s="20"/>
      <c r="S365" s="20"/>
      <c r="T365" s="20"/>
      <c r="U365" s="20"/>
      <c r="V365" s="20"/>
      <c r="W365" s="20"/>
      <c r="X365" s="20"/>
      <c r="Y365" s="20"/>
      <c r="Z365" s="20"/>
    </row>
    <row r="366" spans="2:26" ht="17.25" customHeight="1">
      <c r="B366" s="15"/>
      <c r="C366" s="15"/>
      <c r="D366" s="37"/>
      <c r="E366" s="58"/>
      <c r="F366" s="58"/>
      <c r="G366" s="58"/>
      <c r="H366" s="58"/>
      <c r="I366" s="58"/>
      <c r="J366" s="58"/>
      <c r="K366" s="31"/>
      <c r="L366" s="20"/>
      <c r="M366" s="20"/>
      <c r="N366" s="20"/>
      <c r="O366" s="20"/>
      <c r="P366" s="20"/>
      <c r="Q366" s="20"/>
      <c r="R366" s="20"/>
      <c r="S366" s="20"/>
      <c r="T366" s="20"/>
      <c r="U366" s="20"/>
      <c r="V366" s="20"/>
      <c r="W366" s="20"/>
      <c r="X366" s="20"/>
      <c r="Y366" s="20"/>
      <c r="Z366" s="20"/>
    </row>
    <row r="367" spans="2:26" ht="17.25" customHeight="1">
      <c r="B367" s="15"/>
      <c r="C367" s="15"/>
      <c r="D367" s="37"/>
      <c r="E367" s="58"/>
      <c r="F367" s="58"/>
      <c r="G367" s="58"/>
      <c r="H367" s="58"/>
      <c r="I367" s="58"/>
      <c r="J367" s="58"/>
      <c r="K367" s="31"/>
      <c r="L367" s="20"/>
      <c r="M367" s="20"/>
      <c r="N367" s="20"/>
      <c r="O367" s="20"/>
      <c r="P367" s="20"/>
      <c r="Q367" s="20"/>
      <c r="R367" s="20"/>
      <c r="S367" s="20"/>
      <c r="T367" s="20"/>
      <c r="U367" s="20"/>
      <c r="V367" s="20"/>
      <c r="W367" s="20"/>
      <c r="X367" s="20"/>
      <c r="Y367" s="20"/>
      <c r="Z367" s="20"/>
    </row>
    <row r="368" spans="2:26" ht="17.25" customHeight="1">
      <c r="B368" s="15"/>
      <c r="C368" s="15"/>
      <c r="D368" s="37"/>
      <c r="E368" s="58"/>
      <c r="F368" s="58"/>
      <c r="G368" s="58"/>
      <c r="H368" s="58"/>
      <c r="I368" s="58"/>
      <c r="J368" s="58"/>
      <c r="K368" s="31"/>
      <c r="L368" s="20"/>
      <c r="M368" s="20"/>
      <c r="N368" s="20"/>
      <c r="O368" s="20"/>
      <c r="P368" s="20"/>
      <c r="Q368" s="20"/>
      <c r="R368" s="20"/>
      <c r="S368" s="20"/>
      <c r="T368" s="20"/>
      <c r="U368" s="20"/>
      <c r="V368" s="20"/>
      <c r="W368" s="20"/>
      <c r="X368" s="20"/>
      <c r="Y368" s="20"/>
      <c r="Z368" s="20"/>
    </row>
    <row r="369" spans="2:26" ht="17.25" customHeight="1">
      <c r="B369" s="15"/>
      <c r="C369" s="15"/>
      <c r="D369" s="37"/>
      <c r="E369" s="58"/>
      <c r="F369" s="58"/>
      <c r="G369" s="58"/>
      <c r="H369" s="58"/>
      <c r="I369" s="58"/>
      <c r="J369" s="58"/>
      <c r="K369" s="31"/>
      <c r="L369" s="20"/>
      <c r="M369" s="20"/>
      <c r="N369" s="20"/>
      <c r="O369" s="20"/>
      <c r="P369" s="20"/>
      <c r="Q369" s="20"/>
      <c r="R369" s="20"/>
      <c r="S369" s="20"/>
      <c r="T369" s="20"/>
      <c r="U369" s="20"/>
      <c r="V369" s="20"/>
      <c r="W369" s="20"/>
      <c r="X369" s="20"/>
      <c r="Y369" s="20"/>
      <c r="Z369" s="20"/>
    </row>
    <row r="370" spans="2:26" ht="17.25" customHeight="1">
      <c r="B370" s="15"/>
      <c r="C370" s="15"/>
      <c r="D370" s="37"/>
      <c r="E370" s="58"/>
      <c r="F370" s="58"/>
      <c r="G370" s="58"/>
      <c r="H370" s="58"/>
      <c r="I370" s="58"/>
      <c r="J370" s="58"/>
      <c r="K370" s="31"/>
      <c r="L370" s="20"/>
      <c r="M370" s="20"/>
      <c r="N370" s="20"/>
      <c r="O370" s="20"/>
      <c r="P370" s="20"/>
      <c r="Q370" s="20"/>
      <c r="R370" s="20"/>
      <c r="S370" s="20"/>
      <c r="T370" s="20"/>
      <c r="U370" s="20"/>
      <c r="V370" s="20"/>
      <c r="W370" s="20"/>
      <c r="X370" s="20"/>
      <c r="Y370" s="20"/>
      <c r="Z370" s="20"/>
    </row>
    <row r="371" spans="2:26" ht="17.25" customHeight="1">
      <c r="B371" s="15"/>
      <c r="C371" s="15"/>
      <c r="D371" s="37"/>
      <c r="E371" s="58"/>
      <c r="F371" s="58"/>
      <c r="G371" s="58"/>
      <c r="H371" s="58"/>
      <c r="I371" s="58"/>
      <c r="J371" s="58"/>
      <c r="K371" s="31"/>
      <c r="L371" s="20"/>
      <c r="M371" s="20"/>
      <c r="N371" s="20"/>
      <c r="O371" s="20"/>
      <c r="P371" s="20"/>
      <c r="Q371" s="20"/>
      <c r="R371" s="20"/>
      <c r="S371" s="20"/>
      <c r="T371" s="20"/>
      <c r="U371" s="20"/>
      <c r="V371" s="20"/>
      <c r="W371" s="20"/>
      <c r="X371" s="20"/>
      <c r="Y371" s="20"/>
      <c r="Z371" s="20"/>
    </row>
    <row r="372" spans="2:26" ht="17.25" customHeight="1">
      <c r="B372" s="15"/>
      <c r="C372" s="15"/>
      <c r="D372" s="37"/>
      <c r="E372" s="58"/>
      <c r="F372" s="58"/>
      <c r="G372" s="58"/>
      <c r="H372" s="58"/>
      <c r="I372" s="58"/>
      <c r="J372" s="58"/>
      <c r="K372" s="31"/>
      <c r="L372" s="20"/>
      <c r="M372" s="20"/>
      <c r="N372" s="20"/>
      <c r="O372" s="20"/>
      <c r="P372" s="20"/>
      <c r="Q372" s="20"/>
      <c r="R372" s="20"/>
      <c r="S372" s="20"/>
      <c r="T372" s="20"/>
      <c r="U372" s="20"/>
      <c r="V372" s="20"/>
      <c r="W372" s="20"/>
      <c r="X372" s="20"/>
      <c r="Y372" s="20"/>
      <c r="Z372" s="20"/>
    </row>
    <row r="373" spans="2:26" ht="17.25" customHeight="1">
      <c r="B373" s="15"/>
      <c r="C373" s="15"/>
      <c r="D373" s="37"/>
      <c r="E373" s="58"/>
      <c r="F373" s="58"/>
      <c r="G373" s="58"/>
      <c r="H373" s="58"/>
      <c r="I373" s="58"/>
      <c r="J373" s="58"/>
      <c r="K373" s="31"/>
      <c r="L373" s="20"/>
      <c r="M373" s="20"/>
      <c r="N373" s="20"/>
      <c r="O373" s="20"/>
      <c r="P373" s="20"/>
      <c r="Q373" s="20"/>
      <c r="R373" s="20"/>
      <c r="S373" s="20"/>
      <c r="T373" s="20"/>
      <c r="U373" s="20"/>
      <c r="V373" s="20"/>
      <c r="W373" s="20"/>
      <c r="X373" s="20"/>
      <c r="Y373" s="20"/>
      <c r="Z373" s="20"/>
    </row>
    <row r="374" spans="2:26" ht="17.25" customHeight="1">
      <c r="B374" s="15"/>
      <c r="C374" s="15"/>
      <c r="D374" s="37"/>
      <c r="E374" s="58"/>
      <c r="F374" s="58"/>
      <c r="G374" s="58"/>
      <c r="H374" s="58"/>
      <c r="I374" s="58"/>
      <c r="J374" s="58"/>
      <c r="K374" s="31"/>
      <c r="L374" s="20"/>
      <c r="M374" s="20"/>
      <c r="N374" s="20"/>
      <c r="O374" s="20"/>
      <c r="P374" s="20"/>
      <c r="Q374" s="20"/>
      <c r="R374" s="20"/>
      <c r="S374" s="20"/>
      <c r="T374" s="20"/>
      <c r="U374" s="20"/>
      <c r="V374" s="20"/>
      <c r="W374" s="20"/>
      <c r="X374" s="20"/>
      <c r="Y374" s="20"/>
      <c r="Z374" s="20"/>
    </row>
    <row r="375" spans="2:26" ht="17.25" customHeight="1">
      <c r="B375" s="15"/>
      <c r="C375" s="15"/>
      <c r="D375" s="37"/>
      <c r="E375" s="58"/>
      <c r="F375" s="58"/>
      <c r="G375" s="58"/>
      <c r="H375" s="58"/>
      <c r="I375" s="58"/>
      <c r="J375" s="58"/>
      <c r="K375" s="31"/>
      <c r="L375" s="20"/>
      <c r="M375" s="20"/>
      <c r="N375" s="20"/>
      <c r="O375" s="20"/>
      <c r="P375" s="20"/>
      <c r="Q375" s="20"/>
      <c r="R375" s="20"/>
      <c r="S375" s="20"/>
      <c r="T375" s="20"/>
      <c r="U375" s="20"/>
      <c r="V375" s="20"/>
      <c r="W375" s="20"/>
      <c r="X375" s="20"/>
      <c r="Y375" s="20"/>
      <c r="Z375" s="20"/>
    </row>
    <row r="376" spans="2:26" ht="17.25" customHeight="1">
      <c r="B376" s="15"/>
      <c r="C376" s="15"/>
      <c r="D376" s="37"/>
      <c r="E376" s="58"/>
      <c r="F376" s="58"/>
      <c r="G376" s="58"/>
      <c r="H376" s="58"/>
      <c r="I376" s="58"/>
      <c r="J376" s="58"/>
      <c r="K376" s="31"/>
      <c r="L376" s="20"/>
      <c r="M376" s="20"/>
      <c r="N376" s="20"/>
      <c r="O376" s="20"/>
      <c r="P376" s="20"/>
      <c r="Q376" s="20"/>
      <c r="R376" s="20"/>
      <c r="S376" s="20"/>
      <c r="T376" s="20"/>
      <c r="U376" s="20"/>
      <c r="V376" s="20"/>
      <c r="W376" s="20"/>
      <c r="X376" s="20"/>
      <c r="Y376" s="20"/>
      <c r="Z376" s="20"/>
    </row>
    <row r="377" spans="2:26" ht="17.25" customHeight="1">
      <c r="B377" s="15"/>
      <c r="C377" s="15"/>
      <c r="D377" s="37"/>
      <c r="E377" s="58"/>
      <c r="F377" s="58"/>
      <c r="G377" s="58"/>
      <c r="H377" s="58"/>
      <c r="I377" s="58"/>
      <c r="J377" s="58"/>
      <c r="K377" s="31"/>
      <c r="L377" s="20"/>
      <c r="M377" s="20"/>
      <c r="N377" s="20"/>
      <c r="O377" s="20"/>
      <c r="P377" s="20"/>
      <c r="Q377" s="20"/>
      <c r="R377" s="20"/>
      <c r="S377" s="20"/>
      <c r="T377" s="20"/>
      <c r="U377" s="20"/>
      <c r="V377" s="20"/>
      <c r="W377" s="20"/>
      <c r="X377" s="20"/>
      <c r="Y377" s="20"/>
      <c r="Z377" s="20"/>
    </row>
    <row r="378" spans="2:26" ht="17.25" customHeight="1">
      <c r="B378" s="15"/>
      <c r="C378" s="15"/>
      <c r="D378" s="37"/>
      <c r="E378" s="58"/>
      <c r="F378" s="58"/>
      <c r="G378" s="58"/>
      <c r="H378" s="58"/>
      <c r="I378" s="58"/>
      <c r="J378" s="58"/>
      <c r="K378" s="31"/>
      <c r="L378" s="20"/>
      <c r="M378" s="20"/>
      <c r="N378" s="20"/>
      <c r="O378" s="20"/>
      <c r="P378" s="20"/>
      <c r="Q378" s="20"/>
      <c r="R378" s="20"/>
      <c r="S378" s="20"/>
      <c r="T378" s="20"/>
      <c r="U378" s="20"/>
      <c r="V378" s="20"/>
      <c r="W378" s="20"/>
      <c r="X378" s="20"/>
      <c r="Y378" s="20"/>
      <c r="Z378" s="20"/>
    </row>
    <row r="379" spans="2:26" ht="17.25" customHeight="1">
      <c r="B379" s="15"/>
      <c r="C379" s="15"/>
      <c r="D379" s="37"/>
      <c r="E379" s="58"/>
      <c r="F379" s="58"/>
      <c r="G379" s="58"/>
      <c r="H379" s="58"/>
      <c r="I379" s="58"/>
      <c r="J379" s="58"/>
      <c r="K379" s="31"/>
      <c r="L379" s="20"/>
      <c r="M379" s="20"/>
      <c r="N379" s="20"/>
      <c r="O379" s="20"/>
      <c r="P379" s="20"/>
      <c r="Q379" s="20"/>
      <c r="R379" s="20"/>
      <c r="S379" s="20"/>
      <c r="T379" s="20"/>
      <c r="U379" s="20"/>
      <c r="V379" s="20"/>
      <c r="W379" s="20"/>
      <c r="X379" s="20"/>
      <c r="Y379" s="20"/>
      <c r="Z379" s="20"/>
    </row>
    <row r="380" spans="2:26" ht="17.25" customHeight="1">
      <c r="B380" s="15"/>
      <c r="C380" s="15"/>
      <c r="D380" s="37"/>
      <c r="E380" s="58"/>
      <c r="F380" s="58"/>
      <c r="G380" s="58"/>
      <c r="H380" s="58"/>
      <c r="I380" s="58"/>
      <c r="J380" s="58"/>
      <c r="K380" s="31"/>
      <c r="L380" s="20"/>
      <c r="M380" s="20"/>
      <c r="N380" s="20"/>
      <c r="O380" s="20"/>
      <c r="P380" s="20"/>
      <c r="Q380" s="20"/>
      <c r="R380" s="20"/>
      <c r="S380" s="20"/>
      <c r="T380" s="20"/>
      <c r="U380" s="20"/>
      <c r="V380" s="20"/>
      <c r="W380" s="20"/>
      <c r="X380" s="20"/>
      <c r="Y380" s="20"/>
      <c r="Z380" s="20"/>
    </row>
    <row r="381" spans="2:26" ht="17.25" customHeight="1">
      <c r="B381" s="15"/>
      <c r="C381" s="15"/>
      <c r="D381" s="37"/>
      <c r="E381" s="58"/>
      <c r="F381" s="58"/>
      <c r="G381" s="58"/>
      <c r="H381" s="58"/>
      <c r="I381" s="58"/>
      <c r="J381" s="58"/>
      <c r="K381" s="31"/>
      <c r="L381" s="20"/>
      <c r="M381" s="20"/>
      <c r="N381" s="20"/>
      <c r="O381" s="20"/>
      <c r="P381" s="20"/>
      <c r="Q381" s="20"/>
      <c r="R381" s="20"/>
      <c r="S381" s="20"/>
      <c r="T381" s="20"/>
      <c r="U381" s="20"/>
      <c r="V381" s="20"/>
      <c r="W381" s="20"/>
      <c r="X381" s="20"/>
      <c r="Y381" s="20"/>
      <c r="Z381" s="20"/>
    </row>
    <row r="382" spans="2:26" ht="17.25" customHeight="1">
      <c r="B382" s="15"/>
      <c r="C382" s="15"/>
      <c r="D382" s="37"/>
      <c r="E382" s="58"/>
      <c r="F382" s="58"/>
      <c r="G382" s="58"/>
      <c r="H382" s="58"/>
      <c r="I382" s="58"/>
      <c r="J382" s="58"/>
      <c r="K382" s="31"/>
      <c r="L382" s="20"/>
      <c r="M382" s="20"/>
      <c r="N382" s="20"/>
      <c r="O382" s="20"/>
      <c r="P382" s="20"/>
      <c r="Q382" s="20"/>
      <c r="R382" s="20"/>
      <c r="S382" s="20"/>
      <c r="T382" s="20"/>
      <c r="U382" s="20"/>
      <c r="V382" s="20"/>
      <c r="W382" s="20"/>
      <c r="X382" s="20"/>
      <c r="Y382" s="20"/>
      <c r="Z382" s="20"/>
    </row>
    <row r="383" spans="2:26" ht="17.25" customHeight="1">
      <c r="B383" s="15"/>
      <c r="C383" s="15"/>
      <c r="D383" s="37"/>
      <c r="E383" s="58"/>
      <c r="F383" s="58"/>
      <c r="G383" s="58"/>
      <c r="H383" s="58"/>
      <c r="I383" s="58"/>
      <c r="J383" s="58"/>
      <c r="K383" s="31"/>
      <c r="L383" s="20"/>
      <c r="M383" s="20"/>
      <c r="N383" s="20"/>
      <c r="O383" s="20"/>
      <c r="P383" s="20"/>
      <c r="Q383" s="20"/>
      <c r="R383" s="20"/>
      <c r="S383" s="20"/>
      <c r="T383" s="20"/>
      <c r="U383" s="20"/>
      <c r="V383" s="20"/>
      <c r="W383" s="20"/>
      <c r="X383" s="20"/>
      <c r="Y383" s="20"/>
      <c r="Z383" s="20"/>
    </row>
    <row r="384" spans="2:26" ht="17.25" customHeight="1">
      <c r="B384" s="15"/>
      <c r="C384" s="15"/>
      <c r="D384" s="37"/>
      <c r="E384" s="58"/>
      <c r="F384" s="58"/>
      <c r="G384" s="58"/>
      <c r="H384" s="58"/>
      <c r="I384" s="58"/>
      <c r="J384" s="58"/>
      <c r="K384" s="31"/>
      <c r="L384" s="20"/>
      <c r="M384" s="20"/>
      <c r="N384" s="20"/>
      <c r="O384" s="20"/>
      <c r="P384" s="20"/>
      <c r="Q384" s="20"/>
      <c r="R384" s="20"/>
      <c r="S384" s="20"/>
      <c r="T384" s="20"/>
      <c r="U384" s="20"/>
      <c r="V384" s="20"/>
      <c r="W384" s="20"/>
      <c r="X384" s="20"/>
      <c r="Y384" s="20"/>
      <c r="Z384" s="20"/>
    </row>
    <row r="385" spans="2:26" ht="17.25" customHeight="1">
      <c r="B385" s="15"/>
      <c r="C385" s="15"/>
      <c r="D385" s="37"/>
      <c r="E385" s="58"/>
      <c r="F385" s="58"/>
      <c r="G385" s="58"/>
      <c r="H385" s="58"/>
      <c r="I385" s="58"/>
      <c r="J385" s="58"/>
      <c r="K385" s="31"/>
      <c r="L385" s="20"/>
      <c r="M385" s="20"/>
      <c r="N385" s="20"/>
      <c r="O385" s="20"/>
      <c r="P385" s="20"/>
      <c r="Q385" s="20"/>
      <c r="R385" s="20"/>
      <c r="S385" s="20"/>
      <c r="T385" s="20"/>
      <c r="U385" s="20"/>
      <c r="V385" s="20"/>
      <c r="W385" s="20"/>
      <c r="X385" s="20"/>
      <c r="Y385" s="20"/>
      <c r="Z385" s="20"/>
    </row>
    <row r="386" spans="2:26" ht="17.25" customHeight="1">
      <c r="B386" s="15"/>
      <c r="C386" s="15"/>
      <c r="D386" s="37"/>
      <c r="E386" s="58"/>
      <c r="F386" s="58"/>
      <c r="G386" s="58"/>
      <c r="H386" s="58"/>
      <c r="I386" s="58"/>
      <c r="J386" s="58"/>
      <c r="K386" s="31"/>
      <c r="L386" s="20"/>
      <c r="M386" s="20"/>
      <c r="N386" s="20"/>
      <c r="O386" s="20"/>
      <c r="P386" s="20"/>
      <c r="Q386" s="20"/>
      <c r="R386" s="20"/>
      <c r="S386" s="20"/>
      <c r="T386" s="20"/>
      <c r="U386" s="20"/>
      <c r="V386" s="20"/>
      <c r="W386" s="20"/>
      <c r="X386" s="20"/>
      <c r="Y386" s="20"/>
      <c r="Z386" s="20"/>
    </row>
    <row r="387" spans="2:26" ht="17.25" customHeight="1">
      <c r="B387" s="15"/>
      <c r="C387" s="15"/>
      <c r="D387" s="37"/>
      <c r="E387" s="58"/>
      <c r="F387" s="58"/>
      <c r="G387" s="58"/>
      <c r="H387" s="58"/>
      <c r="I387" s="58"/>
      <c r="J387" s="58"/>
      <c r="K387" s="31"/>
      <c r="L387" s="20"/>
      <c r="M387" s="20"/>
      <c r="N387" s="20"/>
      <c r="O387" s="20"/>
      <c r="P387" s="20"/>
      <c r="Q387" s="20"/>
      <c r="R387" s="20"/>
      <c r="S387" s="20"/>
      <c r="T387" s="20"/>
      <c r="U387" s="20"/>
      <c r="V387" s="20"/>
      <c r="W387" s="20"/>
      <c r="X387" s="20"/>
      <c r="Y387" s="20"/>
      <c r="Z387" s="20"/>
    </row>
    <row r="388" spans="2:26" ht="17.25" customHeight="1">
      <c r="B388" s="15"/>
      <c r="C388" s="15"/>
      <c r="D388" s="37"/>
      <c r="E388" s="58"/>
      <c r="F388" s="58"/>
      <c r="G388" s="58"/>
      <c r="H388" s="58"/>
      <c r="I388" s="58"/>
      <c r="J388" s="58"/>
      <c r="K388" s="31"/>
      <c r="L388" s="20"/>
      <c r="M388" s="20"/>
      <c r="N388" s="20"/>
      <c r="O388" s="20"/>
      <c r="P388" s="20"/>
      <c r="Q388" s="20"/>
      <c r="R388" s="20"/>
      <c r="S388" s="20"/>
      <c r="T388" s="20"/>
      <c r="U388" s="20"/>
      <c r="V388" s="20"/>
      <c r="W388" s="20"/>
      <c r="X388" s="20"/>
      <c r="Y388" s="20"/>
      <c r="Z388" s="20"/>
    </row>
    <row r="389" spans="2:26" ht="17.25" customHeight="1">
      <c r="B389" s="15"/>
      <c r="C389" s="15"/>
      <c r="D389" s="37"/>
      <c r="E389" s="58"/>
      <c r="F389" s="58"/>
      <c r="G389" s="58"/>
      <c r="H389" s="58"/>
      <c r="I389" s="58"/>
      <c r="J389" s="58"/>
      <c r="K389" s="31"/>
      <c r="L389" s="20"/>
      <c r="M389" s="20"/>
      <c r="N389" s="20"/>
      <c r="O389" s="20"/>
      <c r="P389" s="20"/>
      <c r="Q389" s="20"/>
      <c r="R389" s="20"/>
      <c r="S389" s="20"/>
      <c r="T389" s="20"/>
      <c r="U389" s="20"/>
      <c r="V389" s="20"/>
      <c r="W389" s="20"/>
      <c r="X389" s="20"/>
      <c r="Y389" s="20"/>
      <c r="Z389" s="20"/>
    </row>
    <row r="390" spans="2:26" ht="17.25" customHeight="1">
      <c r="B390" s="15"/>
      <c r="C390" s="15"/>
      <c r="D390" s="37"/>
      <c r="E390" s="58"/>
      <c r="F390" s="58"/>
      <c r="G390" s="58"/>
      <c r="H390" s="58"/>
      <c r="I390" s="58"/>
      <c r="J390" s="58"/>
      <c r="K390" s="31"/>
      <c r="L390" s="20"/>
      <c r="M390" s="20"/>
      <c r="N390" s="20"/>
      <c r="O390" s="20"/>
      <c r="P390" s="20"/>
      <c r="Q390" s="20"/>
      <c r="R390" s="20"/>
      <c r="S390" s="20"/>
      <c r="T390" s="20"/>
      <c r="U390" s="20"/>
      <c r="V390" s="20"/>
      <c r="W390" s="20"/>
      <c r="X390" s="20"/>
      <c r="Y390" s="20"/>
      <c r="Z390" s="20"/>
    </row>
    <row r="391" spans="2:26" ht="17.25" customHeight="1">
      <c r="B391" s="15"/>
      <c r="C391" s="15"/>
      <c r="D391" s="37"/>
      <c r="E391" s="58"/>
      <c r="F391" s="58"/>
      <c r="G391" s="58"/>
      <c r="H391" s="58"/>
      <c r="I391" s="58"/>
      <c r="J391" s="58"/>
      <c r="K391" s="31"/>
      <c r="L391" s="20"/>
      <c r="M391" s="20"/>
      <c r="N391" s="20"/>
      <c r="O391" s="20"/>
      <c r="P391" s="20"/>
      <c r="Q391" s="20"/>
      <c r="R391" s="20"/>
      <c r="S391" s="20"/>
      <c r="T391" s="20"/>
      <c r="U391" s="20"/>
      <c r="V391" s="20"/>
      <c r="W391" s="20"/>
      <c r="X391" s="20"/>
      <c r="Y391" s="20"/>
      <c r="Z391" s="20"/>
    </row>
    <row r="392" spans="2:26" ht="17.25" customHeight="1">
      <c r="B392" s="15"/>
      <c r="C392" s="15"/>
      <c r="D392" s="37"/>
      <c r="E392" s="58"/>
      <c r="F392" s="58"/>
      <c r="G392" s="58"/>
      <c r="H392" s="58"/>
      <c r="I392" s="58"/>
      <c r="J392" s="58"/>
      <c r="K392" s="31"/>
      <c r="L392" s="20"/>
      <c r="M392" s="20"/>
      <c r="N392" s="20"/>
      <c r="O392" s="20"/>
      <c r="P392" s="20"/>
      <c r="Q392" s="20"/>
      <c r="R392" s="20"/>
      <c r="S392" s="20"/>
      <c r="T392" s="20"/>
      <c r="U392" s="20"/>
      <c r="V392" s="20"/>
      <c r="W392" s="20"/>
      <c r="X392" s="20"/>
      <c r="Y392" s="20"/>
      <c r="Z392" s="20"/>
    </row>
    <row r="393" spans="2:26" ht="17.25" customHeight="1">
      <c r="B393" s="15"/>
      <c r="C393" s="15"/>
      <c r="D393" s="37"/>
      <c r="E393" s="58"/>
      <c r="F393" s="58"/>
      <c r="G393" s="58"/>
      <c r="H393" s="58"/>
      <c r="I393" s="58"/>
      <c r="J393" s="58"/>
      <c r="K393" s="31"/>
      <c r="L393" s="20"/>
      <c r="M393" s="20"/>
      <c r="N393" s="20"/>
      <c r="O393" s="20"/>
      <c r="P393" s="20"/>
      <c r="Q393" s="20"/>
      <c r="R393" s="20"/>
      <c r="S393" s="20"/>
      <c r="T393" s="20"/>
      <c r="U393" s="20"/>
      <c r="V393" s="20"/>
      <c r="W393" s="20"/>
      <c r="X393" s="20"/>
      <c r="Y393" s="20"/>
      <c r="Z393" s="20"/>
    </row>
    <row r="394" spans="2:26" ht="17.25" customHeight="1">
      <c r="B394" s="15"/>
      <c r="C394" s="15"/>
      <c r="D394" s="37"/>
      <c r="E394" s="58"/>
      <c r="F394" s="58"/>
      <c r="G394" s="58"/>
      <c r="H394" s="58"/>
      <c r="I394" s="58"/>
      <c r="J394" s="58"/>
      <c r="K394" s="31"/>
      <c r="L394" s="20"/>
      <c r="M394" s="20"/>
      <c r="N394" s="20"/>
      <c r="O394" s="20"/>
      <c r="P394" s="20"/>
      <c r="Q394" s="20"/>
      <c r="R394" s="20"/>
      <c r="S394" s="20"/>
      <c r="T394" s="20"/>
      <c r="U394" s="20"/>
      <c r="V394" s="20"/>
      <c r="W394" s="20"/>
      <c r="X394" s="20"/>
      <c r="Y394" s="20"/>
      <c r="Z394" s="20"/>
    </row>
    <row r="395" spans="2:26" ht="17.25" customHeight="1">
      <c r="B395" s="15"/>
      <c r="C395" s="15"/>
      <c r="D395" s="37"/>
      <c r="E395" s="58"/>
      <c r="F395" s="58"/>
      <c r="G395" s="58"/>
      <c r="H395" s="58"/>
      <c r="I395" s="58"/>
      <c r="J395" s="58"/>
      <c r="K395" s="31"/>
      <c r="L395" s="20"/>
      <c r="M395" s="20"/>
      <c r="N395" s="20"/>
      <c r="O395" s="20"/>
      <c r="P395" s="20"/>
      <c r="Q395" s="20"/>
      <c r="R395" s="20"/>
      <c r="S395" s="20"/>
      <c r="T395" s="20"/>
      <c r="U395" s="20"/>
      <c r="V395" s="20"/>
      <c r="W395" s="20"/>
      <c r="X395" s="20"/>
      <c r="Y395" s="20"/>
      <c r="Z395" s="20"/>
    </row>
    <row r="396" spans="2:26" ht="17.25" customHeight="1">
      <c r="B396" s="15"/>
      <c r="C396" s="15"/>
      <c r="D396" s="37"/>
      <c r="E396" s="58"/>
      <c r="F396" s="58"/>
      <c r="G396" s="58"/>
      <c r="H396" s="58"/>
      <c r="I396" s="58"/>
      <c r="J396" s="58"/>
      <c r="K396" s="31"/>
      <c r="L396" s="20"/>
      <c r="M396" s="20"/>
      <c r="N396" s="20"/>
      <c r="O396" s="20"/>
      <c r="P396" s="20"/>
      <c r="Q396" s="20"/>
      <c r="R396" s="20"/>
      <c r="S396" s="20"/>
      <c r="T396" s="20"/>
      <c r="U396" s="20"/>
      <c r="V396" s="20"/>
      <c r="W396" s="20"/>
      <c r="X396" s="20"/>
      <c r="Y396" s="20"/>
      <c r="Z396" s="20"/>
    </row>
    <row r="397" spans="2:26" ht="17.25" customHeight="1">
      <c r="B397" s="15"/>
      <c r="C397" s="15"/>
      <c r="D397" s="37"/>
      <c r="E397" s="58"/>
      <c r="F397" s="58"/>
      <c r="G397" s="58"/>
      <c r="H397" s="58"/>
      <c r="I397" s="58"/>
      <c r="J397" s="58"/>
      <c r="K397" s="31"/>
      <c r="L397" s="20"/>
      <c r="M397" s="20"/>
      <c r="N397" s="20"/>
      <c r="O397" s="20"/>
      <c r="P397" s="20"/>
      <c r="Q397" s="20"/>
      <c r="R397" s="20"/>
      <c r="S397" s="20"/>
      <c r="T397" s="20"/>
      <c r="U397" s="20"/>
      <c r="V397" s="20"/>
      <c r="W397" s="20"/>
      <c r="X397" s="20"/>
      <c r="Y397" s="20"/>
      <c r="Z397" s="20"/>
    </row>
    <row r="398" spans="2:26" ht="17.25" customHeight="1">
      <c r="B398" s="15"/>
      <c r="C398" s="15"/>
      <c r="D398" s="37"/>
      <c r="E398" s="58"/>
      <c r="F398" s="58"/>
      <c r="G398" s="58"/>
      <c r="H398" s="58"/>
      <c r="I398" s="58"/>
      <c r="J398" s="58"/>
      <c r="K398" s="31"/>
      <c r="L398" s="20"/>
      <c r="M398" s="20"/>
      <c r="N398" s="20"/>
      <c r="O398" s="20"/>
      <c r="P398" s="20"/>
      <c r="Q398" s="20"/>
      <c r="R398" s="20"/>
      <c r="S398" s="20"/>
      <c r="T398" s="20"/>
      <c r="U398" s="20"/>
      <c r="V398" s="20"/>
      <c r="W398" s="20"/>
      <c r="X398" s="20"/>
      <c r="Y398" s="20"/>
      <c r="Z398" s="20"/>
    </row>
    <row r="399" spans="2:26" ht="17.25" customHeight="1">
      <c r="B399" s="15"/>
      <c r="C399" s="15"/>
      <c r="D399" s="37"/>
      <c r="E399" s="58"/>
      <c r="F399" s="58"/>
      <c r="G399" s="58"/>
      <c r="H399" s="58"/>
      <c r="I399" s="58"/>
      <c r="J399" s="58"/>
      <c r="K399" s="31"/>
      <c r="L399" s="20"/>
      <c r="M399" s="20"/>
      <c r="N399" s="20"/>
      <c r="O399" s="20"/>
      <c r="P399" s="20"/>
      <c r="Q399" s="20"/>
      <c r="R399" s="20"/>
      <c r="S399" s="20"/>
      <c r="T399" s="20"/>
      <c r="U399" s="20"/>
      <c r="V399" s="20"/>
      <c r="W399" s="20"/>
      <c r="X399" s="20"/>
      <c r="Y399" s="20"/>
      <c r="Z399" s="20"/>
    </row>
    <row r="400" spans="2:26" ht="17.25" customHeight="1">
      <c r="B400" s="15"/>
      <c r="C400" s="15"/>
      <c r="D400" s="37"/>
      <c r="E400" s="58"/>
      <c r="F400" s="58"/>
      <c r="G400" s="58"/>
      <c r="H400" s="58"/>
      <c r="I400" s="58"/>
      <c r="J400" s="58"/>
      <c r="K400" s="31"/>
      <c r="L400" s="20"/>
      <c r="M400" s="20"/>
      <c r="N400" s="20"/>
      <c r="O400" s="20"/>
      <c r="P400" s="20"/>
      <c r="Q400" s="20"/>
      <c r="R400" s="20"/>
      <c r="S400" s="20"/>
      <c r="T400" s="20"/>
      <c r="U400" s="20"/>
      <c r="V400" s="20"/>
      <c r="W400" s="20"/>
      <c r="X400" s="20"/>
      <c r="Y400" s="20"/>
      <c r="Z400" s="20"/>
    </row>
    <row r="401" spans="2:26" ht="17.25" customHeight="1">
      <c r="B401" s="15"/>
      <c r="C401" s="15"/>
      <c r="D401" s="37"/>
      <c r="E401" s="58"/>
      <c r="F401" s="58"/>
      <c r="G401" s="58"/>
      <c r="H401" s="58"/>
      <c r="I401" s="58"/>
      <c r="J401" s="58"/>
      <c r="K401" s="31"/>
      <c r="L401" s="20"/>
      <c r="M401" s="20"/>
      <c r="N401" s="20"/>
      <c r="O401" s="20"/>
      <c r="P401" s="20"/>
      <c r="Q401" s="20"/>
      <c r="R401" s="20"/>
      <c r="S401" s="20"/>
      <c r="T401" s="20"/>
      <c r="U401" s="20"/>
      <c r="V401" s="20"/>
      <c r="W401" s="20"/>
      <c r="X401" s="20"/>
      <c r="Y401" s="20"/>
      <c r="Z401" s="20"/>
    </row>
    <row r="402" spans="2:26" ht="17.25" customHeight="1">
      <c r="B402" s="15"/>
      <c r="C402" s="15"/>
      <c r="D402" s="37"/>
      <c r="E402" s="58"/>
      <c r="F402" s="58"/>
      <c r="G402" s="58"/>
      <c r="H402" s="58"/>
      <c r="I402" s="58"/>
      <c r="J402" s="58"/>
      <c r="K402" s="31"/>
      <c r="L402" s="20"/>
      <c r="M402" s="20"/>
      <c r="N402" s="20"/>
      <c r="O402" s="20"/>
      <c r="P402" s="20"/>
      <c r="Q402" s="20"/>
      <c r="R402" s="20"/>
      <c r="S402" s="20"/>
      <c r="T402" s="20"/>
      <c r="U402" s="20"/>
      <c r="V402" s="20"/>
      <c r="W402" s="20"/>
      <c r="X402" s="20"/>
      <c r="Y402" s="20"/>
      <c r="Z402" s="20"/>
    </row>
    <row r="403" spans="2:26" ht="17.25" customHeight="1">
      <c r="B403" s="15"/>
      <c r="C403" s="15"/>
      <c r="D403" s="37"/>
      <c r="E403" s="58"/>
      <c r="F403" s="58"/>
      <c r="G403" s="58"/>
      <c r="H403" s="58"/>
      <c r="I403" s="58"/>
      <c r="J403" s="58"/>
      <c r="K403" s="31"/>
      <c r="L403" s="20"/>
      <c r="M403" s="20"/>
      <c r="N403" s="20"/>
      <c r="O403" s="20"/>
      <c r="P403" s="20"/>
      <c r="Q403" s="20"/>
      <c r="R403" s="20"/>
      <c r="S403" s="20"/>
      <c r="T403" s="20"/>
      <c r="U403" s="20"/>
      <c r="V403" s="20"/>
      <c r="W403" s="20"/>
      <c r="X403" s="20"/>
      <c r="Y403" s="20"/>
      <c r="Z403" s="20"/>
    </row>
    <row r="404" spans="2:26" ht="17.25" customHeight="1">
      <c r="B404" s="15"/>
      <c r="C404" s="15"/>
      <c r="D404" s="37"/>
      <c r="E404" s="58"/>
      <c r="F404" s="58"/>
      <c r="G404" s="58"/>
      <c r="H404" s="58"/>
      <c r="I404" s="58"/>
      <c r="J404" s="58"/>
      <c r="K404" s="31"/>
      <c r="L404" s="20"/>
      <c r="M404" s="20"/>
      <c r="N404" s="20"/>
      <c r="O404" s="20"/>
      <c r="P404" s="20"/>
      <c r="Q404" s="20"/>
      <c r="R404" s="20"/>
      <c r="S404" s="20"/>
      <c r="T404" s="20"/>
      <c r="U404" s="20"/>
      <c r="V404" s="20"/>
      <c r="W404" s="20"/>
      <c r="X404" s="20"/>
      <c r="Y404" s="20"/>
      <c r="Z404" s="20"/>
    </row>
    <row r="405" spans="2:26" ht="17.25" customHeight="1">
      <c r="B405" s="15"/>
      <c r="C405" s="15"/>
      <c r="D405" s="37"/>
      <c r="E405" s="58"/>
      <c r="F405" s="58"/>
      <c r="G405" s="58"/>
      <c r="H405" s="58"/>
      <c r="I405" s="58"/>
      <c r="J405" s="58"/>
      <c r="K405" s="31"/>
      <c r="L405" s="20"/>
      <c r="M405" s="20"/>
      <c r="N405" s="20"/>
      <c r="O405" s="20"/>
      <c r="P405" s="20"/>
      <c r="Q405" s="20"/>
      <c r="R405" s="20"/>
      <c r="S405" s="20"/>
      <c r="T405" s="20"/>
      <c r="U405" s="20"/>
      <c r="V405" s="20"/>
      <c r="W405" s="20"/>
      <c r="X405" s="20"/>
      <c r="Y405" s="20"/>
      <c r="Z405" s="20"/>
    </row>
    <row r="406" spans="2:26" ht="17.25" customHeight="1">
      <c r="B406" s="15"/>
      <c r="C406" s="15"/>
      <c r="D406" s="37"/>
      <c r="E406" s="58"/>
      <c r="F406" s="58"/>
      <c r="G406" s="58"/>
      <c r="H406" s="58"/>
      <c r="I406" s="58"/>
      <c r="J406" s="58"/>
      <c r="K406" s="31"/>
      <c r="L406" s="20"/>
      <c r="M406" s="20"/>
      <c r="N406" s="20"/>
      <c r="O406" s="20"/>
      <c r="P406" s="20"/>
      <c r="Q406" s="20"/>
      <c r="R406" s="20"/>
      <c r="S406" s="20"/>
      <c r="T406" s="20"/>
      <c r="U406" s="20"/>
      <c r="V406" s="20"/>
      <c r="W406" s="20"/>
      <c r="X406" s="20"/>
      <c r="Y406" s="20"/>
      <c r="Z406" s="20"/>
    </row>
    <row r="407" spans="2:26" ht="17.25" customHeight="1">
      <c r="B407" s="15"/>
      <c r="C407" s="15"/>
      <c r="D407" s="37"/>
      <c r="E407" s="58"/>
      <c r="F407" s="58"/>
      <c r="G407" s="58"/>
      <c r="H407" s="58"/>
      <c r="I407" s="58"/>
      <c r="J407" s="58"/>
      <c r="K407" s="31"/>
      <c r="L407" s="20"/>
      <c r="M407" s="20"/>
      <c r="N407" s="20"/>
      <c r="O407" s="20"/>
      <c r="P407" s="20"/>
      <c r="Q407" s="20"/>
      <c r="R407" s="20"/>
      <c r="S407" s="20"/>
      <c r="T407" s="20"/>
      <c r="U407" s="20"/>
      <c r="V407" s="20"/>
      <c r="W407" s="20"/>
      <c r="X407" s="20"/>
      <c r="Y407" s="20"/>
      <c r="Z407" s="20"/>
    </row>
    <row r="408" spans="2:26" ht="17.25" customHeight="1">
      <c r="B408" s="15"/>
      <c r="C408" s="15"/>
      <c r="D408" s="37"/>
      <c r="E408" s="58"/>
      <c r="F408" s="58"/>
      <c r="G408" s="58"/>
      <c r="H408" s="58"/>
      <c r="I408" s="58"/>
      <c r="J408" s="58"/>
      <c r="K408" s="31"/>
      <c r="L408" s="20"/>
      <c r="M408" s="20"/>
      <c r="N408" s="20"/>
      <c r="O408" s="20"/>
      <c r="P408" s="20"/>
      <c r="Q408" s="20"/>
      <c r="R408" s="20"/>
      <c r="S408" s="20"/>
      <c r="T408" s="20"/>
      <c r="U408" s="20"/>
      <c r="V408" s="20"/>
      <c r="W408" s="20"/>
      <c r="X408" s="20"/>
      <c r="Y408" s="20"/>
      <c r="Z408" s="20"/>
    </row>
    <row r="409" spans="2:26" ht="17.25" customHeight="1">
      <c r="B409" s="15"/>
      <c r="C409" s="15"/>
      <c r="D409" s="37"/>
      <c r="E409" s="58"/>
      <c r="F409" s="58"/>
      <c r="G409" s="58"/>
      <c r="H409" s="58"/>
      <c r="I409" s="58"/>
      <c r="J409" s="58"/>
      <c r="K409" s="31"/>
      <c r="L409" s="20"/>
      <c r="M409" s="20"/>
      <c r="N409" s="20"/>
      <c r="O409" s="20"/>
      <c r="P409" s="20"/>
      <c r="Q409" s="20"/>
      <c r="R409" s="20"/>
      <c r="S409" s="20"/>
      <c r="T409" s="20"/>
      <c r="U409" s="20"/>
      <c r="V409" s="20"/>
      <c r="W409" s="20"/>
      <c r="X409" s="20"/>
      <c r="Y409" s="20"/>
      <c r="Z409" s="20"/>
    </row>
    <row r="410" spans="2:26" ht="17.25" customHeight="1">
      <c r="B410" s="15"/>
      <c r="C410" s="15"/>
      <c r="D410" s="37"/>
      <c r="E410" s="58"/>
      <c r="F410" s="58"/>
      <c r="G410" s="58"/>
      <c r="H410" s="58"/>
      <c r="I410" s="58"/>
      <c r="J410" s="58"/>
      <c r="K410" s="31"/>
      <c r="L410" s="20"/>
      <c r="M410" s="20"/>
      <c r="N410" s="20"/>
      <c r="O410" s="20"/>
      <c r="P410" s="20"/>
      <c r="Q410" s="20"/>
      <c r="R410" s="20"/>
      <c r="S410" s="20"/>
      <c r="T410" s="20"/>
      <c r="U410" s="20"/>
      <c r="V410" s="20"/>
      <c r="W410" s="20"/>
      <c r="X410" s="20"/>
      <c r="Y410" s="20"/>
      <c r="Z410" s="20"/>
    </row>
    <row r="411" spans="2:26" ht="17.25" customHeight="1">
      <c r="B411" s="15"/>
      <c r="C411" s="15"/>
      <c r="D411" s="37"/>
      <c r="E411" s="58"/>
      <c r="F411" s="58"/>
      <c r="G411" s="58"/>
      <c r="H411" s="58"/>
      <c r="I411" s="58"/>
      <c r="J411" s="58"/>
      <c r="K411" s="31"/>
      <c r="L411" s="20"/>
      <c r="M411" s="20"/>
      <c r="N411" s="20"/>
      <c r="O411" s="20"/>
      <c r="P411" s="20"/>
      <c r="Q411" s="20"/>
      <c r="R411" s="20"/>
      <c r="S411" s="20"/>
      <c r="T411" s="20"/>
      <c r="U411" s="20"/>
      <c r="V411" s="20"/>
      <c r="W411" s="20"/>
      <c r="X411" s="20"/>
      <c r="Y411" s="20"/>
      <c r="Z411" s="20"/>
    </row>
    <row r="412" spans="2:26" ht="17.25" customHeight="1">
      <c r="B412" s="15"/>
      <c r="C412" s="15"/>
      <c r="D412" s="37"/>
      <c r="E412" s="58"/>
      <c r="F412" s="58"/>
      <c r="G412" s="58"/>
      <c r="H412" s="58"/>
      <c r="I412" s="58"/>
      <c r="J412" s="58"/>
      <c r="K412" s="31"/>
      <c r="L412" s="20"/>
      <c r="M412" s="20"/>
      <c r="N412" s="20"/>
      <c r="O412" s="20"/>
      <c r="P412" s="20"/>
      <c r="Q412" s="20"/>
      <c r="R412" s="20"/>
      <c r="S412" s="20"/>
      <c r="T412" s="20"/>
      <c r="U412" s="20"/>
      <c r="V412" s="20"/>
      <c r="W412" s="20"/>
      <c r="X412" s="20"/>
      <c r="Y412" s="20"/>
      <c r="Z412" s="20"/>
    </row>
    <row r="413" spans="2:26" ht="17.25" customHeight="1">
      <c r="B413" s="15"/>
      <c r="C413" s="15"/>
      <c r="D413" s="37"/>
      <c r="E413" s="58"/>
      <c r="F413" s="58"/>
      <c r="G413" s="58"/>
      <c r="H413" s="58"/>
      <c r="I413" s="58"/>
      <c r="J413" s="58"/>
      <c r="K413" s="31"/>
      <c r="L413" s="20"/>
      <c r="M413" s="20"/>
      <c r="N413" s="20"/>
      <c r="O413" s="20"/>
      <c r="P413" s="20"/>
      <c r="Q413" s="20"/>
      <c r="R413" s="20"/>
      <c r="S413" s="20"/>
      <c r="T413" s="20"/>
      <c r="U413" s="20"/>
      <c r="V413" s="20"/>
      <c r="W413" s="20"/>
      <c r="X413" s="20"/>
      <c r="Y413" s="20"/>
      <c r="Z413" s="20"/>
    </row>
    <row r="414" spans="2:26" ht="17.25" customHeight="1">
      <c r="B414" s="15"/>
      <c r="C414" s="15"/>
      <c r="D414" s="37"/>
      <c r="E414" s="58"/>
      <c r="F414" s="58"/>
      <c r="G414" s="58"/>
      <c r="H414" s="58"/>
      <c r="I414" s="58"/>
      <c r="J414" s="58"/>
      <c r="K414" s="31"/>
      <c r="L414" s="20"/>
      <c r="M414" s="20"/>
      <c r="N414" s="20"/>
      <c r="O414" s="20"/>
      <c r="P414" s="20"/>
      <c r="Q414" s="20"/>
      <c r="R414" s="20"/>
      <c r="S414" s="20"/>
      <c r="T414" s="20"/>
      <c r="U414" s="20"/>
      <c r="V414" s="20"/>
      <c r="W414" s="20"/>
      <c r="X414" s="20"/>
      <c r="Y414" s="20"/>
      <c r="Z414" s="20"/>
    </row>
    <row r="415" spans="2:26" ht="17.25" customHeight="1">
      <c r="B415" s="15"/>
      <c r="C415" s="15"/>
      <c r="D415" s="37"/>
      <c r="E415" s="58"/>
      <c r="F415" s="58"/>
      <c r="G415" s="58"/>
      <c r="H415" s="58"/>
      <c r="I415" s="58"/>
      <c r="J415" s="58"/>
      <c r="K415" s="31"/>
      <c r="L415" s="20"/>
      <c r="M415" s="20"/>
      <c r="N415" s="20"/>
      <c r="O415" s="20"/>
      <c r="P415" s="20"/>
      <c r="Q415" s="20"/>
      <c r="R415" s="20"/>
      <c r="S415" s="20"/>
      <c r="T415" s="20"/>
      <c r="U415" s="20"/>
      <c r="V415" s="20"/>
      <c r="W415" s="20"/>
      <c r="X415" s="20"/>
      <c r="Y415" s="20"/>
      <c r="Z415" s="20"/>
    </row>
    <row r="416" spans="2:26" ht="17.25" customHeight="1">
      <c r="B416" s="15"/>
      <c r="C416" s="15"/>
      <c r="D416" s="37"/>
      <c r="E416" s="58"/>
      <c r="F416" s="58"/>
      <c r="G416" s="58"/>
      <c r="H416" s="58"/>
      <c r="I416" s="58"/>
      <c r="J416" s="58"/>
      <c r="K416" s="31"/>
      <c r="L416" s="20"/>
      <c r="M416" s="20"/>
      <c r="N416" s="20"/>
      <c r="O416" s="20"/>
      <c r="P416" s="20"/>
      <c r="Q416" s="20"/>
      <c r="R416" s="20"/>
      <c r="S416" s="20"/>
      <c r="T416" s="20"/>
      <c r="U416" s="20"/>
      <c r="V416" s="20"/>
      <c r="W416" s="20"/>
      <c r="X416" s="20"/>
      <c r="Y416" s="20"/>
      <c r="Z416" s="20"/>
    </row>
    <row r="417" spans="2:26" ht="17.25" customHeight="1">
      <c r="B417" s="15"/>
      <c r="C417" s="15"/>
      <c r="D417" s="37"/>
      <c r="E417" s="58"/>
      <c r="F417" s="58"/>
      <c r="G417" s="58"/>
      <c r="H417" s="58"/>
      <c r="I417" s="58"/>
      <c r="J417" s="58"/>
      <c r="K417" s="31"/>
      <c r="L417" s="20"/>
      <c r="M417" s="20"/>
      <c r="N417" s="20"/>
      <c r="O417" s="20"/>
      <c r="P417" s="20"/>
      <c r="Q417" s="20"/>
      <c r="R417" s="20"/>
      <c r="S417" s="20"/>
      <c r="T417" s="20"/>
      <c r="U417" s="20"/>
      <c r="V417" s="20"/>
      <c r="W417" s="20"/>
      <c r="X417" s="20"/>
      <c r="Y417" s="20"/>
      <c r="Z417" s="20"/>
    </row>
    <row r="418" spans="2:26" ht="17.25" customHeight="1">
      <c r="B418" s="15"/>
      <c r="C418" s="15"/>
      <c r="D418" s="37"/>
      <c r="E418" s="58"/>
      <c r="F418" s="58"/>
      <c r="G418" s="58"/>
      <c r="H418" s="58"/>
      <c r="I418" s="58"/>
      <c r="J418" s="58"/>
      <c r="K418" s="31"/>
      <c r="L418" s="20"/>
      <c r="M418" s="20"/>
      <c r="N418" s="20"/>
      <c r="O418" s="20"/>
      <c r="P418" s="20"/>
      <c r="Q418" s="20"/>
      <c r="R418" s="20"/>
      <c r="S418" s="20"/>
      <c r="T418" s="20"/>
      <c r="U418" s="20"/>
      <c r="V418" s="20"/>
      <c r="W418" s="20"/>
      <c r="X418" s="20"/>
      <c r="Y418" s="20"/>
      <c r="Z418" s="20"/>
    </row>
    <row r="419" spans="2:26" ht="17.25" customHeight="1">
      <c r="B419" s="15"/>
      <c r="C419" s="15"/>
      <c r="D419" s="37"/>
      <c r="E419" s="58"/>
      <c r="F419" s="58"/>
      <c r="G419" s="58"/>
      <c r="H419" s="58"/>
      <c r="I419" s="58"/>
      <c r="J419" s="58"/>
      <c r="K419" s="31"/>
      <c r="L419" s="20"/>
      <c r="M419" s="20"/>
      <c r="N419" s="20"/>
      <c r="O419" s="20"/>
      <c r="P419" s="20"/>
      <c r="Q419" s="20"/>
      <c r="R419" s="20"/>
      <c r="S419" s="20"/>
      <c r="T419" s="20"/>
      <c r="U419" s="20"/>
      <c r="V419" s="20"/>
      <c r="W419" s="20"/>
      <c r="X419" s="20"/>
      <c r="Y419" s="20"/>
      <c r="Z419" s="20"/>
    </row>
    <row r="420" spans="2:26" ht="17.25" customHeight="1">
      <c r="B420" s="15"/>
      <c r="C420" s="15"/>
      <c r="D420" s="37"/>
      <c r="E420" s="58"/>
      <c r="F420" s="58"/>
      <c r="G420" s="58"/>
      <c r="H420" s="58"/>
      <c r="I420" s="58"/>
      <c r="J420" s="58"/>
      <c r="K420" s="31"/>
      <c r="L420" s="20"/>
      <c r="M420" s="20"/>
      <c r="N420" s="20"/>
      <c r="O420" s="20"/>
      <c r="P420" s="20"/>
      <c r="Q420" s="20"/>
      <c r="R420" s="20"/>
      <c r="S420" s="20"/>
      <c r="T420" s="20"/>
      <c r="U420" s="20"/>
      <c r="V420" s="20"/>
      <c r="W420" s="20"/>
      <c r="X420" s="20"/>
      <c r="Y420" s="20"/>
      <c r="Z420" s="20"/>
    </row>
    <row r="421" spans="2:26" ht="17.25" customHeight="1">
      <c r="B421" s="15"/>
      <c r="C421" s="15"/>
      <c r="D421" s="37"/>
      <c r="E421" s="58"/>
      <c r="F421" s="58"/>
      <c r="G421" s="58"/>
      <c r="H421" s="58"/>
      <c r="I421" s="58"/>
      <c r="J421" s="58"/>
      <c r="K421" s="31"/>
      <c r="L421" s="20"/>
      <c r="M421" s="20"/>
      <c r="N421" s="20"/>
      <c r="O421" s="20"/>
      <c r="P421" s="20"/>
      <c r="Q421" s="20"/>
      <c r="R421" s="20"/>
      <c r="S421" s="20"/>
      <c r="T421" s="20"/>
      <c r="U421" s="20"/>
      <c r="V421" s="20"/>
      <c r="W421" s="20"/>
      <c r="X421" s="20"/>
      <c r="Y421" s="20"/>
      <c r="Z421" s="20"/>
    </row>
    <row r="422" spans="2:26" ht="17.25" customHeight="1">
      <c r="B422" s="15"/>
      <c r="C422" s="15"/>
      <c r="D422" s="37"/>
      <c r="E422" s="58"/>
      <c r="F422" s="58"/>
      <c r="G422" s="58"/>
      <c r="H422" s="58"/>
      <c r="I422" s="58"/>
      <c r="J422" s="58"/>
      <c r="K422" s="31"/>
      <c r="L422" s="20"/>
      <c r="M422" s="20"/>
      <c r="N422" s="20"/>
      <c r="O422" s="20"/>
      <c r="P422" s="20"/>
      <c r="Q422" s="20"/>
      <c r="R422" s="20"/>
      <c r="S422" s="20"/>
      <c r="T422" s="20"/>
      <c r="U422" s="20"/>
      <c r="V422" s="20"/>
      <c r="W422" s="20"/>
      <c r="X422" s="20"/>
      <c r="Y422" s="20"/>
      <c r="Z422" s="20"/>
    </row>
    <row r="423" spans="2:26" ht="17.25" customHeight="1">
      <c r="B423" s="15"/>
      <c r="C423" s="15"/>
      <c r="D423" s="37"/>
      <c r="E423" s="58"/>
      <c r="F423" s="58"/>
      <c r="G423" s="58"/>
      <c r="H423" s="58"/>
      <c r="I423" s="58"/>
      <c r="J423" s="58"/>
      <c r="K423" s="31"/>
      <c r="L423" s="20"/>
      <c r="M423" s="20"/>
      <c r="N423" s="20"/>
      <c r="O423" s="20"/>
      <c r="P423" s="20"/>
      <c r="Q423" s="20"/>
      <c r="R423" s="20"/>
      <c r="S423" s="20"/>
      <c r="T423" s="20"/>
      <c r="U423" s="20"/>
      <c r="V423" s="20"/>
      <c r="W423" s="20"/>
      <c r="X423" s="20"/>
      <c r="Y423" s="20"/>
      <c r="Z423" s="20"/>
    </row>
    <row r="424" spans="2:26" ht="17.25" customHeight="1">
      <c r="B424" s="15"/>
      <c r="C424" s="15"/>
      <c r="D424" s="37"/>
      <c r="E424" s="58"/>
      <c r="F424" s="58"/>
      <c r="G424" s="58"/>
      <c r="H424" s="58"/>
      <c r="I424" s="58"/>
      <c r="J424" s="58"/>
      <c r="K424" s="31"/>
      <c r="L424" s="20"/>
      <c r="M424" s="20"/>
      <c r="N424" s="20"/>
      <c r="O424" s="20"/>
      <c r="P424" s="20"/>
      <c r="Q424" s="20"/>
      <c r="R424" s="20"/>
      <c r="S424" s="20"/>
      <c r="T424" s="20"/>
      <c r="U424" s="20"/>
      <c r="V424" s="20"/>
      <c r="W424" s="20"/>
      <c r="X424" s="20"/>
      <c r="Y424" s="20"/>
      <c r="Z424" s="20"/>
    </row>
    <row r="425" spans="2:26" ht="17.25" customHeight="1">
      <c r="B425" s="15"/>
      <c r="C425" s="15"/>
      <c r="D425" s="37"/>
      <c r="E425" s="58"/>
      <c r="F425" s="58"/>
      <c r="G425" s="58"/>
      <c r="H425" s="58"/>
      <c r="I425" s="58"/>
      <c r="J425" s="58"/>
      <c r="K425" s="31"/>
      <c r="L425" s="20"/>
      <c r="M425" s="20"/>
      <c r="N425" s="20"/>
      <c r="O425" s="20"/>
      <c r="P425" s="20"/>
      <c r="Q425" s="20"/>
      <c r="R425" s="20"/>
      <c r="S425" s="20"/>
      <c r="T425" s="20"/>
      <c r="U425" s="20"/>
      <c r="V425" s="20"/>
      <c r="W425" s="20"/>
      <c r="X425" s="20"/>
      <c r="Y425" s="20"/>
      <c r="Z425" s="20"/>
    </row>
    <row r="426" spans="2:26" ht="17.25" customHeight="1">
      <c r="B426" s="15"/>
      <c r="C426" s="15"/>
      <c r="D426" s="37"/>
      <c r="E426" s="58"/>
      <c r="F426" s="58"/>
      <c r="G426" s="58"/>
      <c r="H426" s="58"/>
      <c r="I426" s="58"/>
      <c r="J426" s="58"/>
      <c r="K426" s="31"/>
      <c r="L426" s="20"/>
      <c r="M426" s="20"/>
      <c r="N426" s="20"/>
      <c r="O426" s="20"/>
      <c r="P426" s="20"/>
      <c r="Q426" s="20"/>
      <c r="R426" s="20"/>
      <c r="S426" s="20"/>
      <c r="T426" s="20"/>
      <c r="U426" s="20"/>
      <c r="V426" s="20"/>
      <c r="W426" s="20"/>
      <c r="X426" s="20"/>
      <c r="Y426" s="20"/>
      <c r="Z426" s="20"/>
    </row>
    <row r="427" spans="2:26" ht="17.25" customHeight="1">
      <c r="B427" s="15"/>
      <c r="C427" s="15"/>
      <c r="D427" s="37"/>
      <c r="E427" s="58"/>
      <c r="F427" s="58"/>
      <c r="G427" s="58"/>
      <c r="H427" s="58"/>
      <c r="I427" s="58"/>
      <c r="J427" s="58"/>
      <c r="K427" s="31"/>
      <c r="L427" s="20"/>
      <c r="M427" s="20"/>
      <c r="N427" s="20"/>
      <c r="O427" s="20"/>
      <c r="P427" s="20"/>
      <c r="Q427" s="20"/>
      <c r="R427" s="20"/>
      <c r="S427" s="20"/>
      <c r="T427" s="20"/>
      <c r="U427" s="20"/>
      <c r="V427" s="20"/>
      <c r="W427" s="20"/>
      <c r="X427" s="20"/>
      <c r="Y427" s="20"/>
      <c r="Z427" s="20"/>
    </row>
    <row r="428" spans="2:26" ht="17.25" customHeight="1">
      <c r="B428" s="15"/>
      <c r="C428" s="15"/>
      <c r="D428" s="37"/>
      <c r="E428" s="58"/>
      <c r="F428" s="58"/>
      <c r="G428" s="58"/>
      <c r="H428" s="58"/>
      <c r="I428" s="58"/>
      <c r="J428" s="58"/>
      <c r="K428" s="31"/>
      <c r="L428" s="20"/>
      <c r="M428" s="20"/>
      <c r="N428" s="20"/>
      <c r="O428" s="20"/>
      <c r="P428" s="20"/>
      <c r="Q428" s="20"/>
      <c r="R428" s="20"/>
      <c r="S428" s="20"/>
      <c r="T428" s="20"/>
      <c r="U428" s="20"/>
      <c r="V428" s="20"/>
      <c r="W428" s="20"/>
      <c r="X428" s="20"/>
      <c r="Y428" s="20"/>
      <c r="Z428" s="20"/>
    </row>
    <row r="429" spans="2:26" ht="17.25" customHeight="1">
      <c r="B429" s="15"/>
      <c r="C429" s="15"/>
      <c r="D429" s="37"/>
      <c r="E429" s="58"/>
      <c r="F429" s="58"/>
      <c r="G429" s="58"/>
      <c r="H429" s="58"/>
      <c r="I429" s="58"/>
      <c r="J429" s="58"/>
      <c r="K429" s="31"/>
      <c r="L429" s="20"/>
      <c r="M429" s="20"/>
      <c r="N429" s="20"/>
      <c r="O429" s="20"/>
      <c r="P429" s="20"/>
      <c r="Q429" s="20"/>
      <c r="R429" s="20"/>
      <c r="S429" s="20"/>
      <c r="T429" s="20"/>
      <c r="U429" s="20"/>
      <c r="V429" s="20"/>
      <c r="W429" s="20"/>
      <c r="X429" s="20"/>
      <c r="Y429" s="20"/>
      <c r="Z429" s="20"/>
    </row>
    <row r="430" spans="2:26" ht="17.25" customHeight="1">
      <c r="B430" s="15"/>
      <c r="C430" s="15"/>
      <c r="D430" s="37"/>
      <c r="E430" s="58"/>
      <c r="F430" s="58"/>
      <c r="G430" s="58"/>
      <c r="H430" s="58"/>
      <c r="I430" s="58"/>
      <c r="J430" s="58"/>
      <c r="K430" s="31"/>
      <c r="L430" s="20"/>
      <c r="M430" s="20"/>
      <c r="N430" s="20"/>
      <c r="O430" s="20"/>
      <c r="P430" s="20"/>
      <c r="Q430" s="20"/>
      <c r="R430" s="20"/>
      <c r="S430" s="20"/>
      <c r="T430" s="20"/>
      <c r="U430" s="20"/>
      <c r="V430" s="20"/>
      <c r="W430" s="20"/>
      <c r="X430" s="20"/>
      <c r="Y430" s="20"/>
      <c r="Z430" s="20"/>
    </row>
    <row r="431" spans="2:26" ht="17.25" customHeight="1">
      <c r="B431" s="15"/>
      <c r="C431" s="15"/>
      <c r="D431" s="37"/>
      <c r="E431" s="58"/>
      <c r="F431" s="58"/>
      <c r="G431" s="58"/>
      <c r="H431" s="58"/>
      <c r="I431" s="58"/>
      <c r="J431" s="58"/>
      <c r="K431" s="31"/>
      <c r="L431" s="20"/>
      <c r="M431" s="20"/>
      <c r="N431" s="20"/>
      <c r="O431" s="20"/>
      <c r="P431" s="20"/>
      <c r="Q431" s="20"/>
      <c r="R431" s="20"/>
      <c r="S431" s="20"/>
      <c r="T431" s="20"/>
      <c r="U431" s="20"/>
      <c r="V431" s="20"/>
      <c r="W431" s="20"/>
      <c r="X431" s="20"/>
      <c r="Y431" s="20"/>
      <c r="Z431" s="20"/>
    </row>
    <row r="432" spans="2:26" ht="17.25" customHeight="1">
      <c r="B432" s="15"/>
      <c r="C432" s="15"/>
      <c r="D432" s="37"/>
      <c r="E432" s="58"/>
      <c r="F432" s="58"/>
      <c r="G432" s="58"/>
      <c r="H432" s="58"/>
      <c r="I432" s="58"/>
      <c r="J432" s="58"/>
      <c r="K432" s="31"/>
      <c r="L432" s="20"/>
      <c r="M432" s="20"/>
      <c r="N432" s="20"/>
      <c r="O432" s="20"/>
      <c r="P432" s="20"/>
      <c r="Q432" s="20"/>
      <c r="R432" s="20"/>
      <c r="S432" s="20"/>
      <c r="T432" s="20"/>
      <c r="U432" s="20"/>
      <c r="V432" s="20"/>
      <c r="W432" s="20"/>
      <c r="X432" s="20"/>
      <c r="Y432" s="20"/>
      <c r="Z432" s="20"/>
    </row>
    <row r="433" spans="2:26" ht="17.25" customHeight="1">
      <c r="B433" s="15"/>
      <c r="C433" s="15"/>
      <c r="D433" s="37"/>
      <c r="E433" s="58"/>
      <c r="F433" s="58"/>
      <c r="G433" s="58"/>
      <c r="H433" s="58"/>
      <c r="I433" s="58"/>
      <c r="J433" s="58"/>
      <c r="K433" s="31"/>
      <c r="L433" s="20"/>
      <c r="M433" s="20"/>
      <c r="N433" s="20"/>
      <c r="O433" s="20"/>
      <c r="P433" s="20"/>
      <c r="Q433" s="20"/>
      <c r="R433" s="20"/>
      <c r="S433" s="20"/>
      <c r="T433" s="20"/>
      <c r="U433" s="20"/>
      <c r="V433" s="20"/>
      <c r="W433" s="20"/>
      <c r="X433" s="20"/>
      <c r="Y433" s="20"/>
      <c r="Z433" s="20"/>
    </row>
    <row r="434" spans="2:26" ht="17.25" customHeight="1">
      <c r="B434" s="15"/>
      <c r="C434" s="15"/>
      <c r="D434" s="37"/>
      <c r="E434" s="58"/>
      <c r="F434" s="58"/>
      <c r="G434" s="58"/>
      <c r="H434" s="58"/>
      <c r="I434" s="58"/>
      <c r="J434" s="58"/>
      <c r="K434" s="31"/>
      <c r="L434" s="20"/>
      <c r="M434" s="20"/>
      <c r="N434" s="20"/>
      <c r="O434" s="20"/>
      <c r="P434" s="20"/>
      <c r="Q434" s="20"/>
      <c r="R434" s="20"/>
      <c r="S434" s="20"/>
      <c r="T434" s="20"/>
      <c r="U434" s="20"/>
      <c r="V434" s="20"/>
      <c r="W434" s="20"/>
      <c r="X434" s="20"/>
      <c r="Y434" s="20"/>
      <c r="Z434" s="20"/>
    </row>
    <row r="435" spans="2:26" ht="17.25" customHeight="1">
      <c r="B435" s="15"/>
      <c r="C435" s="15"/>
      <c r="D435" s="37"/>
      <c r="E435" s="58"/>
      <c r="F435" s="58"/>
      <c r="G435" s="58"/>
      <c r="H435" s="58"/>
      <c r="I435" s="58"/>
      <c r="J435" s="58"/>
      <c r="K435" s="31"/>
      <c r="L435" s="20"/>
      <c r="M435" s="20"/>
      <c r="N435" s="20"/>
      <c r="O435" s="20"/>
      <c r="P435" s="20"/>
      <c r="Q435" s="20"/>
      <c r="R435" s="20"/>
      <c r="S435" s="20"/>
      <c r="T435" s="20"/>
      <c r="U435" s="20"/>
      <c r="V435" s="20"/>
      <c r="W435" s="20"/>
      <c r="X435" s="20"/>
      <c r="Y435" s="20"/>
      <c r="Z435" s="20"/>
    </row>
    <row r="436" spans="2:26" ht="17.25" customHeight="1">
      <c r="B436" s="15"/>
      <c r="C436" s="15"/>
      <c r="D436" s="37"/>
      <c r="E436" s="58"/>
      <c r="F436" s="58"/>
      <c r="G436" s="58"/>
      <c r="H436" s="58"/>
      <c r="I436" s="58"/>
      <c r="J436" s="58"/>
      <c r="K436" s="31"/>
      <c r="L436" s="20"/>
      <c r="M436" s="20"/>
      <c r="N436" s="20"/>
      <c r="O436" s="20"/>
      <c r="P436" s="20"/>
      <c r="Q436" s="20"/>
      <c r="R436" s="20"/>
      <c r="S436" s="20"/>
      <c r="T436" s="20"/>
      <c r="U436" s="20"/>
      <c r="V436" s="20"/>
      <c r="W436" s="20"/>
      <c r="X436" s="20"/>
      <c r="Y436" s="20"/>
      <c r="Z436" s="20"/>
    </row>
    <row r="437" spans="2:26" ht="17.25" customHeight="1">
      <c r="B437" s="15"/>
      <c r="C437" s="15"/>
      <c r="D437" s="37"/>
      <c r="E437" s="58"/>
      <c r="F437" s="58"/>
      <c r="G437" s="58"/>
      <c r="H437" s="58"/>
      <c r="I437" s="58"/>
      <c r="J437" s="58"/>
      <c r="K437" s="31"/>
      <c r="L437" s="20"/>
      <c r="M437" s="20"/>
      <c r="N437" s="20"/>
      <c r="O437" s="20"/>
      <c r="P437" s="20"/>
      <c r="Q437" s="20"/>
      <c r="R437" s="20"/>
      <c r="S437" s="20"/>
      <c r="T437" s="20"/>
      <c r="U437" s="20"/>
      <c r="V437" s="20"/>
      <c r="W437" s="20"/>
      <c r="X437" s="20"/>
      <c r="Y437" s="20"/>
      <c r="Z437" s="20"/>
    </row>
    <row r="438" spans="2:26" ht="17.25" customHeight="1">
      <c r="B438" s="15"/>
      <c r="C438" s="15"/>
      <c r="D438" s="37"/>
      <c r="E438" s="58"/>
      <c r="F438" s="58"/>
      <c r="G438" s="58"/>
      <c r="H438" s="58"/>
      <c r="I438" s="58"/>
      <c r="J438" s="58"/>
      <c r="K438" s="31"/>
      <c r="L438" s="20"/>
      <c r="M438" s="20"/>
      <c r="N438" s="20"/>
      <c r="O438" s="20"/>
      <c r="P438" s="20"/>
      <c r="Q438" s="20"/>
      <c r="R438" s="20"/>
      <c r="S438" s="20"/>
      <c r="T438" s="20"/>
      <c r="U438" s="20"/>
      <c r="V438" s="20"/>
      <c r="W438" s="20"/>
      <c r="X438" s="20"/>
      <c r="Y438" s="20"/>
      <c r="Z438" s="20"/>
    </row>
    <row r="439" spans="2:26" ht="17.25" customHeight="1">
      <c r="B439" s="15"/>
      <c r="C439" s="15"/>
      <c r="D439" s="37"/>
      <c r="E439" s="58"/>
      <c r="F439" s="58"/>
      <c r="G439" s="58"/>
      <c r="H439" s="58"/>
      <c r="I439" s="58"/>
      <c r="J439" s="58"/>
      <c r="K439" s="31"/>
      <c r="L439" s="20"/>
      <c r="M439" s="20"/>
      <c r="N439" s="20"/>
      <c r="O439" s="20"/>
      <c r="P439" s="20"/>
      <c r="Q439" s="20"/>
      <c r="R439" s="20"/>
      <c r="S439" s="20"/>
      <c r="T439" s="20"/>
      <c r="U439" s="20"/>
      <c r="V439" s="20"/>
      <c r="W439" s="20"/>
      <c r="X439" s="20"/>
      <c r="Y439" s="20"/>
      <c r="Z439" s="20"/>
    </row>
    <row r="440" spans="2:26" ht="17.25" customHeight="1">
      <c r="B440" s="15"/>
      <c r="C440" s="15"/>
      <c r="D440" s="37"/>
      <c r="E440" s="58"/>
      <c r="F440" s="58"/>
      <c r="G440" s="58"/>
      <c r="H440" s="58"/>
      <c r="I440" s="58"/>
      <c r="J440" s="58"/>
      <c r="K440" s="31"/>
      <c r="L440" s="20"/>
      <c r="M440" s="20"/>
      <c r="N440" s="20"/>
      <c r="O440" s="20"/>
      <c r="P440" s="20"/>
      <c r="Q440" s="20"/>
      <c r="R440" s="20"/>
      <c r="S440" s="20"/>
      <c r="T440" s="20"/>
      <c r="U440" s="20"/>
      <c r="V440" s="20"/>
      <c r="W440" s="20"/>
      <c r="X440" s="20"/>
      <c r="Y440" s="20"/>
      <c r="Z440" s="20"/>
    </row>
    <row r="441" spans="2:26" ht="17.25" customHeight="1">
      <c r="B441" s="15"/>
      <c r="C441" s="15"/>
      <c r="D441" s="37"/>
      <c r="E441" s="58"/>
      <c r="F441" s="58"/>
      <c r="G441" s="58"/>
      <c r="H441" s="58"/>
      <c r="I441" s="58"/>
      <c r="J441" s="58"/>
      <c r="K441" s="31"/>
      <c r="L441" s="20"/>
      <c r="M441" s="20"/>
      <c r="N441" s="20"/>
      <c r="O441" s="20"/>
      <c r="P441" s="20"/>
      <c r="Q441" s="20"/>
      <c r="R441" s="20"/>
      <c r="S441" s="20"/>
      <c r="T441" s="20"/>
      <c r="U441" s="20"/>
      <c r="V441" s="20"/>
      <c r="W441" s="20"/>
      <c r="X441" s="20"/>
      <c r="Y441" s="20"/>
      <c r="Z441" s="20"/>
    </row>
    <row r="442" spans="2:26" ht="17.25" customHeight="1">
      <c r="B442" s="15"/>
      <c r="C442" s="15"/>
      <c r="D442" s="37"/>
      <c r="E442" s="58"/>
      <c r="F442" s="58"/>
      <c r="G442" s="58"/>
      <c r="H442" s="58"/>
      <c r="I442" s="58"/>
      <c r="J442" s="58"/>
      <c r="K442" s="31"/>
      <c r="L442" s="20"/>
      <c r="M442" s="20"/>
      <c r="N442" s="20"/>
      <c r="O442" s="20"/>
      <c r="P442" s="20"/>
      <c r="Q442" s="20"/>
      <c r="R442" s="20"/>
      <c r="S442" s="20"/>
      <c r="T442" s="20"/>
      <c r="U442" s="20"/>
      <c r="V442" s="20"/>
      <c r="W442" s="20"/>
      <c r="X442" s="20"/>
      <c r="Y442" s="20"/>
      <c r="Z442" s="20"/>
    </row>
    <row r="443" spans="2:26" ht="17.25" customHeight="1">
      <c r="B443" s="15"/>
      <c r="C443" s="15"/>
      <c r="D443" s="37"/>
      <c r="E443" s="58"/>
      <c r="F443" s="58"/>
      <c r="G443" s="58"/>
      <c r="H443" s="58"/>
      <c r="I443" s="58"/>
      <c r="J443" s="58"/>
      <c r="K443" s="31"/>
      <c r="L443" s="20"/>
      <c r="M443" s="20"/>
      <c r="N443" s="20"/>
      <c r="O443" s="20"/>
      <c r="P443" s="20"/>
      <c r="Q443" s="20"/>
      <c r="R443" s="20"/>
      <c r="S443" s="20"/>
      <c r="T443" s="20"/>
      <c r="U443" s="20"/>
      <c r="V443" s="20"/>
      <c r="W443" s="20"/>
      <c r="X443" s="20"/>
      <c r="Y443" s="20"/>
      <c r="Z443" s="20"/>
    </row>
    <row r="444" spans="2:26" ht="17.25" customHeight="1">
      <c r="B444" s="15"/>
      <c r="C444" s="15"/>
      <c r="D444" s="37"/>
      <c r="E444" s="58"/>
      <c r="F444" s="58"/>
      <c r="G444" s="58"/>
      <c r="H444" s="58"/>
      <c r="I444" s="58"/>
      <c r="J444" s="58"/>
      <c r="K444" s="31"/>
      <c r="L444" s="20"/>
      <c r="M444" s="20"/>
      <c r="N444" s="20"/>
      <c r="O444" s="20"/>
      <c r="P444" s="20"/>
      <c r="Q444" s="20"/>
      <c r="R444" s="20"/>
      <c r="S444" s="20"/>
      <c r="T444" s="20"/>
      <c r="U444" s="20"/>
      <c r="V444" s="20"/>
      <c r="W444" s="20"/>
      <c r="X444" s="20"/>
      <c r="Y444" s="20"/>
      <c r="Z444" s="20"/>
    </row>
    <row r="445" spans="2:26" ht="17.25" customHeight="1">
      <c r="B445" s="15"/>
      <c r="C445" s="15"/>
      <c r="D445" s="37"/>
      <c r="E445" s="58"/>
      <c r="F445" s="58"/>
      <c r="G445" s="58"/>
      <c r="H445" s="58"/>
      <c r="I445" s="58"/>
      <c r="J445" s="58"/>
      <c r="K445" s="31"/>
      <c r="L445" s="20"/>
      <c r="M445" s="20"/>
      <c r="N445" s="20"/>
      <c r="O445" s="20"/>
      <c r="P445" s="20"/>
      <c r="Q445" s="20"/>
      <c r="R445" s="20"/>
      <c r="S445" s="20"/>
      <c r="T445" s="20"/>
      <c r="U445" s="20"/>
      <c r="V445" s="20"/>
      <c r="W445" s="20"/>
      <c r="X445" s="20"/>
      <c r="Y445" s="20"/>
      <c r="Z445" s="20"/>
    </row>
    <row r="446" spans="2:26" ht="17.25" customHeight="1">
      <c r="B446" s="15"/>
      <c r="C446" s="15"/>
      <c r="D446" s="37"/>
      <c r="E446" s="58"/>
      <c r="F446" s="58"/>
      <c r="G446" s="58"/>
      <c r="H446" s="58"/>
      <c r="I446" s="58"/>
      <c r="J446" s="58"/>
      <c r="K446" s="31"/>
      <c r="L446" s="20"/>
      <c r="M446" s="20"/>
      <c r="N446" s="20"/>
      <c r="O446" s="20"/>
      <c r="P446" s="20"/>
      <c r="Q446" s="20"/>
      <c r="R446" s="20"/>
      <c r="S446" s="20"/>
      <c r="T446" s="20"/>
      <c r="U446" s="20"/>
      <c r="V446" s="20"/>
      <c r="W446" s="20"/>
      <c r="X446" s="20"/>
      <c r="Y446" s="20"/>
      <c r="Z446" s="20"/>
    </row>
    <row r="447" spans="2:26" ht="17.25" customHeight="1">
      <c r="B447" s="15"/>
      <c r="C447" s="15"/>
      <c r="D447" s="37"/>
      <c r="E447" s="58"/>
      <c r="F447" s="58"/>
      <c r="G447" s="58"/>
      <c r="H447" s="58"/>
      <c r="I447" s="58"/>
      <c r="J447" s="58"/>
      <c r="K447" s="31"/>
      <c r="L447" s="20"/>
      <c r="M447" s="20"/>
      <c r="N447" s="20"/>
      <c r="O447" s="20"/>
      <c r="P447" s="20"/>
      <c r="Q447" s="20"/>
      <c r="R447" s="20"/>
      <c r="S447" s="20"/>
      <c r="T447" s="20"/>
      <c r="U447" s="20"/>
      <c r="V447" s="20"/>
      <c r="W447" s="20"/>
      <c r="X447" s="20"/>
      <c r="Y447" s="20"/>
      <c r="Z447" s="20"/>
    </row>
    <row r="448" spans="2:26" ht="17.25" customHeight="1">
      <c r="B448" s="15"/>
      <c r="C448" s="15"/>
      <c r="D448" s="37"/>
      <c r="E448" s="58"/>
      <c r="F448" s="58"/>
      <c r="G448" s="58"/>
      <c r="H448" s="58"/>
      <c r="I448" s="58"/>
      <c r="J448" s="58"/>
      <c r="K448" s="31"/>
      <c r="L448" s="20"/>
      <c r="M448" s="20"/>
      <c r="N448" s="20"/>
      <c r="O448" s="20"/>
      <c r="P448" s="20"/>
      <c r="Q448" s="20"/>
      <c r="R448" s="20"/>
      <c r="S448" s="20"/>
      <c r="T448" s="20"/>
      <c r="U448" s="20"/>
      <c r="V448" s="20"/>
      <c r="W448" s="20"/>
      <c r="X448" s="20"/>
      <c r="Y448" s="20"/>
      <c r="Z448" s="20"/>
    </row>
    <row r="449" spans="2:26" ht="17.25" customHeight="1">
      <c r="B449" s="15"/>
      <c r="C449" s="15"/>
      <c r="D449" s="37"/>
      <c r="E449" s="58"/>
      <c r="F449" s="58"/>
      <c r="G449" s="58"/>
      <c r="H449" s="58"/>
      <c r="I449" s="58"/>
      <c r="J449" s="58"/>
      <c r="K449" s="31"/>
      <c r="L449" s="20"/>
      <c r="M449" s="20"/>
      <c r="N449" s="20"/>
      <c r="O449" s="20"/>
      <c r="P449" s="20"/>
      <c r="Q449" s="20"/>
      <c r="R449" s="20"/>
      <c r="S449" s="20"/>
      <c r="T449" s="20"/>
      <c r="U449" s="20"/>
      <c r="V449" s="20"/>
      <c r="W449" s="20"/>
      <c r="X449" s="20"/>
      <c r="Y449" s="20"/>
      <c r="Z449" s="20"/>
    </row>
    <row r="450" spans="2:26" ht="17.25" customHeight="1">
      <c r="B450" s="15"/>
      <c r="C450" s="15"/>
      <c r="D450" s="37"/>
      <c r="E450" s="58"/>
      <c r="F450" s="58"/>
      <c r="G450" s="58"/>
      <c r="H450" s="58"/>
      <c r="I450" s="58"/>
      <c r="J450" s="58"/>
      <c r="K450" s="31"/>
      <c r="L450" s="20"/>
      <c r="M450" s="20"/>
      <c r="N450" s="20"/>
      <c r="O450" s="20"/>
      <c r="P450" s="20"/>
      <c r="Q450" s="20"/>
      <c r="R450" s="20"/>
      <c r="S450" s="20"/>
      <c r="T450" s="20"/>
      <c r="U450" s="20"/>
      <c r="V450" s="20"/>
      <c r="W450" s="20"/>
      <c r="X450" s="20"/>
      <c r="Y450" s="20"/>
      <c r="Z450" s="20"/>
    </row>
    <row r="451" spans="2:26" ht="17.25" customHeight="1">
      <c r="B451" s="15"/>
      <c r="C451" s="15"/>
      <c r="D451" s="37"/>
      <c r="E451" s="58"/>
      <c r="F451" s="58"/>
      <c r="G451" s="58"/>
      <c r="H451" s="58"/>
      <c r="I451" s="58"/>
      <c r="J451" s="58"/>
      <c r="K451" s="31"/>
      <c r="L451" s="20"/>
      <c r="M451" s="20"/>
      <c r="N451" s="20"/>
      <c r="O451" s="20"/>
      <c r="P451" s="20"/>
      <c r="Q451" s="20"/>
      <c r="R451" s="20"/>
      <c r="S451" s="20"/>
      <c r="T451" s="20"/>
      <c r="U451" s="20"/>
      <c r="V451" s="20"/>
      <c r="W451" s="20"/>
      <c r="X451" s="20"/>
      <c r="Y451" s="20"/>
      <c r="Z451" s="20"/>
    </row>
    <row r="452" spans="2:26" ht="17.25" customHeight="1">
      <c r="B452" s="15"/>
      <c r="C452" s="15"/>
      <c r="D452" s="37"/>
      <c r="E452" s="58"/>
      <c r="F452" s="58"/>
      <c r="G452" s="58"/>
      <c r="H452" s="58"/>
      <c r="I452" s="58"/>
      <c r="J452" s="58"/>
      <c r="K452" s="31"/>
      <c r="L452" s="20"/>
      <c r="M452" s="20"/>
      <c r="N452" s="20"/>
      <c r="O452" s="20"/>
      <c r="P452" s="20"/>
      <c r="Q452" s="20"/>
      <c r="R452" s="20"/>
      <c r="S452" s="20"/>
      <c r="T452" s="20"/>
      <c r="U452" s="20"/>
      <c r="V452" s="20"/>
      <c r="W452" s="20"/>
      <c r="X452" s="20"/>
      <c r="Y452" s="20"/>
      <c r="Z452" s="20"/>
    </row>
    <row r="453" spans="2:26" ht="17.25" customHeight="1">
      <c r="B453" s="15"/>
      <c r="C453" s="15"/>
      <c r="D453" s="37"/>
      <c r="E453" s="58"/>
      <c r="F453" s="58"/>
      <c r="G453" s="58"/>
      <c r="H453" s="58"/>
      <c r="I453" s="58"/>
      <c r="J453" s="58"/>
      <c r="K453" s="31"/>
      <c r="L453" s="20"/>
      <c r="M453" s="20"/>
      <c r="N453" s="20"/>
      <c r="O453" s="20"/>
      <c r="P453" s="20"/>
      <c r="Q453" s="20"/>
      <c r="R453" s="20"/>
      <c r="S453" s="20"/>
      <c r="T453" s="20"/>
      <c r="U453" s="20"/>
      <c r="V453" s="20"/>
      <c r="W453" s="20"/>
      <c r="X453" s="20"/>
      <c r="Y453" s="20"/>
      <c r="Z453" s="20"/>
    </row>
    <row r="454" spans="2:26" ht="17.25" customHeight="1">
      <c r="B454" s="15"/>
      <c r="C454" s="15"/>
      <c r="D454" s="37"/>
      <c r="E454" s="58"/>
      <c r="F454" s="58"/>
      <c r="G454" s="58"/>
      <c r="H454" s="58"/>
      <c r="I454" s="58"/>
      <c r="J454" s="58"/>
      <c r="K454" s="31"/>
      <c r="L454" s="20"/>
      <c r="M454" s="20"/>
      <c r="N454" s="20"/>
      <c r="O454" s="20"/>
      <c r="P454" s="20"/>
      <c r="Q454" s="20"/>
      <c r="R454" s="20"/>
      <c r="S454" s="20"/>
      <c r="T454" s="20"/>
      <c r="U454" s="20"/>
      <c r="V454" s="20"/>
      <c r="W454" s="20"/>
      <c r="X454" s="20"/>
      <c r="Y454" s="20"/>
      <c r="Z454" s="20"/>
    </row>
    <row r="455" spans="2:26" ht="17.25" customHeight="1">
      <c r="B455" s="15"/>
      <c r="C455" s="15"/>
      <c r="D455" s="37"/>
      <c r="E455" s="58"/>
      <c r="F455" s="58"/>
      <c r="G455" s="58"/>
      <c r="H455" s="58"/>
      <c r="I455" s="58"/>
      <c r="J455" s="58"/>
      <c r="K455" s="31"/>
      <c r="L455" s="20"/>
      <c r="M455" s="20"/>
      <c r="N455" s="20"/>
      <c r="O455" s="20"/>
      <c r="P455" s="20"/>
      <c r="Q455" s="20"/>
      <c r="R455" s="20"/>
      <c r="S455" s="20"/>
      <c r="T455" s="20"/>
      <c r="U455" s="20"/>
      <c r="V455" s="20"/>
      <c r="W455" s="20"/>
      <c r="X455" s="20"/>
      <c r="Y455" s="20"/>
      <c r="Z455" s="20"/>
    </row>
    <row r="456" spans="2:26" ht="17.25" customHeight="1">
      <c r="B456" s="15"/>
      <c r="C456" s="15"/>
      <c r="D456" s="37"/>
      <c r="E456" s="58"/>
      <c r="F456" s="58"/>
      <c r="G456" s="58"/>
      <c r="H456" s="58"/>
      <c r="I456" s="58"/>
      <c r="J456" s="58"/>
      <c r="K456" s="31"/>
      <c r="L456" s="20"/>
      <c r="M456" s="20"/>
      <c r="N456" s="20"/>
      <c r="O456" s="20"/>
      <c r="P456" s="20"/>
      <c r="Q456" s="20"/>
      <c r="R456" s="20"/>
      <c r="S456" s="20"/>
      <c r="T456" s="20"/>
      <c r="U456" s="20"/>
      <c r="V456" s="20"/>
      <c r="W456" s="20"/>
      <c r="X456" s="20"/>
      <c r="Y456" s="20"/>
      <c r="Z456" s="20"/>
    </row>
    <row r="457" spans="2:26" ht="17.25" customHeight="1">
      <c r="B457" s="15"/>
      <c r="C457" s="15"/>
      <c r="D457" s="37"/>
      <c r="E457" s="58"/>
      <c r="F457" s="58"/>
      <c r="G457" s="58"/>
      <c r="H457" s="58"/>
      <c r="I457" s="58"/>
      <c r="J457" s="58"/>
      <c r="K457" s="31"/>
      <c r="L457" s="20"/>
      <c r="M457" s="20"/>
      <c r="N457" s="20"/>
      <c r="O457" s="20"/>
      <c r="P457" s="20"/>
      <c r="Q457" s="20"/>
      <c r="R457" s="20"/>
      <c r="S457" s="20"/>
      <c r="T457" s="20"/>
      <c r="U457" s="20"/>
      <c r="V457" s="20"/>
      <c r="W457" s="20"/>
      <c r="X457" s="20"/>
      <c r="Y457" s="20"/>
      <c r="Z457" s="20"/>
    </row>
    <row r="458" spans="2:26" ht="17.25" customHeight="1">
      <c r="B458" s="15"/>
      <c r="C458" s="15"/>
      <c r="D458" s="37"/>
      <c r="E458" s="58"/>
      <c r="F458" s="58"/>
      <c r="G458" s="58"/>
      <c r="H458" s="58"/>
      <c r="I458" s="58"/>
      <c r="J458" s="58"/>
      <c r="K458" s="31"/>
      <c r="L458" s="20"/>
      <c r="M458" s="20"/>
      <c r="N458" s="20"/>
      <c r="O458" s="20"/>
      <c r="P458" s="20"/>
      <c r="Q458" s="20"/>
      <c r="R458" s="20"/>
      <c r="S458" s="20"/>
      <c r="T458" s="20"/>
      <c r="U458" s="20"/>
      <c r="V458" s="20"/>
      <c r="W458" s="20"/>
      <c r="X458" s="20"/>
      <c r="Y458" s="20"/>
      <c r="Z458" s="20"/>
    </row>
    <row r="459" spans="2:26" ht="17.25" customHeight="1">
      <c r="B459" s="15"/>
      <c r="C459" s="15"/>
      <c r="D459" s="37"/>
      <c r="E459" s="58"/>
      <c r="F459" s="58"/>
      <c r="G459" s="58"/>
      <c r="H459" s="58"/>
      <c r="I459" s="58"/>
      <c r="J459" s="58"/>
      <c r="K459" s="31"/>
      <c r="L459" s="20"/>
      <c r="M459" s="20"/>
      <c r="N459" s="20"/>
      <c r="O459" s="20"/>
      <c r="P459" s="20"/>
      <c r="Q459" s="20"/>
      <c r="R459" s="20"/>
      <c r="S459" s="20"/>
      <c r="T459" s="20"/>
      <c r="U459" s="20"/>
      <c r="V459" s="20"/>
      <c r="W459" s="20"/>
      <c r="X459" s="20"/>
      <c r="Y459" s="20"/>
      <c r="Z459" s="20"/>
    </row>
    <row r="460" spans="2:26" ht="17.25" customHeight="1">
      <c r="B460" s="15"/>
      <c r="C460" s="15"/>
      <c r="D460" s="37"/>
      <c r="E460" s="58"/>
      <c r="F460" s="58"/>
      <c r="G460" s="58"/>
      <c r="H460" s="58"/>
      <c r="I460" s="58"/>
      <c r="J460" s="58"/>
      <c r="K460" s="31"/>
      <c r="L460" s="20"/>
      <c r="M460" s="20"/>
      <c r="N460" s="20"/>
      <c r="O460" s="20"/>
      <c r="P460" s="20"/>
      <c r="Q460" s="20"/>
      <c r="R460" s="20"/>
      <c r="S460" s="20"/>
      <c r="T460" s="20"/>
      <c r="U460" s="20"/>
      <c r="V460" s="20"/>
      <c r="W460" s="20"/>
      <c r="X460" s="20"/>
      <c r="Y460" s="20"/>
      <c r="Z460" s="20"/>
    </row>
    <row r="461" spans="2:26" ht="17.25" customHeight="1">
      <c r="B461" s="15"/>
      <c r="C461" s="15"/>
      <c r="D461" s="37"/>
      <c r="E461" s="58"/>
      <c r="F461" s="58"/>
      <c r="G461" s="58"/>
      <c r="H461" s="58"/>
      <c r="I461" s="58"/>
      <c r="J461" s="58"/>
      <c r="K461" s="31"/>
      <c r="L461" s="20"/>
      <c r="M461" s="20"/>
      <c r="N461" s="20"/>
      <c r="O461" s="20"/>
      <c r="P461" s="20"/>
      <c r="Q461" s="20"/>
      <c r="R461" s="20"/>
      <c r="S461" s="20"/>
      <c r="T461" s="20"/>
      <c r="U461" s="20"/>
      <c r="V461" s="20"/>
      <c r="W461" s="20"/>
      <c r="X461" s="20"/>
      <c r="Y461" s="20"/>
      <c r="Z461" s="20"/>
    </row>
    <row r="462" spans="2:26" ht="17.25" customHeight="1">
      <c r="B462" s="15"/>
      <c r="C462" s="15"/>
      <c r="D462" s="37"/>
      <c r="E462" s="58"/>
      <c r="F462" s="58"/>
      <c r="G462" s="58"/>
      <c r="H462" s="58"/>
      <c r="I462" s="58"/>
      <c r="J462" s="58"/>
      <c r="K462" s="31"/>
      <c r="L462" s="20"/>
      <c r="M462" s="20"/>
      <c r="N462" s="20"/>
      <c r="O462" s="20"/>
      <c r="P462" s="20"/>
      <c r="Q462" s="20"/>
      <c r="R462" s="20"/>
      <c r="S462" s="20"/>
      <c r="T462" s="20"/>
      <c r="U462" s="20"/>
      <c r="V462" s="20"/>
      <c r="W462" s="20"/>
      <c r="X462" s="20"/>
      <c r="Y462" s="20"/>
      <c r="Z462" s="20"/>
    </row>
    <row r="463" spans="2:26" ht="17.25" customHeight="1">
      <c r="B463" s="15"/>
      <c r="C463" s="15"/>
      <c r="D463" s="37"/>
      <c r="E463" s="58"/>
      <c r="F463" s="58"/>
      <c r="G463" s="58"/>
      <c r="H463" s="58"/>
      <c r="I463" s="58"/>
      <c r="J463" s="58"/>
      <c r="K463" s="31"/>
      <c r="L463" s="20"/>
      <c r="M463" s="20"/>
      <c r="N463" s="20"/>
      <c r="O463" s="20"/>
      <c r="P463" s="20"/>
      <c r="Q463" s="20"/>
      <c r="R463" s="20"/>
      <c r="S463" s="20"/>
      <c r="T463" s="20"/>
      <c r="U463" s="20"/>
      <c r="V463" s="20"/>
      <c r="W463" s="20"/>
      <c r="X463" s="20"/>
      <c r="Y463" s="20"/>
      <c r="Z463" s="20"/>
    </row>
    <row r="464" spans="2:26" ht="17.25" customHeight="1">
      <c r="B464" s="15"/>
      <c r="C464" s="15"/>
      <c r="D464" s="37"/>
      <c r="E464" s="58"/>
      <c r="F464" s="58"/>
      <c r="G464" s="58"/>
      <c r="H464" s="58"/>
      <c r="I464" s="58"/>
      <c r="J464" s="58"/>
      <c r="K464" s="31"/>
      <c r="L464" s="20"/>
      <c r="M464" s="20"/>
      <c r="N464" s="20"/>
      <c r="O464" s="20"/>
      <c r="P464" s="20"/>
      <c r="Q464" s="20"/>
      <c r="R464" s="20"/>
      <c r="S464" s="20"/>
      <c r="T464" s="20"/>
      <c r="U464" s="20"/>
      <c r="V464" s="20"/>
      <c r="W464" s="20"/>
      <c r="X464" s="20"/>
      <c r="Y464" s="20"/>
      <c r="Z464" s="20"/>
    </row>
    <row r="465" spans="2:26" ht="17.25" customHeight="1">
      <c r="B465" s="15"/>
      <c r="C465" s="15"/>
      <c r="D465" s="37"/>
      <c r="E465" s="58"/>
      <c r="F465" s="58"/>
      <c r="G465" s="58"/>
      <c r="H465" s="58"/>
      <c r="I465" s="58"/>
      <c r="J465" s="58"/>
      <c r="K465" s="31"/>
      <c r="L465" s="20"/>
      <c r="M465" s="20"/>
      <c r="N465" s="20"/>
      <c r="O465" s="20"/>
      <c r="P465" s="20"/>
      <c r="Q465" s="20"/>
      <c r="R465" s="20"/>
      <c r="S465" s="20"/>
      <c r="T465" s="20"/>
      <c r="U465" s="20"/>
      <c r="V465" s="20"/>
      <c r="W465" s="20"/>
      <c r="X465" s="20"/>
      <c r="Y465" s="20"/>
      <c r="Z465" s="20"/>
    </row>
    <row r="466" spans="2:26" ht="17.25" customHeight="1">
      <c r="B466" s="15"/>
      <c r="C466" s="15"/>
      <c r="D466" s="37"/>
      <c r="E466" s="58"/>
      <c r="F466" s="58"/>
      <c r="G466" s="58"/>
      <c r="H466" s="58"/>
      <c r="I466" s="58"/>
      <c r="J466" s="58"/>
      <c r="K466" s="31"/>
      <c r="L466" s="20"/>
      <c r="M466" s="20"/>
      <c r="N466" s="20"/>
      <c r="O466" s="20"/>
      <c r="P466" s="20"/>
      <c r="Q466" s="20"/>
      <c r="R466" s="20"/>
      <c r="S466" s="20"/>
      <c r="T466" s="20"/>
      <c r="U466" s="20"/>
      <c r="V466" s="20"/>
      <c r="W466" s="20"/>
      <c r="X466" s="20"/>
      <c r="Y466" s="20"/>
      <c r="Z466" s="20"/>
    </row>
    <row r="467" spans="2:26" ht="17.25" customHeight="1">
      <c r="B467" s="15"/>
      <c r="C467" s="15"/>
      <c r="D467" s="37"/>
      <c r="E467" s="58"/>
      <c r="F467" s="58"/>
      <c r="G467" s="58"/>
      <c r="H467" s="58"/>
      <c r="I467" s="58"/>
      <c r="J467" s="58"/>
      <c r="K467" s="31"/>
      <c r="L467" s="20"/>
      <c r="M467" s="20"/>
      <c r="N467" s="20"/>
      <c r="O467" s="20"/>
      <c r="P467" s="20"/>
      <c r="Q467" s="20"/>
      <c r="R467" s="20"/>
      <c r="S467" s="20"/>
      <c r="T467" s="20"/>
      <c r="U467" s="20"/>
      <c r="V467" s="20"/>
      <c r="W467" s="20"/>
      <c r="X467" s="20"/>
      <c r="Y467" s="20"/>
      <c r="Z467" s="20"/>
    </row>
    <row r="468" spans="2:26" ht="17.25" customHeight="1">
      <c r="B468" s="15"/>
      <c r="C468" s="15"/>
      <c r="D468" s="37"/>
      <c r="E468" s="58"/>
      <c r="F468" s="58"/>
      <c r="G468" s="58"/>
      <c r="H468" s="58"/>
      <c r="I468" s="58"/>
      <c r="J468" s="58"/>
      <c r="K468" s="31"/>
      <c r="L468" s="20"/>
      <c r="M468" s="20"/>
      <c r="N468" s="20"/>
      <c r="O468" s="20"/>
      <c r="P468" s="20"/>
      <c r="Q468" s="20"/>
      <c r="R468" s="20"/>
      <c r="S468" s="20"/>
      <c r="T468" s="20"/>
      <c r="U468" s="20"/>
      <c r="V468" s="20"/>
      <c r="W468" s="20"/>
      <c r="X468" s="20"/>
      <c r="Y468" s="20"/>
      <c r="Z468" s="20"/>
    </row>
    <row r="469" spans="2:26" ht="17.25" customHeight="1">
      <c r="B469" s="15"/>
      <c r="C469" s="15"/>
      <c r="D469" s="37"/>
      <c r="E469" s="58"/>
      <c r="F469" s="58"/>
      <c r="G469" s="58"/>
      <c r="H469" s="58"/>
      <c r="I469" s="58"/>
      <c r="J469" s="58"/>
      <c r="K469" s="31"/>
      <c r="L469" s="20"/>
      <c r="M469" s="20"/>
      <c r="N469" s="20"/>
      <c r="O469" s="20"/>
      <c r="P469" s="20"/>
      <c r="Q469" s="20"/>
      <c r="R469" s="20"/>
      <c r="S469" s="20"/>
      <c r="T469" s="20"/>
      <c r="U469" s="20"/>
      <c r="V469" s="20"/>
      <c r="W469" s="20"/>
      <c r="X469" s="20"/>
      <c r="Y469" s="20"/>
      <c r="Z469" s="20"/>
    </row>
    <row r="470" spans="2:26" ht="17.25" customHeight="1">
      <c r="B470" s="15"/>
      <c r="C470" s="15"/>
      <c r="D470" s="37"/>
      <c r="E470" s="58"/>
      <c r="F470" s="58"/>
      <c r="G470" s="58"/>
      <c r="H470" s="58"/>
      <c r="I470" s="58"/>
      <c r="J470" s="58"/>
      <c r="K470" s="31"/>
      <c r="L470" s="20"/>
      <c r="M470" s="20"/>
      <c r="N470" s="20"/>
      <c r="O470" s="20"/>
      <c r="P470" s="20"/>
      <c r="Q470" s="20"/>
      <c r="R470" s="20"/>
      <c r="S470" s="20"/>
      <c r="T470" s="20"/>
      <c r="U470" s="20"/>
      <c r="V470" s="20"/>
      <c r="W470" s="20"/>
      <c r="X470" s="20"/>
      <c r="Y470" s="20"/>
      <c r="Z470" s="20"/>
    </row>
    <row r="471" spans="2:26" ht="17.25" customHeight="1">
      <c r="B471" s="15"/>
      <c r="C471" s="15"/>
      <c r="D471" s="37"/>
      <c r="E471" s="58"/>
      <c r="F471" s="58"/>
      <c r="G471" s="58"/>
      <c r="H471" s="58"/>
      <c r="I471" s="58"/>
      <c r="J471" s="58"/>
      <c r="K471" s="31"/>
      <c r="L471" s="20"/>
      <c r="M471" s="20"/>
      <c r="N471" s="20"/>
      <c r="O471" s="20"/>
      <c r="P471" s="20"/>
      <c r="Q471" s="20"/>
      <c r="R471" s="20"/>
      <c r="S471" s="20"/>
      <c r="T471" s="20"/>
      <c r="U471" s="20"/>
      <c r="V471" s="20"/>
      <c r="W471" s="20"/>
      <c r="X471" s="20"/>
      <c r="Y471" s="20"/>
      <c r="Z471" s="20"/>
    </row>
    <row r="472" spans="2:26" ht="17.25" customHeight="1">
      <c r="B472" s="15"/>
      <c r="C472" s="15"/>
      <c r="D472" s="37"/>
      <c r="E472" s="58"/>
      <c r="F472" s="58"/>
      <c r="G472" s="58"/>
      <c r="H472" s="58"/>
      <c r="I472" s="58"/>
      <c r="J472" s="58"/>
      <c r="K472" s="31"/>
      <c r="L472" s="20"/>
      <c r="M472" s="20"/>
      <c r="N472" s="20"/>
      <c r="O472" s="20"/>
      <c r="P472" s="20"/>
      <c r="Q472" s="20"/>
      <c r="R472" s="20"/>
      <c r="S472" s="20"/>
      <c r="T472" s="20"/>
      <c r="U472" s="20"/>
      <c r="V472" s="20"/>
      <c r="W472" s="20"/>
      <c r="X472" s="20"/>
      <c r="Y472" s="20"/>
      <c r="Z472" s="20"/>
    </row>
    <row r="473" spans="2:26" ht="17.25" customHeight="1">
      <c r="B473" s="15"/>
      <c r="C473" s="15"/>
      <c r="D473" s="37"/>
      <c r="E473" s="58"/>
      <c r="F473" s="58"/>
      <c r="G473" s="58"/>
      <c r="H473" s="58"/>
      <c r="I473" s="58"/>
      <c r="J473" s="58"/>
      <c r="K473" s="31"/>
      <c r="L473" s="20"/>
      <c r="M473" s="20"/>
      <c r="N473" s="20"/>
      <c r="O473" s="20"/>
      <c r="P473" s="20"/>
      <c r="Q473" s="20"/>
      <c r="R473" s="20"/>
      <c r="S473" s="20"/>
      <c r="T473" s="20"/>
      <c r="U473" s="20"/>
      <c r="V473" s="20"/>
      <c r="W473" s="20"/>
      <c r="X473" s="20"/>
      <c r="Y473" s="20"/>
      <c r="Z473" s="20"/>
    </row>
    <row r="474" spans="2:26" ht="17.25" customHeight="1">
      <c r="B474" s="15"/>
      <c r="C474" s="15"/>
      <c r="D474" s="37"/>
      <c r="E474" s="58"/>
      <c r="F474" s="58"/>
      <c r="G474" s="58"/>
      <c r="H474" s="58"/>
      <c r="I474" s="58"/>
      <c r="J474" s="58"/>
      <c r="K474" s="31"/>
      <c r="L474" s="20"/>
      <c r="M474" s="20"/>
      <c r="N474" s="20"/>
      <c r="O474" s="20"/>
      <c r="P474" s="20"/>
      <c r="Q474" s="20"/>
      <c r="R474" s="20"/>
      <c r="S474" s="20"/>
      <c r="T474" s="20"/>
      <c r="U474" s="20"/>
      <c r="V474" s="20"/>
      <c r="W474" s="20"/>
      <c r="X474" s="20"/>
      <c r="Y474" s="20"/>
      <c r="Z474" s="20"/>
    </row>
    <row r="475" spans="2:26" ht="17.25" customHeight="1">
      <c r="B475" s="15"/>
      <c r="C475" s="15"/>
      <c r="D475" s="37"/>
      <c r="E475" s="58"/>
      <c r="F475" s="58"/>
      <c r="G475" s="58"/>
      <c r="H475" s="58"/>
      <c r="I475" s="58"/>
      <c r="J475" s="58"/>
      <c r="K475" s="31"/>
      <c r="L475" s="20"/>
      <c r="M475" s="20"/>
      <c r="N475" s="20"/>
      <c r="O475" s="20"/>
      <c r="P475" s="20"/>
      <c r="Q475" s="20"/>
      <c r="R475" s="20"/>
      <c r="S475" s="20"/>
      <c r="T475" s="20"/>
      <c r="U475" s="20"/>
      <c r="V475" s="20"/>
      <c r="W475" s="20"/>
      <c r="X475" s="20"/>
      <c r="Y475" s="20"/>
      <c r="Z475" s="20"/>
    </row>
    <row r="476" spans="2:26" ht="17.25" customHeight="1">
      <c r="B476" s="15"/>
      <c r="C476" s="15"/>
      <c r="D476" s="37"/>
      <c r="E476" s="58"/>
      <c r="F476" s="58"/>
      <c r="G476" s="58"/>
      <c r="H476" s="58"/>
      <c r="I476" s="58"/>
      <c r="J476" s="58"/>
      <c r="K476" s="31"/>
      <c r="L476" s="20"/>
      <c r="M476" s="20"/>
      <c r="N476" s="20"/>
      <c r="O476" s="20"/>
      <c r="P476" s="20"/>
      <c r="Q476" s="20"/>
      <c r="R476" s="20"/>
      <c r="S476" s="20"/>
      <c r="T476" s="20"/>
      <c r="U476" s="20"/>
      <c r="V476" s="20"/>
      <c r="W476" s="20"/>
      <c r="X476" s="20"/>
      <c r="Y476" s="20"/>
      <c r="Z476" s="20"/>
    </row>
    <row r="477" spans="2:26" ht="17.25" customHeight="1">
      <c r="B477" s="15"/>
      <c r="C477" s="15"/>
      <c r="D477" s="37"/>
      <c r="E477" s="58"/>
      <c r="F477" s="58"/>
      <c r="G477" s="58"/>
      <c r="H477" s="58"/>
      <c r="I477" s="58"/>
      <c r="J477" s="58"/>
      <c r="K477" s="31"/>
      <c r="L477" s="20"/>
      <c r="M477" s="20"/>
      <c r="N477" s="20"/>
      <c r="O477" s="20"/>
      <c r="P477" s="20"/>
      <c r="Q477" s="20"/>
      <c r="R477" s="20"/>
      <c r="S477" s="20"/>
      <c r="T477" s="20"/>
      <c r="U477" s="20"/>
      <c r="V477" s="20"/>
      <c r="W477" s="20"/>
      <c r="X477" s="20"/>
      <c r="Y477" s="20"/>
      <c r="Z477" s="20"/>
    </row>
    <row r="478" spans="2:26" ht="17.25" customHeight="1">
      <c r="B478" s="15"/>
      <c r="C478" s="15"/>
      <c r="D478" s="37"/>
      <c r="E478" s="58"/>
      <c r="F478" s="58"/>
      <c r="G478" s="58"/>
      <c r="H478" s="58"/>
      <c r="I478" s="58"/>
      <c r="J478" s="58"/>
      <c r="K478" s="31"/>
      <c r="L478" s="20"/>
      <c r="M478" s="20"/>
      <c r="N478" s="20"/>
      <c r="O478" s="20"/>
      <c r="P478" s="20"/>
      <c r="Q478" s="20"/>
      <c r="R478" s="20"/>
      <c r="S478" s="20"/>
      <c r="T478" s="20"/>
      <c r="U478" s="20"/>
      <c r="V478" s="20"/>
      <c r="W478" s="20"/>
      <c r="X478" s="20"/>
      <c r="Y478" s="20"/>
      <c r="Z478" s="20"/>
    </row>
    <row r="479" spans="2:26" ht="17.25" customHeight="1">
      <c r="B479" s="15"/>
      <c r="C479" s="15"/>
      <c r="D479" s="37"/>
      <c r="E479" s="58"/>
      <c r="F479" s="58"/>
      <c r="G479" s="58"/>
      <c r="H479" s="58"/>
      <c r="I479" s="58"/>
      <c r="J479" s="58"/>
      <c r="K479" s="31"/>
      <c r="L479" s="20"/>
      <c r="M479" s="20"/>
      <c r="N479" s="20"/>
      <c r="O479" s="20"/>
      <c r="P479" s="20"/>
      <c r="Q479" s="20"/>
      <c r="R479" s="20"/>
      <c r="S479" s="20"/>
      <c r="T479" s="20"/>
      <c r="U479" s="20"/>
      <c r="V479" s="20"/>
      <c r="W479" s="20"/>
      <c r="X479" s="20"/>
      <c r="Y479" s="20"/>
      <c r="Z479" s="20"/>
    </row>
    <row r="480" spans="2:26" ht="17.25" customHeight="1">
      <c r="B480" s="15"/>
      <c r="C480" s="15"/>
      <c r="D480" s="37"/>
      <c r="E480" s="58"/>
      <c r="F480" s="58"/>
      <c r="G480" s="58"/>
      <c r="H480" s="58"/>
      <c r="I480" s="58"/>
      <c r="J480" s="58"/>
      <c r="K480" s="31"/>
      <c r="L480" s="20"/>
      <c r="M480" s="20"/>
      <c r="N480" s="20"/>
      <c r="O480" s="20"/>
      <c r="P480" s="20"/>
      <c r="Q480" s="20"/>
      <c r="R480" s="20"/>
      <c r="S480" s="20"/>
      <c r="T480" s="20"/>
      <c r="U480" s="20"/>
      <c r="V480" s="20"/>
      <c r="W480" s="20"/>
      <c r="X480" s="20"/>
      <c r="Y480" s="20"/>
      <c r="Z480" s="20"/>
    </row>
    <row r="481" spans="2:26" ht="17.25" customHeight="1">
      <c r="B481" s="15"/>
      <c r="C481" s="15"/>
      <c r="D481" s="37"/>
      <c r="E481" s="58"/>
      <c r="F481" s="58"/>
      <c r="G481" s="58"/>
      <c r="H481" s="58"/>
      <c r="I481" s="58"/>
      <c r="J481" s="58"/>
      <c r="K481" s="31"/>
      <c r="L481" s="20"/>
      <c r="M481" s="20"/>
      <c r="N481" s="20"/>
      <c r="O481" s="20"/>
      <c r="P481" s="20"/>
      <c r="Q481" s="20"/>
      <c r="R481" s="20"/>
      <c r="S481" s="20"/>
      <c r="T481" s="20"/>
      <c r="U481" s="20"/>
      <c r="V481" s="20"/>
      <c r="W481" s="20"/>
      <c r="X481" s="20"/>
      <c r="Y481" s="20"/>
      <c r="Z481" s="20"/>
    </row>
    <row r="482" spans="2:26" ht="17.25" customHeight="1">
      <c r="B482" s="15"/>
      <c r="C482" s="15"/>
      <c r="D482" s="37"/>
      <c r="E482" s="58"/>
      <c r="F482" s="58"/>
      <c r="G482" s="58"/>
      <c r="H482" s="58"/>
      <c r="I482" s="58"/>
      <c r="J482" s="58"/>
      <c r="K482" s="31"/>
      <c r="L482" s="20"/>
      <c r="M482" s="20"/>
      <c r="N482" s="20"/>
      <c r="O482" s="20"/>
      <c r="P482" s="20"/>
      <c r="Q482" s="20"/>
      <c r="R482" s="20"/>
      <c r="S482" s="20"/>
      <c r="T482" s="20"/>
      <c r="U482" s="20"/>
      <c r="V482" s="20"/>
      <c r="W482" s="20"/>
      <c r="X482" s="20"/>
      <c r="Y482" s="20"/>
      <c r="Z482" s="20"/>
    </row>
    <row r="483" spans="2:26" ht="17.25" customHeight="1">
      <c r="B483" s="15"/>
      <c r="C483" s="15"/>
      <c r="D483" s="37"/>
      <c r="E483" s="58"/>
      <c r="F483" s="58"/>
      <c r="G483" s="58"/>
      <c r="H483" s="58"/>
      <c r="I483" s="58"/>
      <c r="J483" s="58"/>
      <c r="K483" s="31"/>
      <c r="L483" s="20"/>
      <c r="M483" s="20"/>
      <c r="N483" s="20"/>
      <c r="O483" s="20"/>
      <c r="P483" s="20"/>
      <c r="Q483" s="20"/>
      <c r="R483" s="20"/>
      <c r="S483" s="20"/>
      <c r="T483" s="20"/>
      <c r="U483" s="20"/>
      <c r="V483" s="20"/>
      <c r="W483" s="20"/>
      <c r="X483" s="20"/>
      <c r="Y483" s="20"/>
      <c r="Z483" s="20"/>
    </row>
    <row r="484" spans="2:26" ht="17.25" customHeight="1">
      <c r="B484" s="15"/>
      <c r="C484" s="15"/>
      <c r="D484" s="37"/>
      <c r="E484" s="58"/>
      <c r="F484" s="58"/>
      <c r="G484" s="58"/>
      <c r="H484" s="58"/>
      <c r="I484" s="58"/>
      <c r="J484" s="58"/>
      <c r="K484" s="31"/>
      <c r="L484" s="20"/>
      <c r="M484" s="20"/>
      <c r="N484" s="20"/>
      <c r="O484" s="20"/>
      <c r="P484" s="20"/>
      <c r="Q484" s="20"/>
      <c r="R484" s="20"/>
      <c r="S484" s="20"/>
      <c r="T484" s="20"/>
      <c r="U484" s="20"/>
      <c r="V484" s="20"/>
      <c r="W484" s="20"/>
      <c r="X484" s="20"/>
      <c r="Y484" s="20"/>
      <c r="Z484" s="20"/>
    </row>
    <row r="485" spans="2:26" ht="17.25" customHeight="1">
      <c r="B485" s="15"/>
      <c r="C485" s="15"/>
      <c r="D485" s="37"/>
      <c r="E485" s="58"/>
      <c r="F485" s="58"/>
      <c r="G485" s="58"/>
      <c r="H485" s="58"/>
      <c r="I485" s="58"/>
      <c r="J485" s="58"/>
      <c r="K485" s="31"/>
      <c r="L485" s="20"/>
      <c r="M485" s="20"/>
      <c r="N485" s="20"/>
      <c r="O485" s="20"/>
      <c r="P485" s="20"/>
      <c r="Q485" s="20"/>
      <c r="R485" s="20"/>
      <c r="S485" s="20"/>
      <c r="T485" s="20"/>
      <c r="U485" s="20"/>
      <c r="V485" s="20"/>
      <c r="W485" s="20"/>
      <c r="X485" s="20"/>
      <c r="Y485" s="20"/>
      <c r="Z485" s="20"/>
    </row>
    <row r="486" spans="2:26" ht="17.25" customHeight="1">
      <c r="B486" s="15"/>
      <c r="C486" s="15"/>
      <c r="D486" s="37"/>
      <c r="E486" s="58"/>
      <c r="F486" s="58"/>
      <c r="G486" s="58"/>
      <c r="H486" s="58"/>
      <c r="I486" s="58"/>
      <c r="J486" s="58"/>
      <c r="K486" s="31"/>
      <c r="L486" s="20"/>
      <c r="M486" s="20"/>
      <c r="N486" s="20"/>
      <c r="O486" s="20"/>
      <c r="P486" s="20"/>
      <c r="Q486" s="20"/>
      <c r="R486" s="20"/>
      <c r="S486" s="20"/>
      <c r="T486" s="20"/>
      <c r="U486" s="20"/>
      <c r="V486" s="20"/>
      <c r="W486" s="20"/>
      <c r="X486" s="20"/>
      <c r="Y486" s="20"/>
      <c r="Z486" s="20"/>
    </row>
    <row r="487" spans="2:26" ht="17.25" customHeight="1">
      <c r="B487" s="15"/>
      <c r="C487" s="15"/>
      <c r="D487" s="37"/>
      <c r="E487" s="58"/>
      <c r="F487" s="58"/>
      <c r="G487" s="58"/>
      <c r="H487" s="58"/>
      <c r="I487" s="58"/>
      <c r="J487" s="58"/>
      <c r="K487" s="31"/>
      <c r="L487" s="20"/>
      <c r="M487" s="20"/>
      <c r="N487" s="20"/>
      <c r="O487" s="20"/>
      <c r="P487" s="20"/>
      <c r="Q487" s="20"/>
      <c r="R487" s="20"/>
      <c r="S487" s="20"/>
      <c r="T487" s="20"/>
      <c r="U487" s="20"/>
      <c r="V487" s="20"/>
      <c r="W487" s="20"/>
      <c r="X487" s="20"/>
      <c r="Y487" s="20"/>
      <c r="Z487" s="20"/>
    </row>
    <row r="488" spans="2:26" ht="17.25" customHeight="1">
      <c r="B488" s="15"/>
      <c r="C488" s="15"/>
      <c r="D488" s="37"/>
      <c r="E488" s="58"/>
      <c r="F488" s="58"/>
      <c r="G488" s="58"/>
      <c r="H488" s="58"/>
      <c r="I488" s="58"/>
      <c r="J488" s="58"/>
      <c r="K488" s="31"/>
      <c r="L488" s="20"/>
      <c r="M488" s="20"/>
      <c r="N488" s="20"/>
      <c r="O488" s="20"/>
      <c r="P488" s="20"/>
      <c r="Q488" s="20"/>
      <c r="R488" s="20"/>
      <c r="S488" s="20"/>
      <c r="T488" s="20"/>
      <c r="U488" s="20"/>
      <c r="V488" s="20"/>
      <c r="W488" s="20"/>
      <c r="X488" s="20"/>
      <c r="Y488" s="20"/>
      <c r="Z488" s="20"/>
    </row>
    <row r="489" spans="2:26" ht="17.25" customHeight="1">
      <c r="B489" s="15"/>
      <c r="C489" s="15"/>
      <c r="D489" s="37"/>
      <c r="E489" s="58"/>
      <c r="F489" s="58"/>
      <c r="G489" s="58"/>
      <c r="H489" s="58"/>
      <c r="I489" s="58"/>
      <c r="J489" s="58"/>
      <c r="K489" s="31"/>
      <c r="L489" s="20"/>
      <c r="M489" s="20"/>
      <c r="N489" s="20"/>
      <c r="O489" s="20"/>
      <c r="P489" s="20"/>
      <c r="Q489" s="20"/>
      <c r="R489" s="20"/>
      <c r="S489" s="20"/>
      <c r="T489" s="20"/>
      <c r="U489" s="20"/>
      <c r="V489" s="20"/>
      <c r="W489" s="20"/>
      <c r="X489" s="20"/>
      <c r="Y489" s="20"/>
      <c r="Z489" s="20"/>
    </row>
    <row r="490" spans="2:26" ht="17.25" customHeight="1">
      <c r="B490" s="15"/>
      <c r="C490" s="15"/>
      <c r="D490" s="37"/>
      <c r="E490" s="58"/>
      <c r="F490" s="58"/>
      <c r="G490" s="58"/>
      <c r="H490" s="58"/>
      <c r="I490" s="58"/>
      <c r="J490" s="58"/>
      <c r="K490" s="31"/>
      <c r="L490" s="20"/>
      <c r="M490" s="20"/>
      <c r="N490" s="20"/>
      <c r="O490" s="20"/>
      <c r="P490" s="20"/>
      <c r="Q490" s="20"/>
      <c r="R490" s="20"/>
      <c r="S490" s="20"/>
      <c r="T490" s="20"/>
      <c r="U490" s="20"/>
      <c r="V490" s="20"/>
      <c r="W490" s="20"/>
      <c r="X490" s="20"/>
      <c r="Y490" s="20"/>
      <c r="Z490" s="20"/>
    </row>
    <row r="491" spans="2:26" ht="17.25" customHeight="1">
      <c r="B491" s="15"/>
      <c r="C491" s="15"/>
      <c r="D491" s="37"/>
      <c r="E491" s="58"/>
      <c r="F491" s="58"/>
      <c r="G491" s="58"/>
      <c r="H491" s="58"/>
      <c r="I491" s="58"/>
      <c r="J491" s="58"/>
      <c r="K491" s="31"/>
      <c r="L491" s="20"/>
      <c r="M491" s="20"/>
      <c r="N491" s="20"/>
      <c r="O491" s="20"/>
      <c r="P491" s="20"/>
      <c r="Q491" s="20"/>
      <c r="R491" s="20"/>
      <c r="S491" s="20"/>
      <c r="T491" s="20"/>
      <c r="U491" s="20"/>
      <c r="V491" s="20"/>
      <c r="W491" s="20"/>
      <c r="X491" s="20"/>
      <c r="Y491" s="20"/>
      <c r="Z491" s="20"/>
    </row>
    <row r="492" spans="2:26" ht="17.25" customHeight="1">
      <c r="B492" s="15"/>
      <c r="C492" s="15"/>
      <c r="D492" s="37"/>
      <c r="E492" s="58"/>
      <c r="F492" s="58"/>
      <c r="G492" s="58"/>
      <c r="H492" s="58"/>
      <c r="I492" s="58"/>
      <c r="J492" s="58"/>
      <c r="K492" s="31"/>
      <c r="L492" s="20"/>
      <c r="M492" s="20"/>
      <c r="N492" s="20"/>
      <c r="O492" s="20"/>
      <c r="P492" s="20"/>
      <c r="Q492" s="20"/>
      <c r="R492" s="20"/>
      <c r="S492" s="20"/>
      <c r="T492" s="20"/>
      <c r="U492" s="20"/>
      <c r="V492" s="20"/>
      <c r="W492" s="20"/>
      <c r="X492" s="20"/>
      <c r="Y492" s="20"/>
      <c r="Z492" s="20"/>
    </row>
    <row r="493" spans="2:26" ht="17.25" customHeight="1">
      <c r="B493" s="15"/>
      <c r="C493" s="15"/>
      <c r="D493" s="37"/>
      <c r="E493" s="58"/>
      <c r="F493" s="58"/>
      <c r="G493" s="58"/>
      <c r="H493" s="58"/>
      <c r="I493" s="58"/>
      <c r="J493" s="58"/>
      <c r="K493" s="31"/>
      <c r="L493" s="20"/>
      <c r="M493" s="20"/>
      <c r="N493" s="20"/>
      <c r="O493" s="20"/>
      <c r="P493" s="20"/>
      <c r="Q493" s="20"/>
      <c r="R493" s="20"/>
      <c r="S493" s="20"/>
      <c r="T493" s="20"/>
      <c r="U493" s="20"/>
      <c r="V493" s="20"/>
      <c r="W493" s="20"/>
      <c r="X493" s="20"/>
      <c r="Y493" s="20"/>
      <c r="Z493" s="20"/>
    </row>
    <row r="494" spans="2:26" ht="17.25" customHeight="1">
      <c r="B494" s="15"/>
      <c r="C494" s="15"/>
      <c r="D494" s="37"/>
      <c r="E494" s="58"/>
      <c r="F494" s="58"/>
      <c r="G494" s="58"/>
      <c r="H494" s="58"/>
      <c r="I494" s="58"/>
      <c r="J494" s="58"/>
      <c r="K494" s="31"/>
      <c r="L494" s="20"/>
      <c r="M494" s="20"/>
      <c r="N494" s="20"/>
      <c r="O494" s="20"/>
      <c r="P494" s="20"/>
      <c r="Q494" s="20"/>
      <c r="R494" s="20"/>
      <c r="S494" s="20"/>
      <c r="T494" s="20"/>
      <c r="U494" s="20"/>
      <c r="V494" s="20"/>
      <c r="W494" s="20"/>
      <c r="X494" s="20"/>
      <c r="Y494" s="20"/>
      <c r="Z494" s="20"/>
    </row>
    <row r="495" spans="2:26" ht="17.25" customHeight="1">
      <c r="B495" s="15"/>
      <c r="C495" s="15"/>
      <c r="D495" s="37"/>
      <c r="E495" s="58"/>
      <c r="F495" s="58"/>
      <c r="G495" s="58"/>
      <c r="H495" s="58"/>
      <c r="I495" s="58"/>
      <c r="J495" s="58"/>
      <c r="K495" s="31"/>
      <c r="L495" s="20"/>
      <c r="M495" s="20"/>
      <c r="N495" s="20"/>
      <c r="O495" s="20"/>
      <c r="P495" s="20"/>
      <c r="Q495" s="20"/>
      <c r="R495" s="20"/>
      <c r="S495" s="20"/>
      <c r="T495" s="20"/>
      <c r="U495" s="20"/>
      <c r="V495" s="20"/>
      <c r="W495" s="20"/>
      <c r="X495" s="20"/>
      <c r="Y495" s="20"/>
      <c r="Z495" s="20"/>
    </row>
    <row r="496" spans="2:26" ht="17.25" customHeight="1">
      <c r="B496" s="15"/>
      <c r="C496" s="15"/>
      <c r="D496" s="37"/>
      <c r="E496" s="58"/>
      <c r="F496" s="58"/>
      <c r="G496" s="58"/>
      <c r="H496" s="58"/>
      <c r="I496" s="58"/>
      <c r="J496" s="58"/>
      <c r="K496" s="31"/>
      <c r="L496" s="20"/>
      <c r="M496" s="20"/>
      <c r="N496" s="20"/>
      <c r="O496" s="20"/>
      <c r="P496" s="20"/>
      <c r="Q496" s="20"/>
      <c r="R496" s="20"/>
      <c r="S496" s="20"/>
      <c r="T496" s="20"/>
      <c r="U496" s="20"/>
      <c r="V496" s="20"/>
      <c r="W496" s="20"/>
      <c r="X496" s="20"/>
      <c r="Y496" s="20"/>
      <c r="Z496" s="20"/>
    </row>
    <row r="497" spans="2:26" ht="17.25" customHeight="1">
      <c r="B497" s="15"/>
      <c r="C497" s="15"/>
      <c r="D497" s="37"/>
      <c r="E497" s="58"/>
      <c r="F497" s="58"/>
      <c r="G497" s="58"/>
      <c r="H497" s="58"/>
      <c r="I497" s="58"/>
      <c r="J497" s="58"/>
      <c r="K497" s="31"/>
      <c r="L497" s="20"/>
      <c r="M497" s="20"/>
      <c r="N497" s="20"/>
      <c r="O497" s="20"/>
      <c r="P497" s="20"/>
      <c r="Q497" s="20"/>
      <c r="R497" s="20"/>
      <c r="S497" s="20"/>
      <c r="T497" s="20"/>
      <c r="U497" s="20"/>
      <c r="V497" s="20"/>
      <c r="W497" s="20"/>
      <c r="X497" s="20"/>
      <c r="Y497" s="20"/>
      <c r="Z497" s="20"/>
    </row>
    <row r="498" spans="2:26" ht="17.25" customHeight="1">
      <c r="B498" s="15"/>
      <c r="C498" s="15"/>
      <c r="D498" s="37"/>
      <c r="E498" s="58"/>
      <c r="F498" s="58"/>
      <c r="G498" s="58"/>
      <c r="H498" s="58"/>
      <c r="I498" s="58"/>
      <c r="J498" s="58"/>
      <c r="K498" s="31"/>
      <c r="L498" s="20"/>
      <c r="M498" s="20"/>
      <c r="N498" s="20"/>
      <c r="O498" s="20"/>
      <c r="P498" s="20"/>
      <c r="Q498" s="20"/>
      <c r="R498" s="20"/>
      <c r="S498" s="20"/>
      <c r="T498" s="20"/>
      <c r="U498" s="20"/>
      <c r="V498" s="20"/>
      <c r="W498" s="20"/>
      <c r="X498" s="20"/>
      <c r="Y498" s="20"/>
      <c r="Z498" s="20"/>
    </row>
    <row r="499" spans="2:26" ht="17.25" customHeight="1">
      <c r="B499" s="15"/>
      <c r="C499" s="15"/>
      <c r="D499" s="37"/>
      <c r="E499" s="58"/>
      <c r="F499" s="58"/>
      <c r="G499" s="58"/>
      <c r="H499" s="58"/>
      <c r="I499" s="58"/>
      <c r="J499" s="58"/>
      <c r="K499" s="31"/>
      <c r="L499" s="20"/>
      <c r="M499" s="20"/>
      <c r="N499" s="20"/>
      <c r="O499" s="20"/>
      <c r="P499" s="20"/>
      <c r="Q499" s="20"/>
      <c r="R499" s="20"/>
      <c r="S499" s="20"/>
      <c r="T499" s="20"/>
      <c r="U499" s="20"/>
      <c r="V499" s="20"/>
      <c r="W499" s="20"/>
      <c r="X499" s="20"/>
      <c r="Y499" s="20"/>
      <c r="Z499" s="20"/>
    </row>
    <row r="500" spans="2:26" ht="17.25" customHeight="1">
      <c r="B500" s="15"/>
      <c r="C500" s="15"/>
      <c r="D500" s="37"/>
      <c r="E500" s="58"/>
      <c r="F500" s="58"/>
      <c r="G500" s="58"/>
      <c r="H500" s="58"/>
      <c r="I500" s="58"/>
      <c r="J500" s="58"/>
      <c r="K500" s="31"/>
      <c r="L500" s="20"/>
      <c r="M500" s="20"/>
      <c r="N500" s="20"/>
      <c r="O500" s="20"/>
      <c r="P500" s="20"/>
      <c r="Q500" s="20"/>
      <c r="R500" s="20"/>
      <c r="S500" s="20"/>
      <c r="T500" s="20"/>
      <c r="U500" s="20"/>
      <c r="V500" s="20"/>
      <c r="W500" s="20"/>
      <c r="X500" s="20"/>
      <c r="Y500" s="20"/>
      <c r="Z500" s="20"/>
    </row>
    <row r="501" spans="2:26" ht="17.25" customHeight="1">
      <c r="B501" s="15"/>
      <c r="C501" s="15"/>
      <c r="D501" s="37"/>
      <c r="E501" s="58"/>
      <c r="F501" s="58"/>
      <c r="G501" s="58"/>
      <c r="H501" s="58"/>
      <c r="I501" s="58"/>
      <c r="J501" s="58"/>
      <c r="K501" s="31"/>
      <c r="L501" s="20"/>
      <c r="M501" s="20"/>
      <c r="N501" s="20"/>
      <c r="O501" s="20"/>
      <c r="P501" s="20"/>
      <c r="Q501" s="20"/>
      <c r="R501" s="20"/>
      <c r="S501" s="20"/>
      <c r="T501" s="20"/>
      <c r="U501" s="20"/>
      <c r="V501" s="20"/>
      <c r="W501" s="20"/>
      <c r="X501" s="20"/>
      <c r="Y501" s="20"/>
      <c r="Z501" s="20"/>
    </row>
    <row r="502" spans="2:26" ht="17.25" customHeight="1">
      <c r="B502" s="15"/>
      <c r="C502" s="15"/>
      <c r="D502" s="37"/>
      <c r="E502" s="58"/>
      <c r="F502" s="58"/>
      <c r="G502" s="58"/>
      <c r="H502" s="58"/>
      <c r="I502" s="58"/>
      <c r="J502" s="58"/>
      <c r="K502" s="31"/>
      <c r="L502" s="20"/>
      <c r="M502" s="20"/>
      <c r="N502" s="20"/>
      <c r="O502" s="20"/>
      <c r="P502" s="20"/>
      <c r="Q502" s="20"/>
      <c r="R502" s="20"/>
      <c r="S502" s="20"/>
      <c r="T502" s="20"/>
      <c r="U502" s="20"/>
      <c r="V502" s="20"/>
      <c r="W502" s="20"/>
      <c r="X502" s="20"/>
      <c r="Y502" s="20"/>
      <c r="Z502" s="20"/>
    </row>
    <row r="503" spans="2:26" ht="17.25" customHeight="1">
      <c r="B503" s="15"/>
      <c r="C503" s="15"/>
      <c r="D503" s="37"/>
      <c r="E503" s="58"/>
      <c r="F503" s="58"/>
      <c r="G503" s="58"/>
      <c r="H503" s="58"/>
      <c r="I503" s="58"/>
      <c r="J503" s="58"/>
      <c r="K503" s="31"/>
      <c r="L503" s="20"/>
      <c r="M503" s="20"/>
      <c r="N503" s="20"/>
      <c r="O503" s="20"/>
      <c r="P503" s="20"/>
      <c r="Q503" s="20"/>
      <c r="R503" s="20"/>
      <c r="S503" s="20"/>
      <c r="T503" s="20"/>
      <c r="U503" s="20"/>
      <c r="V503" s="20"/>
      <c r="W503" s="20"/>
      <c r="X503" s="20"/>
      <c r="Y503" s="20"/>
      <c r="Z503" s="20"/>
    </row>
    <row r="504" spans="2:26" ht="17.25" customHeight="1">
      <c r="B504" s="15"/>
      <c r="C504" s="15"/>
      <c r="D504" s="37"/>
      <c r="E504" s="58"/>
      <c r="F504" s="58"/>
      <c r="G504" s="58"/>
      <c r="H504" s="58"/>
      <c r="I504" s="58"/>
      <c r="J504" s="58"/>
      <c r="K504" s="31"/>
      <c r="L504" s="20"/>
      <c r="M504" s="20"/>
      <c r="N504" s="20"/>
      <c r="O504" s="20"/>
      <c r="P504" s="20"/>
      <c r="Q504" s="20"/>
      <c r="R504" s="20"/>
      <c r="S504" s="20"/>
      <c r="T504" s="20"/>
      <c r="U504" s="20"/>
      <c r="V504" s="20"/>
      <c r="W504" s="20"/>
      <c r="X504" s="20"/>
      <c r="Y504" s="20"/>
      <c r="Z504" s="20"/>
    </row>
    <row r="505" spans="2:26" ht="17.25" customHeight="1">
      <c r="B505" s="15"/>
      <c r="C505" s="15"/>
      <c r="D505" s="37"/>
      <c r="E505" s="58"/>
      <c r="F505" s="58"/>
      <c r="G505" s="58"/>
      <c r="H505" s="58"/>
      <c r="I505" s="58"/>
      <c r="J505" s="58"/>
      <c r="K505" s="31"/>
      <c r="L505" s="20"/>
      <c r="M505" s="20"/>
      <c r="N505" s="20"/>
      <c r="O505" s="20"/>
      <c r="P505" s="20"/>
      <c r="Q505" s="20"/>
      <c r="R505" s="20"/>
      <c r="S505" s="20"/>
      <c r="T505" s="20"/>
      <c r="U505" s="20"/>
      <c r="V505" s="20"/>
      <c r="W505" s="20"/>
      <c r="X505" s="20"/>
      <c r="Y505" s="20"/>
      <c r="Z505" s="20"/>
    </row>
    <row r="506" spans="2:26" ht="17.25" customHeight="1">
      <c r="B506" s="15"/>
      <c r="C506" s="15"/>
      <c r="D506" s="37"/>
      <c r="E506" s="58"/>
      <c r="F506" s="58"/>
      <c r="G506" s="58"/>
      <c r="H506" s="58"/>
      <c r="I506" s="58"/>
      <c r="J506" s="58"/>
      <c r="K506" s="31"/>
      <c r="L506" s="20"/>
      <c r="M506" s="20"/>
      <c r="N506" s="20"/>
      <c r="O506" s="20"/>
      <c r="P506" s="20"/>
      <c r="Q506" s="20"/>
      <c r="R506" s="20"/>
      <c r="S506" s="20"/>
      <c r="T506" s="20"/>
      <c r="U506" s="20"/>
      <c r="V506" s="20"/>
      <c r="W506" s="20"/>
      <c r="X506" s="20"/>
      <c r="Y506" s="20"/>
      <c r="Z506" s="20"/>
    </row>
    <row r="507" spans="2:26" ht="17.25" customHeight="1">
      <c r="B507" s="15"/>
      <c r="C507" s="15"/>
      <c r="D507" s="37"/>
      <c r="E507" s="58"/>
      <c r="F507" s="58"/>
      <c r="G507" s="58"/>
      <c r="H507" s="58"/>
      <c r="I507" s="58"/>
      <c r="J507" s="58"/>
      <c r="K507" s="31"/>
      <c r="L507" s="20"/>
      <c r="M507" s="20"/>
      <c r="N507" s="20"/>
      <c r="O507" s="20"/>
      <c r="P507" s="20"/>
      <c r="Q507" s="20"/>
      <c r="R507" s="20"/>
      <c r="S507" s="20"/>
      <c r="T507" s="20"/>
      <c r="U507" s="20"/>
      <c r="V507" s="20"/>
      <c r="W507" s="20"/>
      <c r="X507" s="20"/>
      <c r="Y507" s="20"/>
      <c r="Z507" s="20"/>
    </row>
    <row r="508" spans="2:26" ht="17.25" customHeight="1">
      <c r="B508" s="15"/>
      <c r="C508" s="15"/>
      <c r="D508" s="37"/>
      <c r="E508" s="58"/>
      <c r="F508" s="58"/>
      <c r="G508" s="58"/>
      <c r="H508" s="58"/>
      <c r="I508" s="58"/>
      <c r="J508" s="58"/>
      <c r="K508" s="31"/>
      <c r="L508" s="20"/>
      <c r="M508" s="20"/>
      <c r="N508" s="20"/>
      <c r="O508" s="20"/>
      <c r="P508" s="20"/>
      <c r="Q508" s="20"/>
      <c r="R508" s="20"/>
      <c r="S508" s="20"/>
      <c r="T508" s="20"/>
      <c r="U508" s="20"/>
      <c r="V508" s="20"/>
      <c r="W508" s="20"/>
      <c r="X508" s="20"/>
      <c r="Y508" s="20"/>
      <c r="Z508" s="20"/>
    </row>
    <row r="509" spans="2:26" ht="17.25" customHeight="1">
      <c r="B509" s="15"/>
      <c r="C509" s="15"/>
      <c r="D509" s="37"/>
      <c r="E509" s="58"/>
      <c r="F509" s="58"/>
      <c r="G509" s="58"/>
      <c r="H509" s="58"/>
      <c r="I509" s="58"/>
      <c r="J509" s="58"/>
      <c r="K509" s="31"/>
      <c r="L509" s="20"/>
      <c r="M509" s="20"/>
      <c r="N509" s="20"/>
      <c r="O509" s="20"/>
      <c r="P509" s="20"/>
      <c r="Q509" s="20"/>
      <c r="R509" s="20"/>
      <c r="S509" s="20"/>
      <c r="T509" s="20"/>
      <c r="U509" s="20"/>
      <c r="V509" s="20"/>
      <c r="W509" s="20"/>
      <c r="X509" s="20"/>
      <c r="Y509" s="20"/>
      <c r="Z509" s="20"/>
    </row>
    <row r="510" spans="2:26" ht="17.25" customHeight="1">
      <c r="B510" s="15"/>
      <c r="C510" s="15"/>
      <c r="D510" s="37"/>
      <c r="E510" s="58"/>
      <c r="F510" s="58"/>
      <c r="G510" s="58"/>
      <c r="H510" s="58"/>
      <c r="I510" s="58"/>
      <c r="J510" s="58"/>
      <c r="K510" s="31"/>
      <c r="L510" s="20"/>
      <c r="M510" s="20"/>
      <c r="N510" s="20"/>
      <c r="O510" s="20"/>
      <c r="P510" s="20"/>
      <c r="Q510" s="20"/>
      <c r="R510" s="20"/>
      <c r="S510" s="20"/>
      <c r="T510" s="20"/>
      <c r="U510" s="20"/>
      <c r="V510" s="20"/>
      <c r="W510" s="20"/>
      <c r="X510" s="20"/>
      <c r="Y510" s="20"/>
      <c r="Z510" s="20"/>
    </row>
    <row r="511" spans="2:26" ht="17.25" customHeight="1">
      <c r="B511" s="15"/>
      <c r="C511" s="15"/>
      <c r="D511" s="37"/>
      <c r="E511" s="58"/>
      <c r="F511" s="58"/>
      <c r="G511" s="58"/>
      <c r="H511" s="58"/>
      <c r="I511" s="58"/>
      <c r="J511" s="58"/>
      <c r="K511" s="31"/>
      <c r="L511" s="20"/>
      <c r="M511" s="20"/>
      <c r="N511" s="20"/>
      <c r="O511" s="20"/>
      <c r="P511" s="20"/>
      <c r="Q511" s="20"/>
      <c r="R511" s="20"/>
      <c r="S511" s="20"/>
      <c r="T511" s="20"/>
      <c r="U511" s="20"/>
      <c r="V511" s="20"/>
      <c r="W511" s="20"/>
      <c r="X511" s="20"/>
      <c r="Y511" s="20"/>
      <c r="Z511" s="20"/>
    </row>
    <row r="512" spans="2:26" ht="17.25" customHeight="1">
      <c r="B512" s="15"/>
      <c r="C512" s="15"/>
      <c r="D512" s="37"/>
      <c r="E512" s="58"/>
      <c r="F512" s="58"/>
      <c r="G512" s="58"/>
      <c r="H512" s="58"/>
      <c r="I512" s="58"/>
      <c r="J512" s="58"/>
      <c r="K512" s="31"/>
      <c r="L512" s="20"/>
      <c r="M512" s="20"/>
      <c r="N512" s="20"/>
      <c r="O512" s="20"/>
      <c r="P512" s="20"/>
      <c r="Q512" s="20"/>
      <c r="R512" s="20"/>
      <c r="S512" s="20"/>
      <c r="T512" s="20"/>
      <c r="U512" s="20"/>
      <c r="V512" s="20"/>
      <c r="W512" s="20"/>
      <c r="X512" s="20"/>
      <c r="Y512" s="20"/>
      <c r="Z512" s="20"/>
    </row>
    <row r="513" spans="2:26" ht="17.25" customHeight="1">
      <c r="B513" s="15"/>
      <c r="C513" s="15"/>
      <c r="D513" s="37"/>
      <c r="E513" s="58"/>
      <c r="F513" s="58"/>
      <c r="G513" s="58"/>
      <c r="H513" s="58"/>
      <c r="I513" s="58"/>
      <c r="J513" s="58"/>
      <c r="K513" s="31"/>
      <c r="L513" s="20"/>
      <c r="M513" s="20"/>
      <c r="N513" s="20"/>
      <c r="O513" s="20"/>
      <c r="P513" s="20"/>
      <c r="Q513" s="20"/>
      <c r="R513" s="20"/>
      <c r="S513" s="20"/>
      <c r="T513" s="20"/>
      <c r="U513" s="20"/>
      <c r="V513" s="20"/>
      <c r="W513" s="20"/>
      <c r="X513" s="20"/>
      <c r="Y513" s="20"/>
      <c r="Z513" s="20"/>
    </row>
    <row r="514" spans="2:26" ht="17.25" customHeight="1">
      <c r="B514" s="15"/>
      <c r="C514" s="15"/>
      <c r="D514" s="37"/>
      <c r="E514" s="58"/>
      <c r="F514" s="58"/>
      <c r="G514" s="58"/>
      <c r="H514" s="58"/>
      <c r="I514" s="58"/>
      <c r="J514" s="58"/>
      <c r="K514" s="31"/>
      <c r="L514" s="20"/>
      <c r="M514" s="20"/>
      <c r="N514" s="20"/>
      <c r="O514" s="20"/>
      <c r="P514" s="20"/>
      <c r="Q514" s="20"/>
      <c r="R514" s="20"/>
      <c r="S514" s="20"/>
      <c r="T514" s="20"/>
      <c r="U514" s="20"/>
      <c r="V514" s="20"/>
      <c r="W514" s="20"/>
      <c r="X514" s="20"/>
      <c r="Y514" s="20"/>
      <c r="Z514" s="20"/>
    </row>
    <row r="515" spans="2:26" ht="17.25" customHeight="1">
      <c r="B515" s="15"/>
      <c r="C515" s="15"/>
      <c r="D515" s="37"/>
      <c r="E515" s="58"/>
      <c r="F515" s="58"/>
      <c r="G515" s="58"/>
      <c r="H515" s="58"/>
      <c r="I515" s="58"/>
      <c r="J515" s="58"/>
      <c r="K515" s="31"/>
      <c r="L515" s="20"/>
      <c r="M515" s="20"/>
      <c r="N515" s="20"/>
      <c r="O515" s="20"/>
      <c r="P515" s="20"/>
      <c r="Q515" s="20"/>
      <c r="R515" s="20"/>
      <c r="S515" s="20"/>
      <c r="T515" s="20"/>
      <c r="U515" s="20"/>
      <c r="V515" s="20"/>
      <c r="W515" s="20"/>
      <c r="X515" s="20"/>
      <c r="Y515" s="20"/>
      <c r="Z515" s="20"/>
    </row>
    <row r="516" spans="2:26" ht="17.25" customHeight="1">
      <c r="B516" s="15"/>
      <c r="C516" s="15"/>
      <c r="D516" s="37"/>
      <c r="E516" s="58"/>
      <c r="F516" s="58"/>
      <c r="G516" s="58"/>
      <c r="H516" s="58"/>
      <c r="I516" s="58"/>
      <c r="J516" s="58"/>
      <c r="K516" s="31"/>
      <c r="L516" s="20"/>
      <c r="M516" s="20"/>
      <c r="N516" s="20"/>
      <c r="O516" s="20"/>
      <c r="P516" s="20"/>
      <c r="Q516" s="20"/>
      <c r="R516" s="20"/>
      <c r="S516" s="20"/>
      <c r="T516" s="20"/>
      <c r="U516" s="20"/>
      <c r="V516" s="20"/>
      <c r="W516" s="20"/>
      <c r="X516" s="20"/>
      <c r="Y516" s="20"/>
      <c r="Z516" s="20"/>
    </row>
    <row r="517" spans="2:26" ht="17.25" customHeight="1">
      <c r="B517" s="15"/>
      <c r="C517" s="15"/>
      <c r="D517" s="37"/>
      <c r="E517" s="58"/>
      <c r="F517" s="58"/>
      <c r="G517" s="58"/>
      <c r="H517" s="58"/>
      <c r="I517" s="58"/>
      <c r="J517" s="58"/>
      <c r="K517" s="31"/>
      <c r="L517" s="20"/>
      <c r="M517" s="20"/>
      <c r="N517" s="20"/>
      <c r="O517" s="20"/>
      <c r="P517" s="20"/>
      <c r="Q517" s="20"/>
      <c r="R517" s="20"/>
      <c r="S517" s="20"/>
      <c r="T517" s="20"/>
      <c r="U517" s="20"/>
      <c r="V517" s="20"/>
      <c r="W517" s="20"/>
      <c r="X517" s="20"/>
      <c r="Y517" s="20"/>
      <c r="Z517" s="20"/>
    </row>
    <row r="518" spans="2:26" ht="17.25" customHeight="1">
      <c r="B518" s="15"/>
      <c r="C518" s="15"/>
      <c r="D518" s="37"/>
      <c r="E518" s="58"/>
      <c r="F518" s="58"/>
      <c r="G518" s="58"/>
      <c r="H518" s="58"/>
      <c r="I518" s="58"/>
      <c r="J518" s="58"/>
      <c r="K518" s="31"/>
      <c r="L518" s="20"/>
      <c r="M518" s="20"/>
      <c r="N518" s="20"/>
      <c r="O518" s="20"/>
      <c r="P518" s="20"/>
      <c r="Q518" s="20"/>
      <c r="R518" s="20"/>
      <c r="S518" s="20"/>
      <c r="T518" s="20"/>
      <c r="U518" s="20"/>
      <c r="V518" s="20"/>
      <c r="W518" s="20"/>
      <c r="X518" s="20"/>
      <c r="Y518" s="20"/>
      <c r="Z518" s="20"/>
    </row>
    <row r="519" spans="2:26" ht="17.25" customHeight="1">
      <c r="B519" s="15"/>
      <c r="C519" s="15"/>
      <c r="D519" s="37"/>
      <c r="E519" s="58"/>
      <c r="F519" s="58"/>
      <c r="G519" s="58"/>
      <c r="H519" s="58"/>
      <c r="I519" s="58"/>
      <c r="J519" s="58"/>
      <c r="K519" s="31"/>
      <c r="L519" s="20"/>
      <c r="M519" s="20"/>
      <c r="N519" s="20"/>
      <c r="O519" s="20"/>
      <c r="P519" s="20"/>
      <c r="Q519" s="20"/>
      <c r="R519" s="20"/>
      <c r="S519" s="20"/>
      <c r="T519" s="20"/>
      <c r="U519" s="20"/>
      <c r="V519" s="20"/>
      <c r="W519" s="20"/>
      <c r="X519" s="20"/>
      <c r="Y519" s="20"/>
      <c r="Z519" s="20"/>
    </row>
    <row r="520" spans="2:26" ht="17.25" customHeight="1">
      <c r="B520" s="15"/>
      <c r="C520" s="15"/>
      <c r="D520" s="37"/>
      <c r="E520" s="58"/>
      <c r="F520" s="58"/>
      <c r="G520" s="58"/>
      <c r="H520" s="58"/>
      <c r="I520" s="58"/>
      <c r="J520" s="58"/>
      <c r="K520" s="31"/>
      <c r="L520" s="20"/>
      <c r="M520" s="20"/>
      <c r="N520" s="20"/>
      <c r="O520" s="20"/>
      <c r="P520" s="20"/>
      <c r="Q520" s="20"/>
      <c r="R520" s="20"/>
      <c r="S520" s="20"/>
      <c r="T520" s="20"/>
      <c r="U520" s="20"/>
      <c r="V520" s="20"/>
      <c r="W520" s="20"/>
      <c r="X520" s="20"/>
      <c r="Y520" s="20"/>
      <c r="Z520" s="20"/>
    </row>
    <row r="521" spans="2:26" ht="17.25" customHeight="1">
      <c r="B521" s="15"/>
      <c r="C521" s="15"/>
      <c r="D521" s="37"/>
      <c r="E521" s="58"/>
      <c r="F521" s="58"/>
      <c r="G521" s="58"/>
      <c r="H521" s="58"/>
      <c r="I521" s="58"/>
      <c r="J521" s="58"/>
      <c r="K521" s="31"/>
      <c r="L521" s="20"/>
      <c r="M521" s="20"/>
      <c r="N521" s="20"/>
      <c r="O521" s="20"/>
      <c r="P521" s="20"/>
      <c r="Q521" s="20"/>
      <c r="R521" s="20"/>
      <c r="S521" s="20"/>
      <c r="T521" s="20"/>
      <c r="U521" s="20"/>
      <c r="V521" s="20"/>
      <c r="W521" s="20"/>
      <c r="X521" s="20"/>
      <c r="Y521" s="20"/>
      <c r="Z521" s="20"/>
    </row>
    <row r="522" spans="2:26" ht="17.25" customHeight="1">
      <c r="B522" s="15"/>
      <c r="C522" s="15"/>
      <c r="D522" s="37"/>
      <c r="E522" s="58"/>
      <c r="F522" s="58"/>
      <c r="G522" s="58"/>
      <c r="H522" s="58"/>
      <c r="I522" s="58"/>
      <c r="J522" s="58"/>
      <c r="K522" s="31"/>
      <c r="L522" s="20"/>
      <c r="M522" s="20"/>
      <c r="N522" s="20"/>
      <c r="O522" s="20"/>
      <c r="P522" s="20"/>
      <c r="Q522" s="20"/>
      <c r="R522" s="20"/>
      <c r="S522" s="20"/>
      <c r="T522" s="20"/>
      <c r="U522" s="20"/>
      <c r="V522" s="20"/>
      <c r="W522" s="20"/>
      <c r="X522" s="20"/>
      <c r="Y522" s="20"/>
      <c r="Z522" s="20"/>
    </row>
    <row r="523" spans="2:26" ht="17.25" customHeight="1">
      <c r="B523" s="15"/>
      <c r="C523" s="15"/>
      <c r="D523" s="37"/>
      <c r="E523" s="58"/>
      <c r="F523" s="58"/>
      <c r="G523" s="58"/>
      <c r="H523" s="58"/>
      <c r="I523" s="58"/>
      <c r="J523" s="58"/>
      <c r="K523" s="31"/>
      <c r="L523" s="20"/>
      <c r="M523" s="20"/>
      <c r="N523" s="20"/>
      <c r="O523" s="20"/>
      <c r="P523" s="20"/>
      <c r="Q523" s="20"/>
      <c r="R523" s="20"/>
      <c r="S523" s="20"/>
      <c r="T523" s="20"/>
      <c r="U523" s="20"/>
      <c r="V523" s="20"/>
      <c r="W523" s="20"/>
      <c r="X523" s="20"/>
      <c r="Y523" s="20"/>
      <c r="Z523" s="20"/>
    </row>
    <row r="524" spans="2:26" ht="17.25" customHeight="1">
      <c r="B524" s="15"/>
      <c r="C524" s="15"/>
      <c r="D524" s="37"/>
      <c r="E524" s="58"/>
      <c r="F524" s="58"/>
      <c r="G524" s="58"/>
      <c r="H524" s="58"/>
      <c r="I524" s="58"/>
      <c r="J524" s="58"/>
      <c r="K524" s="31"/>
      <c r="L524" s="20"/>
      <c r="M524" s="20"/>
      <c r="N524" s="20"/>
      <c r="O524" s="20"/>
      <c r="P524" s="20"/>
      <c r="Q524" s="20"/>
      <c r="R524" s="20"/>
      <c r="S524" s="20"/>
      <c r="T524" s="20"/>
      <c r="U524" s="20"/>
      <c r="V524" s="20"/>
      <c r="W524" s="20"/>
      <c r="X524" s="20"/>
      <c r="Y524" s="20"/>
      <c r="Z524" s="20"/>
    </row>
    <row r="525" spans="2:26" ht="17.25" customHeight="1">
      <c r="B525" s="15"/>
      <c r="C525" s="15"/>
      <c r="D525" s="37"/>
      <c r="E525" s="58"/>
      <c r="F525" s="58"/>
      <c r="G525" s="58"/>
      <c r="H525" s="58"/>
      <c r="I525" s="58"/>
      <c r="J525" s="58"/>
      <c r="K525" s="31"/>
      <c r="L525" s="20"/>
      <c r="M525" s="20"/>
      <c r="N525" s="20"/>
      <c r="O525" s="20"/>
      <c r="P525" s="20"/>
      <c r="Q525" s="20"/>
      <c r="R525" s="20"/>
      <c r="S525" s="20"/>
      <c r="T525" s="20"/>
      <c r="U525" s="20"/>
      <c r="V525" s="20"/>
      <c r="W525" s="20"/>
      <c r="X525" s="20"/>
      <c r="Y525" s="20"/>
      <c r="Z525" s="20"/>
    </row>
    <row r="526" spans="2:26" ht="17.25" customHeight="1">
      <c r="B526" s="15"/>
      <c r="C526" s="15"/>
      <c r="D526" s="37"/>
      <c r="E526" s="58"/>
      <c r="F526" s="58"/>
      <c r="G526" s="58"/>
      <c r="H526" s="58"/>
      <c r="I526" s="58"/>
      <c r="J526" s="58"/>
      <c r="K526" s="31"/>
      <c r="L526" s="20"/>
      <c r="M526" s="20"/>
      <c r="N526" s="20"/>
      <c r="O526" s="20"/>
      <c r="P526" s="20"/>
      <c r="Q526" s="20"/>
      <c r="R526" s="20"/>
      <c r="S526" s="20"/>
      <c r="T526" s="20"/>
      <c r="U526" s="20"/>
      <c r="V526" s="20"/>
      <c r="W526" s="20"/>
      <c r="X526" s="20"/>
      <c r="Y526" s="20"/>
      <c r="Z526" s="20"/>
    </row>
    <row r="527" spans="2:26" ht="17.25" customHeight="1">
      <c r="B527" s="15"/>
      <c r="C527" s="15"/>
      <c r="D527" s="37"/>
      <c r="E527" s="58"/>
      <c r="F527" s="58"/>
      <c r="G527" s="58"/>
      <c r="H527" s="58"/>
      <c r="I527" s="58"/>
      <c r="J527" s="58"/>
      <c r="K527" s="31"/>
      <c r="L527" s="20"/>
      <c r="M527" s="20"/>
      <c r="N527" s="20"/>
      <c r="O527" s="20"/>
      <c r="P527" s="20"/>
      <c r="Q527" s="20"/>
      <c r="R527" s="20"/>
      <c r="S527" s="20"/>
      <c r="T527" s="20"/>
      <c r="U527" s="20"/>
      <c r="V527" s="20"/>
      <c r="W527" s="20"/>
      <c r="X527" s="20"/>
      <c r="Y527" s="20"/>
      <c r="Z527" s="20"/>
    </row>
    <row r="528" spans="2:26" ht="17.25" customHeight="1">
      <c r="B528" s="15"/>
      <c r="C528" s="15"/>
      <c r="D528" s="37"/>
      <c r="E528" s="58"/>
      <c r="F528" s="58"/>
      <c r="G528" s="58"/>
      <c r="H528" s="58"/>
      <c r="I528" s="58"/>
      <c r="J528" s="58"/>
      <c r="K528" s="31"/>
      <c r="L528" s="20"/>
      <c r="M528" s="20"/>
      <c r="N528" s="20"/>
      <c r="O528" s="20"/>
      <c r="P528" s="20"/>
      <c r="Q528" s="20"/>
      <c r="R528" s="20"/>
      <c r="S528" s="20"/>
      <c r="T528" s="20"/>
      <c r="U528" s="20"/>
      <c r="V528" s="20"/>
      <c r="W528" s="20"/>
      <c r="X528" s="20"/>
      <c r="Y528" s="20"/>
      <c r="Z528" s="20"/>
    </row>
    <row r="529" spans="2:26" ht="17.25" customHeight="1">
      <c r="B529" s="15"/>
      <c r="C529" s="15"/>
      <c r="D529" s="37"/>
      <c r="E529" s="58"/>
      <c r="F529" s="58"/>
      <c r="G529" s="58"/>
      <c r="H529" s="58"/>
      <c r="I529" s="58"/>
      <c r="J529" s="58"/>
      <c r="K529" s="31"/>
      <c r="L529" s="20"/>
      <c r="M529" s="20"/>
      <c r="N529" s="20"/>
      <c r="O529" s="20"/>
      <c r="P529" s="20"/>
      <c r="Q529" s="20"/>
      <c r="R529" s="20"/>
      <c r="S529" s="20"/>
      <c r="T529" s="20"/>
      <c r="U529" s="20"/>
      <c r="V529" s="20"/>
      <c r="W529" s="20"/>
      <c r="X529" s="20"/>
      <c r="Y529" s="20"/>
      <c r="Z529" s="20"/>
    </row>
    <row r="530" spans="2:26" ht="17.25" customHeight="1">
      <c r="B530" s="15"/>
      <c r="C530" s="15"/>
      <c r="D530" s="37"/>
      <c r="E530" s="58"/>
      <c r="F530" s="58"/>
      <c r="G530" s="58"/>
      <c r="H530" s="58"/>
      <c r="I530" s="58"/>
      <c r="J530" s="58"/>
      <c r="K530" s="31"/>
      <c r="L530" s="20"/>
      <c r="M530" s="20"/>
      <c r="N530" s="20"/>
      <c r="O530" s="20"/>
      <c r="P530" s="20"/>
      <c r="Q530" s="20"/>
      <c r="R530" s="20"/>
      <c r="S530" s="20"/>
      <c r="T530" s="20"/>
      <c r="U530" s="20"/>
      <c r="V530" s="20"/>
      <c r="W530" s="20"/>
      <c r="X530" s="20"/>
      <c r="Y530" s="20"/>
      <c r="Z530" s="20"/>
    </row>
    <row r="531" spans="2:26" ht="17.25" customHeight="1">
      <c r="B531" s="15"/>
      <c r="C531" s="15"/>
      <c r="D531" s="37"/>
      <c r="E531" s="58"/>
      <c r="F531" s="58"/>
      <c r="G531" s="58"/>
      <c r="H531" s="58"/>
      <c r="I531" s="58"/>
      <c r="J531" s="58"/>
      <c r="K531" s="31"/>
      <c r="L531" s="20"/>
      <c r="M531" s="20"/>
      <c r="N531" s="20"/>
      <c r="O531" s="20"/>
      <c r="P531" s="20"/>
      <c r="Q531" s="20"/>
      <c r="R531" s="20"/>
      <c r="S531" s="20"/>
      <c r="T531" s="20"/>
      <c r="U531" s="20"/>
      <c r="V531" s="20"/>
      <c r="W531" s="20"/>
      <c r="X531" s="20"/>
      <c r="Y531" s="20"/>
      <c r="Z531" s="20"/>
    </row>
    <row r="532" spans="2:26" ht="17.25" customHeight="1">
      <c r="B532" s="15"/>
      <c r="C532" s="15"/>
      <c r="D532" s="37"/>
      <c r="E532" s="58"/>
      <c r="F532" s="58"/>
      <c r="G532" s="58"/>
      <c r="H532" s="58"/>
      <c r="I532" s="58"/>
      <c r="J532" s="58"/>
      <c r="K532" s="31"/>
      <c r="L532" s="20"/>
      <c r="M532" s="20"/>
      <c r="N532" s="20"/>
      <c r="O532" s="20"/>
      <c r="P532" s="20"/>
      <c r="Q532" s="20"/>
      <c r="R532" s="20"/>
      <c r="S532" s="20"/>
      <c r="T532" s="20"/>
      <c r="U532" s="20"/>
      <c r="V532" s="20"/>
      <c r="W532" s="20"/>
      <c r="X532" s="20"/>
      <c r="Y532" s="20"/>
      <c r="Z532" s="20"/>
    </row>
    <row r="533" spans="2:26" ht="17.25" customHeight="1">
      <c r="B533" s="15"/>
      <c r="C533" s="15"/>
      <c r="D533" s="37"/>
      <c r="E533" s="58"/>
      <c r="F533" s="58"/>
      <c r="G533" s="58"/>
      <c r="H533" s="58"/>
      <c r="I533" s="58"/>
      <c r="J533" s="58"/>
      <c r="K533" s="31"/>
      <c r="L533" s="20"/>
      <c r="M533" s="20"/>
      <c r="N533" s="20"/>
      <c r="O533" s="20"/>
      <c r="P533" s="20"/>
      <c r="Q533" s="20"/>
      <c r="R533" s="20"/>
      <c r="S533" s="20"/>
      <c r="T533" s="20"/>
      <c r="U533" s="20"/>
      <c r="V533" s="20"/>
      <c r="W533" s="20"/>
      <c r="X533" s="20"/>
      <c r="Y533" s="20"/>
      <c r="Z533" s="20"/>
    </row>
    <row r="534" spans="2:26" ht="17.25" customHeight="1">
      <c r="B534" s="15"/>
      <c r="C534" s="15"/>
      <c r="D534" s="37"/>
      <c r="E534" s="58"/>
      <c r="F534" s="58"/>
      <c r="G534" s="58"/>
      <c r="H534" s="58"/>
      <c r="I534" s="58"/>
      <c r="J534" s="58"/>
      <c r="K534" s="31"/>
      <c r="L534" s="20"/>
      <c r="M534" s="20"/>
      <c r="N534" s="20"/>
      <c r="O534" s="20"/>
      <c r="P534" s="20"/>
      <c r="Q534" s="20"/>
      <c r="R534" s="20"/>
      <c r="S534" s="20"/>
      <c r="T534" s="20"/>
      <c r="U534" s="20"/>
      <c r="V534" s="20"/>
      <c r="W534" s="20"/>
      <c r="X534" s="20"/>
      <c r="Y534" s="20"/>
      <c r="Z534" s="20"/>
    </row>
    <row r="535" spans="2:26" ht="17.25" customHeight="1">
      <c r="B535" s="15"/>
      <c r="C535" s="15"/>
      <c r="D535" s="37"/>
      <c r="E535" s="58"/>
      <c r="F535" s="58"/>
      <c r="G535" s="58"/>
      <c r="H535" s="58"/>
      <c r="I535" s="58"/>
      <c r="J535" s="58"/>
      <c r="K535" s="31"/>
      <c r="L535" s="20"/>
      <c r="M535" s="20"/>
      <c r="N535" s="20"/>
      <c r="O535" s="20"/>
      <c r="P535" s="20"/>
      <c r="Q535" s="20"/>
      <c r="R535" s="20"/>
      <c r="S535" s="20"/>
      <c r="T535" s="20"/>
      <c r="U535" s="20"/>
      <c r="V535" s="20"/>
      <c r="W535" s="20"/>
      <c r="X535" s="20"/>
      <c r="Y535" s="20"/>
      <c r="Z535" s="20"/>
    </row>
    <row r="536" spans="2:26" ht="17.25" customHeight="1">
      <c r="B536" s="15"/>
      <c r="C536" s="15"/>
      <c r="D536" s="37"/>
      <c r="E536" s="58"/>
      <c r="F536" s="58"/>
      <c r="G536" s="58"/>
      <c r="H536" s="58"/>
      <c r="I536" s="58"/>
      <c r="J536" s="58"/>
      <c r="K536" s="31"/>
      <c r="L536" s="20"/>
      <c r="M536" s="20"/>
      <c r="N536" s="20"/>
      <c r="O536" s="20"/>
      <c r="P536" s="20"/>
      <c r="Q536" s="20"/>
      <c r="R536" s="20"/>
      <c r="S536" s="20"/>
      <c r="T536" s="20"/>
      <c r="U536" s="20"/>
      <c r="V536" s="20"/>
      <c r="W536" s="20"/>
      <c r="X536" s="20"/>
      <c r="Y536" s="20"/>
      <c r="Z536" s="20"/>
    </row>
    <row r="537" spans="2:26" ht="17.25" customHeight="1">
      <c r="B537" s="15"/>
      <c r="C537" s="15"/>
      <c r="D537" s="37"/>
      <c r="E537" s="58"/>
      <c r="F537" s="58"/>
      <c r="G537" s="58"/>
      <c r="H537" s="58"/>
      <c r="I537" s="58"/>
      <c r="J537" s="58"/>
      <c r="K537" s="31"/>
      <c r="L537" s="20"/>
      <c r="M537" s="20"/>
      <c r="N537" s="20"/>
      <c r="O537" s="20"/>
      <c r="P537" s="20"/>
      <c r="Q537" s="20"/>
      <c r="R537" s="20"/>
      <c r="S537" s="20"/>
      <c r="T537" s="20"/>
      <c r="U537" s="20"/>
      <c r="V537" s="20"/>
      <c r="W537" s="20"/>
      <c r="X537" s="20"/>
      <c r="Y537" s="20"/>
      <c r="Z537" s="20"/>
    </row>
    <row r="538" spans="2:26" ht="17.25" customHeight="1">
      <c r="B538" s="15"/>
      <c r="C538" s="15"/>
      <c r="D538" s="37"/>
      <c r="E538" s="58"/>
      <c r="F538" s="58"/>
      <c r="G538" s="58"/>
      <c r="H538" s="58"/>
      <c r="I538" s="58"/>
      <c r="J538" s="58"/>
      <c r="K538" s="31"/>
      <c r="L538" s="20"/>
      <c r="M538" s="20"/>
      <c r="N538" s="20"/>
      <c r="O538" s="20"/>
      <c r="P538" s="20"/>
      <c r="Q538" s="20"/>
      <c r="R538" s="20"/>
      <c r="S538" s="20"/>
      <c r="T538" s="20"/>
      <c r="U538" s="20"/>
      <c r="V538" s="20"/>
      <c r="W538" s="20"/>
      <c r="X538" s="20"/>
      <c r="Y538" s="20"/>
      <c r="Z538" s="20"/>
    </row>
    <row r="539" spans="2:26" ht="17.25" customHeight="1">
      <c r="B539" s="15"/>
      <c r="C539" s="15"/>
      <c r="D539" s="37"/>
      <c r="E539" s="58"/>
      <c r="F539" s="58"/>
      <c r="G539" s="58"/>
      <c r="H539" s="58"/>
      <c r="I539" s="58"/>
      <c r="J539" s="58"/>
      <c r="K539" s="31"/>
      <c r="L539" s="20"/>
      <c r="M539" s="20"/>
      <c r="N539" s="20"/>
      <c r="O539" s="20"/>
      <c r="P539" s="20"/>
      <c r="Q539" s="20"/>
      <c r="R539" s="20"/>
      <c r="S539" s="20"/>
      <c r="T539" s="20"/>
      <c r="U539" s="20"/>
      <c r="V539" s="20"/>
      <c r="W539" s="20"/>
      <c r="X539" s="20"/>
      <c r="Y539" s="20"/>
      <c r="Z539" s="20"/>
    </row>
    <row r="540" spans="2:26" ht="17.25" customHeight="1">
      <c r="B540" s="15"/>
      <c r="C540" s="15"/>
      <c r="D540" s="37"/>
      <c r="E540" s="58"/>
      <c r="F540" s="58"/>
      <c r="G540" s="58"/>
      <c r="H540" s="58"/>
      <c r="I540" s="58"/>
      <c r="J540" s="58"/>
      <c r="K540" s="31"/>
      <c r="L540" s="20"/>
      <c r="M540" s="20"/>
      <c r="N540" s="20"/>
      <c r="O540" s="20"/>
      <c r="P540" s="20"/>
      <c r="Q540" s="20"/>
      <c r="R540" s="20"/>
      <c r="S540" s="20"/>
      <c r="T540" s="20"/>
      <c r="U540" s="20"/>
      <c r="V540" s="20"/>
      <c r="W540" s="20"/>
      <c r="X540" s="20"/>
      <c r="Y540" s="20"/>
      <c r="Z540" s="20"/>
    </row>
    <row r="541" spans="2:26" ht="17.25" customHeight="1">
      <c r="B541" s="15"/>
      <c r="C541" s="15"/>
      <c r="D541" s="37"/>
      <c r="E541" s="58"/>
      <c r="F541" s="58"/>
      <c r="G541" s="58"/>
      <c r="H541" s="58"/>
      <c r="I541" s="58"/>
      <c r="J541" s="58"/>
      <c r="K541" s="31"/>
      <c r="L541" s="20"/>
      <c r="M541" s="20"/>
      <c r="N541" s="20"/>
      <c r="O541" s="20"/>
      <c r="P541" s="20"/>
      <c r="Q541" s="20"/>
      <c r="R541" s="20"/>
      <c r="S541" s="20"/>
      <c r="T541" s="20"/>
      <c r="U541" s="20"/>
      <c r="V541" s="20"/>
      <c r="W541" s="20"/>
      <c r="X541" s="20"/>
      <c r="Y541" s="20"/>
      <c r="Z541" s="20"/>
    </row>
    <row r="542" spans="2:26" ht="17.25" customHeight="1">
      <c r="B542" s="15"/>
      <c r="C542" s="15"/>
      <c r="D542" s="37"/>
      <c r="E542" s="58"/>
      <c r="F542" s="58"/>
      <c r="G542" s="58"/>
      <c r="H542" s="58"/>
      <c r="I542" s="58"/>
      <c r="J542" s="58"/>
      <c r="K542" s="31"/>
      <c r="L542" s="20"/>
      <c r="M542" s="20"/>
      <c r="N542" s="20"/>
      <c r="O542" s="20"/>
      <c r="P542" s="20"/>
      <c r="Q542" s="20"/>
      <c r="R542" s="20"/>
      <c r="S542" s="20"/>
      <c r="T542" s="20"/>
      <c r="U542" s="20"/>
      <c r="V542" s="20"/>
      <c r="W542" s="20"/>
      <c r="X542" s="20"/>
      <c r="Y542" s="20"/>
      <c r="Z542" s="20"/>
    </row>
    <row r="543" spans="2:26" ht="17.25" customHeight="1">
      <c r="B543" s="15"/>
      <c r="C543" s="15"/>
      <c r="D543" s="37"/>
      <c r="E543" s="58"/>
      <c r="F543" s="58"/>
      <c r="G543" s="58"/>
      <c r="H543" s="58"/>
      <c r="I543" s="58"/>
      <c r="J543" s="58"/>
      <c r="K543" s="31"/>
      <c r="L543" s="20"/>
      <c r="M543" s="20"/>
      <c r="N543" s="20"/>
      <c r="O543" s="20"/>
      <c r="P543" s="20"/>
      <c r="Q543" s="20"/>
      <c r="R543" s="20"/>
      <c r="S543" s="20"/>
      <c r="T543" s="20"/>
      <c r="U543" s="20"/>
      <c r="V543" s="20"/>
      <c r="W543" s="20"/>
      <c r="X543" s="20"/>
      <c r="Y543" s="20"/>
      <c r="Z543" s="20"/>
    </row>
    <row r="544" spans="2:26" ht="17.25" customHeight="1">
      <c r="B544" s="15"/>
      <c r="C544" s="15"/>
      <c r="D544" s="37"/>
      <c r="E544" s="58"/>
      <c r="F544" s="58"/>
      <c r="G544" s="58"/>
      <c r="H544" s="58"/>
      <c r="I544" s="58"/>
      <c r="J544" s="58"/>
      <c r="K544" s="31"/>
      <c r="L544" s="20"/>
      <c r="M544" s="20"/>
      <c r="N544" s="20"/>
      <c r="O544" s="20"/>
      <c r="P544" s="20"/>
      <c r="Q544" s="20"/>
      <c r="R544" s="20"/>
      <c r="S544" s="20"/>
      <c r="T544" s="20"/>
      <c r="U544" s="20"/>
      <c r="V544" s="20"/>
      <c r="W544" s="20"/>
      <c r="X544" s="20"/>
      <c r="Y544" s="20"/>
      <c r="Z544" s="20"/>
    </row>
    <row r="545" spans="2:26" ht="17.25" customHeight="1">
      <c r="B545" s="15"/>
      <c r="C545" s="15"/>
      <c r="D545" s="37"/>
      <c r="E545" s="58"/>
      <c r="F545" s="58"/>
      <c r="G545" s="58"/>
      <c r="H545" s="58"/>
      <c r="I545" s="58"/>
      <c r="J545" s="58"/>
      <c r="K545" s="31"/>
      <c r="L545" s="20"/>
      <c r="M545" s="20"/>
      <c r="N545" s="20"/>
      <c r="O545" s="20"/>
      <c r="P545" s="20"/>
      <c r="Q545" s="20"/>
      <c r="R545" s="20"/>
      <c r="S545" s="20"/>
      <c r="T545" s="20"/>
      <c r="U545" s="20"/>
      <c r="V545" s="20"/>
      <c r="W545" s="20"/>
      <c r="X545" s="20"/>
      <c r="Y545" s="20"/>
      <c r="Z545" s="20"/>
    </row>
    <row r="546" spans="2:26" ht="17.25" customHeight="1">
      <c r="B546" s="15"/>
      <c r="C546" s="15"/>
      <c r="D546" s="37"/>
      <c r="E546" s="58"/>
      <c r="F546" s="58"/>
      <c r="G546" s="58"/>
      <c r="H546" s="58"/>
      <c r="I546" s="58"/>
      <c r="J546" s="58"/>
      <c r="K546" s="31"/>
      <c r="L546" s="20"/>
      <c r="M546" s="20"/>
      <c r="N546" s="20"/>
      <c r="O546" s="20"/>
      <c r="P546" s="20"/>
      <c r="Q546" s="20"/>
      <c r="R546" s="20"/>
      <c r="S546" s="20"/>
      <c r="T546" s="20"/>
      <c r="U546" s="20"/>
      <c r="V546" s="20"/>
      <c r="W546" s="20"/>
      <c r="X546" s="20"/>
      <c r="Y546" s="20"/>
      <c r="Z546" s="20"/>
    </row>
    <row r="547" spans="2:26" ht="17.25" customHeight="1">
      <c r="B547" s="15"/>
      <c r="C547" s="15"/>
      <c r="D547" s="37"/>
      <c r="E547" s="58"/>
      <c r="F547" s="58"/>
      <c r="G547" s="58"/>
      <c r="H547" s="58"/>
      <c r="I547" s="58"/>
      <c r="J547" s="58"/>
      <c r="K547" s="31"/>
      <c r="L547" s="20"/>
      <c r="M547" s="20"/>
      <c r="N547" s="20"/>
      <c r="O547" s="20"/>
      <c r="P547" s="20"/>
      <c r="Q547" s="20"/>
      <c r="R547" s="20"/>
      <c r="S547" s="20"/>
      <c r="T547" s="20"/>
      <c r="U547" s="20"/>
      <c r="V547" s="20"/>
      <c r="W547" s="20"/>
      <c r="X547" s="20"/>
      <c r="Y547" s="20"/>
      <c r="Z547" s="20"/>
    </row>
    <row r="548" spans="2:26" ht="17.25" customHeight="1">
      <c r="B548" s="15"/>
      <c r="C548" s="15"/>
      <c r="D548" s="37"/>
      <c r="E548" s="58"/>
      <c r="F548" s="58"/>
      <c r="G548" s="58"/>
      <c r="H548" s="58"/>
      <c r="I548" s="58"/>
      <c r="J548" s="58"/>
      <c r="K548" s="31"/>
      <c r="L548" s="20"/>
      <c r="M548" s="20"/>
      <c r="N548" s="20"/>
      <c r="O548" s="20"/>
      <c r="P548" s="20"/>
      <c r="Q548" s="20"/>
      <c r="R548" s="20"/>
      <c r="S548" s="20"/>
      <c r="T548" s="20"/>
      <c r="U548" s="20"/>
      <c r="V548" s="20"/>
      <c r="W548" s="20"/>
      <c r="X548" s="20"/>
      <c r="Y548" s="20"/>
      <c r="Z548" s="20"/>
    </row>
    <row r="549" spans="2:26" ht="17.25" customHeight="1">
      <c r="B549" s="15"/>
      <c r="C549" s="15"/>
      <c r="D549" s="37"/>
      <c r="E549" s="58"/>
      <c r="F549" s="58"/>
      <c r="G549" s="58"/>
      <c r="H549" s="58"/>
      <c r="I549" s="58"/>
      <c r="J549" s="58"/>
      <c r="K549" s="31"/>
      <c r="L549" s="20"/>
      <c r="M549" s="20"/>
      <c r="N549" s="20"/>
      <c r="O549" s="20"/>
      <c r="P549" s="20"/>
      <c r="Q549" s="20"/>
      <c r="R549" s="20"/>
      <c r="S549" s="20"/>
      <c r="T549" s="20"/>
      <c r="U549" s="20"/>
      <c r="V549" s="20"/>
      <c r="W549" s="20"/>
      <c r="X549" s="20"/>
      <c r="Y549" s="20"/>
      <c r="Z549" s="20"/>
    </row>
    <row r="550" spans="2:26" ht="17.25" customHeight="1">
      <c r="B550" s="15"/>
      <c r="C550" s="15"/>
      <c r="D550" s="37"/>
      <c r="E550" s="58"/>
      <c r="F550" s="58"/>
      <c r="G550" s="58"/>
      <c r="H550" s="58"/>
      <c r="I550" s="58"/>
      <c r="J550" s="58"/>
      <c r="K550" s="31"/>
      <c r="L550" s="20"/>
      <c r="M550" s="20"/>
      <c r="N550" s="20"/>
      <c r="O550" s="20"/>
      <c r="P550" s="20"/>
      <c r="Q550" s="20"/>
      <c r="R550" s="20"/>
      <c r="S550" s="20"/>
      <c r="T550" s="20"/>
      <c r="U550" s="20"/>
      <c r="V550" s="20"/>
      <c r="W550" s="20"/>
      <c r="X550" s="20"/>
      <c r="Y550" s="20"/>
      <c r="Z550" s="20"/>
    </row>
    <row r="551" spans="2:26" ht="17.25" customHeight="1">
      <c r="B551" s="15"/>
      <c r="C551" s="15"/>
      <c r="D551" s="37"/>
      <c r="E551" s="58"/>
      <c r="F551" s="58"/>
      <c r="G551" s="58"/>
      <c r="H551" s="58"/>
      <c r="I551" s="58"/>
      <c r="J551" s="58"/>
      <c r="K551" s="31"/>
      <c r="L551" s="20"/>
      <c r="M551" s="20"/>
      <c r="N551" s="20"/>
      <c r="O551" s="20"/>
      <c r="P551" s="20"/>
      <c r="Q551" s="20"/>
      <c r="R551" s="20"/>
      <c r="S551" s="20"/>
      <c r="T551" s="20"/>
      <c r="U551" s="20"/>
      <c r="V551" s="20"/>
      <c r="W551" s="20"/>
      <c r="X551" s="20"/>
      <c r="Y551" s="20"/>
      <c r="Z551" s="20"/>
    </row>
    <row r="552" spans="2:26" ht="17.25" customHeight="1">
      <c r="B552" s="15"/>
      <c r="C552" s="15"/>
      <c r="D552" s="37"/>
      <c r="E552" s="58"/>
      <c r="F552" s="58"/>
      <c r="G552" s="58"/>
      <c r="H552" s="58"/>
      <c r="I552" s="58"/>
      <c r="J552" s="58"/>
      <c r="K552" s="31"/>
      <c r="L552" s="20"/>
      <c r="M552" s="20"/>
      <c r="N552" s="20"/>
      <c r="O552" s="20"/>
      <c r="P552" s="20"/>
      <c r="Q552" s="20"/>
      <c r="R552" s="20"/>
      <c r="S552" s="20"/>
      <c r="T552" s="20"/>
      <c r="U552" s="20"/>
      <c r="V552" s="20"/>
      <c r="W552" s="20"/>
      <c r="X552" s="20"/>
      <c r="Y552" s="20"/>
      <c r="Z552" s="20"/>
    </row>
    <row r="553" spans="2:26" ht="17.25" customHeight="1">
      <c r="B553" s="15"/>
      <c r="C553" s="15"/>
      <c r="D553" s="37"/>
      <c r="E553" s="58"/>
      <c r="F553" s="58"/>
      <c r="G553" s="58"/>
      <c r="H553" s="58"/>
      <c r="I553" s="58"/>
      <c r="J553" s="58"/>
      <c r="K553" s="31"/>
      <c r="L553" s="20"/>
      <c r="M553" s="20"/>
      <c r="N553" s="20"/>
      <c r="O553" s="20"/>
      <c r="P553" s="20"/>
      <c r="Q553" s="20"/>
      <c r="R553" s="20"/>
      <c r="S553" s="20"/>
      <c r="T553" s="20"/>
      <c r="U553" s="20"/>
      <c r="V553" s="20"/>
      <c r="W553" s="20"/>
      <c r="X553" s="20"/>
      <c r="Y553" s="20"/>
      <c r="Z553" s="20"/>
    </row>
    <row r="554" spans="2:26" ht="17.25" customHeight="1">
      <c r="B554" s="15"/>
      <c r="C554" s="15"/>
      <c r="D554" s="37"/>
      <c r="E554" s="58"/>
      <c r="F554" s="58"/>
      <c r="G554" s="58"/>
      <c r="H554" s="58"/>
      <c r="I554" s="58"/>
      <c r="J554" s="58"/>
      <c r="K554" s="31"/>
      <c r="L554" s="20"/>
      <c r="M554" s="20"/>
      <c r="N554" s="20"/>
      <c r="O554" s="20"/>
      <c r="P554" s="20"/>
      <c r="Q554" s="20"/>
      <c r="R554" s="20"/>
      <c r="S554" s="20"/>
      <c r="T554" s="20"/>
      <c r="U554" s="20"/>
      <c r="V554" s="20"/>
      <c r="W554" s="20"/>
      <c r="X554" s="20"/>
      <c r="Y554" s="20"/>
      <c r="Z554" s="20"/>
    </row>
    <row r="555" spans="2:26" ht="17.25" customHeight="1">
      <c r="B555" s="15"/>
      <c r="C555" s="15"/>
      <c r="D555" s="37"/>
      <c r="E555" s="58"/>
      <c r="F555" s="58"/>
      <c r="G555" s="58"/>
      <c r="H555" s="58"/>
      <c r="I555" s="58"/>
      <c r="J555" s="58"/>
      <c r="K555" s="31"/>
      <c r="L555" s="20"/>
      <c r="M555" s="20"/>
      <c r="N555" s="20"/>
      <c r="O555" s="20"/>
      <c r="P555" s="20"/>
      <c r="Q555" s="20"/>
      <c r="R555" s="20"/>
      <c r="S555" s="20"/>
      <c r="T555" s="20"/>
      <c r="U555" s="20"/>
      <c r="V555" s="20"/>
      <c r="W555" s="20"/>
      <c r="X555" s="20"/>
      <c r="Y555" s="20"/>
      <c r="Z555" s="20"/>
    </row>
    <row r="556" spans="2:26" ht="17.25" customHeight="1">
      <c r="B556" s="15"/>
      <c r="C556" s="15"/>
      <c r="D556" s="37"/>
      <c r="E556" s="58"/>
      <c r="F556" s="58"/>
      <c r="G556" s="58"/>
      <c r="H556" s="58"/>
      <c r="I556" s="58"/>
      <c r="J556" s="58"/>
      <c r="K556" s="31"/>
      <c r="L556" s="20"/>
      <c r="M556" s="20"/>
      <c r="N556" s="20"/>
      <c r="O556" s="20"/>
      <c r="P556" s="20"/>
      <c r="Q556" s="20"/>
      <c r="R556" s="20"/>
      <c r="S556" s="20"/>
      <c r="T556" s="20"/>
      <c r="U556" s="20"/>
      <c r="V556" s="20"/>
      <c r="W556" s="20"/>
      <c r="X556" s="20"/>
      <c r="Y556" s="20"/>
      <c r="Z556" s="20"/>
    </row>
    <row r="557" spans="2:26" ht="17.25" customHeight="1">
      <c r="B557" s="15"/>
      <c r="C557" s="15"/>
      <c r="D557" s="37"/>
      <c r="E557" s="58"/>
      <c r="F557" s="58"/>
      <c r="G557" s="58"/>
      <c r="H557" s="58"/>
      <c r="I557" s="58"/>
      <c r="J557" s="58"/>
      <c r="K557" s="31"/>
      <c r="L557" s="20"/>
      <c r="M557" s="20"/>
      <c r="N557" s="20"/>
      <c r="O557" s="20"/>
      <c r="P557" s="20"/>
      <c r="Q557" s="20"/>
      <c r="R557" s="20"/>
      <c r="S557" s="20"/>
      <c r="T557" s="20"/>
      <c r="U557" s="20"/>
      <c r="V557" s="20"/>
      <c r="W557" s="20"/>
      <c r="X557" s="20"/>
      <c r="Y557" s="20"/>
      <c r="Z557" s="20"/>
    </row>
    <row r="558" spans="2:26" ht="17.25" customHeight="1">
      <c r="B558" s="15"/>
      <c r="C558" s="15"/>
      <c r="D558" s="37"/>
      <c r="E558" s="58"/>
      <c r="F558" s="58"/>
      <c r="G558" s="58"/>
      <c r="H558" s="58"/>
      <c r="I558" s="58"/>
      <c r="J558" s="58"/>
      <c r="K558" s="31"/>
      <c r="L558" s="20"/>
      <c r="M558" s="20"/>
      <c r="N558" s="20"/>
      <c r="O558" s="20"/>
      <c r="P558" s="20"/>
      <c r="Q558" s="20"/>
      <c r="R558" s="20"/>
      <c r="S558" s="20"/>
      <c r="T558" s="20"/>
      <c r="U558" s="20"/>
      <c r="V558" s="20"/>
      <c r="W558" s="20"/>
      <c r="X558" s="20"/>
      <c r="Y558" s="20"/>
      <c r="Z558" s="20"/>
    </row>
    <row r="559" spans="2:26" ht="17.25" customHeight="1">
      <c r="B559" s="15"/>
      <c r="C559" s="15"/>
      <c r="D559" s="37"/>
      <c r="E559" s="58"/>
      <c r="F559" s="58"/>
      <c r="G559" s="58"/>
      <c r="H559" s="58"/>
      <c r="I559" s="58"/>
      <c r="J559" s="58"/>
      <c r="K559" s="31"/>
      <c r="L559" s="20"/>
      <c r="M559" s="20"/>
      <c r="N559" s="20"/>
      <c r="O559" s="20"/>
      <c r="P559" s="20"/>
      <c r="Q559" s="20"/>
      <c r="R559" s="20"/>
      <c r="S559" s="20"/>
      <c r="T559" s="20"/>
      <c r="U559" s="20"/>
      <c r="V559" s="20"/>
      <c r="W559" s="20"/>
      <c r="X559" s="20"/>
      <c r="Y559" s="20"/>
      <c r="Z559" s="20"/>
    </row>
    <row r="560" spans="2:26" ht="17.25" customHeight="1">
      <c r="B560" s="15"/>
      <c r="C560" s="15"/>
      <c r="D560" s="37"/>
      <c r="E560" s="58"/>
      <c r="F560" s="58"/>
      <c r="G560" s="58"/>
      <c r="H560" s="58"/>
      <c r="I560" s="58"/>
      <c r="J560" s="58"/>
      <c r="K560" s="31"/>
      <c r="L560" s="20"/>
      <c r="M560" s="20"/>
      <c r="N560" s="20"/>
      <c r="O560" s="20"/>
      <c r="P560" s="20"/>
      <c r="Q560" s="20"/>
      <c r="R560" s="20"/>
      <c r="S560" s="20"/>
      <c r="T560" s="20"/>
      <c r="U560" s="20"/>
      <c r="V560" s="20"/>
      <c r="W560" s="20"/>
      <c r="X560" s="20"/>
      <c r="Y560" s="20"/>
      <c r="Z560" s="20"/>
    </row>
    <row r="561" spans="2:26" ht="17.25" customHeight="1">
      <c r="B561" s="15"/>
      <c r="C561" s="15"/>
      <c r="D561" s="37"/>
      <c r="E561" s="58"/>
      <c r="F561" s="58"/>
      <c r="G561" s="58"/>
      <c r="H561" s="58"/>
      <c r="I561" s="58"/>
      <c r="J561" s="58"/>
      <c r="K561" s="31"/>
      <c r="L561" s="20"/>
      <c r="M561" s="20"/>
      <c r="N561" s="20"/>
      <c r="O561" s="20"/>
      <c r="P561" s="20"/>
      <c r="Q561" s="20"/>
      <c r="R561" s="20"/>
      <c r="S561" s="20"/>
      <c r="T561" s="20"/>
      <c r="U561" s="20"/>
      <c r="V561" s="20"/>
      <c r="W561" s="20"/>
      <c r="X561" s="20"/>
      <c r="Y561" s="20"/>
      <c r="Z561" s="20"/>
    </row>
    <row r="562" spans="2:26" ht="17.25" customHeight="1">
      <c r="B562" s="15"/>
      <c r="C562" s="15"/>
      <c r="D562" s="37"/>
      <c r="E562" s="58"/>
      <c r="F562" s="58"/>
      <c r="G562" s="58"/>
      <c r="H562" s="58"/>
      <c r="I562" s="58"/>
      <c r="J562" s="58"/>
      <c r="K562" s="31"/>
      <c r="L562" s="20"/>
      <c r="M562" s="20"/>
      <c r="N562" s="20"/>
      <c r="O562" s="20"/>
      <c r="P562" s="20"/>
      <c r="Q562" s="20"/>
      <c r="R562" s="20"/>
      <c r="S562" s="20"/>
      <c r="T562" s="20"/>
      <c r="U562" s="20"/>
      <c r="V562" s="20"/>
      <c r="W562" s="20"/>
      <c r="X562" s="20"/>
      <c r="Y562" s="20"/>
      <c r="Z562" s="20"/>
    </row>
    <row r="563" spans="2:26" ht="17.25" customHeight="1">
      <c r="B563" s="15"/>
      <c r="C563" s="15"/>
      <c r="D563" s="37"/>
      <c r="E563" s="58"/>
      <c r="F563" s="58"/>
      <c r="G563" s="58"/>
      <c r="H563" s="58"/>
      <c r="I563" s="58"/>
      <c r="J563" s="58"/>
      <c r="K563" s="31"/>
      <c r="L563" s="20"/>
      <c r="M563" s="20"/>
      <c r="N563" s="20"/>
      <c r="O563" s="20"/>
      <c r="P563" s="20"/>
      <c r="Q563" s="20"/>
      <c r="R563" s="20"/>
      <c r="S563" s="20"/>
      <c r="T563" s="20"/>
      <c r="U563" s="20"/>
      <c r="V563" s="20"/>
      <c r="W563" s="20"/>
      <c r="X563" s="20"/>
      <c r="Y563" s="20"/>
      <c r="Z563" s="20"/>
    </row>
    <row r="564" spans="2:26" ht="17.25" customHeight="1">
      <c r="B564" s="15"/>
      <c r="C564" s="15"/>
      <c r="D564" s="37"/>
      <c r="E564" s="58"/>
      <c r="F564" s="58"/>
      <c r="G564" s="58"/>
      <c r="H564" s="58"/>
      <c r="I564" s="58"/>
      <c r="J564" s="58"/>
      <c r="K564" s="31"/>
      <c r="L564" s="20"/>
      <c r="M564" s="20"/>
      <c r="N564" s="20"/>
      <c r="O564" s="20"/>
      <c r="P564" s="20"/>
      <c r="Q564" s="20"/>
      <c r="R564" s="20"/>
      <c r="S564" s="20"/>
      <c r="T564" s="20"/>
      <c r="U564" s="20"/>
      <c r="V564" s="20"/>
      <c r="W564" s="20"/>
      <c r="X564" s="20"/>
      <c r="Y564" s="20"/>
      <c r="Z564" s="20"/>
    </row>
    <row r="565" spans="2:26" ht="17.25" customHeight="1">
      <c r="B565" s="15"/>
      <c r="C565" s="15"/>
      <c r="D565" s="37"/>
      <c r="E565" s="58"/>
      <c r="F565" s="58"/>
      <c r="G565" s="58"/>
      <c r="H565" s="58"/>
      <c r="I565" s="58"/>
      <c r="J565" s="58"/>
      <c r="K565" s="31"/>
      <c r="L565" s="20"/>
      <c r="M565" s="20"/>
      <c r="N565" s="20"/>
      <c r="O565" s="20"/>
      <c r="P565" s="20"/>
      <c r="Q565" s="20"/>
      <c r="R565" s="20"/>
      <c r="S565" s="20"/>
      <c r="T565" s="20"/>
      <c r="U565" s="20"/>
      <c r="V565" s="20"/>
      <c r="W565" s="20"/>
      <c r="X565" s="20"/>
      <c r="Y565" s="20"/>
      <c r="Z565" s="20"/>
    </row>
    <row r="566" spans="2:26" ht="17.25" customHeight="1">
      <c r="B566" s="15"/>
      <c r="C566" s="15"/>
      <c r="D566" s="37"/>
      <c r="E566" s="58"/>
      <c r="F566" s="58"/>
      <c r="G566" s="58"/>
      <c r="H566" s="58"/>
      <c r="I566" s="58"/>
      <c r="J566" s="58"/>
      <c r="K566" s="31"/>
      <c r="L566" s="20"/>
      <c r="M566" s="20"/>
      <c r="N566" s="20"/>
      <c r="O566" s="20"/>
      <c r="P566" s="20"/>
      <c r="Q566" s="20"/>
      <c r="R566" s="20"/>
      <c r="S566" s="20"/>
      <c r="T566" s="20"/>
      <c r="U566" s="20"/>
      <c r="V566" s="20"/>
      <c r="W566" s="20"/>
      <c r="X566" s="20"/>
      <c r="Y566" s="20"/>
      <c r="Z566" s="20"/>
    </row>
    <row r="567" spans="2:26" ht="17.25" customHeight="1">
      <c r="B567" s="15"/>
      <c r="C567" s="15"/>
      <c r="D567" s="37"/>
      <c r="E567" s="58"/>
      <c r="F567" s="58"/>
      <c r="G567" s="58"/>
      <c r="H567" s="58"/>
      <c r="I567" s="58"/>
      <c r="J567" s="58"/>
      <c r="K567" s="31"/>
      <c r="L567" s="20"/>
      <c r="M567" s="20"/>
      <c r="N567" s="20"/>
      <c r="O567" s="20"/>
      <c r="P567" s="20"/>
      <c r="Q567" s="20"/>
      <c r="R567" s="20"/>
      <c r="S567" s="20"/>
      <c r="T567" s="20"/>
      <c r="U567" s="20"/>
      <c r="V567" s="20"/>
      <c r="W567" s="20"/>
      <c r="X567" s="20"/>
      <c r="Y567" s="20"/>
      <c r="Z567" s="20"/>
    </row>
    <row r="568" spans="2:26" ht="17.25" customHeight="1">
      <c r="B568" s="15"/>
      <c r="C568" s="15"/>
      <c r="D568" s="37"/>
      <c r="E568" s="58"/>
      <c r="F568" s="58"/>
      <c r="G568" s="58"/>
      <c r="H568" s="58"/>
      <c r="I568" s="58"/>
      <c r="J568" s="58"/>
      <c r="K568" s="31"/>
      <c r="L568" s="20"/>
      <c r="M568" s="20"/>
      <c r="N568" s="20"/>
      <c r="O568" s="20"/>
      <c r="P568" s="20"/>
      <c r="Q568" s="20"/>
      <c r="R568" s="20"/>
      <c r="S568" s="20"/>
      <c r="T568" s="20"/>
      <c r="U568" s="20"/>
      <c r="V568" s="20"/>
      <c r="W568" s="20"/>
      <c r="X568" s="20"/>
      <c r="Y568" s="20"/>
      <c r="Z568" s="20"/>
    </row>
    <row r="569" spans="2:26" ht="17.25" customHeight="1">
      <c r="B569" s="15"/>
      <c r="C569" s="15"/>
      <c r="D569" s="37"/>
      <c r="E569" s="58"/>
      <c r="F569" s="58"/>
      <c r="G569" s="58"/>
      <c r="H569" s="58"/>
      <c r="I569" s="58"/>
      <c r="J569" s="58"/>
      <c r="K569" s="31"/>
      <c r="L569" s="20"/>
      <c r="M569" s="20"/>
      <c r="N569" s="20"/>
      <c r="O569" s="20"/>
      <c r="P569" s="20"/>
      <c r="Q569" s="20"/>
      <c r="R569" s="20"/>
      <c r="S569" s="20"/>
      <c r="T569" s="20"/>
      <c r="U569" s="20"/>
      <c r="V569" s="20"/>
      <c r="W569" s="20"/>
      <c r="X569" s="20"/>
      <c r="Y569" s="20"/>
      <c r="Z569" s="20"/>
    </row>
    <row r="570" spans="2:26" ht="17.25" customHeight="1">
      <c r="B570" s="15"/>
      <c r="C570" s="15"/>
      <c r="D570" s="37"/>
      <c r="E570" s="58"/>
      <c r="F570" s="58"/>
      <c r="G570" s="58"/>
      <c r="H570" s="58"/>
      <c r="I570" s="58"/>
      <c r="J570" s="58"/>
      <c r="K570" s="31"/>
      <c r="L570" s="20"/>
      <c r="M570" s="20"/>
      <c r="N570" s="20"/>
      <c r="O570" s="20"/>
      <c r="P570" s="20"/>
      <c r="Q570" s="20"/>
      <c r="R570" s="20"/>
      <c r="S570" s="20"/>
      <c r="T570" s="20"/>
      <c r="U570" s="20"/>
      <c r="V570" s="20"/>
      <c r="W570" s="20"/>
      <c r="X570" s="20"/>
      <c r="Y570" s="20"/>
      <c r="Z570" s="20"/>
    </row>
    <row r="571" spans="2:26" ht="17.25" customHeight="1">
      <c r="B571" s="15"/>
      <c r="C571" s="15"/>
      <c r="D571" s="37"/>
      <c r="E571" s="58"/>
      <c r="F571" s="58"/>
      <c r="G571" s="58"/>
      <c r="H571" s="58"/>
      <c r="I571" s="58"/>
      <c r="J571" s="58"/>
      <c r="K571" s="31"/>
      <c r="L571" s="20"/>
      <c r="M571" s="20"/>
      <c r="N571" s="20"/>
      <c r="O571" s="20"/>
      <c r="P571" s="20"/>
      <c r="Q571" s="20"/>
      <c r="R571" s="20"/>
      <c r="S571" s="20"/>
      <c r="T571" s="20"/>
      <c r="U571" s="20"/>
      <c r="V571" s="20"/>
      <c r="W571" s="20"/>
      <c r="X571" s="20"/>
      <c r="Y571" s="20"/>
      <c r="Z571" s="20"/>
    </row>
    <row r="572" spans="2:26" ht="17.25" customHeight="1">
      <c r="B572" s="15"/>
      <c r="C572" s="15"/>
      <c r="D572" s="37"/>
      <c r="E572" s="58"/>
      <c r="F572" s="58"/>
      <c r="G572" s="58"/>
      <c r="H572" s="58"/>
      <c r="I572" s="58"/>
      <c r="J572" s="58"/>
      <c r="K572" s="31"/>
      <c r="L572" s="20"/>
      <c r="M572" s="20"/>
      <c r="N572" s="20"/>
      <c r="O572" s="20"/>
      <c r="P572" s="20"/>
      <c r="Q572" s="20"/>
      <c r="R572" s="20"/>
      <c r="S572" s="20"/>
      <c r="T572" s="20"/>
      <c r="U572" s="20"/>
      <c r="V572" s="20"/>
      <c r="W572" s="20"/>
      <c r="X572" s="20"/>
      <c r="Y572" s="20"/>
      <c r="Z572" s="20"/>
    </row>
    <row r="573" spans="2:26" ht="17.25" customHeight="1">
      <c r="B573" s="15"/>
      <c r="C573" s="15"/>
      <c r="D573" s="37"/>
      <c r="E573" s="58"/>
      <c r="F573" s="58"/>
      <c r="G573" s="58"/>
      <c r="H573" s="58"/>
      <c r="I573" s="58"/>
      <c r="J573" s="58"/>
      <c r="K573" s="31"/>
      <c r="L573" s="20"/>
      <c r="M573" s="20"/>
      <c r="N573" s="20"/>
      <c r="O573" s="20"/>
      <c r="P573" s="20"/>
      <c r="Q573" s="20"/>
      <c r="R573" s="20"/>
      <c r="S573" s="20"/>
      <c r="T573" s="20"/>
      <c r="U573" s="20"/>
      <c r="V573" s="20"/>
      <c r="W573" s="20"/>
      <c r="X573" s="20"/>
      <c r="Y573" s="20"/>
      <c r="Z573" s="20"/>
    </row>
    <row r="574" spans="2:26" ht="17.25" customHeight="1">
      <c r="B574" s="15"/>
      <c r="C574" s="15"/>
      <c r="D574" s="37"/>
      <c r="E574" s="58"/>
      <c r="F574" s="58"/>
      <c r="G574" s="58"/>
      <c r="H574" s="58"/>
      <c r="I574" s="58"/>
      <c r="J574" s="58"/>
      <c r="K574" s="31"/>
      <c r="L574" s="20"/>
      <c r="M574" s="20"/>
      <c r="N574" s="20"/>
      <c r="O574" s="20"/>
      <c r="P574" s="20"/>
      <c r="Q574" s="20"/>
      <c r="R574" s="20"/>
      <c r="S574" s="20"/>
      <c r="T574" s="20"/>
      <c r="U574" s="20"/>
      <c r="V574" s="20"/>
      <c r="W574" s="20"/>
      <c r="X574" s="20"/>
      <c r="Y574" s="20"/>
      <c r="Z574" s="20"/>
    </row>
    <row r="575" spans="2:26" ht="17.25" customHeight="1">
      <c r="B575" s="15"/>
      <c r="C575" s="15"/>
      <c r="D575" s="37"/>
      <c r="E575" s="58"/>
      <c r="F575" s="58"/>
      <c r="G575" s="58"/>
      <c r="H575" s="58"/>
      <c r="I575" s="58"/>
      <c r="J575" s="58"/>
      <c r="K575" s="31"/>
      <c r="L575" s="20"/>
      <c r="M575" s="20"/>
      <c r="N575" s="20"/>
      <c r="O575" s="20"/>
      <c r="P575" s="20"/>
      <c r="Q575" s="20"/>
      <c r="R575" s="20"/>
      <c r="S575" s="20"/>
      <c r="T575" s="20"/>
      <c r="U575" s="20"/>
      <c r="V575" s="20"/>
      <c r="W575" s="20"/>
      <c r="X575" s="20"/>
      <c r="Y575" s="20"/>
      <c r="Z575" s="20"/>
    </row>
    <row r="576" spans="2:26" ht="17.25" customHeight="1">
      <c r="B576" s="15"/>
      <c r="C576" s="15"/>
      <c r="D576" s="37"/>
      <c r="E576" s="58"/>
      <c r="F576" s="58"/>
      <c r="G576" s="58"/>
      <c r="H576" s="58"/>
      <c r="I576" s="58"/>
      <c r="J576" s="58"/>
      <c r="K576" s="31"/>
      <c r="L576" s="20"/>
      <c r="M576" s="20"/>
      <c r="N576" s="20"/>
      <c r="O576" s="20"/>
      <c r="P576" s="20"/>
      <c r="Q576" s="20"/>
      <c r="R576" s="20"/>
      <c r="S576" s="20"/>
      <c r="T576" s="20"/>
      <c r="U576" s="20"/>
      <c r="V576" s="20"/>
      <c r="W576" s="20"/>
      <c r="X576" s="20"/>
      <c r="Y576" s="20"/>
      <c r="Z576" s="20"/>
    </row>
    <row r="577" spans="2:26" ht="17.25" customHeight="1">
      <c r="B577" s="15"/>
      <c r="C577" s="15"/>
      <c r="D577" s="37"/>
      <c r="E577" s="58"/>
      <c r="F577" s="58"/>
      <c r="G577" s="58"/>
      <c r="H577" s="58"/>
      <c r="I577" s="58"/>
      <c r="J577" s="58"/>
      <c r="K577" s="31"/>
      <c r="L577" s="20"/>
      <c r="M577" s="20"/>
      <c r="N577" s="20"/>
      <c r="O577" s="20"/>
      <c r="P577" s="20"/>
      <c r="Q577" s="20"/>
      <c r="R577" s="20"/>
      <c r="S577" s="20"/>
      <c r="T577" s="20"/>
      <c r="U577" s="20"/>
      <c r="V577" s="20"/>
      <c r="W577" s="20"/>
      <c r="X577" s="20"/>
      <c r="Y577" s="20"/>
      <c r="Z577" s="20"/>
    </row>
    <row r="578" spans="2:26" ht="17.25" customHeight="1">
      <c r="B578" s="15"/>
      <c r="C578" s="15"/>
      <c r="D578" s="37"/>
      <c r="E578" s="58"/>
      <c r="F578" s="58"/>
      <c r="G578" s="58"/>
      <c r="H578" s="58"/>
      <c r="I578" s="58"/>
      <c r="J578" s="58"/>
      <c r="K578" s="31"/>
      <c r="L578" s="20"/>
      <c r="M578" s="20"/>
      <c r="N578" s="20"/>
      <c r="O578" s="20"/>
      <c r="P578" s="20"/>
      <c r="Q578" s="20"/>
      <c r="R578" s="20"/>
      <c r="S578" s="20"/>
      <c r="T578" s="20"/>
      <c r="U578" s="20"/>
      <c r="V578" s="20"/>
      <c r="W578" s="20"/>
      <c r="X578" s="20"/>
      <c r="Y578" s="20"/>
      <c r="Z578" s="20"/>
    </row>
    <row r="579" spans="2:26" ht="17.25" customHeight="1">
      <c r="B579" s="15"/>
      <c r="C579" s="15"/>
      <c r="D579" s="37"/>
      <c r="E579" s="58"/>
      <c r="F579" s="58"/>
      <c r="G579" s="58"/>
      <c r="H579" s="58"/>
      <c r="I579" s="58"/>
      <c r="J579" s="58"/>
      <c r="K579" s="31"/>
      <c r="L579" s="20"/>
      <c r="M579" s="20"/>
      <c r="N579" s="20"/>
      <c r="O579" s="20"/>
      <c r="P579" s="20"/>
      <c r="Q579" s="20"/>
      <c r="R579" s="20"/>
      <c r="S579" s="20"/>
      <c r="T579" s="20"/>
      <c r="U579" s="20"/>
      <c r="V579" s="20"/>
      <c r="W579" s="20"/>
      <c r="X579" s="20"/>
      <c r="Y579" s="20"/>
      <c r="Z579" s="20"/>
    </row>
    <row r="580" spans="2:26" ht="17.25" customHeight="1">
      <c r="B580" s="15"/>
      <c r="C580" s="15"/>
      <c r="D580" s="37"/>
      <c r="E580" s="58"/>
      <c r="F580" s="58"/>
      <c r="G580" s="58"/>
      <c r="H580" s="58"/>
      <c r="I580" s="58"/>
      <c r="J580" s="58"/>
      <c r="K580" s="31"/>
      <c r="L580" s="20"/>
      <c r="M580" s="20"/>
      <c r="N580" s="20"/>
      <c r="O580" s="20"/>
      <c r="P580" s="20"/>
      <c r="Q580" s="20"/>
      <c r="R580" s="20"/>
      <c r="S580" s="20"/>
      <c r="T580" s="20"/>
      <c r="U580" s="20"/>
      <c r="V580" s="20"/>
      <c r="W580" s="20"/>
      <c r="X580" s="20"/>
      <c r="Y580" s="20"/>
      <c r="Z580" s="20"/>
    </row>
    <row r="581" spans="2:26" ht="17.25" customHeight="1">
      <c r="B581" s="15"/>
      <c r="C581" s="15"/>
      <c r="D581" s="37"/>
      <c r="E581" s="58"/>
      <c r="F581" s="58"/>
      <c r="G581" s="58"/>
      <c r="H581" s="58"/>
      <c r="I581" s="58"/>
      <c r="J581" s="58"/>
      <c r="K581" s="31"/>
      <c r="L581" s="20"/>
      <c r="M581" s="20"/>
      <c r="N581" s="20"/>
      <c r="O581" s="20"/>
      <c r="P581" s="20"/>
      <c r="Q581" s="20"/>
      <c r="R581" s="20"/>
      <c r="S581" s="20"/>
      <c r="T581" s="20"/>
      <c r="U581" s="20"/>
      <c r="V581" s="20"/>
      <c r="W581" s="20"/>
      <c r="X581" s="20"/>
      <c r="Y581" s="20"/>
      <c r="Z581" s="20"/>
    </row>
    <row r="582" spans="2:26" ht="17.25" customHeight="1">
      <c r="B582" s="15"/>
      <c r="C582" s="15"/>
      <c r="D582" s="37"/>
      <c r="E582" s="58"/>
      <c r="F582" s="58"/>
      <c r="G582" s="58"/>
      <c r="H582" s="58"/>
      <c r="I582" s="58"/>
      <c r="J582" s="58"/>
      <c r="K582" s="31"/>
      <c r="L582" s="20"/>
      <c r="M582" s="20"/>
      <c r="N582" s="20"/>
      <c r="O582" s="20"/>
      <c r="P582" s="20"/>
      <c r="Q582" s="20"/>
      <c r="R582" s="20"/>
      <c r="S582" s="20"/>
      <c r="T582" s="20"/>
      <c r="U582" s="20"/>
      <c r="V582" s="20"/>
      <c r="W582" s="20"/>
      <c r="X582" s="20"/>
      <c r="Y582" s="20"/>
      <c r="Z582" s="20"/>
    </row>
    <row r="583" spans="2:26" ht="17.25" customHeight="1">
      <c r="B583" s="15"/>
      <c r="C583" s="15"/>
      <c r="D583" s="37"/>
      <c r="E583" s="58"/>
      <c r="F583" s="58"/>
      <c r="G583" s="58"/>
      <c r="H583" s="58"/>
      <c r="I583" s="58"/>
      <c r="J583" s="58"/>
      <c r="K583" s="31"/>
      <c r="L583" s="20"/>
      <c r="M583" s="20"/>
      <c r="N583" s="20"/>
      <c r="O583" s="20"/>
      <c r="P583" s="20"/>
      <c r="Q583" s="20"/>
      <c r="R583" s="20"/>
      <c r="S583" s="20"/>
      <c r="T583" s="20"/>
      <c r="U583" s="20"/>
      <c r="V583" s="20"/>
      <c r="W583" s="20"/>
      <c r="X583" s="20"/>
      <c r="Y583" s="20"/>
      <c r="Z583" s="20"/>
    </row>
    <row r="584" spans="2:26" ht="17.25" customHeight="1">
      <c r="B584" s="15"/>
      <c r="C584" s="15"/>
      <c r="D584" s="37"/>
      <c r="E584" s="58"/>
      <c r="F584" s="58"/>
      <c r="G584" s="58"/>
      <c r="H584" s="58"/>
      <c r="I584" s="58"/>
      <c r="J584" s="58"/>
      <c r="K584" s="31"/>
      <c r="L584" s="20"/>
      <c r="M584" s="20"/>
      <c r="N584" s="20"/>
      <c r="O584" s="20"/>
      <c r="P584" s="20"/>
      <c r="Q584" s="20"/>
      <c r="R584" s="20"/>
      <c r="S584" s="20"/>
      <c r="T584" s="20"/>
      <c r="U584" s="20"/>
      <c r="V584" s="20"/>
      <c r="W584" s="20"/>
      <c r="X584" s="20"/>
      <c r="Y584" s="20"/>
      <c r="Z584" s="20"/>
    </row>
    <row r="585" spans="2:26" ht="17.25" customHeight="1">
      <c r="B585" s="15"/>
      <c r="C585" s="15"/>
      <c r="D585" s="37"/>
      <c r="E585" s="58"/>
      <c r="F585" s="58"/>
      <c r="G585" s="58"/>
      <c r="H585" s="58"/>
      <c r="I585" s="58"/>
      <c r="J585" s="58"/>
      <c r="K585" s="31"/>
      <c r="L585" s="20"/>
      <c r="M585" s="20"/>
      <c r="N585" s="20"/>
      <c r="O585" s="20"/>
      <c r="P585" s="20"/>
      <c r="Q585" s="20"/>
      <c r="R585" s="20"/>
      <c r="S585" s="20"/>
      <c r="T585" s="20"/>
      <c r="U585" s="20"/>
      <c r="V585" s="20"/>
      <c r="W585" s="20"/>
      <c r="X585" s="20"/>
      <c r="Y585" s="20"/>
      <c r="Z585" s="20"/>
    </row>
    <row r="586" spans="2:26" ht="17.25" customHeight="1">
      <c r="B586" s="15"/>
      <c r="C586" s="15"/>
      <c r="D586" s="37"/>
      <c r="E586" s="58"/>
      <c r="F586" s="58"/>
      <c r="G586" s="58"/>
      <c r="H586" s="58"/>
      <c r="I586" s="58"/>
      <c r="J586" s="58"/>
      <c r="K586" s="31"/>
      <c r="L586" s="20"/>
      <c r="M586" s="20"/>
      <c r="N586" s="20"/>
      <c r="O586" s="20"/>
      <c r="P586" s="20"/>
      <c r="Q586" s="20"/>
      <c r="R586" s="20"/>
      <c r="S586" s="20"/>
      <c r="T586" s="20"/>
      <c r="U586" s="20"/>
      <c r="V586" s="20"/>
      <c r="W586" s="20"/>
      <c r="X586" s="20"/>
      <c r="Y586" s="20"/>
      <c r="Z586" s="20"/>
    </row>
    <row r="587" spans="2:26" ht="17.25" customHeight="1">
      <c r="B587" s="15"/>
      <c r="C587" s="15"/>
      <c r="D587" s="37"/>
      <c r="E587" s="58"/>
      <c r="F587" s="58"/>
      <c r="G587" s="58"/>
      <c r="H587" s="58"/>
      <c r="I587" s="58"/>
      <c r="J587" s="58"/>
      <c r="K587" s="31"/>
      <c r="L587" s="20"/>
      <c r="M587" s="20"/>
      <c r="N587" s="20"/>
      <c r="O587" s="20"/>
      <c r="P587" s="20"/>
      <c r="Q587" s="20"/>
      <c r="R587" s="20"/>
      <c r="S587" s="20"/>
      <c r="T587" s="20"/>
      <c r="U587" s="20"/>
      <c r="V587" s="20"/>
      <c r="W587" s="20"/>
      <c r="X587" s="20"/>
      <c r="Y587" s="20"/>
      <c r="Z587" s="20"/>
    </row>
    <row r="588" spans="2:26" ht="17.25" customHeight="1">
      <c r="B588" s="15"/>
      <c r="C588" s="15"/>
      <c r="D588" s="37"/>
      <c r="E588" s="58"/>
      <c r="F588" s="58"/>
      <c r="G588" s="58"/>
      <c r="H588" s="58"/>
      <c r="I588" s="58"/>
      <c r="J588" s="58"/>
      <c r="K588" s="31"/>
      <c r="L588" s="20"/>
      <c r="M588" s="20"/>
      <c r="N588" s="20"/>
      <c r="O588" s="20"/>
      <c r="P588" s="20"/>
      <c r="Q588" s="20"/>
      <c r="R588" s="20"/>
      <c r="S588" s="20"/>
      <c r="T588" s="20"/>
      <c r="U588" s="20"/>
      <c r="V588" s="20"/>
      <c r="W588" s="20"/>
      <c r="X588" s="20"/>
      <c r="Y588" s="20"/>
      <c r="Z588" s="20"/>
    </row>
    <row r="589" spans="2:26" ht="17.25" customHeight="1">
      <c r="B589" s="15"/>
      <c r="C589" s="15"/>
      <c r="D589" s="37"/>
      <c r="E589" s="58"/>
      <c r="F589" s="58"/>
      <c r="G589" s="58"/>
      <c r="H589" s="58"/>
      <c r="I589" s="58"/>
      <c r="J589" s="58"/>
      <c r="K589" s="31"/>
      <c r="L589" s="20"/>
      <c r="M589" s="20"/>
      <c r="N589" s="20"/>
      <c r="O589" s="20"/>
      <c r="P589" s="20"/>
      <c r="Q589" s="20"/>
      <c r="R589" s="20"/>
      <c r="S589" s="20"/>
      <c r="T589" s="20"/>
      <c r="U589" s="20"/>
      <c r="V589" s="20"/>
      <c r="W589" s="20"/>
      <c r="X589" s="20"/>
      <c r="Y589" s="20"/>
      <c r="Z589" s="20"/>
    </row>
    <row r="590" spans="2:26" ht="17.25" customHeight="1">
      <c r="B590" s="15"/>
      <c r="C590" s="15"/>
      <c r="D590" s="37"/>
      <c r="E590" s="58"/>
      <c r="F590" s="58"/>
      <c r="G590" s="58"/>
      <c r="H590" s="58"/>
      <c r="I590" s="58"/>
      <c r="J590" s="58"/>
      <c r="K590" s="31"/>
      <c r="L590" s="20"/>
      <c r="M590" s="20"/>
      <c r="N590" s="20"/>
      <c r="O590" s="20"/>
      <c r="P590" s="20"/>
      <c r="Q590" s="20"/>
      <c r="R590" s="20"/>
      <c r="S590" s="20"/>
      <c r="T590" s="20"/>
      <c r="U590" s="20"/>
      <c r="V590" s="20"/>
      <c r="W590" s="20"/>
      <c r="X590" s="20"/>
      <c r="Y590" s="20"/>
      <c r="Z590" s="20"/>
    </row>
    <row r="591" spans="2:26" ht="17.25" customHeight="1">
      <c r="B591" s="15"/>
      <c r="C591" s="15"/>
      <c r="D591" s="37"/>
      <c r="E591" s="58"/>
      <c r="F591" s="58"/>
      <c r="G591" s="58"/>
      <c r="H591" s="58"/>
      <c r="I591" s="58"/>
      <c r="J591" s="58"/>
      <c r="K591" s="31"/>
      <c r="L591" s="20"/>
      <c r="M591" s="20"/>
      <c r="N591" s="20"/>
      <c r="O591" s="20"/>
      <c r="P591" s="20"/>
      <c r="Q591" s="20"/>
      <c r="R591" s="20"/>
      <c r="S591" s="20"/>
      <c r="T591" s="20"/>
      <c r="U591" s="20"/>
      <c r="V591" s="20"/>
      <c r="W591" s="20"/>
      <c r="X591" s="20"/>
      <c r="Y591" s="20"/>
      <c r="Z591" s="20"/>
    </row>
    <row r="592" spans="2:26" ht="17.25" customHeight="1">
      <c r="B592" s="15"/>
      <c r="C592" s="15"/>
      <c r="D592" s="37"/>
      <c r="E592" s="58"/>
      <c r="F592" s="58"/>
      <c r="G592" s="58"/>
      <c r="H592" s="58"/>
      <c r="I592" s="58"/>
      <c r="J592" s="58"/>
      <c r="K592" s="31"/>
      <c r="L592" s="20"/>
      <c r="M592" s="20"/>
      <c r="N592" s="20"/>
      <c r="O592" s="20"/>
      <c r="P592" s="20"/>
      <c r="Q592" s="20"/>
      <c r="R592" s="20"/>
      <c r="S592" s="20"/>
      <c r="T592" s="20"/>
      <c r="U592" s="20"/>
      <c r="V592" s="20"/>
      <c r="W592" s="20"/>
      <c r="X592" s="20"/>
      <c r="Y592" s="20"/>
      <c r="Z592" s="20"/>
    </row>
    <row r="593" spans="2:26" ht="17.25" customHeight="1">
      <c r="B593" s="15"/>
      <c r="C593" s="15"/>
      <c r="D593" s="37"/>
      <c r="E593" s="58"/>
      <c r="F593" s="58"/>
      <c r="G593" s="58"/>
      <c r="H593" s="58"/>
      <c r="I593" s="58"/>
      <c r="J593" s="58"/>
      <c r="K593" s="31"/>
      <c r="L593" s="20"/>
      <c r="M593" s="20"/>
      <c r="N593" s="20"/>
      <c r="O593" s="20"/>
      <c r="P593" s="20"/>
      <c r="Q593" s="20"/>
      <c r="R593" s="20"/>
      <c r="S593" s="20"/>
      <c r="T593" s="20"/>
      <c r="U593" s="20"/>
      <c r="V593" s="20"/>
      <c r="W593" s="20"/>
      <c r="X593" s="20"/>
      <c r="Y593" s="20"/>
      <c r="Z593" s="20"/>
    </row>
    <row r="594" spans="2:26" ht="17.25" customHeight="1">
      <c r="B594" s="15"/>
      <c r="C594" s="15"/>
      <c r="D594" s="37"/>
      <c r="E594" s="58"/>
      <c r="F594" s="58"/>
      <c r="G594" s="58"/>
      <c r="H594" s="58"/>
      <c r="I594" s="58"/>
      <c r="J594" s="58"/>
      <c r="K594" s="31"/>
      <c r="L594" s="20"/>
      <c r="M594" s="20"/>
      <c r="N594" s="20"/>
      <c r="O594" s="20"/>
      <c r="P594" s="20"/>
      <c r="Q594" s="20"/>
      <c r="R594" s="20"/>
      <c r="S594" s="20"/>
      <c r="T594" s="20"/>
      <c r="U594" s="20"/>
      <c r="V594" s="20"/>
      <c r="W594" s="20"/>
      <c r="X594" s="20"/>
      <c r="Y594" s="20"/>
      <c r="Z594" s="20"/>
    </row>
    <row r="595" spans="2:26" ht="17.25" customHeight="1">
      <c r="B595" s="15"/>
      <c r="C595" s="15"/>
      <c r="D595" s="37"/>
      <c r="E595" s="58"/>
      <c r="F595" s="58"/>
      <c r="G595" s="58"/>
      <c r="H595" s="58"/>
      <c r="I595" s="58"/>
      <c r="J595" s="58"/>
      <c r="K595" s="31"/>
      <c r="L595" s="20"/>
      <c r="M595" s="20"/>
      <c r="N595" s="20"/>
      <c r="O595" s="20"/>
      <c r="P595" s="20"/>
      <c r="Q595" s="20"/>
      <c r="R595" s="20"/>
      <c r="S595" s="20"/>
      <c r="T595" s="20"/>
      <c r="U595" s="20"/>
      <c r="V595" s="20"/>
      <c r="W595" s="20"/>
      <c r="X595" s="20"/>
      <c r="Y595" s="20"/>
      <c r="Z595" s="20"/>
    </row>
    <row r="596" spans="2:26" ht="17.25" customHeight="1">
      <c r="B596" s="15"/>
      <c r="C596" s="15"/>
      <c r="D596" s="37"/>
      <c r="E596" s="58"/>
      <c r="F596" s="58"/>
      <c r="G596" s="58"/>
      <c r="H596" s="58"/>
      <c r="I596" s="58"/>
      <c r="J596" s="58"/>
      <c r="K596" s="31"/>
      <c r="L596" s="20"/>
      <c r="M596" s="20"/>
      <c r="N596" s="20"/>
      <c r="O596" s="20"/>
      <c r="P596" s="20"/>
      <c r="Q596" s="20"/>
      <c r="R596" s="20"/>
      <c r="S596" s="20"/>
      <c r="T596" s="20"/>
      <c r="U596" s="20"/>
      <c r="V596" s="20"/>
      <c r="W596" s="20"/>
      <c r="X596" s="20"/>
      <c r="Y596" s="20"/>
      <c r="Z596" s="20"/>
    </row>
    <row r="597" spans="2:26" ht="17.25" customHeight="1">
      <c r="B597" s="15"/>
      <c r="C597" s="15"/>
      <c r="D597" s="37"/>
      <c r="E597" s="58"/>
      <c r="F597" s="58"/>
      <c r="G597" s="58"/>
      <c r="H597" s="58"/>
      <c r="I597" s="58"/>
      <c r="J597" s="58"/>
      <c r="K597" s="31"/>
      <c r="L597" s="20"/>
      <c r="M597" s="20"/>
      <c r="N597" s="20"/>
      <c r="O597" s="20"/>
      <c r="P597" s="20"/>
      <c r="Q597" s="20"/>
      <c r="R597" s="20"/>
      <c r="S597" s="20"/>
      <c r="T597" s="20"/>
      <c r="U597" s="20"/>
      <c r="V597" s="20"/>
      <c r="W597" s="20"/>
      <c r="X597" s="20"/>
      <c r="Y597" s="20"/>
      <c r="Z597" s="20"/>
    </row>
    <row r="598" spans="2:26" ht="17.25" customHeight="1">
      <c r="B598" s="15"/>
      <c r="C598" s="15"/>
      <c r="D598" s="37"/>
      <c r="E598" s="58"/>
      <c r="F598" s="58"/>
      <c r="G598" s="58"/>
      <c r="H598" s="58"/>
      <c r="I598" s="58"/>
      <c r="J598" s="58"/>
      <c r="K598" s="31"/>
      <c r="L598" s="20"/>
      <c r="M598" s="20"/>
      <c r="N598" s="20"/>
      <c r="O598" s="20"/>
      <c r="P598" s="20"/>
      <c r="Q598" s="20"/>
      <c r="R598" s="20"/>
      <c r="S598" s="20"/>
      <c r="T598" s="20"/>
      <c r="U598" s="20"/>
      <c r="V598" s="20"/>
      <c r="W598" s="20"/>
      <c r="X598" s="20"/>
      <c r="Y598" s="20"/>
      <c r="Z598" s="20"/>
    </row>
    <row r="599" spans="2:26" ht="17.25" customHeight="1">
      <c r="B599" s="15"/>
      <c r="C599" s="15"/>
      <c r="D599" s="37"/>
      <c r="E599" s="58"/>
      <c r="F599" s="58"/>
      <c r="G599" s="58"/>
      <c r="H599" s="58"/>
      <c r="I599" s="58"/>
      <c r="J599" s="58"/>
      <c r="K599" s="31"/>
      <c r="L599" s="20"/>
      <c r="M599" s="20"/>
      <c r="N599" s="20"/>
      <c r="O599" s="20"/>
      <c r="P599" s="20"/>
      <c r="Q599" s="20"/>
      <c r="R599" s="20"/>
      <c r="S599" s="20"/>
      <c r="T599" s="20"/>
      <c r="U599" s="20"/>
      <c r="V599" s="20"/>
      <c r="W599" s="20"/>
      <c r="X599" s="20"/>
      <c r="Y599" s="20"/>
      <c r="Z599" s="20"/>
    </row>
    <row r="600" spans="2:26" ht="17.25" customHeight="1">
      <c r="B600" s="15"/>
      <c r="C600" s="15"/>
      <c r="D600" s="37"/>
      <c r="E600" s="58"/>
      <c r="F600" s="58"/>
      <c r="G600" s="58"/>
      <c r="H600" s="58"/>
      <c r="I600" s="58"/>
      <c r="J600" s="58"/>
      <c r="K600" s="31"/>
      <c r="L600" s="20"/>
      <c r="M600" s="20"/>
      <c r="N600" s="20"/>
      <c r="O600" s="20"/>
      <c r="P600" s="20"/>
      <c r="Q600" s="20"/>
      <c r="R600" s="20"/>
      <c r="S600" s="20"/>
      <c r="T600" s="20"/>
      <c r="U600" s="20"/>
      <c r="V600" s="20"/>
      <c r="W600" s="20"/>
      <c r="X600" s="20"/>
      <c r="Y600" s="20"/>
      <c r="Z600" s="20"/>
    </row>
    <row r="601" spans="2:26" ht="17.25" customHeight="1">
      <c r="B601" s="15"/>
      <c r="C601" s="15"/>
      <c r="D601" s="37"/>
      <c r="E601" s="58"/>
      <c r="F601" s="58"/>
      <c r="G601" s="58"/>
      <c r="H601" s="58"/>
      <c r="I601" s="58"/>
      <c r="J601" s="58"/>
      <c r="K601" s="31"/>
      <c r="L601" s="20"/>
      <c r="M601" s="20"/>
      <c r="N601" s="20"/>
      <c r="O601" s="20"/>
      <c r="P601" s="20"/>
      <c r="Q601" s="20"/>
      <c r="R601" s="20"/>
      <c r="S601" s="20"/>
      <c r="T601" s="20"/>
      <c r="U601" s="20"/>
      <c r="V601" s="20"/>
      <c r="W601" s="20"/>
      <c r="X601" s="20"/>
      <c r="Y601" s="20"/>
      <c r="Z601" s="20"/>
    </row>
    <row r="602" spans="2:26" ht="17.25" customHeight="1">
      <c r="B602" s="15"/>
      <c r="C602" s="15"/>
      <c r="D602" s="37"/>
      <c r="E602" s="58"/>
      <c r="F602" s="58"/>
      <c r="G602" s="58"/>
      <c r="H602" s="58"/>
      <c r="I602" s="58"/>
      <c r="J602" s="58"/>
      <c r="K602" s="31"/>
      <c r="L602" s="20"/>
      <c r="M602" s="20"/>
      <c r="N602" s="20"/>
      <c r="O602" s="20"/>
      <c r="P602" s="20"/>
      <c r="Q602" s="20"/>
      <c r="R602" s="20"/>
      <c r="S602" s="20"/>
      <c r="T602" s="20"/>
      <c r="U602" s="20"/>
      <c r="V602" s="20"/>
      <c r="W602" s="20"/>
      <c r="X602" s="20"/>
      <c r="Y602" s="20"/>
      <c r="Z602" s="20"/>
    </row>
    <row r="603" spans="2:26" ht="17.25" customHeight="1">
      <c r="B603" s="15"/>
      <c r="C603" s="15"/>
      <c r="D603" s="37"/>
      <c r="E603" s="58"/>
      <c r="F603" s="58"/>
      <c r="G603" s="58"/>
      <c r="H603" s="58"/>
      <c r="I603" s="58"/>
      <c r="J603" s="58"/>
      <c r="K603" s="31"/>
      <c r="L603" s="20"/>
      <c r="M603" s="20"/>
      <c r="N603" s="20"/>
      <c r="O603" s="20"/>
      <c r="P603" s="20"/>
      <c r="Q603" s="20"/>
      <c r="R603" s="20"/>
      <c r="S603" s="20"/>
      <c r="T603" s="20"/>
      <c r="U603" s="20"/>
      <c r="V603" s="20"/>
      <c r="W603" s="20"/>
      <c r="X603" s="20"/>
      <c r="Y603" s="20"/>
      <c r="Z603" s="20"/>
    </row>
    <row r="604" spans="2:26" ht="17.25" customHeight="1">
      <c r="B604" s="15"/>
      <c r="C604" s="15"/>
      <c r="D604" s="37"/>
      <c r="E604" s="58"/>
      <c r="F604" s="58"/>
      <c r="G604" s="58"/>
      <c r="H604" s="58"/>
      <c r="I604" s="58"/>
      <c r="J604" s="58"/>
      <c r="K604" s="31"/>
      <c r="L604" s="20"/>
      <c r="M604" s="20"/>
      <c r="N604" s="20"/>
      <c r="O604" s="20"/>
      <c r="P604" s="20"/>
      <c r="Q604" s="20"/>
      <c r="R604" s="20"/>
      <c r="S604" s="20"/>
      <c r="T604" s="20"/>
      <c r="U604" s="20"/>
      <c r="V604" s="20"/>
      <c r="W604" s="20"/>
      <c r="X604" s="20"/>
      <c r="Y604" s="20"/>
      <c r="Z604" s="20"/>
    </row>
    <row r="605" spans="2:26" ht="17.25" customHeight="1">
      <c r="B605" s="15"/>
      <c r="C605" s="15"/>
      <c r="D605" s="37"/>
      <c r="E605" s="58"/>
      <c r="F605" s="58"/>
      <c r="G605" s="58"/>
      <c r="H605" s="58"/>
      <c r="I605" s="58"/>
      <c r="J605" s="58"/>
      <c r="K605" s="31"/>
      <c r="L605" s="20"/>
      <c r="M605" s="20"/>
      <c r="N605" s="20"/>
      <c r="O605" s="20"/>
      <c r="P605" s="20"/>
      <c r="Q605" s="20"/>
      <c r="R605" s="20"/>
      <c r="S605" s="20"/>
      <c r="T605" s="20"/>
      <c r="U605" s="20"/>
      <c r="V605" s="20"/>
      <c r="W605" s="20"/>
      <c r="X605" s="20"/>
      <c r="Y605" s="20"/>
      <c r="Z605" s="20"/>
    </row>
    <row r="606" spans="2:26" ht="17.25" customHeight="1">
      <c r="B606" s="15"/>
      <c r="C606" s="15"/>
      <c r="D606" s="37"/>
      <c r="E606" s="58"/>
      <c r="F606" s="58"/>
      <c r="G606" s="58"/>
      <c r="H606" s="58"/>
      <c r="I606" s="58"/>
      <c r="J606" s="58"/>
      <c r="K606" s="31"/>
      <c r="L606" s="20"/>
      <c r="M606" s="20"/>
      <c r="N606" s="20"/>
      <c r="O606" s="20"/>
      <c r="P606" s="20"/>
      <c r="Q606" s="20"/>
      <c r="R606" s="20"/>
      <c r="S606" s="20"/>
      <c r="T606" s="20"/>
      <c r="U606" s="20"/>
      <c r="V606" s="20"/>
      <c r="W606" s="20"/>
      <c r="X606" s="20"/>
      <c r="Y606" s="20"/>
      <c r="Z606" s="20"/>
    </row>
    <row r="607" spans="2:26" ht="17.25" customHeight="1">
      <c r="B607" s="15"/>
      <c r="C607" s="15"/>
      <c r="D607" s="37"/>
      <c r="E607" s="58"/>
      <c r="F607" s="58"/>
      <c r="G607" s="58"/>
      <c r="H607" s="58"/>
      <c r="I607" s="58"/>
      <c r="J607" s="58"/>
      <c r="K607" s="31"/>
      <c r="L607" s="20"/>
      <c r="M607" s="20"/>
      <c r="N607" s="20"/>
      <c r="O607" s="20"/>
      <c r="P607" s="20"/>
      <c r="Q607" s="20"/>
      <c r="R607" s="20"/>
      <c r="S607" s="20"/>
      <c r="T607" s="20"/>
      <c r="U607" s="20"/>
      <c r="V607" s="20"/>
      <c r="W607" s="20"/>
      <c r="X607" s="20"/>
      <c r="Y607" s="20"/>
      <c r="Z607" s="20"/>
    </row>
    <row r="608" spans="2:26" ht="17.25" customHeight="1">
      <c r="B608" s="15"/>
      <c r="C608" s="15"/>
      <c r="D608" s="37"/>
      <c r="E608" s="58"/>
      <c r="F608" s="58"/>
      <c r="G608" s="58"/>
      <c r="H608" s="58"/>
      <c r="I608" s="58"/>
      <c r="J608" s="58"/>
      <c r="K608" s="31"/>
      <c r="L608" s="20"/>
      <c r="M608" s="20"/>
      <c r="N608" s="20"/>
      <c r="O608" s="20"/>
      <c r="P608" s="20"/>
      <c r="Q608" s="20"/>
      <c r="R608" s="20"/>
      <c r="S608" s="20"/>
      <c r="T608" s="20"/>
      <c r="U608" s="20"/>
      <c r="V608" s="20"/>
      <c r="W608" s="20"/>
      <c r="X608" s="20"/>
      <c r="Y608" s="20"/>
      <c r="Z608" s="20"/>
    </row>
    <row r="609" spans="2:26" ht="17.25" customHeight="1">
      <c r="B609" s="15"/>
      <c r="C609" s="15"/>
      <c r="D609" s="37"/>
      <c r="E609" s="58"/>
      <c r="F609" s="58"/>
      <c r="G609" s="58"/>
      <c r="H609" s="58"/>
      <c r="I609" s="58"/>
      <c r="J609" s="58"/>
      <c r="K609" s="31"/>
      <c r="L609" s="20"/>
      <c r="M609" s="20"/>
      <c r="N609" s="20"/>
      <c r="O609" s="20"/>
      <c r="P609" s="20"/>
      <c r="Q609" s="20"/>
      <c r="R609" s="20"/>
      <c r="S609" s="20"/>
      <c r="T609" s="20"/>
      <c r="U609" s="20"/>
      <c r="V609" s="20"/>
      <c r="W609" s="20"/>
      <c r="X609" s="20"/>
      <c r="Y609" s="20"/>
      <c r="Z609" s="20"/>
    </row>
    <row r="610" spans="2:26" ht="17.25" customHeight="1">
      <c r="B610" s="15"/>
      <c r="C610" s="15"/>
      <c r="D610" s="37"/>
      <c r="E610" s="58"/>
      <c r="F610" s="58"/>
      <c r="G610" s="58"/>
      <c r="H610" s="58"/>
      <c r="I610" s="58"/>
      <c r="J610" s="58"/>
      <c r="K610" s="31"/>
      <c r="L610" s="20"/>
      <c r="M610" s="20"/>
      <c r="N610" s="20"/>
      <c r="O610" s="20"/>
      <c r="P610" s="20"/>
      <c r="Q610" s="20"/>
      <c r="R610" s="20"/>
      <c r="S610" s="20"/>
      <c r="T610" s="20"/>
      <c r="U610" s="20"/>
      <c r="V610" s="20"/>
      <c r="W610" s="20"/>
      <c r="X610" s="20"/>
      <c r="Y610" s="20"/>
      <c r="Z610" s="20"/>
    </row>
    <row r="611" spans="2:26" ht="17.25" customHeight="1">
      <c r="B611" s="15"/>
      <c r="C611" s="15"/>
      <c r="D611" s="37"/>
      <c r="E611" s="58"/>
      <c r="F611" s="58"/>
      <c r="G611" s="58"/>
      <c r="H611" s="58"/>
      <c r="I611" s="58"/>
      <c r="J611" s="58"/>
      <c r="K611" s="31"/>
      <c r="L611" s="20"/>
      <c r="M611" s="20"/>
      <c r="N611" s="20"/>
      <c r="O611" s="20"/>
      <c r="P611" s="20"/>
      <c r="Q611" s="20"/>
      <c r="R611" s="20"/>
      <c r="S611" s="20"/>
      <c r="T611" s="20"/>
      <c r="U611" s="20"/>
      <c r="V611" s="20"/>
      <c r="W611" s="20"/>
      <c r="X611" s="20"/>
      <c r="Y611" s="20"/>
      <c r="Z611" s="20"/>
    </row>
    <row r="612" spans="2:26" ht="17.25" customHeight="1">
      <c r="B612" s="15"/>
      <c r="C612" s="15"/>
      <c r="D612" s="37"/>
      <c r="E612" s="58"/>
      <c r="F612" s="58"/>
      <c r="G612" s="58"/>
      <c r="H612" s="58"/>
      <c r="I612" s="58"/>
      <c r="J612" s="58"/>
      <c r="K612" s="31"/>
      <c r="L612" s="20"/>
      <c r="M612" s="20"/>
      <c r="N612" s="20"/>
      <c r="O612" s="20"/>
      <c r="P612" s="20"/>
      <c r="Q612" s="20"/>
      <c r="R612" s="20"/>
      <c r="S612" s="20"/>
      <c r="T612" s="20"/>
      <c r="U612" s="20"/>
      <c r="V612" s="20"/>
      <c r="W612" s="20"/>
      <c r="X612" s="20"/>
      <c r="Y612" s="20"/>
      <c r="Z612" s="20"/>
    </row>
    <row r="613" spans="2:26" ht="17.25" customHeight="1">
      <c r="B613" s="15"/>
      <c r="C613" s="15"/>
      <c r="D613" s="37"/>
      <c r="E613" s="58"/>
      <c r="F613" s="58"/>
      <c r="G613" s="58"/>
      <c r="H613" s="58"/>
      <c r="I613" s="58"/>
      <c r="J613" s="58"/>
      <c r="K613" s="31"/>
      <c r="L613" s="20"/>
      <c r="M613" s="20"/>
      <c r="N613" s="20"/>
      <c r="O613" s="20"/>
      <c r="P613" s="20"/>
      <c r="Q613" s="20"/>
      <c r="R613" s="20"/>
      <c r="S613" s="20"/>
      <c r="T613" s="20"/>
      <c r="U613" s="20"/>
      <c r="V613" s="20"/>
      <c r="W613" s="20"/>
      <c r="X613" s="20"/>
      <c r="Y613" s="20"/>
      <c r="Z613" s="20"/>
    </row>
    <row r="614" spans="2:26" ht="17.25" customHeight="1">
      <c r="B614" s="15"/>
      <c r="C614" s="15"/>
      <c r="D614" s="37"/>
      <c r="E614" s="58"/>
      <c r="F614" s="58"/>
      <c r="G614" s="58"/>
      <c r="H614" s="58"/>
      <c r="I614" s="58"/>
      <c r="J614" s="58"/>
      <c r="K614" s="31"/>
      <c r="L614" s="20"/>
      <c r="M614" s="20"/>
      <c r="N614" s="20"/>
      <c r="O614" s="20"/>
      <c r="P614" s="20"/>
      <c r="Q614" s="20"/>
      <c r="R614" s="20"/>
      <c r="S614" s="20"/>
      <c r="T614" s="20"/>
      <c r="U614" s="20"/>
      <c r="V614" s="20"/>
      <c r="W614" s="20"/>
      <c r="X614" s="20"/>
      <c r="Y614" s="20"/>
      <c r="Z614" s="20"/>
    </row>
    <row r="615" spans="2:26" ht="17.25" customHeight="1">
      <c r="B615" s="15"/>
      <c r="C615" s="15"/>
      <c r="D615" s="37"/>
      <c r="E615" s="58"/>
      <c r="F615" s="58"/>
      <c r="G615" s="58"/>
      <c r="H615" s="58"/>
      <c r="I615" s="58"/>
      <c r="J615" s="58"/>
      <c r="K615" s="31"/>
      <c r="L615" s="20"/>
      <c r="M615" s="20"/>
      <c r="N615" s="20"/>
      <c r="O615" s="20"/>
      <c r="P615" s="20"/>
      <c r="Q615" s="20"/>
      <c r="R615" s="20"/>
      <c r="S615" s="20"/>
      <c r="T615" s="20"/>
      <c r="U615" s="20"/>
      <c r="V615" s="20"/>
      <c r="W615" s="20"/>
      <c r="X615" s="20"/>
      <c r="Y615" s="20"/>
      <c r="Z615" s="20"/>
    </row>
    <row r="616" spans="2:26" ht="17.25" customHeight="1">
      <c r="B616" s="15"/>
      <c r="C616" s="15"/>
      <c r="D616" s="37"/>
      <c r="E616" s="58"/>
      <c r="F616" s="58"/>
      <c r="G616" s="58"/>
      <c r="H616" s="58"/>
      <c r="I616" s="58"/>
      <c r="J616" s="58"/>
      <c r="K616" s="31"/>
      <c r="L616" s="20"/>
      <c r="M616" s="20"/>
      <c r="N616" s="20"/>
      <c r="O616" s="20"/>
      <c r="P616" s="20"/>
      <c r="Q616" s="20"/>
      <c r="R616" s="20"/>
      <c r="S616" s="20"/>
      <c r="T616" s="20"/>
      <c r="U616" s="20"/>
      <c r="V616" s="20"/>
      <c r="W616" s="20"/>
      <c r="X616" s="20"/>
      <c r="Y616" s="20"/>
      <c r="Z616" s="20"/>
    </row>
    <row r="617" spans="2:26" ht="17.25" customHeight="1">
      <c r="B617" s="15"/>
      <c r="C617" s="15"/>
      <c r="D617" s="37"/>
      <c r="E617" s="58"/>
      <c r="F617" s="58"/>
      <c r="G617" s="58"/>
      <c r="H617" s="58"/>
      <c r="I617" s="58"/>
      <c r="J617" s="58"/>
      <c r="K617" s="31"/>
      <c r="L617" s="20"/>
      <c r="M617" s="20"/>
      <c r="N617" s="20"/>
      <c r="O617" s="20"/>
      <c r="P617" s="20"/>
      <c r="Q617" s="20"/>
      <c r="R617" s="20"/>
      <c r="S617" s="20"/>
      <c r="T617" s="20"/>
      <c r="U617" s="20"/>
      <c r="V617" s="20"/>
      <c r="W617" s="20"/>
      <c r="X617" s="20"/>
      <c r="Y617" s="20"/>
      <c r="Z617" s="20"/>
    </row>
    <row r="618" spans="2:26" ht="17.25" customHeight="1">
      <c r="B618" s="15"/>
      <c r="C618" s="15"/>
      <c r="D618" s="37"/>
      <c r="E618" s="58"/>
      <c r="F618" s="58"/>
      <c r="G618" s="58"/>
      <c r="H618" s="58"/>
      <c r="I618" s="58"/>
      <c r="J618" s="58"/>
      <c r="K618" s="31"/>
      <c r="L618" s="20"/>
      <c r="M618" s="20"/>
      <c r="N618" s="20"/>
      <c r="O618" s="20"/>
      <c r="P618" s="20"/>
      <c r="Q618" s="20"/>
      <c r="R618" s="20"/>
      <c r="S618" s="20"/>
      <c r="T618" s="20"/>
      <c r="U618" s="20"/>
      <c r="V618" s="20"/>
      <c r="W618" s="20"/>
      <c r="X618" s="20"/>
      <c r="Y618" s="20"/>
      <c r="Z618" s="20"/>
    </row>
    <row r="619" spans="2:26" ht="17.25" customHeight="1">
      <c r="B619" s="15"/>
      <c r="C619" s="15"/>
      <c r="D619" s="37"/>
      <c r="E619" s="58"/>
      <c r="F619" s="58"/>
      <c r="G619" s="58"/>
      <c r="H619" s="58"/>
      <c r="I619" s="58"/>
      <c r="J619" s="58"/>
      <c r="K619" s="31"/>
      <c r="L619" s="20"/>
      <c r="M619" s="20"/>
      <c r="N619" s="20"/>
      <c r="O619" s="20"/>
      <c r="P619" s="20"/>
      <c r="Q619" s="20"/>
      <c r="R619" s="20"/>
      <c r="S619" s="20"/>
      <c r="T619" s="20"/>
      <c r="U619" s="20"/>
      <c r="V619" s="20"/>
      <c r="W619" s="20"/>
      <c r="X619" s="20"/>
      <c r="Y619" s="20"/>
      <c r="Z619" s="20"/>
    </row>
    <row r="620" spans="2:26" ht="17.25" customHeight="1">
      <c r="B620" s="15"/>
      <c r="C620" s="15"/>
      <c r="D620" s="37"/>
      <c r="E620" s="58"/>
      <c r="F620" s="58"/>
      <c r="G620" s="58"/>
      <c r="H620" s="58"/>
      <c r="I620" s="58"/>
      <c r="J620" s="58"/>
      <c r="K620" s="31"/>
      <c r="L620" s="20"/>
      <c r="M620" s="20"/>
      <c r="N620" s="20"/>
      <c r="O620" s="20"/>
      <c r="P620" s="20"/>
      <c r="Q620" s="20"/>
      <c r="R620" s="20"/>
      <c r="S620" s="20"/>
      <c r="T620" s="20"/>
      <c r="U620" s="20"/>
      <c r="V620" s="20"/>
      <c r="W620" s="20"/>
      <c r="X620" s="20"/>
      <c r="Y620" s="20"/>
      <c r="Z620" s="20"/>
    </row>
    <row r="621" spans="2:26" ht="17.25" customHeight="1">
      <c r="B621" s="15"/>
      <c r="C621" s="15"/>
      <c r="D621" s="37"/>
      <c r="E621" s="58"/>
      <c r="F621" s="58"/>
      <c r="G621" s="58"/>
      <c r="H621" s="58"/>
      <c r="I621" s="58"/>
      <c r="J621" s="58"/>
      <c r="K621" s="31"/>
      <c r="L621" s="20"/>
      <c r="M621" s="20"/>
      <c r="N621" s="20"/>
      <c r="O621" s="20"/>
      <c r="P621" s="20"/>
      <c r="Q621" s="20"/>
      <c r="R621" s="20"/>
      <c r="S621" s="20"/>
      <c r="T621" s="20"/>
      <c r="U621" s="20"/>
      <c r="V621" s="20"/>
      <c r="W621" s="20"/>
      <c r="X621" s="20"/>
      <c r="Y621" s="20"/>
      <c r="Z621" s="20"/>
    </row>
    <row r="622" spans="2:26" ht="17.25" customHeight="1">
      <c r="B622" s="15"/>
      <c r="C622" s="15"/>
      <c r="D622" s="37"/>
      <c r="E622" s="58"/>
      <c r="F622" s="58"/>
      <c r="G622" s="58"/>
      <c r="H622" s="58"/>
      <c r="I622" s="58"/>
      <c r="J622" s="58"/>
      <c r="K622" s="31"/>
      <c r="L622" s="20"/>
      <c r="M622" s="20"/>
      <c r="N622" s="20"/>
      <c r="O622" s="20"/>
      <c r="P622" s="20"/>
      <c r="Q622" s="20"/>
      <c r="R622" s="20"/>
      <c r="S622" s="20"/>
      <c r="T622" s="20"/>
      <c r="U622" s="20"/>
      <c r="V622" s="20"/>
      <c r="W622" s="20"/>
      <c r="X622" s="20"/>
      <c r="Y622" s="20"/>
      <c r="Z622" s="20"/>
    </row>
    <row r="623" spans="2:26" ht="17.25" customHeight="1">
      <c r="B623" s="15"/>
      <c r="C623" s="15"/>
      <c r="D623" s="37"/>
      <c r="E623" s="58"/>
      <c r="F623" s="58"/>
      <c r="G623" s="58"/>
      <c r="H623" s="58"/>
      <c r="I623" s="58"/>
      <c r="J623" s="58"/>
      <c r="K623" s="31"/>
      <c r="L623" s="20"/>
      <c r="M623" s="20"/>
      <c r="N623" s="20"/>
      <c r="O623" s="20"/>
      <c r="P623" s="20"/>
      <c r="Q623" s="20"/>
      <c r="R623" s="20"/>
      <c r="S623" s="20"/>
      <c r="T623" s="20"/>
      <c r="U623" s="20"/>
      <c r="V623" s="20"/>
      <c r="W623" s="20"/>
      <c r="X623" s="20"/>
      <c r="Y623" s="20"/>
      <c r="Z623" s="20"/>
    </row>
    <row r="624" spans="2:26" ht="17.25" customHeight="1">
      <c r="B624" s="15"/>
      <c r="C624" s="15"/>
      <c r="D624" s="37"/>
      <c r="E624" s="58"/>
      <c r="F624" s="58"/>
      <c r="G624" s="58"/>
      <c r="H624" s="58"/>
      <c r="I624" s="58"/>
      <c r="J624" s="58"/>
      <c r="K624" s="31"/>
      <c r="L624" s="20"/>
      <c r="M624" s="20"/>
      <c r="N624" s="20"/>
      <c r="O624" s="20"/>
      <c r="P624" s="20"/>
      <c r="Q624" s="20"/>
      <c r="R624" s="20"/>
      <c r="S624" s="20"/>
      <c r="T624" s="20"/>
      <c r="U624" s="20"/>
      <c r="V624" s="20"/>
      <c r="W624" s="20"/>
      <c r="X624" s="20"/>
      <c r="Y624" s="20"/>
      <c r="Z624" s="20"/>
    </row>
    <row r="625" spans="2:26" ht="17.25" customHeight="1">
      <c r="B625" s="15"/>
      <c r="C625" s="15"/>
      <c r="D625" s="37"/>
      <c r="E625" s="58"/>
      <c r="F625" s="58"/>
      <c r="G625" s="58"/>
      <c r="H625" s="58"/>
      <c r="I625" s="58"/>
      <c r="J625" s="58"/>
      <c r="K625" s="31"/>
      <c r="L625" s="20"/>
      <c r="M625" s="20"/>
      <c r="N625" s="20"/>
      <c r="O625" s="20"/>
      <c r="P625" s="20"/>
      <c r="Q625" s="20"/>
      <c r="R625" s="20"/>
      <c r="S625" s="20"/>
      <c r="T625" s="20"/>
      <c r="U625" s="20"/>
      <c r="V625" s="20"/>
      <c r="W625" s="20"/>
      <c r="X625" s="20"/>
      <c r="Y625" s="20"/>
      <c r="Z625" s="20"/>
    </row>
    <row r="626" spans="2:26" ht="17.25" customHeight="1">
      <c r="B626" s="15"/>
      <c r="C626" s="15"/>
      <c r="D626" s="37"/>
      <c r="E626" s="58"/>
      <c r="F626" s="58"/>
      <c r="G626" s="58"/>
      <c r="H626" s="58"/>
      <c r="I626" s="58"/>
      <c r="J626" s="58"/>
      <c r="K626" s="31"/>
      <c r="L626" s="20"/>
      <c r="M626" s="20"/>
      <c r="N626" s="20"/>
      <c r="O626" s="20"/>
      <c r="P626" s="20"/>
      <c r="Q626" s="20"/>
      <c r="R626" s="20"/>
      <c r="S626" s="20"/>
      <c r="T626" s="20"/>
      <c r="U626" s="20"/>
      <c r="V626" s="20"/>
      <c r="W626" s="20"/>
      <c r="X626" s="20"/>
      <c r="Y626" s="20"/>
      <c r="Z626" s="20"/>
    </row>
    <row r="627" spans="2:26" ht="17.25" customHeight="1">
      <c r="B627" s="15"/>
      <c r="C627" s="15"/>
      <c r="D627" s="37"/>
      <c r="E627" s="58"/>
      <c r="F627" s="58"/>
      <c r="G627" s="58"/>
      <c r="H627" s="58"/>
      <c r="I627" s="58"/>
      <c r="J627" s="58"/>
      <c r="K627" s="31"/>
      <c r="L627" s="20"/>
      <c r="M627" s="20"/>
      <c r="N627" s="20"/>
      <c r="O627" s="20"/>
      <c r="P627" s="20"/>
      <c r="Q627" s="20"/>
      <c r="R627" s="20"/>
      <c r="S627" s="20"/>
      <c r="T627" s="20"/>
      <c r="U627" s="20"/>
      <c r="V627" s="20"/>
      <c r="W627" s="20"/>
      <c r="X627" s="20"/>
      <c r="Y627" s="20"/>
      <c r="Z627" s="20"/>
    </row>
    <row r="628" spans="2:26" ht="17.25" customHeight="1">
      <c r="B628" s="15"/>
      <c r="C628" s="15"/>
      <c r="D628" s="37"/>
      <c r="E628" s="58"/>
      <c r="F628" s="58"/>
      <c r="G628" s="58"/>
      <c r="H628" s="58"/>
      <c r="I628" s="58"/>
      <c r="J628" s="58"/>
      <c r="K628" s="31"/>
      <c r="L628" s="20"/>
      <c r="M628" s="20"/>
      <c r="N628" s="20"/>
      <c r="O628" s="20"/>
      <c r="P628" s="20"/>
      <c r="Q628" s="20"/>
      <c r="R628" s="20"/>
      <c r="S628" s="20"/>
      <c r="T628" s="20"/>
      <c r="U628" s="20"/>
      <c r="V628" s="20"/>
      <c r="W628" s="20"/>
      <c r="X628" s="20"/>
      <c r="Y628" s="20"/>
      <c r="Z628" s="20"/>
    </row>
    <row r="629" spans="2:26" ht="17.25" customHeight="1">
      <c r="B629" s="15"/>
      <c r="C629" s="15"/>
      <c r="D629" s="37"/>
      <c r="E629" s="58"/>
      <c r="F629" s="58"/>
      <c r="G629" s="58"/>
      <c r="H629" s="58"/>
      <c r="I629" s="58"/>
      <c r="J629" s="58"/>
      <c r="K629" s="31"/>
      <c r="L629" s="20"/>
      <c r="M629" s="20"/>
      <c r="N629" s="20"/>
      <c r="O629" s="20"/>
      <c r="P629" s="20"/>
      <c r="Q629" s="20"/>
      <c r="R629" s="20"/>
      <c r="S629" s="20"/>
      <c r="T629" s="20"/>
      <c r="U629" s="20"/>
      <c r="V629" s="20"/>
      <c r="W629" s="20"/>
      <c r="X629" s="20"/>
      <c r="Y629" s="20"/>
      <c r="Z629" s="20"/>
    </row>
    <row r="630" spans="2:26" ht="17.25" customHeight="1">
      <c r="B630" s="15"/>
      <c r="C630" s="15"/>
      <c r="D630" s="37"/>
      <c r="E630" s="58"/>
      <c r="F630" s="58"/>
      <c r="G630" s="58"/>
      <c r="H630" s="58"/>
      <c r="I630" s="58"/>
      <c r="J630" s="58"/>
      <c r="K630" s="31"/>
      <c r="L630" s="20"/>
      <c r="M630" s="20"/>
      <c r="N630" s="20"/>
      <c r="O630" s="20"/>
      <c r="P630" s="20"/>
      <c r="Q630" s="20"/>
      <c r="R630" s="20"/>
      <c r="S630" s="20"/>
      <c r="T630" s="20"/>
      <c r="U630" s="20"/>
      <c r="V630" s="20"/>
      <c r="W630" s="20"/>
      <c r="X630" s="20"/>
      <c r="Y630" s="20"/>
      <c r="Z630" s="20"/>
    </row>
    <row r="631" spans="2:26" ht="17.25" customHeight="1">
      <c r="B631" s="15"/>
      <c r="C631" s="15"/>
      <c r="D631" s="37"/>
      <c r="E631" s="58"/>
      <c r="F631" s="58"/>
      <c r="G631" s="58"/>
      <c r="H631" s="58"/>
      <c r="I631" s="58"/>
      <c r="J631" s="58"/>
      <c r="K631" s="31"/>
      <c r="L631" s="20"/>
      <c r="M631" s="20"/>
      <c r="N631" s="20"/>
      <c r="O631" s="20"/>
      <c r="P631" s="20"/>
      <c r="Q631" s="20"/>
      <c r="R631" s="20"/>
      <c r="S631" s="20"/>
      <c r="T631" s="20"/>
      <c r="U631" s="20"/>
      <c r="V631" s="20"/>
      <c r="W631" s="20"/>
      <c r="X631" s="20"/>
      <c r="Y631" s="20"/>
      <c r="Z631" s="20"/>
    </row>
    <row r="632" spans="2:26" ht="17.25" customHeight="1">
      <c r="B632" s="15"/>
      <c r="C632" s="15"/>
      <c r="D632" s="37"/>
      <c r="E632" s="58"/>
      <c r="F632" s="58"/>
      <c r="G632" s="58"/>
      <c r="H632" s="58"/>
      <c r="I632" s="58"/>
      <c r="J632" s="58"/>
      <c r="K632" s="31"/>
      <c r="L632" s="20"/>
      <c r="M632" s="20"/>
      <c r="N632" s="20"/>
      <c r="O632" s="20"/>
      <c r="P632" s="20"/>
      <c r="Q632" s="20"/>
      <c r="R632" s="20"/>
      <c r="S632" s="20"/>
      <c r="T632" s="20"/>
      <c r="U632" s="20"/>
      <c r="V632" s="20"/>
      <c r="W632" s="20"/>
      <c r="X632" s="20"/>
      <c r="Y632" s="20"/>
      <c r="Z632" s="20"/>
    </row>
    <row r="633" spans="2:26" ht="17.25" customHeight="1">
      <c r="B633" s="15"/>
      <c r="C633" s="15"/>
      <c r="D633" s="37"/>
      <c r="E633" s="58"/>
      <c r="F633" s="58"/>
      <c r="G633" s="58"/>
      <c r="H633" s="58"/>
      <c r="I633" s="58"/>
      <c r="J633" s="58"/>
      <c r="K633" s="31"/>
      <c r="L633" s="20"/>
      <c r="M633" s="20"/>
      <c r="N633" s="20"/>
      <c r="O633" s="20"/>
      <c r="P633" s="20"/>
      <c r="Q633" s="20"/>
      <c r="R633" s="20"/>
      <c r="S633" s="20"/>
      <c r="T633" s="20"/>
      <c r="U633" s="20"/>
      <c r="V633" s="20"/>
      <c r="W633" s="20"/>
      <c r="X633" s="20"/>
      <c r="Y633" s="20"/>
      <c r="Z633" s="20"/>
    </row>
    <row r="634" spans="2:26" ht="17.25" customHeight="1">
      <c r="B634" s="15"/>
      <c r="C634" s="15"/>
      <c r="D634" s="37"/>
      <c r="E634" s="58"/>
      <c r="F634" s="58"/>
      <c r="G634" s="58"/>
      <c r="H634" s="58"/>
      <c r="I634" s="58"/>
      <c r="J634" s="58"/>
      <c r="K634" s="31"/>
      <c r="L634" s="20"/>
      <c r="M634" s="20"/>
      <c r="N634" s="20"/>
      <c r="O634" s="20"/>
      <c r="P634" s="20"/>
      <c r="Q634" s="20"/>
      <c r="R634" s="20"/>
      <c r="S634" s="20"/>
      <c r="T634" s="20"/>
      <c r="U634" s="20"/>
      <c r="V634" s="20"/>
      <c r="W634" s="20"/>
      <c r="X634" s="20"/>
      <c r="Y634" s="20"/>
      <c r="Z634" s="20"/>
    </row>
    <row r="635" spans="2:26" ht="17.25" customHeight="1">
      <c r="B635" s="15"/>
      <c r="C635" s="15"/>
      <c r="D635" s="37"/>
      <c r="E635" s="58"/>
      <c r="F635" s="58"/>
      <c r="G635" s="58"/>
      <c r="H635" s="58"/>
      <c r="I635" s="58"/>
      <c r="J635" s="58"/>
      <c r="K635" s="31"/>
      <c r="L635" s="20"/>
      <c r="M635" s="20"/>
      <c r="N635" s="20"/>
      <c r="O635" s="20"/>
      <c r="P635" s="20"/>
      <c r="Q635" s="20"/>
      <c r="R635" s="20"/>
      <c r="S635" s="20"/>
      <c r="T635" s="20"/>
      <c r="U635" s="20"/>
      <c r="V635" s="20"/>
      <c r="W635" s="20"/>
      <c r="X635" s="20"/>
      <c r="Y635" s="20"/>
      <c r="Z635" s="20"/>
    </row>
    <row r="636" spans="2:26" ht="17.25" customHeight="1">
      <c r="B636" s="15"/>
      <c r="C636" s="15"/>
      <c r="D636" s="37"/>
      <c r="E636" s="58"/>
      <c r="F636" s="58"/>
      <c r="G636" s="58"/>
      <c r="H636" s="58"/>
      <c r="I636" s="58"/>
      <c r="J636" s="58"/>
      <c r="K636" s="31"/>
      <c r="L636" s="20"/>
      <c r="M636" s="20"/>
      <c r="N636" s="20"/>
      <c r="O636" s="20"/>
      <c r="P636" s="20"/>
      <c r="Q636" s="20"/>
      <c r="R636" s="20"/>
      <c r="S636" s="20"/>
      <c r="T636" s="20"/>
      <c r="U636" s="20"/>
      <c r="V636" s="20"/>
      <c r="W636" s="20"/>
      <c r="X636" s="20"/>
      <c r="Y636" s="20"/>
      <c r="Z636" s="20"/>
    </row>
    <row r="637" spans="2:26" ht="17.25" customHeight="1">
      <c r="B637" s="15"/>
      <c r="C637" s="15"/>
      <c r="D637" s="37"/>
      <c r="E637" s="58"/>
      <c r="F637" s="58"/>
      <c r="G637" s="58"/>
      <c r="H637" s="58"/>
      <c r="I637" s="58"/>
      <c r="J637" s="58"/>
      <c r="K637" s="31"/>
      <c r="L637" s="20"/>
      <c r="M637" s="20"/>
      <c r="N637" s="20"/>
      <c r="O637" s="20"/>
      <c r="P637" s="20"/>
      <c r="Q637" s="20"/>
      <c r="R637" s="20"/>
      <c r="S637" s="20"/>
      <c r="T637" s="20"/>
      <c r="U637" s="20"/>
      <c r="V637" s="20"/>
      <c r="W637" s="20"/>
      <c r="X637" s="20"/>
      <c r="Y637" s="20"/>
      <c r="Z637" s="20"/>
    </row>
    <row r="638" spans="2:26" ht="17.25" customHeight="1">
      <c r="B638" s="15"/>
      <c r="C638" s="15"/>
      <c r="D638" s="37"/>
      <c r="E638" s="58"/>
      <c r="F638" s="58"/>
      <c r="G638" s="58"/>
      <c r="H638" s="58"/>
      <c r="I638" s="58"/>
      <c r="J638" s="58"/>
      <c r="K638" s="31"/>
      <c r="L638" s="20"/>
      <c r="M638" s="20"/>
      <c r="N638" s="20"/>
      <c r="O638" s="20"/>
      <c r="P638" s="20"/>
      <c r="Q638" s="20"/>
      <c r="R638" s="20"/>
      <c r="S638" s="20"/>
      <c r="T638" s="20"/>
      <c r="U638" s="20"/>
      <c r="V638" s="20"/>
      <c r="W638" s="20"/>
      <c r="X638" s="20"/>
      <c r="Y638" s="20"/>
      <c r="Z638" s="20"/>
    </row>
    <row r="639" spans="2:26" ht="17.25" customHeight="1">
      <c r="B639" s="15"/>
      <c r="C639" s="15"/>
      <c r="D639" s="37"/>
      <c r="E639" s="58"/>
      <c r="F639" s="58"/>
      <c r="G639" s="58"/>
      <c r="H639" s="58"/>
      <c r="I639" s="58"/>
      <c r="J639" s="58"/>
      <c r="K639" s="31"/>
      <c r="L639" s="20"/>
      <c r="M639" s="20"/>
      <c r="N639" s="20"/>
      <c r="O639" s="20"/>
      <c r="P639" s="20"/>
      <c r="Q639" s="20"/>
      <c r="R639" s="20"/>
      <c r="S639" s="20"/>
      <c r="T639" s="20"/>
      <c r="U639" s="20"/>
      <c r="V639" s="20"/>
      <c r="W639" s="20"/>
      <c r="X639" s="20"/>
      <c r="Y639" s="20"/>
      <c r="Z639" s="20"/>
    </row>
    <row r="640" spans="2:26" ht="17.25" customHeight="1">
      <c r="B640" s="15"/>
      <c r="C640" s="15"/>
      <c r="D640" s="37"/>
      <c r="E640" s="58"/>
      <c r="F640" s="58"/>
      <c r="G640" s="58"/>
      <c r="H640" s="58"/>
      <c r="I640" s="58"/>
      <c r="J640" s="58"/>
      <c r="K640" s="31"/>
      <c r="L640" s="20"/>
      <c r="M640" s="20"/>
      <c r="N640" s="20"/>
      <c r="O640" s="20"/>
      <c r="P640" s="20"/>
      <c r="Q640" s="20"/>
      <c r="R640" s="20"/>
      <c r="S640" s="20"/>
      <c r="T640" s="20"/>
      <c r="U640" s="20"/>
      <c r="V640" s="20"/>
      <c r="W640" s="20"/>
      <c r="X640" s="20"/>
      <c r="Y640" s="20"/>
      <c r="Z640" s="20"/>
    </row>
    <row r="641" spans="2:26" ht="17.25" customHeight="1">
      <c r="B641" s="15"/>
      <c r="C641" s="15"/>
      <c r="D641" s="37"/>
      <c r="E641" s="58"/>
      <c r="F641" s="58"/>
      <c r="G641" s="58"/>
      <c r="H641" s="58"/>
      <c r="I641" s="58"/>
      <c r="J641" s="58"/>
      <c r="K641" s="31"/>
      <c r="L641" s="20"/>
      <c r="M641" s="20"/>
      <c r="N641" s="20"/>
      <c r="O641" s="20"/>
      <c r="P641" s="20"/>
      <c r="Q641" s="20"/>
      <c r="R641" s="20"/>
      <c r="S641" s="20"/>
      <c r="T641" s="20"/>
      <c r="U641" s="20"/>
      <c r="V641" s="20"/>
      <c r="W641" s="20"/>
      <c r="X641" s="20"/>
      <c r="Y641" s="20"/>
      <c r="Z641" s="20"/>
    </row>
    <row r="642" spans="2:26" ht="17.25" customHeight="1">
      <c r="B642" s="15"/>
      <c r="C642" s="15"/>
      <c r="D642" s="37"/>
      <c r="E642" s="58"/>
      <c r="F642" s="58"/>
      <c r="G642" s="58"/>
      <c r="H642" s="58"/>
      <c r="I642" s="58"/>
      <c r="J642" s="58"/>
      <c r="K642" s="31"/>
      <c r="L642" s="20"/>
      <c r="M642" s="20"/>
      <c r="N642" s="20"/>
      <c r="O642" s="20"/>
      <c r="P642" s="20"/>
      <c r="Q642" s="20"/>
      <c r="R642" s="20"/>
      <c r="S642" s="20"/>
      <c r="T642" s="20"/>
      <c r="U642" s="20"/>
      <c r="V642" s="20"/>
      <c r="W642" s="20"/>
      <c r="X642" s="20"/>
      <c r="Y642" s="20"/>
      <c r="Z642" s="20"/>
    </row>
    <row r="643" spans="2:26" ht="17.25" customHeight="1">
      <c r="B643" s="15"/>
      <c r="C643" s="15"/>
      <c r="D643" s="37"/>
      <c r="E643" s="58"/>
      <c r="F643" s="58"/>
      <c r="G643" s="58"/>
      <c r="H643" s="58"/>
      <c r="I643" s="58"/>
      <c r="J643" s="58"/>
      <c r="K643" s="31"/>
      <c r="L643" s="20"/>
      <c r="M643" s="20"/>
      <c r="N643" s="20"/>
      <c r="O643" s="20"/>
      <c r="P643" s="20"/>
      <c r="Q643" s="20"/>
      <c r="R643" s="20"/>
      <c r="S643" s="20"/>
      <c r="T643" s="20"/>
      <c r="U643" s="20"/>
      <c r="V643" s="20"/>
      <c r="W643" s="20"/>
      <c r="X643" s="20"/>
      <c r="Y643" s="20"/>
      <c r="Z643" s="20"/>
    </row>
    <row r="644" spans="2:26" ht="17.25" customHeight="1">
      <c r="B644" s="15"/>
      <c r="C644" s="15"/>
      <c r="D644" s="37"/>
      <c r="E644" s="58"/>
      <c r="F644" s="58"/>
      <c r="G644" s="58"/>
      <c r="H644" s="58"/>
      <c r="I644" s="58"/>
      <c r="J644" s="58"/>
      <c r="K644" s="31"/>
      <c r="L644" s="20"/>
      <c r="M644" s="20"/>
      <c r="N644" s="20"/>
      <c r="O644" s="20"/>
      <c r="P644" s="20"/>
      <c r="Q644" s="20"/>
      <c r="R644" s="20"/>
      <c r="S644" s="20"/>
      <c r="T644" s="20"/>
      <c r="U644" s="20"/>
      <c r="V644" s="20"/>
      <c r="W644" s="20"/>
      <c r="X644" s="20"/>
      <c r="Y644" s="20"/>
      <c r="Z644" s="20"/>
    </row>
    <row r="645" spans="2:26" ht="17.25" customHeight="1">
      <c r="B645" s="15"/>
      <c r="C645" s="15"/>
      <c r="D645" s="37"/>
      <c r="E645" s="58"/>
      <c r="F645" s="58"/>
      <c r="G645" s="58"/>
      <c r="H645" s="58"/>
      <c r="I645" s="58"/>
      <c r="J645" s="58"/>
      <c r="K645" s="31"/>
      <c r="L645" s="20"/>
      <c r="M645" s="20"/>
      <c r="N645" s="20"/>
      <c r="O645" s="20"/>
      <c r="P645" s="20"/>
      <c r="Q645" s="20"/>
      <c r="R645" s="20"/>
      <c r="S645" s="20"/>
      <c r="T645" s="20"/>
      <c r="U645" s="20"/>
      <c r="V645" s="20"/>
      <c r="W645" s="20"/>
      <c r="X645" s="20"/>
      <c r="Y645" s="20"/>
      <c r="Z645" s="20"/>
    </row>
    <row r="646" spans="2:26" ht="17.25" customHeight="1">
      <c r="B646" s="15"/>
      <c r="C646" s="15"/>
      <c r="D646" s="37"/>
      <c r="E646" s="58"/>
      <c r="F646" s="58"/>
      <c r="G646" s="58"/>
      <c r="H646" s="58"/>
      <c r="I646" s="58"/>
      <c r="J646" s="58"/>
      <c r="K646" s="31"/>
      <c r="L646" s="20"/>
      <c r="M646" s="20"/>
      <c r="N646" s="20"/>
      <c r="O646" s="20"/>
      <c r="P646" s="20"/>
      <c r="Q646" s="20"/>
      <c r="R646" s="20"/>
      <c r="S646" s="20"/>
      <c r="T646" s="20"/>
      <c r="U646" s="20"/>
      <c r="V646" s="20"/>
      <c r="W646" s="20"/>
      <c r="X646" s="20"/>
      <c r="Y646" s="20"/>
      <c r="Z646" s="20"/>
    </row>
    <row r="647" spans="2:26" ht="17.25" customHeight="1">
      <c r="B647" s="15"/>
      <c r="C647" s="15"/>
      <c r="D647" s="37"/>
      <c r="E647" s="58"/>
      <c r="F647" s="58"/>
      <c r="G647" s="58"/>
      <c r="H647" s="58"/>
      <c r="I647" s="58"/>
      <c r="J647" s="58"/>
      <c r="K647" s="31"/>
      <c r="L647" s="20"/>
      <c r="M647" s="20"/>
      <c r="N647" s="20"/>
      <c r="O647" s="20"/>
      <c r="P647" s="20"/>
      <c r="Q647" s="20"/>
      <c r="R647" s="20"/>
      <c r="S647" s="20"/>
      <c r="T647" s="20"/>
      <c r="U647" s="20"/>
      <c r="V647" s="20"/>
      <c r="W647" s="20"/>
      <c r="X647" s="20"/>
      <c r="Y647" s="20"/>
      <c r="Z647" s="20"/>
    </row>
    <row r="648" spans="2:26" ht="17.25" customHeight="1">
      <c r="B648" s="15"/>
      <c r="C648" s="15"/>
      <c r="D648" s="37"/>
      <c r="E648" s="58"/>
      <c r="F648" s="58"/>
      <c r="G648" s="58"/>
      <c r="H648" s="58"/>
      <c r="I648" s="58"/>
      <c r="J648" s="58"/>
      <c r="K648" s="31"/>
      <c r="L648" s="20"/>
      <c r="M648" s="20"/>
      <c r="N648" s="20"/>
      <c r="O648" s="20"/>
      <c r="P648" s="20"/>
      <c r="Q648" s="20"/>
      <c r="R648" s="20"/>
      <c r="S648" s="20"/>
      <c r="T648" s="20"/>
      <c r="U648" s="20"/>
      <c r="V648" s="20"/>
      <c r="W648" s="20"/>
      <c r="X648" s="20"/>
      <c r="Y648" s="20"/>
      <c r="Z648" s="20"/>
    </row>
    <row r="649" spans="2:26" ht="17.25" customHeight="1">
      <c r="B649" s="15"/>
      <c r="C649" s="15"/>
      <c r="D649" s="37"/>
      <c r="E649" s="58"/>
      <c r="F649" s="58"/>
      <c r="G649" s="58"/>
      <c r="H649" s="58"/>
      <c r="I649" s="58"/>
      <c r="J649" s="58"/>
      <c r="K649" s="31"/>
      <c r="L649" s="20"/>
      <c r="M649" s="20"/>
      <c r="N649" s="20"/>
      <c r="O649" s="20"/>
      <c r="P649" s="20"/>
      <c r="Q649" s="20"/>
      <c r="R649" s="20"/>
      <c r="S649" s="20"/>
      <c r="T649" s="20"/>
      <c r="U649" s="20"/>
      <c r="V649" s="20"/>
      <c r="W649" s="20"/>
      <c r="X649" s="20"/>
      <c r="Y649" s="20"/>
      <c r="Z649" s="20"/>
    </row>
    <row r="650" spans="2:26" ht="17.25" customHeight="1">
      <c r="B650" s="15"/>
      <c r="C650" s="15"/>
      <c r="D650" s="37"/>
      <c r="E650" s="58"/>
      <c r="F650" s="58"/>
      <c r="G650" s="58"/>
      <c r="H650" s="58"/>
      <c r="I650" s="58"/>
      <c r="J650" s="58"/>
      <c r="K650" s="31"/>
      <c r="L650" s="20"/>
      <c r="M650" s="20"/>
      <c r="N650" s="20"/>
      <c r="O650" s="20"/>
      <c r="P650" s="20"/>
      <c r="Q650" s="20"/>
      <c r="R650" s="20"/>
      <c r="S650" s="20"/>
      <c r="T650" s="20"/>
      <c r="U650" s="20"/>
      <c r="V650" s="20"/>
      <c r="W650" s="20"/>
      <c r="X650" s="20"/>
      <c r="Y650" s="20"/>
      <c r="Z650" s="20"/>
    </row>
    <row r="651" spans="2:26" ht="17.25" customHeight="1">
      <c r="B651" s="15"/>
      <c r="C651" s="15"/>
      <c r="D651" s="37"/>
      <c r="E651" s="58"/>
      <c r="F651" s="58"/>
      <c r="G651" s="58"/>
      <c r="H651" s="58"/>
      <c r="I651" s="58"/>
      <c r="J651" s="58"/>
      <c r="K651" s="31"/>
      <c r="L651" s="20"/>
      <c r="M651" s="20"/>
      <c r="N651" s="20"/>
      <c r="O651" s="20"/>
      <c r="P651" s="20"/>
      <c r="Q651" s="20"/>
      <c r="R651" s="20"/>
      <c r="S651" s="20"/>
      <c r="T651" s="20"/>
      <c r="U651" s="20"/>
      <c r="V651" s="20"/>
      <c r="W651" s="20"/>
      <c r="X651" s="20"/>
      <c r="Y651" s="20"/>
      <c r="Z651" s="20"/>
    </row>
    <row r="652" spans="2:26" ht="17.25" customHeight="1">
      <c r="B652" s="15"/>
      <c r="C652" s="15"/>
      <c r="D652" s="37"/>
      <c r="E652" s="58"/>
      <c r="F652" s="58"/>
      <c r="G652" s="58"/>
      <c r="H652" s="58"/>
      <c r="I652" s="58"/>
      <c r="J652" s="58"/>
      <c r="K652" s="31"/>
      <c r="L652" s="20"/>
      <c r="M652" s="20"/>
      <c r="N652" s="20"/>
      <c r="O652" s="20"/>
      <c r="P652" s="20"/>
      <c r="Q652" s="20"/>
      <c r="R652" s="20"/>
      <c r="S652" s="20"/>
      <c r="T652" s="20"/>
      <c r="U652" s="20"/>
      <c r="V652" s="20"/>
      <c r="W652" s="20"/>
      <c r="X652" s="20"/>
      <c r="Y652" s="20"/>
      <c r="Z652" s="20"/>
    </row>
    <row r="653" spans="2:26" ht="17.25" customHeight="1">
      <c r="B653" s="15"/>
      <c r="C653" s="15"/>
      <c r="D653" s="37"/>
      <c r="E653" s="58"/>
      <c r="F653" s="58"/>
      <c r="G653" s="58"/>
      <c r="H653" s="58"/>
      <c r="I653" s="58"/>
      <c r="J653" s="58"/>
      <c r="K653" s="31"/>
      <c r="L653" s="20"/>
      <c r="M653" s="20"/>
      <c r="N653" s="20"/>
      <c r="O653" s="20"/>
      <c r="P653" s="20"/>
      <c r="Q653" s="20"/>
      <c r="R653" s="20"/>
      <c r="S653" s="20"/>
      <c r="T653" s="20"/>
      <c r="U653" s="20"/>
      <c r="V653" s="20"/>
      <c r="W653" s="20"/>
      <c r="X653" s="20"/>
      <c r="Y653" s="20"/>
      <c r="Z653" s="20"/>
    </row>
    <row r="654" spans="2:26" ht="17.25" customHeight="1">
      <c r="B654" s="15"/>
      <c r="C654" s="15"/>
      <c r="D654" s="37"/>
      <c r="E654" s="58"/>
      <c r="F654" s="58"/>
      <c r="G654" s="58"/>
      <c r="H654" s="58"/>
      <c r="I654" s="58"/>
      <c r="J654" s="58"/>
      <c r="K654" s="31"/>
      <c r="L654" s="20"/>
      <c r="M654" s="20"/>
      <c r="N654" s="20"/>
      <c r="O654" s="20"/>
      <c r="P654" s="20"/>
      <c r="Q654" s="20"/>
      <c r="R654" s="20"/>
      <c r="S654" s="20"/>
      <c r="T654" s="20"/>
      <c r="U654" s="20"/>
      <c r="V654" s="20"/>
      <c r="W654" s="20"/>
      <c r="X654" s="20"/>
      <c r="Y654" s="20"/>
      <c r="Z654" s="20"/>
    </row>
    <row r="655" spans="2:26" ht="17.25" customHeight="1">
      <c r="B655" s="15"/>
      <c r="C655" s="15"/>
      <c r="D655" s="37"/>
      <c r="E655" s="58"/>
      <c r="F655" s="58"/>
      <c r="G655" s="58"/>
      <c r="H655" s="58"/>
      <c r="I655" s="58"/>
      <c r="J655" s="58"/>
      <c r="K655" s="31"/>
      <c r="L655" s="20"/>
      <c r="M655" s="20"/>
      <c r="N655" s="20"/>
      <c r="O655" s="20"/>
      <c r="P655" s="20"/>
      <c r="Q655" s="20"/>
      <c r="R655" s="20"/>
      <c r="S655" s="20"/>
      <c r="T655" s="20"/>
      <c r="U655" s="20"/>
      <c r="V655" s="20"/>
      <c r="W655" s="20"/>
      <c r="X655" s="20"/>
      <c r="Y655" s="20"/>
      <c r="Z655" s="20"/>
    </row>
    <row r="656" spans="2:26" ht="17.25" customHeight="1">
      <c r="B656" s="15"/>
      <c r="C656" s="15"/>
      <c r="D656" s="37"/>
      <c r="E656" s="58"/>
      <c r="F656" s="58"/>
      <c r="G656" s="58"/>
      <c r="H656" s="58"/>
      <c r="I656" s="58"/>
      <c r="J656" s="58"/>
      <c r="K656" s="31"/>
      <c r="L656" s="20"/>
      <c r="M656" s="20"/>
      <c r="N656" s="20"/>
      <c r="O656" s="20"/>
      <c r="P656" s="20"/>
      <c r="Q656" s="20"/>
      <c r="R656" s="20"/>
      <c r="S656" s="20"/>
      <c r="T656" s="20"/>
      <c r="U656" s="20"/>
      <c r="V656" s="20"/>
      <c r="W656" s="20"/>
      <c r="X656" s="20"/>
      <c r="Y656" s="20"/>
      <c r="Z656" s="20"/>
    </row>
    <row r="657" spans="2:26" ht="17.25" customHeight="1">
      <c r="B657" s="15"/>
      <c r="C657" s="15"/>
      <c r="D657" s="37"/>
      <c r="E657" s="58"/>
      <c r="F657" s="58"/>
      <c r="G657" s="58"/>
      <c r="H657" s="58"/>
      <c r="I657" s="58"/>
      <c r="J657" s="58"/>
      <c r="K657" s="31"/>
      <c r="L657" s="20"/>
      <c r="M657" s="20"/>
      <c r="N657" s="20"/>
      <c r="O657" s="20"/>
      <c r="P657" s="20"/>
      <c r="Q657" s="20"/>
      <c r="R657" s="20"/>
      <c r="S657" s="20"/>
      <c r="T657" s="20"/>
      <c r="U657" s="20"/>
      <c r="V657" s="20"/>
      <c r="W657" s="20"/>
      <c r="X657" s="20"/>
      <c r="Y657" s="20"/>
      <c r="Z657" s="20"/>
    </row>
    <row r="658" spans="2:26" ht="17.25" customHeight="1">
      <c r="B658" s="15"/>
      <c r="C658" s="15"/>
      <c r="D658" s="37"/>
      <c r="E658" s="58"/>
      <c r="F658" s="58"/>
      <c r="G658" s="58"/>
      <c r="H658" s="58"/>
      <c r="I658" s="58"/>
      <c r="J658" s="58"/>
      <c r="K658" s="31"/>
      <c r="L658" s="20"/>
      <c r="M658" s="20"/>
      <c r="N658" s="20"/>
      <c r="O658" s="20"/>
      <c r="P658" s="20"/>
      <c r="Q658" s="20"/>
      <c r="R658" s="20"/>
      <c r="S658" s="20"/>
      <c r="T658" s="20"/>
      <c r="U658" s="20"/>
      <c r="V658" s="20"/>
      <c r="W658" s="20"/>
      <c r="X658" s="20"/>
      <c r="Y658" s="20"/>
      <c r="Z658" s="20"/>
    </row>
    <row r="659" spans="2:26" ht="17.25" customHeight="1">
      <c r="B659" s="15"/>
      <c r="C659" s="15"/>
      <c r="D659" s="37"/>
      <c r="E659" s="58"/>
      <c r="F659" s="58"/>
      <c r="G659" s="58"/>
      <c r="H659" s="58"/>
      <c r="I659" s="58"/>
      <c r="J659" s="58"/>
      <c r="K659" s="31"/>
      <c r="L659" s="20"/>
      <c r="M659" s="20"/>
      <c r="N659" s="20"/>
      <c r="O659" s="20"/>
      <c r="P659" s="20"/>
      <c r="Q659" s="20"/>
      <c r="R659" s="20"/>
      <c r="S659" s="20"/>
      <c r="T659" s="20"/>
      <c r="U659" s="20"/>
      <c r="V659" s="20"/>
      <c r="W659" s="20"/>
      <c r="X659" s="20"/>
      <c r="Y659" s="20"/>
      <c r="Z659" s="20"/>
    </row>
    <row r="660" spans="2:26" ht="17.25" customHeight="1">
      <c r="B660" s="15"/>
      <c r="C660" s="15"/>
      <c r="D660" s="37"/>
      <c r="E660" s="58"/>
      <c r="F660" s="58"/>
      <c r="G660" s="58"/>
      <c r="H660" s="58"/>
      <c r="I660" s="58"/>
      <c r="J660" s="58"/>
      <c r="K660" s="31"/>
      <c r="L660" s="20"/>
      <c r="M660" s="20"/>
      <c r="N660" s="20"/>
      <c r="O660" s="20"/>
      <c r="P660" s="20"/>
      <c r="Q660" s="20"/>
      <c r="R660" s="20"/>
      <c r="S660" s="20"/>
      <c r="T660" s="20"/>
      <c r="U660" s="20"/>
      <c r="V660" s="20"/>
      <c r="W660" s="20"/>
      <c r="X660" s="20"/>
      <c r="Y660" s="20"/>
      <c r="Z660" s="20"/>
    </row>
    <row r="661" spans="2:26" ht="17.25" customHeight="1">
      <c r="B661" s="15"/>
      <c r="C661" s="15"/>
      <c r="D661" s="37"/>
      <c r="E661" s="58"/>
      <c r="F661" s="58"/>
      <c r="G661" s="58"/>
      <c r="H661" s="58"/>
      <c r="I661" s="58"/>
      <c r="J661" s="58"/>
      <c r="K661" s="31"/>
      <c r="L661" s="20"/>
      <c r="M661" s="20"/>
      <c r="N661" s="20"/>
      <c r="O661" s="20"/>
      <c r="P661" s="20"/>
      <c r="Q661" s="20"/>
      <c r="R661" s="20"/>
      <c r="S661" s="20"/>
      <c r="T661" s="20"/>
      <c r="U661" s="20"/>
      <c r="V661" s="20"/>
      <c r="W661" s="20"/>
      <c r="X661" s="20"/>
      <c r="Y661" s="20"/>
      <c r="Z661" s="20"/>
    </row>
    <row r="662" spans="2:26" ht="17.25" customHeight="1">
      <c r="B662" s="15"/>
      <c r="C662" s="15"/>
      <c r="D662" s="37"/>
      <c r="E662" s="58"/>
      <c r="F662" s="58"/>
      <c r="G662" s="58"/>
      <c r="H662" s="58"/>
      <c r="I662" s="58"/>
      <c r="J662" s="58"/>
      <c r="K662" s="31"/>
      <c r="L662" s="20"/>
      <c r="M662" s="20"/>
      <c r="N662" s="20"/>
      <c r="O662" s="20"/>
      <c r="P662" s="20"/>
      <c r="Q662" s="20"/>
      <c r="R662" s="20"/>
      <c r="S662" s="20"/>
      <c r="T662" s="20"/>
      <c r="U662" s="20"/>
      <c r="V662" s="20"/>
      <c r="W662" s="20"/>
      <c r="X662" s="20"/>
      <c r="Y662" s="20"/>
      <c r="Z662" s="20"/>
    </row>
    <row r="663" spans="2:26" ht="17.25" customHeight="1">
      <c r="B663" s="15"/>
      <c r="C663" s="15"/>
      <c r="D663" s="37"/>
      <c r="E663" s="58"/>
      <c r="F663" s="58"/>
      <c r="G663" s="58"/>
      <c r="H663" s="58"/>
      <c r="I663" s="58"/>
      <c r="J663" s="58"/>
      <c r="K663" s="31"/>
      <c r="L663" s="20"/>
      <c r="M663" s="20"/>
      <c r="N663" s="20"/>
      <c r="O663" s="20"/>
      <c r="P663" s="20"/>
      <c r="Q663" s="20"/>
      <c r="R663" s="20"/>
      <c r="S663" s="20"/>
      <c r="T663" s="20"/>
      <c r="U663" s="20"/>
      <c r="V663" s="20"/>
      <c r="W663" s="20"/>
      <c r="X663" s="20"/>
      <c r="Y663" s="20"/>
      <c r="Z663" s="20"/>
    </row>
    <row r="664" spans="2:26" ht="17.25" customHeight="1">
      <c r="B664" s="15"/>
      <c r="C664" s="15"/>
      <c r="D664" s="37"/>
      <c r="E664" s="58"/>
      <c r="F664" s="58"/>
      <c r="G664" s="58"/>
      <c r="H664" s="58"/>
      <c r="I664" s="58"/>
      <c r="J664" s="58"/>
      <c r="K664" s="31"/>
      <c r="L664" s="20"/>
      <c r="M664" s="20"/>
      <c r="N664" s="20"/>
      <c r="O664" s="20"/>
      <c r="P664" s="20"/>
      <c r="Q664" s="20"/>
      <c r="R664" s="20"/>
      <c r="S664" s="20"/>
      <c r="T664" s="20"/>
      <c r="U664" s="20"/>
      <c r="V664" s="20"/>
      <c r="W664" s="20"/>
      <c r="X664" s="20"/>
      <c r="Y664" s="20"/>
      <c r="Z664" s="20"/>
    </row>
    <row r="665" spans="2:26" ht="17.25" customHeight="1">
      <c r="B665" s="15"/>
      <c r="C665" s="15"/>
      <c r="D665" s="37"/>
      <c r="E665" s="58"/>
      <c r="F665" s="58"/>
      <c r="G665" s="58"/>
      <c r="H665" s="58"/>
      <c r="I665" s="58"/>
      <c r="J665" s="58"/>
      <c r="K665" s="31"/>
      <c r="L665" s="20"/>
      <c r="M665" s="20"/>
      <c r="N665" s="20"/>
      <c r="O665" s="20"/>
      <c r="P665" s="20"/>
      <c r="Q665" s="20"/>
      <c r="R665" s="20"/>
      <c r="S665" s="20"/>
      <c r="T665" s="20"/>
      <c r="U665" s="20"/>
      <c r="V665" s="20"/>
      <c r="W665" s="20"/>
      <c r="X665" s="20"/>
      <c r="Y665" s="20"/>
      <c r="Z665" s="20"/>
    </row>
    <row r="666" spans="2:26" ht="17.25" customHeight="1">
      <c r="B666" s="15"/>
      <c r="C666" s="15"/>
      <c r="D666" s="37"/>
      <c r="E666" s="58"/>
      <c r="F666" s="58"/>
      <c r="G666" s="58"/>
      <c r="H666" s="58"/>
      <c r="I666" s="58"/>
      <c r="J666" s="58"/>
      <c r="K666" s="31"/>
      <c r="L666" s="20"/>
      <c r="M666" s="20"/>
      <c r="N666" s="20"/>
      <c r="O666" s="20"/>
      <c r="P666" s="20"/>
      <c r="Q666" s="20"/>
      <c r="R666" s="20"/>
      <c r="S666" s="20"/>
      <c r="T666" s="20"/>
      <c r="U666" s="20"/>
      <c r="V666" s="20"/>
      <c r="W666" s="20"/>
      <c r="X666" s="20"/>
      <c r="Y666" s="20"/>
      <c r="Z666" s="20"/>
    </row>
    <row r="667" spans="2:26" ht="17.25" customHeight="1">
      <c r="B667" s="15"/>
      <c r="C667" s="15"/>
      <c r="D667" s="37"/>
      <c r="E667" s="58"/>
      <c r="F667" s="58"/>
      <c r="G667" s="58"/>
      <c r="H667" s="58"/>
      <c r="I667" s="58"/>
      <c r="J667" s="58"/>
      <c r="K667" s="31"/>
      <c r="L667" s="20"/>
      <c r="M667" s="20"/>
      <c r="N667" s="20"/>
      <c r="O667" s="20"/>
      <c r="P667" s="20"/>
      <c r="Q667" s="20"/>
      <c r="R667" s="20"/>
      <c r="S667" s="20"/>
      <c r="T667" s="20"/>
      <c r="U667" s="20"/>
      <c r="V667" s="20"/>
      <c r="W667" s="20"/>
      <c r="X667" s="20"/>
      <c r="Y667" s="20"/>
      <c r="Z667" s="20"/>
    </row>
    <row r="668" spans="2:26" ht="17.25" customHeight="1">
      <c r="B668" s="15"/>
      <c r="C668" s="15"/>
      <c r="D668" s="37"/>
      <c r="E668" s="58"/>
      <c r="F668" s="58"/>
      <c r="G668" s="58"/>
      <c r="H668" s="58"/>
      <c r="I668" s="58"/>
      <c r="J668" s="58"/>
      <c r="K668" s="31"/>
      <c r="L668" s="20"/>
      <c r="M668" s="20"/>
      <c r="N668" s="20"/>
      <c r="O668" s="20"/>
      <c r="P668" s="20"/>
      <c r="Q668" s="20"/>
      <c r="R668" s="20"/>
      <c r="S668" s="20"/>
      <c r="T668" s="20"/>
      <c r="U668" s="20"/>
      <c r="V668" s="20"/>
      <c r="W668" s="20"/>
      <c r="X668" s="20"/>
      <c r="Y668" s="20"/>
      <c r="Z668" s="20"/>
    </row>
    <row r="669" spans="2:26" ht="17.25" customHeight="1">
      <c r="B669" s="15"/>
      <c r="C669" s="15"/>
      <c r="D669" s="37"/>
      <c r="E669" s="58"/>
      <c r="F669" s="58"/>
      <c r="G669" s="58"/>
      <c r="H669" s="58"/>
      <c r="I669" s="58"/>
      <c r="J669" s="58"/>
      <c r="K669" s="31"/>
      <c r="L669" s="20"/>
      <c r="M669" s="20"/>
      <c r="N669" s="20"/>
      <c r="O669" s="20"/>
      <c r="P669" s="20"/>
      <c r="Q669" s="20"/>
      <c r="R669" s="20"/>
      <c r="S669" s="20"/>
      <c r="T669" s="20"/>
      <c r="U669" s="20"/>
      <c r="V669" s="20"/>
      <c r="W669" s="20"/>
      <c r="X669" s="20"/>
      <c r="Y669" s="20"/>
      <c r="Z669" s="20"/>
    </row>
    <row r="670" spans="2:26" ht="17.25" customHeight="1">
      <c r="B670" s="15"/>
      <c r="C670" s="15"/>
      <c r="D670" s="37"/>
      <c r="E670" s="58"/>
      <c r="F670" s="58"/>
      <c r="G670" s="58"/>
      <c r="H670" s="58"/>
      <c r="I670" s="58"/>
      <c r="J670" s="58"/>
      <c r="K670" s="31"/>
      <c r="L670" s="20"/>
      <c r="M670" s="20"/>
      <c r="N670" s="20"/>
      <c r="O670" s="20"/>
      <c r="P670" s="20"/>
      <c r="Q670" s="20"/>
      <c r="R670" s="20"/>
      <c r="S670" s="20"/>
      <c r="T670" s="20"/>
      <c r="U670" s="20"/>
      <c r="V670" s="20"/>
      <c r="W670" s="20"/>
      <c r="X670" s="20"/>
      <c r="Y670" s="20"/>
      <c r="Z670" s="20"/>
    </row>
    <row r="671" spans="2:26" ht="17.25" customHeight="1">
      <c r="B671" s="15"/>
      <c r="C671" s="15"/>
      <c r="D671" s="37"/>
      <c r="E671" s="58"/>
      <c r="F671" s="58"/>
      <c r="G671" s="58"/>
      <c r="H671" s="58"/>
      <c r="I671" s="58"/>
      <c r="J671" s="58"/>
      <c r="K671" s="31"/>
      <c r="L671" s="20"/>
      <c r="M671" s="20"/>
      <c r="N671" s="20"/>
      <c r="O671" s="20"/>
      <c r="P671" s="20"/>
      <c r="Q671" s="20"/>
      <c r="R671" s="20"/>
      <c r="S671" s="20"/>
      <c r="T671" s="20"/>
      <c r="U671" s="20"/>
      <c r="V671" s="20"/>
      <c r="W671" s="20"/>
      <c r="X671" s="20"/>
      <c r="Y671" s="20"/>
      <c r="Z671" s="20"/>
    </row>
    <row r="672" spans="2:26" ht="17.25" customHeight="1">
      <c r="B672" s="15"/>
      <c r="C672" s="15"/>
      <c r="D672" s="37"/>
      <c r="E672" s="58"/>
      <c r="F672" s="58"/>
      <c r="G672" s="58"/>
      <c r="H672" s="58"/>
      <c r="I672" s="58"/>
      <c r="J672" s="58"/>
      <c r="K672" s="31"/>
      <c r="L672" s="20"/>
      <c r="M672" s="20"/>
      <c r="N672" s="20"/>
      <c r="O672" s="20"/>
      <c r="P672" s="20"/>
      <c r="Q672" s="20"/>
      <c r="R672" s="20"/>
      <c r="S672" s="20"/>
      <c r="T672" s="20"/>
      <c r="U672" s="20"/>
      <c r="V672" s="20"/>
      <c r="W672" s="20"/>
      <c r="X672" s="20"/>
      <c r="Y672" s="20"/>
      <c r="Z672" s="20"/>
    </row>
    <row r="673" spans="2:26" ht="17.25" customHeight="1">
      <c r="B673" s="15"/>
      <c r="C673" s="15"/>
      <c r="D673" s="37"/>
      <c r="E673" s="58"/>
      <c r="F673" s="58"/>
      <c r="G673" s="58"/>
      <c r="H673" s="58"/>
      <c r="I673" s="58"/>
      <c r="J673" s="58"/>
      <c r="K673" s="31"/>
      <c r="L673" s="20"/>
      <c r="M673" s="20"/>
      <c r="N673" s="20"/>
      <c r="O673" s="20"/>
      <c r="P673" s="20"/>
      <c r="Q673" s="20"/>
      <c r="R673" s="20"/>
      <c r="S673" s="20"/>
      <c r="T673" s="20"/>
      <c r="U673" s="20"/>
      <c r="V673" s="20"/>
      <c r="W673" s="20"/>
      <c r="X673" s="20"/>
      <c r="Y673" s="20"/>
      <c r="Z673" s="20"/>
    </row>
    <row r="674" spans="2:26" ht="17.25" customHeight="1">
      <c r="B674" s="15"/>
      <c r="C674" s="15"/>
      <c r="D674" s="37"/>
      <c r="E674" s="58"/>
      <c r="F674" s="58"/>
      <c r="G674" s="58"/>
      <c r="H674" s="58"/>
      <c r="I674" s="58"/>
      <c r="J674" s="58"/>
      <c r="K674" s="31"/>
      <c r="L674" s="20"/>
      <c r="M674" s="20"/>
      <c r="N674" s="20"/>
      <c r="O674" s="20"/>
      <c r="P674" s="20"/>
      <c r="Q674" s="20"/>
      <c r="R674" s="20"/>
      <c r="S674" s="20"/>
      <c r="T674" s="20"/>
      <c r="U674" s="20"/>
      <c r="V674" s="20"/>
      <c r="W674" s="20"/>
      <c r="X674" s="20"/>
      <c r="Y674" s="20"/>
      <c r="Z674" s="20"/>
    </row>
    <row r="675" spans="2:26" ht="17.25" customHeight="1">
      <c r="B675" s="15"/>
      <c r="C675" s="15"/>
      <c r="D675" s="37"/>
      <c r="E675" s="58"/>
      <c r="F675" s="58"/>
      <c r="G675" s="58"/>
      <c r="H675" s="58"/>
      <c r="I675" s="58"/>
      <c r="J675" s="58"/>
      <c r="K675" s="31"/>
      <c r="L675" s="20"/>
      <c r="M675" s="20"/>
      <c r="N675" s="20"/>
      <c r="O675" s="20"/>
      <c r="P675" s="20"/>
      <c r="Q675" s="20"/>
      <c r="R675" s="20"/>
      <c r="S675" s="20"/>
      <c r="T675" s="20"/>
      <c r="U675" s="20"/>
      <c r="V675" s="20"/>
      <c r="W675" s="20"/>
      <c r="X675" s="20"/>
      <c r="Y675" s="20"/>
      <c r="Z675" s="20"/>
    </row>
    <row r="676" spans="2:26" ht="17.25" customHeight="1">
      <c r="B676" s="15"/>
      <c r="C676" s="15"/>
      <c r="D676" s="37"/>
      <c r="E676" s="58"/>
      <c r="F676" s="58"/>
      <c r="G676" s="58"/>
      <c r="H676" s="58"/>
      <c r="I676" s="58"/>
      <c r="J676" s="58"/>
      <c r="K676" s="31"/>
      <c r="L676" s="20"/>
      <c r="M676" s="20"/>
      <c r="N676" s="20"/>
      <c r="O676" s="20"/>
      <c r="P676" s="20"/>
      <c r="Q676" s="20"/>
      <c r="R676" s="20"/>
      <c r="S676" s="20"/>
      <c r="T676" s="20"/>
      <c r="U676" s="20"/>
      <c r="V676" s="20"/>
      <c r="W676" s="20"/>
      <c r="X676" s="20"/>
      <c r="Y676" s="20"/>
      <c r="Z676" s="20"/>
    </row>
    <row r="677" spans="2:26" ht="17.25" customHeight="1">
      <c r="B677" s="15"/>
      <c r="C677" s="15"/>
      <c r="D677" s="37"/>
      <c r="E677" s="58"/>
      <c r="F677" s="58"/>
      <c r="G677" s="58"/>
      <c r="H677" s="58"/>
      <c r="I677" s="58"/>
      <c r="J677" s="58"/>
      <c r="K677" s="31"/>
      <c r="L677" s="20"/>
      <c r="M677" s="20"/>
      <c r="N677" s="20"/>
      <c r="O677" s="20"/>
      <c r="P677" s="20"/>
      <c r="Q677" s="20"/>
      <c r="R677" s="20"/>
      <c r="S677" s="20"/>
      <c r="T677" s="20"/>
      <c r="U677" s="20"/>
      <c r="V677" s="20"/>
      <c r="W677" s="20"/>
      <c r="X677" s="20"/>
      <c r="Y677" s="20"/>
      <c r="Z677" s="20"/>
    </row>
    <row r="678" spans="2:26" ht="17.25" customHeight="1">
      <c r="B678" s="15"/>
      <c r="C678" s="15"/>
      <c r="D678" s="37"/>
      <c r="E678" s="58"/>
      <c r="F678" s="58"/>
      <c r="G678" s="58"/>
      <c r="H678" s="58"/>
      <c r="I678" s="58"/>
      <c r="J678" s="58"/>
      <c r="K678" s="31"/>
      <c r="L678" s="20"/>
      <c r="M678" s="20"/>
      <c r="N678" s="20"/>
      <c r="O678" s="20"/>
      <c r="P678" s="20"/>
      <c r="Q678" s="20"/>
      <c r="R678" s="20"/>
      <c r="S678" s="20"/>
      <c r="T678" s="20"/>
      <c r="U678" s="20"/>
      <c r="V678" s="20"/>
      <c r="W678" s="20"/>
      <c r="X678" s="20"/>
      <c r="Y678" s="20"/>
      <c r="Z678" s="20"/>
    </row>
    <row r="679" spans="2:26" ht="17.25" customHeight="1">
      <c r="B679" s="15"/>
      <c r="C679" s="15"/>
      <c r="D679" s="37"/>
      <c r="E679" s="58"/>
      <c r="F679" s="58"/>
      <c r="G679" s="58"/>
      <c r="H679" s="58"/>
      <c r="I679" s="58"/>
      <c r="J679" s="58"/>
      <c r="K679" s="31"/>
      <c r="L679" s="20"/>
      <c r="M679" s="20"/>
      <c r="N679" s="20"/>
      <c r="O679" s="20"/>
      <c r="P679" s="20"/>
      <c r="Q679" s="20"/>
      <c r="R679" s="20"/>
      <c r="S679" s="20"/>
      <c r="T679" s="20"/>
      <c r="U679" s="20"/>
      <c r="V679" s="20"/>
      <c r="W679" s="20"/>
      <c r="X679" s="20"/>
      <c r="Y679" s="20"/>
      <c r="Z679" s="20"/>
    </row>
    <row r="680" spans="2:26" ht="17.25" customHeight="1">
      <c r="B680" s="15"/>
      <c r="C680" s="15"/>
      <c r="D680" s="37"/>
      <c r="E680" s="58"/>
      <c r="F680" s="58"/>
      <c r="G680" s="58"/>
      <c r="H680" s="58"/>
      <c r="I680" s="58"/>
      <c r="J680" s="58"/>
      <c r="K680" s="31"/>
      <c r="L680" s="20"/>
      <c r="M680" s="20"/>
      <c r="N680" s="20"/>
      <c r="O680" s="20"/>
      <c r="P680" s="20"/>
      <c r="Q680" s="20"/>
      <c r="R680" s="20"/>
      <c r="S680" s="20"/>
      <c r="T680" s="20"/>
      <c r="U680" s="20"/>
      <c r="V680" s="20"/>
      <c r="W680" s="20"/>
      <c r="X680" s="20"/>
      <c r="Y680" s="20"/>
      <c r="Z680" s="20"/>
    </row>
    <row r="681" spans="2:26" ht="17.25" customHeight="1">
      <c r="B681" s="15"/>
      <c r="C681" s="15"/>
      <c r="D681" s="37"/>
      <c r="E681" s="58"/>
      <c r="F681" s="58"/>
      <c r="G681" s="58"/>
      <c r="H681" s="58"/>
      <c r="I681" s="58"/>
      <c r="J681" s="58"/>
      <c r="K681" s="31"/>
      <c r="L681" s="20"/>
      <c r="M681" s="20"/>
      <c r="N681" s="20"/>
      <c r="O681" s="20"/>
      <c r="P681" s="20"/>
      <c r="Q681" s="20"/>
      <c r="R681" s="20"/>
      <c r="S681" s="20"/>
      <c r="T681" s="20"/>
      <c r="U681" s="20"/>
      <c r="V681" s="20"/>
      <c r="W681" s="20"/>
      <c r="X681" s="20"/>
      <c r="Y681" s="20"/>
      <c r="Z681" s="20"/>
    </row>
    <row r="682" spans="2:26" ht="17.25" customHeight="1">
      <c r="B682" s="15"/>
      <c r="C682" s="15"/>
      <c r="D682" s="37"/>
      <c r="E682" s="58"/>
      <c r="F682" s="58"/>
      <c r="G682" s="58"/>
      <c r="H682" s="58"/>
      <c r="I682" s="58"/>
      <c r="J682" s="58"/>
      <c r="K682" s="31"/>
      <c r="L682" s="20"/>
      <c r="M682" s="20"/>
      <c r="N682" s="20"/>
      <c r="O682" s="20"/>
      <c r="P682" s="20"/>
      <c r="Q682" s="20"/>
      <c r="R682" s="20"/>
      <c r="S682" s="20"/>
      <c r="T682" s="20"/>
      <c r="U682" s="20"/>
      <c r="V682" s="20"/>
      <c r="W682" s="20"/>
      <c r="X682" s="20"/>
      <c r="Y682" s="20"/>
      <c r="Z682" s="20"/>
    </row>
    <row r="683" spans="2:26" ht="17.25" customHeight="1">
      <c r="B683" s="15"/>
      <c r="C683" s="15"/>
      <c r="D683" s="37"/>
      <c r="E683" s="58"/>
      <c r="F683" s="58"/>
      <c r="G683" s="58"/>
      <c r="H683" s="58"/>
      <c r="I683" s="58"/>
      <c r="J683" s="58"/>
      <c r="K683" s="31"/>
      <c r="L683" s="20"/>
      <c r="M683" s="20"/>
      <c r="N683" s="20"/>
      <c r="O683" s="20"/>
      <c r="P683" s="20"/>
      <c r="Q683" s="20"/>
      <c r="R683" s="20"/>
      <c r="S683" s="20"/>
      <c r="T683" s="20"/>
      <c r="U683" s="20"/>
      <c r="V683" s="20"/>
      <c r="W683" s="20"/>
      <c r="X683" s="20"/>
      <c r="Y683" s="20"/>
      <c r="Z683" s="20"/>
    </row>
    <row r="684" spans="2:26" ht="17.25" customHeight="1">
      <c r="B684" s="15"/>
      <c r="C684" s="15"/>
      <c r="D684" s="37"/>
      <c r="E684" s="58"/>
      <c r="F684" s="58"/>
      <c r="G684" s="58"/>
      <c r="H684" s="58"/>
      <c r="I684" s="58"/>
      <c r="J684" s="58"/>
      <c r="K684" s="31"/>
      <c r="L684" s="20"/>
      <c r="M684" s="20"/>
      <c r="N684" s="20"/>
      <c r="O684" s="20"/>
      <c r="P684" s="20"/>
      <c r="Q684" s="20"/>
      <c r="R684" s="20"/>
      <c r="S684" s="20"/>
      <c r="T684" s="20"/>
      <c r="U684" s="20"/>
      <c r="V684" s="20"/>
      <c r="W684" s="20"/>
      <c r="X684" s="20"/>
      <c r="Y684" s="20"/>
      <c r="Z684" s="20"/>
    </row>
    <row r="685" spans="2:26" ht="17.25" customHeight="1">
      <c r="B685" s="15"/>
      <c r="C685" s="15"/>
      <c r="D685" s="37"/>
      <c r="E685" s="58"/>
      <c r="F685" s="58"/>
      <c r="G685" s="58"/>
      <c r="H685" s="58"/>
      <c r="I685" s="58"/>
      <c r="J685" s="58"/>
      <c r="K685" s="31"/>
      <c r="L685" s="20"/>
      <c r="M685" s="20"/>
      <c r="N685" s="20"/>
      <c r="O685" s="20"/>
      <c r="P685" s="20"/>
      <c r="Q685" s="20"/>
      <c r="R685" s="20"/>
      <c r="S685" s="20"/>
      <c r="T685" s="20"/>
      <c r="U685" s="20"/>
      <c r="V685" s="20"/>
      <c r="W685" s="20"/>
      <c r="X685" s="20"/>
      <c r="Y685" s="20"/>
      <c r="Z685" s="20"/>
    </row>
    <row r="686" spans="2:26" ht="17.25" customHeight="1">
      <c r="B686" s="15"/>
      <c r="C686" s="15"/>
      <c r="D686" s="37"/>
      <c r="E686" s="58"/>
      <c r="F686" s="58"/>
      <c r="G686" s="58"/>
      <c r="H686" s="58"/>
      <c r="I686" s="58"/>
      <c r="J686" s="58"/>
      <c r="K686" s="31"/>
      <c r="L686" s="20"/>
      <c r="M686" s="20"/>
      <c r="N686" s="20"/>
      <c r="O686" s="20"/>
      <c r="P686" s="20"/>
      <c r="Q686" s="20"/>
      <c r="R686" s="20"/>
      <c r="S686" s="20"/>
      <c r="T686" s="20"/>
      <c r="U686" s="20"/>
      <c r="V686" s="20"/>
      <c r="W686" s="20"/>
      <c r="X686" s="20"/>
      <c r="Y686" s="20"/>
      <c r="Z686" s="20"/>
    </row>
    <row r="687" spans="2:26" ht="17.25" customHeight="1">
      <c r="B687" s="15"/>
      <c r="C687" s="15"/>
      <c r="D687" s="37"/>
      <c r="E687" s="58"/>
      <c r="F687" s="58"/>
      <c r="G687" s="58"/>
      <c r="H687" s="58"/>
      <c r="I687" s="58"/>
      <c r="J687" s="58"/>
      <c r="K687" s="31"/>
      <c r="L687" s="20"/>
      <c r="M687" s="20"/>
      <c r="N687" s="20"/>
      <c r="O687" s="20"/>
      <c r="P687" s="20"/>
      <c r="Q687" s="20"/>
      <c r="R687" s="20"/>
      <c r="S687" s="20"/>
      <c r="T687" s="20"/>
      <c r="U687" s="20"/>
      <c r="V687" s="20"/>
      <c r="W687" s="20"/>
      <c r="X687" s="20"/>
      <c r="Y687" s="20"/>
      <c r="Z687" s="20"/>
    </row>
    <row r="688" spans="2:26" ht="17.25" customHeight="1">
      <c r="B688" s="15"/>
      <c r="C688" s="15"/>
      <c r="D688" s="37"/>
      <c r="E688" s="58"/>
      <c r="F688" s="58"/>
      <c r="G688" s="58"/>
      <c r="H688" s="58"/>
      <c r="I688" s="58"/>
      <c r="J688" s="58"/>
      <c r="K688" s="31"/>
      <c r="L688" s="20"/>
      <c r="M688" s="20"/>
      <c r="N688" s="20"/>
      <c r="O688" s="20"/>
      <c r="P688" s="20"/>
      <c r="Q688" s="20"/>
      <c r="R688" s="20"/>
      <c r="S688" s="20"/>
      <c r="T688" s="20"/>
      <c r="U688" s="20"/>
      <c r="V688" s="20"/>
      <c r="W688" s="20"/>
      <c r="X688" s="20"/>
      <c r="Y688" s="20"/>
      <c r="Z688" s="20"/>
    </row>
    <row r="689" spans="2:26" ht="17.25" customHeight="1">
      <c r="B689" s="15"/>
      <c r="C689" s="15"/>
      <c r="D689" s="37"/>
      <c r="E689" s="58"/>
      <c r="F689" s="58"/>
      <c r="G689" s="58"/>
      <c r="H689" s="58"/>
      <c r="I689" s="58"/>
      <c r="J689" s="58"/>
      <c r="K689" s="31"/>
      <c r="L689" s="20"/>
      <c r="M689" s="20"/>
      <c r="N689" s="20"/>
      <c r="O689" s="20"/>
      <c r="P689" s="20"/>
      <c r="Q689" s="20"/>
      <c r="R689" s="20"/>
      <c r="S689" s="20"/>
      <c r="T689" s="20"/>
      <c r="U689" s="20"/>
      <c r="V689" s="20"/>
      <c r="W689" s="20"/>
      <c r="X689" s="20"/>
      <c r="Y689" s="20"/>
      <c r="Z689" s="20"/>
    </row>
    <row r="690" spans="2:26" ht="17.25" customHeight="1">
      <c r="B690" s="15"/>
      <c r="C690" s="15"/>
      <c r="D690" s="37"/>
      <c r="E690" s="58"/>
      <c r="F690" s="58"/>
      <c r="G690" s="58"/>
      <c r="H690" s="58"/>
      <c r="I690" s="58"/>
      <c r="J690" s="58"/>
      <c r="K690" s="31"/>
      <c r="L690" s="20"/>
      <c r="M690" s="20"/>
      <c r="N690" s="20"/>
      <c r="O690" s="20"/>
      <c r="P690" s="20"/>
      <c r="Q690" s="20"/>
      <c r="R690" s="20"/>
      <c r="S690" s="20"/>
      <c r="T690" s="20"/>
      <c r="U690" s="20"/>
      <c r="V690" s="20"/>
      <c r="W690" s="20"/>
      <c r="X690" s="20"/>
      <c r="Y690" s="20"/>
      <c r="Z690" s="20"/>
    </row>
    <row r="691" spans="2:26" ht="17.25" customHeight="1">
      <c r="B691" s="15"/>
      <c r="C691" s="15"/>
      <c r="D691" s="37"/>
      <c r="E691" s="58"/>
      <c r="F691" s="58"/>
      <c r="G691" s="58"/>
      <c r="H691" s="58"/>
      <c r="I691" s="58"/>
      <c r="J691" s="58"/>
      <c r="K691" s="31"/>
      <c r="L691" s="20"/>
      <c r="M691" s="20"/>
      <c r="N691" s="20"/>
      <c r="O691" s="20"/>
      <c r="P691" s="20"/>
      <c r="Q691" s="20"/>
      <c r="R691" s="20"/>
      <c r="S691" s="20"/>
      <c r="T691" s="20"/>
      <c r="U691" s="20"/>
      <c r="V691" s="20"/>
      <c r="W691" s="20"/>
      <c r="X691" s="20"/>
      <c r="Y691" s="20"/>
      <c r="Z691" s="20"/>
    </row>
    <row r="692" spans="2:26" ht="17.25" customHeight="1">
      <c r="B692" s="15"/>
      <c r="C692" s="15"/>
      <c r="D692" s="37"/>
      <c r="E692" s="58"/>
      <c r="F692" s="58"/>
      <c r="G692" s="58"/>
      <c r="H692" s="58"/>
      <c r="I692" s="58"/>
      <c r="J692" s="58"/>
      <c r="K692" s="31"/>
      <c r="L692" s="20"/>
      <c r="M692" s="20"/>
      <c r="N692" s="20"/>
      <c r="O692" s="20"/>
      <c r="P692" s="20"/>
      <c r="Q692" s="20"/>
      <c r="R692" s="20"/>
      <c r="S692" s="20"/>
      <c r="T692" s="20"/>
      <c r="U692" s="20"/>
      <c r="V692" s="20"/>
      <c r="W692" s="20"/>
      <c r="X692" s="20"/>
      <c r="Y692" s="20"/>
      <c r="Z692" s="20"/>
    </row>
    <row r="693" spans="2:26" ht="17.25" customHeight="1">
      <c r="B693" s="15"/>
      <c r="C693" s="15"/>
      <c r="D693" s="37"/>
      <c r="E693" s="58"/>
      <c r="F693" s="58"/>
      <c r="G693" s="58"/>
      <c r="H693" s="58"/>
      <c r="I693" s="58"/>
      <c r="J693" s="58"/>
      <c r="K693" s="31"/>
      <c r="L693" s="20"/>
      <c r="M693" s="20"/>
      <c r="N693" s="20"/>
      <c r="O693" s="20"/>
      <c r="P693" s="20"/>
      <c r="Q693" s="20"/>
      <c r="R693" s="20"/>
      <c r="S693" s="20"/>
      <c r="T693" s="20"/>
      <c r="U693" s="20"/>
      <c r="V693" s="20"/>
      <c r="W693" s="20"/>
      <c r="X693" s="20"/>
      <c r="Y693" s="20"/>
      <c r="Z693" s="20"/>
    </row>
    <row r="694" spans="2:26" ht="17.25" customHeight="1">
      <c r="B694" s="15"/>
      <c r="C694" s="15"/>
      <c r="D694" s="37"/>
      <c r="E694" s="58"/>
      <c r="F694" s="58"/>
      <c r="G694" s="58"/>
      <c r="H694" s="58"/>
      <c r="I694" s="58"/>
      <c r="J694" s="58"/>
      <c r="K694" s="31"/>
      <c r="L694" s="20"/>
      <c r="M694" s="20"/>
      <c r="N694" s="20"/>
      <c r="O694" s="20"/>
      <c r="P694" s="20"/>
      <c r="Q694" s="20"/>
      <c r="R694" s="20"/>
      <c r="S694" s="20"/>
      <c r="T694" s="20"/>
      <c r="U694" s="20"/>
      <c r="V694" s="20"/>
      <c r="W694" s="20"/>
      <c r="X694" s="20"/>
      <c r="Y694" s="20"/>
      <c r="Z694" s="20"/>
    </row>
    <row r="695" spans="2:26" ht="17.25" customHeight="1">
      <c r="B695" s="15"/>
      <c r="C695" s="15"/>
      <c r="D695" s="37"/>
      <c r="E695" s="58"/>
      <c r="F695" s="58"/>
      <c r="G695" s="58"/>
      <c r="H695" s="58"/>
      <c r="I695" s="58"/>
      <c r="J695" s="58"/>
      <c r="K695" s="31"/>
      <c r="L695" s="20"/>
      <c r="M695" s="20"/>
      <c r="N695" s="20"/>
      <c r="O695" s="20"/>
      <c r="P695" s="20"/>
      <c r="Q695" s="20"/>
      <c r="R695" s="20"/>
      <c r="S695" s="20"/>
      <c r="T695" s="20"/>
      <c r="U695" s="20"/>
      <c r="V695" s="20"/>
      <c r="W695" s="20"/>
      <c r="X695" s="20"/>
      <c r="Y695" s="20"/>
      <c r="Z695" s="20"/>
    </row>
    <row r="696" spans="2:26" ht="17.25" customHeight="1">
      <c r="B696" s="15"/>
      <c r="C696" s="15"/>
      <c r="D696" s="37"/>
      <c r="E696" s="58"/>
      <c r="F696" s="58"/>
      <c r="G696" s="58"/>
      <c r="H696" s="58"/>
      <c r="I696" s="58"/>
      <c r="J696" s="58"/>
      <c r="K696" s="31"/>
      <c r="L696" s="20"/>
      <c r="M696" s="20"/>
      <c r="N696" s="20"/>
      <c r="O696" s="20"/>
      <c r="P696" s="20"/>
      <c r="Q696" s="20"/>
      <c r="R696" s="20"/>
      <c r="S696" s="20"/>
      <c r="T696" s="20"/>
      <c r="U696" s="20"/>
      <c r="V696" s="20"/>
      <c r="W696" s="20"/>
      <c r="X696" s="20"/>
      <c r="Y696" s="20"/>
      <c r="Z696" s="20"/>
    </row>
    <row r="697" spans="2:26" ht="17.25" customHeight="1">
      <c r="B697" s="15"/>
      <c r="C697" s="15"/>
      <c r="D697" s="37"/>
      <c r="E697" s="58"/>
      <c r="F697" s="58"/>
      <c r="G697" s="58"/>
      <c r="H697" s="58"/>
      <c r="I697" s="58"/>
      <c r="J697" s="58"/>
      <c r="K697" s="31"/>
      <c r="L697" s="20"/>
      <c r="M697" s="20"/>
      <c r="N697" s="20"/>
      <c r="O697" s="20"/>
      <c r="P697" s="20"/>
      <c r="Q697" s="20"/>
      <c r="R697" s="20"/>
      <c r="S697" s="20"/>
      <c r="T697" s="20"/>
      <c r="U697" s="20"/>
      <c r="V697" s="20"/>
      <c r="W697" s="20"/>
      <c r="X697" s="20"/>
      <c r="Y697" s="20"/>
      <c r="Z697" s="20"/>
    </row>
    <row r="698" spans="2:26" ht="17.25" customHeight="1">
      <c r="B698" s="15"/>
      <c r="C698" s="15"/>
      <c r="D698" s="37"/>
      <c r="E698" s="58"/>
      <c r="F698" s="58"/>
      <c r="G698" s="58"/>
      <c r="H698" s="58"/>
      <c r="I698" s="58"/>
      <c r="J698" s="58"/>
      <c r="K698" s="31"/>
      <c r="L698" s="20"/>
      <c r="M698" s="20"/>
      <c r="N698" s="20"/>
      <c r="O698" s="20"/>
      <c r="P698" s="20"/>
      <c r="Q698" s="20"/>
      <c r="R698" s="20"/>
      <c r="S698" s="20"/>
      <c r="T698" s="20"/>
      <c r="U698" s="20"/>
      <c r="V698" s="20"/>
      <c r="W698" s="20"/>
      <c r="X698" s="20"/>
      <c r="Y698" s="20"/>
      <c r="Z698" s="20"/>
    </row>
    <row r="699" spans="2:26" ht="17.25" customHeight="1">
      <c r="B699" s="15"/>
      <c r="C699" s="15"/>
      <c r="D699" s="37"/>
      <c r="E699" s="58"/>
      <c r="F699" s="58"/>
      <c r="G699" s="58"/>
      <c r="H699" s="58"/>
      <c r="I699" s="58"/>
      <c r="J699" s="58"/>
      <c r="K699" s="31"/>
      <c r="L699" s="20"/>
      <c r="M699" s="20"/>
      <c r="N699" s="20"/>
      <c r="O699" s="20"/>
      <c r="P699" s="20"/>
      <c r="Q699" s="20"/>
      <c r="R699" s="20"/>
      <c r="S699" s="20"/>
      <c r="T699" s="20"/>
      <c r="U699" s="20"/>
      <c r="V699" s="20"/>
      <c r="W699" s="20"/>
      <c r="X699" s="20"/>
      <c r="Y699" s="20"/>
      <c r="Z699" s="20"/>
    </row>
    <row r="700" spans="2:26" ht="17.25" customHeight="1">
      <c r="B700" s="15"/>
      <c r="C700" s="15"/>
      <c r="D700" s="37"/>
      <c r="E700" s="58"/>
      <c r="F700" s="58"/>
      <c r="G700" s="58"/>
      <c r="H700" s="58"/>
      <c r="I700" s="58"/>
      <c r="J700" s="58"/>
      <c r="K700" s="31"/>
      <c r="L700" s="20"/>
      <c r="M700" s="20"/>
      <c r="N700" s="20"/>
      <c r="O700" s="20"/>
      <c r="P700" s="20"/>
      <c r="Q700" s="20"/>
      <c r="R700" s="20"/>
      <c r="S700" s="20"/>
      <c r="T700" s="20"/>
      <c r="U700" s="20"/>
      <c r="V700" s="20"/>
      <c r="W700" s="20"/>
      <c r="X700" s="20"/>
      <c r="Y700" s="20"/>
      <c r="Z700" s="20"/>
    </row>
    <row r="701" spans="2:26" ht="17.25" customHeight="1">
      <c r="B701" s="15"/>
      <c r="C701" s="15"/>
      <c r="D701" s="37"/>
      <c r="E701" s="58"/>
      <c r="F701" s="58"/>
      <c r="G701" s="58"/>
      <c r="H701" s="58"/>
      <c r="I701" s="58"/>
      <c r="J701" s="58"/>
      <c r="K701" s="31"/>
      <c r="L701" s="20"/>
      <c r="M701" s="20"/>
      <c r="N701" s="20"/>
      <c r="O701" s="20"/>
      <c r="P701" s="20"/>
      <c r="Q701" s="20"/>
      <c r="R701" s="20"/>
      <c r="S701" s="20"/>
      <c r="T701" s="20"/>
      <c r="U701" s="20"/>
      <c r="V701" s="20"/>
      <c r="W701" s="20"/>
      <c r="X701" s="20"/>
      <c r="Y701" s="20"/>
      <c r="Z701" s="20"/>
    </row>
    <row r="702" spans="2:26" ht="17.25" customHeight="1">
      <c r="B702" s="15"/>
      <c r="C702" s="15"/>
      <c r="D702" s="37"/>
      <c r="E702" s="58"/>
      <c r="F702" s="58"/>
      <c r="G702" s="58"/>
      <c r="H702" s="58"/>
      <c r="I702" s="58"/>
      <c r="J702" s="58"/>
      <c r="K702" s="31"/>
      <c r="L702" s="20"/>
      <c r="M702" s="20"/>
      <c r="N702" s="20"/>
      <c r="O702" s="20"/>
      <c r="P702" s="20"/>
      <c r="Q702" s="20"/>
      <c r="R702" s="20"/>
      <c r="S702" s="20"/>
      <c r="T702" s="20"/>
      <c r="U702" s="20"/>
      <c r="V702" s="20"/>
      <c r="W702" s="20"/>
      <c r="X702" s="20"/>
      <c r="Y702" s="20"/>
      <c r="Z702" s="20"/>
    </row>
    <row r="703" spans="2:26" ht="17.25" customHeight="1">
      <c r="B703" s="15"/>
      <c r="C703" s="15"/>
      <c r="D703" s="37"/>
      <c r="E703" s="58"/>
      <c r="F703" s="58"/>
      <c r="G703" s="58"/>
      <c r="H703" s="58"/>
      <c r="I703" s="58"/>
      <c r="J703" s="58"/>
      <c r="K703" s="31"/>
      <c r="L703" s="20"/>
      <c r="M703" s="20"/>
      <c r="N703" s="20"/>
      <c r="O703" s="20"/>
      <c r="P703" s="20"/>
      <c r="Q703" s="20"/>
      <c r="R703" s="20"/>
      <c r="S703" s="20"/>
      <c r="T703" s="20"/>
      <c r="U703" s="20"/>
      <c r="V703" s="20"/>
      <c r="W703" s="20"/>
      <c r="X703" s="20"/>
      <c r="Y703" s="20"/>
      <c r="Z703" s="20"/>
    </row>
    <row r="704" spans="2:26" ht="17.25" customHeight="1">
      <c r="B704" s="15"/>
      <c r="C704" s="15"/>
      <c r="D704" s="37"/>
      <c r="E704" s="58"/>
      <c r="F704" s="58"/>
      <c r="G704" s="58"/>
      <c r="H704" s="58"/>
      <c r="I704" s="58"/>
      <c r="J704" s="58"/>
      <c r="K704" s="31"/>
      <c r="L704" s="20"/>
      <c r="M704" s="20"/>
      <c r="N704" s="20"/>
      <c r="O704" s="20"/>
      <c r="P704" s="20"/>
      <c r="Q704" s="20"/>
      <c r="R704" s="20"/>
      <c r="S704" s="20"/>
      <c r="T704" s="20"/>
      <c r="U704" s="20"/>
      <c r="V704" s="20"/>
      <c r="W704" s="20"/>
      <c r="X704" s="20"/>
      <c r="Y704" s="20"/>
      <c r="Z704" s="20"/>
    </row>
    <row r="705" spans="2:26" ht="17.25" customHeight="1">
      <c r="B705" s="15"/>
      <c r="C705" s="15"/>
      <c r="D705" s="37"/>
      <c r="E705" s="58"/>
      <c r="F705" s="58"/>
      <c r="G705" s="58"/>
      <c r="H705" s="58"/>
      <c r="I705" s="58"/>
      <c r="J705" s="58"/>
      <c r="K705" s="31"/>
      <c r="L705" s="20"/>
      <c r="M705" s="20"/>
      <c r="N705" s="20"/>
      <c r="O705" s="20"/>
      <c r="P705" s="20"/>
      <c r="Q705" s="20"/>
      <c r="R705" s="20"/>
      <c r="S705" s="20"/>
      <c r="T705" s="20"/>
      <c r="U705" s="20"/>
      <c r="V705" s="20"/>
      <c r="W705" s="20"/>
      <c r="X705" s="20"/>
      <c r="Y705" s="20"/>
      <c r="Z705" s="20"/>
    </row>
    <row r="706" spans="2:26" ht="17.25" customHeight="1">
      <c r="B706" s="15"/>
      <c r="C706" s="15"/>
      <c r="D706" s="37"/>
      <c r="E706" s="58"/>
      <c r="F706" s="58"/>
      <c r="G706" s="58"/>
      <c r="H706" s="58"/>
      <c r="I706" s="58"/>
      <c r="J706" s="58"/>
      <c r="K706" s="31"/>
      <c r="L706" s="20"/>
      <c r="M706" s="20"/>
      <c r="N706" s="20"/>
      <c r="O706" s="20"/>
      <c r="P706" s="20"/>
      <c r="Q706" s="20"/>
      <c r="R706" s="20"/>
      <c r="S706" s="20"/>
      <c r="T706" s="20"/>
      <c r="U706" s="20"/>
      <c r="V706" s="20"/>
      <c r="W706" s="20"/>
      <c r="X706" s="20"/>
      <c r="Y706" s="20"/>
      <c r="Z706" s="20"/>
    </row>
    <row r="707" spans="2:26" ht="17.25" customHeight="1">
      <c r="B707" s="15"/>
      <c r="C707" s="15"/>
      <c r="D707" s="37"/>
      <c r="E707" s="58"/>
      <c r="F707" s="58"/>
      <c r="G707" s="58"/>
      <c r="H707" s="58"/>
      <c r="I707" s="58"/>
      <c r="J707" s="58"/>
      <c r="K707" s="31"/>
      <c r="L707" s="20"/>
      <c r="M707" s="20"/>
      <c r="N707" s="20"/>
      <c r="O707" s="20"/>
      <c r="P707" s="20"/>
      <c r="Q707" s="20"/>
      <c r="R707" s="20"/>
      <c r="S707" s="20"/>
      <c r="T707" s="20"/>
      <c r="U707" s="20"/>
      <c r="V707" s="20"/>
      <c r="W707" s="20"/>
      <c r="X707" s="20"/>
      <c r="Y707" s="20"/>
      <c r="Z707" s="20"/>
    </row>
    <row r="708" spans="2:26" ht="17.25" customHeight="1">
      <c r="B708" s="15"/>
      <c r="C708" s="15"/>
      <c r="D708" s="37"/>
      <c r="E708" s="58"/>
      <c r="F708" s="58"/>
      <c r="G708" s="58"/>
      <c r="H708" s="58"/>
      <c r="I708" s="58"/>
      <c r="J708" s="58"/>
      <c r="K708" s="31"/>
      <c r="L708" s="20"/>
      <c r="M708" s="20"/>
      <c r="N708" s="20"/>
      <c r="O708" s="20"/>
      <c r="P708" s="20"/>
      <c r="Q708" s="20"/>
      <c r="R708" s="20"/>
      <c r="S708" s="20"/>
      <c r="T708" s="20"/>
      <c r="U708" s="20"/>
      <c r="V708" s="20"/>
      <c r="W708" s="20"/>
      <c r="X708" s="20"/>
      <c r="Y708" s="20"/>
      <c r="Z708" s="20"/>
    </row>
    <row r="709" spans="2:26" ht="17.25" customHeight="1">
      <c r="B709" s="15"/>
      <c r="C709" s="15"/>
      <c r="D709" s="37"/>
      <c r="E709" s="58"/>
      <c r="F709" s="58"/>
      <c r="G709" s="58"/>
      <c r="H709" s="58"/>
      <c r="I709" s="58"/>
      <c r="J709" s="58"/>
      <c r="K709" s="31"/>
      <c r="L709" s="20"/>
      <c r="M709" s="20"/>
      <c r="N709" s="20"/>
      <c r="O709" s="20"/>
      <c r="P709" s="20"/>
      <c r="Q709" s="20"/>
      <c r="R709" s="20"/>
      <c r="S709" s="20"/>
      <c r="T709" s="20"/>
      <c r="U709" s="20"/>
      <c r="V709" s="20"/>
      <c r="W709" s="20"/>
      <c r="X709" s="20"/>
      <c r="Y709" s="20"/>
      <c r="Z709" s="20"/>
    </row>
    <row r="710" spans="2:26" ht="17.25" customHeight="1">
      <c r="B710" s="15"/>
      <c r="C710" s="15"/>
      <c r="D710" s="37"/>
      <c r="E710" s="58"/>
      <c r="F710" s="58"/>
      <c r="G710" s="58"/>
      <c r="H710" s="58"/>
      <c r="I710" s="58"/>
      <c r="J710" s="58"/>
      <c r="K710" s="31"/>
      <c r="L710" s="20"/>
      <c r="M710" s="20"/>
      <c r="N710" s="20"/>
      <c r="O710" s="20"/>
      <c r="P710" s="20"/>
      <c r="Q710" s="20"/>
      <c r="R710" s="20"/>
      <c r="S710" s="20"/>
      <c r="T710" s="20"/>
      <c r="U710" s="20"/>
      <c r="V710" s="20"/>
      <c r="W710" s="20"/>
      <c r="X710" s="20"/>
      <c r="Y710" s="20"/>
      <c r="Z710" s="20"/>
    </row>
    <row r="711" spans="2:26" ht="17.25" customHeight="1">
      <c r="B711" s="15"/>
      <c r="C711" s="15"/>
      <c r="D711" s="37"/>
      <c r="E711" s="58"/>
      <c r="F711" s="58"/>
      <c r="G711" s="58"/>
      <c r="H711" s="58"/>
      <c r="I711" s="58"/>
      <c r="J711" s="58"/>
      <c r="K711" s="31"/>
      <c r="L711" s="20"/>
      <c r="M711" s="20"/>
      <c r="N711" s="20"/>
      <c r="O711" s="20"/>
      <c r="P711" s="20"/>
      <c r="Q711" s="20"/>
      <c r="R711" s="20"/>
      <c r="S711" s="20"/>
      <c r="T711" s="20"/>
      <c r="U711" s="20"/>
      <c r="V711" s="20"/>
      <c r="W711" s="20"/>
      <c r="X711" s="20"/>
      <c r="Y711" s="20"/>
      <c r="Z711" s="20"/>
    </row>
    <row r="712" spans="2:26" ht="17.25" customHeight="1">
      <c r="B712" s="15"/>
      <c r="C712" s="15"/>
      <c r="D712" s="37"/>
      <c r="E712" s="58"/>
      <c r="F712" s="58"/>
      <c r="G712" s="58"/>
      <c r="H712" s="58"/>
      <c r="I712" s="58"/>
      <c r="J712" s="58"/>
      <c r="K712" s="31"/>
      <c r="L712" s="20"/>
      <c r="M712" s="20"/>
      <c r="N712" s="20"/>
      <c r="O712" s="20"/>
      <c r="P712" s="20"/>
      <c r="Q712" s="20"/>
      <c r="R712" s="20"/>
      <c r="S712" s="20"/>
      <c r="T712" s="20"/>
      <c r="U712" s="20"/>
      <c r="V712" s="20"/>
      <c r="W712" s="20"/>
      <c r="X712" s="20"/>
      <c r="Y712" s="20"/>
      <c r="Z712" s="20"/>
    </row>
    <row r="713" spans="2:26" ht="17.25" customHeight="1">
      <c r="B713" s="15"/>
      <c r="C713" s="15"/>
      <c r="D713" s="37"/>
      <c r="E713" s="58"/>
      <c r="F713" s="58"/>
      <c r="G713" s="58"/>
      <c r="H713" s="58"/>
      <c r="I713" s="58"/>
      <c r="J713" s="58"/>
      <c r="K713" s="31"/>
      <c r="L713" s="20"/>
      <c r="M713" s="20"/>
      <c r="N713" s="20"/>
      <c r="O713" s="20"/>
      <c r="P713" s="20"/>
      <c r="Q713" s="20"/>
      <c r="R713" s="20"/>
      <c r="S713" s="20"/>
      <c r="T713" s="20"/>
      <c r="U713" s="20"/>
      <c r="V713" s="20"/>
      <c r="W713" s="20"/>
      <c r="X713" s="20"/>
      <c r="Y713" s="20"/>
      <c r="Z713" s="20"/>
    </row>
    <row r="714" spans="2:26" ht="17.25" customHeight="1">
      <c r="B714" s="15"/>
      <c r="C714" s="15"/>
      <c r="D714" s="37"/>
      <c r="E714" s="58"/>
      <c r="F714" s="58"/>
      <c r="G714" s="58"/>
      <c r="H714" s="58"/>
      <c r="I714" s="58"/>
      <c r="J714" s="58"/>
      <c r="K714" s="31"/>
      <c r="L714" s="20"/>
      <c r="M714" s="20"/>
      <c r="N714" s="20"/>
      <c r="O714" s="20"/>
      <c r="P714" s="20"/>
      <c r="Q714" s="20"/>
      <c r="R714" s="20"/>
      <c r="S714" s="20"/>
      <c r="T714" s="20"/>
      <c r="U714" s="20"/>
      <c r="V714" s="20"/>
      <c r="W714" s="20"/>
      <c r="X714" s="20"/>
      <c r="Y714" s="20"/>
      <c r="Z714" s="20"/>
    </row>
    <row r="715" spans="2:26" ht="17.25" customHeight="1">
      <c r="B715" s="15"/>
      <c r="C715" s="15"/>
      <c r="D715" s="37"/>
      <c r="E715" s="58"/>
      <c r="F715" s="58"/>
      <c r="G715" s="58"/>
      <c r="H715" s="58"/>
      <c r="I715" s="58"/>
      <c r="J715" s="58"/>
      <c r="K715" s="31"/>
      <c r="L715" s="20"/>
      <c r="M715" s="20"/>
      <c r="N715" s="20"/>
      <c r="O715" s="20"/>
      <c r="P715" s="20"/>
      <c r="Q715" s="20"/>
      <c r="R715" s="20"/>
      <c r="S715" s="20"/>
      <c r="T715" s="20"/>
      <c r="U715" s="20"/>
      <c r="V715" s="20"/>
      <c r="W715" s="20"/>
      <c r="X715" s="20"/>
      <c r="Y715" s="20"/>
      <c r="Z715" s="20"/>
    </row>
    <row r="716" spans="2:26" ht="17.25" customHeight="1">
      <c r="B716" s="15"/>
      <c r="C716" s="15"/>
      <c r="D716" s="37"/>
      <c r="E716" s="58"/>
      <c r="F716" s="58"/>
      <c r="G716" s="58"/>
      <c r="H716" s="58"/>
      <c r="I716" s="58"/>
      <c r="J716" s="58"/>
      <c r="K716" s="31"/>
      <c r="L716" s="20"/>
      <c r="M716" s="20"/>
      <c r="N716" s="20"/>
      <c r="O716" s="20"/>
      <c r="P716" s="20"/>
      <c r="Q716" s="20"/>
      <c r="R716" s="20"/>
      <c r="S716" s="20"/>
      <c r="T716" s="20"/>
      <c r="U716" s="20"/>
      <c r="V716" s="20"/>
      <c r="W716" s="20"/>
      <c r="X716" s="20"/>
      <c r="Y716" s="20"/>
      <c r="Z716" s="20"/>
    </row>
    <row r="717" spans="2:26" ht="17.25" customHeight="1">
      <c r="B717" s="15"/>
      <c r="C717" s="15"/>
      <c r="D717" s="37"/>
      <c r="E717" s="58"/>
      <c r="F717" s="58"/>
      <c r="G717" s="58"/>
      <c r="H717" s="58"/>
      <c r="I717" s="58"/>
      <c r="J717" s="58"/>
      <c r="K717" s="31"/>
      <c r="L717" s="20"/>
      <c r="M717" s="20"/>
      <c r="N717" s="20"/>
      <c r="O717" s="20"/>
      <c r="P717" s="20"/>
      <c r="Q717" s="20"/>
      <c r="R717" s="20"/>
      <c r="S717" s="20"/>
      <c r="T717" s="20"/>
      <c r="U717" s="20"/>
      <c r="V717" s="20"/>
      <c r="W717" s="20"/>
      <c r="X717" s="20"/>
      <c r="Y717" s="20"/>
      <c r="Z717" s="20"/>
    </row>
    <row r="718" spans="2:26" ht="17.25" customHeight="1">
      <c r="B718" s="15"/>
      <c r="C718" s="15"/>
      <c r="D718" s="37"/>
      <c r="E718" s="58"/>
      <c r="F718" s="58"/>
      <c r="G718" s="58"/>
      <c r="H718" s="58"/>
      <c r="I718" s="58"/>
      <c r="J718" s="58"/>
      <c r="K718" s="31"/>
      <c r="L718" s="20"/>
      <c r="M718" s="20"/>
      <c r="N718" s="20"/>
      <c r="O718" s="20"/>
      <c r="P718" s="20"/>
      <c r="Q718" s="20"/>
      <c r="R718" s="20"/>
      <c r="S718" s="20"/>
      <c r="T718" s="20"/>
      <c r="U718" s="20"/>
      <c r="V718" s="20"/>
      <c r="W718" s="20"/>
      <c r="X718" s="20"/>
      <c r="Y718" s="20"/>
      <c r="Z718" s="20"/>
    </row>
    <row r="719" spans="2:26" ht="17.25" customHeight="1">
      <c r="B719" s="15"/>
      <c r="C719" s="15"/>
      <c r="D719" s="37"/>
      <c r="E719" s="58"/>
      <c r="F719" s="58"/>
      <c r="G719" s="58"/>
      <c r="H719" s="58"/>
      <c r="I719" s="58"/>
      <c r="J719" s="58"/>
      <c r="K719" s="31"/>
      <c r="L719" s="20"/>
      <c r="M719" s="20"/>
      <c r="N719" s="20"/>
      <c r="O719" s="20"/>
      <c r="P719" s="20"/>
      <c r="Q719" s="20"/>
      <c r="R719" s="20"/>
      <c r="S719" s="20"/>
      <c r="T719" s="20"/>
      <c r="U719" s="20"/>
      <c r="V719" s="20"/>
      <c r="W719" s="20"/>
      <c r="X719" s="20"/>
      <c r="Y719" s="20"/>
      <c r="Z719" s="20"/>
    </row>
    <row r="720" spans="2:26" ht="17.25" customHeight="1">
      <c r="B720" s="15"/>
      <c r="C720" s="15"/>
      <c r="D720" s="37"/>
      <c r="E720" s="58"/>
      <c r="F720" s="58"/>
      <c r="G720" s="58"/>
      <c r="H720" s="58"/>
      <c r="I720" s="58"/>
      <c r="J720" s="58"/>
      <c r="K720" s="31"/>
      <c r="L720" s="20"/>
      <c r="M720" s="20"/>
      <c r="N720" s="20"/>
      <c r="O720" s="20"/>
      <c r="P720" s="20"/>
      <c r="Q720" s="20"/>
      <c r="R720" s="20"/>
      <c r="S720" s="20"/>
      <c r="T720" s="20"/>
      <c r="U720" s="20"/>
      <c r="V720" s="20"/>
      <c r="W720" s="20"/>
      <c r="X720" s="20"/>
      <c r="Y720" s="20"/>
      <c r="Z720" s="20"/>
    </row>
    <row r="721" spans="2:26" ht="17.25" customHeight="1">
      <c r="B721" s="15"/>
      <c r="C721" s="15"/>
      <c r="D721" s="37"/>
      <c r="E721" s="58"/>
      <c r="F721" s="58"/>
      <c r="G721" s="58"/>
      <c r="H721" s="58"/>
      <c r="I721" s="58"/>
      <c r="J721" s="58"/>
      <c r="K721" s="31"/>
      <c r="L721" s="20"/>
      <c r="M721" s="20"/>
      <c r="N721" s="20"/>
      <c r="O721" s="20"/>
      <c r="P721" s="20"/>
      <c r="Q721" s="20"/>
      <c r="R721" s="20"/>
      <c r="S721" s="20"/>
      <c r="T721" s="20"/>
      <c r="U721" s="20"/>
      <c r="V721" s="20"/>
      <c r="W721" s="20"/>
      <c r="X721" s="20"/>
      <c r="Y721" s="20"/>
      <c r="Z721" s="20"/>
    </row>
    <row r="722" spans="2:26" ht="17.25" customHeight="1">
      <c r="B722" s="15"/>
      <c r="C722" s="15"/>
      <c r="D722" s="37"/>
      <c r="E722" s="58"/>
      <c r="F722" s="58"/>
      <c r="G722" s="58"/>
      <c r="H722" s="58"/>
      <c r="I722" s="58"/>
      <c r="J722" s="58"/>
      <c r="K722" s="31"/>
      <c r="L722" s="20"/>
      <c r="M722" s="20"/>
      <c r="N722" s="20"/>
      <c r="O722" s="20"/>
      <c r="P722" s="20"/>
      <c r="Q722" s="20"/>
      <c r="R722" s="20"/>
      <c r="S722" s="20"/>
      <c r="T722" s="20"/>
      <c r="U722" s="20"/>
      <c r="V722" s="20"/>
      <c r="W722" s="20"/>
      <c r="X722" s="20"/>
      <c r="Y722" s="20"/>
      <c r="Z722" s="20"/>
    </row>
    <row r="723" spans="2:26" ht="17.25" customHeight="1">
      <c r="B723" s="15"/>
      <c r="C723" s="15"/>
      <c r="D723" s="37"/>
      <c r="E723" s="58"/>
      <c r="F723" s="58"/>
      <c r="G723" s="58"/>
      <c r="H723" s="58"/>
      <c r="I723" s="58"/>
      <c r="J723" s="58"/>
      <c r="K723" s="31"/>
      <c r="L723" s="20"/>
      <c r="M723" s="20"/>
      <c r="N723" s="20"/>
      <c r="O723" s="20"/>
      <c r="P723" s="20"/>
      <c r="Q723" s="20"/>
      <c r="R723" s="20"/>
      <c r="S723" s="20"/>
      <c r="T723" s="20"/>
      <c r="U723" s="20"/>
      <c r="V723" s="20"/>
      <c r="W723" s="20"/>
      <c r="X723" s="20"/>
      <c r="Y723" s="20"/>
      <c r="Z723" s="20"/>
    </row>
    <row r="724" spans="2:26" ht="17.25" customHeight="1">
      <c r="B724" s="15"/>
      <c r="C724" s="15"/>
      <c r="D724" s="37"/>
      <c r="E724" s="58"/>
      <c r="F724" s="58"/>
      <c r="G724" s="58"/>
      <c r="H724" s="58"/>
      <c r="I724" s="58"/>
      <c r="J724" s="58"/>
      <c r="K724" s="31"/>
      <c r="L724" s="20"/>
      <c r="M724" s="20"/>
      <c r="N724" s="20"/>
      <c r="O724" s="20"/>
      <c r="P724" s="20"/>
      <c r="Q724" s="20"/>
      <c r="R724" s="20"/>
      <c r="S724" s="20"/>
      <c r="T724" s="20"/>
      <c r="U724" s="20"/>
      <c r="V724" s="20"/>
      <c r="W724" s="20"/>
      <c r="X724" s="20"/>
      <c r="Y724" s="20"/>
      <c r="Z724" s="20"/>
    </row>
    <row r="725" spans="2:26" ht="17.25" customHeight="1">
      <c r="B725" s="15"/>
      <c r="C725" s="15"/>
      <c r="D725" s="37"/>
      <c r="E725" s="58"/>
      <c r="F725" s="58"/>
      <c r="G725" s="58"/>
      <c r="H725" s="58"/>
      <c r="I725" s="58"/>
      <c r="J725" s="58"/>
      <c r="K725" s="31"/>
      <c r="L725" s="20"/>
      <c r="M725" s="20"/>
      <c r="N725" s="20"/>
      <c r="O725" s="20"/>
      <c r="P725" s="20"/>
      <c r="Q725" s="20"/>
      <c r="R725" s="20"/>
      <c r="S725" s="20"/>
      <c r="T725" s="20"/>
      <c r="U725" s="20"/>
      <c r="V725" s="20"/>
      <c r="W725" s="20"/>
      <c r="X725" s="20"/>
      <c r="Y725" s="20"/>
      <c r="Z725" s="20"/>
    </row>
    <row r="726" spans="2:26" ht="17.25" customHeight="1">
      <c r="B726" s="15"/>
      <c r="C726" s="15"/>
      <c r="D726" s="37"/>
      <c r="E726" s="58"/>
      <c r="F726" s="58"/>
      <c r="G726" s="58"/>
      <c r="H726" s="58"/>
      <c r="I726" s="58"/>
      <c r="J726" s="58"/>
      <c r="K726" s="31"/>
      <c r="L726" s="20"/>
      <c r="M726" s="20"/>
      <c r="N726" s="20"/>
      <c r="O726" s="20"/>
      <c r="P726" s="20"/>
      <c r="Q726" s="20"/>
      <c r="R726" s="20"/>
      <c r="S726" s="20"/>
      <c r="T726" s="20"/>
      <c r="U726" s="20"/>
      <c r="V726" s="20"/>
      <c r="W726" s="20"/>
      <c r="X726" s="20"/>
      <c r="Y726" s="20"/>
      <c r="Z726" s="20"/>
    </row>
    <row r="727" spans="2:26" ht="17.25" customHeight="1">
      <c r="B727" s="15"/>
      <c r="C727" s="15"/>
      <c r="D727" s="37"/>
      <c r="E727" s="58"/>
      <c r="F727" s="58"/>
      <c r="G727" s="58"/>
      <c r="H727" s="58"/>
      <c r="I727" s="58"/>
      <c r="J727" s="58"/>
      <c r="K727" s="31"/>
      <c r="L727" s="20"/>
      <c r="M727" s="20"/>
      <c r="N727" s="20"/>
      <c r="O727" s="20"/>
      <c r="P727" s="20"/>
      <c r="Q727" s="20"/>
      <c r="R727" s="20"/>
      <c r="S727" s="20"/>
      <c r="T727" s="20"/>
      <c r="U727" s="20"/>
      <c r="V727" s="20"/>
      <c r="W727" s="20"/>
      <c r="X727" s="20"/>
      <c r="Y727" s="20"/>
      <c r="Z727" s="20"/>
    </row>
    <row r="728" spans="2:26" ht="17.25" customHeight="1">
      <c r="B728" s="15"/>
      <c r="C728" s="15"/>
      <c r="D728" s="37"/>
      <c r="E728" s="58"/>
      <c r="F728" s="58"/>
      <c r="G728" s="58"/>
      <c r="H728" s="58"/>
      <c r="I728" s="58"/>
      <c r="J728" s="58"/>
      <c r="K728" s="31"/>
      <c r="L728" s="20"/>
      <c r="M728" s="20"/>
      <c r="N728" s="20"/>
      <c r="O728" s="20"/>
      <c r="P728" s="20"/>
      <c r="Q728" s="20"/>
      <c r="R728" s="20"/>
      <c r="S728" s="20"/>
      <c r="T728" s="20"/>
      <c r="U728" s="20"/>
      <c r="V728" s="20"/>
      <c r="W728" s="20"/>
      <c r="X728" s="20"/>
      <c r="Y728" s="20"/>
      <c r="Z728" s="20"/>
    </row>
    <row r="729" spans="2:26" ht="17.25" customHeight="1">
      <c r="B729" s="15"/>
      <c r="C729" s="15"/>
      <c r="D729" s="37"/>
      <c r="E729" s="58"/>
      <c r="F729" s="58"/>
      <c r="G729" s="58"/>
      <c r="H729" s="58"/>
      <c r="I729" s="58"/>
      <c r="J729" s="58"/>
      <c r="K729" s="31"/>
      <c r="L729" s="20"/>
      <c r="M729" s="20"/>
      <c r="N729" s="20"/>
      <c r="O729" s="20"/>
      <c r="P729" s="20"/>
      <c r="Q729" s="20"/>
      <c r="R729" s="20"/>
      <c r="S729" s="20"/>
      <c r="T729" s="20"/>
      <c r="U729" s="20"/>
      <c r="V729" s="20"/>
      <c r="W729" s="20"/>
      <c r="X729" s="20"/>
      <c r="Y729" s="20"/>
      <c r="Z729" s="20"/>
    </row>
    <row r="730" spans="2:26" ht="17.25" customHeight="1">
      <c r="B730" s="15"/>
      <c r="C730" s="15"/>
      <c r="D730" s="37"/>
      <c r="E730" s="58"/>
      <c r="F730" s="58"/>
      <c r="G730" s="58"/>
      <c r="H730" s="58"/>
      <c r="I730" s="58"/>
      <c r="J730" s="58"/>
      <c r="K730" s="31"/>
      <c r="L730" s="20"/>
      <c r="M730" s="20"/>
      <c r="N730" s="20"/>
      <c r="O730" s="20"/>
      <c r="P730" s="20"/>
      <c r="Q730" s="20"/>
      <c r="R730" s="20"/>
      <c r="S730" s="20"/>
      <c r="T730" s="20"/>
      <c r="U730" s="20"/>
      <c r="V730" s="20"/>
      <c r="W730" s="20"/>
      <c r="X730" s="20"/>
      <c r="Y730" s="20"/>
      <c r="Z730" s="20"/>
    </row>
    <row r="731" spans="2:26" ht="17.25" customHeight="1">
      <c r="B731" s="15"/>
      <c r="C731" s="15"/>
      <c r="D731" s="37"/>
      <c r="E731" s="58"/>
      <c r="F731" s="58"/>
      <c r="G731" s="58"/>
      <c r="H731" s="58"/>
      <c r="I731" s="58"/>
      <c r="J731" s="58"/>
      <c r="K731" s="31"/>
      <c r="L731" s="20"/>
      <c r="M731" s="20"/>
      <c r="N731" s="20"/>
      <c r="O731" s="20"/>
      <c r="P731" s="20"/>
      <c r="Q731" s="20"/>
      <c r="R731" s="20"/>
      <c r="S731" s="20"/>
      <c r="T731" s="20"/>
      <c r="U731" s="20"/>
      <c r="V731" s="20"/>
      <c r="W731" s="20"/>
      <c r="X731" s="20"/>
      <c r="Y731" s="20"/>
      <c r="Z731" s="20"/>
    </row>
    <row r="732" spans="2:26" ht="17.25" customHeight="1">
      <c r="B732" s="15"/>
      <c r="C732" s="15"/>
      <c r="D732" s="37"/>
      <c r="E732" s="58"/>
      <c r="F732" s="58"/>
      <c r="G732" s="58"/>
      <c r="H732" s="58"/>
      <c r="I732" s="58"/>
      <c r="J732" s="58"/>
      <c r="K732" s="31"/>
      <c r="L732" s="20"/>
      <c r="M732" s="20"/>
      <c r="N732" s="20"/>
      <c r="O732" s="20"/>
      <c r="P732" s="20"/>
      <c r="Q732" s="20"/>
      <c r="R732" s="20"/>
      <c r="S732" s="20"/>
      <c r="T732" s="20"/>
      <c r="U732" s="20"/>
      <c r="V732" s="20"/>
      <c r="W732" s="20"/>
      <c r="X732" s="20"/>
      <c r="Y732" s="20"/>
      <c r="Z732" s="20"/>
    </row>
    <row r="733" spans="2:26" ht="17.25" customHeight="1">
      <c r="B733" s="15"/>
      <c r="C733" s="15"/>
      <c r="D733" s="37"/>
      <c r="E733" s="58"/>
      <c r="F733" s="58"/>
      <c r="G733" s="58"/>
      <c r="H733" s="58"/>
      <c r="I733" s="58"/>
      <c r="J733" s="58"/>
      <c r="K733" s="31"/>
      <c r="L733" s="20"/>
      <c r="M733" s="20"/>
      <c r="N733" s="20"/>
      <c r="O733" s="20"/>
      <c r="P733" s="20"/>
      <c r="Q733" s="20"/>
      <c r="R733" s="20"/>
      <c r="S733" s="20"/>
      <c r="T733" s="20"/>
      <c r="U733" s="20"/>
      <c r="V733" s="20"/>
      <c r="W733" s="20"/>
      <c r="X733" s="20"/>
      <c r="Y733" s="20"/>
      <c r="Z733" s="20"/>
    </row>
    <row r="734" spans="2:26" ht="17.25" customHeight="1">
      <c r="B734" s="15"/>
      <c r="C734" s="15"/>
      <c r="D734" s="37"/>
      <c r="E734" s="58"/>
      <c r="F734" s="58"/>
      <c r="G734" s="58"/>
      <c r="H734" s="58"/>
      <c r="I734" s="58"/>
      <c r="J734" s="58"/>
      <c r="K734" s="31"/>
      <c r="L734" s="20"/>
      <c r="M734" s="20"/>
      <c r="N734" s="20"/>
      <c r="O734" s="20"/>
      <c r="P734" s="20"/>
      <c r="Q734" s="20"/>
      <c r="R734" s="20"/>
      <c r="S734" s="20"/>
      <c r="T734" s="20"/>
      <c r="U734" s="20"/>
      <c r="V734" s="20"/>
      <c r="W734" s="20"/>
      <c r="X734" s="20"/>
      <c r="Y734" s="20"/>
      <c r="Z734" s="20"/>
    </row>
    <row r="735" spans="2:26" ht="17.25" customHeight="1">
      <c r="B735" s="15"/>
      <c r="C735" s="15"/>
      <c r="D735" s="37"/>
      <c r="E735" s="58"/>
      <c r="F735" s="58"/>
      <c r="G735" s="58"/>
      <c r="H735" s="58"/>
      <c r="I735" s="58"/>
      <c r="J735" s="58"/>
      <c r="K735" s="31"/>
      <c r="L735" s="20"/>
      <c r="M735" s="20"/>
      <c r="N735" s="20"/>
      <c r="O735" s="20"/>
      <c r="P735" s="20"/>
      <c r="Q735" s="20"/>
      <c r="R735" s="20"/>
      <c r="S735" s="20"/>
      <c r="T735" s="20"/>
      <c r="U735" s="20"/>
      <c r="V735" s="20"/>
      <c r="W735" s="20"/>
      <c r="X735" s="20"/>
      <c r="Y735" s="20"/>
      <c r="Z735" s="20"/>
    </row>
    <row r="736" spans="2:26" ht="17.25" customHeight="1">
      <c r="B736" s="15"/>
      <c r="C736" s="15"/>
      <c r="D736" s="37"/>
      <c r="E736" s="58"/>
      <c r="F736" s="58"/>
      <c r="G736" s="58"/>
      <c r="H736" s="58"/>
      <c r="I736" s="58"/>
      <c r="J736" s="58"/>
      <c r="K736" s="31"/>
      <c r="L736" s="20"/>
      <c r="M736" s="20"/>
      <c r="N736" s="20"/>
      <c r="O736" s="20"/>
      <c r="P736" s="20"/>
      <c r="Q736" s="20"/>
      <c r="R736" s="20"/>
      <c r="S736" s="20"/>
      <c r="T736" s="20"/>
      <c r="U736" s="20"/>
      <c r="V736" s="20"/>
      <c r="W736" s="20"/>
      <c r="X736" s="20"/>
      <c r="Y736" s="20"/>
      <c r="Z736" s="20"/>
    </row>
    <row r="737" spans="2:26" ht="17.25" customHeight="1">
      <c r="B737" s="15"/>
      <c r="C737" s="15"/>
      <c r="D737" s="37"/>
      <c r="E737" s="58"/>
      <c r="F737" s="58"/>
      <c r="G737" s="58"/>
      <c r="H737" s="58"/>
      <c r="I737" s="58"/>
      <c r="J737" s="58"/>
      <c r="K737" s="31"/>
      <c r="L737" s="20"/>
      <c r="M737" s="20"/>
      <c r="N737" s="20"/>
      <c r="O737" s="20"/>
      <c r="P737" s="20"/>
      <c r="Q737" s="20"/>
      <c r="R737" s="20"/>
      <c r="S737" s="20"/>
      <c r="T737" s="20"/>
      <c r="U737" s="20"/>
      <c r="V737" s="20"/>
      <c r="W737" s="20"/>
      <c r="X737" s="20"/>
      <c r="Y737" s="20"/>
      <c r="Z737" s="20"/>
    </row>
    <row r="738" spans="2:26" ht="17.25" customHeight="1">
      <c r="B738" s="15"/>
      <c r="C738" s="15"/>
      <c r="D738" s="37"/>
      <c r="E738" s="58"/>
      <c r="F738" s="58"/>
      <c r="G738" s="58"/>
      <c r="H738" s="58"/>
      <c r="I738" s="58"/>
      <c r="J738" s="58"/>
      <c r="K738" s="31"/>
      <c r="L738" s="20"/>
      <c r="M738" s="20"/>
      <c r="N738" s="20"/>
      <c r="O738" s="20"/>
      <c r="P738" s="20"/>
      <c r="Q738" s="20"/>
      <c r="R738" s="20"/>
      <c r="S738" s="20"/>
      <c r="T738" s="20"/>
      <c r="U738" s="20"/>
      <c r="V738" s="20"/>
      <c r="W738" s="20"/>
      <c r="X738" s="20"/>
      <c r="Y738" s="20"/>
      <c r="Z738" s="20"/>
    </row>
    <row r="739" spans="2:26" ht="17.25" customHeight="1">
      <c r="B739" s="15"/>
      <c r="C739" s="15"/>
      <c r="D739" s="37"/>
      <c r="E739" s="58"/>
      <c r="F739" s="58"/>
      <c r="G739" s="58"/>
      <c r="H739" s="58"/>
      <c r="I739" s="58"/>
      <c r="J739" s="58"/>
      <c r="K739" s="31"/>
      <c r="L739" s="20"/>
      <c r="M739" s="20"/>
      <c r="N739" s="20"/>
      <c r="O739" s="20"/>
      <c r="P739" s="20"/>
      <c r="Q739" s="20"/>
      <c r="R739" s="20"/>
      <c r="S739" s="20"/>
      <c r="T739" s="20"/>
      <c r="U739" s="20"/>
      <c r="V739" s="20"/>
      <c r="W739" s="20"/>
      <c r="X739" s="20"/>
      <c r="Y739" s="20"/>
      <c r="Z739" s="20"/>
    </row>
    <row r="740" spans="2:26" ht="17.25" customHeight="1">
      <c r="B740" s="15"/>
      <c r="C740" s="15"/>
      <c r="D740" s="37"/>
      <c r="E740" s="58"/>
      <c r="F740" s="58"/>
      <c r="G740" s="58"/>
      <c r="H740" s="58"/>
      <c r="I740" s="58"/>
      <c r="J740" s="58"/>
      <c r="K740" s="31"/>
      <c r="L740" s="20"/>
      <c r="M740" s="20"/>
      <c r="N740" s="20"/>
      <c r="O740" s="20"/>
      <c r="P740" s="20"/>
      <c r="Q740" s="20"/>
      <c r="R740" s="20"/>
      <c r="S740" s="20"/>
      <c r="T740" s="20"/>
      <c r="U740" s="20"/>
      <c r="V740" s="20"/>
      <c r="W740" s="20"/>
      <c r="X740" s="20"/>
      <c r="Y740" s="20"/>
      <c r="Z740" s="20"/>
    </row>
    <row r="741" spans="2:26" ht="17.25" customHeight="1">
      <c r="B741" s="15"/>
      <c r="C741" s="15"/>
      <c r="D741" s="37"/>
      <c r="E741" s="58"/>
      <c r="F741" s="58"/>
      <c r="G741" s="58"/>
      <c r="H741" s="58"/>
      <c r="I741" s="58"/>
      <c r="J741" s="58"/>
      <c r="K741" s="31"/>
      <c r="L741" s="20"/>
      <c r="M741" s="20"/>
      <c r="N741" s="20"/>
      <c r="O741" s="20"/>
      <c r="P741" s="20"/>
      <c r="Q741" s="20"/>
      <c r="R741" s="20"/>
      <c r="S741" s="20"/>
      <c r="T741" s="20"/>
      <c r="U741" s="20"/>
      <c r="V741" s="20"/>
      <c r="W741" s="20"/>
      <c r="X741" s="20"/>
      <c r="Y741" s="20"/>
      <c r="Z741" s="20"/>
    </row>
    <row r="742" spans="2:26" ht="17.25" customHeight="1">
      <c r="B742" s="15"/>
      <c r="C742" s="15"/>
      <c r="D742" s="37"/>
      <c r="E742" s="58"/>
      <c r="F742" s="58"/>
      <c r="G742" s="58"/>
      <c r="H742" s="58"/>
      <c r="I742" s="58"/>
      <c r="J742" s="58"/>
      <c r="K742" s="31"/>
      <c r="L742" s="20"/>
      <c r="M742" s="20"/>
      <c r="N742" s="20"/>
      <c r="O742" s="20"/>
      <c r="P742" s="20"/>
      <c r="Q742" s="20"/>
      <c r="R742" s="20"/>
      <c r="S742" s="20"/>
      <c r="T742" s="20"/>
      <c r="U742" s="20"/>
      <c r="V742" s="20"/>
      <c r="W742" s="20"/>
      <c r="X742" s="20"/>
      <c r="Y742" s="20"/>
      <c r="Z742" s="20"/>
    </row>
    <row r="743" spans="2:26" ht="17.25" customHeight="1">
      <c r="B743" s="15"/>
      <c r="C743" s="15"/>
      <c r="D743" s="37"/>
      <c r="E743" s="58"/>
      <c r="F743" s="58"/>
      <c r="G743" s="58"/>
      <c r="H743" s="58"/>
      <c r="I743" s="58"/>
      <c r="J743" s="58"/>
      <c r="K743" s="31"/>
      <c r="L743" s="20"/>
      <c r="M743" s="20"/>
      <c r="N743" s="20"/>
      <c r="O743" s="20"/>
      <c r="P743" s="20"/>
      <c r="Q743" s="20"/>
      <c r="R743" s="20"/>
      <c r="S743" s="20"/>
      <c r="T743" s="20"/>
      <c r="U743" s="20"/>
      <c r="V743" s="20"/>
      <c r="W743" s="20"/>
      <c r="X743" s="20"/>
      <c r="Y743" s="20"/>
      <c r="Z743" s="20"/>
    </row>
    <row r="744" spans="2:26" ht="17.25" customHeight="1">
      <c r="B744" s="15"/>
      <c r="C744" s="15"/>
      <c r="D744" s="37"/>
      <c r="E744" s="58"/>
      <c r="F744" s="58"/>
      <c r="G744" s="58"/>
      <c r="H744" s="58"/>
      <c r="I744" s="58"/>
      <c r="J744" s="58"/>
      <c r="K744" s="31"/>
      <c r="L744" s="20"/>
      <c r="M744" s="20"/>
      <c r="N744" s="20"/>
      <c r="O744" s="20"/>
      <c r="P744" s="20"/>
      <c r="Q744" s="20"/>
      <c r="R744" s="20"/>
      <c r="S744" s="20"/>
      <c r="T744" s="20"/>
      <c r="U744" s="20"/>
      <c r="V744" s="20"/>
      <c r="W744" s="20"/>
      <c r="X744" s="20"/>
      <c r="Y744" s="20"/>
      <c r="Z744" s="20"/>
    </row>
    <row r="745" spans="2:26" ht="17.25" customHeight="1">
      <c r="B745" s="15"/>
      <c r="C745" s="15"/>
      <c r="D745" s="37"/>
      <c r="E745" s="58"/>
      <c r="F745" s="58"/>
      <c r="G745" s="58"/>
      <c r="H745" s="58"/>
      <c r="I745" s="58"/>
      <c r="J745" s="58"/>
      <c r="K745" s="31"/>
      <c r="L745" s="20"/>
      <c r="M745" s="20"/>
      <c r="N745" s="20"/>
      <c r="O745" s="20"/>
      <c r="P745" s="20"/>
      <c r="Q745" s="20"/>
      <c r="R745" s="20"/>
      <c r="S745" s="20"/>
      <c r="T745" s="20"/>
      <c r="U745" s="20"/>
      <c r="V745" s="20"/>
      <c r="W745" s="20"/>
      <c r="X745" s="20"/>
      <c r="Y745" s="20"/>
      <c r="Z745" s="20"/>
    </row>
    <row r="746" spans="2:26" ht="17.25" customHeight="1">
      <c r="B746" s="15"/>
      <c r="C746" s="15"/>
      <c r="D746" s="37"/>
      <c r="E746" s="58"/>
      <c r="F746" s="58"/>
      <c r="G746" s="58"/>
      <c r="H746" s="58"/>
      <c r="I746" s="58"/>
      <c r="J746" s="58"/>
      <c r="K746" s="31"/>
      <c r="L746" s="20"/>
      <c r="M746" s="20"/>
      <c r="N746" s="20"/>
      <c r="O746" s="20"/>
      <c r="P746" s="20"/>
      <c r="Q746" s="20"/>
      <c r="R746" s="20"/>
      <c r="S746" s="20"/>
      <c r="T746" s="20"/>
      <c r="U746" s="20"/>
      <c r="V746" s="20"/>
      <c r="W746" s="20"/>
      <c r="X746" s="20"/>
      <c r="Y746" s="20"/>
      <c r="Z746" s="20"/>
    </row>
    <row r="747" spans="2:26" ht="17.25" customHeight="1">
      <c r="B747" s="15"/>
      <c r="C747" s="15"/>
      <c r="D747" s="37"/>
      <c r="E747" s="58"/>
      <c r="F747" s="58"/>
      <c r="G747" s="58"/>
      <c r="H747" s="58"/>
      <c r="I747" s="58"/>
      <c r="J747" s="58"/>
      <c r="K747" s="31"/>
      <c r="L747" s="20"/>
      <c r="M747" s="20"/>
      <c r="N747" s="20"/>
      <c r="O747" s="20"/>
      <c r="P747" s="20"/>
      <c r="Q747" s="20"/>
      <c r="R747" s="20"/>
      <c r="S747" s="20"/>
      <c r="T747" s="20"/>
      <c r="U747" s="20"/>
      <c r="V747" s="20"/>
      <c r="W747" s="20"/>
      <c r="X747" s="20"/>
      <c r="Y747" s="20"/>
      <c r="Z747" s="20"/>
    </row>
    <row r="748" spans="2:26" ht="17.25" customHeight="1">
      <c r="B748" s="15"/>
      <c r="C748" s="15"/>
      <c r="D748" s="37"/>
      <c r="E748" s="58"/>
      <c r="F748" s="58"/>
      <c r="G748" s="58"/>
      <c r="H748" s="58"/>
      <c r="I748" s="58"/>
      <c r="J748" s="58"/>
      <c r="K748" s="31"/>
      <c r="L748" s="20"/>
      <c r="M748" s="20"/>
      <c r="N748" s="20"/>
      <c r="O748" s="20"/>
      <c r="P748" s="20"/>
      <c r="Q748" s="20"/>
      <c r="R748" s="20"/>
      <c r="S748" s="20"/>
      <c r="T748" s="20"/>
      <c r="U748" s="20"/>
      <c r="V748" s="20"/>
      <c r="W748" s="20"/>
      <c r="X748" s="20"/>
      <c r="Y748" s="20"/>
      <c r="Z748" s="20"/>
    </row>
    <row r="749" spans="2:26" ht="17.25" customHeight="1">
      <c r="B749" s="15"/>
      <c r="C749" s="15"/>
      <c r="D749" s="37"/>
      <c r="E749" s="58"/>
      <c r="F749" s="58"/>
      <c r="G749" s="58"/>
      <c r="H749" s="58"/>
      <c r="I749" s="58"/>
      <c r="J749" s="58"/>
      <c r="K749" s="31"/>
      <c r="L749" s="20"/>
      <c r="M749" s="20"/>
      <c r="N749" s="20"/>
      <c r="O749" s="20"/>
      <c r="P749" s="20"/>
      <c r="Q749" s="20"/>
      <c r="R749" s="20"/>
      <c r="S749" s="20"/>
      <c r="T749" s="20"/>
      <c r="U749" s="20"/>
      <c r="V749" s="20"/>
      <c r="W749" s="20"/>
      <c r="X749" s="20"/>
      <c r="Y749" s="20"/>
      <c r="Z749" s="20"/>
    </row>
    <row r="750" spans="2:26" ht="17.25" customHeight="1">
      <c r="B750" s="15"/>
      <c r="C750" s="15"/>
      <c r="D750" s="37"/>
      <c r="E750" s="58"/>
      <c r="F750" s="58"/>
      <c r="G750" s="58"/>
      <c r="H750" s="58"/>
      <c r="I750" s="58"/>
      <c r="J750" s="58"/>
      <c r="K750" s="31"/>
      <c r="L750" s="20"/>
      <c r="M750" s="20"/>
      <c r="N750" s="20"/>
      <c r="O750" s="20"/>
      <c r="P750" s="20"/>
      <c r="Q750" s="20"/>
      <c r="R750" s="20"/>
      <c r="S750" s="20"/>
      <c r="T750" s="20"/>
      <c r="U750" s="20"/>
      <c r="V750" s="20"/>
      <c r="W750" s="20"/>
      <c r="X750" s="20"/>
      <c r="Y750" s="20"/>
      <c r="Z750" s="20"/>
    </row>
    <row r="751" spans="2:26" ht="17.25" customHeight="1">
      <c r="B751" s="15"/>
      <c r="C751" s="15"/>
      <c r="D751" s="37"/>
      <c r="E751" s="58"/>
      <c r="F751" s="58"/>
      <c r="G751" s="58"/>
      <c r="H751" s="58"/>
      <c r="I751" s="58"/>
      <c r="J751" s="58"/>
      <c r="K751" s="31"/>
      <c r="L751" s="20"/>
      <c r="M751" s="20"/>
      <c r="N751" s="20"/>
      <c r="O751" s="20"/>
      <c r="P751" s="20"/>
      <c r="Q751" s="20"/>
      <c r="R751" s="20"/>
      <c r="S751" s="20"/>
      <c r="T751" s="20"/>
      <c r="U751" s="20"/>
      <c r="V751" s="20"/>
      <c r="W751" s="20"/>
      <c r="X751" s="20"/>
      <c r="Y751" s="20"/>
      <c r="Z751" s="20"/>
    </row>
    <row r="752" spans="2:26" ht="17.25" customHeight="1">
      <c r="B752" s="15"/>
      <c r="C752" s="15"/>
      <c r="D752" s="37"/>
      <c r="E752" s="58"/>
      <c r="F752" s="58"/>
      <c r="G752" s="58"/>
      <c r="H752" s="58"/>
      <c r="I752" s="58"/>
      <c r="J752" s="58"/>
      <c r="K752" s="31"/>
      <c r="L752" s="20"/>
      <c r="M752" s="20"/>
      <c r="N752" s="20"/>
      <c r="O752" s="20"/>
      <c r="P752" s="20"/>
      <c r="Q752" s="20"/>
      <c r="R752" s="20"/>
      <c r="S752" s="20"/>
      <c r="T752" s="20"/>
      <c r="U752" s="20"/>
      <c r="V752" s="20"/>
      <c r="W752" s="20"/>
      <c r="X752" s="20"/>
      <c r="Y752" s="20"/>
      <c r="Z752" s="20"/>
    </row>
    <row r="753" spans="2:26" ht="17.25" customHeight="1">
      <c r="B753" s="15"/>
      <c r="C753" s="15"/>
      <c r="D753" s="37"/>
      <c r="E753" s="58"/>
      <c r="F753" s="58"/>
      <c r="G753" s="58"/>
      <c r="H753" s="58"/>
      <c r="I753" s="58"/>
      <c r="J753" s="58"/>
      <c r="K753" s="31"/>
      <c r="L753" s="20"/>
      <c r="M753" s="20"/>
      <c r="N753" s="20"/>
      <c r="O753" s="20"/>
      <c r="P753" s="20"/>
      <c r="Q753" s="20"/>
      <c r="R753" s="20"/>
      <c r="S753" s="20"/>
      <c r="T753" s="20"/>
      <c r="U753" s="20"/>
      <c r="V753" s="20"/>
      <c r="W753" s="20"/>
      <c r="X753" s="20"/>
      <c r="Y753" s="20"/>
      <c r="Z753" s="20"/>
    </row>
    <row r="754" spans="2:26" ht="17.25" customHeight="1">
      <c r="B754" s="15"/>
      <c r="C754" s="15"/>
      <c r="D754" s="37"/>
      <c r="E754" s="58"/>
      <c r="F754" s="58"/>
      <c r="G754" s="58"/>
      <c r="H754" s="58"/>
      <c r="I754" s="58"/>
      <c r="J754" s="58"/>
      <c r="K754" s="31"/>
      <c r="L754" s="20"/>
      <c r="M754" s="20"/>
      <c r="N754" s="20"/>
      <c r="O754" s="20"/>
      <c r="P754" s="20"/>
      <c r="Q754" s="20"/>
      <c r="R754" s="20"/>
      <c r="S754" s="20"/>
      <c r="T754" s="20"/>
      <c r="U754" s="20"/>
      <c r="V754" s="20"/>
      <c r="W754" s="20"/>
      <c r="X754" s="20"/>
      <c r="Y754" s="20"/>
      <c r="Z754" s="20"/>
    </row>
    <row r="755" spans="2:26" ht="17.25" customHeight="1">
      <c r="B755" s="15"/>
      <c r="C755" s="15"/>
      <c r="D755" s="37"/>
      <c r="E755" s="58"/>
      <c r="F755" s="58"/>
      <c r="G755" s="58"/>
      <c r="H755" s="58"/>
      <c r="I755" s="58"/>
      <c r="J755" s="58"/>
      <c r="K755" s="31"/>
      <c r="L755" s="20"/>
      <c r="M755" s="20"/>
      <c r="N755" s="20"/>
      <c r="O755" s="20"/>
      <c r="P755" s="20"/>
      <c r="Q755" s="20"/>
      <c r="R755" s="20"/>
      <c r="S755" s="20"/>
      <c r="T755" s="20"/>
      <c r="U755" s="20"/>
      <c r="V755" s="20"/>
      <c r="W755" s="20"/>
      <c r="X755" s="20"/>
      <c r="Y755" s="20"/>
      <c r="Z755" s="20"/>
    </row>
    <row r="756" spans="2:26" ht="17.25" customHeight="1">
      <c r="B756" s="15"/>
      <c r="C756" s="15"/>
      <c r="D756" s="37"/>
      <c r="E756" s="58"/>
      <c r="F756" s="58"/>
      <c r="G756" s="58"/>
      <c r="H756" s="58"/>
      <c r="I756" s="58"/>
      <c r="J756" s="58"/>
      <c r="K756" s="31"/>
      <c r="L756" s="20"/>
      <c r="M756" s="20"/>
      <c r="N756" s="20"/>
      <c r="O756" s="20"/>
      <c r="P756" s="20"/>
      <c r="Q756" s="20"/>
      <c r="R756" s="20"/>
      <c r="S756" s="20"/>
      <c r="T756" s="20"/>
      <c r="U756" s="20"/>
      <c r="V756" s="20"/>
      <c r="W756" s="20"/>
      <c r="X756" s="20"/>
      <c r="Y756" s="20"/>
      <c r="Z756" s="20"/>
    </row>
    <row r="757" spans="2:26" ht="17.25" customHeight="1">
      <c r="B757" s="15"/>
      <c r="C757" s="15"/>
      <c r="D757" s="37"/>
      <c r="E757" s="58"/>
      <c r="F757" s="58"/>
      <c r="G757" s="58"/>
      <c r="H757" s="58"/>
      <c r="I757" s="58"/>
      <c r="J757" s="58"/>
      <c r="K757" s="31"/>
      <c r="L757" s="20"/>
      <c r="M757" s="20"/>
      <c r="N757" s="20"/>
      <c r="O757" s="20"/>
      <c r="P757" s="20"/>
      <c r="Q757" s="20"/>
      <c r="R757" s="20"/>
      <c r="S757" s="20"/>
      <c r="T757" s="20"/>
      <c r="U757" s="20"/>
      <c r="V757" s="20"/>
      <c r="W757" s="20"/>
      <c r="X757" s="20"/>
      <c r="Y757" s="20"/>
      <c r="Z757" s="20"/>
    </row>
    <row r="758" spans="2:26" ht="17.25" customHeight="1">
      <c r="B758" s="15"/>
      <c r="C758" s="15"/>
      <c r="D758" s="37"/>
      <c r="E758" s="58"/>
      <c r="F758" s="58"/>
      <c r="G758" s="58"/>
      <c r="H758" s="58"/>
      <c r="I758" s="58"/>
      <c r="J758" s="58"/>
      <c r="K758" s="31"/>
      <c r="L758" s="20"/>
      <c r="M758" s="20"/>
      <c r="N758" s="20"/>
      <c r="O758" s="20"/>
      <c r="P758" s="20"/>
      <c r="Q758" s="20"/>
      <c r="R758" s="20"/>
      <c r="S758" s="20"/>
      <c r="T758" s="20"/>
      <c r="U758" s="20"/>
      <c r="V758" s="20"/>
      <c r="W758" s="20"/>
      <c r="X758" s="20"/>
      <c r="Y758" s="20"/>
      <c r="Z758" s="20"/>
    </row>
    <row r="759" spans="2:26" ht="17.25" customHeight="1">
      <c r="B759" s="15"/>
      <c r="C759" s="15"/>
      <c r="D759" s="37"/>
      <c r="E759" s="58"/>
      <c r="F759" s="58"/>
      <c r="G759" s="58"/>
      <c r="H759" s="58"/>
      <c r="I759" s="58"/>
      <c r="J759" s="58"/>
      <c r="K759" s="31"/>
      <c r="L759" s="20"/>
      <c r="M759" s="20"/>
      <c r="N759" s="20"/>
      <c r="O759" s="20"/>
      <c r="P759" s="20"/>
      <c r="Q759" s="20"/>
      <c r="R759" s="20"/>
      <c r="S759" s="20"/>
      <c r="T759" s="20"/>
      <c r="U759" s="20"/>
      <c r="V759" s="20"/>
      <c r="W759" s="20"/>
      <c r="X759" s="20"/>
      <c r="Y759" s="20"/>
      <c r="Z759" s="20"/>
    </row>
    <row r="760" spans="2:26" ht="17.25" customHeight="1">
      <c r="B760" s="15"/>
      <c r="C760" s="15"/>
      <c r="D760" s="37"/>
      <c r="E760" s="58"/>
      <c r="F760" s="58"/>
      <c r="G760" s="58"/>
      <c r="H760" s="58"/>
      <c r="I760" s="58"/>
      <c r="J760" s="58"/>
      <c r="K760" s="31"/>
      <c r="L760" s="20"/>
      <c r="M760" s="20"/>
      <c r="N760" s="20"/>
      <c r="O760" s="20"/>
      <c r="P760" s="20"/>
      <c r="Q760" s="20"/>
      <c r="R760" s="20"/>
      <c r="S760" s="20"/>
      <c r="T760" s="20"/>
      <c r="U760" s="20"/>
      <c r="V760" s="20"/>
      <c r="W760" s="20"/>
      <c r="X760" s="20"/>
      <c r="Y760" s="20"/>
      <c r="Z760" s="20"/>
    </row>
    <row r="761" spans="2:26" ht="17.25" customHeight="1">
      <c r="B761" s="15"/>
      <c r="C761" s="15"/>
      <c r="D761" s="37"/>
      <c r="E761" s="58"/>
      <c r="F761" s="58"/>
      <c r="G761" s="58"/>
      <c r="H761" s="58"/>
      <c r="I761" s="58"/>
      <c r="J761" s="58"/>
      <c r="K761" s="31"/>
      <c r="L761" s="20"/>
      <c r="M761" s="20"/>
      <c r="N761" s="20"/>
      <c r="O761" s="20"/>
      <c r="P761" s="20"/>
      <c r="Q761" s="20"/>
      <c r="R761" s="20"/>
      <c r="S761" s="20"/>
      <c r="T761" s="20"/>
      <c r="U761" s="20"/>
      <c r="V761" s="20"/>
      <c r="W761" s="20"/>
      <c r="X761" s="20"/>
      <c r="Y761" s="20"/>
      <c r="Z761" s="20"/>
    </row>
    <row r="762" spans="2:26" ht="17.25" customHeight="1">
      <c r="B762" s="15"/>
      <c r="C762" s="15"/>
      <c r="D762" s="37"/>
      <c r="E762" s="58"/>
      <c r="F762" s="58"/>
      <c r="G762" s="58"/>
      <c r="H762" s="58"/>
      <c r="I762" s="58"/>
      <c r="J762" s="58"/>
      <c r="K762" s="31"/>
      <c r="L762" s="20"/>
      <c r="M762" s="20"/>
      <c r="N762" s="20"/>
      <c r="O762" s="20"/>
      <c r="P762" s="20"/>
      <c r="Q762" s="20"/>
      <c r="R762" s="20"/>
      <c r="S762" s="20"/>
      <c r="T762" s="20"/>
      <c r="U762" s="20"/>
      <c r="V762" s="20"/>
      <c r="W762" s="20"/>
      <c r="X762" s="20"/>
      <c r="Y762" s="20"/>
      <c r="Z762" s="20"/>
    </row>
    <row r="763" spans="2:26" ht="17.25" customHeight="1">
      <c r="B763" s="15"/>
      <c r="C763" s="15"/>
      <c r="D763" s="37"/>
      <c r="E763" s="58"/>
      <c r="F763" s="58"/>
      <c r="G763" s="58"/>
      <c r="H763" s="58"/>
      <c r="I763" s="58"/>
      <c r="J763" s="58"/>
      <c r="K763" s="31"/>
      <c r="L763" s="20"/>
      <c r="M763" s="20"/>
      <c r="N763" s="20"/>
      <c r="O763" s="20"/>
      <c r="P763" s="20"/>
      <c r="Q763" s="20"/>
      <c r="R763" s="20"/>
      <c r="S763" s="20"/>
      <c r="T763" s="20"/>
      <c r="U763" s="20"/>
      <c r="V763" s="20"/>
      <c r="W763" s="20"/>
      <c r="X763" s="20"/>
      <c r="Y763" s="20"/>
      <c r="Z763" s="20"/>
    </row>
    <row r="764" spans="2:26" ht="17.25" customHeight="1">
      <c r="B764" s="15"/>
      <c r="C764" s="15"/>
      <c r="D764" s="37"/>
      <c r="E764" s="58"/>
      <c r="F764" s="58"/>
      <c r="G764" s="58"/>
      <c r="H764" s="58"/>
      <c r="I764" s="58"/>
      <c r="J764" s="58"/>
      <c r="K764" s="31"/>
      <c r="L764" s="20"/>
      <c r="M764" s="20"/>
      <c r="N764" s="20"/>
      <c r="O764" s="20"/>
      <c r="P764" s="20"/>
      <c r="Q764" s="20"/>
      <c r="R764" s="20"/>
      <c r="S764" s="20"/>
      <c r="T764" s="20"/>
      <c r="U764" s="20"/>
      <c r="V764" s="20"/>
      <c r="W764" s="20"/>
      <c r="X764" s="20"/>
      <c r="Y764" s="20"/>
      <c r="Z764" s="20"/>
    </row>
    <row r="765" spans="2:26" ht="17.25" customHeight="1">
      <c r="B765" s="15"/>
      <c r="C765" s="15"/>
      <c r="D765" s="37"/>
      <c r="E765" s="58"/>
      <c r="F765" s="58"/>
      <c r="G765" s="58"/>
      <c r="H765" s="58"/>
      <c r="I765" s="58"/>
      <c r="J765" s="58"/>
      <c r="K765" s="31"/>
      <c r="L765" s="20"/>
      <c r="M765" s="20"/>
      <c r="N765" s="20"/>
      <c r="O765" s="20"/>
      <c r="P765" s="20"/>
      <c r="Q765" s="20"/>
      <c r="R765" s="20"/>
      <c r="S765" s="20"/>
      <c r="T765" s="20"/>
      <c r="U765" s="20"/>
      <c r="V765" s="20"/>
      <c r="W765" s="20"/>
      <c r="X765" s="20"/>
      <c r="Y765" s="20"/>
      <c r="Z765" s="20"/>
    </row>
    <row r="766" spans="2:26" ht="17.25" customHeight="1">
      <c r="B766" s="15"/>
      <c r="C766" s="15"/>
      <c r="D766" s="37"/>
      <c r="E766" s="58"/>
      <c r="F766" s="58"/>
      <c r="G766" s="58"/>
      <c r="H766" s="58"/>
      <c r="I766" s="58"/>
      <c r="J766" s="58"/>
      <c r="K766" s="31"/>
      <c r="L766" s="20"/>
      <c r="M766" s="20"/>
      <c r="N766" s="20"/>
      <c r="O766" s="20"/>
      <c r="P766" s="20"/>
      <c r="Q766" s="20"/>
      <c r="R766" s="20"/>
      <c r="S766" s="20"/>
      <c r="T766" s="20"/>
      <c r="U766" s="20"/>
      <c r="V766" s="20"/>
      <c r="W766" s="20"/>
      <c r="X766" s="20"/>
      <c r="Y766" s="20"/>
      <c r="Z766" s="20"/>
    </row>
    <row r="767" spans="2:26" ht="17.25" customHeight="1">
      <c r="B767" s="15"/>
      <c r="C767" s="15"/>
      <c r="D767" s="37"/>
      <c r="E767" s="58"/>
      <c r="F767" s="58"/>
      <c r="G767" s="58"/>
      <c r="H767" s="58"/>
      <c r="I767" s="58"/>
      <c r="J767" s="58"/>
      <c r="K767" s="31"/>
      <c r="L767" s="20"/>
      <c r="M767" s="20"/>
      <c r="N767" s="20"/>
      <c r="O767" s="20"/>
      <c r="P767" s="20"/>
      <c r="Q767" s="20"/>
      <c r="R767" s="20"/>
      <c r="S767" s="20"/>
      <c r="T767" s="20"/>
      <c r="U767" s="20"/>
      <c r="V767" s="20"/>
      <c r="W767" s="20"/>
      <c r="X767" s="20"/>
      <c r="Y767" s="20"/>
      <c r="Z767" s="20"/>
    </row>
    <row r="768" spans="2:26" ht="17.25" customHeight="1">
      <c r="B768" s="15"/>
      <c r="C768" s="15"/>
      <c r="D768" s="37"/>
      <c r="E768" s="58"/>
      <c r="F768" s="58"/>
      <c r="G768" s="58"/>
      <c r="H768" s="58"/>
      <c r="I768" s="58"/>
      <c r="J768" s="58"/>
      <c r="K768" s="31"/>
      <c r="L768" s="20"/>
      <c r="M768" s="20"/>
      <c r="N768" s="20"/>
      <c r="O768" s="20"/>
      <c r="P768" s="20"/>
      <c r="Q768" s="20"/>
      <c r="R768" s="20"/>
      <c r="S768" s="20"/>
      <c r="T768" s="20"/>
      <c r="U768" s="20"/>
      <c r="V768" s="20"/>
      <c r="W768" s="20"/>
      <c r="X768" s="20"/>
      <c r="Y768" s="20"/>
      <c r="Z768" s="20"/>
    </row>
    <row r="769" spans="2:26" ht="17.25" customHeight="1">
      <c r="B769" s="15"/>
      <c r="C769" s="15"/>
      <c r="D769" s="37"/>
      <c r="E769" s="58"/>
      <c r="F769" s="58"/>
      <c r="G769" s="58"/>
      <c r="H769" s="58"/>
      <c r="I769" s="58"/>
      <c r="J769" s="58"/>
      <c r="K769" s="31"/>
      <c r="L769" s="20"/>
      <c r="M769" s="20"/>
      <c r="N769" s="20"/>
      <c r="O769" s="20"/>
      <c r="P769" s="20"/>
      <c r="Q769" s="20"/>
      <c r="R769" s="20"/>
      <c r="S769" s="20"/>
      <c r="T769" s="20"/>
      <c r="U769" s="20"/>
      <c r="V769" s="20"/>
      <c r="W769" s="20"/>
      <c r="X769" s="20"/>
      <c r="Y769" s="20"/>
      <c r="Z769" s="20"/>
    </row>
    <row r="770" spans="2:26" ht="17.25" customHeight="1">
      <c r="B770" s="15"/>
      <c r="C770" s="15"/>
      <c r="D770" s="37"/>
      <c r="E770" s="58"/>
      <c r="F770" s="58"/>
      <c r="G770" s="58"/>
      <c r="H770" s="58"/>
      <c r="I770" s="58"/>
      <c r="J770" s="58"/>
      <c r="K770" s="31"/>
      <c r="L770" s="20"/>
      <c r="M770" s="20"/>
      <c r="N770" s="20"/>
      <c r="O770" s="20"/>
      <c r="P770" s="20"/>
      <c r="Q770" s="20"/>
      <c r="R770" s="20"/>
      <c r="S770" s="20"/>
      <c r="T770" s="20"/>
      <c r="U770" s="20"/>
      <c r="V770" s="20"/>
      <c r="W770" s="20"/>
      <c r="X770" s="20"/>
      <c r="Y770" s="20"/>
      <c r="Z770" s="20"/>
    </row>
    <row r="771" spans="2:26" ht="17.25" customHeight="1">
      <c r="B771" s="15"/>
      <c r="C771" s="15"/>
      <c r="D771" s="37"/>
      <c r="E771" s="58"/>
      <c r="F771" s="58"/>
      <c r="G771" s="58"/>
      <c r="H771" s="58"/>
      <c r="I771" s="58"/>
      <c r="J771" s="58"/>
      <c r="K771" s="31"/>
      <c r="L771" s="20"/>
      <c r="M771" s="20"/>
      <c r="N771" s="20"/>
      <c r="O771" s="20"/>
      <c r="P771" s="20"/>
      <c r="Q771" s="20"/>
      <c r="R771" s="20"/>
      <c r="S771" s="20"/>
      <c r="T771" s="20"/>
      <c r="U771" s="20"/>
      <c r="V771" s="20"/>
      <c r="W771" s="20"/>
      <c r="X771" s="20"/>
      <c r="Y771" s="20"/>
      <c r="Z771" s="20"/>
    </row>
    <row r="772" spans="2:26" ht="17.25" customHeight="1">
      <c r="B772" s="15"/>
      <c r="C772" s="15"/>
      <c r="D772" s="37"/>
      <c r="E772" s="58"/>
      <c r="F772" s="58"/>
      <c r="G772" s="58"/>
      <c r="H772" s="58"/>
      <c r="I772" s="58"/>
      <c r="J772" s="58"/>
      <c r="K772" s="31"/>
      <c r="L772" s="20"/>
      <c r="M772" s="20"/>
      <c r="N772" s="20"/>
      <c r="O772" s="20"/>
      <c r="P772" s="20"/>
      <c r="Q772" s="20"/>
      <c r="R772" s="20"/>
      <c r="S772" s="20"/>
      <c r="T772" s="20"/>
      <c r="U772" s="20"/>
      <c r="V772" s="20"/>
      <c r="W772" s="20"/>
      <c r="X772" s="20"/>
      <c r="Y772" s="20"/>
      <c r="Z772" s="20"/>
    </row>
    <row r="773" spans="2:26" ht="17.25" customHeight="1">
      <c r="B773" s="15"/>
      <c r="C773" s="15"/>
      <c r="D773" s="37"/>
      <c r="E773" s="58"/>
      <c r="F773" s="58"/>
      <c r="G773" s="58"/>
      <c r="H773" s="58"/>
      <c r="I773" s="58"/>
      <c r="J773" s="58"/>
      <c r="K773" s="31"/>
      <c r="L773" s="20"/>
      <c r="M773" s="20"/>
      <c r="N773" s="20"/>
      <c r="O773" s="20"/>
      <c r="P773" s="20"/>
      <c r="Q773" s="20"/>
      <c r="R773" s="20"/>
      <c r="S773" s="20"/>
      <c r="T773" s="20"/>
      <c r="U773" s="20"/>
      <c r="V773" s="20"/>
      <c r="W773" s="20"/>
      <c r="X773" s="20"/>
      <c r="Y773" s="20"/>
      <c r="Z773" s="20"/>
    </row>
    <row r="774" spans="2:26" ht="17.25" customHeight="1">
      <c r="B774" s="15"/>
      <c r="C774" s="15"/>
      <c r="D774" s="37"/>
      <c r="E774" s="58"/>
      <c r="F774" s="58"/>
      <c r="G774" s="58"/>
      <c r="H774" s="58"/>
      <c r="I774" s="58"/>
      <c r="J774" s="58"/>
      <c r="K774" s="31"/>
      <c r="L774" s="20"/>
      <c r="M774" s="20"/>
      <c r="N774" s="20"/>
      <c r="O774" s="20"/>
      <c r="P774" s="20"/>
      <c r="Q774" s="20"/>
      <c r="R774" s="20"/>
      <c r="S774" s="20"/>
      <c r="T774" s="20"/>
      <c r="U774" s="20"/>
      <c r="V774" s="20"/>
      <c r="W774" s="20"/>
      <c r="X774" s="20"/>
      <c r="Y774" s="20"/>
      <c r="Z774" s="20"/>
    </row>
    <row r="775" spans="2:26" ht="17.25" customHeight="1">
      <c r="B775" s="15"/>
      <c r="C775" s="15"/>
      <c r="D775" s="37"/>
      <c r="E775" s="58"/>
      <c r="F775" s="58"/>
      <c r="G775" s="58"/>
      <c r="H775" s="58"/>
      <c r="I775" s="58"/>
      <c r="J775" s="58"/>
      <c r="K775" s="31"/>
      <c r="L775" s="20"/>
      <c r="M775" s="20"/>
      <c r="N775" s="20"/>
      <c r="O775" s="20"/>
      <c r="P775" s="20"/>
      <c r="Q775" s="20"/>
      <c r="R775" s="20"/>
      <c r="S775" s="20"/>
      <c r="T775" s="20"/>
      <c r="U775" s="20"/>
      <c r="V775" s="20"/>
      <c r="W775" s="20"/>
      <c r="X775" s="20"/>
      <c r="Y775" s="20"/>
      <c r="Z775" s="20"/>
    </row>
    <row r="776" spans="2:26" ht="17.25" customHeight="1">
      <c r="B776" s="15"/>
      <c r="C776" s="15"/>
      <c r="D776" s="37"/>
      <c r="E776" s="58"/>
      <c r="F776" s="58"/>
      <c r="G776" s="58"/>
      <c r="H776" s="58"/>
      <c r="I776" s="58"/>
      <c r="J776" s="58"/>
      <c r="K776" s="31"/>
      <c r="L776" s="20"/>
      <c r="M776" s="20"/>
      <c r="N776" s="20"/>
      <c r="O776" s="20"/>
      <c r="P776" s="20"/>
      <c r="Q776" s="20"/>
      <c r="R776" s="20"/>
      <c r="S776" s="20"/>
      <c r="T776" s="20"/>
      <c r="U776" s="20"/>
      <c r="V776" s="20"/>
      <c r="W776" s="20"/>
      <c r="X776" s="20"/>
      <c r="Y776" s="20"/>
      <c r="Z776" s="20"/>
    </row>
    <row r="777" spans="2:26" ht="17.25" customHeight="1">
      <c r="B777" s="15"/>
      <c r="C777" s="15"/>
      <c r="D777" s="37"/>
      <c r="E777" s="58"/>
      <c r="F777" s="58"/>
      <c r="G777" s="58"/>
      <c r="H777" s="58"/>
      <c r="I777" s="58"/>
      <c r="J777" s="58"/>
      <c r="K777" s="31"/>
      <c r="L777" s="20"/>
      <c r="M777" s="20"/>
      <c r="N777" s="20"/>
      <c r="O777" s="20"/>
      <c r="P777" s="20"/>
      <c r="Q777" s="20"/>
      <c r="R777" s="20"/>
      <c r="S777" s="20"/>
      <c r="T777" s="20"/>
      <c r="U777" s="20"/>
      <c r="V777" s="20"/>
      <c r="W777" s="20"/>
      <c r="X777" s="20"/>
      <c r="Y777" s="20"/>
      <c r="Z777" s="20"/>
    </row>
    <row r="778" spans="2:26" ht="17.25" customHeight="1">
      <c r="B778" s="15"/>
      <c r="C778" s="15"/>
      <c r="D778" s="37"/>
      <c r="E778" s="58"/>
      <c r="F778" s="58"/>
      <c r="G778" s="58"/>
      <c r="H778" s="58"/>
      <c r="I778" s="58"/>
      <c r="J778" s="58"/>
      <c r="K778" s="31"/>
      <c r="L778" s="20"/>
      <c r="M778" s="20"/>
      <c r="N778" s="20"/>
      <c r="O778" s="20"/>
      <c r="P778" s="20"/>
      <c r="Q778" s="20"/>
      <c r="R778" s="20"/>
      <c r="S778" s="20"/>
      <c r="T778" s="20"/>
      <c r="U778" s="20"/>
      <c r="V778" s="20"/>
      <c r="W778" s="20"/>
      <c r="X778" s="20"/>
      <c r="Y778" s="20"/>
      <c r="Z778" s="20"/>
    </row>
    <row r="779" spans="2:26" ht="17.25" customHeight="1">
      <c r="B779" s="15"/>
      <c r="C779" s="15"/>
      <c r="D779" s="37"/>
      <c r="E779" s="58"/>
      <c r="F779" s="58"/>
      <c r="G779" s="58"/>
      <c r="H779" s="58"/>
      <c r="I779" s="58"/>
      <c r="J779" s="58"/>
      <c r="K779" s="31"/>
      <c r="L779" s="20"/>
      <c r="M779" s="20"/>
      <c r="N779" s="20"/>
      <c r="O779" s="20"/>
      <c r="P779" s="20"/>
      <c r="Q779" s="20"/>
      <c r="R779" s="20"/>
      <c r="S779" s="20"/>
      <c r="T779" s="20"/>
      <c r="U779" s="20"/>
      <c r="V779" s="20"/>
      <c r="W779" s="20"/>
      <c r="X779" s="20"/>
      <c r="Y779" s="20"/>
      <c r="Z779" s="20"/>
    </row>
    <row r="780" spans="2:26" ht="17.25" customHeight="1">
      <c r="B780" s="15"/>
      <c r="C780" s="15"/>
      <c r="D780" s="37"/>
      <c r="E780" s="58"/>
      <c r="F780" s="58"/>
      <c r="G780" s="58"/>
      <c r="H780" s="58"/>
      <c r="I780" s="58"/>
      <c r="J780" s="58"/>
      <c r="K780" s="31"/>
      <c r="L780" s="20"/>
      <c r="M780" s="20"/>
      <c r="N780" s="20"/>
      <c r="O780" s="20"/>
      <c r="P780" s="20"/>
      <c r="Q780" s="20"/>
      <c r="R780" s="20"/>
      <c r="S780" s="20"/>
      <c r="T780" s="20"/>
      <c r="U780" s="20"/>
      <c r="V780" s="20"/>
      <c r="W780" s="20"/>
      <c r="X780" s="20"/>
      <c r="Y780" s="20"/>
      <c r="Z780" s="20"/>
    </row>
    <row r="781" spans="2:26" ht="17.25" customHeight="1">
      <c r="B781" s="15"/>
      <c r="C781" s="15"/>
      <c r="D781" s="37"/>
      <c r="E781" s="58"/>
      <c r="F781" s="58"/>
      <c r="G781" s="58"/>
      <c r="H781" s="58"/>
      <c r="I781" s="58"/>
      <c r="J781" s="58"/>
      <c r="K781" s="31"/>
      <c r="L781" s="20"/>
      <c r="M781" s="20"/>
      <c r="N781" s="20"/>
      <c r="O781" s="20"/>
      <c r="P781" s="20"/>
      <c r="Q781" s="20"/>
      <c r="R781" s="20"/>
      <c r="S781" s="20"/>
      <c r="T781" s="20"/>
      <c r="U781" s="20"/>
      <c r="V781" s="20"/>
      <c r="W781" s="20"/>
      <c r="X781" s="20"/>
      <c r="Y781" s="20"/>
      <c r="Z781" s="20"/>
    </row>
    <row r="782" spans="2:26" ht="17.25" customHeight="1">
      <c r="B782" s="15"/>
      <c r="C782" s="15"/>
      <c r="D782" s="37"/>
      <c r="E782" s="58"/>
      <c r="F782" s="58"/>
      <c r="G782" s="58"/>
      <c r="H782" s="58"/>
      <c r="I782" s="58"/>
      <c r="J782" s="58"/>
      <c r="K782" s="31"/>
      <c r="L782" s="20"/>
      <c r="M782" s="20"/>
      <c r="N782" s="20"/>
      <c r="O782" s="20"/>
      <c r="P782" s="20"/>
      <c r="Q782" s="20"/>
      <c r="R782" s="20"/>
      <c r="S782" s="20"/>
      <c r="T782" s="20"/>
      <c r="U782" s="20"/>
      <c r="V782" s="20"/>
      <c r="W782" s="20"/>
      <c r="X782" s="20"/>
      <c r="Y782" s="20"/>
      <c r="Z782" s="20"/>
    </row>
    <row r="783" spans="2:26" ht="17.25" customHeight="1">
      <c r="B783" s="15"/>
      <c r="C783" s="15"/>
      <c r="D783" s="37"/>
      <c r="E783" s="58"/>
      <c r="F783" s="58"/>
      <c r="G783" s="58"/>
      <c r="H783" s="58"/>
      <c r="I783" s="58"/>
      <c r="J783" s="58"/>
      <c r="K783" s="31"/>
      <c r="L783" s="20"/>
      <c r="M783" s="20"/>
      <c r="N783" s="20"/>
      <c r="O783" s="20"/>
      <c r="P783" s="20"/>
      <c r="Q783" s="20"/>
      <c r="R783" s="20"/>
      <c r="S783" s="20"/>
      <c r="T783" s="20"/>
      <c r="U783" s="20"/>
      <c r="V783" s="20"/>
      <c r="W783" s="20"/>
      <c r="X783" s="20"/>
      <c r="Y783" s="20"/>
      <c r="Z783" s="20"/>
    </row>
    <row r="784" spans="2:26" ht="17.25" customHeight="1">
      <c r="B784" s="15"/>
      <c r="C784" s="15"/>
      <c r="D784" s="37"/>
      <c r="E784" s="58"/>
      <c r="F784" s="58"/>
      <c r="G784" s="58"/>
      <c r="H784" s="58"/>
      <c r="I784" s="58"/>
      <c r="J784" s="58"/>
      <c r="K784" s="31"/>
      <c r="L784" s="20"/>
      <c r="M784" s="20"/>
      <c r="N784" s="20"/>
      <c r="O784" s="20"/>
      <c r="P784" s="20"/>
      <c r="Q784" s="20"/>
      <c r="R784" s="20"/>
      <c r="S784" s="20"/>
      <c r="T784" s="20"/>
      <c r="U784" s="20"/>
      <c r="V784" s="20"/>
      <c r="W784" s="20"/>
      <c r="X784" s="20"/>
      <c r="Y784" s="20"/>
      <c r="Z784" s="20"/>
    </row>
    <row r="785" spans="2:26" ht="17.25" customHeight="1">
      <c r="B785" s="15"/>
      <c r="C785" s="15"/>
      <c r="D785" s="37"/>
      <c r="E785" s="58"/>
      <c r="F785" s="58"/>
      <c r="G785" s="58"/>
      <c r="H785" s="58"/>
      <c r="I785" s="58"/>
      <c r="J785" s="58"/>
      <c r="K785" s="31"/>
      <c r="L785" s="20"/>
      <c r="M785" s="20"/>
      <c r="N785" s="20"/>
      <c r="O785" s="20"/>
      <c r="P785" s="20"/>
      <c r="Q785" s="20"/>
      <c r="R785" s="20"/>
      <c r="S785" s="20"/>
      <c r="T785" s="20"/>
      <c r="U785" s="20"/>
      <c r="V785" s="20"/>
      <c r="W785" s="20"/>
      <c r="X785" s="20"/>
      <c r="Y785" s="20"/>
      <c r="Z785" s="20"/>
    </row>
    <row r="786" spans="2:26" ht="17.25" customHeight="1">
      <c r="B786" s="15"/>
      <c r="C786" s="15"/>
      <c r="D786" s="37"/>
      <c r="E786" s="58"/>
      <c r="F786" s="58"/>
      <c r="G786" s="58"/>
      <c r="H786" s="58"/>
      <c r="I786" s="58"/>
      <c r="J786" s="58"/>
      <c r="K786" s="31"/>
      <c r="L786" s="20"/>
      <c r="M786" s="20"/>
      <c r="N786" s="20"/>
      <c r="O786" s="20"/>
      <c r="P786" s="20"/>
      <c r="Q786" s="20"/>
      <c r="R786" s="20"/>
      <c r="S786" s="20"/>
      <c r="T786" s="20"/>
      <c r="U786" s="20"/>
      <c r="V786" s="20"/>
      <c r="W786" s="20"/>
      <c r="X786" s="20"/>
      <c r="Y786" s="20"/>
      <c r="Z786" s="20"/>
    </row>
    <row r="787" spans="2:26" ht="17.25" customHeight="1">
      <c r="B787" s="15"/>
      <c r="C787" s="15"/>
      <c r="D787" s="37"/>
      <c r="E787" s="58"/>
      <c r="F787" s="58"/>
      <c r="G787" s="58"/>
      <c r="H787" s="58"/>
      <c r="I787" s="58"/>
      <c r="J787" s="58"/>
      <c r="K787" s="31"/>
      <c r="L787" s="20"/>
      <c r="M787" s="20"/>
      <c r="N787" s="20"/>
      <c r="O787" s="20"/>
      <c r="P787" s="20"/>
      <c r="Q787" s="20"/>
      <c r="R787" s="20"/>
      <c r="S787" s="20"/>
      <c r="T787" s="20"/>
      <c r="U787" s="20"/>
      <c r="V787" s="20"/>
      <c r="W787" s="20"/>
      <c r="X787" s="20"/>
      <c r="Y787" s="20"/>
      <c r="Z787" s="20"/>
    </row>
    <row r="788" spans="2:26" ht="17.25" customHeight="1">
      <c r="B788" s="15"/>
      <c r="C788" s="15"/>
      <c r="D788" s="37"/>
      <c r="E788" s="58"/>
      <c r="F788" s="58"/>
      <c r="G788" s="58"/>
      <c r="H788" s="58"/>
      <c r="I788" s="58"/>
      <c r="J788" s="58"/>
      <c r="K788" s="31"/>
      <c r="L788" s="20"/>
      <c r="M788" s="20"/>
      <c r="N788" s="20"/>
      <c r="O788" s="20"/>
      <c r="P788" s="20"/>
      <c r="Q788" s="20"/>
      <c r="R788" s="20"/>
      <c r="S788" s="20"/>
      <c r="T788" s="20"/>
      <c r="U788" s="20"/>
      <c r="V788" s="20"/>
      <c r="W788" s="20"/>
      <c r="X788" s="20"/>
      <c r="Y788" s="20"/>
      <c r="Z788" s="20"/>
    </row>
    <row r="789" spans="2:26" ht="17.25" customHeight="1">
      <c r="B789" s="15"/>
      <c r="C789" s="15"/>
      <c r="D789" s="37"/>
      <c r="E789" s="58"/>
      <c r="F789" s="58"/>
      <c r="G789" s="58"/>
      <c r="H789" s="58"/>
      <c r="I789" s="58"/>
      <c r="J789" s="58"/>
      <c r="K789" s="31"/>
      <c r="L789" s="20"/>
      <c r="M789" s="20"/>
      <c r="N789" s="20"/>
      <c r="O789" s="20"/>
      <c r="P789" s="20"/>
      <c r="Q789" s="20"/>
      <c r="R789" s="20"/>
      <c r="S789" s="20"/>
      <c r="T789" s="20"/>
      <c r="U789" s="20"/>
      <c r="V789" s="20"/>
      <c r="W789" s="20"/>
      <c r="X789" s="20"/>
      <c r="Y789" s="20"/>
      <c r="Z789" s="20"/>
    </row>
    <row r="790" spans="2:26" ht="17.25" customHeight="1">
      <c r="B790" s="15"/>
      <c r="C790" s="15"/>
      <c r="D790" s="37"/>
      <c r="E790" s="58"/>
      <c r="F790" s="58"/>
      <c r="G790" s="58"/>
      <c r="H790" s="58"/>
      <c r="I790" s="58"/>
      <c r="J790" s="58"/>
      <c r="K790" s="31"/>
      <c r="L790" s="20"/>
      <c r="M790" s="20"/>
      <c r="N790" s="20"/>
      <c r="O790" s="20"/>
      <c r="P790" s="20"/>
      <c r="Q790" s="20"/>
      <c r="R790" s="20"/>
      <c r="S790" s="20"/>
      <c r="T790" s="20"/>
      <c r="U790" s="20"/>
      <c r="V790" s="20"/>
      <c r="W790" s="20"/>
      <c r="X790" s="20"/>
      <c r="Y790" s="20"/>
      <c r="Z790" s="20"/>
    </row>
    <row r="791" spans="2:26" ht="17.25" customHeight="1">
      <c r="B791" s="15"/>
      <c r="C791" s="15"/>
      <c r="D791" s="37"/>
      <c r="E791" s="58"/>
      <c r="F791" s="58"/>
      <c r="G791" s="58"/>
      <c r="H791" s="58"/>
      <c r="I791" s="58"/>
      <c r="J791" s="58"/>
      <c r="K791" s="31"/>
      <c r="L791" s="20"/>
      <c r="M791" s="20"/>
      <c r="N791" s="20"/>
      <c r="O791" s="20"/>
      <c r="P791" s="20"/>
      <c r="Q791" s="20"/>
      <c r="R791" s="20"/>
      <c r="S791" s="20"/>
      <c r="T791" s="20"/>
      <c r="U791" s="20"/>
      <c r="V791" s="20"/>
      <c r="W791" s="20"/>
      <c r="X791" s="20"/>
      <c r="Y791" s="20"/>
      <c r="Z791" s="20"/>
    </row>
    <row r="792" spans="2:26" ht="17.25" customHeight="1">
      <c r="B792" s="15"/>
      <c r="C792" s="15"/>
      <c r="D792" s="37"/>
      <c r="E792" s="58"/>
      <c r="F792" s="58"/>
      <c r="G792" s="58"/>
      <c r="H792" s="58"/>
      <c r="I792" s="58"/>
      <c r="J792" s="58"/>
      <c r="K792" s="31"/>
      <c r="L792" s="20"/>
      <c r="M792" s="20"/>
      <c r="N792" s="20"/>
      <c r="O792" s="20"/>
      <c r="P792" s="20"/>
      <c r="Q792" s="20"/>
      <c r="R792" s="20"/>
      <c r="S792" s="20"/>
      <c r="T792" s="20"/>
      <c r="U792" s="20"/>
      <c r="V792" s="20"/>
      <c r="W792" s="20"/>
      <c r="X792" s="20"/>
      <c r="Y792" s="20"/>
      <c r="Z792" s="20"/>
    </row>
    <row r="793" spans="2:26" ht="17.25" customHeight="1">
      <c r="B793" s="15"/>
      <c r="C793" s="15"/>
      <c r="D793" s="37"/>
      <c r="E793" s="58"/>
      <c r="F793" s="58"/>
      <c r="G793" s="58"/>
      <c r="H793" s="58"/>
      <c r="I793" s="58"/>
      <c r="J793" s="58"/>
      <c r="K793" s="31"/>
      <c r="L793" s="20"/>
      <c r="M793" s="20"/>
      <c r="N793" s="20"/>
      <c r="O793" s="20"/>
      <c r="P793" s="20"/>
      <c r="Q793" s="20"/>
      <c r="R793" s="20"/>
      <c r="S793" s="20"/>
      <c r="T793" s="20"/>
      <c r="U793" s="20"/>
      <c r="V793" s="20"/>
      <c r="W793" s="20"/>
      <c r="X793" s="20"/>
      <c r="Y793" s="20"/>
      <c r="Z793" s="20"/>
    </row>
    <row r="794" spans="2:26" ht="17.25" customHeight="1">
      <c r="B794" s="15"/>
      <c r="C794" s="15"/>
      <c r="D794" s="37"/>
      <c r="E794" s="58"/>
      <c r="F794" s="58"/>
      <c r="G794" s="58"/>
      <c r="H794" s="58"/>
      <c r="I794" s="58"/>
      <c r="J794" s="58"/>
      <c r="K794" s="31"/>
      <c r="L794" s="20"/>
      <c r="M794" s="20"/>
      <c r="N794" s="20"/>
      <c r="O794" s="20"/>
      <c r="P794" s="20"/>
      <c r="Q794" s="20"/>
      <c r="R794" s="20"/>
      <c r="S794" s="20"/>
      <c r="T794" s="20"/>
      <c r="U794" s="20"/>
      <c r="V794" s="20"/>
      <c r="W794" s="20"/>
      <c r="X794" s="20"/>
      <c r="Y794" s="20"/>
      <c r="Z794" s="20"/>
    </row>
    <row r="795" spans="2:26" ht="17.25" customHeight="1">
      <c r="B795" s="15"/>
      <c r="C795" s="15"/>
      <c r="D795" s="37"/>
      <c r="E795" s="58"/>
      <c r="F795" s="58"/>
      <c r="G795" s="58"/>
      <c r="H795" s="58"/>
      <c r="I795" s="58"/>
      <c r="J795" s="58"/>
      <c r="K795" s="31"/>
      <c r="L795" s="20"/>
      <c r="M795" s="20"/>
      <c r="N795" s="20"/>
      <c r="O795" s="20"/>
      <c r="P795" s="20"/>
      <c r="Q795" s="20"/>
      <c r="R795" s="20"/>
      <c r="S795" s="20"/>
      <c r="T795" s="20"/>
      <c r="U795" s="20"/>
      <c r="V795" s="20"/>
      <c r="W795" s="20"/>
      <c r="X795" s="20"/>
      <c r="Y795" s="20"/>
      <c r="Z795" s="20"/>
    </row>
    <row r="796" spans="2:26" ht="17.25" customHeight="1">
      <c r="B796" s="15"/>
      <c r="C796" s="15"/>
      <c r="D796" s="37"/>
      <c r="E796" s="58"/>
      <c r="F796" s="58"/>
      <c r="G796" s="58"/>
      <c r="H796" s="58"/>
      <c r="I796" s="58"/>
      <c r="J796" s="58"/>
      <c r="K796" s="31"/>
      <c r="L796" s="20"/>
      <c r="M796" s="20"/>
      <c r="N796" s="20"/>
      <c r="O796" s="20"/>
      <c r="P796" s="20"/>
      <c r="Q796" s="20"/>
      <c r="R796" s="20"/>
      <c r="S796" s="20"/>
      <c r="T796" s="20"/>
      <c r="U796" s="20"/>
      <c r="V796" s="20"/>
      <c r="W796" s="20"/>
      <c r="X796" s="20"/>
      <c r="Y796" s="20"/>
      <c r="Z796" s="20"/>
    </row>
    <row r="797" spans="2:26" ht="17.25" customHeight="1">
      <c r="B797" s="15"/>
      <c r="C797" s="15"/>
      <c r="D797" s="37"/>
      <c r="E797" s="58"/>
      <c r="F797" s="58"/>
      <c r="G797" s="58"/>
      <c r="H797" s="58"/>
      <c r="I797" s="58"/>
      <c r="J797" s="58"/>
      <c r="K797" s="31"/>
      <c r="L797" s="20"/>
      <c r="M797" s="20"/>
      <c r="N797" s="20"/>
      <c r="O797" s="20"/>
      <c r="P797" s="20"/>
      <c r="Q797" s="20"/>
      <c r="R797" s="20"/>
      <c r="S797" s="20"/>
      <c r="T797" s="20"/>
      <c r="U797" s="20"/>
      <c r="V797" s="20"/>
      <c r="W797" s="20"/>
      <c r="X797" s="20"/>
      <c r="Y797" s="20"/>
      <c r="Z797" s="20"/>
    </row>
    <row r="798" spans="2:26" ht="17.25" customHeight="1">
      <c r="B798" s="15"/>
      <c r="C798" s="15"/>
      <c r="D798" s="37"/>
      <c r="E798" s="58"/>
      <c r="F798" s="58"/>
      <c r="G798" s="58"/>
      <c r="H798" s="58"/>
      <c r="I798" s="58"/>
      <c r="J798" s="58"/>
      <c r="K798" s="31"/>
      <c r="L798" s="20"/>
      <c r="M798" s="20"/>
      <c r="N798" s="20"/>
      <c r="O798" s="20"/>
      <c r="P798" s="20"/>
      <c r="Q798" s="20"/>
      <c r="R798" s="20"/>
      <c r="S798" s="20"/>
      <c r="T798" s="20"/>
      <c r="U798" s="20"/>
      <c r="V798" s="20"/>
      <c r="W798" s="20"/>
      <c r="X798" s="20"/>
      <c r="Y798" s="20"/>
      <c r="Z798" s="20"/>
    </row>
    <row r="799" spans="2:26" ht="17.25" customHeight="1">
      <c r="B799" s="15"/>
      <c r="C799" s="15"/>
      <c r="D799" s="37"/>
      <c r="E799" s="58"/>
      <c r="F799" s="58"/>
      <c r="G799" s="58"/>
      <c r="H799" s="58"/>
      <c r="I799" s="58"/>
      <c r="J799" s="58"/>
      <c r="K799" s="31"/>
      <c r="L799" s="20"/>
      <c r="M799" s="20"/>
      <c r="N799" s="20"/>
      <c r="O799" s="20"/>
      <c r="P799" s="20"/>
      <c r="Q799" s="20"/>
      <c r="R799" s="20"/>
      <c r="S799" s="20"/>
      <c r="T799" s="20"/>
      <c r="U799" s="20"/>
      <c r="V799" s="20"/>
      <c r="W799" s="20"/>
      <c r="X799" s="20"/>
      <c r="Y799" s="20"/>
      <c r="Z799" s="20"/>
    </row>
    <row r="800" spans="2:26" ht="17.25" customHeight="1">
      <c r="B800" s="15"/>
      <c r="C800" s="15"/>
      <c r="D800" s="37"/>
      <c r="E800" s="58"/>
      <c r="F800" s="58"/>
      <c r="G800" s="58"/>
      <c r="H800" s="58"/>
      <c r="I800" s="58"/>
      <c r="J800" s="58"/>
      <c r="K800" s="31"/>
      <c r="L800" s="20"/>
      <c r="M800" s="20"/>
      <c r="N800" s="20"/>
      <c r="O800" s="20"/>
      <c r="P800" s="20"/>
      <c r="Q800" s="20"/>
      <c r="R800" s="20"/>
      <c r="S800" s="20"/>
      <c r="T800" s="20"/>
      <c r="U800" s="20"/>
      <c r="V800" s="20"/>
      <c r="W800" s="20"/>
      <c r="X800" s="20"/>
      <c r="Y800" s="20"/>
      <c r="Z800" s="20"/>
    </row>
    <row r="801" spans="2:26" ht="17.25" customHeight="1">
      <c r="B801" s="15"/>
      <c r="C801" s="15"/>
      <c r="D801" s="37"/>
      <c r="E801" s="58"/>
      <c r="F801" s="58"/>
      <c r="G801" s="58"/>
      <c r="H801" s="58"/>
      <c r="I801" s="58"/>
      <c r="J801" s="58"/>
      <c r="K801" s="31"/>
      <c r="L801" s="20"/>
      <c r="M801" s="20"/>
      <c r="N801" s="20"/>
      <c r="O801" s="20"/>
      <c r="P801" s="20"/>
      <c r="Q801" s="20"/>
      <c r="R801" s="20"/>
      <c r="S801" s="20"/>
      <c r="T801" s="20"/>
      <c r="U801" s="20"/>
      <c r="V801" s="20"/>
      <c r="W801" s="20"/>
      <c r="X801" s="20"/>
      <c r="Y801" s="20"/>
      <c r="Z801" s="20"/>
    </row>
    <row r="802" spans="2:26" ht="17.25" customHeight="1">
      <c r="B802" s="15"/>
      <c r="C802" s="15"/>
      <c r="D802" s="37"/>
      <c r="E802" s="58"/>
      <c r="F802" s="58"/>
      <c r="G802" s="58"/>
      <c r="H802" s="58"/>
      <c r="I802" s="58"/>
      <c r="J802" s="58"/>
      <c r="K802" s="31"/>
      <c r="L802" s="20"/>
      <c r="M802" s="20"/>
      <c r="N802" s="20"/>
      <c r="O802" s="20"/>
      <c r="P802" s="20"/>
      <c r="Q802" s="20"/>
      <c r="R802" s="20"/>
      <c r="S802" s="20"/>
      <c r="T802" s="20"/>
      <c r="U802" s="20"/>
      <c r="V802" s="20"/>
      <c r="W802" s="20"/>
      <c r="X802" s="20"/>
      <c r="Y802" s="20"/>
      <c r="Z802" s="20"/>
    </row>
    <row r="803" spans="2:26" ht="17.25" customHeight="1">
      <c r="B803" s="15"/>
      <c r="C803" s="15"/>
      <c r="D803" s="37"/>
      <c r="E803" s="58"/>
      <c r="F803" s="58"/>
      <c r="G803" s="58"/>
      <c r="H803" s="58"/>
      <c r="I803" s="58"/>
      <c r="J803" s="58"/>
      <c r="K803" s="31"/>
      <c r="L803" s="20"/>
      <c r="M803" s="20"/>
      <c r="N803" s="20"/>
      <c r="O803" s="20"/>
      <c r="P803" s="20"/>
      <c r="Q803" s="20"/>
      <c r="R803" s="20"/>
      <c r="S803" s="20"/>
      <c r="T803" s="20"/>
      <c r="U803" s="20"/>
      <c r="V803" s="20"/>
      <c r="W803" s="20"/>
      <c r="X803" s="20"/>
      <c r="Y803" s="20"/>
      <c r="Z803" s="20"/>
    </row>
    <row r="804" spans="2:26" ht="17.25" customHeight="1">
      <c r="B804" s="15"/>
      <c r="C804" s="15"/>
      <c r="D804" s="37"/>
      <c r="E804" s="58"/>
      <c r="F804" s="58"/>
      <c r="G804" s="58"/>
      <c r="H804" s="58"/>
      <c r="I804" s="58"/>
      <c r="J804" s="58"/>
      <c r="K804" s="31"/>
      <c r="L804" s="20"/>
      <c r="M804" s="20"/>
      <c r="N804" s="20"/>
      <c r="O804" s="20"/>
      <c r="P804" s="20"/>
      <c r="Q804" s="20"/>
      <c r="R804" s="20"/>
      <c r="S804" s="20"/>
      <c r="T804" s="20"/>
      <c r="U804" s="20"/>
      <c r="V804" s="20"/>
      <c r="W804" s="20"/>
      <c r="X804" s="20"/>
      <c r="Y804" s="20"/>
      <c r="Z804" s="20"/>
    </row>
    <row r="805" spans="2:26" ht="17.25" customHeight="1">
      <c r="B805" s="15"/>
      <c r="C805" s="15"/>
      <c r="D805" s="37"/>
      <c r="E805" s="58"/>
      <c r="F805" s="58"/>
      <c r="G805" s="58"/>
      <c r="H805" s="58"/>
      <c r="I805" s="58"/>
      <c r="J805" s="58"/>
      <c r="K805" s="31"/>
      <c r="L805" s="20"/>
      <c r="M805" s="20"/>
      <c r="N805" s="20"/>
      <c r="O805" s="20"/>
      <c r="P805" s="20"/>
      <c r="Q805" s="20"/>
      <c r="R805" s="20"/>
      <c r="S805" s="20"/>
      <c r="T805" s="20"/>
      <c r="U805" s="20"/>
      <c r="V805" s="20"/>
      <c r="W805" s="20"/>
      <c r="X805" s="20"/>
      <c r="Y805" s="20"/>
      <c r="Z805" s="20"/>
    </row>
    <row r="806" spans="2:26" ht="17.25" customHeight="1">
      <c r="B806" s="15"/>
      <c r="C806" s="15"/>
      <c r="D806" s="37"/>
      <c r="E806" s="58"/>
      <c r="F806" s="58"/>
      <c r="G806" s="58"/>
      <c r="H806" s="58"/>
      <c r="I806" s="58"/>
      <c r="J806" s="58"/>
      <c r="K806" s="31"/>
      <c r="L806" s="20"/>
      <c r="M806" s="20"/>
      <c r="N806" s="20"/>
      <c r="O806" s="20"/>
      <c r="P806" s="20"/>
      <c r="Q806" s="20"/>
      <c r="R806" s="20"/>
      <c r="S806" s="20"/>
      <c r="T806" s="20"/>
      <c r="U806" s="20"/>
      <c r="V806" s="20"/>
      <c r="W806" s="20"/>
      <c r="X806" s="20"/>
      <c r="Y806" s="20"/>
      <c r="Z806" s="20"/>
    </row>
    <row r="807" spans="2:26" ht="17.25" customHeight="1">
      <c r="B807" s="15"/>
      <c r="C807" s="15"/>
      <c r="D807" s="37"/>
      <c r="E807" s="58"/>
      <c r="F807" s="58"/>
      <c r="G807" s="58"/>
      <c r="H807" s="58"/>
      <c r="I807" s="58"/>
      <c r="J807" s="58"/>
      <c r="K807" s="31"/>
      <c r="L807" s="20"/>
      <c r="M807" s="20"/>
      <c r="N807" s="20"/>
      <c r="O807" s="20"/>
      <c r="P807" s="20"/>
      <c r="Q807" s="20"/>
      <c r="R807" s="20"/>
      <c r="S807" s="20"/>
      <c r="T807" s="20"/>
      <c r="U807" s="20"/>
      <c r="V807" s="20"/>
      <c r="W807" s="20"/>
      <c r="X807" s="20"/>
      <c r="Y807" s="20"/>
      <c r="Z807" s="20"/>
    </row>
    <row r="808" spans="2:26" ht="17.25" customHeight="1">
      <c r="B808" s="15"/>
      <c r="C808" s="15"/>
      <c r="D808" s="37"/>
      <c r="E808" s="58"/>
      <c r="F808" s="58"/>
      <c r="G808" s="58"/>
      <c r="H808" s="58"/>
      <c r="I808" s="58"/>
      <c r="J808" s="58"/>
      <c r="K808" s="31"/>
      <c r="L808" s="20"/>
      <c r="M808" s="20"/>
      <c r="N808" s="20"/>
      <c r="O808" s="20"/>
      <c r="P808" s="20"/>
      <c r="Q808" s="20"/>
      <c r="R808" s="20"/>
      <c r="S808" s="20"/>
      <c r="T808" s="20"/>
      <c r="U808" s="20"/>
      <c r="V808" s="20"/>
      <c r="W808" s="20"/>
      <c r="X808" s="20"/>
      <c r="Y808" s="20"/>
      <c r="Z808" s="20"/>
    </row>
    <row r="809" spans="2:26" ht="17.25" customHeight="1">
      <c r="B809" s="15"/>
      <c r="C809" s="15"/>
      <c r="D809" s="37"/>
      <c r="E809" s="58"/>
      <c r="F809" s="58"/>
      <c r="G809" s="58"/>
      <c r="H809" s="58"/>
      <c r="I809" s="58"/>
      <c r="J809" s="58"/>
      <c r="K809" s="31"/>
      <c r="L809" s="20"/>
      <c r="M809" s="20"/>
      <c r="N809" s="20"/>
      <c r="O809" s="20"/>
      <c r="P809" s="20"/>
      <c r="Q809" s="20"/>
      <c r="R809" s="20"/>
      <c r="S809" s="20"/>
      <c r="T809" s="20"/>
      <c r="U809" s="20"/>
      <c r="V809" s="20"/>
      <c r="W809" s="20"/>
      <c r="X809" s="20"/>
      <c r="Y809" s="20"/>
      <c r="Z809" s="20"/>
    </row>
    <row r="810" spans="2:26" ht="17.25" customHeight="1">
      <c r="B810" s="15"/>
      <c r="C810" s="15"/>
      <c r="D810" s="37"/>
      <c r="E810" s="58"/>
      <c r="F810" s="58"/>
      <c r="G810" s="58"/>
      <c r="H810" s="58"/>
      <c r="I810" s="58"/>
      <c r="J810" s="58"/>
      <c r="K810" s="31"/>
      <c r="L810" s="20"/>
      <c r="M810" s="20"/>
      <c r="N810" s="20"/>
      <c r="O810" s="20"/>
      <c r="P810" s="20"/>
      <c r="Q810" s="20"/>
      <c r="R810" s="20"/>
      <c r="S810" s="20"/>
      <c r="T810" s="20"/>
      <c r="U810" s="20"/>
      <c r="V810" s="20"/>
      <c r="W810" s="20"/>
      <c r="X810" s="20"/>
      <c r="Y810" s="20"/>
      <c r="Z810" s="20"/>
    </row>
    <row r="811" spans="2:26" ht="17.25" customHeight="1">
      <c r="B811" s="15"/>
      <c r="C811" s="15"/>
      <c r="D811" s="37"/>
      <c r="E811" s="58"/>
      <c r="F811" s="58"/>
      <c r="G811" s="58"/>
      <c r="H811" s="58"/>
      <c r="I811" s="58"/>
      <c r="J811" s="58"/>
      <c r="K811" s="31"/>
      <c r="L811" s="20"/>
      <c r="M811" s="20"/>
      <c r="N811" s="20"/>
      <c r="O811" s="20"/>
      <c r="P811" s="20"/>
      <c r="Q811" s="20"/>
      <c r="R811" s="20"/>
      <c r="S811" s="20"/>
      <c r="T811" s="20"/>
      <c r="U811" s="20"/>
      <c r="V811" s="20"/>
      <c r="W811" s="20"/>
      <c r="X811" s="20"/>
      <c r="Y811" s="20"/>
      <c r="Z811" s="20"/>
    </row>
    <row r="812" spans="2:26" ht="17.25" customHeight="1">
      <c r="B812" s="15"/>
      <c r="C812" s="15"/>
      <c r="D812" s="37"/>
      <c r="E812" s="58"/>
      <c r="F812" s="58"/>
      <c r="G812" s="58"/>
      <c r="H812" s="58"/>
      <c r="I812" s="58"/>
      <c r="J812" s="58"/>
      <c r="K812" s="31"/>
      <c r="L812" s="20"/>
      <c r="M812" s="20"/>
      <c r="N812" s="20"/>
      <c r="O812" s="20"/>
      <c r="P812" s="20"/>
      <c r="Q812" s="20"/>
      <c r="R812" s="20"/>
      <c r="S812" s="20"/>
      <c r="T812" s="20"/>
      <c r="U812" s="20"/>
      <c r="V812" s="20"/>
      <c r="W812" s="20"/>
      <c r="X812" s="20"/>
      <c r="Y812" s="20"/>
      <c r="Z812" s="20"/>
    </row>
    <row r="813" spans="2:26" ht="17.25" customHeight="1">
      <c r="B813" s="15"/>
      <c r="C813" s="15"/>
      <c r="D813" s="37"/>
      <c r="E813" s="58"/>
      <c r="F813" s="58"/>
      <c r="G813" s="58"/>
      <c r="H813" s="58"/>
      <c r="I813" s="58"/>
      <c r="J813" s="58"/>
      <c r="K813" s="31"/>
      <c r="L813" s="20"/>
      <c r="M813" s="20"/>
      <c r="N813" s="20"/>
      <c r="O813" s="20"/>
      <c r="P813" s="20"/>
      <c r="Q813" s="20"/>
      <c r="R813" s="20"/>
      <c r="S813" s="20"/>
      <c r="T813" s="20"/>
      <c r="U813" s="20"/>
      <c r="V813" s="20"/>
      <c r="W813" s="20"/>
      <c r="X813" s="20"/>
      <c r="Y813" s="20"/>
      <c r="Z813" s="20"/>
    </row>
    <row r="814" spans="2:26" ht="17.25" customHeight="1">
      <c r="B814" s="15"/>
      <c r="C814" s="15"/>
      <c r="D814" s="37"/>
      <c r="E814" s="58"/>
      <c r="F814" s="58"/>
      <c r="G814" s="58"/>
      <c r="H814" s="58"/>
      <c r="I814" s="58"/>
      <c r="J814" s="58"/>
      <c r="K814" s="31"/>
      <c r="L814" s="20"/>
      <c r="M814" s="20"/>
      <c r="N814" s="20"/>
      <c r="O814" s="20"/>
      <c r="P814" s="20"/>
      <c r="Q814" s="20"/>
      <c r="R814" s="20"/>
      <c r="S814" s="20"/>
      <c r="T814" s="20"/>
      <c r="U814" s="20"/>
      <c r="V814" s="20"/>
      <c r="W814" s="20"/>
      <c r="X814" s="20"/>
      <c r="Y814" s="20"/>
      <c r="Z814" s="20"/>
    </row>
    <row r="815" spans="2:26" ht="17.25" customHeight="1">
      <c r="B815" s="15"/>
      <c r="C815" s="15"/>
      <c r="D815" s="37"/>
      <c r="E815" s="58"/>
      <c r="F815" s="58"/>
      <c r="G815" s="58"/>
      <c r="H815" s="58"/>
      <c r="I815" s="58"/>
      <c r="J815" s="58"/>
      <c r="K815" s="31"/>
      <c r="L815" s="20"/>
      <c r="M815" s="20"/>
      <c r="N815" s="20"/>
      <c r="O815" s="20"/>
      <c r="P815" s="20"/>
      <c r="Q815" s="20"/>
      <c r="R815" s="20"/>
      <c r="S815" s="20"/>
      <c r="T815" s="20"/>
      <c r="U815" s="20"/>
      <c r="V815" s="20"/>
      <c r="W815" s="20"/>
      <c r="X815" s="20"/>
      <c r="Y815" s="20"/>
      <c r="Z815" s="20"/>
    </row>
    <row r="816" spans="2:26" ht="17.25" customHeight="1">
      <c r="B816" s="15"/>
      <c r="C816" s="15"/>
      <c r="D816" s="37"/>
      <c r="E816" s="58"/>
      <c r="F816" s="58"/>
      <c r="G816" s="58"/>
      <c r="H816" s="58"/>
      <c r="I816" s="58"/>
      <c r="J816" s="58"/>
      <c r="K816" s="31"/>
      <c r="L816" s="20"/>
      <c r="M816" s="20"/>
      <c r="N816" s="20"/>
      <c r="O816" s="20"/>
      <c r="P816" s="20"/>
      <c r="Q816" s="20"/>
      <c r="R816" s="20"/>
      <c r="S816" s="20"/>
      <c r="T816" s="20"/>
      <c r="U816" s="20"/>
      <c r="V816" s="20"/>
      <c r="W816" s="20"/>
      <c r="X816" s="20"/>
      <c r="Y816" s="20"/>
      <c r="Z816" s="20"/>
    </row>
    <row r="817" spans="2:26" ht="17.25" customHeight="1">
      <c r="B817" s="15"/>
      <c r="C817" s="15"/>
      <c r="D817" s="37"/>
      <c r="E817" s="58"/>
      <c r="F817" s="58"/>
      <c r="G817" s="58"/>
      <c r="H817" s="58"/>
      <c r="I817" s="58"/>
      <c r="J817" s="58"/>
      <c r="K817" s="31"/>
      <c r="L817" s="20"/>
      <c r="M817" s="20"/>
      <c r="N817" s="20"/>
      <c r="O817" s="20"/>
      <c r="P817" s="20"/>
      <c r="Q817" s="20"/>
      <c r="R817" s="20"/>
      <c r="S817" s="20"/>
      <c r="T817" s="20"/>
      <c r="U817" s="20"/>
      <c r="V817" s="20"/>
      <c r="W817" s="20"/>
      <c r="X817" s="20"/>
      <c r="Y817" s="20"/>
      <c r="Z817" s="20"/>
    </row>
    <row r="818" spans="2:26" ht="17.25" customHeight="1">
      <c r="B818" s="15"/>
      <c r="C818" s="15"/>
      <c r="D818" s="37"/>
      <c r="E818" s="58"/>
      <c r="F818" s="58"/>
      <c r="G818" s="58"/>
      <c r="H818" s="58"/>
      <c r="I818" s="58"/>
      <c r="J818" s="58"/>
      <c r="K818" s="31"/>
      <c r="L818" s="20"/>
      <c r="M818" s="20"/>
      <c r="N818" s="20"/>
      <c r="O818" s="20"/>
      <c r="P818" s="20"/>
      <c r="Q818" s="20"/>
      <c r="R818" s="20"/>
      <c r="S818" s="20"/>
      <c r="T818" s="20"/>
      <c r="U818" s="20"/>
      <c r="V818" s="20"/>
      <c r="W818" s="20"/>
      <c r="X818" s="20"/>
      <c r="Y818" s="20"/>
      <c r="Z818" s="20"/>
    </row>
    <row r="819" spans="2:26" ht="17.25" customHeight="1">
      <c r="B819" s="15"/>
      <c r="C819" s="15"/>
      <c r="D819" s="37"/>
      <c r="E819" s="58"/>
      <c r="F819" s="58"/>
      <c r="G819" s="58"/>
      <c r="H819" s="58"/>
      <c r="I819" s="58"/>
      <c r="J819" s="58"/>
      <c r="K819" s="31"/>
      <c r="L819" s="20"/>
      <c r="M819" s="20"/>
      <c r="N819" s="20"/>
      <c r="O819" s="20"/>
      <c r="P819" s="20"/>
      <c r="Q819" s="20"/>
      <c r="R819" s="20"/>
      <c r="S819" s="20"/>
      <c r="T819" s="20"/>
      <c r="U819" s="20"/>
      <c r="V819" s="20"/>
      <c r="W819" s="20"/>
      <c r="X819" s="20"/>
      <c r="Y819" s="20"/>
      <c r="Z819" s="20"/>
    </row>
    <row r="820" spans="2:26" ht="17.25" customHeight="1">
      <c r="B820" s="15"/>
      <c r="C820" s="15"/>
      <c r="D820" s="37"/>
      <c r="E820" s="58"/>
      <c r="F820" s="58"/>
      <c r="G820" s="58"/>
      <c r="H820" s="58"/>
      <c r="I820" s="58"/>
      <c r="J820" s="58"/>
      <c r="K820" s="31"/>
      <c r="L820" s="20"/>
      <c r="M820" s="20"/>
      <c r="N820" s="20"/>
      <c r="O820" s="20"/>
      <c r="P820" s="20"/>
      <c r="Q820" s="20"/>
      <c r="R820" s="20"/>
      <c r="S820" s="20"/>
      <c r="T820" s="20"/>
      <c r="U820" s="20"/>
      <c r="V820" s="20"/>
      <c r="W820" s="20"/>
      <c r="X820" s="20"/>
      <c r="Y820" s="20"/>
      <c r="Z820" s="20"/>
    </row>
    <row r="821" spans="2:26" ht="17.25" customHeight="1">
      <c r="B821" s="15"/>
      <c r="C821" s="15"/>
      <c r="D821" s="37"/>
      <c r="E821" s="58"/>
      <c r="F821" s="58"/>
      <c r="G821" s="58"/>
      <c r="H821" s="58"/>
      <c r="I821" s="58"/>
      <c r="J821" s="58"/>
      <c r="K821" s="31"/>
      <c r="L821" s="20"/>
      <c r="M821" s="20"/>
      <c r="N821" s="20"/>
      <c r="O821" s="20"/>
      <c r="P821" s="20"/>
      <c r="Q821" s="20"/>
      <c r="R821" s="20"/>
      <c r="S821" s="20"/>
      <c r="T821" s="20"/>
      <c r="U821" s="20"/>
      <c r="V821" s="20"/>
      <c r="W821" s="20"/>
      <c r="X821" s="20"/>
      <c r="Y821" s="20"/>
      <c r="Z821" s="20"/>
    </row>
    <row r="822" spans="2:26" ht="17.25" customHeight="1">
      <c r="B822" s="15"/>
      <c r="C822" s="15"/>
      <c r="D822" s="37"/>
      <c r="E822" s="58"/>
      <c r="F822" s="58"/>
      <c r="G822" s="58"/>
      <c r="H822" s="58"/>
      <c r="I822" s="58"/>
      <c r="J822" s="58"/>
      <c r="K822" s="31"/>
      <c r="L822" s="20"/>
      <c r="M822" s="20"/>
      <c r="N822" s="20"/>
      <c r="O822" s="20"/>
      <c r="P822" s="20"/>
      <c r="Q822" s="20"/>
      <c r="R822" s="20"/>
      <c r="S822" s="20"/>
      <c r="T822" s="20"/>
      <c r="U822" s="20"/>
      <c r="V822" s="20"/>
      <c r="W822" s="20"/>
      <c r="X822" s="20"/>
      <c r="Y822" s="20"/>
      <c r="Z822" s="20"/>
    </row>
    <row r="823" spans="2:26" ht="17.25" customHeight="1">
      <c r="B823" s="15"/>
      <c r="C823" s="15"/>
      <c r="D823" s="37"/>
      <c r="E823" s="58"/>
      <c r="F823" s="58"/>
      <c r="G823" s="58"/>
      <c r="H823" s="58"/>
      <c r="I823" s="58"/>
      <c r="J823" s="58"/>
      <c r="K823" s="31"/>
      <c r="L823" s="20"/>
      <c r="M823" s="20"/>
      <c r="N823" s="20"/>
      <c r="O823" s="20"/>
      <c r="P823" s="20"/>
      <c r="Q823" s="20"/>
      <c r="R823" s="20"/>
      <c r="S823" s="20"/>
      <c r="T823" s="20"/>
      <c r="U823" s="20"/>
      <c r="V823" s="20"/>
      <c r="W823" s="20"/>
      <c r="X823" s="20"/>
      <c r="Y823" s="20"/>
      <c r="Z823" s="20"/>
    </row>
    <row r="824" spans="2:26" ht="17.25" customHeight="1">
      <c r="B824" s="15"/>
      <c r="C824" s="15"/>
      <c r="D824" s="37"/>
      <c r="E824" s="58"/>
      <c r="F824" s="58"/>
      <c r="G824" s="58"/>
      <c r="H824" s="58"/>
      <c r="I824" s="58"/>
      <c r="J824" s="58"/>
      <c r="K824" s="31"/>
      <c r="L824" s="20"/>
      <c r="M824" s="20"/>
      <c r="N824" s="20"/>
      <c r="O824" s="20"/>
      <c r="P824" s="20"/>
      <c r="Q824" s="20"/>
      <c r="R824" s="20"/>
      <c r="S824" s="20"/>
      <c r="T824" s="20"/>
      <c r="U824" s="20"/>
      <c r="V824" s="20"/>
      <c r="W824" s="20"/>
      <c r="X824" s="20"/>
      <c r="Y824" s="20"/>
      <c r="Z824" s="20"/>
    </row>
    <row r="825" spans="2:26" ht="17.25" customHeight="1">
      <c r="B825" s="15"/>
      <c r="C825" s="15"/>
      <c r="D825" s="37"/>
      <c r="E825" s="58"/>
      <c r="F825" s="58"/>
      <c r="G825" s="58"/>
      <c r="H825" s="58"/>
      <c r="I825" s="58"/>
      <c r="J825" s="58"/>
      <c r="K825" s="31"/>
      <c r="L825" s="20"/>
      <c r="M825" s="20"/>
      <c r="N825" s="20"/>
      <c r="O825" s="20"/>
      <c r="P825" s="20"/>
      <c r="Q825" s="20"/>
      <c r="R825" s="20"/>
      <c r="S825" s="20"/>
      <c r="T825" s="20"/>
      <c r="U825" s="20"/>
      <c r="V825" s="20"/>
      <c r="W825" s="20"/>
      <c r="X825" s="20"/>
      <c r="Y825" s="20"/>
      <c r="Z825" s="20"/>
    </row>
    <row r="826" spans="2:26" ht="17.25" customHeight="1">
      <c r="B826" s="15"/>
      <c r="C826" s="15"/>
      <c r="D826" s="37"/>
      <c r="E826" s="58"/>
      <c r="F826" s="58"/>
      <c r="G826" s="58"/>
      <c r="H826" s="58"/>
      <c r="I826" s="58"/>
      <c r="J826" s="58"/>
      <c r="K826" s="31"/>
      <c r="L826" s="20"/>
      <c r="M826" s="20"/>
      <c r="N826" s="20"/>
      <c r="O826" s="20"/>
      <c r="P826" s="20"/>
      <c r="Q826" s="20"/>
      <c r="R826" s="20"/>
      <c r="S826" s="20"/>
      <c r="T826" s="20"/>
      <c r="U826" s="20"/>
      <c r="V826" s="20"/>
      <c r="W826" s="20"/>
      <c r="X826" s="20"/>
      <c r="Y826" s="20"/>
      <c r="Z826" s="20"/>
    </row>
    <row r="827" spans="2:26" ht="17.25" customHeight="1">
      <c r="B827" s="15"/>
      <c r="C827" s="15"/>
      <c r="D827" s="37"/>
      <c r="E827" s="58"/>
      <c r="F827" s="58"/>
      <c r="G827" s="58"/>
      <c r="H827" s="58"/>
      <c r="I827" s="58"/>
      <c r="J827" s="58"/>
      <c r="K827" s="31"/>
      <c r="L827" s="20"/>
      <c r="M827" s="20"/>
      <c r="N827" s="20"/>
      <c r="O827" s="20"/>
      <c r="P827" s="20"/>
      <c r="Q827" s="20"/>
      <c r="R827" s="20"/>
      <c r="S827" s="20"/>
      <c r="T827" s="20"/>
      <c r="U827" s="20"/>
      <c r="V827" s="20"/>
      <c r="W827" s="20"/>
      <c r="X827" s="20"/>
      <c r="Y827" s="20"/>
      <c r="Z827" s="20"/>
    </row>
    <row r="828" spans="2:26" ht="17.25" customHeight="1">
      <c r="B828" s="15"/>
      <c r="C828" s="15"/>
      <c r="D828" s="37"/>
      <c r="E828" s="58"/>
      <c r="F828" s="58"/>
      <c r="G828" s="58"/>
      <c r="H828" s="58"/>
      <c r="I828" s="58"/>
      <c r="J828" s="58"/>
      <c r="K828" s="31"/>
      <c r="L828" s="20"/>
      <c r="M828" s="20"/>
      <c r="N828" s="20"/>
      <c r="O828" s="20"/>
      <c r="P828" s="20"/>
      <c r="Q828" s="20"/>
      <c r="R828" s="20"/>
      <c r="S828" s="20"/>
      <c r="T828" s="20"/>
      <c r="U828" s="20"/>
      <c r="V828" s="20"/>
      <c r="W828" s="20"/>
      <c r="X828" s="20"/>
      <c r="Y828" s="20"/>
      <c r="Z828" s="20"/>
    </row>
    <row r="829" spans="2:26" ht="17.25" customHeight="1">
      <c r="B829" s="15"/>
      <c r="C829" s="15"/>
      <c r="D829" s="37"/>
      <c r="E829" s="58"/>
      <c r="F829" s="58"/>
      <c r="G829" s="58"/>
      <c r="H829" s="58"/>
      <c r="I829" s="58"/>
      <c r="J829" s="58"/>
      <c r="K829" s="31"/>
      <c r="L829" s="20"/>
      <c r="M829" s="20"/>
      <c r="N829" s="20"/>
      <c r="O829" s="20"/>
      <c r="P829" s="20"/>
      <c r="Q829" s="20"/>
      <c r="R829" s="20"/>
      <c r="S829" s="20"/>
      <c r="T829" s="20"/>
      <c r="U829" s="20"/>
      <c r="V829" s="20"/>
      <c r="W829" s="20"/>
      <c r="X829" s="20"/>
      <c r="Y829" s="20"/>
      <c r="Z829" s="20"/>
    </row>
    <row r="830" spans="2:26" ht="17.25" customHeight="1">
      <c r="B830" s="15"/>
      <c r="C830" s="15"/>
      <c r="D830" s="37"/>
      <c r="E830" s="58"/>
      <c r="F830" s="58"/>
      <c r="G830" s="58"/>
      <c r="H830" s="58"/>
      <c r="I830" s="58"/>
      <c r="J830" s="58"/>
      <c r="K830" s="31"/>
      <c r="L830" s="20"/>
      <c r="M830" s="20"/>
      <c r="N830" s="20"/>
      <c r="O830" s="20"/>
      <c r="P830" s="20"/>
      <c r="Q830" s="20"/>
      <c r="R830" s="20"/>
      <c r="S830" s="20"/>
      <c r="T830" s="20"/>
      <c r="U830" s="20"/>
      <c r="V830" s="20"/>
      <c r="W830" s="20"/>
      <c r="X830" s="20"/>
      <c r="Y830" s="20"/>
      <c r="Z830" s="20"/>
    </row>
    <row r="831" spans="2:26" ht="17.25" customHeight="1">
      <c r="B831" s="15"/>
      <c r="C831" s="15"/>
      <c r="D831" s="37"/>
      <c r="E831" s="58"/>
      <c r="F831" s="58"/>
      <c r="G831" s="58"/>
      <c r="H831" s="58"/>
      <c r="I831" s="58"/>
      <c r="J831" s="58"/>
      <c r="K831" s="31"/>
      <c r="L831" s="20"/>
      <c r="M831" s="20"/>
      <c r="N831" s="20"/>
      <c r="O831" s="20"/>
      <c r="P831" s="20"/>
      <c r="Q831" s="20"/>
      <c r="R831" s="20"/>
      <c r="S831" s="20"/>
      <c r="T831" s="20"/>
      <c r="U831" s="20"/>
      <c r="V831" s="20"/>
      <c r="W831" s="20"/>
      <c r="X831" s="20"/>
      <c r="Y831" s="20"/>
      <c r="Z831" s="20"/>
    </row>
    <row r="832" spans="2:26" ht="17.25" customHeight="1">
      <c r="B832" s="15"/>
      <c r="C832" s="15"/>
      <c r="D832" s="37"/>
      <c r="E832" s="58"/>
      <c r="F832" s="58"/>
      <c r="G832" s="58"/>
      <c r="H832" s="58"/>
      <c r="I832" s="58"/>
      <c r="J832" s="58"/>
      <c r="K832" s="31"/>
      <c r="L832" s="20"/>
      <c r="M832" s="20"/>
      <c r="N832" s="20"/>
      <c r="O832" s="20"/>
      <c r="P832" s="20"/>
      <c r="Q832" s="20"/>
      <c r="R832" s="20"/>
      <c r="S832" s="20"/>
      <c r="T832" s="20"/>
      <c r="U832" s="20"/>
      <c r="V832" s="20"/>
      <c r="W832" s="20"/>
      <c r="X832" s="20"/>
      <c r="Y832" s="20"/>
      <c r="Z832" s="20"/>
    </row>
    <row r="833" spans="2:26" ht="17.25" customHeight="1">
      <c r="B833" s="15"/>
      <c r="C833" s="15"/>
      <c r="D833" s="37"/>
      <c r="E833" s="58"/>
      <c r="F833" s="58"/>
      <c r="G833" s="58"/>
      <c r="H833" s="58"/>
      <c r="I833" s="58"/>
      <c r="J833" s="58"/>
      <c r="K833" s="31"/>
      <c r="L833" s="20"/>
      <c r="M833" s="20"/>
      <c r="N833" s="20"/>
      <c r="O833" s="20"/>
      <c r="P833" s="20"/>
      <c r="Q833" s="20"/>
      <c r="R833" s="20"/>
      <c r="S833" s="20"/>
      <c r="T833" s="20"/>
      <c r="U833" s="20"/>
      <c r="V833" s="20"/>
      <c r="W833" s="20"/>
      <c r="X833" s="20"/>
      <c r="Y833" s="20"/>
      <c r="Z833" s="20"/>
    </row>
    <row r="834" spans="2:26" ht="17.25" customHeight="1">
      <c r="B834" s="15"/>
      <c r="C834" s="15"/>
      <c r="D834" s="37"/>
      <c r="E834" s="58"/>
      <c r="F834" s="58"/>
      <c r="G834" s="58"/>
      <c r="H834" s="58"/>
      <c r="I834" s="58"/>
      <c r="J834" s="58"/>
      <c r="K834" s="31"/>
      <c r="L834" s="20"/>
      <c r="M834" s="20"/>
      <c r="N834" s="20"/>
      <c r="O834" s="20"/>
      <c r="P834" s="20"/>
      <c r="Q834" s="20"/>
      <c r="R834" s="20"/>
      <c r="S834" s="20"/>
      <c r="T834" s="20"/>
      <c r="U834" s="20"/>
      <c r="V834" s="20"/>
      <c r="W834" s="20"/>
      <c r="X834" s="20"/>
      <c r="Y834" s="20"/>
      <c r="Z834" s="20"/>
    </row>
    <row r="835" spans="2:26" ht="17.25" customHeight="1">
      <c r="B835" s="15"/>
      <c r="C835" s="15"/>
      <c r="D835" s="37"/>
      <c r="E835" s="58"/>
      <c r="F835" s="58"/>
      <c r="G835" s="58"/>
      <c r="H835" s="58"/>
      <c r="I835" s="58"/>
      <c r="J835" s="58"/>
      <c r="K835" s="31"/>
      <c r="L835" s="20"/>
      <c r="M835" s="20"/>
      <c r="N835" s="20"/>
      <c r="O835" s="20"/>
      <c r="P835" s="20"/>
      <c r="Q835" s="20"/>
      <c r="R835" s="20"/>
      <c r="S835" s="20"/>
      <c r="T835" s="20"/>
      <c r="U835" s="20"/>
      <c r="V835" s="20"/>
      <c r="W835" s="20"/>
      <c r="X835" s="20"/>
      <c r="Y835" s="20"/>
      <c r="Z835" s="20"/>
    </row>
    <row r="836" spans="2:26" ht="17.25" customHeight="1">
      <c r="B836" s="15"/>
      <c r="C836" s="15"/>
      <c r="D836" s="37"/>
      <c r="E836" s="58"/>
      <c r="F836" s="58"/>
      <c r="G836" s="58"/>
      <c r="H836" s="58"/>
      <c r="I836" s="58"/>
      <c r="J836" s="58"/>
      <c r="K836" s="31"/>
      <c r="L836" s="20"/>
      <c r="M836" s="20"/>
      <c r="N836" s="20"/>
      <c r="O836" s="20"/>
      <c r="P836" s="20"/>
      <c r="Q836" s="20"/>
      <c r="R836" s="20"/>
      <c r="S836" s="20"/>
      <c r="T836" s="20"/>
      <c r="U836" s="20"/>
      <c r="V836" s="20"/>
      <c r="W836" s="20"/>
      <c r="X836" s="20"/>
      <c r="Y836" s="20"/>
      <c r="Z836" s="20"/>
    </row>
    <row r="837" spans="2:26" ht="17.25" customHeight="1">
      <c r="B837" s="15"/>
      <c r="C837" s="15"/>
      <c r="D837" s="37"/>
      <c r="E837" s="58"/>
      <c r="F837" s="58"/>
      <c r="G837" s="58"/>
      <c r="H837" s="58"/>
      <c r="I837" s="58"/>
      <c r="J837" s="58"/>
      <c r="K837" s="31"/>
      <c r="L837" s="20"/>
      <c r="M837" s="20"/>
      <c r="N837" s="20"/>
      <c r="O837" s="20"/>
      <c r="P837" s="20"/>
      <c r="Q837" s="20"/>
      <c r="R837" s="20"/>
      <c r="S837" s="20"/>
      <c r="T837" s="20"/>
      <c r="U837" s="20"/>
      <c r="V837" s="20"/>
      <c r="W837" s="20"/>
      <c r="X837" s="20"/>
      <c r="Y837" s="20"/>
      <c r="Z837" s="20"/>
    </row>
    <row r="838" spans="2:26" ht="17.25" customHeight="1">
      <c r="B838" s="15"/>
      <c r="C838" s="15"/>
      <c r="D838" s="37"/>
      <c r="E838" s="58"/>
      <c r="F838" s="58"/>
      <c r="G838" s="58"/>
      <c r="H838" s="58"/>
      <c r="I838" s="58"/>
      <c r="J838" s="58"/>
      <c r="K838" s="31"/>
      <c r="L838" s="20"/>
      <c r="M838" s="20"/>
      <c r="N838" s="20"/>
      <c r="O838" s="20"/>
      <c r="P838" s="20"/>
      <c r="Q838" s="20"/>
      <c r="R838" s="20"/>
      <c r="S838" s="20"/>
      <c r="T838" s="20"/>
      <c r="U838" s="20"/>
      <c r="V838" s="20"/>
      <c r="W838" s="20"/>
      <c r="X838" s="20"/>
      <c r="Y838" s="20"/>
      <c r="Z838" s="20"/>
    </row>
    <row r="839" spans="2:26" ht="17.25" customHeight="1">
      <c r="B839" s="15"/>
      <c r="C839" s="15"/>
      <c r="D839" s="37"/>
      <c r="E839" s="58"/>
      <c r="F839" s="58"/>
      <c r="G839" s="58"/>
      <c r="H839" s="58"/>
      <c r="I839" s="58"/>
      <c r="J839" s="58"/>
      <c r="K839" s="31"/>
      <c r="L839" s="20"/>
      <c r="M839" s="20"/>
      <c r="N839" s="20"/>
      <c r="O839" s="20"/>
      <c r="P839" s="20"/>
      <c r="Q839" s="20"/>
      <c r="R839" s="20"/>
      <c r="S839" s="20"/>
      <c r="T839" s="20"/>
      <c r="U839" s="20"/>
      <c r="V839" s="20"/>
      <c r="W839" s="20"/>
      <c r="X839" s="20"/>
      <c r="Y839" s="20"/>
      <c r="Z839" s="20"/>
    </row>
    <row r="840" spans="2:26" ht="17.25" customHeight="1">
      <c r="B840" s="15"/>
      <c r="C840" s="15"/>
      <c r="D840" s="37"/>
      <c r="E840" s="58"/>
      <c r="F840" s="58"/>
      <c r="G840" s="58"/>
      <c r="H840" s="58"/>
      <c r="I840" s="58"/>
      <c r="J840" s="58"/>
      <c r="K840" s="31"/>
      <c r="L840" s="20"/>
      <c r="M840" s="20"/>
      <c r="N840" s="20"/>
      <c r="O840" s="20"/>
      <c r="P840" s="20"/>
      <c r="Q840" s="20"/>
      <c r="R840" s="20"/>
      <c r="S840" s="20"/>
      <c r="T840" s="20"/>
      <c r="U840" s="20"/>
      <c r="V840" s="20"/>
      <c r="W840" s="20"/>
      <c r="X840" s="20"/>
      <c r="Y840" s="20"/>
      <c r="Z840" s="20"/>
    </row>
    <row r="841" spans="2:26" ht="17.25" customHeight="1">
      <c r="B841" s="15"/>
      <c r="C841" s="15"/>
      <c r="D841" s="37"/>
      <c r="E841" s="58"/>
      <c r="F841" s="58"/>
      <c r="G841" s="58"/>
      <c r="H841" s="58"/>
      <c r="I841" s="58"/>
      <c r="J841" s="58"/>
      <c r="K841" s="31"/>
      <c r="L841" s="20"/>
      <c r="M841" s="20"/>
      <c r="N841" s="20"/>
      <c r="O841" s="20"/>
      <c r="P841" s="20"/>
      <c r="Q841" s="20"/>
      <c r="R841" s="20"/>
      <c r="S841" s="20"/>
      <c r="T841" s="20"/>
      <c r="U841" s="20"/>
      <c r="V841" s="20"/>
      <c r="W841" s="20"/>
      <c r="X841" s="20"/>
      <c r="Y841" s="20"/>
      <c r="Z841" s="20"/>
    </row>
    <row r="842" spans="2:26" ht="17.25" customHeight="1">
      <c r="B842" s="15"/>
      <c r="C842" s="15"/>
      <c r="D842" s="37"/>
      <c r="E842" s="58"/>
      <c r="F842" s="58"/>
      <c r="G842" s="58"/>
      <c r="H842" s="58"/>
      <c r="I842" s="58"/>
      <c r="J842" s="58"/>
      <c r="K842" s="31"/>
      <c r="L842" s="20"/>
      <c r="M842" s="20"/>
      <c r="N842" s="20"/>
      <c r="O842" s="20"/>
      <c r="P842" s="20"/>
      <c r="Q842" s="20"/>
      <c r="R842" s="20"/>
      <c r="S842" s="20"/>
      <c r="T842" s="20"/>
      <c r="U842" s="20"/>
      <c r="V842" s="20"/>
      <c r="W842" s="20"/>
      <c r="X842" s="20"/>
      <c r="Y842" s="20"/>
      <c r="Z842" s="20"/>
    </row>
    <row r="843" spans="2:26" ht="17.25" customHeight="1">
      <c r="B843" s="15"/>
      <c r="C843" s="15"/>
      <c r="D843" s="37"/>
      <c r="E843" s="58"/>
      <c r="F843" s="58"/>
      <c r="G843" s="58"/>
      <c r="H843" s="58"/>
      <c r="I843" s="58"/>
      <c r="J843" s="58"/>
      <c r="K843" s="31"/>
      <c r="L843" s="20"/>
      <c r="M843" s="20"/>
      <c r="N843" s="20"/>
      <c r="O843" s="20"/>
      <c r="P843" s="20"/>
      <c r="Q843" s="20"/>
      <c r="R843" s="20"/>
      <c r="S843" s="20"/>
      <c r="T843" s="20"/>
      <c r="U843" s="20"/>
      <c r="V843" s="20"/>
      <c r="W843" s="20"/>
      <c r="X843" s="20"/>
      <c r="Y843" s="20"/>
      <c r="Z843" s="20"/>
    </row>
    <row r="844" spans="2:26" ht="17.25" customHeight="1">
      <c r="B844" s="15"/>
      <c r="C844" s="15"/>
      <c r="D844" s="37"/>
      <c r="E844" s="58"/>
      <c r="F844" s="58"/>
      <c r="G844" s="58"/>
      <c r="H844" s="58"/>
      <c r="I844" s="58"/>
      <c r="J844" s="58"/>
      <c r="K844" s="31"/>
      <c r="L844" s="20"/>
      <c r="M844" s="20"/>
      <c r="N844" s="20"/>
      <c r="O844" s="20"/>
      <c r="P844" s="20"/>
      <c r="Q844" s="20"/>
      <c r="R844" s="20"/>
      <c r="S844" s="20"/>
      <c r="T844" s="20"/>
      <c r="U844" s="20"/>
      <c r="V844" s="20"/>
      <c r="W844" s="20"/>
      <c r="X844" s="20"/>
      <c r="Y844" s="20"/>
      <c r="Z844" s="20"/>
    </row>
    <row r="845" spans="2:26" ht="17.25" customHeight="1">
      <c r="B845" s="15"/>
      <c r="C845" s="15"/>
      <c r="D845" s="37"/>
      <c r="E845" s="58"/>
      <c r="F845" s="58"/>
      <c r="G845" s="58"/>
      <c r="H845" s="58"/>
      <c r="I845" s="58"/>
      <c r="J845" s="58"/>
      <c r="K845" s="31"/>
      <c r="L845" s="20"/>
      <c r="M845" s="20"/>
      <c r="N845" s="20"/>
      <c r="O845" s="20"/>
      <c r="P845" s="20"/>
      <c r="Q845" s="20"/>
      <c r="R845" s="20"/>
      <c r="S845" s="20"/>
      <c r="T845" s="20"/>
      <c r="U845" s="20"/>
      <c r="V845" s="20"/>
      <c r="W845" s="20"/>
      <c r="X845" s="20"/>
      <c r="Y845" s="20"/>
      <c r="Z845" s="20"/>
    </row>
    <row r="846" spans="2:26" ht="17.25" customHeight="1">
      <c r="B846" s="15"/>
      <c r="C846" s="15"/>
      <c r="D846" s="37"/>
      <c r="E846" s="58"/>
      <c r="F846" s="58"/>
      <c r="G846" s="58"/>
      <c r="H846" s="58"/>
      <c r="I846" s="58"/>
      <c r="J846" s="58"/>
      <c r="K846" s="31"/>
      <c r="L846" s="20"/>
      <c r="M846" s="20"/>
      <c r="N846" s="20"/>
      <c r="O846" s="20"/>
      <c r="P846" s="20"/>
      <c r="Q846" s="20"/>
      <c r="R846" s="20"/>
      <c r="S846" s="20"/>
      <c r="T846" s="20"/>
      <c r="U846" s="20"/>
      <c r="V846" s="20"/>
      <c r="W846" s="20"/>
      <c r="X846" s="20"/>
      <c r="Y846" s="20"/>
      <c r="Z846" s="20"/>
    </row>
    <row r="847" spans="2:26" ht="17.25" customHeight="1">
      <c r="B847" s="15"/>
      <c r="C847" s="15"/>
      <c r="D847" s="37"/>
      <c r="E847" s="58"/>
      <c r="F847" s="58"/>
      <c r="G847" s="58"/>
      <c r="H847" s="58"/>
      <c r="I847" s="58"/>
      <c r="J847" s="58"/>
      <c r="K847" s="31"/>
      <c r="L847" s="20"/>
      <c r="M847" s="20"/>
      <c r="N847" s="20"/>
      <c r="O847" s="20"/>
      <c r="P847" s="20"/>
      <c r="Q847" s="20"/>
      <c r="R847" s="20"/>
      <c r="S847" s="20"/>
      <c r="T847" s="20"/>
      <c r="U847" s="20"/>
      <c r="V847" s="20"/>
      <c r="W847" s="20"/>
      <c r="X847" s="20"/>
      <c r="Y847" s="20"/>
      <c r="Z847" s="20"/>
    </row>
    <row r="848" spans="2:26" ht="17.25" customHeight="1">
      <c r="B848" s="15"/>
      <c r="C848" s="15"/>
      <c r="D848" s="37"/>
      <c r="E848" s="58"/>
      <c r="F848" s="58"/>
      <c r="G848" s="58"/>
      <c r="H848" s="58"/>
      <c r="I848" s="58"/>
      <c r="J848" s="58"/>
      <c r="K848" s="31"/>
      <c r="L848" s="20"/>
      <c r="M848" s="20"/>
      <c r="N848" s="20"/>
      <c r="O848" s="20"/>
      <c r="P848" s="20"/>
      <c r="Q848" s="20"/>
      <c r="R848" s="20"/>
      <c r="S848" s="20"/>
      <c r="T848" s="20"/>
      <c r="U848" s="20"/>
      <c r="V848" s="20"/>
      <c r="W848" s="20"/>
      <c r="X848" s="20"/>
      <c r="Y848" s="20"/>
      <c r="Z848" s="20"/>
    </row>
    <row r="849" spans="2:26" ht="17.25" customHeight="1">
      <c r="B849" s="15"/>
      <c r="C849" s="15"/>
      <c r="D849" s="37"/>
      <c r="E849" s="58"/>
      <c r="F849" s="58"/>
      <c r="G849" s="58"/>
      <c r="H849" s="58"/>
      <c r="I849" s="58"/>
      <c r="J849" s="58"/>
      <c r="K849" s="31"/>
      <c r="L849" s="20"/>
      <c r="M849" s="20"/>
      <c r="N849" s="20"/>
      <c r="O849" s="20"/>
      <c r="P849" s="20"/>
      <c r="Q849" s="20"/>
      <c r="R849" s="20"/>
      <c r="S849" s="20"/>
      <c r="T849" s="20"/>
      <c r="U849" s="20"/>
      <c r="V849" s="20"/>
      <c r="W849" s="20"/>
      <c r="X849" s="20"/>
      <c r="Y849" s="20"/>
      <c r="Z849" s="20"/>
    </row>
    <row r="850" spans="2:26" ht="17.25" customHeight="1">
      <c r="B850" s="15"/>
      <c r="C850" s="15"/>
      <c r="D850" s="37"/>
      <c r="E850" s="58"/>
      <c r="F850" s="58"/>
      <c r="G850" s="58"/>
      <c r="H850" s="58"/>
      <c r="I850" s="58"/>
      <c r="J850" s="58"/>
      <c r="K850" s="31"/>
      <c r="L850" s="20"/>
      <c r="M850" s="20"/>
      <c r="N850" s="20"/>
      <c r="O850" s="20"/>
      <c r="P850" s="20"/>
      <c r="Q850" s="20"/>
      <c r="R850" s="20"/>
      <c r="S850" s="20"/>
      <c r="T850" s="20"/>
      <c r="U850" s="20"/>
      <c r="V850" s="20"/>
      <c r="W850" s="20"/>
      <c r="X850" s="20"/>
      <c r="Y850" s="20"/>
      <c r="Z850" s="20"/>
    </row>
    <row r="851" spans="2:26" ht="17.25" customHeight="1">
      <c r="B851" s="15"/>
      <c r="C851" s="15"/>
      <c r="D851" s="37"/>
      <c r="E851" s="58"/>
      <c r="F851" s="58"/>
      <c r="G851" s="58"/>
      <c r="H851" s="58"/>
      <c r="I851" s="58"/>
      <c r="J851" s="58"/>
      <c r="K851" s="31"/>
      <c r="L851" s="20"/>
      <c r="M851" s="20"/>
      <c r="N851" s="20"/>
      <c r="O851" s="20"/>
      <c r="P851" s="20"/>
      <c r="Q851" s="20"/>
      <c r="R851" s="20"/>
      <c r="S851" s="20"/>
      <c r="T851" s="20"/>
      <c r="U851" s="20"/>
      <c r="V851" s="20"/>
      <c r="W851" s="20"/>
      <c r="X851" s="20"/>
      <c r="Y851" s="20"/>
      <c r="Z851" s="20"/>
    </row>
    <row r="852" spans="2:26" ht="17.25" customHeight="1">
      <c r="B852" s="15"/>
      <c r="C852" s="15"/>
      <c r="D852" s="37"/>
      <c r="E852" s="58"/>
      <c r="F852" s="58"/>
      <c r="G852" s="58"/>
      <c r="H852" s="58"/>
      <c r="I852" s="58"/>
      <c r="J852" s="58"/>
      <c r="K852" s="31"/>
      <c r="L852" s="20"/>
      <c r="M852" s="20"/>
      <c r="N852" s="20"/>
      <c r="O852" s="20"/>
      <c r="P852" s="20"/>
      <c r="Q852" s="20"/>
      <c r="R852" s="20"/>
      <c r="S852" s="20"/>
      <c r="T852" s="20"/>
      <c r="U852" s="20"/>
      <c r="V852" s="20"/>
      <c r="W852" s="20"/>
      <c r="X852" s="20"/>
      <c r="Y852" s="20"/>
      <c r="Z852" s="20"/>
    </row>
    <row r="853" spans="2:26" ht="17.25" customHeight="1">
      <c r="B853" s="15"/>
      <c r="C853" s="15"/>
      <c r="D853" s="37"/>
      <c r="E853" s="58"/>
      <c r="F853" s="58"/>
      <c r="G853" s="58"/>
      <c r="H853" s="58"/>
      <c r="I853" s="58"/>
      <c r="J853" s="58"/>
      <c r="K853" s="31"/>
      <c r="L853" s="20"/>
      <c r="M853" s="20"/>
      <c r="N853" s="20"/>
      <c r="O853" s="20"/>
      <c r="P853" s="20"/>
      <c r="Q853" s="20"/>
      <c r="R853" s="20"/>
      <c r="S853" s="20"/>
      <c r="T853" s="20"/>
      <c r="U853" s="20"/>
      <c r="V853" s="20"/>
      <c r="W853" s="20"/>
      <c r="X853" s="20"/>
      <c r="Y853" s="20"/>
      <c r="Z853" s="20"/>
    </row>
    <row r="854" spans="2:26" ht="17.25" customHeight="1">
      <c r="B854" s="15"/>
      <c r="C854" s="15"/>
      <c r="D854" s="37"/>
      <c r="E854" s="58"/>
      <c r="F854" s="58"/>
      <c r="G854" s="58"/>
      <c r="H854" s="58"/>
      <c r="I854" s="58"/>
      <c r="J854" s="58"/>
      <c r="K854" s="31"/>
      <c r="L854" s="20"/>
      <c r="M854" s="20"/>
      <c r="N854" s="20"/>
      <c r="O854" s="20"/>
      <c r="P854" s="20"/>
      <c r="Q854" s="20"/>
      <c r="R854" s="20"/>
      <c r="S854" s="20"/>
      <c r="T854" s="20"/>
      <c r="U854" s="20"/>
      <c r="V854" s="20"/>
      <c r="W854" s="20"/>
      <c r="X854" s="20"/>
      <c r="Y854" s="20"/>
      <c r="Z854" s="20"/>
    </row>
    <row r="855" spans="2:26" ht="17.25" customHeight="1">
      <c r="B855" s="15"/>
      <c r="C855" s="15"/>
      <c r="D855" s="37"/>
      <c r="E855" s="58"/>
      <c r="F855" s="58"/>
      <c r="G855" s="58"/>
      <c r="H855" s="58"/>
      <c r="I855" s="58"/>
      <c r="J855" s="58"/>
      <c r="K855" s="31"/>
      <c r="L855" s="20"/>
      <c r="M855" s="20"/>
      <c r="N855" s="20"/>
      <c r="O855" s="20"/>
      <c r="P855" s="20"/>
      <c r="Q855" s="20"/>
      <c r="R855" s="20"/>
      <c r="S855" s="20"/>
      <c r="T855" s="20"/>
      <c r="U855" s="20"/>
      <c r="V855" s="20"/>
      <c r="W855" s="20"/>
      <c r="X855" s="20"/>
      <c r="Y855" s="20"/>
      <c r="Z855" s="20"/>
    </row>
    <row r="856" spans="2:26" ht="17.25" customHeight="1">
      <c r="B856" s="15"/>
      <c r="C856" s="15"/>
      <c r="D856" s="37"/>
      <c r="E856" s="58"/>
      <c r="F856" s="58"/>
      <c r="G856" s="58"/>
      <c r="H856" s="58"/>
      <c r="I856" s="58"/>
      <c r="J856" s="58"/>
      <c r="K856" s="31"/>
      <c r="L856" s="20"/>
      <c r="M856" s="20"/>
      <c r="N856" s="20"/>
      <c r="O856" s="20"/>
      <c r="P856" s="20"/>
      <c r="Q856" s="20"/>
      <c r="R856" s="20"/>
      <c r="S856" s="20"/>
      <c r="T856" s="20"/>
      <c r="U856" s="20"/>
      <c r="V856" s="20"/>
      <c r="W856" s="20"/>
      <c r="X856" s="20"/>
      <c r="Y856" s="20"/>
      <c r="Z856" s="20"/>
    </row>
    <row r="857" spans="2:26" ht="17.25" customHeight="1">
      <c r="B857" s="15"/>
      <c r="C857" s="15"/>
      <c r="D857" s="37"/>
      <c r="E857" s="58"/>
      <c r="F857" s="58"/>
      <c r="G857" s="58"/>
      <c r="H857" s="58"/>
      <c r="I857" s="58"/>
      <c r="J857" s="58"/>
      <c r="K857" s="31"/>
      <c r="L857" s="20"/>
      <c r="M857" s="20"/>
      <c r="N857" s="20"/>
      <c r="O857" s="20"/>
      <c r="P857" s="20"/>
      <c r="Q857" s="20"/>
      <c r="R857" s="20"/>
      <c r="S857" s="20"/>
      <c r="T857" s="20"/>
      <c r="U857" s="20"/>
      <c r="V857" s="20"/>
      <c r="W857" s="20"/>
      <c r="X857" s="20"/>
      <c r="Y857" s="20"/>
      <c r="Z857" s="20"/>
    </row>
    <row r="858" spans="2:26" ht="17.25" customHeight="1">
      <c r="B858" s="15"/>
      <c r="C858" s="15"/>
      <c r="D858" s="37"/>
      <c r="E858" s="58"/>
      <c r="F858" s="58"/>
      <c r="G858" s="58"/>
      <c r="H858" s="58"/>
      <c r="I858" s="58"/>
      <c r="J858" s="58"/>
      <c r="K858" s="31"/>
      <c r="L858" s="20"/>
      <c r="M858" s="20"/>
      <c r="N858" s="20"/>
      <c r="O858" s="20"/>
      <c r="P858" s="20"/>
      <c r="Q858" s="20"/>
      <c r="R858" s="20"/>
      <c r="S858" s="20"/>
      <c r="T858" s="20"/>
      <c r="U858" s="20"/>
      <c r="V858" s="20"/>
      <c r="W858" s="20"/>
      <c r="X858" s="20"/>
      <c r="Y858" s="20"/>
      <c r="Z858" s="20"/>
    </row>
    <row r="859" spans="2:26" ht="17.25" customHeight="1">
      <c r="B859" s="15"/>
      <c r="C859" s="15"/>
      <c r="D859" s="37"/>
      <c r="E859" s="58"/>
      <c r="F859" s="58"/>
      <c r="G859" s="58"/>
      <c r="H859" s="58"/>
      <c r="I859" s="58"/>
      <c r="J859" s="58"/>
      <c r="K859" s="31"/>
      <c r="L859" s="20"/>
      <c r="M859" s="20"/>
      <c r="N859" s="20"/>
      <c r="O859" s="20"/>
      <c r="P859" s="20"/>
      <c r="Q859" s="20"/>
      <c r="R859" s="20"/>
      <c r="S859" s="20"/>
      <c r="T859" s="20"/>
      <c r="U859" s="20"/>
      <c r="V859" s="20"/>
      <c r="W859" s="20"/>
      <c r="X859" s="20"/>
      <c r="Y859" s="20"/>
      <c r="Z859" s="20"/>
    </row>
    <row r="860" spans="2:26" ht="17.25" customHeight="1">
      <c r="B860" s="15"/>
      <c r="C860" s="15"/>
      <c r="D860" s="37"/>
      <c r="E860" s="58"/>
      <c r="F860" s="58"/>
      <c r="G860" s="58"/>
      <c r="H860" s="58"/>
      <c r="I860" s="58"/>
      <c r="J860" s="58"/>
      <c r="K860" s="31"/>
      <c r="L860" s="20"/>
      <c r="M860" s="20"/>
      <c r="N860" s="20"/>
      <c r="O860" s="20"/>
      <c r="P860" s="20"/>
      <c r="Q860" s="20"/>
      <c r="R860" s="20"/>
      <c r="S860" s="20"/>
      <c r="T860" s="20"/>
      <c r="U860" s="20"/>
      <c r="V860" s="20"/>
      <c r="W860" s="20"/>
      <c r="X860" s="20"/>
      <c r="Y860" s="20"/>
      <c r="Z860" s="20"/>
    </row>
    <row r="861" spans="2:26" ht="17.25" customHeight="1">
      <c r="B861" s="15"/>
      <c r="C861" s="15"/>
      <c r="D861" s="37"/>
      <c r="E861" s="58"/>
      <c r="F861" s="58"/>
      <c r="G861" s="58"/>
      <c r="H861" s="58"/>
      <c r="I861" s="58"/>
      <c r="J861" s="58"/>
      <c r="K861" s="31"/>
      <c r="L861" s="20"/>
      <c r="M861" s="20"/>
      <c r="N861" s="20"/>
      <c r="O861" s="20"/>
      <c r="P861" s="20"/>
      <c r="Q861" s="20"/>
      <c r="R861" s="20"/>
      <c r="S861" s="20"/>
      <c r="T861" s="20"/>
      <c r="U861" s="20"/>
      <c r="V861" s="20"/>
      <c r="W861" s="20"/>
      <c r="X861" s="20"/>
      <c r="Y861" s="20"/>
      <c r="Z861" s="20"/>
    </row>
    <row r="862" spans="2:26" ht="17.25" customHeight="1">
      <c r="B862" s="15"/>
      <c r="C862" s="15"/>
      <c r="D862" s="37"/>
      <c r="E862" s="58"/>
      <c r="F862" s="58"/>
      <c r="G862" s="58"/>
      <c r="H862" s="58"/>
      <c r="I862" s="58"/>
      <c r="J862" s="58"/>
      <c r="K862" s="31"/>
      <c r="L862" s="20"/>
      <c r="M862" s="20"/>
      <c r="N862" s="20"/>
      <c r="O862" s="20"/>
      <c r="P862" s="20"/>
      <c r="Q862" s="20"/>
      <c r="R862" s="20"/>
      <c r="S862" s="20"/>
      <c r="T862" s="20"/>
      <c r="U862" s="20"/>
      <c r="V862" s="20"/>
      <c r="W862" s="20"/>
      <c r="X862" s="20"/>
      <c r="Y862" s="20"/>
      <c r="Z862" s="20"/>
    </row>
    <row r="863" spans="2:26" ht="17.25" customHeight="1">
      <c r="B863" s="15"/>
      <c r="C863" s="15"/>
      <c r="D863" s="37"/>
      <c r="E863" s="58"/>
      <c r="F863" s="58"/>
      <c r="G863" s="58"/>
      <c r="H863" s="58"/>
      <c r="I863" s="58"/>
      <c r="J863" s="58"/>
      <c r="K863" s="31"/>
      <c r="L863" s="20"/>
      <c r="M863" s="20"/>
      <c r="N863" s="20"/>
      <c r="O863" s="20"/>
      <c r="P863" s="20"/>
      <c r="Q863" s="20"/>
      <c r="R863" s="20"/>
      <c r="S863" s="20"/>
      <c r="T863" s="20"/>
      <c r="U863" s="20"/>
      <c r="V863" s="20"/>
      <c r="W863" s="20"/>
      <c r="X863" s="20"/>
      <c r="Y863" s="20"/>
      <c r="Z863" s="20"/>
    </row>
    <row r="864" spans="2:26" ht="17.25" customHeight="1">
      <c r="B864" s="15"/>
      <c r="C864" s="15"/>
      <c r="D864" s="37"/>
      <c r="E864" s="58"/>
      <c r="F864" s="58"/>
      <c r="G864" s="58"/>
      <c r="H864" s="58"/>
      <c r="I864" s="58"/>
      <c r="J864" s="58"/>
      <c r="K864" s="31"/>
      <c r="L864" s="20"/>
      <c r="M864" s="20"/>
      <c r="N864" s="20"/>
      <c r="O864" s="20"/>
      <c r="P864" s="20"/>
      <c r="Q864" s="20"/>
      <c r="R864" s="20"/>
      <c r="S864" s="20"/>
      <c r="T864" s="20"/>
      <c r="U864" s="20"/>
      <c r="V864" s="20"/>
      <c r="W864" s="20"/>
      <c r="X864" s="20"/>
      <c r="Y864" s="20"/>
      <c r="Z864" s="20"/>
    </row>
    <row r="865" spans="2:26" ht="17.25" customHeight="1">
      <c r="B865" s="15"/>
      <c r="C865" s="15"/>
      <c r="D865" s="37"/>
      <c r="E865" s="58"/>
      <c r="F865" s="58"/>
      <c r="G865" s="58"/>
      <c r="H865" s="58"/>
      <c r="I865" s="58"/>
      <c r="J865" s="58"/>
      <c r="K865" s="31"/>
      <c r="L865" s="20"/>
      <c r="M865" s="20"/>
      <c r="N865" s="20"/>
      <c r="O865" s="20"/>
      <c r="P865" s="20"/>
      <c r="Q865" s="20"/>
      <c r="R865" s="20"/>
      <c r="S865" s="20"/>
      <c r="T865" s="20"/>
      <c r="U865" s="20"/>
      <c r="V865" s="20"/>
      <c r="W865" s="20"/>
      <c r="X865" s="20"/>
      <c r="Y865" s="20"/>
      <c r="Z865" s="20"/>
    </row>
    <row r="866" spans="2:26" ht="17.25" customHeight="1">
      <c r="B866" s="15"/>
      <c r="C866" s="15"/>
      <c r="D866" s="37"/>
      <c r="E866" s="58"/>
      <c r="F866" s="58"/>
      <c r="G866" s="58"/>
      <c r="H866" s="58"/>
      <c r="I866" s="58"/>
      <c r="J866" s="58"/>
      <c r="K866" s="31"/>
      <c r="L866" s="20"/>
      <c r="M866" s="20"/>
      <c r="N866" s="20"/>
      <c r="O866" s="20"/>
      <c r="P866" s="20"/>
      <c r="Q866" s="20"/>
      <c r="R866" s="20"/>
      <c r="S866" s="20"/>
      <c r="T866" s="20"/>
      <c r="U866" s="20"/>
      <c r="V866" s="20"/>
      <c r="W866" s="20"/>
      <c r="X866" s="20"/>
      <c r="Y866" s="20"/>
      <c r="Z866" s="20"/>
    </row>
    <row r="867" spans="2:26" ht="17.25" customHeight="1">
      <c r="B867" s="15"/>
      <c r="C867" s="15"/>
      <c r="D867" s="37"/>
      <c r="E867" s="58"/>
      <c r="F867" s="58"/>
      <c r="G867" s="58"/>
      <c r="H867" s="58"/>
      <c r="I867" s="58"/>
      <c r="J867" s="58"/>
      <c r="K867" s="31"/>
      <c r="L867" s="20"/>
      <c r="M867" s="20"/>
      <c r="N867" s="20"/>
      <c r="O867" s="20"/>
      <c r="P867" s="20"/>
      <c r="Q867" s="20"/>
      <c r="R867" s="20"/>
      <c r="S867" s="20"/>
      <c r="T867" s="20"/>
      <c r="U867" s="20"/>
      <c r="V867" s="20"/>
      <c r="W867" s="20"/>
      <c r="X867" s="20"/>
      <c r="Y867" s="20"/>
      <c r="Z867" s="20"/>
    </row>
    <row r="868" spans="2:26" ht="17.25" customHeight="1">
      <c r="B868" s="15"/>
      <c r="C868" s="15"/>
      <c r="D868" s="37"/>
      <c r="E868" s="58"/>
      <c r="F868" s="58"/>
      <c r="G868" s="58"/>
      <c r="H868" s="58"/>
      <c r="I868" s="58"/>
      <c r="J868" s="58"/>
      <c r="K868" s="31"/>
      <c r="L868" s="20"/>
      <c r="M868" s="20"/>
      <c r="N868" s="20"/>
      <c r="O868" s="20"/>
      <c r="P868" s="20"/>
      <c r="Q868" s="20"/>
      <c r="R868" s="20"/>
      <c r="S868" s="20"/>
      <c r="T868" s="20"/>
      <c r="U868" s="20"/>
      <c r="V868" s="20"/>
      <c r="W868" s="20"/>
      <c r="X868" s="20"/>
      <c r="Y868" s="20"/>
      <c r="Z868" s="20"/>
    </row>
    <row r="869" spans="2:26" ht="17.25" customHeight="1">
      <c r="B869" s="15"/>
      <c r="C869" s="15"/>
      <c r="D869" s="37"/>
      <c r="E869" s="58"/>
      <c r="F869" s="58"/>
      <c r="G869" s="58"/>
      <c r="H869" s="58"/>
      <c r="I869" s="58"/>
      <c r="J869" s="58"/>
      <c r="K869" s="31"/>
      <c r="L869" s="20"/>
      <c r="M869" s="20"/>
      <c r="N869" s="20"/>
      <c r="O869" s="20"/>
      <c r="P869" s="20"/>
      <c r="Q869" s="20"/>
      <c r="R869" s="20"/>
      <c r="S869" s="20"/>
      <c r="T869" s="20"/>
      <c r="U869" s="20"/>
      <c r="V869" s="20"/>
      <c r="W869" s="20"/>
      <c r="X869" s="20"/>
      <c r="Y869" s="20"/>
      <c r="Z869" s="20"/>
    </row>
    <row r="870" spans="2:26" ht="17.25" customHeight="1">
      <c r="B870" s="15"/>
      <c r="C870" s="15"/>
      <c r="D870" s="37"/>
      <c r="E870" s="58"/>
      <c r="F870" s="58"/>
      <c r="G870" s="58"/>
      <c r="H870" s="58"/>
      <c r="I870" s="58"/>
      <c r="J870" s="58"/>
      <c r="K870" s="31"/>
      <c r="L870" s="20"/>
      <c r="M870" s="20"/>
      <c r="N870" s="20"/>
      <c r="O870" s="20"/>
      <c r="P870" s="20"/>
      <c r="Q870" s="20"/>
      <c r="R870" s="20"/>
      <c r="S870" s="20"/>
      <c r="T870" s="20"/>
      <c r="U870" s="20"/>
      <c r="V870" s="20"/>
      <c r="W870" s="20"/>
      <c r="X870" s="20"/>
      <c r="Y870" s="20"/>
      <c r="Z870" s="20"/>
    </row>
    <row r="871" spans="2:26" ht="17.25" customHeight="1">
      <c r="B871" s="15"/>
      <c r="C871" s="15"/>
      <c r="D871" s="37"/>
      <c r="E871" s="58"/>
      <c r="F871" s="58"/>
      <c r="G871" s="58"/>
      <c r="H871" s="58"/>
      <c r="I871" s="58"/>
      <c r="J871" s="58"/>
      <c r="K871" s="31"/>
      <c r="L871" s="20"/>
      <c r="M871" s="20"/>
      <c r="N871" s="20"/>
      <c r="O871" s="20"/>
      <c r="P871" s="20"/>
      <c r="Q871" s="20"/>
      <c r="R871" s="20"/>
      <c r="S871" s="20"/>
      <c r="T871" s="20"/>
      <c r="U871" s="20"/>
      <c r="V871" s="20"/>
      <c r="W871" s="20"/>
      <c r="X871" s="20"/>
      <c r="Y871" s="20"/>
      <c r="Z871" s="20"/>
    </row>
    <row r="872" spans="2:26" ht="17.25" customHeight="1">
      <c r="B872" s="15"/>
      <c r="C872" s="15"/>
      <c r="D872" s="37"/>
      <c r="E872" s="58"/>
      <c r="F872" s="58"/>
      <c r="G872" s="58"/>
      <c r="H872" s="58"/>
      <c r="I872" s="58"/>
      <c r="J872" s="58"/>
      <c r="K872" s="31"/>
      <c r="L872" s="20"/>
      <c r="M872" s="20"/>
      <c r="N872" s="20"/>
      <c r="O872" s="20"/>
      <c r="P872" s="20"/>
      <c r="Q872" s="20"/>
      <c r="R872" s="20"/>
      <c r="S872" s="20"/>
      <c r="T872" s="20"/>
      <c r="U872" s="20"/>
      <c r="V872" s="20"/>
      <c r="W872" s="20"/>
      <c r="X872" s="20"/>
      <c r="Y872" s="20"/>
      <c r="Z872" s="20"/>
    </row>
    <row r="873" spans="2:26" ht="17.25" customHeight="1">
      <c r="B873" s="15"/>
      <c r="C873" s="15"/>
      <c r="D873" s="37"/>
      <c r="E873" s="58"/>
      <c r="F873" s="58"/>
      <c r="G873" s="58"/>
      <c r="H873" s="58"/>
      <c r="I873" s="58"/>
      <c r="J873" s="58"/>
      <c r="K873" s="31"/>
      <c r="L873" s="20"/>
      <c r="M873" s="20"/>
      <c r="N873" s="20"/>
      <c r="O873" s="20"/>
      <c r="P873" s="20"/>
      <c r="Q873" s="20"/>
      <c r="R873" s="20"/>
      <c r="S873" s="20"/>
      <c r="T873" s="20"/>
      <c r="U873" s="20"/>
      <c r="V873" s="20"/>
      <c r="W873" s="20"/>
      <c r="X873" s="20"/>
      <c r="Y873" s="20"/>
      <c r="Z873" s="20"/>
    </row>
    <row r="874" spans="2:26" ht="17.25" customHeight="1">
      <c r="B874" s="15"/>
      <c r="C874" s="15"/>
      <c r="D874" s="37"/>
      <c r="E874" s="58"/>
      <c r="F874" s="58"/>
      <c r="G874" s="58"/>
      <c r="H874" s="58"/>
      <c r="I874" s="58"/>
      <c r="J874" s="58"/>
      <c r="K874" s="31"/>
      <c r="L874" s="20"/>
      <c r="M874" s="20"/>
      <c r="N874" s="20"/>
      <c r="O874" s="20"/>
      <c r="P874" s="20"/>
      <c r="Q874" s="20"/>
      <c r="R874" s="20"/>
      <c r="S874" s="20"/>
      <c r="T874" s="20"/>
      <c r="U874" s="20"/>
      <c r="V874" s="20"/>
      <c r="W874" s="20"/>
      <c r="X874" s="20"/>
      <c r="Y874" s="20"/>
      <c r="Z874" s="20"/>
    </row>
    <row r="875" spans="2:26" ht="17.25" customHeight="1">
      <c r="B875" s="15"/>
      <c r="C875" s="15"/>
      <c r="D875" s="37"/>
      <c r="E875" s="58"/>
      <c r="F875" s="58"/>
      <c r="G875" s="58"/>
      <c r="H875" s="58"/>
      <c r="I875" s="58"/>
      <c r="J875" s="58"/>
      <c r="K875" s="31"/>
      <c r="L875" s="20"/>
      <c r="M875" s="20"/>
      <c r="N875" s="20"/>
      <c r="O875" s="20"/>
      <c r="P875" s="20"/>
      <c r="Q875" s="20"/>
      <c r="R875" s="20"/>
      <c r="S875" s="20"/>
      <c r="T875" s="20"/>
      <c r="U875" s="20"/>
      <c r="V875" s="20"/>
      <c r="W875" s="20"/>
      <c r="X875" s="20"/>
      <c r="Y875" s="20"/>
      <c r="Z875" s="20"/>
    </row>
    <row r="876" spans="2:26" ht="17.25" customHeight="1">
      <c r="B876" s="15"/>
      <c r="C876" s="15"/>
      <c r="D876" s="37"/>
      <c r="E876" s="58"/>
      <c r="F876" s="58"/>
      <c r="G876" s="58"/>
      <c r="H876" s="58"/>
      <c r="I876" s="58"/>
      <c r="J876" s="58"/>
      <c r="K876" s="31"/>
      <c r="L876" s="20"/>
      <c r="M876" s="20"/>
      <c r="N876" s="20"/>
      <c r="O876" s="20"/>
      <c r="P876" s="20"/>
      <c r="Q876" s="20"/>
      <c r="R876" s="20"/>
      <c r="S876" s="20"/>
      <c r="T876" s="20"/>
      <c r="U876" s="20"/>
      <c r="V876" s="20"/>
      <c r="W876" s="20"/>
      <c r="X876" s="20"/>
      <c r="Y876" s="20"/>
      <c r="Z876" s="20"/>
    </row>
    <row r="877" spans="2:26" ht="17.25" customHeight="1">
      <c r="B877" s="15"/>
      <c r="C877" s="15"/>
      <c r="D877" s="37"/>
      <c r="E877" s="58"/>
      <c r="F877" s="58"/>
      <c r="G877" s="58"/>
      <c r="H877" s="58"/>
      <c r="I877" s="58"/>
      <c r="J877" s="58"/>
      <c r="K877" s="31"/>
      <c r="L877" s="20"/>
      <c r="M877" s="20"/>
      <c r="N877" s="20"/>
      <c r="O877" s="20"/>
      <c r="P877" s="20"/>
      <c r="Q877" s="20"/>
      <c r="R877" s="20"/>
      <c r="S877" s="20"/>
      <c r="T877" s="20"/>
      <c r="U877" s="20"/>
      <c r="V877" s="20"/>
      <c r="W877" s="20"/>
      <c r="X877" s="20"/>
      <c r="Y877" s="20"/>
      <c r="Z877" s="20"/>
    </row>
    <row r="878" spans="2:26" ht="17.25" customHeight="1">
      <c r="B878" s="15"/>
      <c r="C878" s="15"/>
      <c r="D878" s="37"/>
      <c r="E878" s="58"/>
      <c r="F878" s="58"/>
      <c r="G878" s="58"/>
      <c r="H878" s="58"/>
      <c r="I878" s="58"/>
      <c r="J878" s="58"/>
      <c r="K878" s="31"/>
      <c r="L878" s="20"/>
      <c r="M878" s="20"/>
      <c r="N878" s="20"/>
      <c r="O878" s="20"/>
      <c r="P878" s="20"/>
      <c r="Q878" s="20"/>
      <c r="R878" s="20"/>
      <c r="S878" s="20"/>
      <c r="T878" s="20"/>
      <c r="U878" s="20"/>
      <c r="V878" s="20"/>
      <c r="W878" s="20"/>
      <c r="X878" s="20"/>
      <c r="Y878" s="20"/>
      <c r="Z878" s="20"/>
    </row>
    <row r="879" spans="2:26" ht="17.25" customHeight="1">
      <c r="B879" s="15"/>
      <c r="C879" s="15"/>
      <c r="D879" s="37"/>
      <c r="E879" s="58"/>
      <c r="F879" s="58"/>
      <c r="G879" s="58"/>
      <c r="H879" s="58"/>
      <c r="I879" s="58"/>
      <c r="J879" s="58"/>
      <c r="K879" s="31"/>
      <c r="L879" s="20"/>
      <c r="M879" s="20"/>
      <c r="N879" s="20"/>
      <c r="O879" s="20"/>
      <c r="P879" s="20"/>
      <c r="Q879" s="20"/>
      <c r="R879" s="20"/>
      <c r="S879" s="20"/>
      <c r="T879" s="20"/>
      <c r="U879" s="20"/>
      <c r="V879" s="20"/>
      <c r="W879" s="20"/>
      <c r="X879" s="20"/>
      <c r="Y879" s="20"/>
      <c r="Z879" s="20"/>
    </row>
    <row r="880" spans="2:26" ht="17.25" customHeight="1">
      <c r="B880" s="15"/>
      <c r="C880" s="15"/>
      <c r="D880" s="37"/>
      <c r="E880" s="58"/>
      <c r="F880" s="58"/>
      <c r="G880" s="58"/>
      <c r="H880" s="58"/>
      <c r="I880" s="58"/>
      <c r="J880" s="58"/>
      <c r="K880" s="31"/>
      <c r="L880" s="20"/>
      <c r="M880" s="20"/>
      <c r="N880" s="20"/>
      <c r="O880" s="20"/>
      <c r="P880" s="20"/>
      <c r="Q880" s="20"/>
      <c r="R880" s="20"/>
      <c r="S880" s="20"/>
      <c r="T880" s="20"/>
      <c r="U880" s="20"/>
      <c r="V880" s="20"/>
      <c r="W880" s="20"/>
      <c r="X880" s="20"/>
      <c r="Y880" s="20"/>
      <c r="Z880" s="20"/>
    </row>
    <row r="881" spans="2:26" ht="17.25" customHeight="1">
      <c r="B881" s="15"/>
      <c r="C881" s="15"/>
      <c r="D881" s="37"/>
      <c r="E881" s="58"/>
      <c r="F881" s="58"/>
      <c r="G881" s="58"/>
      <c r="H881" s="58"/>
      <c r="I881" s="58"/>
      <c r="J881" s="58"/>
      <c r="K881" s="31"/>
      <c r="L881" s="20"/>
      <c r="M881" s="20"/>
      <c r="N881" s="20"/>
      <c r="O881" s="20"/>
      <c r="P881" s="20"/>
      <c r="Q881" s="20"/>
      <c r="R881" s="20"/>
      <c r="S881" s="20"/>
      <c r="T881" s="20"/>
      <c r="U881" s="20"/>
      <c r="V881" s="20"/>
      <c r="W881" s="20"/>
      <c r="X881" s="20"/>
      <c r="Y881" s="20"/>
      <c r="Z881" s="20"/>
    </row>
    <row r="882" spans="2:26" ht="17.25" customHeight="1">
      <c r="B882" s="15"/>
      <c r="C882" s="15"/>
      <c r="D882" s="37"/>
      <c r="E882" s="58"/>
      <c r="F882" s="58"/>
      <c r="G882" s="58"/>
      <c r="H882" s="58"/>
      <c r="I882" s="58"/>
      <c r="J882" s="58"/>
      <c r="K882" s="31"/>
      <c r="L882" s="20"/>
      <c r="M882" s="20"/>
      <c r="N882" s="20"/>
      <c r="O882" s="20"/>
      <c r="P882" s="20"/>
      <c r="Q882" s="20"/>
      <c r="R882" s="20"/>
      <c r="S882" s="20"/>
      <c r="T882" s="20"/>
      <c r="U882" s="20"/>
      <c r="V882" s="20"/>
      <c r="W882" s="20"/>
      <c r="X882" s="20"/>
      <c r="Y882" s="20"/>
      <c r="Z882" s="20"/>
    </row>
    <row r="883" spans="2:26" ht="17.25" customHeight="1">
      <c r="B883" s="15"/>
      <c r="C883" s="15"/>
      <c r="D883" s="37"/>
      <c r="E883" s="58"/>
      <c r="F883" s="58"/>
      <c r="G883" s="58"/>
      <c r="H883" s="58"/>
      <c r="I883" s="58"/>
      <c r="J883" s="58"/>
      <c r="K883" s="31"/>
      <c r="L883" s="20"/>
      <c r="M883" s="20"/>
      <c r="N883" s="20"/>
      <c r="O883" s="20"/>
      <c r="P883" s="20"/>
      <c r="Q883" s="20"/>
      <c r="R883" s="20"/>
      <c r="S883" s="20"/>
      <c r="T883" s="20"/>
      <c r="U883" s="20"/>
      <c r="V883" s="20"/>
      <c r="W883" s="20"/>
      <c r="X883" s="20"/>
      <c r="Y883" s="20"/>
      <c r="Z883" s="20"/>
    </row>
    <row r="884" spans="2:26" ht="17.25" customHeight="1">
      <c r="B884" s="15"/>
      <c r="C884" s="15"/>
      <c r="D884" s="37"/>
      <c r="E884" s="58"/>
      <c r="F884" s="58"/>
      <c r="G884" s="58"/>
      <c r="H884" s="58"/>
      <c r="I884" s="58"/>
      <c r="J884" s="58"/>
      <c r="K884" s="31"/>
      <c r="L884" s="20"/>
      <c r="M884" s="20"/>
      <c r="N884" s="20"/>
      <c r="O884" s="20"/>
      <c r="P884" s="20"/>
      <c r="Q884" s="20"/>
      <c r="R884" s="20"/>
      <c r="S884" s="20"/>
      <c r="T884" s="20"/>
      <c r="U884" s="20"/>
      <c r="V884" s="20"/>
      <c r="W884" s="20"/>
      <c r="X884" s="20"/>
      <c r="Y884" s="20"/>
      <c r="Z884" s="20"/>
    </row>
    <row r="885" spans="2:26" ht="17.25" customHeight="1">
      <c r="B885" s="15"/>
      <c r="C885" s="15"/>
      <c r="D885" s="37"/>
      <c r="E885" s="58"/>
      <c r="F885" s="58"/>
      <c r="G885" s="58"/>
      <c r="H885" s="58"/>
      <c r="I885" s="58"/>
      <c r="J885" s="58"/>
      <c r="K885" s="31"/>
      <c r="L885" s="20"/>
      <c r="M885" s="20"/>
      <c r="N885" s="20"/>
      <c r="O885" s="20"/>
      <c r="P885" s="20"/>
      <c r="Q885" s="20"/>
      <c r="R885" s="20"/>
      <c r="S885" s="20"/>
      <c r="T885" s="20"/>
      <c r="U885" s="20"/>
      <c r="V885" s="20"/>
      <c r="W885" s="20"/>
      <c r="X885" s="20"/>
      <c r="Y885" s="20"/>
      <c r="Z885" s="20"/>
    </row>
    <row r="886" spans="2:26" ht="17.25" customHeight="1">
      <c r="B886" s="15"/>
      <c r="C886" s="15"/>
      <c r="D886" s="37"/>
      <c r="E886" s="58"/>
      <c r="F886" s="58"/>
      <c r="G886" s="58"/>
      <c r="H886" s="58"/>
      <c r="I886" s="58"/>
      <c r="J886" s="58"/>
      <c r="K886" s="31"/>
      <c r="L886" s="20"/>
      <c r="M886" s="20"/>
      <c r="N886" s="20"/>
      <c r="O886" s="20"/>
      <c r="P886" s="20"/>
      <c r="Q886" s="20"/>
      <c r="R886" s="20"/>
      <c r="S886" s="20"/>
      <c r="T886" s="20"/>
      <c r="U886" s="20"/>
      <c r="V886" s="20"/>
      <c r="W886" s="20"/>
      <c r="X886" s="20"/>
      <c r="Y886" s="20"/>
      <c r="Z886" s="20"/>
    </row>
    <row r="887" spans="2:26" ht="17.25" customHeight="1">
      <c r="B887" s="15"/>
      <c r="C887" s="15"/>
      <c r="D887" s="37"/>
      <c r="E887" s="58"/>
      <c r="F887" s="58"/>
      <c r="G887" s="58"/>
      <c r="H887" s="58"/>
      <c r="I887" s="58"/>
      <c r="J887" s="58"/>
      <c r="K887" s="31"/>
      <c r="L887" s="20"/>
      <c r="M887" s="20"/>
      <c r="N887" s="20"/>
      <c r="O887" s="20"/>
      <c r="P887" s="20"/>
      <c r="Q887" s="20"/>
      <c r="R887" s="20"/>
      <c r="S887" s="20"/>
      <c r="T887" s="20"/>
      <c r="U887" s="20"/>
      <c r="V887" s="20"/>
      <c r="W887" s="20"/>
      <c r="X887" s="20"/>
      <c r="Y887" s="20"/>
      <c r="Z887" s="20"/>
    </row>
    <row r="888" spans="2:26" ht="17.25" customHeight="1">
      <c r="B888" s="15"/>
      <c r="C888" s="15"/>
      <c r="D888" s="37"/>
      <c r="E888" s="58"/>
      <c r="F888" s="58"/>
      <c r="G888" s="58"/>
      <c r="H888" s="58"/>
      <c r="I888" s="58"/>
      <c r="J888" s="58"/>
      <c r="K888" s="31"/>
      <c r="L888" s="20"/>
      <c r="M888" s="20"/>
      <c r="N888" s="20"/>
      <c r="O888" s="20"/>
      <c r="P888" s="20"/>
      <c r="Q888" s="20"/>
      <c r="R888" s="20"/>
      <c r="S888" s="20"/>
      <c r="T888" s="20"/>
      <c r="U888" s="20"/>
      <c r="V888" s="20"/>
      <c r="W888" s="20"/>
      <c r="X888" s="20"/>
      <c r="Y888" s="20"/>
      <c r="Z888" s="20"/>
    </row>
    <row r="889" spans="2:26" ht="17.25" customHeight="1">
      <c r="B889" s="15"/>
      <c r="C889" s="15"/>
      <c r="D889" s="37"/>
      <c r="E889" s="58"/>
      <c r="F889" s="58"/>
      <c r="G889" s="58"/>
      <c r="H889" s="58"/>
      <c r="I889" s="58"/>
      <c r="J889" s="58"/>
      <c r="K889" s="31"/>
      <c r="L889" s="20"/>
      <c r="M889" s="20"/>
      <c r="N889" s="20"/>
      <c r="O889" s="20"/>
      <c r="P889" s="20"/>
      <c r="Q889" s="20"/>
      <c r="R889" s="20"/>
      <c r="S889" s="20"/>
      <c r="T889" s="20"/>
      <c r="U889" s="20"/>
      <c r="V889" s="20"/>
      <c r="W889" s="20"/>
      <c r="X889" s="20"/>
      <c r="Y889" s="20"/>
      <c r="Z889" s="20"/>
    </row>
    <row r="890" spans="2:26" ht="17.25" customHeight="1">
      <c r="B890" s="15"/>
      <c r="C890" s="15"/>
      <c r="D890" s="37"/>
      <c r="E890" s="58"/>
      <c r="F890" s="58"/>
      <c r="G890" s="58"/>
      <c r="H890" s="58"/>
      <c r="I890" s="58"/>
      <c r="J890" s="58"/>
      <c r="K890" s="31"/>
      <c r="L890" s="20"/>
      <c r="M890" s="20"/>
      <c r="N890" s="20"/>
      <c r="O890" s="20"/>
      <c r="P890" s="20"/>
      <c r="Q890" s="20"/>
      <c r="R890" s="20"/>
      <c r="S890" s="20"/>
      <c r="T890" s="20"/>
      <c r="U890" s="20"/>
      <c r="V890" s="20"/>
      <c r="W890" s="20"/>
      <c r="X890" s="20"/>
      <c r="Y890" s="20"/>
      <c r="Z890" s="20"/>
    </row>
    <row r="891" spans="2:26" ht="17.25" customHeight="1">
      <c r="B891" s="15"/>
      <c r="C891" s="15"/>
      <c r="D891" s="37"/>
      <c r="E891" s="58"/>
      <c r="F891" s="58"/>
      <c r="G891" s="58"/>
      <c r="H891" s="58"/>
      <c r="I891" s="58"/>
      <c r="J891" s="58"/>
      <c r="K891" s="31"/>
      <c r="L891" s="20"/>
      <c r="M891" s="20"/>
      <c r="N891" s="20"/>
      <c r="O891" s="20"/>
      <c r="P891" s="20"/>
      <c r="Q891" s="20"/>
      <c r="R891" s="20"/>
      <c r="S891" s="20"/>
      <c r="T891" s="20"/>
      <c r="U891" s="20"/>
      <c r="V891" s="20"/>
      <c r="W891" s="20"/>
      <c r="X891" s="20"/>
      <c r="Y891" s="20"/>
      <c r="Z891" s="20"/>
    </row>
    <row r="892" spans="2:26" ht="17.25" customHeight="1">
      <c r="B892" s="15"/>
      <c r="C892" s="15"/>
      <c r="D892" s="37"/>
      <c r="E892" s="58"/>
      <c r="F892" s="58"/>
      <c r="G892" s="58"/>
      <c r="H892" s="58"/>
      <c r="I892" s="58"/>
      <c r="J892" s="58"/>
      <c r="K892" s="31"/>
      <c r="L892" s="20"/>
      <c r="M892" s="20"/>
      <c r="N892" s="20"/>
      <c r="O892" s="20"/>
      <c r="P892" s="20"/>
      <c r="Q892" s="20"/>
      <c r="R892" s="20"/>
      <c r="S892" s="20"/>
      <c r="T892" s="20"/>
      <c r="U892" s="20"/>
      <c r="V892" s="20"/>
      <c r="W892" s="20"/>
      <c r="X892" s="20"/>
      <c r="Y892" s="20"/>
      <c r="Z892" s="20"/>
    </row>
    <row r="893" spans="2:26" ht="17.25" customHeight="1">
      <c r="B893" s="15"/>
      <c r="C893" s="15"/>
      <c r="D893" s="37"/>
      <c r="E893" s="58"/>
      <c r="F893" s="58"/>
      <c r="G893" s="58"/>
      <c r="H893" s="58"/>
      <c r="I893" s="58"/>
      <c r="J893" s="58"/>
      <c r="K893" s="31"/>
      <c r="L893" s="20"/>
      <c r="M893" s="20"/>
      <c r="N893" s="20"/>
      <c r="O893" s="20"/>
      <c r="P893" s="20"/>
      <c r="Q893" s="20"/>
      <c r="R893" s="20"/>
      <c r="S893" s="20"/>
      <c r="T893" s="20"/>
      <c r="U893" s="20"/>
      <c r="V893" s="20"/>
      <c r="W893" s="20"/>
      <c r="X893" s="20"/>
      <c r="Y893" s="20"/>
      <c r="Z893" s="20"/>
    </row>
    <row r="894" spans="2:26" ht="17.25" customHeight="1">
      <c r="B894" s="15"/>
      <c r="C894" s="15"/>
      <c r="D894" s="37"/>
      <c r="E894" s="58"/>
      <c r="F894" s="58"/>
      <c r="G894" s="58"/>
      <c r="H894" s="58"/>
      <c r="I894" s="58"/>
      <c r="J894" s="58"/>
      <c r="K894" s="31"/>
      <c r="L894" s="20"/>
      <c r="M894" s="20"/>
      <c r="N894" s="20"/>
      <c r="O894" s="20"/>
      <c r="P894" s="20"/>
      <c r="Q894" s="20"/>
      <c r="R894" s="20"/>
      <c r="S894" s="20"/>
      <c r="T894" s="20"/>
      <c r="U894" s="20"/>
      <c r="V894" s="20"/>
      <c r="W894" s="20"/>
      <c r="X894" s="20"/>
      <c r="Y894" s="20"/>
      <c r="Z894" s="20"/>
    </row>
    <row r="895" spans="2:26" ht="17.25" customHeight="1">
      <c r="B895" s="15"/>
      <c r="C895" s="15"/>
      <c r="D895" s="37"/>
      <c r="E895" s="58"/>
      <c r="F895" s="58"/>
      <c r="G895" s="58"/>
      <c r="H895" s="58"/>
      <c r="I895" s="58"/>
      <c r="J895" s="58"/>
      <c r="K895" s="31"/>
      <c r="L895" s="20"/>
      <c r="M895" s="20"/>
      <c r="N895" s="20"/>
      <c r="O895" s="20"/>
      <c r="P895" s="20"/>
      <c r="Q895" s="20"/>
      <c r="R895" s="20"/>
      <c r="S895" s="20"/>
      <c r="T895" s="20"/>
      <c r="U895" s="20"/>
      <c r="V895" s="20"/>
      <c r="W895" s="20"/>
      <c r="X895" s="20"/>
      <c r="Y895" s="20"/>
      <c r="Z895" s="20"/>
    </row>
    <row r="896" spans="2:26" ht="17.25" customHeight="1">
      <c r="B896" s="15"/>
      <c r="C896" s="15"/>
      <c r="D896" s="37"/>
      <c r="E896" s="58"/>
      <c r="F896" s="58"/>
      <c r="G896" s="58"/>
      <c r="H896" s="58"/>
      <c r="I896" s="58"/>
      <c r="J896" s="58"/>
      <c r="K896" s="31"/>
      <c r="L896" s="20"/>
      <c r="M896" s="20"/>
      <c r="N896" s="20"/>
      <c r="O896" s="20"/>
      <c r="P896" s="20"/>
      <c r="Q896" s="20"/>
      <c r="R896" s="20"/>
      <c r="S896" s="20"/>
      <c r="T896" s="20"/>
      <c r="U896" s="20"/>
      <c r="V896" s="20"/>
      <c r="W896" s="20"/>
      <c r="X896" s="20"/>
      <c r="Y896" s="20"/>
      <c r="Z896" s="20"/>
    </row>
    <row r="897" spans="2:26" ht="17.25" customHeight="1">
      <c r="B897" s="15"/>
      <c r="C897" s="15"/>
      <c r="D897" s="37"/>
      <c r="E897" s="58"/>
      <c r="F897" s="58"/>
      <c r="G897" s="58"/>
      <c r="H897" s="58"/>
      <c r="I897" s="58"/>
      <c r="J897" s="58"/>
      <c r="K897" s="31"/>
      <c r="L897" s="20"/>
      <c r="M897" s="20"/>
      <c r="N897" s="20"/>
      <c r="O897" s="20"/>
      <c r="P897" s="20"/>
      <c r="Q897" s="20"/>
      <c r="R897" s="20"/>
      <c r="S897" s="20"/>
      <c r="T897" s="20"/>
      <c r="U897" s="20"/>
      <c r="V897" s="20"/>
      <c r="W897" s="20"/>
      <c r="X897" s="20"/>
      <c r="Y897" s="20"/>
      <c r="Z897" s="20"/>
    </row>
    <row r="898" spans="2:26" ht="17.25" customHeight="1">
      <c r="B898" s="15"/>
      <c r="C898" s="15"/>
      <c r="D898" s="37"/>
      <c r="E898" s="58"/>
      <c r="F898" s="58"/>
      <c r="G898" s="58"/>
      <c r="H898" s="58"/>
      <c r="I898" s="58"/>
      <c r="J898" s="58"/>
      <c r="K898" s="31"/>
      <c r="L898" s="20"/>
      <c r="M898" s="20"/>
      <c r="N898" s="20"/>
      <c r="O898" s="20"/>
      <c r="P898" s="20"/>
      <c r="Q898" s="20"/>
      <c r="R898" s="20"/>
      <c r="S898" s="20"/>
      <c r="T898" s="20"/>
      <c r="U898" s="20"/>
      <c r="V898" s="20"/>
      <c r="W898" s="20"/>
      <c r="X898" s="20"/>
      <c r="Y898" s="20"/>
      <c r="Z898" s="20"/>
    </row>
    <row r="899" spans="2:26" ht="17.25" customHeight="1">
      <c r="B899" s="15"/>
      <c r="C899" s="15"/>
      <c r="D899" s="37"/>
      <c r="E899" s="58"/>
      <c r="F899" s="58"/>
      <c r="G899" s="58"/>
      <c r="H899" s="58"/>
      <c r="I899" s="58"/>
      <c r="J899" s="58"/>
      <c r="K899" s="31"/>
      <c r="L899" s="20"/>
      <c r="M899" s="20"/>
      <c r="N899" s="20"/>
      <c r="O899" s="20"/>
      <c r="P899" s="20"/>
      <c r="Q899" s="20"/>
      <c r="R899" s="20"/>
      <c r="S899" s="20"/>
      <c r="T899" s="20"/>
      <c r="U899" s="20"/>
      <c r="V899" s="20"/>
      <c r="W899" s="20"/>
      <c r="X899" s="20"/>
      <c r="Y899" s="20"/>
      <c r="Z899" s="20"/>
    </row>
    <row r="900" spans="2:26" ht="17.25" customHeight="1">
      <c r="B900" s="15"/>
      <c r="C900" s="15"/>
      <c r="D900" s="37"/>
      <c r="E900" s="58"/>
      <c r="F900" s="58"/>
      <c r="G900" s="58"/>
      <c r="H900" s="58"/>
      <c r="I900" s="58"/>
      <c r="J900" s="58"/>
      <c r="K900" s="31"/>
      <c r="L900" s="20"/>
      <c r="M900" s="20"/>
      <c r="N900" s="20"/>
      <c r="O900" s="20"/>
      <c r="P900" s="20"/>
      <c r="Q900" s="20"/>
      <c r="R900" s="20"/>
      <c r="S900" s="20"/>
      <c r="T900" s="20"/>
      <c r="U900" s="20"/>
      <c r="V900" s="20"/>
      <c r="W900" s="20"/>
      <c r="X900" s="20"/>
      <c r="Y900" s="20"/>
      <c r="Z900" s="20"/>
    </row>
    <row r="901" spans="2:26" ht="17.25" customHeight="1">
      <c r="B901" s="15"/>
      <c r="C901" s="15"/>
      <c r="D901" s="37"/>
      <c r="E901" s="58"/>
      <c r="F901" s="58"/>
      <c r="G901" s="58"/>
      <c r="H901" s="58"/>
      <c r="I901" s="58"/>
      <c r="J901" s="58"/>
      <c r="K901" s="31"/>
      <c r="L901" s="20"/>
      <c r="M901" s="20"/>
      <c r="N901" s="20"/>
      <c r="O901" s="20"/>
      <c r="P901" s="20"/>
      <c r="Q901" s="20"/>
      <c r="R901" s="20"/>
      <c r="S901" s="20"/>
      <c r="T901" s="20"/>
      <c r="U901" s="20"/>
      <c r="V901" s="20"/>
      <c r="W901" s="20"/>
      <c r="X901" s="20"/>
      <c r="Y901" s="20"/>
      <c r="Z901" s="20"/>
    </row>
    <row r="902" spans="2:26" ht="17.25" customHeight="1">
      <c r="B902" s="15"/>
      <c r="C902" s="15"/>
      <c r="D902" s="37"/>
      <c r="E902" s="58"/>
      <c r="F902" s="58"/>
      <c r="G902" s="58"/>
      <c r="H902" s="58"/>
      <c r="I902" s="58"/>
      <c r="J902" s="58"/>
      <c r="K902" s="31"/>
      <c r="L902" s="20"/>
      <c r="M902" s="20"/>
      <c r="N902" s="20"/>
      <c r="O902" s="20"/>
      <c r="P902" s="20"/>
      <c r="Q902" s="20"/>
      <c r="R902" s="20"/>
      <c r="S902" s="20"/>
      <c r="T902" s="20"/>
      <c r="U902" s="20"/>
      <c r="V902" s="20"/>
      <c r="W902" s="20"/>
      <c r="X902" s="20"/>
      <c r="Y902" s="20"/>
      <c r="Z902" s="20"/>
    </row>
    <row r="903" spans="2:26" ht="17.25" customHeight="1">
      <c r="B903" s="15"/>
      <c r="C903" s="15"/>
      <c r="D903" s="37"/>
      <c r="E903" s="58"/>
      <c r="F903" s="58"/>
      <c r="G903" s="58"/>
      <c r="H903" s="58"/>
      <c r="I903" s="58"/>
      <c r="J903" s="58"/>
      <c r="K903" s="31"/>
      <c r="L903" s="20"/>
      <c r="M903" s="20"/>
      <c r="N903" s="20"/>
      <c r="O903" s="20"/>
      <c r="P903" s="20"/>
      <c r="Q903" s="20"/>
      <c r="R903" s="20"/>
      <c r="S903" s="20"/>
      <c r="T903" s="20"/>
      <c r="U903" s="20"/>
      <c r="V903" s="20"/>
      <c r="W903" s="20"/>
      <c r="X903" s="20"/>
      <c r="Y903" s="20"/>
      <c r="Z903" s="20"/>
    </row>
    <row r="904" spans="2:26" ht="17.25" customHeight="1">
      <c r="B904" s="15"/>
      <c r="C904" s="15"/>
      <c r="D904" s="37"/>
      <c r="E904" s="58"/>
      <c r="F904" s="58"/>
      <c r="G904" s="58"/>
      <c r="H904" s="58"/>
      <c r="I904" s="58"/>
      <c r="J904" s="58"/>
      <c r="K904" s="31"/>
      <c r="L904" s="20"/>
      <c r="M904" s="20"/>
      <c r="N904" s="20"/>
      <c r="O904" s="20"/>
      <c r="P904" s="20"/>
      <c r="Q904" s="20"/>
      <c r="R904" s="20"/>
      <c r="S904" s="20"/>
      <c r="T904" s="20"/>
      <c r="U904" s="20"/>
      <c r="V904" s="20"/>
      <c r="W904" s="20"/>
      <c r="X904" s="20"/>
      <c r="Y904" s="20"/>
      <c r="Z904" s="20"/>
    </row>
    <row r="905" spans="2:26" ht="17.25" customHeight="1">
      <c r="B905" s="15"/>
      <c r="C905" s="15"/>
      <c r="D905" s="37"/>
      <c r="E905" s="58"/>
      <c r="F905" s="58"/>
      <c r="G905" s="58"/>
      <c r="H905" s="58"/>
      <c r="I905" s="58"/>
      <c r="J905" s="58"/>
      <c r="K905" s="31"/>
      <c r="L905" s="20"/>
      <c r="M905" s="20"/>
      <c r="N905" s="20"/>
      <c r="O905" s="20"/>
      <c r="P905" s="20"/>
      <c r="Q905" s="20"/>
      <c r="R905" s="20"/>
      <c r="S905" s="20"/>
      <c r="T905" s="20"/>
      <c r="U905" s="20"/>
      <c r="V905" s="20"/>
      <c r="W905" s="20"/>
      <c r="X905" s="20"/>
      <c r="Y905" s="20"/>
      <c r="Z905" s="20"/>
    </row>
    <row r="906" spans="2:26" ht="17.25" customHeight="1">
      <c r="B906" s="15"/>
      <c r="C906" s="15"/>
      <c r="D906" s="37"/>
      <c r="E906" s="58"/>
      <c r="F906" s="58"/>
      <c r="G906" s="58"/>
      <c r="H906" s="58"/>
      <c r="I906" s="58"/>
      <c r="J906" s="58"/>
      <c r="K906" s="31"/>
      <c r="L906" s="20"/>
      <c r="M906" s="20"/>
      <c r="N906" s="20"/>
      <c r="O906" s="20"/>
      <c r="P906" s="20"/>
      <c r="Q906" s="20"/>
      <c r="R906" s="20"/>
      <c r="S906" s="20"/>
      <c r="T906" s="20"/>
      <c r="U906" s="20"/>
      <c r="V906" s="20"/>
      <c r="W906" s="20"/>
      <c r="X906" s="20"/>
      <c r="Y906" s="20"/>
      <c r="Z906" s="20"/>
    </row>
    <row r="907" spans="2:26" ht="17.25" customHeight="1">
      <c r="B907" s="15"/>
      <c r="C907" s="15"/>
      <c r="D907" s="37"/>
      <c r="E907" s="58"/>
      <c r="F907" s="58"/>
      <c r="G907" s="58"/>
      <c r="H907" s="58"/>
      <c r="I907" s="58"/>
      <c r="J907" s="58"/>
      <c r="K907" s="31"/>
      <c r="L907" s="20"/>
      <c r="M907" s="20"/>
      <c r="N907" s="20"/>
      <c r="O907" s="20"/>
      <c r="P907" s="20"/>
      <c r="Q907" s="20"/>
      <c r="R907" s="20"/>
      <c r="S907" s="20"/>
      <c r="T907" s="20"/>
      <c r="U907" s="20"/>
      <c r="V907" s="20"/>
      <c r="W907" s="20"/>
      <c r="X907" s="20"/>
      <c r="Y907" s="20"/>
      <c r="Z907" s="20"/>
    </row>
    <row r="908" spans="2:26" ht="17.25" customHeight="1">
      <c r="B908" s="15"/>
      <c r="C908" s="15"/>
      <c r="D908" s="37"/>
      <c r="E908" s="58"/>
      <c r="F908" s="58"/>
      <c r="G908" s="58"/>
      <c r="H908" s="58"/>
      <c r="I908" s="58"/>
      <c r="J908" s="58"/>
      <c r="K908" s="31"/>
      <c r="L908" s="20"/>
      <c r="M908" s="20"/>
      <c r="N908" s="20"/>
      <c r="O908" s="20"/>
      <c r="P908" s="20"/>
      <c r="Q908" s="20"/>
      <c r="R908" s="20"/>
      <c r="S908" s="20"/>
      <c r="T908" s="20"/>
      <c r="U908" s="20"/>
      <c r="V908" s="20"/>
      <c r="W908" s="20"/>
      <c r="X908" s="20"/>
      <c r="Y908" s="20"/>
      <c r="Z908" s="20"/>
    </row>
    <row r="909" spans="2:26" ht="17.25" customHeight="1">
      <c r="B909" s="15"/>
      <c r="C909" s="15"/>
      <c r="D909" s="37"/>
      <c r="E909" s="58"/>
      <c r="F909" s="58"/>
      <c r="G909" s="58"/>
      <c r="H909" s="58"/>
      <c r="I909" s="58"/>
      <c r="J909" s="58"/>
      <c r="K909" s="31"/>
      <c r="L909" s="20"/>
      <c r="M909" s="20"/>
      <c r="N909" s="20"/>
      <c r="O909" s="20"/>
      <c r="P909" s="20"/>
      <c r="Q909" s="20"/>
      <c r="R909" s="20"/>
      <c r="S909" s="20"/>
      <c r="T909" s="20"/>
      <c r="U909" s="20"/>
      <c r="V909" s="20"/>
      <c r="W909" s="20"/>
      <c r="X909" s="20"/>
      <c r="Y909" s="20"/>
      <c r="Z909" s="20"/>
    </row>
    <row r="910" spans="2:26" ht="17.25" customHeight="1">
      <c r="B910" s="15"/>
      <c r="C910" s="15"/>
      <c r="D910" s="37"/>
      <c r="E910" s="58"/>
      <c r="F910" s="58"/>
      <c r="G910" s="58"/>
      <c r="H910" s="58"/>
      <c r="I910" s="58"/>
      <c r="J910" s="58"/>
      <c r="K910" s="31"/>
      <c r="L910" s="20"/>
      <c r="M910" s="20"/>
      <c r="N910" s="20"/>
      <c r="O910" s="20"/>
      <c r="P910" s="20"/>
      <c r="Q910" s="20"/>
      <c r="R910" s="20"/>
      <c r="S910" s="20"/>
      <c r="T910" s="20"/>
      <c r="U910" s="20"/>
      <c r="V910" s="20"/>
      <c r="W910" s="20"/>
      <c r="X910" s="20"/>
      <c r="Y910" s="20"/>
      <c r="Z910" s="20"/>
    </row>
    <row r="911" spans="2:26" ht="17.25" customHeight="1">
      <c r="B911" s="15"/>
      <c r="C911" s="15"/>
      <c r="D911" s="37"/>
      <c r="E911" s="58"/>
      <c r="F911" s="58"/>
      <c r="G911" s="58"/>
      <c r="H911" s="58"/>
      <c r="I911" s="58"/>
      <c r="J911" s="58"/>
      <c r="K911" s="31"/>
      <c r="L911" s="20"/>
      <c r="M911" s="20"/>
      <c r="N911" s="20"/>
      <c r="O911" s="20"/>
      <c r="P911" s="20"/>
      <c r="Q911" s="20"/>
      <c r="R911" s="20"/>
      <c r="S911" s="20"/>
      <c r="T911" s="20"/>
      <c r="U911" s="20"/>
      <c r="V911" s="20"/>
      <c r="W911" s="20"/>
      <c r="X911" s="20"/>
      <c r="Y911" s="20"/>
      <c r="Z911" s="20"/>
    </row>
    <row r="912" spans="2:26" ht="17.25" customHeight="1">
      <c r="B912" s="15"/>
      <c r="C912" s="15"/>
      <c r="D912" s="37"/>
      <c r="E912" s="58"/>
      <c r="F912" s="58"/>
      <c r="G912" s="58"/>
      <c r="H912" s="58"/>
      <c r="I912" s="58"/>
      <c r="J912" s="58"/>
      <c r="K912" s="31"/>
      <c r="L912" s="20"/>
      <c r="M912" s="20"/>
      <c r="N912" s="20"/>
      <c r="O912" s="20"/>
      <c r="P912" s="20"/>
      <c r="Q912" s="20"/>
      <c r="R912" s="20"/>
      <c r="S912" s="20"/>
      <c r="T912" s="20"/>
      <c r="U912" s="20"/>
      <c r="V912" s="20"/>
      <c r="W912" s="20"/>
      <c r="X912" s="20"/>
      <c r="Y912" s="20"/>
      <c r="Z912" s="20"/>
    </row>
    <row r="913" spans="2:26" ht="17.25" customHeight="1">
      <c r="B913" s="15"/>
      <c r="C913" s="15"/>
      <c r="D913" s="37"/>
      <c r="E913" s="58"/>
      <c r="F913" s="58"/>
      <c r="G913" s="58"/>
      <c r="H913" s="58"/>
      <c r="I913" s="58"/>
      <c r="J913" s="58"/>
      <c r="K913" s="31"/>
      <c r="L913" s="20"/>
      <c r="M913" s="20"/>
      <c r="N913" s="20"/>
      <c r="O913" s="20"/>
      <c r="P913" s="20"/>
      <c r="Q913" s="20"/>
      <c r="R913" s="20"/>
      <c r="S913" s="20"/>
      <c r="T913" s="20"/>
      <c r="U913" s="20"/>
      <c r="V913" s="20"/>
      <c r="W913" s="20"/>
      <c r="X913" s="20"/>
      <c r="Y913" s="20"/>
      <c r="Z913" s="20"/>
    </row>
    <row r="914" spans="2:26" ht="17.25" customHeight="1">
      <c r="B914" s="15"/>
      <c r="C914" s="15"/>
      <c r="D914" s="37"/>
      <c r="E914" s="58"/>
      <c r="F914" s="58"/>
      <c r="G914" s="58"/>
      <c r="H914" s="58"/>
      <c r="I914" s="58"/>
      <c r="J914" s="58"/>
      <c r="K914" s="31"/>
      <c r="L914" s="20"/>
      <c r="M914" s="20"/>
      <c r="N914" s="20"/>
      <c r="O914" s="20"/>
      <c r="P914" s="20"/>
      <c r="Q914" s="20"/>
      <c r="R914" s="20"/>
      <c r="S914" s="20"/>
      <c r="T914" s="20"/>
      <c r="U914" s="20"/>
      <c r="V914" s="20"/>
      <c r="W914" s="20"/>
      <c r="X914" s="20"/>
      <c r="Y914" s="20"/>
      <c r="Z914" s="20"/>
    </row>
    <row r="915" spans="2:26" ht="17.25" customHeight="1">
      <c r="B915" s="15"/>
      <c r="C915" s="15"/>
      <c r="D915" s="37"/>
      <c r="E915" s="58"/>
      <c r="F915" s="58"/>
      <c r="G915" s="58"/>
      <c r="H915" s="58"/>
      <c r="I915" s="58"/>
      <c r="J915" s="58"/>
      <c r="K915" s="31"/>
      <c r="L915" s="20"/>
      <c r="M915" s="20"/>
      <c r="N915" s="20"/>
      <c r="O915" s="20"/>
      <c r="P915" s="20"/>
      <c r="Q915" s="20"/>
      <c r="R915" s="20"/>
      <c r="S915" s="20"/>
      <c r="T915" s="20"/>
      <c r="U915" s="20"/>
      <c r="V915" s="20"/>
      <c r="W915" s="20"/>
      <c r="X915" s="20"/>
      <c r="Y915" s="20"/>
      <c r="Z915" s="20"/>
    </row>
    <row r="916" spans="2:26" ht="17.25" customHeight="1">
      <c r="B916" s="15"/>
      <c r="C916" s="15"/>
      <c r="D916" s="37"/>
      <c r="E916" s="58"/>
      <c r="F916" s="58"/>
      <c r="G916" s="58"/>
      <c r="H916" s="58"/>
      <c r="I916" s="58"/>
      <c r="J916" s="58"/>
      <c r="K916" s="31"/>
      <c r="L916" s="20"/>
      <c r="M916" s="20"/>
      <c r="N916" s="20"/>
      <c r="O916" s="20"/>
      <c r="P916" s="20"/>
      <c r="Q916" s="20"/>
      <c r="R916" s="20"/>
      <c r="S916" s="20"/>
      <c r="T916" s="20"/>
      <c r="U916" s="20"/>
      <c r="V916" s="20"/>
      <c r="W916" s="20"/>
      <c r="X916" s="20"/>
      <c r="Y916" s="20"/>
      <c r="Z916" s="20"/>
    </row>
    <row r="917" spans="2:26" ht="17.25" customHeight="1">
      <c r="B917" s="15"/>
      <c r="C917" s="15"/>
      <c r="D917" s="37"/>
      <c r="E917" s="58"/>
      <c r="F917" s="58"/>
      <c r="G917" s="58"/>
      <c r="H917" s="58"/>
      <c r="I917" s="58"/>
      <c r="J917" s="58"/>
      <c r="K917" s="31"/>
      <c r="L917" s="20"/>
      <c r="M917" s="20"/>
      <c r="N917" s="20"/>
      <c r="O917" s="20"/>
      <c r="P917" s="20"/>
      <c r="Q917" s="20"/>
      <c r="R917" s="20"/>
      <c r="S917" s="20"/>
      <c r="T917" s="20"/>
      <c r="U917" s="20"/>
      <c r="V917" s="20"/>
      <c r="W917" s="20"/>
      <c r="X917" s="20"/>
      <c r="Y917" s="20"/>
      <c r="Z917" s="20"/>
    </row>
    <row r="918" spans="2:26" ht="17.25" customHeight="1">
      <c r="B918" s="15"/>
      <c r="C918" s="15"/>
      <c r="D918" s="37"/>
      <c r="E918" s="58"/>
      <c r="F918" s="58"/>
      <c r="G918" s="58"/>
      <c r="H918" s="58"/>
      <c r="I918" s="58"/>
      <c r="J918" s="58"/>
      <c r="K918" s="31"/>
      <c r="L918" s="20"/>
      <c r="M918" s="20"/>
      <c r="N918" s="20"/>
      <c r="O918" s="20"/>
      <c r="P918" s="20"/>
      <c r="Q918" s="20"/>
      <c r="R918" s="20"/>
      <c r="S918" s="20"/>
      <c r="T918" s="20"/>
      <c r="U918" s="20"/>
      <c r="V918" s="20"/>
      <c r="W918" s="20"/>
      <c r="X918" s="20"/>
      <c r="Y918" s="20"/>
      <c r="Z918" s="20"/>
    </row>
    <row r="919" spans="2:26" ht="17.25" customHeight="1">
      <c r="B919" s="15"/>
      <c r="C919" s="15"/>
      <c r="D919" s="37"/>
      <c r="E919" s="58"/>
      <c r="F919" s="58"/>
      <c r="G919" s="58"/>
      <c r="H919" s="58"/>
      <c r="I919" s="58"/>
      <c r="J919" s="58"/>
      <c r="K919" s="31"/>
      <c r="L919" s="20"/>
      <c r="M919" s="20"/>
      <c r="N919" s="20"/>
      <c r="O919" s="20"/>
      <c r="P919" s="20"/>
      <c r="Q919" s="20"/>
      <c r="R919" s="20"/>
      <c r="S919" s="20"/>
      <c r="T919" s="20"/>
      <c r="U919" s="20"/>
      <c r="V919" s="20"/>
      <c r="W919" s="20"/>
      <c r="X919" s="20"/>
      <c r="Y919" s="20"/>
      <c r="Z919" s="20"/>
    </row>
    <row r="920" spans="2:26" ht="17.25" customHeight="1">
      <c r="B920" s="15"/>
      <c r="C920" s="15"/>
      <c r="D920" s="37"/>
      <c r="E920" s="58"/>
      <c r="F920" s="58"/>
      <c r="G920" s="58"/>
      <c r="H920" s="58"/>
      <c r="I920" s="58"/>
      <c r="J920" s="58"/>
      <c r="K920" s="31"/>
      <c r="L920" s="20"/>
      <c r="M920" s="20"/>
      <c r="N920" s="20"/>
      <c r="O920" s="20"/>
      <c r="P920" s="20"/>
      <c r="Q920" s="20"/>
      <c r="R920" s="20"/>
      <c r="S920" s="20"/>
      <c r="T920" s="20"/>
      <c r="U920" s="20"/>
      <c r="V920" s="20"/>
      <c r="W920" s="20"/>
      <c r="X920" s="20"/>
      <c r="Y920" s="20"/>
      <c r="Z920" s="20"/>
    </row>
    <row r="921" spans="2:26" ht="17.25" customHeight="1">
      <c r="B921" s="15"/>
      <c r="C921" s="15"/>
      <c r="D921" s="37"/>
      <c r="E921" s="58"/>
      <c r="F921" s="58"/>
      <c r="G921" s="58"/>
      <c r="H921" s="58"/>
      <c r="I921" s="58"/>
      <c r="J921" s="58"/>
      <c r="K921" s="31"/>
      <c r="L921" s="20"/>
      <c r="M921" s="20"/>
      <c r="N921" s="20"/>
      <c r="O921" s="20"/>
      <c r="P921" s="20"/>
      <c r="Q921" s="20"/>
      <c r="R921" s="20"/>
      <c r="S921" s="20"/>
      <c r="T921" s="20"/>
      <c r="U921" s="20"/>
      <c r="V921" s="20"/>
      <c r="W921" s="20"/>
      <c r="X921" s="20"/>
      <c r="Y921" s="20"/>
      <c r="Z921" s="20"/>
    </row>
    <row r="922" spans="2:26" ht="17.25" customHeight="1">
      <c r="B922" s="15"/>
      <c r="C922" s="15"/>
      <c r="D922" s="37"/>
      <c r="E922" s="58"/>
      <c r="F922" s="58"/>
      <c r="G922" s="58"/>
      <c r="H922" s="58"/>
      <c r="I922" s="58"/>
      <c r="J922" s="58"/>
      <c r="K922" s="31"/>
      <c r="L922" s="20"/>
      <c r="M922" s="20"/>
      <c r="N922" s="20"/>
      <c r="O922" s="20"/>
      <c r="P922" s="20"/>
      <c r="Q922" s="20"/>
      <c r="R922" s="20"/>
      <c r="S922" s="20"/>
      <c r="T922" s="20"/>
      <c r="U922" s="20"/>
      <c r="V922" s="20"/>
      <c r="W922" s="20"/>
      <c r="X922" s="20"/>
      <c r="Y922" s="20"/>
      <c r="Z922" s="20"/>
    </row>
    <row r="923" spans="2:26" ht="17.25" customHeight="1">
      <c r="B923" s="15"/>
      <c r="C923" s="15"/>
      <c r="D923" s="37"/>
      <c r="E923" s="58"/>
      <c r="F923" s="58"/>
      <c r="G923" s="58"/>
      <c r="H923" s="58"/>
      <c r="I923" s="58"/>
      <c r="J923" s="58"/>
      <c r="K923" s="31"/>
      <c r="L923" s="20"/>
      <c r="M923" s="20"/>
      <c r="N923" s="20"/>
      <c r="O923" s="20"/>
      <c r="P923" s="20"/>
      <c r="Q923" s="20"/>
      <c r="R923" s="20"/>
      <c r="S923" s="20"/>
      <c r="T923" s="20"/>
      <c r="U923" s="20"/>
      <c r="V923" s="20"/>
      <c r="W923" s="20"/>
      <c r="X923" s="20"/>
      <c r="Y923" s="20"/>
      <c r="Z923" s="20"/>
    </row>
    <row r="924" spans="2:26" ht="17.25" customHeight="1">
      <c r="B924" s="15"/>
      <c r="C924" s="15"/>
      <c r="D924" s="37"/>
      <c r="E924" s="58"/>
      <c r="F924" s="58"/>
      <c r="G924" s="58"/>
      <c r="H924" s="58"/>
      <c r="I924" s="58"/>
      <c r="J924" s="58"/>
      <c r="K924" s="31"/>
      <c r="L924" s="20"/>
      <c r="M924" s="20"/>
      <c r="N924" s="20"/>
      <c r="O924" s="20"/>
      <c r="P924" s="20"/>
      <c r="Q924" s="20"/>
      <c r="R924" s="20"/>
      <c r="S924" s="20"/>
      <c r="T924" s="20"/>
      <c r="U924" s="20"/>
      <c r="V924" s="20"/>
      <c r="W924" s="20"/>
      <c r="X924" s="20"/>
      <c r="Y924" s="20"/>
      <c r="Z924" s="20"/>
    </row>
    <row r="925" spans="2:26" ht="17.25" customHeight="1">
      <c r="B925" s="15"/>
      <c r="C925" s="15"/>
      <c r="D925" s="37"/>
      <c r="E925" s="58"/>
      <c r="F925" s="58"/>
      <c r="G925" s="58"/>
      <c r="H925" s="58"/>
      <c r="I925" s="58"/>
      <c r="J925" s="58"/>
      <c r="K925" s="31"/>
      <c r="L925" s="20"/>
      <c r="M925" s="20"/>
      <c r="N925" s="20"/>
      <c r="O925" s="20"/>
      <c r="P925" s="20"/>
      <c r="Q925" s="20"/>
      <c r="R925" s="20"/>
      <c r="S925" s="20"/>
      <c r="T925" s="20"/>
      <c r="U925" s="20"/>
      <c r="V925" s="20"/>
      <c r="W925" s="20"/>
      <c r="X925" s="20"/>
      <c r="Y925" s="20"/>
      <c r="Z925" s="20"/>
    </row>
    <row r="926" spans="2:26" ht="17.25" customHeight="1">
      <c r="B926" s="15"/>
      <c r="C926" s="15"/>
      <c r="D926" s="37"/>
      <c r="E926" s="58"/>
      <c r="F926" s="58"/>
      <c r="G926" s="58"/>
      <c r="H926" s="58"/>
      <c r="I926" s="58"/>
      <c r="J926" s="58"/>
      <c r="K926" s="31"/>
      <c r="L926" s="20"/>
      <c r="M926" s="20"/>
      <c r="N926" s="20"/>
      <c r="O926" s="20"/>
      <c r="P926" s="20"/>
      <c r="Q926" s="20"/>
      <c r="R926" s="20"/>
      <c r="S926" s="20"/>
      <c r="T926" s="20"/>
      <c r="U926" s="20"/>
      <c r="V926" s="20"/>
      <c r="W926" s="20"/>
      <c r="X926" s="20"/>
      <c r="Y926" s="20"/>
      <c r="Z926" s="20"/>
    </row>
    <row r="927" spans="2:26" ht="17.25" customHeight="1">
      <c r="B927" s="15"/>
      <c r="C927" s="15"/>
      <c r="D927" s="37"/>
      <c r="E927" s="58"/>
      <c r="F927" s="58"/>
      <c r="G927" s="58"/>
      <c r="H927" s="58"/>
      <c r="I927" s="58"/>
      <c r="J927" s="58"/>
      <c r="K927" s="31"/>
      <c r="L927" s="20"/>
      <c r="M927" s="20"/>
      <c r="N927" s="20"/>
      <c r="O927" s="20"/>
      <c r="P927" s="20"/>
      <c r="Q927" s="20"/>
      <c r="R927" s="20"/>
      <c r="S927" s="20"/>
      <c r="T927" s="20"/>
      <c r="U927" s="20"/>
      <c r="V927" s="20"/>
      <c r="W927" s="20"/>
      <c r="X927" s="20"/>
      <c r="Y927" s="20"/>
      <c r="Z927" s="20"/>
    </row>
    <row r="928" spans="2:26" ht="17.25" customHeight="1">
      <c r="B928" s="15"/>
      <c r="C928" s="15"/>
      <c r="D928" s="37"/>
      <c r="E928" s="58"/>
      <c r="F928" s="58"/>
      <c r="G928" s="58"/>
      <c r="H928" s="58"/>
      <c r="I928" s="58"/>
      <c r="J928" s="58"/>
      <c r="K928" s="31"/>
      <c r="L928" s="20"/>
      <c r="M928" s="20"/>
      <c r="N928" s="20"/>
      <c r="O928" s="20"/>
      <c r="P928" s="20"/>
      <c r="Q928" s="20"/>
      <c r="R928" s="20"/>
      <c r="S928" s="20"/>
      <c r="T928" s="20"/>
      <c r="U928" s="20"/>
      <c r="V928" s="20"/>
      <c r="W928" s="20"/>
      <c r="X928" s="20"/>
      <c r="Y928" s="20"/>
      <c r="Z928" s="20"/>
    </row>
    <row r="929" spans="2:26" ht="17.25" customHeight="1">
      <c r="B929" s="15"/>
      <c r="C929" s="15"/>
      <c r="D929" s="37"/>
      <c r="E929" s="58"/>
      <c r="F929" s="58"/>
      <c r="G929" s="58"/>
      <c r="H929" s="58"/>
      <c r="I929" s="58"/>
      <c r="J929" s="58"/>
      <c r="K929" s="31"/>
      <c r="L929" s="20"/>
      <c r="M929" s="20"/>
      <c r="N929" s="20"/>
      <c r="O929" s="20"/>
      <c r="P929" s="20"/>
      <c r="Q929" s="20"/>
      <c r="R929" s="20"/>
      <c r="S929" s="20"/>
      <c r="T929" s="20"/>
      <c r="U929" s="20"/>
      <c r="V929" s="20"/>
      <c r="W929" s="20"/>
      <c r="X929" s="20"/>
      <c r="Y929" s="20"/>
      <c r="Z929" s="20"/>
    </row>
    <row r="930" spans="2:26" ht="17.25" customHeight="1">
      <c r="B930" s="15"/>
      <c r="C930" s="15"/>
      <c r="D930" s="37"/>
      <c r="E930" s="58"/>
      <c r="F930" s="58"/>
      <c r="G930" s="58"/>
      <c r="H930" s="58"/>
      <c r="I930" s="58"/>
      <c r="J930" s="58"/>
      <c r="K930" s="31"/>
      <c r="L930" s="20"/>
      <c r="M930" s="20"/>
      <c r="N930" s="20"/>
      <c r="O930" s="20"/>
      <c r="P930" s="20"/>
      <c r="Q930" s="20"/>
      <c r="R930" s="20"/>
      <c r="S930" s="20"/>
      <c r="T930" s="20"/>
      <c r="U930" s="20"/>
      <c r="V930" s="20"/>
      <c r="W930" s="20"/>
      <c r="X930" s="20"/>
      <c r="Y930" s="20"/>
      <c r="Z930" s="20"/>
    </row>
    <row r="931" spans="2:26" ht="17.25" customHeight="1">
      <c r="B931" s="15"/>
      <c r="C931" s="15"/>
      <c r="D931" s="37"/>
      <c r="E931" s="58"/>
      <c r="F931" s="58"/>
      <c r="G931" s="58"/>
      <c r="H931" s="58"/>
      <c r="I931" s="58"/>
      <c r="J931" s="58"/>
      <c r="K931" s="31"/>
      <c r="L931" s="20"/>
      <c r="M931" s="20"/>
      <c r="N931" s="20"/>
      <c r="O931" s="20"/>
      <c r="P931" s="20"/>
      <c r="Q931" s="20"/>
      <c r="R931" s="20"/>
      <c r="S931" s="20"/>
      <c r="T931" s="20"/>
      <c r="U931" s="20"/>
      <c r="V931" s="20"/>
      <c r="W931" s="20"/>
      <c r="X931" s="20"/>
      <c r="Y931" s="20"/>
      <c r="Z931" s="20"/>
    </row>
    <row r="932" spans="2:26" ht="17.25" customHeight="1">
      <c r="B932" s="15"/>
      <c r="C932" s="15"/>
      <c r="D932" s="37"/>
      <c r="E932" s="58"/>
      <c r="F932" s="58"/>
      <c r="G932" s="58"/>
      <c r="H932" s="58"/>
      <c r="I932" s="58"/>
      <c r="J932" s="58"/>
      <c r="K932" s="31"/>
      <c r="L932" s="20"/>
      <c r="M932" s="20"/>
      <c r="N932" s="20"/>
      <c r="O932" s="20"/>
      <c r="P932" s="20"/>
      <c r="Q932" s="20"/>
      <c r="R932" s="20"/>
      <c r="S932" s="20"/>
      <c r="T932" s="20"/>
      <c r="U932" s="20"/>
      <c r="V932" s="20"/>
      <c r="W932" s="20"/>
      <c r="X932" s="20"/>
      <c r="Y932" s="20"/>
      <c r="Z932" s="20"/>
    </row>
    <row r="933" spans="2:26" ht="17.25" customHeight="1">
      <c r="B933" s="15"/>
      <c r="C933" s="15"/>
      <c r="D933" s="37"/>
      <c r="E933" s="58"/>
      <c r="F933" s="58"/>
      <c r="G933" s="58"/>
      <c r="H933" s="58"/>
      <c r="I933" s="58"/>
      <c r="J933" s="58"/>
      <c r="K933" s="31"/>
      <c r="L933" s="20"/>
      <c r="M933" s="20"/>
      <c r="N933" s="20"/>
      <c r="O933" s="20"/>
      <c r="P933" s="20"/>
      <c r="Q933" s="20"/>
      <c r="R933" s="20"/>
      <c r="S933" s="20"/>
      <c r="T933" s="20"/>
      <c r="U933" s="20"/>
      <c r="V933" s="20"/>
      <c r="W933" s="20"/>
      <c r="X933" s="20"/>
      <c r="Y933" s="20"/>
      <c r="Z933" s="20"/>
    </row>
    <row r="934" spans="2:26" ht="17.25" customHeight="1">
      <c r="B934" s="15"/>
      <c r="C934" s="15"/>
      <c r="D934" s="37"/>
      <c r="E934" s="58"/>
      <c r="F934" s="58"/>
      <c r="G934" s="58"/>
      <c r="H934" s="58"/>
      <c r="I934" s="58"/>
      <c r="J934" s="58"/>
      <c r="K934" s="31"/>
      <c r="L934" s="20"/>
      <c r="M934" s="20"/>
      <c r="N934" s="20"/>
      <c r="O934" s="20"/>
      <c r="P934" s="20"/>
      <c r="Q934" s="20"/>
      <c r="R934" s="20"/>
      <c r="S934" s="20"/>
      <c r="T934" s="20"/>
      <c r="U934" s="20"/>
      <c r="V934" s="20"/>
      <c r="W934" s="20"/>
      <c r="X934" s="20"/>
      <c r="Y934" s="20"/>
      <c r="Z934" s="20"/>
    </row>
    <row r="935" spans="2:26" ht="17.25" customHeight="1">
      <c r="B935" s="15"/>
      <c r="C935" s="15"/>
      <c r="D935" s="37"/>
      <c r="E935" s="58"/>
      <c r="F935" s="58"/>
      <c r="G935" s="58"/>
      <c r="H935" s="58"/>
      <c r="I935" s="58"/>
      <c r="J935" s="58"/>
      <c r="K935" s="31"/>
      <c r="L935" s="20"/>
      <c r="M935" s="20"/>
      <c r="N935" s="20"/>
      <c r="O935" s="20"/>
      <c r="P935" s="20"/>
      <c r="Q935" s="20"/>
      <c r="R935" s="20"/>
      <c r="S935" s="20"/>
      <c r="T935" s="20"/>
      <c r="U935" s="20"/>
      <c r="V935" s="20"/>
      <c r="W935" s="20"/>
      <c r="X935" s="20"/>
      <c r="Y935" s="20"/>
      <c r="Z935" s="20"/>
    </row>
    <row r="936" spans="2:26" ht="17.25" customHeight="1">
      <c r="B936" s="15"/>
      <c r="C936" s="15"/>
      <c r="D936" s="37"/>
      <c r="E936" s="58"/>
      <c r="F936" s="58"/>
      <c r="G936" s="58"/>
      <c r="H936" s="58"/>
      <c r="I936" s="58"/>
      <c r="J936" s="58"/>
      <c r="K936" s="31"/>
      <c r="L936" s="20"/>
      <c r="M936" s="20"/>
      <c r="N936" s="20"/>
      <c r="O936" s="20"/>
      <c r="P936" s="20"/>
      <c r="Q936" s="20"/>
      <c r="R936" s="20"/>
      <c r="S936" s="20"/>
      <c r="T936" s="20"/>
      <c r="U936" s="20"/>
      <c r="V936" s="20"/>
      <c r="W936" s="20"/>
      <c r="X936" s="20"/>
      <c r="Y936" s="20"/>
      <c r="Z936" s="20"/>
    </row>
    <row r="937" spans="2:26" ht="17.25" customHeight="1">
      <c r="B937" s="15"/>
      <c r="C937" s="15"/>
      <c r="D937" s="37"/>
      <c r="E937" s="58"/>
      <c r="F937" s="58"/>
      <c r="G937" s="58"/>
      <c r="H937" s="58"/>
      <c r="I937" s="58"/>
      <c r="J937" s="58"/>
      <c r="K937" s="31"/>
      <c r="L937" s="20"/>
      <c r="M937" s="20"/>
      <c r="N937" s="20"/>
      <c r="O937" s="20"/>
      <c r="P937" s="20"/>
      <c r="Q937" s="20"/>
      <c r="R937" s="20"/>
      <c r="S937" s="20"/>
      <c r="T937" s="20"/>
      <c r="U937" s="20"/>
      <c r="V937" s="20"/>
      <c r="W937" s="20"/>
      <c r="X937" s="20"/>
      <c r="Y937" s="20"/>
      <c r="Z937" s="20"/>
    </row>
    <row r="938" spans="2:26" ht="17.25" customHeight="1">
      <c r="B938" s="15"/>
      <c r="C938" s="15"/>
      <c r="D938" s="37"/>
      <c r="E938" s="58"/>
      <c r="F938" s="58"/>
      <c r="G938" s="58"/>
      <c r="H938" s="58"/>
      <c r="I938" s="58"/>
      <c r="J938" s="58"/>
      <c r="K938" s="31"/>
      <c r="L938" s="20"/>
      <c r="M938" s="20"/>
      <c r="N938" s="20"/>
      <c r="O938" s="20"/>
      <c r="P938" s="20"/>
      <c r="Q938" s="20"/>
      <c r="R938" s="20"/>
      <c r="S938" s="20"/>
      <c r="T938" s="20"/>
      <c r="U938" s="20"/>
      <c r="V938" s="20"/>
      <c r="W938" s="20"/>
      <c r="X938" s="20"/>
      <c r="Y938" s="20"/>
      <c r="Z938" s="20"/>
    </row>
    <row r="939" spans="2:26" ht="17.25" customHeight="1">
      <c r="B939" s="15"/>
      <c r="C939" s="15"/>
      <c r="D939" s="37"/>
      <c r="E939" s="58"/>
      <c r="F939" s="58"/>
      <c r="G939" s="58"/>
      <c r="H939" s="58"/>
      <c r="I939" s="58"/>
      <c r="J939" s="58"/>
      <c r="K939" s="31"/>
      <c r="L939" s="20"/>
      <c r="M939" s="20"/>
      <c r="N939" s="20"/>
      <c r="O939" s="20"/>
      <c r="P939" s="20"/>
      <c r="Q939" s="20"/>
      <c r="R939" s="20"/>
      <c r="S939" s="20"/>
      <c r="T939" s="20"/>
      <c r="U939" s="20"/>
      <c r="V939" s="20"/>
      <c r="W939" s="20"/>
      <c r="X939" s="20"/>
      <c r="Y939" s="20"/>
      <c r="Z939" s="20"/>
    </row>
    <row r="940" spans="2:26" ht="17.25" customHeight="1">
      <c r="B940" s="15"/>
      <c r="C940" s="15"/>
      <c r="D940" s="37"/>
      <c r="E940" s="58"/>
      <c r="F940" s="58"/>
      <c r="G940" s="58"/>
      <c r="H940" s="58"/>
      <c r="I940" s="58"/>
      <c r="J940" s="58"/>
      <c r="K940" s="31"/>
      <c r="L940" s="20"/>
      <c r="M940" s="20"/>
      <c r="N940" s="20"/>
      <c r="O940" s="20"/>
      <c r="P940" s="20"/>
      <c r="Q940" s="20"/>
      <c r="R940" s="20"/>
      <c r="S940" s="20"/>
      <c r="T940" s="20"/>
      <c r="U940" s="20"/>
      <c r="V940" s="20"/>
      <c r="W940" s="20"/>
      <c r="X940" s="20"/>
      <c r="Y940" s="20"/>
      <c r="Z940" s="20"/>
    </row>
    <row r="941" spans="2:26" ht="17.25" customHeight="1">
      <c r="B941" s="15"/>
      <c r="C941" s="15"/>
      <c r="D941" s="37"/>
      <c r="E941" s="58"/>
      <c r="F941" s="58"/>
      <c r="G941" s="58"/>
      <c r="H941" s="58"/>
      <c r="I941" s="58"/>
      <c r="J941" s="58"/>
      <c r="K941" s="31"/>
      <c r="L941" s="20"/>
      <c r="M941" s="20"/>
      <c r="N941" s="20"/>
      <c r="O941" s="20"/>
      <c r="P941" s="20"/>
      <c r="Q941" s="20"/>
      <c r="R941" s="20"/>
      <c r="S941" s="20"/>
      <c r="T941" s="20"/>
      <c r="U941" s="20"/>
      <c r="V941" s="20"/>
      <c r="W941" s="20"/>
      <c r="X941" s="20"/>
      <c r="Y941" s="20"/>
      <c r="Z941" s="20"/>
    </row>
    <row r="942" spans="2:26" ht="17.25" customHeight="1">
      <c r="B942" s="15"/>
      <c r="C942" s="15"/>
      <c r="D942" s="37"/>
      <c r="E942" s="58"/>
      <c r="F942" s="58"/>
      <c r="G942" s="58"/>
      <c r="H942" s="58"/>
      <c r="I942" s="58"/>
      <c r="J942" s="58"/>
      <c r="K942" s="31"/>
      <c r="L942" s="20"/>
      <c r="M942" s="20"/>
      <c r="N942" s="20"/>
      <c r="O942" s="20"/>
      <c r="P942" s="20"/>
      <c r="Q942" s="20"/>
      <c r="R942" s="20"/>
      <c r="S942" s="20"/>
      <c r="T942" s="20"/>
      <c r="U942" s="20"/>
      <c r="V942" s="20"/>
      <c r="W942" s="20"/>
      <c r="X942" s="20"/>
      <c r="Y942" s="20"/>
      <c r="Z942" s="20"/>
    </row>
    <row r="943" spans="2:26" ht="17.25" customHeight="1">
      <c r="B943" s="15"/>
      <c r="C943" s="15"/>
      <c r="D943" s="37"/>
      <c r="E943" s="58"/>
      <c r="F943" s="58"/>
      <c r="G943" s="58"/>
      <c r="H943" s="58"/>
      <c r="I943" s="58"/>
      <c r="J943" s="58"/>
      <c r="K943" s="31"/>
      <c r="L943" s="20"/>
      <c r="M943" s="20"/>
      <c r="N943" s="20"/>
      <c r="O943" s="20"/>
      <c r="P943" s="20"/>
      <c r="Q943" s="20"/>
      <c r="R943" s="20"/>
      <c r="S943" s="20"/>
      <c r="T943" s="20"/>
      <c r="U943" s="20"/>
      <c r="V943" s="20"/>
      <c r="W943" s="20"/>
      <c r="X943" s="20"/>
      <c r="Y943" s="20"/>
      <c r="Z943" s="20"/>
    </row>
    <row r="944" spans="2:26" ht="17.25" customHeight="1">
      <c r="B944" s="15"/>
      <c r="C944" s="15"/>
      <c r="D944" s="37"/>
      <c r="E944" s="58"/>
      <c r="F944" s="58"/>
      <c r="G944" s="58"/>
      <c r="H944" s="58"/>
      <c r="I944" s="58"/>
      <c r="J944" s="58"/>
      <c r="K944" s="31"/>
      <c r="L944" s="20"/>
      <c r="M944" s="20"/>
      <c r="N944" s="20"/>
      <c r="O944" s="20"/>
      <c r="P944" s="20"/>
      <c r="Q944" s="20"/>
      <c r="R944" s="20"/>
      <c r="S944" s="20"/>
      <c r="T944" s="20"/>
      <c r="U944" s="20"/>
      <c r="V944" s="20"/>
      <c r="W944" s="20"/>
      <c r="X944" s="20"/>
      <c r="Y944" s="20"/>
      <c r="Z944" s="20"/>
    </row>
    <row r="945" spans="2:26" ht="17.25" customHeight="1">
      <c r="B945" s="15"/>
      <c r="C945" s="15"/>
      <c r="D945" s="37"/>
      <c r="E945" s="58"/>
      <c r="F945" s="58"/>
      <c r="G945" s="58"/>
      <c r="H945" s="58"/>
      <c r="I945" s="58"/>
      <c r="J945" s="58"/>
      <c r="K945" s="31"/>
      <c r="L945" s="20"/>
      <c r="M945" s="20"/>
      <c r="N945" s="20"/>
      <c r="O945" s="20"/>
      <c r="P945" s="20"/>
      <c r="Q945" s="20"/>
      <c r="R945" s="20"/>
      <c r="S945" s="20"/>
      <c r="T945" s="20"/>
      <c r="U945" s="20"/>
      <c r="V945" s="20"/>
      <c r="W945" s="20"/>
      <c r="X945" s="20"/>
      <c r="Y945" s="20"/>
      <c r="Z945" s="20"/>
    </row>
    <row r="946" spans="2:26" ht="17.25" customHeight="1">
      <c r="B946" s="15"/>
      <c r="C946" s="15"/>
      <c r="D946" s="37"/>
      <c r="E946" s="58"/>
      <c r="F946" s="58"/>
      <c r="G946" s="58"/>
      <c r="H946" s="58"/>
      <c r="I946" s="58"/>
      <c r="J946" s="58"/>
      <c r="K946" s="31"/>
      <c r="L946" s="20"/>
      <c r="M946" s="20"/>
      <c r="N946" s="20"/>
      <c r="O946" s="20"/>
      <c r="P946" s="20"/>
      <c r="Q946" s="20"/>
      <c r="R946" s="20"/>
      <c r="S946" s="20"/>
      <c r="T946" s="20"/>
      <c r="U946" s="20"/>
      <c r="V946" s="20"/>
      <c r="W946" s="20"/>
      <c r="X946" s="20"/>
      <c r="Y946" s="20"/>
      <c r="Z946" s="20"/>
    </row>
    <row r="947" spans="2:26" ht="17.25" customHeight="1">
      <c r="B947" s="15"/>
      <c r="C947" s="15"/>
      <c r="D947" s="37"/>
      <c r="E947" s="58"/>
      <c r="F947" s="58"/>
      <c r="G947" s="58"/>
      <c r="H947" s="58"/>
      <c r="I947" s="58"/>
      <c r="J947" s="58"/>
      <c r="K947" s="31"/>
      <c r="L947" s="20"/>
      <c r="M947" s="20"/>
      <c r="N947" s="20"/>
      <c r="O947" s="20"/>
      <c r="P947" s="20"/>
      <c r="Q947" s="20"/>
      <c r="R947" s="20"/>
      <c r="S947" s="20"/>
      <c r="T947" s="20"/>
      <c r="U947" s="20"/>
      <c r="V947" s="20"/>
      <c r="W947" s="20"/>
      <c r="X947" s="20"/>
      <c r="Y947" s="20"/>
      <c r="Z947" s="20"/>
    </row>
    <row r="948" spans="2:26" ht="17.25" customHeight="1">
      <c r="B948" s="15"/>
      <c r="C948" s="15"/>
      <c r="D948" s="37"/>
      <c r="E948" s="58"/>
      <c r="F948" s="58"/>
      <c r="G948" s="58"/>
      <c r="H948" s="58"/>
      <c r="I948" s="58"/>
      <c r="J948" s="58"/>
      <c r="K948" s="31"/>
      <c r="L948" s="20"/>
      <c r="M948" s="20"/>
      <c r="N948" s="20"/>
      <c r="O948" s="20"/>
      <c r="P948" s="20"/>
      <c r="Q948" s="20"/>
      <c r="R948" s="20"/>
      <c r="S948" s="20"/>
      <c r="T948" s="20"/>
      <c r="U948" s="20"/>
      <c r="V948" s="20"/>
      <c r="W948" s="20"/>
      <c r="X948" s="20"/>
      <c r="Y948" s="20"/>
      <c r="Z948" s="20"/>
    </row>
    <row r="949" spans="2:26" ht="17.25" customHeight="1">
      <c r="B949" s="15"/>
      <c r="C949" s="15"/>
      <c r="D949" s="37"/>
      <c r="E949" s="58"/>
      <c r="F949" s="58"/>
      <c r="G949" s="58"/>
      <c r="H949" s="58"/>
      <c r="I949" s="58"/>
      <c r="J949" s="58"/>
      <c r="K949" s="31"/>
      <c r="L949" s="20"/>
      <c r="M949" s="20"/>
      <c r="N949" s="20"/>
      <c r="O949" s="20"/>
      <c r="P949" s="20"/>
      <c r="Q949" s="20"/>
      <c r="R949" s="20"/>
      <c r="S949" s="20"/>
      <c r="T949" s="20"/>
      <c r="U949" s="20"/>
      <c r="V949" s="20"/>
      <c r="W949" s="20"/>
      <c r="X949" s="20"/>
      <c r="Y949" s="20"/>
      <c r="Z949" s="20"/>
    </row>
    <row r="950" spans="2:26" ht="17.25" customHeight="1">
      <c r="B950" s="15"/>
      <c r="C950" s="15"/>
      <c r="D950" s="37"/>
      <c r="E950" s="58"/>
      <c r="F950" s="58"/>
      <c r="G950" s="58"/>
      <c r="H950" s="58"/>
      <c r="I950" s="58"/>
      <c r="J950" s="58"/>
      <c r="K950" s="31"/>
      <c r="L950" s="20"/>
      <c r="M950" s="20"/>
      <c r="N950" s="20"/>
      <c r="O950" s="20"/>
      <c r="P950" s="20"/>
      <c r="Q950" s="20"/>
      <c r="R950" s="20"/>
      <c r="S950" s="20"/>
      <c r="T950" s="20"/>
      <c r="U950" s="20"/>
      <c r="V950" s="20"/>
      <c r="W950" s="20"/>
      <c r="X950" s="20"/>
      <c r="Y950" s="20"/>
      <c r="Z950" s="20"/>
    </row>
    <row r="951" spans="2:26" ht="17.25" customHeight="1">
      <c r="B951" s="15"/>
      <c r="C951" s="15"/>
      <c r="D951" s="37"/>
      <c r="E951" s="58"/>
      <c r="F951" s="58"/>
      <c r="G951" s="58"/>
      <c r="H951" s="58"/>
      <c r="I951" s="58"/>
      <c r="J951" s="58"/>
      <c r="K951" s="31"/>
      <c r="L951" s="20"/>
      <c r="M951" s="20"/>
      <c r="N951" s="20"/>
      <c r="O951" s="20"/>
      <c r="P951" s="20"/>
      <c r="Q951" s="20"/>
      <c r="R951" s="20"/>
      <c r="S951" s="20"/>
      <c r="T951" s="20"/>
      <c r="U951" s="20"/>
      <c r="V951" s="20"/>
      <c r="W951" s="20"/>
      <c r="X951" s="20"/>
      <c r="Y951" s="20"/>
      <c r="Z951" s="20"/>
    </row>
    <row r="952" spans="2:26" ht="17.25" customHeight="1">
      <c r="B952" s="15"/>
      <c r="C952" s="15"/>
      <c r="D952" s="37"/>
      <c r="E952" s="58"/>
      <c r="F952" s="58"/>
      <c r="G952" s="58"/>
      <c r="H952" s="58"/>
      <c r="I952" s="58"/>
      <c r="J952" s="58"/>
      <c r="K952" s="31"/>
      <c r="L952" s="20"/>
      <c r="M952" s="20"/>
      <c r="N952" s="20"/>
      <c r="O952" s="20"/>
      <c r="P952" s="20"/>
      <c r="Q952" s="20"/>
      <c r="R952" s="20"/>
      <c r="S952" s="20"/>
      <c r="T952" s="20"/>
      <c r="U952" s="20"/>
      <c r="V952" s="20"/>
      <c r="W952" s="20"/>
      <c r="X952" s="20"/>
      <c r="Y952" s="20"/>
      <c r="Z952" s="20"/>
    </row>
    <row r="953" spans="2:26" ht="17.25" customHeight="1">
      <c r="B953" s="15"/>
      <c r="C953" s="15"/>
      <c r="D953" s="37"/>
      <c r="E953" s="58"/>
      <c r="F953" s="58"/>
      <c r="G953" s="58"/>
      <c r="H953" s="58"/>
      <c r="I953" s="58"/>
      <c r="J953" s="58"/>
      <c r="K953" s="31"/>
      <c r="L953" s="20"/>
      <c r="M953" s="20"/>
      <c r="N953" s="20"/>
      <c r="O953" s="20"/>
      <c r="P953" s="20"/>
      <c r="Q953" s="20"/>
      <c r="R953" s="20"/>
      <c r="S953" s="20"/>
      <c r="T953" s="20"/>
      <c r="U953" s="20"/>
      <c r="V953" s="20"/>
      <c r="W953" s="20"/>
      <c r="X953" s="20"/>
      <c r="Y953" s="20"/>
      <c r="Z953" s="20"/>
    </row>
    <row r="954" spans="2:26" ht="17.25" customHeight="1">
      <c r="B954" s="15"/>
      <c r="C954" s="15"/>
      <c r="D954" s="37"/>
      <c r="E954" s="58"/>
      <c r="F954" s="58"/>
      <c r="G954" s="58"/>
      <c r="H954" s="58"/>
      <c r="I954" s="58"/>
      <c r="J954" s="58"/>
      <c r="K954" s="31"/>
      <c r="L954" s="20"/>
      <c r="M954" s="20"/>
      <c r="N954" s="20"/>
      <c r="O954" s="20"/>
      <c r="P954" s="20"/>
      <c r="Q954" s="20"/>
      <c r="R954" s="20"/>
      <c r="S954" s="20"/>
      <c r="T954" s="20"/>
      <c r="U954" s="20"/>
      <c r="V954" s="20"/>
      <c r="W954" s="20"/>
      <c r="X954" s="20"/>
      <c r="Y954" s="20"/>
      <c r="Z954" s="20"/>
    </row>
    <row r="955" spans="2:26" ht="17.25" customHeight="1">
      <c r="B955" s="15"/>
      <c r="C955" s="15"/>
      <c r="D955" s="37"/>
      <c r="E955" s="58"/>
      <c r="F955" s="58"/>
      <c r="G955" s="58"/>
      <c r="H955" s="58"/>
      <c r="I955" s="58"/>
      <c r="J955" s="58"/>
      <c r="K955" s="31"/>
      <c r="L955" s="20"/>
      <c r="M955" s="20"/>
      <c r="N955" s="20"/>
      <c r="O955" s="20"/>
      <c r="P955" s="20"/>
      <c r="Q955" s="20"/>
      <c r="R955" s="20"/>
      <c r="S955" s="20"/>
      <c r="T955" s="20"/>
      <c r="U955" s="20"/>
      <c r="V955" s="20"/>
      <c r="W955" s="20"/>
      <c r="X955" s="20"/>
      <c r="Y955" s="20"/>
      <c r="Z955" s="20"/>
    </row>
    <row r="956" spans="2:26" ht="17.25" customHeight="1">
      <c r="B956" s="15"/>
      <c r="C956" s="15"/>
      <c r="D956" s="37"/>
      <c r="E956" s="58"/>
      <c r="F956" s="58"/>
      <c r="G956" s="58"/>
      <c r="H956" s="58"/>
      <c r="I956" s="58"/>
      <c r="J956" s="58"/>
      <c r="K956" s="31"/>
      <c r="L956" s="20"/>
      <c r="M956" s="20"/>
      <c r="N956" s="20"/>
      <c r="O956" s="20"/>
      <c r="P956" s="20"/>
      <c r="Q956" s="20"/>
      <c r="R956" s="20"/>
      <c r="S956" s="20"/>
      <c r="T956" s="20"/>
      <c r="U956" s="20"/>
      <c r="V956" s="20"/>
      <c r="W956" s="20"/>
      <c r="X956" s="20"/>
      <c r="Y956" s="20"/>
      <c r="Z956" s="20"/>
    </row>
    <row r="957" spans="2:26" ht="17.25" customHeight="1">
      <c r="B957" s="15"/>
      <c r="C957" s="15"/>
      <c r="D957" s="37"/>
      <c r="E957" s="58"/>
      <c r="F957" s="58"/>
      <c r="G957" s="58"/>
      <c r="H957" s="58"/>
      <c r="I957" s="58"/>
      <c r="J957" s="58"/>
      <c r="K957" s="31"/>
      <c r="L957" s="20"/>
      <c r="M957" s="20"/>
      <c r="N957" s="20"/>
      <c r="O957" s="20"/>
      <c r="P957" s="20"/>
      <c r="Q957" s="20"/>
      <c r="R957" s="20"/>
      <c r="S957" s="20"/>
      <c r="T957" s="20"/>
      <c r="U957" s="20"/>
      <c r="V957" s="20"/>
      <c r="W957" s="20"/>
      <c r="X957" s="20"/>
      <c r="Y957" s="20"/>
      <c r="Z957" s="20"/>
    </row>
    <row r="958" spans="2:26" ht="17.25" customHeight="1">
      <c r="B958" s="15"/>
      <c r="C958" s="15"/>
      <c r="D958" s="37"/>
      <c r="E958" s="58"/>
      <c r="F958" s="58"/>
      <c r="G958" s="58"/>
      <c r="H958" s="58"/>
      <c r="I958" s="58"/>
      <c r="J958" s="58"/>
      <c r="K958" s="31"/>
      <c r="L958" s="20"/>
      <c r="M958" s="20"/>
      <c r="N958" s="20"/>
      <c r="O958" s="20"/>
      <c r="P958" s="20"/>
      <c r="Q958" s="20"/>
      <c r="R958" s="20"/>
      <c r="S958" s="20"/>
      <c r="T958" s="20"/>
      <c r="U958" s="20"/>
      <c r="V958" s="20"/>
      <c r="W958" s="20"/>
      <c r="X958" s="20"/>
      <c r="Y958" s="20"/>
      <c r="Z958" s="20"/>
    </row>
    <row r="959" spans="2:26" ht="17.25" customHeight="1">
      <c r="B959" s="15"/>
      <c r="C959" s="15"/>
      <c r="D959" s="37"/>
      <c r="E959" s="58"/>
      <c r="F959" s="58"/>
      <c r="G959" s="58"/>
      <c r="H959" s="58"/>
      <c r="I959" s="58"/>
      <c r="J959" s="58"/>
      <c r="K959" s="31"/>
      <c r="L959" s="20"/>
      <c r="M959" s="20"/>
      <c r="N959" s="20"/>
      <c r="O959" s="20"/>
      <c r="P959" s="20"/>
      <c r="Q959" s="20"/>
      <c r="R959" s="20"/>
      <c r="S959" s="20"/>
      <c r="T959" s="20"/>
      <c r="U959" s="20"/>
      <c r="V959" s="20"/>
      <c r="W959" s="20"/>
      <c r="X959" s="20"/>
      <c r="Y959" s="20"/>
      <c r="Z959" s="20"/>
    </row>
    <row r="960" spans="2:26" ht="17.25" customHeight="1">
      <c r="B960" s="15"/>
      <c r="C960" s="15"/>
      <c r="D960" s="37"/>
      <c r="E960" s="58"/>
      <c r="F960" s="58"/>
      <c r="G960" s="58"/>
      <c r="H960" s="58"/>
      <c r="I960" s="58"/>
      <c r="J960" s="58"/>
      <c r="K960" s="31"/>
      <c r="L960" s="20"/>
      <c r="M960" s="20"/>
      <c r="N960" s="20"/>
      <c r="O960" s="20"/>
      <c r="P960" s="20"/>
      <c r="Q960" s="20"/>
      <c r="R960" s="20"/>
      <c r="S960" s="20"/>
      <c r="T960" s="20"/>
      <c r="U960" s="20"/>
      <c r="V960" s="20"/>
      <c r="W960" s="20"/>
      <c r="X960" s="20"/>
      <c r="Y960" s="20"/>
      <c r="Z960" s="20"/>
    </row>
    <row r="961" spans="2:26" ht="17.25" customHeight="1">
      <c r="B961" s="15"/>
      <c r="C961" s="15"/>
      <c r="D961" s="37"/>
      <c r="E961" s="58"/>
      <c r="F961" s="58"/>
      <c r="G961" s="58"/>
      <c r="H961" s="58"/>
      <c r="I961" s="58"/>
      <c r="J961" s="58"/>
      <c r="K961" s="31"/>
      <c r="L961" s="20"/>
      <c r="M961" s="20"/>
      <c r="N961" s="20"/>
      <c r="O961" s="20"/>
      <c r="P961" s="20"/>
      <c r="Q961" s="20"/>
      <c r="R961" s="20"/>
      <c r="S961" s="20"/>
      <c r="T961" s="20"/>
      <c r="U961" s="20"/>
      <c r="V961" s="20"/>
      <c r="W961" s="20"/>
      <c r="X961" s="20"/>
      <c r="Y961" s="20"/>
      <c r="Z961" s="20"/>
    </row>
    <row r="962" spans="2:26" ht="17.25" customHeight="1">
      <c r="B962" s="15"/>
      <c r="C962" s="15"/>
      <c r="D962" s="37"/>
      <c r="E962" s="58"/>
      <c r="F962" s="58"/>
      <c r="G962" s="58"/>
      <c r="H962" s="58"/>
      <c r="I962" s="58"/>
      <c r="J962" s="58"/>
      <c r="K962" s="31"/>
      <c r="L962" s="20"/>
      <c r="M962" s="20"/>
      <c r="N962" s="20"/>
      <c r="O962" s="20"/>
      <c r="P962" s="20"/>
      <c r="Q962" s="20"/>
      <c r="R962" s="20"/>
      <c r="S962" s="20"/>
      <c r="T962" s="20"/>
      <c r="U962" s="20"/>
      <c r="V962" s="20"/>
      <c r="W962" s="20"/>
      <c r="X962" s="20"/>
      <c r="Y962" s="20"/>
      <c r="Z962" s="20"/>
    </row>
    <row r="963" spans="2:26" ht="17.25" customHeight="1">
      <c r="B963" s="15"/>
      <c r="C963" s="15"/>
      <c r="D963" s="37"/>
      <c r="E963" s="58"/>
      <c r="F963" s="58"/>
      <c r="G963" s="58"/>
      <c r="H963" s="58"/>
      <c r="I963" s="58"/>
      <c r="J963" s="58"/>
      <c r="K963" s="31"/>
      <c r="L963" s="20"/>
      <c r="M963" s="20"/>
      <c r="N963" s="20"/>
      <c r="O963" s="20"/>
      <c r="P963" s="20"/>
      <c r="Q963" s="20"/>
      <c r="R963" s="20"/>
      <c r="S963" s="20"/>
      <c r="T963" s="20"/>
      <c r="U963" s="20"/>
      <c r="V963" s="20"/>
      <c r="W963" s="20"/>
      <c r="X963" s="20"/>
      <c r="Y963" s="20"/>
      <c r="Z963" s="20"/>
    </row>
    <row r="964" spans="2:26" ht="17.25" customHeight="1">
      <c r="B964" s="15"/>
      <c r="C964" s="15"/>
      <c r="D964" s="37"/>
      <c r="E964" s="58"/>
      <c r="F964" s="58"/>
      <c r="G964" s="58"/>
      <c r="H964" s="58"/>
      <c r="I964" s="58"/>
      <c r="J964" s="58"/>
      <c r="K964" s="31"/>
      <c r="L964" s="20"/>
      <c r="M964" s="20"/>
      <c r="N964" s="20"/>
      <c r="O964" s="20"/>
      <c r="P964" s="20"/>
      <c r="Q964" s="20"/>
      <c r="R964" s="20"/>
      <c r="S964" s="20"/>
      <c r="T964" s="20"/>
      <c r="U964" s="20"/>
      <c r="V964" s="20"/>
      <c r="W964" s="20"/>
      <c r="X964" s="20"/>
      <c r="Y964" s="20"/>
      <c r="Z964" s="20"/>
    </row>
    <row r="965" spans="2:26" ht="17.25" customHeight="1">
      <c r="B965" s="15"/>
      <c r="C965" s="15"/>
      <c r="D965" s="37"/>
      <c r="E965" s="58"/>
      <c r="F965" s="58"/>
      <c r="G965" s="58"/>
      <c r="H965" s="58"/>
      <c r="I965" s="58"/>
      <c r="J965" s="58"/>
      <c r="K965" s="31"/>
      <c r="L965" s="20"/>
      <c r="M965" s="20"/>
      <c r="N965" s="20"/>
      <c r="O965" s="20"/>
      <c r="P965" s="20"/>
      <c r="Q965" s="20"/>
      <c r="R965" s="20"/>
      <c r="S965" s="20"/>
      <c r="T965" s="20"/>
      <c r="U965" s="20"/>
      <c r="V965" s="20"/>
      <c r="W965" s="20"/>
      <c r="X965" s="20"/>
      <c r="Y965" s="20"/>
      <c r="Z965" s="20"/>
    </row>
    <row r="966" spans="2:26" ht="17.25" customHeight="1">
      <c r="B966" s="15"/>
      <c r="C966" s="15"/>
      <c r="D966" s="37"/>
      <c r="E966" s="58"/>
      <c r="F966" s="58"/>
      <c r="G966" s="58"/>
      <c r="H966" s="58"/>
      <c r="I966" s="58"/>
      <c r="J966" s="58"/>
      <c r="K966" s="31"/>
      <c r="L966" s="20"/>
      <c r="M966" s="20"/>
      <c r="N966" s="20"/>
      <c r="O966" s="20"/>
      <c r="P966" s="20"/>
      <c r="Q966" s="20"/>
      <c r="R966" s="20"/>
      <c r="S966" s="20"/>
      <c r="T966" s="20"/>
      <c r="U966" s="20"/>
      <c r="V966" s="20"/>
      <c r="W966" s="20"/>
      <c r="X966" s="20"/>
      <c r="Y966" s="20"/>
      <c r="Z966" s="20"/>
    </row>
    <row r="967" spans="2:26" ht="17.25" customHeight="1">
      <c r="B967" s="15"/>
      <c r="C967" s="15"/>
      <c r="D967" s="37"/>
      <c r="E967" s="58"/>
      <c r="F967" s="58"/>
      <c r="G967" s="58"/>
      <c r="H967" s="58"/>
      <c r="I967" s="58"/>
      <c r="J967" s="58"/>
      <c r="K967" s="31"/>
      <c r="L967" s="20"/>
      <c r="M967" s="20"/>
      <c r="N967" s="20"/>
      <c r="O967" s="20"/>
      <c r="P967" s="20"/>
      <c r="Q967" s="20"/>
      <c r="R967" s="20"/>
      <c r="S967" s="20"/>
      <c r="T967" s="20"/>
      <c r="U967" s="20"/>
      <c r="V967" s="20"/>
      <c r="W967" s="20"/>
      <c r="X967" s="20"/>
      <c r="Y967" s="20"/>
      <c r="Z967" s="20"/>
    </row>
    <row r="968" spans="2:26" ht="17.25" customHeight="1">
      <c r="B968" s="15"/>
      <c r="C968" s="15"/>
      <c r="D968" s="37"/>
      <c r="E968" s="58"/>
      <c r="F968" s="58"/>
      <c r="G968" s="58"/>
      <c r="H968" s="58"/>
      <c r="I968" s="58"/>
      <c r="J968" s="58"/>
      <c r="K968" s="31"/>
      <c r="L968" s="20"/>
      <c r="M968" s="20"/>
      <c r="N968" s="20"/>
      <c r="O968" s="20"/>
      <c r="P968" s="20"/>
      <c r="Q968" s="20"/>
      <c r="R968" s="20"/>
      <c r="S968" s="20"/>
      <c r="T968" s="20"/>
      <c r="U968" s="20"/>
      <c r="V968" s="20"/>
      <c r="W968" s="20"/>
      <c r="X968" s="20"/>
      <c r="Y968" s="20"/>
      <c r="Z968" s="20"/>
    </row>
    <row r="969" spans="2:26" ht="17.25" customHeight="1">
      <c r="B969" s="15"/>
      <c r="C969" s="15"/>
      <c r="D969" s="37"/>
      <c r="E969" s="58"/>
      <c r="F969" s="58"/>
      <c r="G969" s="58"/>
      <c r="H969" s="58"/>
      <c r="I969" s="58"/>
      <c r="J969" s="58"/>
      <c r="K969" s="31"/>
      <c r="L969" s="20"/>
      <c r="M969" s="20"/>
      <c r="N969" s="20"/>
      <c r="O969" s="20"/>
      <c r="P969" s="20"/>
      <c r="Q969" s="20"/>
      <c r="R969" s="20"/>
      <c r="S969" s="20"/>
      <c r="T969" s="20"/>
      <c r="U969" s="20"/>
      <c r="V969" s="20"/>
      <c r="W969" s="20"/>
      <c r="X969" s="20"/>
      <c r="Y969" s="20"/>
      <c r="Z969" s="20"/>
    </row>
    <row r="970" spans="2:26" ht="17.25" customHeight="1">
      <c r="B970" s="15"/>
      <c r="C970" s="15"/>
      <c r="D970" s="37"/>
      <c r="E970" s="58"/>
      <c r="F970" s="58"/>
      <c r="G970" s="58"/>
      <c r="H970" s="58"/>
      <c r="I970" s="58"/>
      <c r="J970" s="58"/>
      <c r="K970" s="31"/>
      <c r="L970" s="20"/>
      <c r="M970" s="20"/>
      <c r="N970" s="20"/>
      <c r="O970" s="20"/>
      <c r="P970" s="20"/>
      <c r="Q970" s="20"/>
      <c r="R970" s="20"/>
      <c r="S970" s="20"/>
      <c r="T970" s="20"/>
      <c r="U970" s="20"/>
      <c r="V970" s="20"/>
      <c r="W970" s="20"/>
      <c r="X970" s="20"/>
      <c r="Y970" s="20"/>
      <c r="Z970" s="20"/>
    </row>
    <row r="971" spans="2:26" ht="17.25" customHeight="1">
      <c r="B971" s="15"/>
      <c r="C971" s="15"/>
      <c r="D971" s="37"/>
      <c r="E971" s="58"/>
      <c r="F971" s="58"/>
      <c r="G971" s="58"/>
      <c r="H971" s="58"/>
      <c r="I971" s="58"/>
      <c r="J971" s="58"/>
      <c r="K971" s="31"/>
      <c r="L971" s="20"/>
      <c r="M971" s="20"/>
      <c r="N971" s="20"/>
      <c r="O971" s="20"/>
      <c r="P971" s="20"/>
      <c r="Q971" s="20"/>
      <c r="R971" s="20"/>
      <c r="S971" s="20"/>
      <c r="T971" s="20"/>
      <c r="U971" s="20"/>
      <c r="V971" s="20"/>
      <c r="W971" s="20"/>
      <c r="X971" s="20"/>
      <c r="Y971" s="20"/>
      <c r="Z971" s="20"/>
    </row>
    <row r="972" spans="2:26" ht="17.25" customHeight="1">
      <c r="B972" s="15"/>
      <c r="C972" s="15"/>
      <c r="D972" s="37"/>
      <c r="E972" s="58"/>
      <c r="F972" s="58"/>
      <c r="G972" s="58"/>
      <c r="H972" s="58"/>
      <c r="I972" s="58"/>
      <c r="J972" s="58"/>
      <c r="K972" s="31"/>
      <c r="L972" s="20"/>
      <c r="M972" s="20"/>
      <c r="N972" s="20"/>
      <c r="O972" s="20"/>
      <c r="P972" s="20"/>
      <c r="Q972" s="20"/>
      <c r="R972" s="20"/>
      <c r="S972" s="20"/>
      <c r="T972" s="20"/>
      <c r="U972" s="20"/>
      <c r="V972" s="20"/>
      <c r="W972" s="20"/>
      <c r="X972" s="20"/>
      <c r="Y972" s="20"/>
      <c r="Z972" s="20"/>
    </row>
    <row r="973" spans="2:26" ht="17.25" customHeight="1">
      <c r="B973" s="15"/>
      <c r="C973" s="15"/>
      <c r="D973" s="37"/>
      <c r="E973" s="58"/>
      <c r="F973" s="58"/>
      <c r="G973" s="58"/>
      <c r="H973" s="58"/>
      <c r="I973" s="58"/>
      <c r="J973" s="58"/>
      <c r="K973" s="31"/>
      <c r="L973" s="20"/>
      <c r="M973" s="20"/>
      <c r="N973" s="20"/>
      <c r="O973" s="20"/>
      <c r="P973" s="20"/>
      <c r="Q973" s="20"/>
      <c r="R973" s="20"/>
      <c r="S973" s="20"/>
      <c r="T973" s="20"/>
      <c r="U973" s="20"/>
      <c r="V973" s="20"/>
      <c r="W973" s="20"/>
      <c r="X973" s="20"/>
      <c r="Y973" s="20"/>
      <c r="Z973" s="20"/>
    </row>
    <row r="974" spans="2:26" ht="17.25" customHeight="1">
      <c r="B974" s="15"/>
      <c r="C974" s="15"/>
      <c r="D974" s="37"/>
      <c r="E974" s="58"/>
      <c r="F974" s="58"/>
      <c r="G974" s="58"/>
      <c r="H974" s="58"/>
      <c r="I974" s="58"/>
      <c r="J974" s="58"/>
      <c r="K974" s="31"/>
      <c r="L974" s="20"/>
      <c r="M974" s="20"/>
      <c r="N974" s="20"/>
      <c r="O974" s="20"/>
      <c r="P974" s="20"/>
      <c r="Q974" s="20"/>
      <c r="R974" s="20"/>
      <c r="S974" s="20"/>
      <c r="T974" s="20"/>
      <c r="U974" s="20"/>
      <c r="V974" s="20"/>
      <c r="W974" s="20"/>
      <c r="X974" s="20"/>
      <c r="Y974" s="20"/>
      <c r="Z974" s="20"/>
    </row>
    <row r="975" spans="2:26" ht="17.25" customHeight="1">
      <c r="B975" s="15"/>
      <c r="C975" s="15"/>
      <c r="D975" s="37"/>
      <c r="E975" s="58"/>
      <c r="F975" s="58"/>
      <c r="G975" s="58"/>
      <c r="H975" s="58"/>
      <c r="I975" s="58"/>
      <c r="J975" s="58"/>
      <c r="K975" s="31"/>
      <c r="L975" s="20"/>
      <c r="M975" s="20"/>
      <c r="N975" s="20"/>
      <c r="O975" s="20"/>
      <c r="P975" s="20"/>
      <c r="Q975" s="20"/>
      <c r="R975" s="20"/>
      <c r="S975" s="20"/>
      <c r="T975" s="20"/>
      <c r="U975" s="20"/>
      <c r="V975" s="20"/>
      <c r="W975" s="20"/>
      <c r="X975" s="20"/>
      <c r="Y975" s="20"/>
      <c r="Z975" s="20"/>
    </row>
    <row r="976" spans="2:26" ht="17.25" customHeight="1">
      <c r="B976" s="15"/>
      <c r="C976" s="15"/>
      <c r="D976" s="37"/>
      <c r="E976" s="58"/>
      <c r="F976" s="58"/>
      <c r="G976" s="58"/>
      <c r="H976" s="58"/>
      <c r="I976" s="58"/>
      <c r="J976" s="58"/>
      <c r="K976" s="31"/>
      <c r="L976" s="20"/>
      <c r="M976" s="20"/>
      <c r="N976" s="20"/>
      <c r="O976" s="20"/>
      <c r="P976" s="20"/>
      <c r="Q976" s="20"/>
      <c r="R976" s="20"/>
      <c r="S976" s="20"/>
      <c r="T976" s="20"/>
      <c r="U976" s="20"/>
      <c r="V976" s="20"/>
      <c r="W976" s="20"/>
      <c r="X976" s="20"/>
      <c r="Y976" s="20"/>
      <c r="Z976" s="20"/>
    </row>
    <row r="977" spans="2:26" ht="17.25" customHeight="1">
      <c r="B977" s="15"/>
      <c r="C977" s="15"/>
      <c r="D977" s="37"/>
      <c r="E977" s="58"/>
      <c r="F977" s="58"/>
      <c r="G977" s="58"/>
      <c r="H977" s="58"/>
      <c r="I977" s="58"/>
      <c r="J977" s="58"/>
      <c r="K977" s="31"/>
      <c r="L977" s="20"/>
      <c r="M977" s="20"/>
      <c r="N977" s="20"/>
      <c r="O977" s="20"/>
      <c r="P977" s="20"/>
      <c r="Q977" s="20"/>
      <c r="R977" s="20"/>
      <c r="S977" s="20"/>
      <c r="T977" s="20"/>
      <c r="U977" s="20"/>
      <c r="V977" s="20"/>
      <c r="W977" s="20"/>
      <c r="X977" s="20"/>
      <c r="Y977" s="20"/>
      <c r="Z977" s="20"/>
    </row>
    <row r="978" spans="2:26" ht="17.25" customHeight="1">
      <c r="B978" s="15"/>
      <c r="C978" s="15"/>
      <c r="D978" s="37"/>
      <c r="E978" s="58"/>
      <c r="F978" s="58"/>
      <c r="G978" s="58"/>
      <c r="H978" s="58"/>
      <c r="I978" s="58"/>
      <c r="J978" s="58"/>
      <c r="K978" s="31"/>
      <c r="L978" s="20"/>
      <c r="M978" s="20"/>
      <c r="N978" s="20"/>
      <c r="O978" s="20"/>
      <c r="P978" s="20"/>
      <c r="Q978" s="20"/>
      <c r="R978" s="20"/>
      <c r="S978" s="20"/>
      <c r="T978" s="20"/>
      <c r="U978" s="20"/>
      <c r="V978" s="20"/>
      <c r="W978" s="20"/>
      <c r="X978" s="20"/>
      <c r="Y978" s="20"/>
      <c r="Z978" s="20"/>
    </row>
    <row r="979" spans="2:26" ht="17.25" customHeight="1">
      <c r="B979" s="15"/>
      <c r="C979" s="15"/>
      <c r="D979" s="37"/>
      <c r="E979" s="58"/>
      <c r="F979" s="58"/>
      <c r="G979" s="58"/>
      <c r="H979" s="58"/>
      <c r="I979" s="58"/>
      <c r="J979" s="58"/>
      <c r="K979" s="31"/>
      <c r="L979" s="20"/>
      <c r="M979" s="20"/>
      <c r="N979" s="20"/>
      <c r="O979" s="20"/>
      <c r="P979" s="20"/>
      <c r="Q979" s="20"/>
      <c r="R979" s="20"/>
      <c r="S979" s="20"/>
      <c r="T979" s="20"/>
      <c r="U979" s="20"/>
      <c r="V979" s="20"/>
      <c r="W979" s="20"/>
      <c r="X979" s="20"/>
      <c r="Y979" s="20"/>
      <c r="Z979" s="20"/>
    </row>
    <row r="980" spans="2:26" ht="17.25" customHeight="1">
      <c r="B980" s="15"/>
      <c r="C980" s="15"/>
      <c r="D980" s="37"/>
      <c r="E980" s="58"/>
      <c r="F980" s="58"/>
      <c r="G980" s="58"/>
      <c r="H980" s="58"/>
      <c r="I980" s="58"/>
      <c r="J980" s="58"/>
      <c r="K980" s="31"/>
      <c r="L980" s="20"/>
      <c r="M980" s="20"/>
      <c r="N980" s="20"/>
      <c r="O980" s="20"/>
      <c r="P980" s="20"/>
      <c r="Q980" s="20"/>
      <c r="R980" s="20"/>
      <c r="S980" s="20"/>
      <c r="T980" s="20"/>
      <c r="U980" s="20"/>
      <c r="V980" s="20"/>
      <c r="W980" s="20"/>
      <c r="X980" s="20"/>
      <c r="Y980" s="20"/>
      <c r="Z980" s="20"/>
    </row>
    <row r="981" spans="2:26" ht="17.25" customHeight="1">
      <c r="B981" s="15"/>
      <c r="C981" s="15"/>
      <c r="D981" s="37"/>
      <c r="E981" s="58"/>
      <c r="F981" s="58"/>
      <c r="G981" s="58"/>
      <c r="H981" s="58"/>
      <c r="I981" s="58"/>
      <c r="J981" s="58"/>
      <c r="K981" s="31"/>
      <c r="L981" s="20"/>
      <c r="M981" s="20"/>
      <c r="N981" s="20"/>
      <c r="O981" s="20"/>
      <c r="P981" s="20"/>
      <c r="Q981" s="20"/>
      <c r="R981" s="20"/>
      <c r="S981" s="20"/>
      <c r="T981" s="20"/>
      <c r="U981" s="20"/>
      <c r="V981" s="20"/>
      <c r="W981" s="20"/>
      <c r="X981" s="20"/>
      <c r="Y981" s="20"/>
      <c r="Z981" s="20"/>
    </row>
    <row r="982" spans="2:26" ht="17.25" customHeight="1">
      <c r="B982" s="15"/>
      <c r="C982" s="15"/>
      <c r="D982" s="37"/>
      <c r="E982" s="58"/>
      <c r="F982" s="58"/>
      <c r="G982" s="58"/>
      <c r="H982" s="58"/>
      <c r="I982" s="58"/>
      <c r="J982" s="58"/>
      <c r="K982" s="31"/>
      <c r="L982" s="20"/>
      <c r="M982" s="20"/>
      <c r="N982" s="20"/>
      <c r="O982" s="20"/>
      <c r="P982" s="20"/>
      <c r="Q982" s="20"/>
      <c r="R982" s="20"/>
      <c r="S982" s="20"/>
      <c r="T982" s="20"/>
      <c r="U982" s="20"/>
      <c r="V982" s="20"/>
      <c r="W982" s="20"/>
      <c r="X982" s="20"/>
      <c r="Y982" s="20"/>
      <c r="Z982" s="20"/>
    </row>
    <row r="983" spans="2:26" ht="17.25" customHeight="1">
      <c r="B983" s="15"/>
      <c r="C983" s="15"/>
      <c r="D983" s="37"/>
      <c r="E983" s="58"/>
      <c r="F983" s="58"/>
      <c r="G983" s="58"/>
      <c r="H983" s="58"/>
      <c r="I983" s="58"/>
      <c r="J983" s="58"/>
      <c r="K983" s="31"/>
      <c r="L983" s="20"/>
      <c r="M983" s="20"/>
      <c r="N983" s="20"/>
      <c r="O983" s="20"/>
      <c r="P983" s="20"/>
      <c r="Q983" s="20"/>
      <c r="R983" s="20"/>
      <c r="S983" s="20"/>
      <c r="T983" s="20"/>
      <c r="U983" s="20"/>
      <c r="V983" s="20"/>
      <c r="W983" s="20"/>
      <c r="X983" s="20"/>
      <c r="Y983" s="20"/>
      <c r="Z983" s="20"/>
    </row>
    <row r="984" spans="2:26" ht="17.25" customHeight="1">
      <c r="B984" s="15"/>
      <c r="C984" s="15"/>
      <c r="D984" s="37"/>
      <c r="E984" s="58"/>
      <c r="F984" s="58"/>
      <c r="G984" s="58"/>
      <c r="H984" s="58"/>
      <c r="I984" s="58"/>
      <c r="J984" s="58"/>
      <c r="K984" s="31"/>
      <c r="L984" s="20"/>
      <c r="M984" s="20"/>
      <c r="N984" s="20"/>
      <c r="O984" s="20"/>
      <c r="P984" s="20"/>
      <c r="Q984" s="20"/>
      <c r="R984" s="20"/>
      <c r="S984" s="20"/>
      <c r="T984" s="20"/>
      <c r="U984" s="20"/>
      <c r="V984" s="20"/>
      <c r="W984" s="20"/>
      <c r="X984" s="20"/>
      <c r="Y984" s="20"/>
      <c r="Z984" s="20"/>
    </row>
    <row r="985" spans="2:26" ht="17.25" customHeight="1">
      <c r="B985" s="15"/>
      <c r="C985" s="15"/>
      <c r="D985" s="37"/>
      <c r="E985" s="58"/>
      <c r="F985" s="58"/>
      <c r="G985" s="58"/>
      <c r="H985" s="58"/>
      <c r="I985" s="58"/>
      <c r="J985" s="58"/>
      <c r="K985" s="31"/>
      <c r="L985" s="20"/>
      <c r="M985" s="20"/>
      <c r="N985" s="20"/>
      <c r="O985" s="20"/>
      <c r="P985" s="20"/>
      <c r="Q985" s="20"/>
      <c r="R985" s="20"/>
      <c r="S985" s="20"/>
      <c r="T985" s="20"/>
      <c r="U985" s="20"/>
      <c r="V985" s="20"/>
      <c r="W985" s="20"/>
      <c r="X985" s="20"/>
      <c r="Y985" s="20"/>
      <c r="Z985" s="20"/>
    </row>
    <row r="986" spans="2:26" ht="17.25" customHeight="1">
      <c r="B986" s="15"/>
      <c r="C986" s="15"/>
      <c r="D986" s="37"/>
      <c r="E986" s="58"/>
      <c r="F986" s="58"/>
      <c r="G986" s="58"/>
      <c r="H986" s="58"/>
      <c r="I986" s="58"/>
      <c r="J986" s="58"/>
      <c r="K986" s="31"/>
      <c r="L986" s="20"/>
      <c r="M986" s="20"/>
      <c r="N986" s="20"/>
      <c r="O986" s="20"/>
      <c r="P986" s="20"/>
      <c r="Q986" s="20"/>
      <c r="R986" s="20"/>
      <c r="S986" s="20"/>
      <c r="T986" s="20"/>
      <c r="U986" s="20"/>
      <c r="V986" s="20"/>
      <c r="W986" s="20"/>
      <c r="X986" s="20"/>
      <c r="Y986" s="20"/>
      <c r="Z986" s="20"/>
    </row>
    <row r="987" spans="2:26" ht="17.25" customHeight="1">
      <c r="B987" s="15"/>
      <c r="C987" s="15"/>
      <c r="D987" s="37"/>
      <c r="E987" s="58"/>
      <c r="F987" s="58"/>
      <c r="G987" s="58"/>
      <c r="H987" s="58"/>
      <c r="I987" s="58"/>
      <c r="J987" s="58"/>
      <c r="K987" s="31"/>
      <c r="L987" s="20"/>
      <c r="M987" s="20"/>
      <c r="N987" s="20"/>
      <c r="O987" s="20"/>
      <c r="P987" s="20"/>
      <c r="Q987" s="20"/>
      <c r="R987" s="20"/>
      <c r="S987" s="20"/>
      <c r="T987" s="20"/>
      <c r="U987" s="20"/>
      <c r="V987" s="20"/>
      <c r="W987" s="20"/>
      <c r="X987" s="20"/>
      <c r="Y987" s="20"/>
      <c r="Z987" s="20"/>
    </row>
    <row r="988" spans="2:26" ht="17.25" customHeight="1">
      <c r="B988" s="15"/>
      <c r="C988" s="15"/>
      <c r="D988" s="37"/>
      <c r="E988" s="58"/>
      <c r="F988" s="58"/>
      <c r="G988" s="58"/>
      <c r="H988" s="58"/>
      <c r="I988" s="58"/>
      <c r="J988" s="58"/>
      <c r="K988" s="31"/>
      <c r="L988" s="20"/>
      <c r="M988" s="20"/>
      <c r="N988" s="20"/>
      <c r="O988" s="20"/>
      <c r="P988" s="20"/>
      <c r="Q988" s="20"/>
      <c r="R988" s="20"/>
      <c r="S988" s="20"/>
      <c r="T988" s="20"/>
      <c r="U988" s="20"/>
      <c r="V988" s="20"/>
      <c r="W988" s="20"/>
      <c r="X988" s="20"/>
      <c r="Y988" s="20"/>
      <c r="Z988" s="20"/>
    </row>
    <row r="989" spans="2:26" ht="17.25" customHeight="1">
      <c r="B989" s="15"/>
      <c r="C989" s="15"/>
      <c r="D989" s="37"/>
      <c r="E989" s="58"/>
      <c r="F989" s="58"/>
      <c r="G989" s="58"/>
      <c r="H989" s="58"/>
      <c r="I989" s="58"/>
      <c r="J989" s="58"/>
      <c r="K989" s="31"/>
      <c r="L989" s="20"/>
      <c r="M989" s="20"/>
      <c r="N989" s="20"/>
      <c r="O989" s="20"/>
      <c r="P989" s="20"/>
      <c r="Q989" s="20"/>
      <c r="R989" s="20"/>
      <c r="S989" s="20"/>
      <c r="T989" s="20"/>
      <c r="U989" s="20"/>
      <c r="V989" s="20"/>
      <c r="W989" s="20"/>
      <c r="X989" s="20"/>
      <c r="Y989" s="20"/>
      <c r="Z989" s="20"/>
    </row>
    <row r="990" spans="2:26" ht="17.25" customHeight="1">
      <c r="B990" s="15"/>
      <c r="C990" s="15"/>
      <c r="D990" s="37"/>
      <c r="E990" s="58"/>
      <c r="F990" s="58"/>
      <c r="G990" s="58"/>
      <c r="H990" s="58"/>
      <c r="I990" s="58"/>
      <c r="J990" s="58"/>
      <c r="K990" s="31"/>
      <c r="L990" s="20"/>
      <c r="M990" s="20"/>
      <c r="N990" s="20"/>
      <c r="O990" s="20"/>
      <c r="P990" s="20"/>
      <c r="Q990" s="20"/>
      <c r="R990" s="20"/>
      <c r="S990" s="20"/>
      <c r="T990" s="20"/>
      <c r="U990" s="20"/>
      <c r="V990" s="20"/>
      <c r="W990" s="20"/>
      <c r="X990" s="20"/>
      <c r="Y990" s="20"/>
      <c r="Z990" s="20"/>
    </row>
    <row r="991" spans="2:26" ht="17.25" customHeight="1">
      <c r="B991" s="15"/>
      <c r="C991" s="15"/>
      <c r="D991" s="37"/>
      <c r="E991" s="58"/>
      <c r="F991" s="58"/>
      <c r="G991" s="58"/>
      <c r="H991" s="58"/>
      <c r="I991" s="58"/>
      <c r="J991" s="58"/>
      <c r="K991" s="31"/>
      <c r="L991" s="20"/>
      <c r="M991" s="20"/>
      <c r="N991" s="20"/>
      <c r="O991" s="20"/>
      <c r="P991" s="20"/>
      <c r="Q991" s="20"/>
      <c r="R991" s="20"/>
      <c r="S991" s="20"/>
      <c r="T991" s="20"/>
      <c r="U991" s="20"/>
      <c r="V991" s="20"/>
      <c r="W991" s="20"/>
      <c r="X991" s="20"/>
      <c r="Y991" s="20"/>
      <c r="Z991" s="20"/>
    </row>
    <row r="992" spans="2:26" ht="17.25" customHeight="1">
      <c r="B992" s="15"/>
      <c r="C992" s="15"/>
      <c r="D992" s="37"/>
      <c r="E992" s="58"/>
      <c r="F992" s="58"/>
      <c r="G992" s="58"/>
      <c r="H992" s="58"/>
      <c r="I992" s="58"/>
      <c r="J992" s="58"/>
      <c r="K992" s="31"/>
      <c r="L992" s="20"/>
      <c r="M992" s="20"/>
      <c r="N992" s="20"/>
      <c r="O992" s="20"/>
      <c r="P992" s="20"/>
      <c r="Q992" s="20"/>
      <c r="R992" s="20"/>
      <c r="S992" s="20"/>
      <c r="T992" s="20"/>
      <c r="U992" s="20"/>
      <c r="V992" s="20"/>
      <c r="W992" s="20"/>
      <c r="X992" s="20"/>
      <c r="Y992" s="20"/>
      <c r="Z992" s="20"/>
    </row>
    <row r="993" spans="2:26" ht="17.25" customHeight="1">
      <c r="B993" s="15"/>
      <c r="C993" s="15"/>
      <c r="D993" s="37"/>
      <c r="E993" s="58"/>
      <c r="F993" s="58"/>
      <c r="G993" s="58"/>
      <c r="H993" s="58"/>
      <c r="I993" s="58"/>
      <c r="J993" s="58"/>
      <c r="K993" s="31"/>
      <c r="L993" s="20"/>
      <c r="M993" s="20"/>
      <c r="N993" s="20"/>
      <c r="O993" s="20"/>
      <c r="P993" s="20"/>
      <c r="Q993" s="20"/>
      <c r="R993" s="20"/>
      <c r="S993" s="20"/>
      <c r="T993" s="20"/>
      <c r="U993" s="20"/>
      <c r="V993" s="20"/>
      <c r="W993" s="20"/>
      <c r="X993" s="20"/>
      <c r="Y993" s="20"/>
      <c r="Z993" s="20"/>
    </row>
    <row r="994" spans="2:26" ht="17.25" customHeight="1">
      <c r="B994" s="15"/>
      <c r="C994" s="15"/>
      <c r="D994" s="37"/>
      <c r="E994" s="58"/>
      <c r="F994" s="58"/>
      <c r="G994" s="58"/>
      <c r="H994" s="58"/>
      <c r="I994" s="58"/>
      <c r="J994" s="58"/>
      <c r="K994" s="31"/>
      <c r="L994" s="20"/>
      <c r="M994" s="20"/>
      <c r="N994" s="20"/>
      <c r="O994" s="20"/>
      <c r="P994" s="20"/>
      <c r="Q994" s="20"/>
      <c r="R994" s="20"/>
      <c r="S994" s="20"/>
      <c r="T994" s="20"/>
      <c r="U994" s="20"/>
      <c r="V994" s="20"/>
      <c r="W994" s="20"/>
      <c r="X994" s="20"/>
      <c r="Y994" s="20"/>
      <c r="Z994" s="20"/>
    </row>
    <row r="995" spans="2:26" ht="17.25" customHeight="1">
      <c r="B995" s="15"/>
      <c r="C995" s="15"/>
      <c r="D995" s="37"/>
      <c r="E995" s="58"/>
      <c r="F995" s="58"/>
      <c r="G995" s="58"/>
      <c r="H995" s="58"/>
      <c r="I995" s="58"/>
      <c r="J995" s="58"/>
      <c r="K995" s="31"/>
      <c r="L995" s="20"/>
      <c r="M995" s="20"/>
      <c r="N995" s="20"/>
      <c r="O995" s="20"/>
      <c r="P995" s="20"/>
      <c r="Q995" s="20"/>
      <c r="R995" s="20"/>
      <c r="S995" s="20"/>
      <c r="T995" s="20"/>
      <c r="U995" s="20"/>
      <c r="V995" s="20"/>
      <c r="W995" s="20"/>
      <c r="X995" s="20"/>
      <c r="Y995" s="20"/>
      <c r="Z995" s="20"/>
    </row>
    <row r="996" spans="2:26" ht="17.25" customHeight="1">
      <c r="B996" s="15"/>
      <c r="C996" s="15"/>
      <c r="D996" s="37"/>
      <c r="E996" s="58"/>
      <c r="F996" s="58"/>
      <c r="G996" s="58"/>
      <c r="H996" s="58"/>
      <c r="I996" s="58"/>
      <c r="J996" s="58"/>
      <c r="K996" s="31"/>
      <c r="L996" s="20"/>
      <c r="M996" s="20"/>
      <c r="N996" s="20"/>
      <c r="O996" s="20"/>
      <c r="P996" s="20"/>
      <c r="Q996" s="20"/>
      <c r="R996" s="20"/>
      <c r="S996" s="20"/>
      <c r="T996" s="20"/>
      <c r="U996" s="20"/>
      <c r="V996" s="20"/>
      <c r="W996" s="20"/>
      <c r="X996" s="20"/>
      <c r="Y996" s="20"/>
      <c r="Z996" s="20"/>
    </row>
    <row r="997" spans="2:26" ht="17.25" customHeight="1">
      <c r="B997" s="15"/>
      <c r="C997" s="15"/>
      <c r="D997" s="37"/>
      <c r="E997" s="58"/>
      <c r="F997" s="58"/>
      <c r="G997" s="58"/>
      <c r="H997" s="58"/>
      <c r="I997" s="58"/>
      <c r="J997" s="58"/>
      <c r="K997" s="31"/>
      <c r="L997" s="20"/>
      <c r="M997" s="20"/>
      <c r="N997" s="20"/>
      <c r="O997" s="20"/>
      <c r="P997" s="20"/>
      <c r="Q997" s="20"/>
      <c r="R997" s="20"/>
      <c r="S997" s="20"/>
      <c r="T997" s="20"/>
      <c r="U997" s="20"/>
      <c r="V997" s="20"/>
      <c r="W997" s="20"/>
      <c r="X997" s="20"/>
      <c r="Y997" s="20"/>
      <c r="Z997" s="20"/>
    </row>
    <row r="998" spans="2:26" ht="17.25" customHeight="1">
      <c r="B998" s="15"/>
      <c r="C998" s="15"/>
      <c r="D998" s="37"/>
      <c r="E998" s="58"/>
      <c r="F998" s="58"/>
      <c r="G998" s="58"/>
      <c r="H998" s="58"/>
      <c r="I998" s="58"/>
      <c r="J998" s="58"/>
      <c r="K998" s="31"/>
      <c r="L998" s="20"/>
      <c r="M998" s="20"/>
      <c r="N998" s="20"/>
      <c r="O998" s="20"/>
      <c r="P998" s="20"/>
      <c r="Q998" s="20"/>
      <c r="R998" s="20"/>
      <c r="S998" s="20"/>
      <c r="T998" s="20"/>
      <c r="U998" s="20"/>
      <c r="V998" s="20"/>
      <c r="W998" s="20"/>
      <c r="X998" s="20"/>
      <c r="Y998" s="20"/>
      <c r="Z998" s="20"/>
    </row>
    <row r="999" spans="2:26" ht="17.25" customHeight="1">
      <c r="B999" s="15"/>
      <c r="C999" s="15"/>
      <c r="D999" s="37"/>
      <c r="E999" s="58"/>
      <c r="F999" s="58"/>
      <c r="G999" s="58"/>
      <c r="H999" s="58"/>
      <c r="I999" s="58"/>
      <c r="J999" s="58"/>
      <c r="K999" s="31"/>
      <c r="L999" s="20"/>
      <c r="M999" s="20"/>
      <c r="N999" s="20"/>
      <c r="O999" s="20"/>
      <c r="P999" s="20"/>
      <c r="Q999" s="20"/>
      <c r="R999" s="20"/>
      <c r="S999" s="20"/>
      <c r="T999" s="20"/>
      <c r="U999" s="20"/>
      <c r="V999" s="20"/>
      <c r="W999" s="20"/>
      <c r="X999" s="20"/>
      <c r="Y999" s="20"/>
      <c r="Z999" s="20"/>
    </row>
    <row r="1000" spans="2:26" ht="17.25" customHeight="1">
      <c r="B1000" s="15"/>
      <c r="C1000" s="15"/>
      <c r="D1000" s="37"/>
      <c r="E1000" s="58"/>
      <c r="F1000" s="58"/>
      <c r="G1000" s="58"/>
      <c r="H1000" s="58"/>
      <c r="I1000" s="58"/>
      <c r="J1000" s="58"/>
      <c r="K1000" s="31"/>
      <c r="L1000" s="20"/>
      <c r="M1000" s="20"/>
      <c r="N1000" s="20"/>
      <c r="O1000" s="20"/>
      <c r="P1000" s="20"/>
      <c r="Q1000" s="20"/>
      <c r="R1000" s="20"/>
      <c r="S1000" s="20"/>
      <c r="T1000" s="20"/>
      <c r="U1000" s="20"/>
      <c r="V1000" s="20"/>
      <c r="W1000" s="20"/>
      <c r="X1000" s="20"/>
      <c r="Y1000" s="20"/>
      <c r="Z1000" s="20"/>
    </row>
  </sheetData>
  <conditionalFormatting sqref="B3:D21">
    <cfRule type="containsBlanks" dxfId="45" priority="1">
      <formula>LEN(TRIM(B3))=0</formula>
    </cfRule>
  </conditionalFormatting>
  <conditionalFormatting sqref="B307:D1000">
    <cfRule type="containsBlanks" dxfId="44" priority="2">
      <formula>LEN(TRIM(B307))=0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F00-000000000000}">
          <x14:formula1>
            <xm:f>Year_schedules!$A$3:$A$1048576</xm:f>
          </x14:formula1>
          <xm:sqref>C3:C21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sheetPr>
  <dimension ref="A1:Z1000"/>
  <sheetViews>
    <sheetView workbookViewId="0">
      <selection activeCell="B11" sqref="B11"/>
    </sheetView>
  </sheetViews>
  <sheetFormatPr baseColWidth="10" defaultColWidth="11.28515625" defaultRowHeight="15" customHeight="1"/>
  <cols>
    <col min="1" max="1" width="51.42578125" customWidth="1"/>
    <col min="2" max="6" width="43.85546875" customWidth="1"/>
    <col min="7" max="26" width="8.85546875" customWidth="1"/>
  </cols>
  <sheetData>
    <row r="1" spans="1:26" ht="45.75" customHeight="1">
      <c r="A1" s="48" t="s">
        <v>4814</v>
      </c>
      <c r="B1" s="229" t="s">
        <v>5035</v>
      </c>
      <c r="C1" s="226"/>
      <c r="D1" s="226"/>
      <c r="E1" s="226"/>
      <c r="F1" s="226"/>
      <c r="G1" s="20"/>
      <c r="H1" s="20"/>
      <c r="I1" s="20"/>
      <c r="J1" s="20"/>
      <c r="K1" s="20"/>
      <c r="L1" s="20"/>
      <c r="M1" s="20"/>
      <c r="N1" s="20"/>
      <c r="O1" s="20"/>
      <c r="P1" s="20"/>
      <c r="Q1" s="20"/>
      <c r="R1" s="20"/>
      <c r="S1" s="20"/>
      <c r="T1" s="20"/>
      <c r="U1" s="20"/>
      <c r="V1" s="20"/>
      <c r="W1" s="20"/>
      <c r="X1" s="20"/>
      <c r="Y1" s="20"/>
      <c r="Z1" s="20"/>
    </row>
    <row r="2" spans="1:26" ht="17.25" customHeight="1">
      <c r="A2" s="41" t="s">
        <v>4832</v>
      </c>
      <c r="B2" s="42" t="s">
        <v>144</v>
      </c>
      <c r="C2" s="42" t="s">
        <v>82</v>
      </c>
      <c r="D2" s="42" t="s">
        <v>81</v>
      </c>
      <c r="E2" s="42" t="s">
        <v>168</v>
      </c>
      <c r="F2" s="42" t="s">
        <v>5036</v>
      </c>
      <c r="G2" s="20"/>
      <c r="H2" s="20"/>
      <c r="I2" s="20"/>
      <c r="J2" s="20"/>
      <c r="K2" s="20"/>
      <c r="L2" s="20"/>
      <c r="M2" s="20"/>
      <c r="N2" s="20"/>
      <c r="O2" s="20"/>
      <c r="P2" s="20"/>
      <c r="Q2" s="20"/>
      <c r="R2" s="20"/>
      <c r="S2" s="20"/>
      <c r="T2" s="20"/>
      <c r="U2" s="20"/>
      <c r="V2" s="20"/>
      <c r="W2" s="20"/>
      <c r="X2" s="20"/>
      <c r="Y2" s="20"/>
      <c r="Z2" s="20"/>
    </row>
    <row r="3" spans="1:26" ht="17.25" customHeight="1">
      <c r="A3" s="66"/>
      <c r="B3" s="15"/>
      <c r="C3" s="66"/>
      <c r="D3" s="15"/>
      <c r="E3" s="15"/>
      <c r="F3" s="15"/>
      <c r="G3" s="20"/>
      <c r="H3" s="20"/>
      <c r="I3" s="20"/>
      <c r="J3" s="20"/>
      <c r="K3" s="20"/>
      <c r="L3" s="20"/>
      <c r="M3" s="20"/>
      <c r="N3" s="20"/>
      <c r="O3" s="20"/>
      <c r="P3" s="20"/>
      <c r="Q3" s="20"/>
      <c r="R3" s="20"/>
      <c r="S3" s="20"/>
      <c r="T3" s="20"/>
      <c r="U3" s="20"/>
      <c r="V3" s="20"/>
      <c r="W3" s="20"/>
      <c r="X3" s="20"/>
      <c r="Y3" s="20"/>
      <c r="Z3" s="20"/>
    </row>
    <row r="4" spans="1:26" ht="17.25" customHeight="1">
      <c r="A4" s="66"/>
      <c r="B4" s="15"/>
      <c r="C4" s="66"/>
      <c r="D4" s="15"/>
      <c r="E4" s="15"/>
      <c r="F4" s="15"/>
      <c r="G4" s="20"/>
      <c r="H4" s="20"/>
      <c r="I4" s="20"/>
      <c r="J4" s="20"/>
      <c r="K4" s="20"/>
      <c r="L4" s="20"/>
      <c r="M4" s="20"/>
      <c r="N4" s="20"/>
      <c r="O4" s="20"/>
      <c r="P4" s="20"/>
      <c r="Q4" s="20"/>
      <c r="R4" s="20"/>
      <c r="S4" s="20"/>
      <c r="T4" s="20"/>
      <c r="U4" s="20"/>
      <c r="V4" s="20"/>
      <c r="W4" s="20"/>
      <c r="X4" s="20"/>
      <c r="Y4" s="20"/>
      <c r="Z4" s="20"/>
    </row>
    <row r="5" spans="1:26" ht="17.25" customHeight="1">
      <c r="A5" s="66"/>
      <c r="B5" s="15"/>
      <c r="C5" s="66"/>
      <c r="D5" s="15"/>
      <c r="E5" s="15"/>
      <c r="F5" s="15"/>
      <c r="G5" s="20"/>
      <c r="H5" s="20"/>
      <c r="I5" s="20"/>
      <c r="J5" s="20"/>
      <c r="K5" s="20"/>
      <c r="L5" s="20"/>
      <c r="M5" s="20"/>
      <c r="N5" s="20"/>
      <c r="O5" s="20"/>
      <c r="P5" s="20"/>
      <c r="Q5" s="20"/>
      <c r="R5" s="20"/>
      <c r="S5" s="20"/>
      <c r="T5" s="20"/>
      <c r="U5" s="20"/>
      <c r="V5" s="20"/>
      <c r="W5" s="20"/>
      <c r="X5" s="20"/>
      <c r="Y5" s="20"/>
      <c r="Z5" s="20"/>
    </row>
    <row r="6" spans="1:26" ht="17.25" customHeight="1">
      <c r="A6" s="66"/>
      <c r="B6" s="15"/>
      <c r="C6" s="66"/>
      <c r="D6" s="15"/>
      <c r="E6" s="15"/>
      <c r="F6" s="15"/>
      <c r="G6" s="20"/>
      <c r="H6" s="20"/>
      <c r="I6" s="20"/>
      <c r="J6" s="20"/>
      <c r="K6" s="20"/>
      <c r="L6" s="20"/>
      <c r="M6" s="20"/>
      <c r="N6" s="20"/>
      <c r="O6" s="20"/>
      <c r="P6" s="20"/>
      <c r="Q6" s="20"/>
      <c r="R6" s="20"/>
      <c r="S6" s="20"/>
      <c r="T6" s="20"/>
      <c r="U6" s="20"/>
      <c r="V6" s="20"/>
      <c r="W6" s="20"/>
      <c r="X6" s="20"/>
      <c r="Y6" s="20"/>
      <c r="Z6" s="20"/>
    </row>
    <row r="7" spans="1:26" ht="17.25" customHeight="1">
      <c r="A7" s="66"/>
      <c r="B7" s="15"/>
      <c r="C7" s="66"/>
      <c r="D7" s="15"/>
      <c r="E7" s="15"/>
      <c r="F7" s="15"/>
      <c r="G7" s="20"/>
      <c r="H7" s="20"/>
      <c r="I7" s="20"/>
      <c r="J7" s="20"/>
      <c r="K7" s="20"/>
      <c r="L7" s="20"/>
      <c r="M7" s="20"/>
      <c r="N7" s="20"/>
      <c r="O7" s="20"/>
      <c r="P7" s="20"/>
      <c r="Q7" s="20"/>
      <c r="R7" s="20"/>
      <c r="S7" s="20"/>
      <c r="T7" s="20"/>
      <c r="U7" s="20"/>
      <c r="V7" s="20"/>
      <c r="W7" s="20"/>
      <c r="X7" s="20"/>
      <c r="Y7" s="20"/>
      <c r="Z7" s="20"/>
    </row>
    <row r="8" spans="1:26" ht="17.25" customHeight="1">
      <c r="A8" s="66"/>
      <c r="B8" s="15"/>
      <c r="C8" s="66"/>
      <c r="D8" s="15"/>
      <c r="E8" s="15"/>
      <c r="F8" s="15"/>
      <c r="G8" s="20"/>
      <c r="H8" s="20"/>
      <c r="I8" s="20"/>
      <c r="J8" s="20"/>
      <c r="K8" s="20"/>
      <c r="L8" s="20"/>
      <c r="M8" s="20"/>
      <c r="N8" s="20"/>
      <c r="O8" s="20"/>
      <c r="P8" s="20"/>
      <c r="Q8" s="20"/>
      <c r="R8" s="20"/>
      <c r="S8" s="20"/>
      <c r="T8" s="20"/>
      <c r="U8" s="20"/>
      <c r="V8" s="20"/>
      <c r="W8" s="20"/>
      <c r="X8" s="20"/>
      <c r="Y8" s="20"/>
      <c r="Z8" s="20"/>
    </row>
    <row r="9" spans="1:26" ht="17.25" customHeight="1">
      <c r="A9" s="66"/>
      <c r="B9" s="15"/>
      <c r="C9" s="66"/>
      <c r="D9" s="15"/>
      <c r="E9" s="15"/>
      <c r="F9" s="15"/>
      <c r="G9" s="20"/>
      <c r="H9" s="20"/>
      <c r="I9" s="20"/>
      <c r="J9" s="20"/>
      <c r="K9" s="20"/>
      <c r="L9" s="20"/>
      <c r="M9" s="20"/>
      <c r="N9" s="20"/>
      <c r="O9" s="20"/>
      <c r="P9" s="20"/>
      <c r="Q9" s="20"/>
      <c r="R9" s="20"/>
      <c r="S9" s="20"/>
      <c r="T9" s="20"/>
      <c r="U9" s="20"/>
      <c r="V9" s="20"/>
      <c r="W9" s="20"/>
      <c r="X9" s="20"/>
      <c r="Y9" s="20"/>
      <c r="Z9" s="20"/>
    </row>
    <row r="10" spans="1:26" ht="17.25" customHeight="1">
      <c r="A10" s="66"/>
      <c r="B10" s="15"/>
      <c r="C10" s="66"/>
      <c r="D10" s="15"/>
      <c r="E10" s="15"/>
      <c r="F10" s="15"/>
      <c r="G10" s="20"/>
      <c r="H10" s="20"/>
      <c r="I10" s="20"/>
      <c r="J10" s="20"/>
      <c r="K10" s="20"/>
      <c r="L10" s="20"/>
      <c r="M10" s="20"/>
      <c r="N10" s="20"/>
      <c r="O10" s="20"/>
      <c r="P10" s="20"/>
      <c r="Q10" s="20"/>
      <c r="R10" s="20"/>
      <c r="S10" s="20"/>
      <c r="T10" s="20"/>
      <c r="U10" s="20"/>
      <c r="V10" s="20"/>
      <c r="W10" s="20"/>
      <c r="X10" s="20"/>
      <c r="Y10" s="20"/>
      <c r="Z10" s="20"/>
    </row>
    <row r="11" spans="1:26" ht="17.25" customHeight="1">
      <c r="A11" s="66"/>
      <c r="B11" s="15"/>
      <c r="C11" s="66"/>
      <c r="D11" s="15"/>
      <c r="E11" s="15"/>
      <c r="F11" s="15"/>
      <c r="G11" s="20"/>
      <c r="H11" s="20"/>
      <c r="I11" s="20"/>
      <c r="J11" s="20"/>
      <c r="K11" s="20"/>
      <c r="L11" s="20"/>
      <c r="M11" s="20"/>
      <c r="N11" s="20"/>
      <c r="O11" s="20"/>
      <c r="P11" s="20"/>
      <c r="Q11" s="20"/>
      <c r="R11" s="20"/>
      <c r="S11" s="20"/>
      <c r="T11" s="20"/>
      <c r="U11" s="20"/>
      <c r="V11" s="20"/>
      <c r="W11" s="20"/>
      <c r="X11" s="20"/>
      <c r="Y11" s="20"/>
      <c r="Z11" s="20"/>
    </row>
    <row r="12" spans="1:26" ht="17.25" customHeight="1">
      <c r="A12" s="66"/>
      <c r="B12" s="15"/>
      <c r="C12" s="66"/>
      <c r="D12" s="15"/>
      <c r="E12" s="15"/>
      <c r="F12" s="15"/>
      <c r="G12" s="20"/>
      <c r="H12" s="20"/>
      <c r="I12" s="20"/>
      <c r="J12" s="20"/>
      <c r="K12" s="20"/>
      <c r="L12" s="20"/>
      <c r="M12" s="20"/>
      <c r="N12" s="20"/>
      <c r="O12" s="20"/>
      <c r="P12" s="20"/>
      <c r="Q12" s="20"/>
      <c r="R12" s="20"/>
      <c r="S12" s="20"/>
      <c r="T12" s="20"/>
      <c r="U12" s="20"/>
      <c r="V12" s="20"/>
      <c r="W12" s="20"/>
      <c r="X12" s="20"/>
      <c r="Y12" s="20"/>
      <c r="Z12" s="20"/>
    </row>
    <row r="13" spans="1:26" ht="17.25" customHeight="1">
      <c r="A13" s="66"/>
      <c r="B13" s="15"/>
      <c r="C13" s="66"/>
      <c r="D13" s="15"/>
      <c r="E13" s="15"/>
      <c r="F13" s="15"/>
      <c r="G13" s="20"/>
      <c r="H13" s="20"/>
      <c r="I13" s="20"/>
      <c r="J13" s="20"/>
      <c r="K13" s="20"/>
      <c r="L13" s="20"/>
      <c r="M13" s="20"/>
      <c r="N13" s="20"/>
      <c r="O13" s="20"/>
      <c r="P13" s="20"/>
      <c r="Q13" s="20"/>
      <c r="R13" s="20"/>
      <c r="S13" s="20"/>
      <c r="T13" s="20"/>
      <c r="U13" s="20"/>
      <c r="V13" s="20"/>
      <c r="W13" s="20"/>
      <c r="X13" s="20"/>
      <c r="Y13" s="20"/>
      <c r="Z13" s="20"/>
    </row>
    <row r="14" spans="1:26" ht="17.25" customHeight="1">
      <c r="A14" s="66"/>
      <c r="B14" s="15"/>
      <c r="C14" s="66"/>
      <c r="D14" s="15"/>
      <c r="E14" s="15"/>
      <c r="F14" s="15"/>
      <c r="G14" s="20"/>
      <c r="H14" s="20"/>
      <c r="I14" s="20"/>
      <c r="J14" s="20"/>
      <c r="K14" s="20"/>
      <c r="L14" s="20"/>
      <c r="M14" s="20"/>
      <c r="N14" s="20"/>
      <c r="O14" s="20"/>
      <c r="P14" s="20"/>
      <c r="Q14" s="20"/>
      <c r="R14" s="20"/>
      <c r="S14" s="20"/>
      <c r="T14" s="20"/>
      <c r="U14" s="20"/>
      <c r="V14" s="20"/>
      <c r="W14" s="20"/>
      <c r="X14" s="20"/>
      <c r="Y14" s="20"/>
      <c r="Z14" s="20"/>
    </row>
    <row r="15" spans="1:26" ht="17.25" customHeight="1">
      <c r="A15" s="66"/>
      <c r="B15" s="15"/>
      <c r="C15" s="66"/>
      <c r="D15" s="15"/>
      <c r="E15" s="15"/>
      <c r="F15" s="15"/>
      <c r="G15" s="20"/>
      <c r="H15" s="20"/>
      <c r="I15" s="20"/>
      <c r="J15" s="20"/>
      <c r="K15" s="20"/>
      <c r="L15" s="20"/>
      <c r="M15" s="20"/>
      <c r="N15" s="20"/>
      <c r="O15" s="20"/>
      <c r="P15" s="20"/>
      <c r="Q15" s="20"/>
      <c r="R15" s="20"/>
      <c r="S15" s="20"/>
      <c r="T15" s="20"/>
      <c r="U15" s="20"/>
      <c r="V15" s="20"/>
      <c r="W15" s="20"/>
      <c r="X15" s="20"/>
      <c r="Y15" s="20"/>
      <c r="Z15" s="20"/>
    </row>
    <row r="16" spans="1:26" ht="17.25" customHeight="1">
      <c r="A16" s="66"/>
      <c r="B16" s="15"/>
      <c r="C16" s="66"/>
      <c r="D16" s="15"/>
      <c r="E16" s="15"/>
      <c r="F16" s="15"/>
      <c r="G16" s="20"/>
      <c r="H16" s="20"/>
      <c r="I16" s="20"/>
      <c r="J16" s="20"/>
      <c r="K16" s="20"/>
      <c r="L16" s="20"/>
      <c r="M16" s="20"/>
      <c r="N16" s="20"/>
      <c r="O16" s="20"/>
      <c r="P16" s="20"/>
      <c r="Q16" s="20"/>
      <c r="R16" s="20"/>
      <c r="S16" s="20"/>
      <c r="T16" s="20"/>
      <c r="U16" s="20"/>
      <c r="V16" s="20"/>
      <c r="W16" s="20"/>
      <c r="X16" s="20"/>
      <c r="Y16" s="20"/>
      <c r="Z16" s="20"/>
    </row>
    <row r="17" spans="1:26" ht="17.25" customHeight="1">
      <c r="A17" s="66"/>
      <c r="B17" s="15"/>
      <c r="C17" s="66"/>
      <c r="D17" s="15"/>
      <c r="E17" s="15"/>
      <c r="F17" s="15"/>
      <c r="G17" s="20"/>
      <c r="H17" s="20"/>
      <c r="I17" s="20"/>
      <c r="J17" s="20"/>
      <c r="K17" s="20"/>
      <c r="L17" s="20"/>
      <c r="M17" s="20"/>
      <c r="N17" s="20"/>
      <c r="O17" s="20"/>
      <c r="P17" s="20"/>
      <c r="Q17" s="20"/>
      <c r="R17" s="20"/>
      <c r="S17" s="20"/>
      <c r="T17" s="20"/>
      <c r="U17" s="20"/>
      <c r="V17" s="20"/>
      <c r="W17" s="20"/>
      <c r="X17" s="20"/>
      <c r="Y17" s="20"/>
      <c r="Z17" s="20"/>
    </row>
    <row r="18" spans="1:26" ht="17.25" customHeight="1">
      <c r="A18" s="66"/>
      <c r="B18" s="15"/>
      <c r="C18" s="66"/>
      <c r="D18" s="15"/>
      <c r="E18" s="15"/>
      <c r="F18" s="15"/>
      <c r="G18" s="20"/>
      <c r="H18" s="20"/>
      <c r="I18" s="20"/>
      <c r="J18" s="20"/>
      <c r="K18" s="20"/>
      <c r="L18" s="20"/>
      <c r="M18" s="20"/>
      <c r="N18" s="20"/>
      <c r="O18" s="20"/>
      <c r="P18" s="20"/>
      <c r="Q18" s="20"/>
      <c r="R18" s="20"/>
      <c r="S18" s="20"/>
      <c r="T18" s="20"/>
      <c r="U18" s="20"/>
      <c r="V18" s="20"/>
      <c r="W18" s="20"/>
      <c r="X18" s="20"/>
      <c r="Y18" s="20"/>
      <c r="Z18" s="20"/>
    </row>
    <row r="19" spans="1:26" ht="17.25" customHeight="1">
      <c r="A19" s="66"/>
      <c r="B19" s="15"/>
      <c r="C19" s="66"/>
      <c r="D19" s="15"/>
      <c r="E19" s="15"/>
      <c r="F19" s="15"/>
      <c r="G19" s="20"/>
      <c r="H19" s="20"/>
      <c r="I19" s="20"/>
      <c r="J19" s="20"/>
      <c r="K19" s="20"/>
      <c r="L19" s="20"/>
      <c r="M19" s="20"/>
      <c r="N19" s="20"/>
      <c r="O19" s="20"/>
      <c r="P19" s="20"/>
      <c r="Q19" s="20"/>
      <c r="R19" s="20"/>
      <c r="S19" s="20"/>
      <c r="T19" s="20"/>
      <c r="U19" s="20"/>
      <c r="V19" s="20"/>
      <c r="W19" s="20"/>
      <c r="X19" s="20"/>
      <c r="Y19" s="20"/>
      <c r="Z19" s="20"/>
    </row>
    <row r="20" spans="1:26" ht="17.25" customHeight="1">
      <c r="A20" s="66"/>
      <c r="B20" s="15"/>
      <c r="C20" s="66"/>
      <c r="D20" s="15"/>
      <c r="E20" s="15"/>
      <c r="F20" s="15"/>
      <c r="G20" s="20"/>
      <c r="H20" s="20"/>
      <c r="I20" s="20"/>
      <c r="J20" s="20"/>
      <c r="K20" s="20"/>
      <c r="L20" s="20"/>
      <c r="M20" s="20"/>
      <c r="N20" s="20"/>
      <c r="O20" s="20"/>
      <c r="P20" s="20"/>
      <c r="Q20" s="20"/>
      <c r="R20" s="20"/>
      <c r="S20" s="20"/>
      <c r="T20" s="20"/>
      <c r="U20" s="20"/>
      <c r="V20" s="20"/>
      <c r="W20" s="20"/>
      <c r="X20" s="20"/>
      <c r="Y20" s="20"/>
      <c r="Z20" s="20"/>
    </row>
    <row r="21" spans="1:26" ht="17.25" customHeight="1">
      <c r="A21" s="66"/>
      <c r="B21" s="15"/>
      <c r="C21" s="66"/>
      <c r="D21" s="15"/>
      <c r="E21" s="15"/>
      <c r="F21" s="15"/>
      <c r="G21" s="20"/>
      <c r="H21" s="20"/>
      <c r="I21" s="20"/>
      <c r="J21" s="20"/>
      <c r="K21" s="20"/>
      <c r="L21" s="20"/>
      <c r="M21" s="20"/>
      <c r="N21" s="20"/>
      <c r="O21" s="20"/>
      <c r="P21" s="20"/>
      <c r="Q21" s="20"/>
      <c r="R21" s="20"/>
      <c r="S21" s="20"/>
      <c r="T21" s="20"/>
      <c r="U21" s="20"/>
      <c r="V21" s="20"/>
      <c r="W21" s="20"/>
      <c r="X21" s="20"/>
      <c r="Y21" s="20"/>
      <c r="Z21" s="20"/>
    </row>
    <row r="22" spans="1:26" ht="17.25" customHeight="1">
      <c r="A22" s="66"/>
      <c r="B22" s="15"/>
      <c r="C22" s="66"/>
      <c r="D22" s="15"/>
      <c r="E22" s="15"/>
      <c r="F22" s="15"/>
      <c r="G22" s="20"/>
      <c r="H22" s="20"/>
      <c r="I22" s="20"/>
      <c r="J22" s="20"/>
      <c r="K22" s="20"/>
      <c r="L22" s="20"/>
      <c r="M22" s="20"/>
      <c r="N22" s="20"/>
      <c r="O22" s="20"/>
      <c r="P22" s="20"/>
      <c r="Q22" s="20"/>
      <c r="R22" s="20"/>
      <c r="S22" s="20"/>
      <c r="T22" s="20"/>
      <c r="U22" s="20"/>
      <c r="V22" s="20"/>
      <c r="W22" s="20"/>
      <c r="X22" s="20"/>
      <c r="Y22" s="20"/>
      <c r="Z22" s="20"/>
    </row>
    <row r="23" spans="1:26" ht="17.25" customHeight="1">
      <c r="A23" s="66"/>
      <c r="B23" s="15"/>
      <c r="C23" s="66"/>
      <c r="D23" s="15"/>
      <c r="E23" s="15"/>
      <c r="F23" s="15"/>
      <c r="G23" s="20"/>
      <c r="H23" s="20"/>
      <c r="I23" s="20"/>
      <c r="J23" s="20"/>
      <c r="K23" s="20"/>
      <c r="L23" s="20"/>
      <c r="M23" s="20"/>
      <c r="N23" s="20"/>
      <c r="O23" s="20"/>
      <c r="P23" s="20"/>
      <c r="Q23" s="20"/>
      <c r="R23" s="20"/>
      <c r="S23" s="20"/>
      <c r="T23" s="20"/>
      <c r="U23" s="20"/>
      <c r="V23" s="20"/>
      <c r="W23" s="20"/>
      <c r="X23" s="20"/>
      <c r="Y23" s="20"/>
      <c r="Z23" s="20"/>
    </row>
    <row r="24" spans="1:26" ht="17.25" customHeight="1">
      <c r="A24" s="66"/>
      <c r="B24" s="15"/>
      <c r="C24" s="66"/>
      <c r="D24" s="15"/>
      <c r="E24" s="15"/>
      <c r="F24" s="15"/>
      <c r="G24" s="20"/>
      <c r="H24" s="20"/>
      <c r="I24" s="20"/>
      <c r="J24" s="20"/>
      <c r="K24" s="20"/>
      <c r="L24" s="20"/>
      <c r="M24" s="20"/>
      <c r="N24" s="20"/>
      <c r="O24" s="20"/>
      <c r="P24" s="20"/>
      <c r="Q24" s="20"/>
      <c r="R24" s="20"/>
      <c r="S24" s="20"/>
      <c r="T24" s="20"/>
      <c r="U24" s="20"/>
      <c r="V24" s="20"/>
      <c r="W24" s="20"/>
      <c r="X24" s="20"/>
      <c r="Y24" s="20"/>
      <c r="Z24" s="20"/>
    </row>
    <row r="25" spans="1:26" ht="17.25" customHeight="1">
      <c r="A25" s="66"/>
      <c r="B25" s="15"/>
      <c r="C25" s="66"/>
      <c r="D25" s="15"/>
      <c r="E25" s="15"/>
      <c r="F25" s="15"/>
      <c r="G25" s="20"/>
      <c r="H25" s="20"/>
      <c r="I25" s="20"/>
      <c r="J25" s="20"/>
      <c r="K25" s="20"/>
      <c r="L25" s="20"/>
      <c r="M25" s="20"/>
      <c r="N25" s="20"/>
      <c r="O25" s="20"/>
      <c r="P25" s="20"/>
      <c r="Q25" s="20"/>
      <c r="R25" s="20"/>
      <c r="S25" s="20"/>
      <c r="T25" s="20"/>
      <c r="U25" s="20"/>
      <c r="V25" s="20"/>
      <c r="W25" s="20"/>
      <c r="X25" s="20"/>
      <c r="Y25" s="20"/>
      <c r="Z25" s="20"/>
    </row>
    <row r="26" spans="1:26" ht="17.25" customHeight="1">
      <c r="A26" s="66"/>
      <c r="B26" s="15"/>
      <c r="C26" s="66"/>
      <c r="D26" s="15"/>
      <c r="E26" s="15"/>
      <c r="F26" s="15"/>
      <c r="G26" s="20"/>
      <c r="H26" s="20"/>
      <c r="I26" s="20"/>
      <c r="J26" s="20"/>
      <c r="K26" s="20"/>
      <c r="L26" s="20"/>
      <c r="M26" s="20"/>
      <c r="N26" s="20"/>
      <c r="O26" s="20"/>
      <c r="P26" s="20"/>
      <c r="Q26" s="20"/>
      <c r="R26" s="20"/>
      <c r="S26" s="20"/>
      <c r="T26" s="20"/>
      <c r="U26" s="20"/>
      <c r="V26" s="20"/>
      <c r="W26" s="20"/>
      <c r="X26" s="20"/>
      <c r="Y26" s="20"/>
      <c r="Z26" s="20"/>
    </row>
    <row r="27" spans="1:26" ht="17.25" customHeight="1">
      <c r="A27" s="66"/>
      <c r="B27" s="15"/>
      <c r="C27" s="66"/>
      <c r="D27" s="15"/>
      <c r="E27" s="15"/>
      <c r="F27" s="15"/>
      <c r="G27" s="20"/>
      <c r="H27" s="20"/>
      <c r="I27" s="20"/>
      <c r="J27" s="20"/>
      <c r="K27" s="20"/>
      <c r="L27" s="20"/>
      <c r="M27" s="20"/>
      <c r="N27" s="20"/>
      <c r="O27" s="20"/>
      <c r="P27" s="20"/>
      <c r="Q27" s="20"/>
      <c r="R27" s="20"/>
      <c r="S27" s="20"/>
      <c r="T27" s="20"/>
      <c r="U27" s="20"/>
      <c r="V27" s="20"/>
      <c r="W27" s="20"/>
      <c r="X27" s="20"/>
      <c r="Y27" s="20"/>
      <c r="Z27" s="20"/>
    </row>
    <row r="28" spans="1:26" ht="17.25" customHeight="1">
      <c r="A28" s="66"/>
      <c r="B28" s="15"/>
      <c r="C28" s="66"/>
      <c r="D28" s="15"/>
      <c r="E28" s="15"/>
      <c r="F28" s="15"/>
      <c r="G28" s="20"/>
      <c r="H28" s="20"/>
      <c r="I28" s="20"/>
      <c r="J28" s="20"/>
      <c r="K28" s="20"/>
      <c r="L28" s="20"/>
      <c r="M28" s="20"/>
      <c r="N28" s="20"/>
      <c r="O28" s="20"/>
      <c r="P28" s="20"/>
      <c r="Q28" s="20"/>
      <c r="R28" s="20"/>
      <c r="S28" s="20"/>
      <c r="T28" s="20"/>
      <c r="U28" s="20"/>
      <c r="V28" s="20"/>
      <c r="W28" s="20"/>
      <c r="X28" s="20"/>
      <c r="Y28" s="20"/>
      <c r="Z28" s="20"/>
    </row>
    <row r="29" spans="1:26" ht="17.25" customHeight="1">
      <c r="A29" s="66"/>
      <c r="B29" s="15"/>
      <c r="C29" s="66"/>
      <c r="D29" s="15"/>
      <c r="E29" s="15"/>
      <c r="F29" s="15"/>
      <c r="G29" s="20"/>
      <c r="H29" s="20"/>
      <c r="I29" s="20"/>
      <c r="J29" s="20"/>
      <c r="K29" s="20"/>
      <c r="L29" s="20"/>
      <c r="M29" s="20"/>
      <c r="N29" s="20"/>
      <c r="O29" s="20"/>
      <c r="P29" s="20"/>
      <c r="Q29" s="20"/>
      <c r="R29" s="20"/>
      <c r="S29" s="20"/>
      <c r="T29" s="20"/>
      <c r="U29" s="20"/>
      <c r="V29" s="20"/>
      <c r="W29" s="20"/>
      <c r="X29" s="20"/>
      <c r="Y29" s="20"/>
      <c r="Z29" s="20"/>
    </row>
    <row r="30" spans="1:26" ht="17.25" customHeight="1">
      <c r="A30" s="66"/>
      <c r="B30" s="15"/>
      <c r="C30" s="66"/>
      <c r="D30" s="15"/>
      <c r="E30" s="15"/>
      <c r="F30" s="15"/>
      <c r="G30" s="20"/>
      <c r="H30" s="20"/>
      <c r="I30" s="20"/>
      <c r="J30" s="20"/>
      <c r="K30" s="20"/>
      <c r="L30" s="20"/>
      <c r="M30" s="20"/>
      <c r="N30" s="20"/>
      <c r="O30" s="20"/>
      <c r="P30" s="20"/>
      <c r="Q30" s="20"/>
      <c r="R30" s="20"/>
      <c r="S30" s="20"/>
      <c r="T30" s="20"/>
      <c r="U30" s="20"/>
      <c r="V30" s="20"/>
      <c r="W30" s="20"/>
      <c r="X30" s="20"/>
      <c r="Y30" s="20"/>
      <c r="Z30" s="20"/>
    </row>
    <row r="31" spans="1:26" ht="17.25" customHeight="1">
      <c r="A31" s="66"/>
      <c r="B31" s="15"/>
      <c r="C31" s="66"/>
      <c r="D31" s="15"/>
      <c r="E31" s="15"/>
      <c r="F31" s="15"/>
      <c r="G31" s="20"/>
      <c r="H31" s="20"/>
      <c r="I31" s="20"/>
      <c r="J31" s="20"/>
      <c r="K31" s="20"/>
      <c r="L31" s="20"/>
      <c r="M31" s="20"/>
      <c r="N31" s="20"/>
      <c r="O31" s="20"/>
      <c r="P31" s="20"/>
      <c r="Q31" s="20"/>
      <c r="R31" s="20"/>
      <c r="S31" s="20"/>
      <c r="T31" s="20"/>
      <c r="U31" s="20"/>
      <c r="V31" s="20"/>
      <c r="W31" s="20"/>
      <c r="X31" s="20"/>
      <c r="Y31" s="20"/>
      <c r="Z31" s="20"/>
    </row>
    <row r="32" spans="1:26" ht="17.25" customHeight="1">
      <c r="A32" s="66"/>
      <c r="B32" s="15"/>
      <c r="C32" s="66"/>
      <c r="D32" s="15"/>
      <c r="E32" s="15"/>
      <c r="F32" s="15"/>
      <c r="G32" s="20"/>
      <c r="H32" s="20"/>
      <c r="I32" s="20"/>
      <c r="J32" s="20"/>
      <c r="K32" s="20"/>
      <c r="L32" s="20"/>
      <c r="M32" s="20"/>
      <c r="N32" s="20"/>
      <c r="O32" s="20"/>
      <c r="P32" s="20"/>
      <c r="Q32" s="20"/>
      <c r="R32" s="20"/>
      <c r="S32" s="20"/>
      <c r="T32" s="20"/>
      <c r="U32" s="20"/>
      <c r="V32" s="20"/>
      <c r="W32" s="20"/>
      <c r="X32" s="20"/>
      <c r="Y32" s="20"/>
      <c r="Z32" s="20"/>
    </row>
    <row r="33" spans="1:26" ht="17.25" customHeight="1">
      <c r="A33" s="66"/>
      <c r="B33" s="15"/>
      <c r="C33" s="66"/>
      <c r="D33" s="15"/>
      <c r="E33" s="15"/>
      <c r="F33" s="15"/>
      <c r="G33" s="20"/>
      <c r="H33" s="20"/>
      <c r="I33" s="20"/>
      <c r="J33" s="20"/>
      <c r="K33" s="20"/>
      <c r="L33" s="20"/>
      <c r="M33" s="20"/>
      <c r="N33" s="20"/>
      <c r="O33" s="20"/>
      <c r="P33" s="20"/>
      <c r="Q33" s="20"/>
      <c r="R33" s="20"/>
      <c r="S33" s="20"/>
      <c r="T33" s="20"/>
      <c r="U33" s="20"/>
      <c r="V33" s="20"/>
      <c r="W33" s="20"/>
      <c r="X33" s="20"/>
      <c r="Y33" s="20"/>
      <c r="Z33" s="20"/>
    </row>
    <row r="34" spans="1:26" ht="17.25" customHeight="1">
      <c r="A34" s="66"/>
      <c r="B34" s="15"/>
      <c r="C34" s="66"/>
      <c r="D34" s="15"/>
      <c r="E34" s="15"/>
      <c r="F34" s="15"/>
      <c r="G34" s="20"/>
      <c r="H34" s="20"/>
      <c r="I34" s="20"/>
      <c r="J34" s="20"/>
      <c r="K34" s="20"/>
      <c r="L34" s="20"/>
      <c r="M34" s="20"/>
      <c r="N34" s="20"/>
      <c r="O34" s="20"/>
      <c r="P34" s="20"/>
      <c r="Q34" s="20"/>
      <c r="R34" s="20"/>
      <c r="S34" s="20"/>
      <c r="T34" s="20"/>
      <c r="U34" s="20"/>
      <c r="V34" s="20"/>
      <c r="W34" s="20"/>
      <c r="X34" s="20"/>
      <c r="Y34" s="20"/>
      <c r="Z34" s="20"/>
    </row>
    <row r="35" spans="1:26" ht="17.25" customHeight="1">
      <c r="A35" s="66"/>
      <c r="B35" s="15"/>
      <c r="C35" s="66"/>
      <c r="D35" s="15"/>
      <c r="E35" s="15"/>
      <c r="F35" s="15"/>
      <c r="G35" s="20"/>
      <c r="H35" s="20"/>
      <c r="I35" s="20"/>
      <c r="J35" s="20"/>
      <c r="K35" s="20"/>
      <c r="L35" s="20"/>
      <c r="M35" s="20"/>
      <c r="N35" s="20"/>
      <c r="O35" s="20"/>
      <c r="P35" s="20"/>
      <c r="Q35" s="20"/>
      <c r="R35" s="20"/>
      <c r="S35" s="20"/>
      <c r="T35" s="20"/>
      <c r="U35" s="20"/>
      <c r="V35" s="20"/>
      <c r="W35" s="20"/>
      <c r="X35" s="20"/>
      <c r="Y35" s="20"/>
      <c r="Z35" s="20"/>
    </row>
    <row r="36" spans="1:26" ht="17.25" customHeight="1">
      <c r="A36" s="66"/>
      <c r="B36" s="15"/>
      <c r="C36" s="66"/>
      <c r="D36" s="15"/>
      <c r="E36" s="15"/>
      <c r="F36" s="15"/>
      <c r="G36" s="20"/>
      <c r="H36" s="20"/>
      <c r="I36" s="20"/>
      <c r="J36" s="20"/>
      <c r="K36" s="20"/>
      <c r="L36" s="20"/>
      <c r="M36" s="20"/>
      <c r="N36" s="20"/>
      <c r="O36" s="20"/>
      <c r="P36" s="20"/>
      <c r="Q36" s="20"/>
      <c r="R36" s="20"/>
      <c r="S36" s="20"/>
      <c r="T36" s="20"/>
      <c r="U36" s="20"/>
      <c r="V36" s="20"/>
      <c r="W36" s="20"/>
      <c r="X36" s="20"/>
      <c r="Y36" s="20"/>
      <c r="Z36" s="20"/>
    </row>
    <row r="37" spans="1:26" ht="17.25" customHeight="1">
      <c r="A37" s="66"/>
      <c r="B37" s="15"/>
      <c r="C37" s="66"/>
      <c r="D37" s="15"/>
      <c r="E37" s="15"/>
      <c r="F37" s="15"/>
      <c r="G37" s="20"/>
      <c r="H37" s="20"/>
      <c r="I37" s="20"/>
      <c r="J37" s="20"/>
      <c r="K37" s="20"/>
      <c r="L37" s="20"/>
      <c r="M37" s="20"/>
      <c r="N37" s="20"/>
      <c r="O37" s="20"/>
      <c r="P37" s="20"/>
      <c r="Q37" s="20"/>
      <c r="R37" s="20"/>
      <c r="S37" s="20"/>
      <c r="T37" s="20"/>
      <c r="U37" s="20"/>
      <c r="V37" s="20"/>
      <c r="W37" s="20"/>
      <c r="X37" s="20"/>
      <c r="Y37" s="20"/>
      <c r="Z37" s="20"/>
    </row>
    <row r="38" spans="1:26" ht="17.25" customHeight="1">
      <c r="A38" s="66"/>
      <c r="B38" s="15"/>
      <c r="C38" s="66"/>
      <c r="D38" s="15"/>
      <c r="E38" s="15"/>
      <c r="F38" s="15"/>
      <c r="G38" s="20"/>
      <c r="H38" s="20"/>
      <c r="I38" s="20"/>
      <c r="J38" s="20"/>
      <c r="K38" s="20"/>
      <c r="L38" s="20"/>
      <c r="M38" s="20"/>
      <c r="N38" s="20"/>
      <c r="O38" s="20"/>
      <c r="P38" s="20"/>
      <c r="Q38" s="20"/>
      <c r="R38" s="20"/>
      <c r="S38" s="20"/>
      <c r="T38" s="20"/>
      <c r="U38" s="20"/>
      <c r="V38" s="20"/>
      <c r="W38" s="20"/>
      <c r="X38" s="20"/>
      <c r="Y38" s="20"/>
      <c r="Z38" s="20"/>
    </row>
    <row r="39" spans="1:26" ht="17.25" customHeight="1">
      <c r="A39" s="66"/>
      <c r="B39" s="15"/>
      <c r="C39" s="66"/>
      <c r="D39" s="15"/>
      <c r="E39" s="15"/>
      <c r="F39" s="15"/>
      <c r="G39" s="20"/>
      <c r="H39" s="20"/>
      <c r="I39" s="20"/>
      <c r="J39" s="20"/>
      <c r="K39" s="20"/>
      <c r="L39" s="20"/>
      <c r="M39" s="20"/>
      <c r="N39" s="20"/>
      <c r="O39" s="20"/>
      <c r="P39" s="20"/>
      <c r="Q39" s="20"/>
      <c r="R39" s="20"/>
      <c r="S39" s="20"/>
      <c r="T39" s="20"/>
      <c r="U39" s="20"/>
      <c r="V39" s="20"/>
      <c r="W39" s="20"/>
      <c r="X39" s="20"/>
      <c r="Y39" s="20"/>
      <c r="Z39" s="20"/>
    </row>
    <row r="40" spans="1:26" ht="17.25" customHeight="1">
      <c r="A40" s="66"/>
      <c r="B40" s="15"/>
      <c r="C40" s="66"/>
      <c r="D40" s="15"/>
      <c r="E40" s="15"/>
      <c r="F40" s="15"/>
      <c r="G40" s="20"/>
      <c r="H40" s="20"/>
      <c r="I40" s="20"/>
      <c r="J40" s="20"/>
      <c r="K40" s="20"/>
      <c r="L40" s="20"/>
      <c r="M40" s="20"/>
      <c r="N40" s="20"/>
      <c r="O40" s="20"/>
      <c r="P40" s="20"/>
      <c r="Q40" s="20"/>
      <c r="R40" s="20"/>
      <c r="S40" s="20"/>
      <c r="T40" s="20"/>
      <c r="U40" s="20"/>
      <c r="V40" s="20"/>
      <c r="W40" s="20"/>
      <c r="X40" s="20"/>
      <c r="Y40" s="20"/>
      <c r="Z40" s="20"/>
    </row>
    <row r="41" spans="1:26" ht="17.25" customHeight="1">
      <c r="A41" s="66"/>
      <c r="B41" s="15"/>
      <c r="C41" s="66"/>
      <c r="D41" s="15"/>
      <c r="E41" s="15"/>
      <c r="F41" s="15"/>
      <c r="G41" s="20"/>
      <c r="H41" s="20"/>
      <c r="I41" s="20"/>
      <c r="J41" s="20"/>
      <c r="K41" s="20"/>
      <c r="L41" s="20"/>
      <c r="M41" s="20"/>
      <c r="N41" s="20"/>
      <c r="O41" s="20"/>
      <c r="P41" s="20"/>
      <c r="Q41" s="20"/>
      <c r="R41" s="20"/>
      <c r="S41" s="20"/>
      <c r="T41" s="20"/>
      <c r="U41" s="20"/>
      <c r="V41" s="20"/>
      <c r="W41" s="20"/>
      <c r="X41" s="20"/>
      <c r="Y41" s="20"/>
      <c r="Z41" s="20"/>
    </row>
    <row r="42" spans="1:26" ht="17.25" customHeight="1">
      <c r="A42" s="66"/>
      <c r="B42" s="15"/>
      <c r="C42" s="66"/>
      <c r="D42" s="15"/>
      <c r="E42" s="15"/>
      <c r="F42" s="15"/>
      <c r="G42" s="20"/>
      <c r="H42" s="20"/>
      <c r="I42" s="20"/>
      <c r="J42" s="20"/>
      <c r="K42" s="20"/>
      <c r="L42" s="20"/>
      <c r="M42" s="20"/>
      <c r="N42" s="20"/>
      <c r="O42" s="20"/>
      <c r="P42" s="20"/>
      <c r="Q42" s="20"/>
      <c r="R42" s="20"/>
      <c r="S42" s="20"/>
      <c r="T42" s="20"/>
      <c r="U42" s="20"/>
      <c r="V42" s="20"/>
      <c r="W42" s="20"/>
      <c r="X42" s="20"/>
      <c r="Y42" s="20"/>
      <c r="Z42" s="20"/>
    </row>
    <row r="43" spans="1:26" ht="17.25" customHeight="1">
      <c r="A43" s="66"/>
      <c r="B43" s="15"/>
      <c r="C43" s="66"/>
      <c r="D43" s="15"/>
      <c r="E43" s="15"/>
      <c r="F43" s="15"/>
      <c r="G43" s="20"/>
      <c r="H43" s="20"/>
      <c r="I43" s="20"/>
      <c r="J43" s="20"/>
      <c r="K43" s="20"/>
      <c r="L43" s="20"/>
      <c r="M43" s="20"/>
      <c r="N43" s="20"/>
      <c r="O43" s="20"/>
      <c r="P43" s="20"/>
      <c r="Q43" s="20"/>
      <c r="R43" s="20"/>
      <c r="S43" s="20"/>
      <c r="T43" s="20"/>
      <c r="U43" s="20"/>
      <c r="V43" s="20"/>
      <c r="W43" s="20"/>
      <c r="X43" s="20"/>
      <c r="Y43" s="20"/>
      <c r="Z43" s="20"/>
    </row>
    <row r="44" spans="1:26" ht="17.25" customHeight="1">
      <c r="A44" s="66"/>
      <c r="B44" s="15"/>
      <c r="C44" s="66"/>
      <c r="D44" s="15"/>
      <c r="E44" s="15"/>
      <c r="F44" s="15"/>
      <c r="G44" s="20"/>
      <c r="H44" s="20"/>
      <c r="I44" s="20"/>
      <c r="J44" s="20"/>
      <c r="K44" s="20"/>
      <c r="L44" s="20"/>
      <c r="M44" s="20"/>
      <c r="N44" s="20"/>
      <c r="O44" s="20"/>
      <c r="P44" s="20"/>
      <c r="Q44" s="20"/>
      <c r="R44" s="20"/>
      <c r="S44" s="20"/>
      <c r="T44" s="20"/>
      <c r="U44" s="20"/>
      <c r="V44" s="20"/>
      <c r="W44" s="20"/>
      <c r="X44" s="20"/>
      <c r="Y44" s="20"/>
      <c r="Z44" s="20"/>
    </row>
    <row r="45" spans="1:26" ht="17.25" customHeight="1">
      <c r="A45" s="66"/>
      <c r="B45" s="15"/>
      <c r="C45" s="66"/>
      <c r="D45" s="15"/>
      <c r="E45" s="15"/>
      <c r="F45" s="15"/>
      <c r="G45" s="20"/>
      <c r="H45" s="20"/>
      <c r="I45" s="20"/>
      <c r="J45" s="20"/>
      <c r="K45" s="20"/>
      <c r="L45" s="20"/>
      <c r="M45" s="20"/>
      <c r="N45" s="20"/>
      <c r="O45" s="20"/>
      <c r="P45" s="20"/>
      <c r="Q45" s="20"/>
      <c r="R45" s="20"/>
      <c r="S45" s="20"/>
      <c r="T45" s="20"/>
      <c r="U45" s="20"/>
      <c r="V45" s="20"/>
      <c r="W45" s="20"/>
      <c r="X45" s="20"/>
      <c r="Y45" s="20"/>
      <c r="Z45" s="20"/>
    </row>
    <row r="46" spans="1:26" ht="17.25" customHeight="1">
      <c r="A46" s="66"/>
      <c r="B46" s="15"/>
      <c r="C46" s="66"/>
      <c r="D46" s="15"/>
      <c r="E46" s="15"/>
      <c r="F46" s="15"/>
      <c r="G46" s="20"/>
      <c r="H46" s="20"/>
      <c r="I46" s="20"/>
      <c r="J46" s="20"/>
      <c r="K46" s="20"/>
      <c r="L46" s="20"/>
      <c r="M46" s="20"/>
      <c r="N46" s="20"/>
      <c r="O46" s="20"/>
      <c r="P46" s="20"/>
      <c r="Q46" s="20"/>
      <c r="R46" s="20"/>
      <c r="S46" s="20"/>
      <c r="T46" s="20"/>
      <c r="U46" s="20"/>
      <c r="V46" s="20"/>
      <c r="W46" s="20"/>
      <c r="X46" s="20"/>
      <c r="Y46" s="20"/>
      <c r="Z46" s="20"/>
    </row>
    <row r="47" spans="1:26" ht="17.25" customHeight="1">
      <c r="A47" s="66"/>
      <c r="B47" s="15"/>
      <c r="C47" s="66"/>
      <c r="D47" s="15"/>
      <c r="E47" s="15"/>
      <c r="F47" s="15"/>
      <c r="G47" s="20"/>
      <c r="H47" s="20"/>
      <c r="I47" s="20"/>
      <c r="J47" s="20"/>
      <c r="K47" s="20"/>
      <c r="L47" s="20"/>
      <c r="M47" s="20"/>
      <c r="N47" s="20"/>
      <c r="O47" s="20"/>
      <c r="P47" s="20"/>
      <c r="Q47" s="20"/>
      <c r="R47" s="20"/>
      <c r="S47" s="20"/>
      <c r="T47" s="20"/>
      <c r="U47" s="20"/>
      <c r="V47" s="20"/>
      <c r="W47" s="20"/>
      <c r="X47" s="20"/>
      <c r="Y47" s="20"/>
      <c r="Z47" s="20"/>
    </row>
    <row r="48" spans="1:26" ht="17.25" customHeight="1">
      <c r="A48" s="66"/>
      <c r="B48" s="15"/>
      <c r="C48" s="66"/>
      <c r="D48" s="15"/>
      <c r="E48" s="15"/>
      <c r="F48" s="15"/>
      <c r="G48" s="20"/>
      <c r="H48" s="20"/>
      <c r="I48" s="20"/>
      <c r="J48" s="20"/>
      <c r="K48" s="20"/>
      <c r="L48" s="20"/>
      <c r="M48" s="20"/>
      <c r="N48" s="20"/>
      <c r="O48" s="20"/>
      <c r="P48" s="20"/>
      <c r="Q48" s="20"/>
      <c r="R48" s="20"/>
      <c r="S48" s="20"/>
      <c r="T48" s="20"/>
      <c r="U48" s="20"/>
      <c r="V48" s="20"/>
      <c r="W48" s="20"/>
      <c r="X48" s="20"/>
      <c r="Y48" s="20"/>
      <c r="Z48" s="20"/>
    </row>
    <row r="49" spans="1:26" ht="17.25" customHeight="1">
      <c r="A49" s="66"/>
      <c r="B49" s="15"/>
      <c r="C49" s="66"/>
      <c r="D49" s="15"/>
      <c r="E49" s="15"/>
      <c r="F49" s="15"/>
      <c r="G49" s="20"/>
      <c r="H49" s="20"/>
      <c r="I49" s="20"/>
      <c r="J49" s="20"/>
      <c r="K49" s="20"/>
      <c r="L49" s="20"/>
      <c r="M49" s="20"/>
      <c r="N49" s="20"/>
      <c r="O49" s="20"/>
      <c r="P49" s="20"/>
      <c r="Q49" s="20"/>
      <c r="R49" s="20"/>
      <c r="S49" s="20"/>
      <c r="T49" s="20"/>
      <c r="U49" s="20"/>
      <c r="V49" s="20"/>
      <c r="W49" s="20"/>
      <c r="X49" s="20"/>
      <c r="Y49" s="20"/>
      <c r="Z49" s="20"/>
    </row>
    <row r="50" spans="1:26" ht="17.25" customHeight="1">
      <c r="A50" s="66"/>
      <c r="B50" s="15"/>
      <c r="C50" s="66"/>
      <c r="D50" s="15"/>
      <c r="E50" s="15"/>
      <c r="F50" s="15"/>
      <c r="G50" s="20"/>
      <c r="H50" s="20"/>
      <c r="I50" s="20"/>
      <c r="J50" s="20"/>
      <c r="K50" s="20"/>
      <c r="L50" s="20"/>
      <c r="M50" s="20"/>
      <c r="N50" s="20"/>
      <c r="O50" s="20"/>
      <c r="P50" s="20"/>
      <c r="Q50" s="20"/>
      <c r="R50" s="20"/>
      <c r="S50" s="20"/>
      <c r="T50" s="20"/>
      <c r="U50" s="20"/>
      <c r="V50" s="20"/>
      <c r="W50" s="20"/>
      <c r="X50" s="20"/>
      <c r="Y50" s="20"/>
      <c r="Z50" s="20"/>
    </row>
    <row r="51" spans="1:26" ht="17.25" customHeight="1">
      <c r="A51" s="66"/>
      <c r="B51" s="15"/>
      <c r="C51" s="66"/>
      <c r="D51" s="15"/>
      <c r="E51" s="15"/>
      <c r="F51" s="15"/>
      <c r="G51" s="20"/>
      <c r="H51" s="20"/>
      <c r="I51" s="20"/>
      <c r="J51" s="20"/>
      <c r="K51" s="20"/>
      <c r="L51" s="20"/>
      <c r="M51" s="20"/>
      <c r="N51" s="20"/>
      <c r="O51" s="20"/>
      <c r="P51" s="20"/>
      <c r="Q51" s="20"/>
      <c r="R51" s="20"/>
      <c r="S51" s="20"/>
      <c r="T51" s="20"/>
      <c r="U51" s="20"/>
      <c r="V51" s="20"/>
      <c r="W51" s="20"/>
      <c r="X51" s="20"/>
      <c r="Y51" s="20"/>
      <c r="Z51" s="20"/>
    </row>
    <row r="52" spans="1:26" ht="17.25" customHeight="1">
      <c r="A52" s="66"/>
      <c r="B52" s="15"/>
      <c r="C52" s="66"/>
      <c r="D52" s="15"/>
      <c r="E52" s="15"/>
      <c r="F52" s="15"/>
      <c r="G52" s="20"/>
      <c r="H52" s="20"/>
      <c r="I52" s="20"/>
      <c r="J52" s="20"/>
      <c r="K52" s="20"/>
      <c r="L52" s="20"/>
      <c r="M52" s="20"/>
      <c r="N52" s="20"/>
      <c r="O52" s="20"/>
      <c r="P52" s="20"/>
      <c r="Q52" s="20"/>
      <c r="R52" s="20"/>
      <c r="S52" s="20"/>
      <c r="T52" s="20"/>
      <c r="U52" s="20"/>
      <c r="V52" s="20"/>
      <c r="W52" s="20"/>
      <c r="X52" s="20"/>
      <c r="Y52" s="20"/>
      <c r="Z52" s="20"/>
    </row>
    <row r="53" spans="1:26" ht="17.25" customHeight="1">
      <c r="A53" s="66"/>
      <c r="B53" s="15"/>
      <c r="C53" s="66"/>
      <c r="D53" s="15"/>
      <c r="E53" s="15"/>
      <c r="F53" s="15"/>
      <c r="G53" s="20"/>
      <c r="H53" s="20"/>
      <c r="I53" s="20"/>
      <c r="J53" s="20"/>
      <c r="K53" s="20"/>
      <c r="L53" s="20"/>
      <c r="M53" s="20"/>
      <c r="N53" s="20"/>
      <c r="O53" s="20"/>
      <c r="P53" s="20"/>
      <c r="Q53" s="20"/>
      <c r="R53" s="20"/>
      <c r="S53" s="20"/>
      <c r="T53" s="20"/>
      <c r="U53" s="20"/>
      <c r="V53" s="20"/>
      <c r="W53" s="20"/>
      <c r="X53" s="20"/>
      <c r="Y53" s="20"/>
      <c r="Z53" s="20"/>
    </row>
    <row r="54" spans="1:26" ht="17.25" customHeight="1">
      <c r="A54" s="66"/>
      <c r="B54" s="15"/>
      <c r="C54" s="66"/>
      <c r="D54" s="15"/>
      <c r="E54" s="15"/>
      <c r="F54" s="15"/>
      <c r="G54" s="20"/>
      <c r="H54" s="20"/>
      <c r="I54" s="20"/>
      <c r="J54" s="20"/>
      <c r="K54" s="20"/>
      <c r="L54" s="20"/>
      <c r="M54" s="20"/>
      <c r="N54" s="20"/>
      <c r="O54" s="20"/>
      <c r="P54" s="20"/>
      <c r="Q54" s="20"/>
      <c r="R54" s="20"/>
      <c r="S54" s="20"/>
      <c r="T54" s="20"/>
      <c r="U54" s="20"/>
      <c r="V54" s="20"/>
      <c r="W54" s="20"/>
      <c r="X54" s="20"/>
      <c r="Y54" s="20"/>
      <c r="Z54" s="20"/>
    </row>
    <row r="55" spans="1:26" ht="17.25" customHeight="1">
      <c r="A55" s="66"/>
      <c r="B55" s="15"/>
      <c r="C55" s="66"/>
      <c r="D55" s="15"/>
      <c r="E55" s="15"/>
      <c r="F55" s="15"/>
      <c r="G55" s="20"/>
      <c r="H55" s="20"/>
      <c r="I55" s="20"/>
      <c r="J55" s="20"/>
      <c r="K55" s="20"/>
      <c r="L55" s="20"/>
      <c r="M55" s="20"/>
      <c r="N55" s="20"/>
      <c r="O55" s="20"/>
      <c r="P55" s="20"/>
      <c r="Q55" s="20"/>
      <c r="R55" s="20"/>
      <c r="S55" s="20"/>
      <c r="T55" s="20"/>
      <c r="U55" s="20"/>
      <c r="V55" s="20"/>
      <c r="W55" s="20"/>
      <c r="X55" s="20"/>
      <c r="Y55" s="20"/>
      <c r="Z55" s="20"/>
    </row>
    <row r="56" spans="1:26" ht="17.25" customHeight="1">
      <c r="A56" s="66"/>
      <c r="B56" s="15"/>
      <c r="C56" s="66"/>
      <c r="D56" s="15"/>
      <c r="E56" s="15"/>
      <c r="F56" s="15"/>
      <c r="G56" s="20"/>
      <c r="H56" s="20"/>
      <c r="I56" s="20"/>
      <c r="J56" s="20"/>
      <c r="K56" s="20"/>
      <c r="L56" s="20"/>
      <c r="M56" s="20"/>
      <c r="N56" s="20"/>
      <c r="O56" s="20"/>
      <c r="P56" s="20"/>
      <c r="Q56" s="20"/>
      <c r="R56" s="20"/>
      <c r="S56" s="20"/>
      <c r="T56" s="20"/>
      <c r="U56" s="20"/>
      <c r="V56" s="20"/>
      <c r="W56" s="20"/>
      <c r="X56" s="20"/>
      <c r="Y56" s="20"/>
      <c r="Z56" s="20"/>
    </row>
    <row r="57" spans="1:26" ht="17.25" customHeight="1">
      <c r="A57" s="66"/>
      <c r="B57" s="15"/>
      <c r="C57" s="66"/>
      <c r="D57" s="15"/>
      <c r="E57" s="15"/>
      <c r="F57" s="15"/>
      <c r="G57" s="20"/>
      <c r="H57" s="20"/>
      <c r="I57" s="20"/>
      <c r="J57" s="20"/>
      <c r="K57" s="20"/>
      <c r="L57" s="20"/>
      <c r="M57" s="20"/>
      <c r="N57" s="20"/>
      <c r="O57" s="20"/>
      <c r="P57" s="20"/>
      <c r="Q57" s="20"/>
      <c r="R57" s="20"/>
      <c r="S57" s="20"/>
      <c r="T57" s="20"/>
      <c r="U57" s="20"/>
      <c r="V57" s="20"/>
      <c r="W57" s="20"/>
      <c r="X57" s="20"/>
      <c r="Y57" s="20"/>
      <c r="Z57" s="20"/>
    </row>
    <row r="58" spans="1:26" ht="17.25" customHeight="1">
      <c r="A58" s="66"/>
      <c r="B58" s="15"/>
      <c r="C58" s="66"/>
      <c r="D58" s="15"/>
      <c r="E58" s="15"/>
      <c r="F58" s="15"/>
      <c r="G58" s="20"/>
      <c r="H58" s="20"/>
      <c r="I58" s="20"/>
      <c r="J58" s="20"/>
      <c r="K58" s="20"/>
      <c r="L58" s="20"/>
      <c r="M58" s="20"/>
      <c r="N58" s="20"/>
      <c r="O58" s="20"/>
      <c r="P58" s="20"/>
      <c r="Q58" s="20"/>
      <c r="R58" s="20"/>
      <c r="S58" s="20"/>
      <c r="T58" s="20"/>
      <c r="U58" s="20"/>
      <c r="V58" s="20"/>
      <c r="W58" s="20"/>
      <c r="X58" s="20"/>
      <c r="Y58" s="20"/>
      <c r="Z58" s="20"/>
    </row>
    <row r="59" spans="1:26" ht="17.25" customHeight="1">
      <c r="A59" s="66"/>
      <c r="B59" s="15"/>
      <c r="C59" s="66"/>
      <c r="D59" s="15"/>
      <c r="E59" s="15"/>
      <c r="F59" s="15"/>
      <c r="G59" s="20"/>
      <c r="H59" s="20"/>
      <c r="I59" s="20"/>
      <c r="J59" s="20"/>
      <c r="K59" s="20"/>
      <c r="L59" s="20"/>
      <c r="M59" s="20"/>
      <c r="N59" s="20"/>
      <c r="O59" s="20"/>
      <c r="P59" s="20"/>
      <c r="Q59" s="20"/>
      <c r="R59" s="20"/>
      <c r="S59" s="20"/>
      <c r="T59" s="20"/>
      <c r="U59" s="20"/>
      <c r="V59" s="20"/>
      <c r="W59" s="20"/>
      <c r="X59" s="20"/>
      <c r="Y59" s="20"/>
      <c r="Z59" s="20"/>
    </row>
    <row r="60" spans="1:26" ht="17.25" customHeight="1">
      <c r="B60" s="15"/>
      <c r="C60" s="15"/>
      <c r="D60" s="15"/>
      <c r="E60" s="15"/>
      <c r="F60" s="15"/>
      <c r="G60" s="20"/>
      <c r="H60" s="20"/>
      <c r="I60" s="20"/>
      <c r="J60" s="20"/>
      <c r="K60" s="20"/>
      <c r="L60" s="20"/>
      <c r="M60" s="20"/>
      <c r="N60" s="20"/>
      <c r="O60" s="20"/>
      <c r="P60" s="20"/>
      <c r="Q60" s="20"/>
      <c r="R60" s="20"/>
      <c r="S60" s="20"/>
      <c r="T60" s="20"/>
      <c r="U60" s="20"/>
      <c r="V60" s="20"/>
      <c r="W60" s="20"/>
      <c r="X60" s="20"/>
      <c r="Y60" s="20"/>
      <c r="Z60" s="20"/>
    </row>
    <row r="61" spans="1:26" ht="17.25" customHeight="1">
      <c r="B61" s="15"/>
      <c r="C61" s="15"/>
      <c r="D61" s="15"/>
      <c r="E61" s="15"/>
      <c r="F61" s="15"/>
      <c r="G61" s="20"/>
      <c r="H61" s="20"/>
      <c r="I61" s="20"/>
      <c r="J61" s="20"/>
      <c r="K61" s="20"/>
      <c r="L61" s="20"/>
      <c r="M61" s="20"/>
      <c r="N61" s="20"/>
      <c r="O61" s="20"/>
      <c r="P61" s="20"/>
      <c r="Q61" s="20"/>
      <c r="R61" s="20"/>
      <c r="S61" s="20"/>
      <c r="T61" s="20"/>
      <c r="U61" s="20"/>
      <c r="V61" s="20"/>
      <c r="W61" s="20"/>
      <c r="X61" s="20"/>
      <c r="Y61" s="20"/>
      <c r="Z61" s="20"/>
    </row>
    <row r="62" spans="1:26" ht="17.25" customHeight="1">
      <c r="B62" s="15"/>
      <c r="C62" s="15"/>
      <c r="D62" s="15"/>
      <c r="E62" s="15"/>
      <c r="F62" s="15"/>
      <c r="G62" s="20"/>
      <c r="H62" s="20"/>
      <c r="I62" s="20"/>
      <c r="J62" s="20"/>
      <c r="K62" s="20"/>
      <c r="L62" s="20"/>
      <c r="M62" s="20"/>
      <c r="N62" s="20"/>
      <c r="O62" s="20"/>
      <c r="P62" s="20"/>
      <c r="Q62" s="20"/>
      <c r="R62" s="20"/>
      <c r="S62" s="20"/>
      <c r="T62" s="20"/>
      <c r="U62" s="20"/>
      <c r="V62" s="20"/>
      <c r="W62" s="20"/>
      <c r="X62" s="20"/>
      <c r="Y62" s="20"/>
      <c r="Z62" s="20"/>
    </row>
    <row r="63" spans="1:26" ht="17.25" customHeight="1">
      <c r="B63" s="15"/>
      <c r="C63" s="15"/>
      <c r="D63" s="15"/>
      <c r="E63" s="15"/>
      <c r="F63" s="15"/>
      <c r="G63" s="20"/>
      <c r="H63" s="20"/>
      <c r="I63" s="20"/>
      <c r="J63" s="20"/>
      <c r="K63" s="20"/>
      <c r="L63" s="20"/>
      <c r="M63" s="20"/>
      <c r="N63" s="20"/>
      <c r="O63" s="20"/>
      <c r="P63" s="20"/>
      <c r="Q63" s="20"/>
      <c r="R63" s="20"/>
      <c r="S63" s="20"/>
      <c r="T63" s="20"/>
      <c r="U63" s="20"/>
      <c r="V63" s="20"/>
      <c r="W63" s="20"/>
      <c r="X63" s="20"/>
      <c r="Y63" s="20"/>
      <c r="Z63" s="20"/>
    </row>
    <row r="64" spans="1:26" ht="17.25" customHeight="1">
      <c r="B64" s="15"/>
      <c r="C64" s="15"/>
      <c r="D64" s="15"/>
      <c r="E64" s="15"/>
      <c r="F64" s="15"/>
      <c r="G64" s="20"/>
      <c r="H64" s="20"/>
      <c r="I64" s="20"/>
      <c r="J64" s="20"/>
      <c r="K64" s="20"/>
      <c r="L64" s="20"/>
      <c r="M64" s="20"/>
      <c r="N64" s="20"/>
      <c r="O64" s="20"/>
      <c r="P64" s="20"/>
      <c r="Q64" s="20"/>
      <c r="R64" s="20"/>
      <c r="S64" s="20"/>
      <c r="T64" s="20"/>
      <c r="U64" s="20"/>
      <c r="V64" s="20"/>
      <c r="W64" s="20"/>
      <c r="X64" s="20"/>
      <c r="Y64" s="20"/>
      <c r="Z64" s="20"/>
    </row>
    <row r="65" spans="2:26" ht="17.25" customHeight="1">
      <c r="B65" s="15"/>
      <c r="C65" s="15"/>
      <c r="D65" s="15"/>
      <c r="E65" s="15"/>
      <c r="F65" s="15"/>
      <c r="G65" s="20"/>
      <c r="H65" s="20"/>
      <c r="I65" s="20"/>
      <c r="J65" s="20"/>
      <c r="K65" s="20"/>
      <c r="L65" s="20"/>
      <c r="M65" s="20"/>
      <c r="N65" s="20"/>
      <c r="O65" s="20"/>
      <c r="P65" s="20"/>
      <c r="Q65" s="20"/>
      <c r="R65" s="20"/>
      <c r="S65" s="20"/>
      <c r="T65" s="20"/>
      <c r="U65" s="20"/>
      <c r="V65" s="20"/>
      <c r="W65" s="20"/>
      <c r="X65" s="20"/>
      <c r="Y65" s="20"/>
      <c r="Z65" s="20"/>
    </row>
    <row r="66" spans="2:26" ht="17.25" customHeight="1">
      <c r="B66" s="15"/>
      <c r="C66" s="15"/>
      <c r="D66" s="15"/>
      <c r="E66" s="15"/>
      <c r="F66" s="15"/>
      <c r="G66" s="20"/>
      <c r="H66" s="20"/>
      <c r="I66" s="20"/>
      <c r="J66" s="20"/>
      <c r="K66" s="20"/>
      <c r="L66" s="20"/>
      <c r="M66" s="20"/>
      <c r="N66" s="20"/>
      <c r="O66" s="20"/>
      <c r="P66" s="20"/>
      <c r="Q66" s="20"/>
      <c r="R66" s="20"/>
      <c r="S66" s="20"/>
      <c r="T66" s="20"/>
      <c r="U66" s="20"/>
      <c r="V66" s="20"/>
      <c r="W66" s="20"/>
      <c r="X66" s="20"/>
      <c r="Y66" s="20"/>
      <c r="Z66" s="20"/>
    </row>
    <row r="67" spans="2:26" ht="17.25" customHeight="1">
      <c r="B67" s="15"/>
      <c r="C67" s="15"/>
      <c r="D67" s="15"/>
      <c r="E67" s="15"/>
      <c r="F67" s="15"/>
      <c r="G67" s="20"/>
      <c r="H67" s="20"/>
      <c r="I67" s="20"/>
      <c r="J67" s="20"/>
      <c r="K67" s="20"/>
      <c r="L67" s="20"/>
      <c r="M67" s="20"/>
      <c r="N67" s="20"/>
      <c r="O67" s="20"/>
      <c r="P67" s="20"/>
      <c r="Q67" s="20"/>
      <c r="R67" s="20"/>
      <c r="S67" s="20"/>
      <c r="T67" s="20"/>
      <c r="U67" s="20"/>
      <c r="V67" s="20"/>
      <c r="W67" s="20"/>
      <c r="X67" s="20"/>
      <c r="Y67" s="20"/>
      <c r="Z67" s="20"/>
    </row>
    <row r="68" spans="2:26" ht="17.25" customHeight="1">
      <c r="B68" s="15"/>
      <c r="C68" s="15"/>
      <c r="D68" s="15"/>
      <c r="E68" s="15"/>
      <c r="F68" s="15"/>
      <c r="G68" s="20"/>
      <c r="H68" s="20"/>
      <c r="I68" s="20"/>
      <c r="J68" s="20"/>
      <c r="K68" s="20"/>
      <c r="L68" s="20"/>
      <c r="M68" s="20"/>
      <c r="N68" s="20"/>
      <c r="O68" s="20"/>
      <c r="P68" s="20"/>
      <c r="Q68" s="20"/>
      <c r="R68" s="20"/>
      <c r="S68" s="20"/>
      <c r="T68" s="20"/>
      <c r="U68" s="20"/>
      <c r="V68" s="20"/>
      <c r="W68" s="20"/>
      <c r="X68" s="20"/>
      <c r="Y68" s="20"/>
      <c r="Z68" s="20"/>
    </row>
    <row r="69" spans="2:26" ht="17.25" customHeight="1">
      <c r="B69" s="15"/>
      <c r="C69" s="15"/>
      <c r="D69" s="15"/>
      <c r="E69" s="15"/>
      <c r="F69" s="15"/>
      <c r="G69" s="20"/>
      <c r="H69" s="20"/>
      <c r="I69" s="20"/>
      <c r="J69" s="20"/>
      <c r="K69" s="20"/>
      <c r="L69" s="20"/>
      <c r="M69" s="20"/>
      <c r="N69" s="20"/>
      <c r="O69" s="20"/>
      <c r="P69" s="20"/>
      <c r="Q69" s="20"/>
      <c r="R69" s="20"/>
      <c r="S69" s="20"/>
      <c r="T69" s="20"/>
      <c r="U69" s="20"/>
      <c r="V69" s="20"/>
      <c r="W69" s="20"/>
      <c r="X69" s="20"/>
      <c r="Y69" s="20"/>
      <c r="Z69" s="20"/>
    </row>
    <row r="70" spans="2:26" ht="17.25" customHeight="1">
      <c r="B70" s="15"/>
      <c r="C70" s="15"/>
      <c r="D70" s="15"/>
      <c r="E70" s="15"/>
      <c r="F70" s="15"/>
      <c r="G70" s="20"/>
      <c r="H70" s="20"/>
      <c r="I70" s="20"/>
      <c r="J70" s="20"/>
      <c r="K70" s="20"/>
      <c r="L70" s="20"/>
      <c r="M70" s="20"/>
      <c r="N70" s="20"/>
      <c r="O70" s="20"/>
      <c r="P70" s="20"/>
      <c r="Q70" s="20"/>
      <c r="R70" s="20"/>
      <c r="S70" s="20"/>
      <c r="T70" s="20"/>
      <c r="U70" s="20"/>
      <c r="V70" s="20"/>
      <c r="W70" s="20"/>
      <c r="X70" s="20"/>
      <c r="Y70" s="20"/>
      <c r="Z70" s="20"/>
    </row>
    <row r="71" spans="2:26" ht="17.25" customHeight="1">
      <c r="B71" s="15"/>
      <c r="C71" s="15"/>
      <c r="D71" s="15"/>
      <c r="E71" s="15"/>
      <c r="F71" s="15"/>
      <c r="G71" s="20"/>
      <c r="H71" s="20"/>
      <c r="I71" s="20"/>
      <c r="J71" s="20"/>
      <c r="K71" s="20"/>
      <c r="L71" s="20"/>
      <c r="M71" s="20"/>
      <c r="N71" s="20"/>
      <c r="O71" s="20"/>
      <c r="P71" s="20"/>
      <c r="Q71" s="20"/>
      <c r="R71" s="20"/>
      <c r="S71" s="20"/>
      <c r="T71" s="20"/>
      <c r="U71" s="20"/>
      <c r="V71" s="20"/>
      <c r="W71" s="20"/>
      <c r="X71" s="20"/>
      <c r="Y71" s="20"/>
      <c r="Z71" s="20"/>
    </row>
    <row r="72" spans="2:26" ht="17.25" customHeight="1">
      <c r="B72" s="15"/>
      <c r="C72" s="15"/>
      <c r="D72" s="15"/>
      <c r="E72" s="15"/>
      <c r="F72" s="15"/>
      <c r="G72" s="20"/>
      <c r="H72" s="20"/>
      <c r="I72" s="20"/>
      <c r="J72" s="20"/>
      <c r="K72" s="20"/>
      <c r="L72" s="20"/>
      <c r="M72" s="20"/>
      <c r="N72" s="20"/>
      <c r="O72" s="20"/>
      <c r="P72" s="20"/>
      <c r="Q72" s="20"/>
      <c r="R72" s="20"/>
      <c r="S72" s="20"/>
      <c r="T72" s="20"/>
      <c r="U72" s="20"/>
      <c r="V72" s="20"/>
      <c r="W72" s="20"/>
      <c r="X72" s="20"/>
      <c r="Y72" s="20"/>
      <c r="Z72" s="20"/>
    </row>
    <row r="73" spans="2:26" ht="17.25" customHeight="1">
      <c r="B73" s="15"/>
      <c r="C73" s="15"/>
      <c r="D73" s="15"/>
      <c r="E73" s="15"/>
      <c r="F73" s="15"/>
      <c r="G73" s="20"/>
      <c r="H73" s="20"/>
      <c r="I73" s="20"/>
      <c r="J73" s="20"/>
      <c r="K73" s="20"/>
      <c r="L73" s="20"/>
      <c r="M73" s="20"/>
      <c r="N73" s="20"/>
      <c r="O73" s="20"/>
      <c r="P73" s="20"/>
      <c r="Q73" s="20"/>
      <c r="R73" s="20"/>
      <c r="S73" s="20"/>
      <c r="T73" s="20"/>
      <c r="U73" s="20"/>
      <c r="V73" s="20"/>
      <c r="W73" s="20"/>
      <c r="X73" s="20"/>
      <c r="Y73" s="20"/>
      <c r="Z73" s="20"/>
    </row>
    <row r="74" spans="2:26" ht="17.25" customHeight="1">
      <c r="B74" s="15"/>
      <c r="C74" s="15"/>
      <c r="D74" s="15"/>
      <c r="E74" s="15"/>
      <c r="F74" s="15"/>
      <c r="G74" s="20"/>
      <c r="H74" s="20"/>
      <c r="I74" s="20"/>
      <c r="J74" s="20"/>
      <c r="K74" s="20"/>
      <c r="L74" s="20"/>
      <c r="M74" s="20"/>
      <c r="N74" s="20"/>
      <c r="O74" s="20"/>
      <c r="P74" s="20"/>
      <c r="Q74" s="20"/>
      <c r="R74" s="20"/>
      <c r="S74" s="20"/>
      <c r="T74" s="20"/>
      <c r="U74" s="20"/>
      <c r="V74" s="20"/>
      <c r="W74" s="20"/>
      <c r="X74" s="20"/>
      <c r="Y74" s="20"/>
      <c r="Z74" s="20"/>
    </row>
    <row r="75" spans="2:26" ht="17.25" customHeight="1">
      <c r="B75" s="15"/>
      <c r="C75" s="15"/>
      <c r="D75" s="15"/>
      <c r="E75" s="15"/>
      <c r="F75" s="15"/>
      <c r="G75" s="20"/>
      <c r="H75" s="20"/>
      <c r="I75" s="20"/>
      <c r="J75" s="20"/>
      <c r="K75" s="20"/>
      <c r="L75" s="20"/>
      <c r="M75" s="20"/>
      <c r="N75" s="20"/>
      <c r="O75" s="20"/>
      <c r="P75" s="20"/>
      <c r="Q75" s="20"/>
      <c r="R75" s="20"/>
      <c r="S75" s="20"/>
      <c r="T75" s="20"/>
      <c r="U75" s="20"/>
      <c r="V75" s="20"/>
      <c r="W75" s="20"/>
      <c r="X75" s="20"/>
      <c r="Y75" s="20"/>
      <c r="Z75" s="20"/>
    </row>
    <row r="76" spans="2:26" ht="17.25" customHeight="1">
      <c r="B76" s="15"/>
      <c r="C76" s="15"/>
      <c r="D76" s="15"/>
      <c r="E76" s="15"/>
      <c r="F76" s="15"/>
      <c r="G76" s="20"/>
      <c r="H76" s="20"/>
      <c r="I76" s="20"/>
      <c r="J76" s="20"/>
      <c r="K76" s="20"/>
      <c r="L76" s="20"/>
      <c r="M76" s="20"/>
      <c r="N76" s="20"/>
      <c r="O76" s="20"/>
      <c r="P76" s="20"/>
      <c r="Q76" s="20"/>
      <c r="R76" s="20"/>
      <c r="S76" s="20"/>
      <c r="T76" s="20"/>
      <c r="U76" s="20"/>
      <c r="V76" s="20"/>
      <c r="W76" s="20"/>
      <c r="X76" s="20"/>
      <c r="Y76" s="20"/>
      <c r="Z76" s="20"/>
    </row>
    <row r="77" spans="2:26" ht="17.25" customHeight="1">
      <c r="B77" s="15"/>
      <c r="C77" s="15"/>
      <c r="D77" s="15"/>
      <c r="E77" s="15"/>
      <c r="F77" s="15"/>
      <c r="G77" s="20"/>
      <c r="H77" s="20"/>
      <c r="I77" s="20"/>
      <c r="J77" s="20"/>
      <c r="K77" s="20"/>
      <c r="L77" s="20"/>
      <c r="M77" s="20"/>
      <c r="N77" s="20"/>
      <c r="O77" s="20"/>
      <c r="P77" s="20"/>
      <c r="Q77" s="20"/>
      <c r="R77" s="20"/>
      <c r="S77" s="20"/>
      <c r="T77" s="20"/>
      <c r="U77" s="20"/>
      <c r="V77" s="20"/>
      <c r="W77" s="20"/>
      <c r="X77" s="20"/>
      <c r="Y77" s="20"/>
      <c r="Z77" s="20"/>
    </row>
    <row r="78" spans="2:26" ht="17.25" customHeight="1">
      <c r="B78" s="15"/>
      <c r="C78" s="15"/>
      <c r="D78" s="15"/>
      <c r="E78" s="15"/>
      <c r="F78" s="15"/>
      <c r="G78" s="20"/>
      <c r="H78" s="20"/>
      <c r="I78" s="20"/>
      <c r="J78" s="20"/>
      <c r="K78" s="20"/>
      <c r="L78" s="20"/>
      <c r="M78" s="20"/>
      <c r="N78" s="20"/>
      <c r="O78" s="20"/>
      <c r="P78" s="20"/>
      <c r="Q78" s="20"/>
      <c r="R78" s="20"/>
      <c r="S78" s="20"/>
      <c r="T78" s="20"/>
      <c r="U78" s="20"/>
      <c r="V78" s="20"/>
      <c r="W78" s="20"/>
      <c r="X78" s="20"/>
      <c r="Y78" s="20"/>
      <c r="Z78" s="20"/>
    </row>
    <row r="79" spans="2:26" ht="17.25" customHeight="1">
      <c r="B79" s="15"/>
      <c r="C79" s="15"/>
      <c r="D79" s="15"/>
      <c r="E79" s="15"/>
      <c r="F79" s="15"/>
      <c r="G79" s="20"/>
      <c r="H79" s="20"/>
      <c r="I79" s="20"/>
      <c r="J79" s="20"/>
      <c r="K79" s="20"/>
      <c r="L79" s="20"/>
      <c r="M79" s="20"/>
      <c r="N79" s="20"/>
      <c r="O79" s="20"/>
      <c r="P79" s="20"/>
      <c r="Q79" s="20"/>
      <c r="R79" s="20"/>
      <c r="S79" s="20"/>
      <c r="T79" s="20"/>
      <c r="U79" s="20"/>
      <c r="V79" s="20"/>
      <c r="W79" s="20"/>
      <c r="X79" s="20"/>
      <c r="Y79" s="20"/>
      <c r="Z79" s="20"/>
    </row>
    <row r="80" spans="2:26" ht="17.25" customHeight="1">
      <c r="B80" s="15"/>
      <c r="C80" s="15"/>
      <c r="D80" s="15"/>
      <c r="E80" s="15"/>
      <c r="F80" s="15"/>
      <c r="G80" s="20"/>
      <c r="H80" s="20"/>
      <c r="I80" s="20"/>
      <c r="J80" s="20"/>
      <c r="K80" s="20"/>
      <c r="L80" s="20"/>
      <c r="M80" s="20"/>
      <c r="N80" s="20"/>
      <c r="O80" s="20"/>
      <c r="P80" s="20"/>
      <c r="Q80" s="20"/>
      <c r="R80" s="20"/>
      <c r="S80" s="20"/>
      <c r="T80" s="20"/>
      <c r="U80" s="20"/>
      <c r="V80" s="20"/>
      <c r="W80" s="20"/>
      <c r="X80" s="20"/>
      <c r="Y80" s="20"/>
      <c r="Z80" s="20"/>
    </row>
    <row r="81" spans="2:26" ht="17.25" customHeight="1">
      <c r="B81" s="15"/>
      <c r="C81" s="15"/>
      <c r="D81" s="15"/>
      <c r="E81" s="15"/>
      <c r="F81" s="15"/>
      <c r="G81" s="20"/>
      <c r="H81" s="20"/>
      <c r="I81" s="20"/>
      <c r="J81" s="20"/>
      <c r="K81" s="20"/>
      <c r="L81" s="20"/>
      <c r="M81" s="20"/>
      <c r="N81" s="20"/>
      <c r="O81" s="20"/>
      <c r="P81" s="20"/>
      <c r="Q81" s="20"/>
      <c r="R81" s="20"/>
      <c r="S81" s="20"/>
      <c r="T81" s="20"/>
      <c r="U81" s="20"/>
      <c r="V81" s="20"/>
      <c r="W81" s="20"/>
      <c r="X81" s="20"/>
      <c r="Y81" s="20"/>
      <c r="Z81" s="20"/>
    </row>
    <row r="82" spans="2:26" ht="17.25" customHeight="1">
      <c r="B82" s="15"/>
      <c r="C82" s="15"/>
      <c r="D82" s="15"/>
      <c r="E82" s="15"/>
      <c r="F82" s="15"/>
      <c r="G82" s="20"/>
      <c r="H82" s="20"/>
      <c r="I82" s="20"/>
      <c r="J82" s="20"/>
      <c r="K82" s="20"/>
      <c r="L82" s="20"/>
      <c r="M82" s="20"/>
      <c r="N82" s="20"/>
      <c r="O82" s="20"/>
      <c r="P82" s="20"/>
      <c r="Q82" s="20"/>
      <c r="R82" s="20"/>
      <c r="S82" s="20"/>
      <c r="T82" s="20"/>
      <c r="U82" s="20"/>
      <c r="V82" s="20"/>
      <c r="W82" s="20"/>
      <c r="X82" s="20"/>
      <c r="Y82" s="20"/>
      <c r="Z82" s="20"/>
    </row>
    <row r="83" spans="2:26" ht="17.25" customHeight="1">
      <c r="B83" s="15"/>
      <c r="C83" s="15"/>
      <c r="D83" s="15"/>
      <c r="E83" s="15"/>
      <c r="F83" s="15"/>
      <c r="G83" s="20"/>
      <c r="H83" s="20"/>
      <c r="I83" s="20"/>
      <c r="J83" s="20"/>
      <c r="K83" s="20"/>
      <c r="L83" s="20"/>
      <c r="M83" s="20"/>
      <c r="N83" s="20"/>
      <c r="O83" s="20"/>
      <c r="P83" s="20"/>
      <c r="Q83" s="20"/>
      <c r="R83" s="20"/>
      <c r="S83" s="20"/>
      <c r="T83" s="20"/>
      <c r="U83" s="20"/>
      <c r="V83" s="20"/>
      <c r="W83" s="20"/>
      <c r="X83" s="20"/>
      <c r="Y83" s="20"/>
      <c r="Z83" s="20"/>
    </row>
    <row r="84" spans="2:26" ht="17.25" customHeight="1">
      <c r="B84" s="15"/>
      <c r="C84" s="15"/>
      <c r="D84" s="15"/>
      <c r="E84" s="15"/>
      <c r="F84" s="15"/>
      <c r="G84" s="20"/>
      <c r="H84" s="20"/>
      <c r="I84" s="20"/>
      <c r="J84" s="20"/>
      <c r="K84" s="20"/>
      <c r="L84" s="20"/>
      <c r="M84" s="20"/>
      <c r="N84" s="20"/>
      <c r="O84" s="20"/>
      <c r="P84" s="20"/>
      <c r="Q84" s="20"/>
      <c r="R84" s="20"/>
      <c r="S84" s="20"/>
      <c r="T84" s="20"/>
      <c r="U84" s="20"/>
      <c r="V84" s="20"/>
      <c r="W84" s="20"/>
      <c r="X84" s="20"/>
      <c r="Y84" s="20"/>
      <c r="Z84" s="20"/>
    </row>
    <row r="85" spans="2:26" ht="17.25" customHeight="1">
      <c r="B85" s="15"/>
      <c r="C85" s="15"/>
      <c r="D85" s="15"/>
      <c r="E85" s="15"/>
      <c r="F85" s="15"/>
      <c r="G85" s="20"/>
      <c r="H85" s="20"/>
      <c r="I85" s="20"/>
      <c r="J85" s="20"/>
      <c r="K85" s="20"/>
      <c r="L85" s="20"/>
      <c r="M85" s="20"/>
      <c r="N85" s="20"/>
      <c r="O85" s="20"/>
      <c r="P85" s="20"/>
      <c r="Q85" s="20"/>
      <c r="R85" s="20"/>
      <c r="S85" s="20"/>
      <c r="T85" s="20"/>
      <c r="U85" s="20"/>
      <c r="V85" s="20"/>
      <c r="W85" s="20"/>
      <c r="X85" s="20"/>
      <c r="Y85" s="20"/>
      <c r="Z85" s="20"/>
    </row>
    <row r="86" spans="2:26" ht="17.25" customHeight="1">
      <c r="B86" s="15"/>
      <c r="C86" s="15"/>
      <c r="D86" s="15"/>
      <c r="E86" s="15"/>
      <c r="F86" s="15"/>
      <c r="G86" s="20"/>
      <c r="H86" s="20"/>
      <c r="I86" s="20"/>
      <c r="J86" s="20"/>
      <c r="K86" s="20"/>
      <c r="L86" s="20"/>
      <c r="M86" s="20"/>
      <c r="N86" s="20"/>
      <c r="O86" s="20"/>
      <c r="P86" s="20"/>
      <c r="Q86" s="20"/>
      <c r="R86" s="20"/>
      <c r="S86" s="20"/>
      <c r="T86" s="20"/>
      <c r="U86" s="20"/>
      <c r="V86" s="20"/>
      <c r="W86" s="20"/>
      <c r="X86" s="20"/>
      <c r="Y86" s="20"/>
      <c r="Z86" s="20"/>
    </row>
    <row r="87" spans="2:26" ht="17.25" customHeight="1">
      <c r="B87" s="15"/>
      <c r="C87" s="15"/>
      <c r="D87" s="15"/>
      <c r="E87" s="15"/>
      <c r="F87" s="15"/>
      <c r="G87" s="20"/>
      <c r="H87" s="20"/>
      <c r="I87" s="20"/>
      <c r="J87" s="20"/>
      <c r="K87" s="20"/>
      <c r="L87" s="20"/>
      <c r="M87" s="20"/>
      <c r="N87" s="20"/>
      <c r="O87" s="20"/>
      <c r="P87" s="20"/>
      <c r="Q87" s="20"/>
      <c r="R87" s="20"/>
      <c r="S87" s="20"/>
      <c r="T87" s="20"/>
      <c r="U87" s="20"/>
      <c r="V87" s="20"/>
      <c r="W87" s="20"/>
      <c r="X87" s="20"/>
      <c r="Y87" s="20"/>
      <c r="Z87" s="20"/>
    </row>
    <row r="88" spans="2:26" ht="17.25" customHeight="1">
      <c r="B88" s="15"/>
      <c r="C88" s="15"/>
      <c r="D88" s="15"/>
      <c r="E88" s="15"/>
      <c r="F88" s="15"/>
      <c r="G88" s="20"/>
      <c r="H88" s="20"/>
      <c r="I88" s="20"/>
      <c r="J88" s="20"/>
      <c r="K88" s="20"/>
      <c r="L88" s="20"/>
      <c r="M88" s="20"/>
      <c r="N88" s="20"/>
      <c r="O88" s="20"/>
      <c r="P88" s="20"/>
      <c r="Q88" s="20"/>
      <c r="R88" s="20"/>
      <c r="S88" s="20"/>
      <c r="T88" s="20"/>
      <c r="U88" s="20"/>
      <c r="V88" s="20"/>
      <c r="W88" s="20"/>
      <c r="X88" s="20"/>
      <c r="Y88" s="20"/>
      <c r="Z88" s="20"/>
    </row>
    <row r="89" spans="2:26" ht="17.25" customHeight="1">
      <c r="B89" s="15"/>
      <c r="C89" s="15"/>
      <c r="D89" s="15"/>
      <c r="E89" s="15"/>
      <c r="F89" s="15"/>
      <c r="G89" s="20"/>
      <c r="H89" s="20"/>
      <c r="I89" s="20"/>
      <c r="J89" s="20"/>
      <c r="K89" s="20"/>
      <c r="L89" s="20"/>
      <c r="M89" s="20"/>
      <c r="N89" s="20"/>
      <c r="O89" s="20"/>
      <c r="P89" s="20"/>
      <c r="Q89" s="20"/>
      <c r="R89" s="20"/>
      <c r="S89" s="20"/>
      <c r="T89" s="20"/>
      <c r="U89" s="20"/>
      <c r="V89" s="20"/>
      <c r="W89" s="20"/>
      <c r="X89" s="20"/>
      <c r="Y89" s="20"/>
      <c r="Z89" s="20"/>
    </row>
    <row r="90" spans="2:26" ht="17.25" customHeight="1">
      <c r="B90" s="15"/>
      <c r="C90" s="15"/>
      <c r="D90" s="15"/>
      <c r="E90" s="15"/>
      <c r="F90" s="15"/>
      <c r="G90" s="20"/>
      <c r="H90" s="20"/>
      <c r="I90" s="20"/>
      <c r="J90" s="20"/>
      <c r="K90" s="20"/>
      <c r="L90" s="20"/>
      <c r="M90" s="20"/>
      <c r="N90" s="20"/>
      <c r="O90" s="20"/>
      <c r="P90" s="20"/>
      <c r="Q90" s="20"/>
      <c r="R90" s="20"/>
      <c r="S90" s="20"/>
      <c r="T90" s="20"/>
      <c r="U90" s="20"/>
      <c r="V90" s="20"/>
      <c r="W90" s="20"/>
      <c r="X90" s="20"/>
      <c r="Y90" s="20"/>
      <c r="Z90" s="20"/>
    </row>
    <row r="91" spans="2:26" ht="17.25" customHeight="1">
      <c r="B91" s="15"/>
      <c r="C91" s="15"/>
      <c r="D91" s="15"/>
      <c r="E91" s="15"/>
      <c r="F91" s="15"/>
      <c r="G91" s="20"/>
      <c r="H91" s="20"/>
      <c r="I91" s="20"/>
      <c r="J91" s="20"/>
      <c r="K91" s="20"/>
      <c r="L91" s="20"/>
      <c r="M91" s="20"/>
      <c r="N91" s="20"/>
      <c r="O91" s="20"/>
      <c r="P91" s="20"/>
      <c r="Q91" s="20"/>
      <c r="R91" s="20"/>
      <c r="S91" s="20"/>
      <c r="T91" s="20"/>
      <c r="U91" s="20"/>
      <c r="V91" s="20"/>
      <c r="W91" s="20"/>
      <c r="X91" s="20"/>
      <c r="Y91" s="20"/>
      <c r="Z91" s="20"/>
    </row>
    <row r="92" spans="2:26" ht="17.25" customHeight="1">
      <c r="B92" s="15"/>
      <c r="C92" s="15"/>
      <c r="D92" s="15"/>
      <c r="E92" s="15"/>
      <c r="F92" s="15"/>
      <c r="G92" s="20"/>
      <c r="H92" s="20"/>
      <c r="I92" s="20"/>
      <c r="J92" s="20"/>
      <c r="K92" s="20"/>
      <c r="L92" s="20"/>
      <c r="M92" s="20"/>
      <c r="N92" s="20"/>
      <c r="O92" s="20"/>
      <c r="P92" s="20"/>
      <c r="Q92" s="20"/>
      <c r="R92" s="20"/>
      <c r="S92" s="20"/>
      <c r="T92" s="20"/>
      <c r="U92" s="20"/>
      <c r="V92" s="20"/>
      <c r="W92" s="20"/>
      <c r="X92" s="20"/>
      <c r="Y92" s="20"/>
      <c r="Z92" s="20"/>
    </row>
    <row r="93" spans="2:26" ht="17.25" customHeight="1">
      <c r="B93" s="15"/>
      <c r="C93" s="15"/>
      <c r="D93" s="15"/>
      <c r="E93" s="15"/>
      <c r="F93" s="15"/>
      <c r="G93" s="20"/>
      <c r="H93" s="20"/>
      <c r="I93" s="20"/>
      <c r="J93" s="20"/>
      <c r="K93" s="20"/>
      <c r="L93" s="20"/>
      <c r="M93" s="20"/>
      <c r="N93" s="20"/>
      <c r="O93" s="20"/>
      <c r="P93" s="20"/>
      <c r="Q93" s="20"/>
      <c r="R93" s="20"/>
      <c r="S93" s="20"/>
      <c r="T93" s="20"/>
      <c r="U93" s="20"/>
      <c r="V93" s="20"/>
      <c r="W93" s="20"/>
      <c r="X93" s="20"/>
      <c r="Y93" s="20"/>
      <c r="Z93" s="20"/>
    </row>
    <row r="94" spans="2:26" ht="17.25" customHeight="1">
      <c r="B94" s="15"/>
      <c r="C94" s="15"/>
      <c r="D94" s="15"/>
      <c r="E94" s="15"/>
      <c r="F94" s="15"/>
      <c r="G94" s="20"/>
      <c r="H94" s="20"/>
      <c r="I94" s="20"/>
      <c r="J94" s="20"/>
      <c r="K94" s="20"/>
      <c r="L94" s="20"/>
      <c r="M94" s="20"/>
      <c r="N94" s="20"/>
      <c r="O94" s="20"/>
      <c r="P94" s="20"/>
      <c r="Q94" s="20"/>
      <c r="R94" s="20"/>
      <c r="S94" s="20"/>
      <c r="T94" s="20"/>
      <c r="U94" s="20"/>
      <c r="V94" s="20"/>
      <c r="W94" s="20"/>
      <c r="X94" s="20"/>
      <c r="Y94" s="20"/>
      <c r="Z94" s="20"/>
    </row>
    <row r="95" spans="2:26" ht="17.25" customHeight="1">
      <c r="B95" s="15"/>
      <c r="C95" s="15"/>
      <c r="D95" s="15"/>
      <c r="E95" s="15"/>
      <c r="F95" s="15"/>
      <c r="G95" s="20"/>
      <c r="H95" s="20"/>
      <c r="I95" s="20"/>
      <c r="J95" s="20"/>
      <c r="K95" s="20"/>
      <c r="L95" s="20"/>
      <c r="M95" s="20"/>
      <c r="N95" s="20"/>
      <c r="O95" s="20"/>
      <c r="P95" s="20"/>
      <c r="Q95" s="20"/>
      <c r="R95" s="20"/>
      <c r="S95" s="20"/>
      <c r="T95" s="20"/>
      <c r="U95" s="20"/>
      <c r="V95" s="20"/>
      <c r="W95" s="20"/>
      <c r="X95" s="20"/>
      <c r="Y95" s="20"/>
      <c r="Z95" s="20"/>
    </row>
    <row r="96" spans="2:26" ht="17.25" customHeight="1">
      <c r="B96" s="15"/>
      <c r="C96" s="15"/>
      <c r="D96" s="15"/>
      <c r="E96" s="15"/>
      <c r="F96" s="15"/>
      <c r="G96" s="20"/>
      <c r="H96" s="20"/>
      <c r="I96" s="20"/>
      <c r="J96" s="20"/>
      <c r="K96" s="20"/>
      <c r="L96" s="20"/>
      <c r="M96" s="20"/>
      <c r="N96" s="20"/>
      <c r="O96" s="20"/>
      <c r="P96" s="20"/>
      <c r="Q96" s="20"/>
      <c r="R96" s="20"/>
      <c r="S96" s="20"/>
      <c r="T96" s="20"/>
      <c r="U96" s="20"/>
      <c r="V96" s="20"/>
      <c r="W96" s="20"/>
      <c r="X96" s="20"/>
      <c r="Y96" s="20"/>
      <c r="Z96" s="20"/>
    </row>
    <row r="97" spans="2:26" ht="17.25" customHeight="1">
      <c r="B97" s="15"/>
      <c r="C97" s="15"/>
      <c r="D97" s="15"/>
      <c r="E97" s="15"/>
      <c r="F97" s="15"/>
      <c r="G97" s="20"/>
      <c r="H97" s="20"/>
      <c r="I97" s="20"/>
      <c r="J97" s="20"/>
      <c r="K97" s="20"/>
      <c r="L97" s="20"/>
      <c r="M97" s="20"/>
      <c r="N97" s="20"/>
      <c r="O97" s="20"/>
      <c r="P97" s="20"/>
      <c r="Q97" s="20"/>
      <c r="R97" s="20"/>
      <c r="S97" s="20"/>
      <c r="T97" s="20"/>
      <c r="U97" s="20"/>
      <c r="V97" s="20"/>
      <c r="W97" s="20"/>
      <c r="X97" s="20"/>
      <c r="Y97" s="20"/>
      <c r="Z97" s="20"/>
    </row>
    <row r="98" spans="2:26" ht="17.25" customHeight="1">
      <c r="B98" s="15"/>
      <c r="C98" s="15"/>
      <c r="D98" s="15"/>
      <c r="E98" s="15"/>
      <c r="F98" s="15"/>
      <c r="G98" s="20"/>
      <c r="H98" s="20"/>
      <c r="I98" s="20"/>
      <c r="J98" s="20"/>
      <c r="K98" s="20"/>
      <c r="L98" s="20"/>
      <c r="M98" s="20"/>
      <c r="N98" s="20"/>
      <c r="O98" s="20"/>
      <c r="P98" s="20"/>
      <c r="Q98" s="20"/>
      <c r="R98" s="20"/>
      <c r="S98" s="20"/>
      <c r="T98" s="20"/>
      <c r="U98" s="20"/>
      <c r="V98" s="20"/>
      <c r="W98" s="20"/>
      <c r="X98" s="20"/>
      <c r="Y98" s="20"/>
      <c r="Z98" s="20"/>
    </row>
    <row r="99" spans="2:26" ht="17.25" customHeight="1">
      <c r="B99" s="15"/>
      <c r="C99" s="15"/>
      <c r="D99" s="15"/>
      <c r="E99" s="15"/>
      <c r="F99" s="15"/>
      <c r="G99" s="20"/>
      <c r="H99" s="20"/>
      <c r="I99" s="20"/>
      <c r="J99" s="20"/>
      <c r="K99" s="20"/>
      <c r="L99" s="20"/>
      <c r="M99" s="20"/>
      <c r="N99" s="20"/>
      <c r="O99" s="20"/>
      <c r="P99" s="20"/>
      <c r="Q99" s="20"/>
      <c r="R99" s="20"/>
      <c r="S99" s="20"/>
      <c r="T99" s="20"/>
      <c r="U99" s="20"/>
      <c r="V99" s="20"/>
      <c r="W99" s="20"/>
      <c r="X99" s="20"/>
      <c r="Y99" s="20"/>
      <c r="Z99" s="20"/>
    </row>
    <row r="100" spans="2:26" ht="17.25" customHeight="1">
      <c r="B100" s="15"/>
      <c r="C100" s="15"/>
      <c r="D100" s="15"/>
      <c r="E100" s="15"/>
      <c r="F100" s="15"/>
      <c r="G100" s="20"/>
      <c r="H100" s="20"/>
      <c r="I100" s="20"/>
      <c r="J100" s="20"/>
      <c r="K100" s="20"/>
      <c r="L100" s="20"/>
      <c r="M100" s="20"/>
      <c r="N100" s="20"/>
      <c r="O100" s="20"/>
      <c r="P100" s="20"/>
      <c r="Q100" s="20"/>
      <c r="R100" s="20"/>
      <c r="S100" s="20"/>
      <c r="T100" s="20"/>
      <c r="U100" s="20"/>
      <c r="V100" s="20"/>
      <c r="W100" s="20"/>
      <c r="X100" s="20"/>
      <c r="Y100" s="20"/>
      <c r="Z100" s="20"/>
    </row>
    <row r="101" spans="2:26" ht="17.25" customHeight="1">
      <c r="B101" s="15"/>
      <c r="C101" s="15"/>
      <c r="D101" s="15"/>
      <c r="E101" s="15"/>
      <c r="F101" s="15"/>
      <c r="G101" s="20"/>
      <c r="H101" s="20"/>
      <c r="I101" s="20"/>
      <c r="J101" s="20"/>
      <c r="K101" s="20"/>
      <c r="L101" s="20"/>
      <c r="M101" s="20"/>
      <c r="N101" s="20"/>
      <c r="O101" s="20"/>
      <c r="P101" s="20"/>
      <c r="Q101" s="20"/>
      <c r="R101" s="20"/>
      <c r="S101" s="20"/>
      <c r="T101" s="20"/>
      <c r="U101" s="20"/>
      <c r="V101" s="20"/>
      <c r="W101" s="20"/>
      <c r="X101" s="20"/>
      <c r="Y101" s="20"/>
      <c r="Z101" s="20"/>
    </row>
    <row r="102" spans="2:26" ht="17.25" customHeight="1">
      <c r="B102" s="15"/>
      <c r="C102" s="15"/>
      <c r="D102" s="15"/>
      <c r="E102" s="15"/>
      <c r="F102" s="15"/>
      <c r="G102" s="20"/>
      <c r="H102" s="20"/>
      <c r="I102" s="20"/>
      <c r="J102" s="20"/>
      <c r="K102" s="20"/>
      <c r="L102" s="20"/>
      <c r="M102" s="20"/>
      <c r="N102" s="20"/>
      <c r="O102" s="20"/>
      <c r="P102" s="20"/>
      <c r="Q102" s="20"/>
      <c r="R102" s="20"/>
      <c r="S102" s="20"/>
      <c r="T102" s="20"/>
      <c r="U102" s="20"/>
      <c r="V102" s="20"/>
      <c r="W102" s="20"/>
      <c r="X102" s="20"/>
      <c r="Y102" s="20"/>
      <c r="Z102" s="20"/>
    </row>
    <row r="103" spans="2:26" ht="17.25" customHeight="1">
      <c r="B103" s="15"/>
      <c r="C103" s="15"/>
      <c r="D103" s="15"/>
      <c r="E103" s="15"/>
      <c r="F103" s="15"/>
      <c r="G103" s="20"/>
      <c r="H103" s="20"/>
      <c r="I103" s="20"/>
      <c r="J103" s="20"/>
      <c r="K103" s="20"/>
      <c r="L103" s="20"/>
      <c r="M103" s="20"/>
      <c r="N103" s="20"/>
      <c r="O103" s="20"/>
      <c r="P103" s="20"/>
      <c r="Q103" s="20"/>
      <c r="R103" s="20"/>
      <c r="S103" s="20"/>
      <c r="T103" s="20"/>
      <c r="U103" s="20"/>
      <c r="V103" s="20"/>
      <c r="W103" s="20"/>
      <c r="X103" s="20"/>
      <c r="Y103" s="20"/>
      <c r="Z103" s="20"/>
    </row>
    <row r="104" spans="2:26" ht="17.25" customHeight="1">
      <c r="B104" s="15"/>
      <c r="C104" s="15"/>
      <c r="D104" s="15"/>
      <c r="E104" s="15"/>
      <c r="F104" s="15"/>
      <c r="G104" s="20"/>
      <c r="H104" s="20"/>
      <c r="I104" s="20"/>
      <c r="J104" s="20"/>
      <c r="K104" s="20"/>
      <c r="L104" s="20"/>
      <c r="M104" s="20"/>
      <c r="N104" s="20"/>
      <c r="O104" s="20"/>
      <c r="P104" s="20"/>
      <c r="Q104" s="20"/>
      <c r="R104" s="20"/>
      <c r="S104" s="20"/>
      <c r="T104" s="20"/>
      <c r="U104" s="20"/>
      <c r="V104" s="20"/>
      <c r="W104" s="20"/>
      <c r="X104" s="20"/>
      <c r="Y104" s="20"/>
      <c r="Z104" s="20"/>
    </row>
    <row r="105" spans="2:26" ht="17.25" customHeight="1">
      <c r="B105" s="15"/>
      <c r="C105" s="15"/>
      <c r="D105" s="15"/>
      <c r="E105" s="15"/>
      <c r="F105" s="15"/>
      <c r="G105" s="20"/>
      <c r="H105" s="20"/>
      <c r="I105" s="20"/>
      <c r="J105" s="20"/>
      <c r="K105" s="20"/>
      <c r="L105" s="20"/>
      <c r="M105" s="20"/>
      <c r="N105" s="20"/>
      <c r="O105" s="20"/>
      <c r="P105" s="20"/>
      <c r="Q105" s="20"/>
      <c r="R105" s="20"/>
      <c r="S105" s="20"/>
      <c r="T105" s="20"/>
      <c r="U105" s="20"/>
      <c r="V105" s="20"/>
      <c r="W105" s="20"/>
      <c r="X105" s="20"/>
      <c r="Y105" s="20"/>
      <c r="Z105" s="20"/>
    </row>
    <row r="106" spans="2:26" ht="17.25" customHeight="1">
      <c r="B106" s="15"/>
      <c r="C106" s="15"/>
      <c r="D106" s="15"/>
      <c r="E106" s="15"/>
      <c r="F106" s="15"/>
      <c r="G106" s="20"/>
      <c r="H106" s="20"/>
      <c r="I106" s="20"/>
      <c r="J106" s="20"/>
      <c r="K106" s="20"/>
      <c r="L106" s="20"/>
      <c r="M106" s="20"/>
      <c r="N106" s="20"/>
      <c r="O106" s="20"/>
      <c r="P106" s="20"/>
      <c r="Q106" s="20"/>
      <c r="R106" s="20"/>
      <c r="S106" s="20"/>
      <c r="T106" s="20"/>
      <c r="U106" s="20"/>
      <c r="V106" s="20"/>
      <c r="W106" s="20"/>
      <c r="X106" s="20"/>
      <c r="Y106" s="20"/>
      <c r="Z106" s="20"/>
    </row>
    <row r="107" spans="2:26" ht="17.25" customHeight="1">
      <c r="B107" s="15"/>
      <c r="C107" s="15"/>
      <c r="D107" s="15"/>
      <c r="E107" s="15"/>
      <c r="F107" s="15"/>
      <c r="G107" s="20"/>
      <c r="H107" s="20"/>
      <c r="I107" s="20"/>
      <c r="J107" s="20"/>
      <c r="K107" s="20"/>
      <c r="L107" s="20"/>
      <c r="M107" s="20"/>
      <c r="N107" s="20"/>
      <c r="O107" s="20"/>
      <c r="P107" s="20"/>
      <c r="Q107" s="20"/>
      <c r="R107" s="20"/>
      <c r="S107" s="20"/>
      <c r="T107" s="20"/>
      <c r="U107" s="20"/>
      <c r="V107" s="20"/>
      <c r="W107" s="20"/>
      <c r="X107" s="20"/>
      <c r="Y107" s="20"/>
      <c r="Z107" s="20"/>
    </row>
    <row r="108" spans="2:26" ht="17.25" customHeight="1">
      <c r="B108" s="15"/>
      <c r="C108" s="15"/>
      <c r="D108" s="15"/>
      <c r="E108" s="15"/>
      <c r="F108" s="15"/>
      <c r="G108" s="20"/>
      <c r="H108" s="20"/>
      <c r="I108" s="20"/>
      <c r="J108" s="20"/>
      <c r="K108" s="20"/>
      <c r="L108" s="20"/>
      <c r="M108" s="20"/>
      <c r="N108" s="20"/>
      <c r="O108" s="20"/>
      <c r="P108" s="20"/>
      <c r="Q108" s="20"/>
      <c r="R108" s="20"/>
      <c r="S108" s="20"/>
      <c r="T108" s="20"/>
      <c r="U108" s="20"/>
      <c r="V108" s="20"/>
      <c r="W108" s="20"/>
      <c r="X108" s="20"/>
      <c r="Y108" s="20"/>
      <c r="Z108" s="20"/>
    </row>
    <row r="109" spans="2:26" ht="17.25" customHeight="1">
      <c r="B109" s="15"/>
      <c r="C109" s="15"/>
      <c r="D109" s="15"/>
      <c r="E109" s="15"/>
      <c r="F109" s="15"/>
      <c r="G109" s="20"/>
      <c r="H109" s="20"/>
      <c r="I109" s="20"/>
      <c r="J109" s="20"/>
      <c r="K109" s="20"/>
      <c r="L109" s="20"/>
      <c r="M109" s="20"/>
      <c r="N109" s="20"/>
      <c r="O109" s="20"/>
      <c r="P109" s="20"/>
      <c r="Q109" s="20"/>
      <c r="R109" s="20"/>
      <c r="S109" s="20"/>
      <c r="T109" s="20"/>
      <c r="U109" s="20"/>
      <c r="V109" s="20"/>
      <c r="W109" s="20"/>
      <c r="X109" s="20"/>
      <c r="Y109" s="20"/>
      <c r="Z109" s="20"/>
    </row>
    <row r="110" spans="2:26" ht="17.25" customHeight="1">
      <c r="B110" s="15"/>
      <c r="C110" s="15"/>
      <c r="D110" s="15"/>
      <c r="E110" s="15"/>
      <c r="F110" s="15"/>
      <c r="G110" s="20"/>
      <c r="H110" s="20"/>
      <c r="I110" s="20"/>
      <c r="J110" s="20"/>
      <c r="K110" s="20"/>
      <c r="L110" s="20"/>
      <c r="M110" s="20"/>
      <c r="N110" s="20"/>
      <c r="O110" s="20"/>
      <c r="P110" s="20"/>
      <c r="Q110" s="20"/>
      <c r="R110" s="20"/>
      <c r="S110" s="20"/>
      <c r="T110" s="20"/>
      <c r="U110" s="20"/>
      <c r="V110" s="20"/>
      <c r="W110" s="20"/>
      <c r="X110" s="20"/>
      <c r="Y110" s="20"/>
      <c r="Z110" s="20"/>
    </row>
    <row r="111" spans="2:26" ht="17.25" customHeight="1">
      <c r="B111" s="15"/>
      <c r="C111" s="15"/>
      <c r="D111" s="15"/>
      <c r="E111" s="15"/>
      <c r="F111" s="15"/>
      <c r="G111" s="20"/>
      <c r="H111" s="20"/>
      <c r="I111" s="20"/>
      <c r="J111" s="20"/>
      <c r="K111" s="20"/>
      <c r="L111" s="20"/>
      <c r="M111" s="20"/>
      <c r="N111" s="20"/>
      <c r="O111" s="20"/>
      <c r="P111" s="20"/>
      <c r="Q111" s="20"/>
      <c r="R111" s="20"/>
      <c r="S111" s="20"/>
      <c r="T111" s="20"/>
      <c r="U111" s="20"/>
      <c r="V111" s="20"/>
      <c r="W111" s="20"/>
      <c r="X111" s="20"/>
      <c r="Y111" s="20"/>
      <c r="Z111" s="20"/>
    </row>
    <row r="112" spans="2:26" ht="17.25" customHeight="1">
      <c r="B112" s="15"/>
      <c r="C112" s="15"/>
      <c r="D112" s="15"/>
      <c r="E112" s="15"/>
      <c r="F112" s="15"/>
      <c r="G112" s="20"/>
      <c r="H112" s="20"/>
      <c r="I112" s="20"/>
      <c r="J112" s="20"/>
      <c r="K112" s="20"/>
      <c r="L112" s="20"/>
      <c r="M112" s="20"/>
      <c r="N112" s="20"/>
      <c r="O112" s="20"/>
      <c r="P112" s="20"/>
      <c r="Q112" s="20"/>
      <c r="R112" s="20"/>
      <c r="S112" s="20"/>
      <c r="T112" s="20"/>
      <c r="U112" s="20"/>
      <c r="V112" s="20"/>
      <c r="W112" s="20"/>
      <c r="X112" s="20"/>
      <c r="Y112" s="20"/>
      <c r="Z112" s="20"/>
    </row>
    <row r="113" spans="2:26" ht="17.25" customHeight="1">
      <c r="B113" s="15"/>
      <c r="C113" s="15"/>
      <c r="D113" s="15"/>
      <c r="E113" s="15"/>
      <c r="F113" s="15"/>
      <c r="G113" s="20"/>
      <c r="H113" s="20"/>
      <c r="I113" s="20"/>
      <c r="J113" s="20"/>
      <c r="K113" s="20"/>
      <c r="L113" s="20"/>
      <c r="M113" s="20"/>
      <c r="N113" s="20"/>
      <c r="O113" s="20"/>
      <c r="P113" s="20"/>
      <c r="Q113" s="20"/>
      <c r="R113" s="20"/>
      <c r="S113" s="20"/>
      <c r="T113" s="20"/>
      <c r="U113" s="20"/>
      <c r="V113" s="20"/>
      <c r="W113" s="20"/>
      <c r="X113" s="20"/>
      <c r="Y113" s="20"/>
      <c r="Z113" s="20"/>
    </row>
    <row r="114" spans="2:26" ht="17.25" customHeight="1">
      <c r="B114" s="15"/>
      <c r="C114" s="15"/>
      <c r="D114" s="15"/>
      <c r="E114" s="15"/>
      <c r="F114" s="15"/>
      <c r="G114" s="20"/>
      <c r="H114" s="20"/>
      <c r="I114" s="20"/>
      <c r="J114" s="20"/>
      <c r="K114" s="20"/>
      <c r="L114" s="20"/>
      <c r="M114" s="20"/>
      <c r="N114" s="20"/>
      <c r="O114" s="20"/>
      <c r="P114" s="20"/>
      <c r="Q114" s="20"/>
      <c r="R114" s="20"/>
      <c r="S114" s="20"/>
      <c r="T114" s="20"/>
      <c r="U114" s="20"/>
      <c r="V114" s="20"/>
      <c r="W114" s="20"/>
      <c r="X114" s="20"/>
      <c r="Y114" s="20"/>
      <c r="Z114" s="20"/>
    </row>
    <row r="115" spans="2:26" ht="17.25" customHeight="1">
      <c r="B115" s="15"/>
      <c r="C115" s="15"/>
      <c r="D115" s="15"/>
      <c r="E115" s="15"/>
      <c r="F115" s="15"/>
      <c r="G115" s="20"/>
      <c r="H115" s="20"/>
      <c r="I115" s="20"/>
      <c r="J115" s="20"/>
      <c r="K115" s="20"/>
      <c r="L115" s="20"/>
      <c r="M115" s="20"/>
      <c r="N115" s="20"/>
      <c r="O115" s="20"/>
      <c r="P115" s="20"/>
      <c r="Q115" s="20"/>
      <c r="R115" s="20"/>
      <c r="S115" s="20"/>
      <c r="T115" s="20"/>
      <c r="U115" s="20"/>
      <c r="V115" s="20"/>
      <c r="W115" s="20"/>
      <c r="X115" s="20"/>
      <c r="Y115" s="20"/>
      <c r="Z115" s="20"/>
    </row>
    <row r="116" spans="2:26" ht="17.25" customHeight="1">
      <c r="B116" s="15"/>
      <c r="C116" s="15"/>
      <c r="D116" s="15"/>
      <c r="E116" s="15"/>
      <c r="F116" s="15"/>
      <c r="G116" s="20"/>
      <c r="H116" s="20"/>
      <c r="I116" s="20"/>
      <c r="J116" s="20"/>
      <c r="K116" s="20"/>
      <c r="L116" s="20"/>
      <c r="M116" s="20"/>
      <c r="N116" s="20"/>
      <c r="O116" s="20"/>
      <c r="P116" s="20"/>
      <c r="Q116" s="20"/>
      <c r="R116" s="20"/>
      <c r="S116" s="20"/>
      <c r="T116" s="20"/>
      <c r="U116" s="20"/>
      <c r="V116" s="20"/>
      <c r="W116" s="20"/>
      <c r="X116" s="20"/>
      <c r="Y116" s="20"/>
      <c r="Z116" s="20"/>
    </row>
    <row r="117" spans="2:26" ht="17.25" customHeight="1">
      <c r="B117" s="15"/>
      <c r="C117" s="15"/>
      <c r="D117" s="15"/>
      <c r="E117" s="15"/>
      <c r="F117" s="15"/>
      <c r="G117" s="20"/>
      <c r="H117" s="20"/>
      <c r="I117" s="20"/>
      <c r="J117" s="20"/>
      <c r="K117" s="20"/>
      <c r="L117" s="20"/>
      <c r="M117" s="20"/>
      <c r="N117" s="20"/>
      <c r="O117" s="20"/>
      <c r="P117" s="20"/>
      <c r="Q117" s="20"/>
      <c r="R117" s="20"/>
      <c r="S117" s="20"/>
      <c r="T117" s="20"/>
      <c r="U117" s="20"/>
      <c r="V117" s="20"/>
      <c r="W117" s="20"/>
      <c r="X117" s="20"/>
      <c r="Y117" s="20"/>
      <c r="Z117" s="20"/>
    </row>
    <row r="118" spans="2:26" ht="17.25" customHeight="1">
      <c r="B118" s="15"/>
      <c r="C118" s="15"/>
      <c r="D118" s="15"/>
      <c r="E118" s="15"/>
      <c r="F118" s="15"/>
      <c r="G118" s="20"/>
      <c r="H118" s="20"/>
      <c r="I118" s="20"/>
      <c r="J118" s="20"/>
      <c r="K118" s="20"/>
      <c r="L118" s="20"/>
      <c r="M118" s="20"/>
      <c r="N118" s="20"/>
      <c r="O118" s="20"/>
      <c r="P118" s="20"/>
      <c r="Q118" s="20"/>
      <c r="R118" s="20"/>
      <c r="S118" s="20"/>
      <c r="T118" s="20"/>
      <c r="U118" s="20"/>
      <c r="V118" s="20"/>
      <c r="W118" s="20"/>
      <c r="X118" s="20"/>
      <c r="Y118" s="20"/>
      <c r="Z118" s="20"/>
    </row>
    <row r="119" spans="2:26" ht="17.25" customHeight="1">
      <c r="B119" s="15"/>
      <c r="C119" s="15"/>
      <c r="D119" s="15"/>
      <c r="E119" s="15"/>
      <c r="F119" s="15"/>
      <c r="G119" s="20"/>
      <c r="H119" s="20"/>
      <c r="I119" s="20"/>
      <c r="J119" s="20"/>
      <c r="K119" s="20"/>
      <c r="L119" s="20"/>
      <c r="M119" s="20"/>
      <c r="N119" s="20"/>
      <c r="O119" s="20"/>
      <c r="P119" s="20"/>
      <c r="Q119" s="20"/>
      <c r="R119" s="20"/>
      <c r="S119" s="20"/>
      <c r="T119" s="20"/>
      <c r="U119" s="20"/>
      <c r="V119" s="20"/>
      <c r="W119" s="20"/>
      <c r="X119" s="20"/>
      <c r="Y119" s="20"/>
      <c r="Z119" s="20"/>
    </row>
    <row r="120" spans="2:26" ht="17.25" customHeight="1">
      <c r="B120" s="15"/>
      <c r="C120" s="15"/>
      <c r="D120" s="15"/>
      <c r="E120" s="15"/>
      <c r="F120" s="15"/>
      <c r="G120" s="20"/>
      <c r="H120" s="20"/>
      <c r="I120" s="20"/>
      <c r="J120" s="20"/>
      <c r="K120" s="20"/>
      <c r="L120" s="20"/>
      <c r="M120" s="20"/>
      <c r="N120" s="20"/>
      <c r="O120" s="20"/>
      <c r="P120" s="20"/>
      <c r="Q120" s="20"/>
      <c r="R120" s="20"/>
      <c r="S120" s="20"/>
      <c r="T120" s="20"/>
      <c r="U120" s="20"/>
      <c r="V120" s="20"/>
      <c r="W120" s="20"/>
      <c r="X120" s="20"/>
      <c r="Y120" s="20"/>
      <c r="Z120" s="20"/>
    </row>
    <row r="121" spans="2:26" ht="17.25" customHeight="1">
      <c r="B121" s="15"/>
      <c r="C121" s="15"/>
      <c r="D121" s="15"/>
      <c r="E121" s="15"/>
      <c r="F121" s="15"/>
      <c r="G121" s="20"/>
      <c r="H121" s="20"/>
      <c r="I121" s="20"/>
      <c r="J121" s="20"/>
      <c r="K121" s="20"/>
      <c r="L121" s="20"/>
      <c r="M121" s="20"/>
      <c r="N121" s="20"/>
      <c r="O121" s="20"/>
      <c r="P121" s="20"/>
      <c r="Q121" s="20"/>
      <c r="R121" s="20"/>
      <c r="S121" s="20"/>
      <c r="T121" s="20"/>
      <c r="U121" s="20"/>
      <c r="V121" s="20"/>
      <c r="W121" s="20"/>
      <c r="X121" s="20"/>
      <c r="Y121" s="20"/>
      <c r="Z121" s="20"/>
    </row>
    <row r="122" spans="2:26" ht="17.25" customHeight="1">
      <c r="B122" s="15"/>
      <c r="C122" s="15"/>
      <c r="D122" s="15"/>
      <c r="E122" s="15"/>
      <c r="F122" s="15"/>
      <c r="G122" s="20"/>
      <c r="H122" s="20"/>
      <c r="I122" s="20"/>
      <c r="J122" s="20"/>
      <c r="K122" s="20"/>
      <c r="L122" s="20"/>
      <c r="M122" s="20"/>
      <c r="N122" s="20"/>
      <c r="O122" s="20"/>
      <c r="P122" s="20"/>
      <c r="Q122" s="20"/>
      <c r="R122" s="20"/>
      <c r="S122" s="20"/>
      <c r="T122" s="20"/>
      <c r="U122" s="20"/>
      <c r="V122" s="20"/>
      <c r="W122" s="20"/>
      <c r="X122" s="20"/>
      <c r="Y122" s="20"/>
      <c r="Z122" s="20"/>
    </row>
    <row r="123" spans="2:26" ht="17.25" customHeight="1">
      <c r="B123" s="15"/>
      <c r="C123" s="15"/>
      <c r="D123" s="15"/>
      <c r="E123" s="15"/>
      <c r="F123" s="15"/>
      <c r="G123" s="20"/>
      <c r="H123" s="20"/>
      <c r="I123" s="20"/>
      <c r="J123" s="20"/>
      <c r="K123" s="20"/>
      <c r="L123" s="20"/>
      <c r="M123" s="20"/>
      <c r="N123" s="20"/>
      <c r="O123" s="20"/>
      <c r="P123" s="20"/>
      <c r="Q123" s="20"/>
      <c r="R123" s="20"/>
      <c r="S123" s="20"/>
      <c r="T123" s="20"/>
      <c r="U123" s="20"/>
      <c r="V123" s="20"/>
      <c r="W123" s="20"/>
      <c r="X123" s="20"/>
      <c r="Y123" s="20"/>
      <c r="Z123" s="20"/>
    </row>
    <row r="124" spans="2:26" ht="17.25" customHeight="1">
      <c r="B124" s="15"/>
      <c r="C124" s="15"/>
      <c r="D124" s="15"/>
      <c r="E124" s="15"/>
      <c r="F124" s="15"/>
      <c r="G124" s="20"/>
      <c r="H124" s="20"/>
      <c r="I124" s="20"/>
      <c r="J124" s="20"/>
      <c r="K124" s="20"/>
      <c r="L124" s="20"/>
      <c r="M124" s="20"/>
      <c r="N124" s="20"/>
      <c r="O124" s="20"/>
      <c r="P124" s="20"/>
      <c r="Q124" s="20"/>
      <c r="R124" s="20"/>
      <c r="S124" s="20"/>
      <c r="T124" s="20"/>
      <c r="U124" s="20"/>
      <c r="V124" s="20"/>
      <c r="W124" s="20"/>
      <c r="X124" s="20"/>
      <c r="Y124" s="20"/>
      <c r="Z124" s="20"/>
    </row>
    <row r="125" spans="2:26" ht="17.25" customHeight="1">
      <c r="B125" s="15"/>
      <c r="C125" s="15"/>
      <c r="D125" s="15"/>
      <c r="E125" s="15"/>
      <c r="F125" s="15"/>
      <c r="G125" s="20"/>
      <c r="H125" s="20"/>
      <c r="I125" s="20"/>
      <c r="J125" s="20"/>
      <c r="K125" s="20"/>
      <c r="L125" s="20"/>
      <c r="M125" s="20"/>
      <c r="N125" s="20"/>
      <c r="O125" s="20"/>
      <c r="P125" s="20"/>
      <c r="Q125" s="20"/>
      <c r="R125" s="20"/>
      <c r="S125" s="20"/>
      <c r="T125" s="20"/>
      <c r="U125" s="20"/>
      <c r="V125" s="20"/>
      <c r="W125" s="20"/>
      <c r="X125" s="20"/>
      <c r="Y125" s="20"/>
      <c r="Z125" s="20"/>
    </row>
    <row r="126" spans="2:26" ht="17.25" customHeight="1">
      <c r="B126" s="15"/>
      <c r="C126" s="15"/>
      <c r="D126" s="15"/>
      <c r="E126" s="15"/>
      <c r="F126" s="15"/>
      <c r="G126" s="20"/>
      <c r="H126" s="20"/>
      <c r="I126" s="20"/>
      <c r="J126" s="20"/>
      <c r="K126" s="20"/>
      <c r="L126" s="20"/>
      <c r="M126" s="20"/>
      <c r="N126" s="20"/>
      <c r="O126" s="20"/>
      <c r="P126" s="20"/>
      <c r="Q126" s="20"/>
      <c r="R126" s="20"/>
      <c r="S126" s="20"/>
      <c r="T126" s="20"/>
      <c r="U126" s="20"/>
      <c r="V126" s="20"/>
      <c r="W126" s="20"/>
      <c r="X126" s="20"/>
      <c r="Y126" s="20"/>
      <c r="Z126" s="20"/>
    </row>
    <row r="127" spans="2:26" ht="17.25" customHeight="1">
      <c r="B127" s="15"/>
      <c r="C127" s="15"/>
      <c r="D127" s="15"/>
      <c r="E127" s="15"/>
      <c r="F127" s="15"/>
      <c r="G127" s="20"/>
      <c r="H127" s="20"/>
      <c r="I127" s="20"/>
      <c r="J127" s="20"/>
      <c r="K127" s="20"/>
      <c r="L127" s="20"/>
      <c r="M127" s="20"/>
      <c r="N127" s="20"/>
      <c r="O127" s="20"/>
      <c r="P127" s="20"/>
      <c r="Q127" s="20"/>
      <c r="R127" s="20"/>
      <c r="S127" s="20"/>
      <c r="T127" s="20"/>
      <c r="U127" s="20"/>
      <c r="V127" s="20"/>
      <c r="W127" s="20"/>
      <c r="X127" s="20"/>
      <c r="Y127" s="20"/>
      <c r="Z127" s="20"/>
    </row>
    <row r="128" spans="2:26" ht="17.25" customHeight="1">
      <c r="B128" s="15"/>
      <c r="C128" s="15"/>
      <c r="D128" s="15"/>
      <c r="E128" s="15"/>
      <c r="F128" s="15"/>
      <c r="G128" s="20"/>
      <c r="H128" s="20"/>
      <c r="I128" s="20"/>
      <c r="J128" s="20"/>
      <c r="K128" s="20"/>
      <c r="L128" s="20"/>
      <c r="M128" s="20"/>
      <c r="N128" s="20"/>
      <c r="O128" s="20"/>
      <c r="P128" s="20"/>
      <c r="Q128" s="20"/>
      <c r="R128" s="20"/>
      <c r="S128" s="20"/>
      <c r="T128" s="20"/>
      <c r="U128" s="20"/>
      <c r="V128" s="20"/>
      <c r="W128" s="20"/>
      <c r="X128" s="20"/>
      <c r="Y128" s="20"/>
      <c r="Z128" s="20"/>
    </row>
    <row r="129" spans="2:26" ht="17.25" customHeight="1">
      <c r="B129" s="15"/>
      <c r="C129" s="15"/>
      <c r="D129" s="15"/>
      <c r="E129" s="15"/>
      <c r="F129" s="15"/>
      <c r="G129" s="20"/>
      <c r="H129" s="20"/>
      <c r="I129" s="20"/>
      <c r="J129" s="20"/>
      <c r="K129" s="20"/>
      <c r="L129" s="20"/>
      <c r="M129" s="20"/>
      <c r="N129" s="20"/>
      <c r="O129" s="20"/>
      <c r="P129" s="20"/>
      <c r="Q129" s="20"/>
      <c r="R129" s="20"/>
      <c r="S129" s="20"/>
      <c r="T129" s="20"/>
      <c r="U129" s="20"/>
      <c r="V129" s="20"/>
      <c r="W129" s="20"/>
      <c r="X129" s="20"/>
      <c r="Y129" s="20"/>
      <c r="Z129" s="20"/>
    </row>
    <row r="130" spans="2:26" ht="17.25" customHeight="1">
      <c r="B130" s="15"/>
      <c r="C130" s="15"/>
      <c r="D130" s="15"/>
      <c r="E130" s="15"/>
      <c r="F130" s="15"/>
      <c r="G130" s="20"/>
      <c r="H130" s="20"/>
      <c r="I130" s="20"/>
      <c r="J130" s="20"/>
      <c r="K130" s="20"/>
      <c r="L130" s="20"/>
      <c r="M130" s="20"/>
      <c r="N130" s="20"/>
      <c r="O130" s="20"/>
      <c r="P130" s="20"/>
      <c r="Q130" s="20"/>
      <c r="R130" s="20"/>
      <c r="S130" s="20"/>
      <c r="T130" s="20"/>
      <c r="U130" s="20"/>
      <c r="V130" s="20"/>
      <c r="W130" s="20"/>
      <c r="X130" s="20"/>
      <c r="Y130" s="20"/>
      <c r="Z130" s="20"/>
    </row>
    <row r="131" spans="2:26" ht="17.25" customHeight="1">
      <c r="B131" s="15"/>
      <c r="C131" s="15"/>
      <c r="D131" s="15"/>
      <c r="E131" s="15"/>
      <c r="F131" s="15"/>
      <c r="G131" s="20"/>
      <c r="H131" s="20"/>
      <c r="I131" s="20"/>
      <c r="J131" s="20"/>
      <c r="K131" s="20"/>
      <c r="L131" s="20"/>
      <c r="M131" s="20"/>
      <c r="N131" s="20"/>
      <c r="O131" s="20"/>
      <c r="P131" s="20"/>
      <c r="Q131" s="20"/>
      <c r="R131" s="20"/>
      <c r="S131" s="20"/>
      <c r="T131" s="20"/>
      <c r="U131" s="20"/>
      <c r="V131" s="20"/>
      <c r="W131" s="20"/>
      <c r="X131" s="20"/>
      <c r="Y131" s="20"/>
      <c r="Z131" s="20"/>
    </row>
    <row r="132" spans="2:26" ht="17.25" customHeight="1">
      <c r="B132" s="15"/>
      <c r="C132" s="15"/>
      <c r="D132" s="15"/>
      <c r="E132" s="15"/>
      <c r="F132" s="15"/>
      <c r="G132" s="20"/>
      <c r="H132" s="20"/>
      <c r="I132" s="20"/>
      <c r="J132" s="20"/>
      <c r="K132" s="20"/>
      <c r="L132" s="20"/>
      <c r="M132" s="20"/>
      <c r="N132" s="20"/>
      <c r="O132" s="20"/>
      <c r="P132" s="20"/>
      <c r="Q132" s="20"/>
      <c r="R132" s="20"/>
      <c r="S132" s="20"/>
      <c r="T132" s="20"/>
      <c r="U132" s="20"/>
      <c r="V132" s="20"/>
      <c r="W132" s="20"/>
      <c r="X132" s="20"/>
      <c r="Y132" s="20"/>
      <c r="Z132" s="20"/>
    </row>
    <row r="133" spans="2:26" ht="17.25" customHeight="1">
      <c r="B133" s="15"/>
      <c r="C133" s="15"/>
      <c r="D133" s="15"/>
      <c r="E133" s="15"/>
      <c r="F133" s="15"/>
      <c r="G133" s="20"/>
      <c r="H133" s="20"/>
      <c r="I133" s="20"/>
      <c r="J133" s="20"/>
      <c r="K133" s="20"/>
      <c r="L133" s="20"/>
      <c r="M133" s="20"/>
      <c r="N133" s="20"/>
      <c r="O133" s="20"/>
      <c r="P133" s="20"/>
      <c r="Q133" s="20"/>
      <c r="R133" s="20"/>
      <c r="S133" s="20"/>
      <c r="T133" s="20"/>
      <c r="U133" s="20"/>
      <c r="V133" s="20"/>
      <c r="W133" s="20"/>
      <c r="X133" s="20"/>
      <c r="Y133" s="20"/>
      <c r="Z133" s="20"/>
    </row>
    <row r="134" spans="2:26" ht="17.25" customHeight="1">
      <c r="B134" s="15"/>
      <c r="C134" s="15"/>
      <c r="D134" s="15"/>
      <c r="E134" s="15"/>
      <c r="F134" s="15"/>
      <c r="G134" s="20"/>
      <c r="H134" s="20"/>
      <c r="I134" s="20"/>
      <c r="J134" s="20"/>
      <c r="K134" s="20"/>
      <c r="L134" s="20"/>
      <c r="M134" s="20"/>
      <c r="N134" s="20"/>
      <c r="O134" s="20"/>
      <c r="P134" s="20"/>
      <c r="Q134" s="20"/>
      <c r="R134" s="20"/>
      <c r="S134" s="20"/>
      <c r="T134" s="20"/>
      <c r="U134" s="20"/>
      <c r="V134" s="20"/>
      <c r="W134" s="20"/>
      <c r="X134" s="20"/>
      <c r="Y134" s="20"/>
      <c r="Z134" s="20"/>
    </row>
    <row r="135" spans="2:26" ht="17.25" customHeight="1">
      <c r="B135" s="15"/>
      <c r="C135" s="15"/>
      <c r="D135" s="15"/>
      <c r="E135" s="15"/>
      <c r="F135" s="15"/>
      <c r="G135" s="20"/>
      <c r="H135" s="20"/>
      <c r="I135" s="20"/>
      <c r="J135" s="20"/>
      <c r="K135" s="20"/>
      <c r="L135" s="20"/>
      <c r="M135" s="20"/>
      <c r="N135" s="20"/>
      <c r="O135" s="20"/>
      <c r="P135" s="20"/>
      <c r="Q135" s="20"/>
      <c r="R135" s="20"/>
      <c r="S135" s="20"/>
      <c r="T135" s="20"/>
      <c r="U135" s="20"/>
      <c r="V135" s="20"/>
      <c r="W135" s="20"/>
      <c r="X135" s="20"/>
      <c r="Y135" s="20"/>
      <c r="Z135" s="20"/>
    </row>
    <row r="136" spans="2:26" ht="17.25" customHeight="1">
      <c r="B136" s="15"/>
      <c r="C136" s="15"/>
      <c r="D136" s="15"/>
      <c r="E136" s="15"/>
      <c r="F136" s="15"/>
      <c r="G136" s="20"/>
      <c r="H136" s="20"/>
      <c r="I136" s="20"/>
      <c r="J136" s="20"/>
      <c r="K136" s="20"/>
      <c r="L136" s="20"/>
      <c r="M136" s="20"/>
      <c r="N136" s="20"/>
      <c r="O136" s="20"/>
      <c r="P136" s="20"/>
      <c r="Q136" s="20"/>
      <c r="R136" s="20"/>
      <c r="S136" s="20"/>
      <c r="T136" s="20"/>
      <c r="U136" s="20"/>
      <c r="V136" s="20"/>
      <c r="W136" s="20"/>
      <c r="X136" s="20"/>
      <c r="Y136" s="20"/>
      <c r="Z136" s="20"/>
    </row>
    <row r="137" spans="2:26" ht="17.25" customHeight="1">
      <c r="B137" s="15"/>
      <c r="C137" s="15"/>
      <c r="D137" s="15"/>
      <c r="E137" s="15"/>
      <c r="F137" s="15"/>
      <c r="G137" s="20"/>
      <c r="H137" s="20"/>
      <c r="I137" s="20"/>
      <c r="J137" s="20"/>
      <c r="K137" s="20"/>
      <c r="L137" s="20"/>
      <c r="M137" s="20"/>
      <c r="N137" s="20"/>
      <c r="O137" s="20"/>
      <c r="P137" s="20"/>
      <c r="Q137" s="20"/>
      <c r="R137" s="20"/>
      <c r="S137" s="20"/>
      <c r="T137" s="20"/>
      <c r="U137" s="20"/>
      <c r="V137" s="20"/>
      <c r="W137" s="20"/>
      <c r="X137" s="20"/>
      <c r="Y137" s="20"/>
      <c r="Z137" s="20"/>
    </row>
    <row r="138" spans="2:26" ht="17.25" customHeight="1">
      <c r="B138" s="15"/>
      <c r="C138" s="15"/>
      <c r="D138" s="15"/>
      <c r="E138" s="15"/>
      <c r="F138" s="15"/>
      <c r="G138" s="20"/>
      <c r="H138" s="20"/>
      <c r="I138" s="20"/>
      <c r="J138" s="20"/>
      <c r="K138" s="20"/>
      <c r="L138" s="20"/>
      <c r="M138" s="20"/>
      <c r="N138" s="20"/>
      <c r="O138" s="20"/>
      <c r="P138" s="20"/>
      <c r="Q138" s="20"/>
      <c r="R138" s="20"/>
      <c r="S138" s="20"/>
      <c r="T138" s="20"/>
      <c r="U138" s="20"/>
      <c r="V138" s="20"/>
      <c r="W138" s="20"/>
      <c r="X138" s="20"/>
      <c r="Y138" s="20"/>
      <c r="Z138" s="20"/>
    </row>
    <row r="139" spans="2:26" ht="17.25" customHeight="1">
      <c r="B139" s="15"/>
      <c r="C139" s="15"/>
      <c r="D139" s="15"/>
      <c r="E139" s="15"/>
      <c r="F139" s="15"/>
      <c r="G139" s="20"/>
      <c r="H139" s="20"/>
      <c r="I139" s="20"/>
      <c r="J139" s="20"/>
      <c r="K139" s="20"/>
      <c r="L139" s="20"/>
      <c r="M139" s="20"/>
      <c r="N139" s="20"/>
      <c r="O139" s="20"/>
      <c r="P139" s="20"/>
      <c r="Q139" s="20"/>
      <c r="R139" s="20"/>
      <c r="S139" s="20"/>
      <c r="T139" s="20"/>
      <c r="U139" s="20"/>
      <c r="V139" s="20"/>
      <c r="W139" s="20"/>
      <c r="X139" s="20"/>
      <c r="Y139" s="20"/>
      <c r="Z139" s="20"/>
    </row>
    <row r="140" spans="2:26" ht="17.25" customHeight="1">
      <c r="B140" s="15"/>
      <c r="C140" s="15"/>
      <c r="D140" s="15"/>
      <c r="E140" s="15"/>
      <c r="F140" s="15"/>
      <c r="G140" s="20"/>
      <c r="H140" s="20"/>
      <c r="I140" s="20"/>
      <c r="J140" s="20"/>
      <c r="K140" s="20"/>
      <c r="L140" s="20"/>
      <c r="M140" s="20"/>
      <c r="N140" s="20"/>
      <c r="O140" s="20"/>
      <c r="P140" s="20"/>
      <c r="Q140" s="20"/>
      <c r="R140" s="20"/>
      <c r="S140" s="20"/>
      <c r="T140" s="20"/>
      <c r="U140" s="20"/>
      <c r="V140" s="20"/>
      <c r="W140" s="20"/>
      <c r="X140" s="20"/>
      <c r="Y140" s="20"/>
      <c r="Z140" s="20"/>
    </row>
    <row r="141" spans="2:26" ht="17.25" customHeight="1">
      <c r="B141" s="15"/>
      <c r="C141" s="15"/>
      <c r="D141" s="15"/>
      <c r="E141" s="15"/>
      <c r="F141" s="15"/>
      <c r="G141" s="20"/>
      <c r="H141" s="20"/>
      <c r="I141" s="20"/>
      <c r="J141" s="20"/>
      <c r="K141" s="20"/>
      <c r="L141" s="20"/>
      <c r="M141" s="20"/>
      <c r="N141" s="20"/>
      <c r="O141" s="20"/>
      <c r="P141" s="20"/>
      <c r="Q141" s="20"/>
      <c r="R141" s="20"/>
      <c r="S141" s="20"/>
      <c r="T141" s="20"/>
      <c r="U141" s="20"/>
      <c r="V141" s="20"/>
      <c r="W141" s="20"/>
      <c r="X141" s="20"/>
      <c r="Y141" s="20"/>
      <c r="Z141" s="20"/>
    </row>
    <row r="142" spans="2:26" ht="17.25" customHeight="1">
      <c r="B142" s="15"/>
      <c r="C142" s="15"/>
      <c r="D142" s="15"/>
      <c r="E142" s="15"/>
      <c r="F142" s="15"/>
      <c r="G142" s="20"/>
      <c r="H142" s="20"/>
      <c r="I142" s="20"/>
      <c r="J142" s="20"/>
      <c r="K142" s="20"/>
      <c r="L142" s="20"/>
      <c r="M142" s="20"/>
      <c r="N142" s="20"/>
      <c r="O142" s="20"/>
      <c r="P142" s="20"/>
      <c r="Q142" s="20"/>
      <c r="R142" s="20"/>
      <c r="S142" s="20"/>
      <c r="T142" s="20"/>
      <c r="U142" s="20"/>
      <c r="V142" s="20"/>
      <c r="W142" s="20"/>
      <c r="X142" s="20"/>
      <c r="Y142" s="20"/>
      <c r="Z142" s="20"/>
    </row>
    <row r="143" spans="2:26" ht="17.25" customHeight="1">
      <c r="B143" s="15"/>
      <c r="C143" s="15"/>
      <c r="D143" s="15"/>
      <c r="E143" s="15"/>
      <c r="F143" s="15"/>
      <c r="G143" s="20"/>
      <c r="H143" s="20"/>
      <c r="I143" s="20"/>
      <c r="J143" s="20"/>
      <c r="K143" s="20"/>
      <c r="L143" s="20"/>
      <c r="M143" s="20"/>
      <c r="N143" s="20"/>
      <c r="O143" s="20"/>
      <c r="P143" s="20"/>
      <c r="Q143" s="20"/>
      <c r="R143" s="20"/>
      <c r="S143" s="20"/>
      <c r="T143" s="20"/>
      <c r="U143" s="20"/>
      <c r="V143" s="20"/>
      <c r="W143" s="20"/>
      <c r="X143" s="20"/>
      <c r="Y143" s="20"/>
      <c r="Z143" s="20"/>
    </row>
    <row r="144" spans="2:26" ht="17.25" customHeight="1">
      <c r="B144" s="15"/>
      <c r="C144" s="15"/>
      <c r="D144" s="15"/>
      <c r="E144" s="15"/>
      <c r="F144" s="15"/>
      <c r="G144" s="20"/>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15"/>
      <c r="C145" s="15"/>
      <c r="D145" s="15"/>
      <c r="E145" s="15"/>
      <c r="F145" s="15"/>
      <c r="G145" s="20"/>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15"/>
      <c r="C146" s="15"/>
      <c r="D146" s="15"/>
      <c r="E146" s="15"/>
      <c r="F146" s="15"/>
      <c r="G146" s="20"/>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15"/>
      <c r="C147" s="15"/>
      <c r="D147" s="15"/>
      <c r="E147" s="15"/>
      <c r="F147" s="15"/>
      <c r="G147" s="20"/>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15"/>
      <c r="C148" s="15"/>
      <c r="D148" s="15"/>
      <c r="E148" s="15"/>
      <c r="F148" s="15"/>
      <c r="G148" s="20"/>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15"/>
      <c r="C149" s="15"/>
      <c r="D149" s="15"/>
      <c r="E149" s="15"/>
      <c r="F149" s="15"/>
      <c r="G149" s="20"/>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15"/>
      <c r="C150" s="15"/>
      <c r="D150" s="15"/>
      <c r="E150" s="15"/>
      <c r="F150" s="15"/>
      <c r="G150" s="20"/>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15"/>
      <c r="C151" s="15"/>
      <c r="D151" s="15"/>
      <c r="E151" s="15"/>
      <c r="F151" s="15"/>
      <c r="G151" s="20"/>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15"/>
      <c r="C152" s="15"/>
      <c r="D152" s="15"/>
      <c r="E152" s="15"/>
      <c r="F152" s="15"/>
      <c r="G152" s="20"/>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15"/>
      <c r="C153" s="15"/>
      <c r="D153" s="15"/>
      <c r="E153" s="15"/>
      <c r="F153" s="15"/>
      <c r="G153" s="20"/>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15"/>
      <c r="C154" s="15"/>
      <c r="D154" s="15"/>
      <c r="E154" s="15"/>
      <c r="F154" s="15"/>
      <c r="G154" s="20"/>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15"/>
      <c r="C155" s="15"/>
      <c r="D155" s="15"/>
      <c r="E155" s="15"/>
      <c r="F155" s="15"/>
      <c r="G155" s="20"/>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15"/>
      <c r="C156" s="15"/>
      <c r="D156" s="15"/>
      <c r="E156" s="15"/>
      <c r="F156" s="15"/>
      <c r="G156" s="20"/>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15"/>
      <c r="C157" s="15"/>
      <c r="D157" s="15"/>
      <c r="E157" s="15"/>
      <c r="F157" s="15"/>
      <c r="G157" s="20"/>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15"/>
      <c r="C158" s="15"/>
      <c r="D158" s="15"/>
      <c r="E158" s="15"/>
      <c r="F158" s="15"/>
      <c r="G158" s="20"/>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15"/>
      <c r="C159" s="15"/>
      <c r="D159" s="15"/>
      <c r="E159" s="15"/>
      <c r="F159" s="15"/>
      <c r="G159" s="20"/>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15"/>
      <c r="C160" s="15"/>
      <c r="D160" s="15"/>
      <c r="E160" s="15"/>
      <c r="F160" s="15"/>
      <c r="G160" s="20"/>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15"/>
      <c r="C161" s="15"/>
      <c r="D161" s="15"/>
      <c r="E161" s="15"/>
      <c r="F161" s="15"/>
      <c r="G161" s="20"/>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15"/>
      <c r="C162" s="15"/>
      <c r="D162" s="15"/>
      <c r="E162" s="15"/>
      <c r="F162" s="15"/>
      <c r="G162" s="20"/>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15"/>
      <c r="C163" s="15"/>
      <c r="D163" s="15"/>
      <c r="E163" s="15"/>
      <c r="F163" s="15"/>
      <c r="G163" s="20"/>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15"/>
      <c r="C164" s="15"/>
      <c r="D164" s="15"/>
      <c r="E164" s="15"/>
      <c r="F164" s="15"/>
      <c r="G164" s="20"/>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15"/>
      <c r="C165" s="15"/>
      <c r="D165" s="15"/>
      <c r="E165" s="15"/>
      <c r="F165" s="15"/>
      <c r="G165" s="20"/>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15"/>
      <c r="C166" s="15"/>
      <c r="D166" s="15"/>
      <c r="E166" s="15"/>
      <c r="F166" s="15"/>
      <c r="G166" s="20"/>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15"/>
      <c r="C167" s="15"/>
      <c r="D167" s="15"/>
      <c r="E167" s="15"/>
      <c r="F167" s="15"/>
      <c r="G167" s="20"/>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15"/>
      <c r="C168" s="15"/>
      <c r="D168" s="15"/>
      <c r="E168" s="15"/>
      <c r="F168" s="15"/>
      <c r="G168" s="20"/>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15"/>
      <c r="C169" s="15"/>
      <c r="D169" s="15"/>
      <c r="E169" s="15"/>
      <c r="F169" s="15"/>
      <c r="G169" s="20"/>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15"/>
      <c r="C170" s="15"/>
      <c r="D170" s="15"/>
      <c r="E170" s="15"/>
      <c r="F170" s="15"/>
      <c r="G170" s="20"/>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15"/>
      <c r="C171" s="15"/>
      <c r="D171" s="15"/>
      <c r="E171" s="15"/>
      <c r="F171" s="15"/>
      <c r="G171" s="20"/>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15"/>
      <c r="C172" s="15"/>
      <c r="D172" s="15"/>
      <c r="E172" s="15"/>
      <c r="F172" s="15"/>
      <c r="G172" s="20"/>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15"/>
      <c r="C173" s="15"/>
      <c r="D173" s="15"/>
      <c r="E173" s="15"/>
      <c r="F173" s="15"/>
      <c r="G173" s="20"/>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15"/>
      <c r="C174" s="15"/>
      <c r="D174" s="15"/>
      <c r="E174" s="15"/>
      <c r="F174" s="15"/>
      <c r="G174" s="20"/>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15"/>
      <c r="C175" s="15"/>
      <c r="D175" s="15"/>
      <c r="E175" s="15"/>
      <c r="F175" s="15"/>
      <c r="G175" s="20"/>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15"/>
      <c r="C176" s="15"/>
      <c r="D176" s="15"/>
      <c r="E176" s="15"/>
      <c r="F176" s="15"/>
      <c r="G176" s="20"/>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15"/>
      <c r="C177" s="15"/>
      <c r="D177" s="15"/>
      <c r="E177" s="15"/>
      <c r="F177" s="15"/>
      <c r="G177" s="20"/>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15"/>
      <c r="C178" s="15"/>
      <c r="D178" s="15"/>
      <c r="E178" s="15"/>
      <c r="F178" s="15"/>
      <c r="G178" s="20"/>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15"/>
      <c r="C179" s="15"/>
      <c r="D179" s="15"/>
      <c r="E179" s="15"/>
      <c r="F179" s="15"/>
      <c r="G179" s="20"/>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15"/>
      <c r="C180" s="15"/>
      <c r="D180" s="15"/>
      <c r="E180" s="15"/>
      <c r="F180" s="15"/>
      <c r="G180" s="20"/>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15"/>
      <c r="C181" s="15"/>
      <c r="D181" s="15"/>
      <c r="E181" s="15"/>
      <c r="F181" s="15"/>
      <c r="G181" s="20"/>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15"/>
      <c r="C182" s="15"/>
      <c r="D182" s="15"/>
      <c r="E182" s="15"/>
      <c r="F182" s="15"/>
      <c r="G182" s="20"/>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15"/>
      <c r="C183" s="15"/>
      <c r="D183" s="15"/>
      <c r="E183" s="15"/>
      <c r="F183" s="15"/>
      <c r="G183" s="20"/>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15"/>
      <c r="C184" s="15"/>
      <c r="D184" s="15"/>
      <c r="E184" s="15"/>
      <c r="F184" s="15"/>
      <c r="G184" s="20"/>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15"/>
      <c r="C185" s="15"/>
      <c r="D185" s="15"/>
      <c r="E185" s="15"/>
      <c r="F185" s="15"/>
      <c r="G185" s="20"/>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15"/>
      <c r="C186" s="15"/>
      <c r="D186" s="15"/>
      <c r="E186" s="15"/>
      <c r="F186" s="15"/>
      <c r="G186" s="20"/>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15"/>
      <c r="C187" s="15"/>
      <c r="D187" s="15"/>
      <c r="E187" s="15"/>
      <c r="F187" s="15"/>
      <c r="G187" s="20"/>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15"/>
      <c r="C188" s="15"/>
      <c r="D188" s="15"/>
      <c r="E188" s="15"/>
      <c r="F188" s="15"/>
      <c r="G188" s="20"/>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15"/>
      <c r="C189" s="15"/>
      <c r="D189" s="15"/>
      <c r="E189" s="15"/>
      <c r="F189" s="15"/>
      <c r="G189" s="20"/>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15"/>
      <c r="C190" s="15"/>
      <c r="D190" s="15"/>
      <c r="E190" s="15"/>
      <c r="F190" s="15"/>
      <c r="G190" s="20"/>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15"/>
      <c r="C191" s="15"/>
      <c r="D191" s="15"/>
      <c r="E191" s="15"/>
      <c r="F191" s="15"/>
      <c r="G191" s="20"/>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15"/>
      <c r="C192" s="15"/>
      <c r="D192" s="15"/>
      <c r="E192" s="15"/>
      <c r="F192" s="15"/>
      <c r="G192" s="20"/>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15"/>
      <c r="C193" s="15"/>
      <c r="D193" s="15"/>
      <c r="E193" s="15"/>
      <c r="F193" s="15"/>
      <c r="G193" s="20"/>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15"/>
      <c r="C194" s="15"/>
      <c r="D194" s="15"/>
      <c r="E194" s="15"/>
      <c r="F194" s="15"/>
      <c r="G194" s="20"/>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15"/>
      <c r="C195" s="15"/>
      <c r="D195" s="15"/>
      <c r="E195" s="15"/>
      <c r="F195" s="15"/>
      <c r="G195" s="20"/>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15"/>
      <c r="C196" s="15"/>
      <c r="D196" s="15"/>
      <c r="E196" s="15"/>
      <c r="F196" s="15"/>
      <c r="G196" s="20"/>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15"/>
      <c r="C197" s="15"/>
      <c r="D197" s="15"/>
      <c r="E197" s="15"/>
      <c r="F197" s="15"/>
      <c r="G197" s="20"/>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15"/>
      <c r="C198" s="15"/>
      <c r="D198" s="15"/>
      <c r="E198" s="15"/>
      <c r="F198" s="15"/>
      <c r="G198" s="20"/>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15"/>
      <c r="C199" s="15"/>
      <c r="D199" s="15"/>
      <c r="E199" s="15"/>
      <c r="F199" s="15"/>
      <c r="G199" s="20"/>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15"/>
      <c r="C200" s="15"/>
      <c r="D200" s="15"/>
      <c r="E200" s="15"/>
      <c r="F200" s="15"/>
      <c r="G200" s="20"/>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15"/>
      <c r="C201" s="15"/>
      <c r="D201" s="15"/>
      <c r="E201" s="15"/>
      <c r="F201" s="15"/>
      <c r="G201" s="20"/>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15"/>
      <c r="C202" s="15"/>
      <c r="D202" s="15"/>
      <c r="E202" s="15"/>
      <c r="F202" s="15"/>
      <c r="G202" s="20"/>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15"/>
      <c r="C203" s="15"/>
      <c r="D203" s="15"/>
      <c r="E203" s="15"/>
      <c r="F203" s="15"/>
      <c r="G203" s="20"/>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15"/>
      <c r="C204" s="15"/>
      <c r="D204" s="15"/>
      <c r="E204" s="15"/>
      <c r="F204" s="15"/>
      <c r="G204" s="20"/>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15"/>
      <c r="C205" s="15"/>
      <c r="D205" s="15"/>
      <c r="E205" s="15"/>
      <c r="F205" s="15"/>
      <c r="G205" s="20"/>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15"/>
      <c r="C206" s="15"/>
      <c r="D206" s="15"/>
      <c r="E206" s="15"/>
      <c r="F206" s="15"/>
      <c r="G206" s="20"/>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15"/>
      <c r="C207" s="15"/>
      <c r="D207" s="15"/>
      <c r="E207" s="15"/>
      <c r="F207" s="15"/>
      <c r="G207" s="20"/>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15"/>
      <c r="C208" s="15"/>
      <c r="D208" s="15"/>
      <c r="E208" s="15"/>
      <c r="F208" s="15"/>
      <c r="G208" s="20"/>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15"/>
      <c r="C209" s="15"/>
      <c r="D209" s="15"/>
      <c r="E209" s="15"/>
      <c r="F209" s="15"/>
      <c r="G209" s="20"/>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15"/>
      <c r="C210" s="15"/>
      <c r="D210" s="15"/>
      <c r="E210" s="15"/>
      <c r="F210" s="15"/>
      <c r="G210" s="20"/>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15"/>
      <c r="C211" s="15"/>
      <c r="D211" s="15"/>
      <c r="E211" s="15"/>
      <c r="F211" s="15"/>
      <c r="G211" s="20"/>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15"/>
      <c r="C212" s="15"/>
      <c r="D212" s="15"/>
      <c r="E212" s="15"/>
      <c r="F212" s="15"/>
      <c r="G212" s="20"/>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15"/>
      <c r="C213" s="15"/>
      <c r="D213" s="15"/>
      <c r="E213" s="15"/>
      <c r="F213" s="15"/>
      <c r="G213" s="20"/>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15"/>
      <c r="C214" s="15"/>
      <c r="D214" s="15"/>
      <c r="E214" s="15"/>
      <c r="F214" s="15"/>
      <c r="G214" s="20"/>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15"/>
      <c r="C215" s="15"/>
      <c r="D215" s="15"/>
      <c r="E215" s="15"/>
      <c r="F215" s="15"/>
      <c r="G215" s="20"/>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15"/>
      <c r="C216" s="15"/>
      <c r="D216" s="15"/>
      <c r="E216" s="15"/>
      <c r="F216" s="15"/>
      <c r="G216" s="20"/>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15"/>
      <c r="C217" s="15"/>
      <c r="D217" s="15"/>
      <c r="E217" s="15"/>
      <c r="F217" s="15"/>
      <c r="G217" s="20"/>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15"/>
      <c r="C218" s="15"/>
      <c r="D218" s="15"/>
      <c r="E218" s="15"/>
      <c r="F218" s="15"/>
      <c r="G218" s="20"/>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15"/>
      <c r="C219" s="15"/>
      <c r="D219" s="15"/>
      <c r="E219" s="15"/>
      <c r="F219" s="15"/>
      <c r="G219" s="20"/>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15"/>
      <c r="C220" s="15"/>
      <c r="D220" s="15"/>
      <c r="E220" s="15"/>
      <c r="F220" s="15"/>
      <c r="G220" s="20"/>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15"/>
      <c r="C221" s="15"/>
      <c r="D221" s="15"/>
      <c r="E221" s="15"/>
      <c r="F221" s="15"/>
      <c r="G221" s="20"/>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15"/>
      <c r="C222" s="15"/>
      <c r="D222" s="15"/>
      <c r="E222" s="15"/>
      <c r="F222" s="15"/>
      <c r="G222" s="20"/>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15"/>
      <c r="C223" s="15"/>
      <c r="D223" s="15"/>
      <c r="E223" s="15"/>
      <c r="F223" s="15"/>
      <c r="G223" s="20"/>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15"/>
      <c r="C224" s="15"/>
      <c r="D224" s="15"/>
      <c r="E224" s="15"/>
      <c r="F224" s="15"/>
      <c r="G224" s="20"/>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15"/>
      <c r="C225" s="15"/>
      <c r="D225" s="15"/>
      <c r="E225" s="15"/>
      <c r="F225" s="15"/>
      <c r="G225" s="20"/>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15"/>
      <c r="C226" s="15"/>
      <c r="D226" s="15"/>
      <c r="E226" s="15"/>
      <c r="F226" s="15"/>
      <c r="G226" s="20"/>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15"/>
      <c r="C227" s="15"/>
      <c r="D227" s="15"/>
      <c r="E227" s="15"/>
      <c r="F227" s="15"/>
      <c r="G227" s="20"/>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15"/>
      <c r="C228" s="15"/>
      <c r="D228" s="15"/>
      <c r="E228" s="15"/>
      <c r="F228" s="15"/>
      <c r="G228" s="20"/>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15"/>
      <c r="C229" s="15"/>
      <c r="D229" s="15"/>
      <c r="E229" s="15"/>
      <c r="F229" s="15"/>
      <c r="G229" s="20"/>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15"/>
      <c r="C230" s="15"/>
      <c r="D230" s="15"/>
      <c r="E230" s="15"/>
      <c r="F230" s="15"/>
      <c r="G230" s="20"/>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15"/>
      <c r="C231" s="15"/>
      <c r="D231" s="15"/>
      <c r="E231" s="15"/>
      <c r="F231" s="15"/>
      <c r="G231" s="20"/>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15"/>
      <c r="C232" s="15"/>
      <c r="D232" s="15"/>
      <c r="E232" s="15"/>
      <c r="F232" s="15"/>
      <c r="G232" s="20"/>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15"/>
      <c r="C233" s="15"/>
      <c r="D233" s="15"/>
      <c r="E233" s="15"/>
      <c r="F233" s="15"/>
      <c r="G233" s="20"/>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15"/>
      <c r="C234" s="15"/>
      <c r="D234" s="15"/>
      <c r="E234" s="15"/>
      <c r="F234" s="15"/>
      <c r="G234" s="20"/>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15"/>
      <c r="C235" s="15"/>
      <c r="D235" s="15"/>
      <c r="E235" s="15"/>
      <c r="F235" s="15"/>
      <c r="G235" s="20"/>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15"/>
      <c r="C236" s="15"/>
      <c r="D236" s="15"/>
      <c r="E236" s="15"/>
      <c r="F236" s="15"/>
      <c r="G236" s="20"/>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15"/>
      <c r="C237" s="15"/>
      <c r="D237" s="15"/>
      <c r="E237" s="15"/>
      <c r="F237" s="15"/>
      <c r="G237" s="20"/>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15"/>
      <c r="C238" s="15"/>
      <c r="D238" s="15"/>
      <c r="E238" s="15"/>
      <c r="F238" s="15"/>
      <c r="G238" s="20"/>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15"/>
      <c r="C239" s="15"/>
      <c r="D239" s="15"/>
      <c r="E239" s="15"/>
      <c r="F239" s="15"/>
      <c r="G239" s="20"/>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15"/>
      <c r="C240" s="15"/>
      <c r="D240" s="15"/>
      <c r="E240" s="15"/>
      <c r="F240" s="15"/>
      <c r="G240" s="20"/>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15"/>
      <c r="C241" s="15"/>
      <c r="D241" s="15"/>
      <c r="E241" s="15"/>
      <c r="F241" s="15"/>
      <c r="G241" s="20"/>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15"/>
      <c r="C242" s="15"/>
      <c r="D242" s="15"/>
      <c r="E242" s="15"/>
      <c r="F242" s="15"/>
      <c r="G242" s="20"/>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15"/>
      <c r="C243" s="15"/>
      <c r="D243" s="15"/>
      <c r="E243" s="15"/>
      <c r="F243" s="15"/>
      <c r="G243" s="20"/>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15"/>
      <c r="C244" s="15"/>
      <c r="D244" s="15"/>
      <c r="E244" s="15"/>
      <c r="F244" s="15"/>
      <c r="G244" s="20"/>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15"/>
      <c r="C245" s="15"/>
      <c r="D245" s="15"/>
      <c r="E245" s="15"/>
      <c r="F245" s="15"/>
      <c r="G245" s="20"/>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15"/>
      <c r="C246" s="15"/>
      <c r="D246" s="15"/>
      <c r="E246" s="15"/>
      <c r="F246" s="15"/>
      <c r="G246" s="20"/>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15"/>
      <c r="C247" s="15"/>
      <c r="D247" s="15"/>
      <c r="E247" s="15"/>
      <c r="F247" s="15"/>
      <c r="G247" s="20"/>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15"/>
      <c r="C248" s="15"/>
      <c r="D248" s="15"/>
      <c r="E248" s="15"/>
      <c r="F248" s="15"/>
      <c r="G248" s="20"/>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15"/>
      <c r="C249" s="15"/>
      <c r="D249" s="15"/>
      <c r="E249" s="15"/>
      <c r="F249" s="15"/>
      <c r="G249" s="20"/>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15"/>
      <c r="C250" s="15"/>
      <c r="D250" s="15"/>
      <c r="E250" s="15"/>
      <c r="F250" s="15"/>
      <c r="G250" s="20"/>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15"/>
      <c r="C251" s="15"/>
      <c r="D251" s="15"/>
      <c r="E251" s="15"/>
      <c r="F251" s="15"/>
      <c r="G251" s="20"/>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15"/>
      <c r="C252" s="15"/>
      <c r="D252" s="15"/>
      <c r="E252" s="15"/>
      <c r="F252" s="15"/>
      <c r="G252" s="20"/>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15"/>
      <c r="C253" s="15"/>
      <c r="D253" s="15"/>
      <c r="E253" s="15"/>
      <c r="F253" s="15"/>
      <c r="G253" s="20"/>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15"/>
      <c r="C254" s="15"/>
      <c r="D254" s="15"/>
      <c r="E254" s="15"/>
      <c r="F254" s="15"/>
      <c r="G254" s="20"/>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15"/>
      <c r="C255" s="15"/>
      <c r="D255" s="15"/>
      <c r="E255" s="15"/>
      <c r="F255" s="15"/>
      <c r="G255" s="20"/>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15"/>
      <c r="C256" s="15"/>
      <c r="D256" s="15"/>
      <c r="E256" s="15"/>
      <c r="F256" s="15"/>
      <c r="G256" s="20"/>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15"/>
      <c r="C257" s="15"/>
      <c r="D257" s="15"/>
      <c r="E257" s="15"/>
      <c r="F257" s="15"/>
      <c r="G257" s="20"/>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15"/>
      <c r="C258" s="15"/>
      <c r="D258" s="15"/>
      <c r="E258" s="15"/>
      <c r="F258" s="15"/>
      <c r="G258" s="20"/>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15"/>
      <c r="C259" s="15"/>
      <c r="D259" s="15"/>
      <c r="E259" s="15"/>
      <c r="F259" s="15"/>
      <c r="G259" s="20"/>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15"/>
      <c r="C260" s="15"/>
      <c r="D260" s="15"/>
      <c r="E260" s="15"/>
      <c r="F260" s="15"/>
      <c r="G260" s="20"/>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15"/>
      <c r="C261" s="15"/>
      <c r="D261" s="15"/>
      <c r="E261" s="15"/>
      <c r="F261" s="15"/>
      <c r="G261" s="20"/>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15"/>
      <c r="C262" s="15"/>
      <c r="D262" s="15"/>
      <c r="E262" s="15"/>
      <c r="F262" s="15"/>
      <c r="G262" s="20"/>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15"/>
      <c r="C263" s="15"/>
      <c r="D263" s="15"/>
      <c r="E263" s="15"/>
      <c r="F263" s="15"/>
      <c r="G263" s="20"/>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15"/>
      <c r="C264" s="15"/>
      <c r="D264" s="15"/>
      <c r="E264" s="15"/>
      <c r="F264" s="15"/>
      <c r="G264" s="20"/>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15"/>
      <c r="C265" s="15"/>
      <c r="D265" s="15"/>
      <c r="E265" s="15"/>
      <c r="F265" s="15"/>
      <c r="G265" s="20"/>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15"/>
      <c r="C266" s="15"/>
      <c r="D266" s="15"/>
      <c r="E266" s="15"/>
      <c r="F266" s="15"/>
      <c r="G266" s="20"/>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15"/>
      <c r="C267" s="15"/>
      <c r="D267" s="15"/>
      <c r="E267" s="15"/>
      <c r="F267" s="15"/>
      <c r="G267" s="20"/>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15"/>
      <c r="C268" s="15"/>
      <c r="D268" s="15"/>
      <c r="E268" s="15"/>
      <c r="F268" s="15"/>
      <c r="G268" s="20"/>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15"/>
      <c r="C269" s="15"/>
      <c r="D269" s="15"/>
      <c r="E269" s="15"/>
      <c r="F269" s="15"/>
      <c r="G269" s="20"/>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15"/>
      <c r="C270" s="15"/>
      <c r="D270" s="15"/>
      <c r="E270" s="15"/>
      <c r="F270" s="15"/>
      <c r="G270" s="20"/>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15"/>
      <c r="C271" s="15"/>
      <c r="D271" s="15"/>
      <c r="E271" s="15"/>
      <c r="F271" s="15"/>
      <c r="G271" s="20"/>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15"/>
      <c r="C272" s="15"/>
      <c r="D272" s="15"/>
      <c r="E272" s="15"/>
      <c r="F272" s="15"/>
      <c r="G272" s="20"/>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15"/>
      <c r="C273" s="15"/>
      <c r="D273" s="15"/>
      <c r="E273" s="15"/>
      <c r="F273" s="15"/>
      <c r="G273" s="20"/>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15"/>
      <c r="C274" s="15"/>
      <c r="D274" s="15"/>
      <c r="E274" s="15"/>
      <c r="F274" s="15"/>
      <c r="G274" s="20"/>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15"/>
      <c r="C275" s="15"/>
      <c r="D275" s="15"/>
      <c r="E275" s="15"/>
      <c r="F275" s="15"/>
      <c r="G275" s="20"/>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15"/>
      <c r="C276" s="15"/>
      <c r="D276" s="15"/>
      <c r="E276" s="15"/>
      <c r="F276" s="15"/>
      <c r="G276" s="20"/>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15"/>
      <c r="C277" s="15"/>
      <c r="D277" s="15"/>
      <c r="E277" s="15"/>
      <c r="F277" s="15"/>
      <c r="G277" s="20"/>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15"/>
      <c r="C278" s="15"/>
      <c r="D278" s="15"/>
      <c r="E278" s="15"/>
      <c r="F278" s="15"/>
      <c r="G278" s="20"/>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15"/>
      <c r="C279" s="15"/>
      <c r="D279" s="15"/>
      <c r="E279" s="15"/>
      <c r="F279" s="15"/>
      <c r="G279" s="20"/>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15"/>
      <c r="C280" s="15"/>
      <c r="D280" s="15"/>
      <c r="E280" s="15"/>
      <c r="F280" s="15"/>
      <c r="G280" s="20"/>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15"/>
      <c r="C281" s="15"/>
      <c r="D281" s="15"/>
      <c r="E281" s="15"/>
      <c r="F281" s="15"/>
      <c r="G281" s="20"/>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15"/>
      <c r="C282" s="15"/>
      <c r="D282" s="15"/>
      <c r="E282" s="15"/>
      <c r="F282" s="15"/>
      <c r="G282" s="20"/>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15"/>
      <c r="C283" s="15"/>
      <c r="D283" s="15"/>
      <c r="E283" s="15"/>
      <c r="F283" s="15"/>
      <c r="G283" s="20"/>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15"/>
      <c r="C284" s="15"/>
      <c r="D284" s="15"/>
      <c r="E284" s="15"/>
      <c r="F284" s="15"/>
      <c r="G284" s="20"/>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15"/>
      <c r="C285" s="15"/>
      <c r="D285" s="15"/>
      <c r="E285" s="15"/>
      <c r="F285" s="15"/>
      <c r="G285" s="20"/>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15"/>
      <c r="C286" s="15"/>
      <c r="D286" s="15"/>
      <c r="E286" s="15"/>
      <c r="F286" s="15"/>
      <c r="G286" s="20"/>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15"/>
      <c r="C287" s="15"/>
      <c r="D287" s="15"/>
      <c r="E287" s="15"/>
      <c r="F287" s="15"/>
      <c r="G287" s="20"/>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15"/>
      <c r="C288" s="15"/>
      <c r="D288" s="15"/>
      <c r="E288" s="15"/>
      <c r="F288" s="15"/>
      <c r="G288" s="20"/>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15"/>
      <c r="C289" s="15"/>
      <c r="D289" s="15"/>
      <c r="E289" s="15"/>
      <c r="F289" s="15"/>
      <c r="G289" s="20"/>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15"/>
      <c r="C290" s="15"/>
      <c r="D290" s="15"/>
      <c r="E290" s="15"/>
      <c r="F290" s="15"/>
      <c r="G290" s="20"/>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15"/>
      <c r="C291" s="15"/>
      <c r="D291" s="15"/>
      <c r="E291" s="15"/>
      <c r="F291" s="15"/>
      <c r="G291" s="20"/>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15"/>
      <c r="C292" s="15"/>
      <c r="D292" s="15"/>
      <c r="E292" s="15"/>
      <c r="F292" s="15"/>
      <c r="G292" s="20"/>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15"/>
      <c r="C293" s="15"/>
      <c r="D293" s="15"/>
      <c r="E293" s="15"/>
      <c r="F293" s="15"/>
      <c r="G293" s="20"/>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15"/>
      <c r="C294" s="15"/>
      <c r="D294" s="15"/>
      <c r="E294" s="15"/>
      <c r="F294" s="15"/>
      <c r="G294" s="20"/>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15"/>
      <c r="C295" s="15"/>
      <c r="D295" s="15"/>
      <c r="E295" s="15"/>
      <c r="F295" s="15"/>
      <c r="G295" s="20"/>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15"/>
      <c r="C296" s="15"/>
      <c r="D296" s="15"/>
      <c r="E296" s="15"/>
      <c r="F296" s="15"/>
      <c r="G296" s="20"/>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15"/>
      <c r="C297" s="15"/>
      <c r="D297" s="15"/>
      <c r="E297" s="15"/>
      <c r="F297" s="15"/>
      <c r="G297" s="20"/>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15"/>
      <c r="C298" s="15"/>
      <c r="D298" s="15"/>
      <c r="E298" s="15"/>
      <c r="F298" s="15"/>
      <c r="G298" s="20"/>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15"/>
      <c r="C299" s="15"/>
      <c r="D299" s="15"/>
      <c r="E299" s="15"/>
      <c r="F299" s="15"/>
      <c r="G299" s="20"/>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15"/>
      <c r="C300" s="15"/>
      <c r="D300" s="15"/>
      <c r="E300" s="15"/>
      <c r="F300" s="15"/>
      <c r="G300" s="20"/>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15"/>
      <c r="C301" s="15"/>
      <c r="D301" s="15"/>
      <c r="E301" s="15"/>
      <c r="F301" s="15"/>
      <c r="G301" s="20"/>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15"/>
      <c r="C302" s="15"/>
      <c r="D302" s="15"/>
      <c r="E302" s="15"/>
      <c r="F302" s="15"/>
      <c r="G302" s="20"/>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15"/>
      <c r="C303" s="15"/>
      <c r="D303" s="15"/>
      <c r="E303" s="15"/>
      <c r="F303" s="15"/>
      <c r="G303" s="20"/>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15"/>
      <c r="C304" s="15"/>
      <c r="D304" s="15"/>
      <c r="E304" s="15"/>
      <c r="F304" s="15"/>
      <c r="G304" s="20"/>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15"/>
      <c r="C305" s="15"/>
      <c r="D305" s="15"/>
      <c r="E305" s="15"/>
      <c r="F305" s="15"/>
      <c r="G305" s="20"/>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15"/>
      <c r="C306" s="15"/>
      <c r="D306" s="15"/>
      <c r="E306" s="15"/>
      <c r="F306" s="15"/>
      <c r="G306" s="20"/>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15"/>
      <c r="C307" s="15"/>
      <c r="D307" s="15"/>
      <c r="E307" s="15"/>
      <c r="F307" s="15"/>
      <c r="G307" s="20"/>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15"/>
      <c r="C308" s="15"/>
      <c r="D308" s="15"/>
      <c r="E308" s="15"/>
      <c r="F308" s="15"/>
      <c r="G308" s="20"/>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15"/>
      <c r="C309" s="15"/>
      <c r="D309" s="15"/>
      <c r="E309" s="15"/>
      <c r="F309" s="15"/>
      <c r="G309" s="20"/>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15"/>
      <c r="C310" s="15"/>
      <c r="D310" s="15"/>
      <c r="E310" s="15"/>
      <c r="F310" s="15"/>
      <c r="G310" s="20"/>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15"/>
      <c r="C311" s="15"/>
      <c r="D311" s="15"/>
      <c r="E311" s="15"/>
      <c r="F311" s="15"/>
      <c r="G311" s="20"/>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15"/>
      <c r="C312" s="15"/>
      <c r="D312" s="15"/>
      <c r="E312" s="15"/>
      <c r="F312" s="15"/>
      <c r="G312" s="20"/>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15"/>
      <c r="C313" s="15"/>
      <c r="D313" s="15"/>
      <c r="E313" s="15"/>
      <c r="F313" s="15"/>
      <c r="G313" s="20"/>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15"/>
      <c r="C314" s="15"/>
      <c r="D314" s="15"/>
      <c r="E314" s="15"/>
      <c r="F314" s="15"/>
      <c r="G314" s="20"/>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15"/>
      <c r="C315" s="15"/>
      <c r="D315" s="15"/>
      <c r="E315" s="15"/>
      <c r="F315" s="15"/>
      <c r="G315" s="20"/>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15"/>
      <c r="C316" s="15"/>
      <c r="D316" s="15"/>
      <c r="E316" s="15"/>
      <c r="F316" s="15"/>
      <c r="G316" s="20"/>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15"/>
      <c r="C317" s="15"/>
      <c r="D317" s="15"/>
      <c r="E317" s="15"/>
      <c r="F317" s="15"/>
      <c r="G317" s="20"/>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15"/>
      <c r="C318" s="15"/>
      <c r="D318" s="15"/>
      <c r="E318" s="15"/>
      <c r="F318" s="15"/>
      <c r="G318" s="20"/>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15"/>
      <c r="C319" s="15"/>
      <c r="D319" s="15"/>
      <c r="E319" s="15"/>
      <c r="F319" s="15"/>
      <c r="G319" s="20"/>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15"/>
      <c r="C320" s="15"/>
      <c r="D320" s="15"/>
      <c r="E320" s="15"/>
      <c r="F320" s="15"/>
      <c r="G320" s="20"/>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15"/>
      <c r="C321" s="15"/>
      <c r="D321" s="15"/>
      <c r="E321" s="15"/>
      <c r="F321" s="15"/>
      <c r="G321" s="20"/>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15"/>
      <c r="C322" s="15"/>
      <c r="D322" s="15"/>
      <c r="E322" s="15"/>
      <c r="F322" s="15"/>
      <c r="G322" s="20"/>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15"/>
      <c r="C323" s="15"/>
      <c r="D323" s="15"/>
      <c r="E323" s="15"/>
      <c r="F323" s="15"/>
      <c r="G323" s="20"/>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15"/>
      <c r="C324" s="15"/>
      <c r="D324" s="15"/>
      <c r="E324" s="15"/>
      <c r="F324" s="15"/>
      <c r="G324" s="20"/>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15"/>
      <c r="C325" s="15"/>
      <c r="D325" s="15"/>
      <c r="E325" s="15"/>
      <c r="F325" s="15"/>
      <c r="G325" s="20"/>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15"/>
      <c r="C326" s="15"/>
      <c r="D326" s="15"/>
      <c r="E326" s="15"/>
      <c r="F326" s="15"/>
      <c r="G326" s="20"/>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15"/>
      <c r="C327" s="15"/>
      <c r="D327" s="15"/>
      <c r="E327" s="15"/>
      <c r="F327" s="15"/>
      <c r="G327" s="20"/>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15"/>
      <c r="C328" s="15"/>
      <c r="D328" s="15"/>
      <c r="E328" s="15"/>
      <c r="F328" s="15"/>
      <c r="G328" s="20"/>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15"/>
      <c r="C329" s="15"/>
      <c r="D329" s="15"/>
      <c r="E329" s="15"/>
      <c r="F329" s="15"/>
      <c r="G329" s="20"/>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15"/>
      <c r="C330" s="15"/>
      <c r="D330" s="15"/>
      <c r="E330" s="15"/>
      <c r="F330" s="15"/>
      <c r="G330" s="20"/>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15"/>
      <c r="C331" s="15"/>
      <c r="D331" s="15"/>
      <c r="E331" s="15"/>
      <c r="F331" s="15"/>
      <c r="G331" s="20"/>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15"/>
      <c r="C332" s="15"/>
      <c r="D332" s="15"/>
      <c r="E332" s="15"/>
      <c r="F332" s="15"/>
      <c r="G332" s="20"/>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15"/>
      <c r="C333" s="15"/>
      <c r="D333" s="15"/>
      <c r="E333" s="15"/>
      <c r="F333" s="15"/>
      <c r="G333" s="20"/>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15"/>
      <c r="C334" s="15"/>
      <c r="D334" s="15"/>
      <c r="E334" s="15"/>
      <c r="F334" s="15"/>
      <c r="G334" s="20"/>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15"/>
      <c r="C335" s="15"/>
      <c r="D335" s="15"/>
      <c r="E335" s="15"/>
      <c r="F335" s="15"/>
      <c r="G335" s="20"/>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15"/>
      <c r="C336" s="15"/>
      <c r="D336" s="15"/>
      <c r="E336" s="15"/>
      <c r="F336" s="15"/>
      <c r="G336" s="20"/>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15"/>
      <c r="C337" s="15"/>
      <c r="D337" s="15"/>
      <c r="E337" s="15"/>
      <c r="F337" s="15"/>
      <c r="G337" s="20"/>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15"/>
      <c r="C338" s="15"/>
      <c r="D338" s="15"/>
      <c r="E338" s="15"/>
      <c r="F338" s="15"/>
      <c r="G338" s="20"/>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15"/>
      <c r="C339" s="15"/>
      <c r="D339" s="15"/>
      <c r="E339" s="15"/>
      <c r="F339" s="15"/>
      <c r="G339" s="20"/>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15"/>
      <c r="C340" s="15"/>
      <c r="D340" s="15"/>
      <c r="E340" s="15"/>
      <c r="F340" s="15"/>
      <c r="G340" s="20"/>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15"/>
      <c r="C341" s="15"/>
      <c r="D341" s="15"/>
      <c r="E341" s="15"/>
      <c r="F341" s="15"/>
      <c r="G341" s="20"/>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15"/>
      <c r="C342" s="15"/>
      <c r="D342" s="15"/>
      <c r="E342" s="15"/>
      <c r="F342" s="15"/>
      <c r="G342" s="20"/>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15"/>
      <c r="C343" s="15"/>
      <c r="D343" s="15"/>
      <c r="E343" s="15"/>
      <c r="F343" s="15"/>
      <c r="G343" s="20"/>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15"/>
      <c r="C344" s="15"/>
      <c r="D344" s="15"/>
      <c r="E344" s="15"/>
      <c r="F344" s="15"/>
      <c r="G344" s="20"/>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15"/>
      <c r="C345" s="15"/>
      <c r="D345" s="15"/>
      <c r="E345" s="15"/>
      <c r="F345" s="15"/>
      <c r="G345" s="20"/>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15"/>
      <c r="C346" s="15"/>
      <c r="D346" s="15"/>
      <c r="E346" s="15"/>
      <c r="F346" s="15"/>
      <c r="G346" s="20"/>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15"/>
      <c r="C347" s="15"/>
      <c r="D347" s="15"/>
      <c r="E347" s="15"/>
      <c r="F347" s="15"/>
      <c r="G347" s="20"/>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15"/>
      <c r="C348" s="15"/>
      <c r="D348" s="15"/>
      <c r="E348" s="15"/>
      <c r="F348" s="15"/>
      <c r="G348" s="20"/>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15"/>
      <c r="C349" s="15"/>
      <c r="D349" s="15"/>
      <c r="E349" s="15"/>
      <c r="F349" s="15"/>
      <c r="G349" s="20"/>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15"/>
      <c r="C350" s="15"/>
      <c r="D350" s="15"/>
      <c r="E350" s="15"/>
      <c r="F350" s="15"/>
      <c r="G350" s="20"/>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15"/>
      <c r="C351" s="15"/>
      <c r="D351" s="15"/>
      <c r="E351" s="15"/>
      <c r="F351" s="15"/>
      <c r="G351" s="20"/>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15"/>
      <c r="C352" s="15"/>
      <c r="D352" s="15"/>
      <c r="E352" s="15"/>
      <c r="F352" s="15"/>
      <c r="G352" s="20"/>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15"/>
      <c r="C353" s="15"/>
      <c r="D353" s="15"/>
      <c r="E353" s="15"/>
      <c r="F353" s="15"/>
      <c r="G353" s="20"/>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15"/>
      <c r="C354" s="15"/>
      <c r="D354" s="15"/>
      <c r="E354" s="15"/>
      <c r="F354" s="15"/>
      <c r="G354" s="20"/>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15"/>
      <c r="C355" s="15"/>
      <c r="D355" s="15"/>
      <c r="E355" s="15"/>
      <c r="F355" s="15"/>
      <c r="G355" s="20"/>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15"/>
      <c r="C356" s="15"/>
      <c r="D356" s="15"/>
      <c r="E356" s="15"/>
      <c r="F356" s="15"/>
      <c r="G356" s="20"/>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15"/>
      <c r="C357" s="15"/>
      <c r="D357" s="15"/>
      <c r="E357" s="15"/>
      <c r="F357" s="15"/>
      <c r="G357" s="20"/>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15"/>
      <c r="C358" s="15"/>
      <c r="D358" s="15"/>
      <c r="E358" s="15"/>
      <c r="F358" s="15"/>
      <c r="G358" s="20"/>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15"/>
      <c r="C359" s="15"/>
      <c r="D359" s="15"/>
      <c r="E359" s="15"/>
      <c r="F359" s="15"/>
      <c r="G359" s="20"/>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15"/>
      <c r="C360" s="15"/>
      <c r="D360" s="15"/>
      <c r="E360" s="15"/>
      <c r="F360" s="15"/>
      <c r="G360" s="20"/>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15"/>
      <c r="C361" s="15"/>
      <c r="D361" s="15"/>
      <c r="E361" s="15"/>
      <c r="F361" s="15"/>
      <c r="G361" s="20"/>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15"/>
      <c r="C362" s="15"/>
      <c r="D362" s="15"/>
      <c r="E362" s="15"/>
      <c r="F362" s="15"/>
      <c r="G362" s="20"/>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15"/>
      <c r="C363" s="15"/>
      <c r="D363" s="15"/>
      <c r="E363" s="15"/>
      <c r="F363" s="15"/>
      <c r="G363" s="20"/>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15"/>
      <c r="C364" s="15"/>
      <c r="D364" s="15"/>
      <c r="E364" s="15"/>
      <c r="F364" s="15"/>
      <c r="G364" s="20"/>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15"/>
      <c r="C365" s="15"/>
      <c r="D365" s="15"/>
      <c r="E365" s="15"/>
      <c r="F365" s="15"/>
      <c r="G365" s="20"/>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15"/>
      <c r="C366" s="15"/>
      <c r="D366" s="15"/>
      <c r="E366" s="15"/>
      <c r="F366" s="15"/>
      <c r="G366" s="20"/>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15"/>
      <c r="C367" s="15"/>
      <c r="D367" s="15"/>
      <c r="E367" s="15"/>
      <c r="F367" s="15"/>
      <c r="G367" s="20"/>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15"/>
      <c r="C368" s="15"/>
      <c r="D368" s="15"/>
      <c r="E368" s="15"/>
      <c r="F368" s="15"/>
      <c r="G368" s="20"/>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15"/>
      <c r="C369" s="15"/>
      <c r="D369" s="15"/>
      <c r="E369" s="15"/>
      <c r="F369" s="15"/>
      <c r="G369" s="20"/>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15"/>
      <c r="C370" s="15"/>
      <c r="D370" s="15"/>
      <c r="E370" s="15"/>
      <c r="F370" s="15"/>
      <c r="G370" s="20"/>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15"/>
      <c r="C371" s="15"/>
      <c r="D371" s="15"/>
      <c r="E371" s="15"/>
      <c r="F371" s="15"/>
      <c r="G371" s="20"/>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15"/>
      <c r="C372" s="15"/>
      <c r="D372" s="15"/>
      <c r="E372" s="15"/>
      <c r="F372" s="15"/>
      <c r="G372" s="20"/>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15"/>
      <c r="C373" s="15"/>
      <c r="D373" s="15"/>
      <c r="E373" s="15"/>
      <c r="F373" s="15"/>
      <c r="G373" s="20"/>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15"/>
      <c r="C374" s="15"/>
      <c r="D374" s="15"/>
      <c r="E374" s="15"/>
      <c r="F374" s="15"/>
      <c r="G374" s="20"/>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15"/>
      <c r="C375" s="15"/>
      <c r="D375" s="15"/>
      <c r="E375" s="15"/>
      <c r="F375" s="15"/>
      <c r="G375" s="20"/>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15"/>
      <c r="C376" s="15"/>
      <c r="D376" s="15"/>
      <c r="E376" s="15"/>
      <c r="F376" s="15"/>
      <c r="G376" s="20"/>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15"/>
      <c r="C377" s="15"/>
      <c r="D377" s="15"/>
      <c r="E377" s="15"/>
      <c r="F377" s="15"/>
      <c r="G377" s="20"/>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15"/>
      <c r="C378" s="15"/>
      <c r="D378" s="15"/>
      <c r="E378" s="15"/>
      <c r="F378" s="15"/>
      <c r="G378" s="20"/>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15"/>
      <c r="C379" s="15"/>
      <c r="D379" s="15"/>
      <c r="E379" s="15"/>
      <c r="F379" s="15"/>
      <c r="G379" s="20"/>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15"/>
      <c r="C380" s="15"/>
      <c r="D380" s="15"/>
      <c r="E380" s="15"/>
      <c r="F380" s="15"/>
      <c r="G380" s="20"/>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15"/>
      <c r="C381" s="15"/>
      <c r="D381" s="15"/>
      <c r="E381" s="15"/>
      <c r="F381" s="15"/>
      <c r="G381" s="20"/>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15"/>
      <c r="C382" s="15"/>
      <c r="D382" s="15"/>
      <c r="E382" s="15"/>
      <c r="F382" s="15"/>
      <c r="G382" s="20"/>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15"/>
      <c r="C383" s="15"/>
      <c r="D383" s="15"/>
      <c r="E383" s="15"/>
      <c r="F383" s="15"/>
      <c r="G383" s="20"/>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15"/>
      <c r="C384" s="15"/>
      <c r="D384" s="15"/>
      <c r="E384" s="15"/>
      <c r="F384" s="15"/>
      <c r="G384" s="20"/>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15"/>
      <c r="C385" s="15"/>
      <c r="D385" s="15"/>
      <c r="E385" s="15"/>
      <c r="F385" s="15"/>
      <c r="G385" s="20"/>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15"/>
      <c r="C386" s="15"/>
      <c r="D386" s="15"/>
      <c r="E386" s="15"/>
      <c r="F386" s="15"/>
      <c r="G386" s="20"/>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15"/>
      <c r="C387" s="15"/>
      <c r="D387" s="15"/>
      <c r="E387" s="15"/>
      <c r="F387" s="15"/>
      <c r="G387" s="20"/>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15"/>
      <c r="C388" s="15"/>
      <c r="D388" s="15"/>
      <c r="E388" s="15"/>
      <c r="F388" s="15"/>
      <c r="G388" s="20"/>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15"/>
      <c r="C389" s="15"/>
      <c r="D389" s="15"/>
      <c r="E389" s="15"/>
      <c r="F389" s="15"/>
      <c r="G389" s="20"/>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15"/>
      <c r="C390" s="15"/>
      <c r="D390" s="15"/>
      <c r="E390" s="15"/>
      <c r="F390" s="15"/>
      <c r="G390" s="20"/>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15"/>
      <c r="C391" s="15"/>
      <c r="D391" s="15"/>
      <c r="E391" s="15"/>
      <c r="F391" s="15"/>
      <c r="G391" s="20"/>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15"/>
      <c r="C392" s="15"/>
      <c r="D392" s="15"/>
      <c r="E392" s="15"/>
      <c r="F392" s="15"/>
      <c r="G392" s="20"/>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15"/>
      <c r="C393" s="15"/>
      <c r="D393" s="15"/>
      <c r="E393" s="15"/>
      <c r="F393" s="15"/>
      <c r="G393" s="20"/>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15"/>
      <c r="C394" s="15"/>
      <c r="D394" s="15"/>
      <c r="E394" s="15"/>
      <c r="F394" s="15"/>
      <c r="G394" s="20"/>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15"/>
      <c r="C395" s="15"/>
      <c r="D395" s="15"/>
      <c r="E395" s="15"/>
      <c r="F395" s="15"/>
      <c r="G395" s="20"/>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15"/>
      <c r="C396" s="15"/>
      <c r="D396" s="15"/>
      <c r="E396" s="15"/>
      <c r="F396" s="15"/>
      <c r="G396" s="20"/>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15"/>
      <c r="C397" s="15"/>
      <c r="D397" s="15"/>
      <c r="E397" s="15"/>
      <c r="F397" s="15"/>
      <c r="G397" s="20"/>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15"/>
      <c r="C398" s="15"/>
      <c r="D398" s="15"/>
      <c r="E398" s="15"/>
      <c r="F398" s="15"/>
      <c r="G398" s="20"/>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15"/>
      <c r="C399" s="15"/>
      <c r="D399" s="15"/>
      <c r="E399" s="15"/>
      <c r="F399" s="15"/>
      <c r="G399" s="20"/>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15"/>
      <c r="C400" s="15"/>
      <c r="D400" s="15"/>
      <c r="E400" s="15"/>
      <c r="F400" s="15"/>
      <c r="G400" s="20"/>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15"/>
      <c r="C401" s="15"/>
      <c r="D401" s="15"/>
      <c r="E401" s="15"/>
      <c r="F401" s="15"/>
      <c r="G401" s="20"/>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15"/>
      <c r="C402" s="15"/>
      <c r="D402" s="15"/>
      <c r="E402" s="15"/>
      <c r="F402" s="15"/>
      <c r="G402" s="20"/>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15"/>
      <c r="C403" s="15"/>
      <c r="D403" s="15"/>
      <c r="E403" s="15"/>
      <c r="F403" s="15"/>
      <c r="G403" s="20"/>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15"/>
      <c r="C404" s="15"/>
      <c r="D404" s="15"/>
      <c r="E404" s="15"/>
      <c r="F404" s="15"/>
      <c r="G404" s="20"/>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15"/>
      <c r="C405" s="15"/>
      <c r="D405" s="15"/>
      <c r="E405" s="15"/>
      <c r="F405" s="15"/>
      <c r="G405" s="20"/>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15"/>
      <c r="C406" s="15"/>
      <c r="D406" s="15"/>
      <c r="E406" s="15"/>
      <c r="F406" s="15"/>
      <c r="G406" s="20"/>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15"/>
      <c r="C407" s="15"/>
      <c r="D407" s="15"/>
      <c r="E407" s="15"/>
      <c r="F407" s="15"/>
      <c r="G407" s="20"/>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15"/>
      <c r="C408" s="15"/>
      <c r="D408" s="15"/>
      <c r="E408" s="15"/>
      <c r="F408" s="15"/>
      <c r="G408" s="20"/>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15"/>
      <c r="C409" s="15"/>
      <c r="D409" s="15"/>
      <c r="E409" s="15"/>
      <c r="F409" s="15"/>
      <c r="G409" s="20"/>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15"/>
      <c r="C410" s="15"/>
      <c r="D410" s="15"/>
      <c r="E410" s="15"/>
      <c r="F410" s="15"/>
      <c r="G410" s="20"/>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15"/>
      <c r="C411" s="15"/>
      <c r="D411" s="15"/>
      <c r="E411" s="15"/>
      <c r="F411" s="15"/>
      <c r="G411" s="20"/>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15"/>
      <c r="C412" s="15"/>
      <c r="D412" s="15"/>
      <c r="E412" s="15"/>
      <c r="F412" s="15"/>
      <c r="G412" s="20"/>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15"/>
      <c r="C413" s="15"/>
      <c r="D413" s="15"/>
      <c r="E413" s="15"/>
      <c r="F413" s="15"/>
      <c r="G413" s="20"/>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15"/>
      <c r="C414" s="15"/>
      <c r="D414" s="15"/>
      <c r="E414" s="15"/>
      <c r="F414" s="15"/>
      <c r="G414" s="20"/>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15"/>
      <c r="C415" s="15"/>
      <c r="D415" s="15"/>
      <c r="E415" s="15"/>
      <c r="F415" s="15"/>
      <c r="G415" s="20"/>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15"/>
      <c r="C416" s="15"/>
      <c r="D416" s="15"/>
      <c r="E416" s="15"/>
      <c r="F416" s="15"/>
      <c r="G416" s="20"/>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15"/>
      <c r="C417" s="15"/>
      <c r="D417" s="15"/>
      <c r="E417" s="15"/>
      <c r="F417" s="15"/>
      <c r="G417" s="20"/>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15"/>
      <c r="C418" s="15"/>
      <c r="D418" s="15"/>
      <c r="E418" s="15"/>
      <c r="F418" s="15"/>
      <c r="G418" s="20"/>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15"/>
      <c r="C419" s="15"/>
      <c r="D419" s="15"/>
      <c r="E419" s="15"/>
      <c r="F419" s="15"/>
      <c r="G419" s="20"/>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15"/>
      <c r="C420" s="15"/>
      <c r="D420" s="15"/>
      <c r="E420" s="15"/>
      <c r="F420" s="15"/>
      <c r="G420" s="20"/>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15"/>
      <c r="C421" s="15"/>
      <c r="D421" s="15"/>
      <c r="E421" s="15"/>
      <c r="F421" s="15"/>
      <c r="G421" s="20"/>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15"/>
      <c r="C422" s="15"/>
      <c r="D422" s="15"/>
      <c r="E422" s="15"/>
      <c r="F422" s="15"/>
      <c r="G422" s="20"/>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15"/>
      <c r="C423" s="15"/>
      <c r="D423" s="15"/>
      <c r="E423" s="15"/>
      <c r="F423" s="15"/>
      <c r="G423" s="20"/>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15"/>
      <c r="C424" s="15"/>
      <c r="D424" s="15"/>
      <c r="E424" s="15"/>
      <c r="F424" s="15"/>
      <c r="G424" s="20"/>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15"/>
      <c r="C425" s="15"/>
      <c r="D425" s="15"/>
      <c r="E425" s="15"/>
      <c r="F425" s="15"/>
      <c r="G425" s="20"/>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15"/>
      <c r="C426" s="15"/>
      <c r="D426" s="15"/>
      <c r="E426" s="15"/>
      <c r="F426" s="15"/>
      <c r="G426" s="20"/>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15"/>
      <c r="C427" s="15"/>
      <c r="D427" s="15"/>
      <c r="E427" s="15"/>
      <c r="F427" s="15"/>
      <c r="G427" s="20"/>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15"/>
      <c r="C428" s="15"/>
      <c r="D428" s="15"/>
      <c r="E428" s="15"/>
      <c r="F428" s="15"/>
      <c r="G428" s="20"/>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15"/>
      <c r="C429" s="15"/>
      <c r="D429" s="15"/>
      <c r="E429" s="15"/>
      <c r="F429" s="15"/>
      <c r="G429" s="20"/>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15"/>
      <c r="C430" s="15"/>
      <c r="D430" s="15"/>
      <c r="E430" s="15"/>
      <c r="F430" s="15"/>
      <c r="G430" s="20"/>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15"/>
      <c r="C431" s="15"/>
      <c r="D431" s="15"/>
      <c r="E431" s="15"/>
      <c r="F431" s="15"/>
      <c r="G431" s="20"/>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15"/>
      <c r="C432" s="15"/>
      <c r="D432" s="15"/>
      <c r="E432" s="15"/>
      <c r="F432" s="15"/>
      <c r="G432" s="20"/>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15"/>
      <c r="C433" s="15"/>
      <c r="D433" s="15"/>
      <c r="E433" s="15"/>
      <c r="F433" s="15"/>
      <c r="G433" s="20"/>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15"/>
      <c r="C434" s="15"/>
      <c r="D434" s="15"/>
      <c r="E434" s="15"/>
      <c r="F434" s="15"/>
      <c r="G434" s="20"/>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15"/>
      <c r="C435" s="15"/>
      <c r="D435" s="15"/>
      <c r="E435" s="15"/>
      <c r="F435" s="15"/>
      <c r="G435" s="20"/>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15"/>
      <c r="C436" s="15"/>
      <c r="D436" s="15"/>
      <c r="E436" s="15"/>
      <c r="F436" s="15"/>
      <c r="G436" s="20"/>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15"/>
      <c r="C437" s="15"/>
      <c r="D437" s="15"/>
      <c r="E437" s="15"/>
      <c r="F437" s="15"/>
      <c r="G437" s="20"/>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15"/>
      <c r="C438" s="15"/>
      <c r="D438" s="15"/>
      <c r="E438" s="15"/>
      <c r="F438" s="15"/>
      <c r="G438" s="20"/>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15"/>
      <c r="C439" s="15"/>
      <c r="D439" s="15"/>
      <c r="E439" s="15"/>
      <c r="F439" s="15"/>
      <c r="G439" s="20"/>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15"/>
      <c r="C440" s="15"/>
      <c r="D440" s="15"/>
      <c r="E440" s="15"/>
      <c r="F440" s="15"/>
      <c r="G440" s="20"/>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15"/>
      <c r="C441" s="15"/>
      <c r="D441" s="15"/>
      <c r="E441" s="15"/>
      <c r="F441" s="15"/>
      <c r="G441" s="20"/>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15"/>
      <c r="C442" s="15"/>
      <c r="D442" s="15"/>
      <c r="E442" s="15"/>
      <c r="F442" s="15"/>
      <c r="G442" s="20"/>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15"/>
      <c r="C443" s="15"/>
      <c r="D443" s="15"/>
      <c r="E443" s="15"/>
      <c r="F443" s="15"/>
      <c r="G443" s="20"/>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15"/>
      <c r="C444" s="15"/>
      <c r="D444" s="15"/>
      <c r="E444" s="15"/>
      <c r="F444" s="15"/>
      <c r="G444" s="20"/>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15"/>
      <c r="C445" s="15"/>
      <c r="D445" s="15"/>
      <c r="E445" s="15"/>
      <c r="F445" s="15"/>
      <c r="G445" s="20"/>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15"/>
      <c r="C446" s="15"/>
      <c r="D446" s="15"/>
      <c r="E446" s="15"/>
      <c r="F446" s="15"/>
      <c r="G446" s="20"/>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15"/>
      <c r="C447" s="15"/>
      <c r="D447" s="15"/>
      <c r="E447" s="15"/>
      <c r="F447" s="15"/>
      <c r="G447" s="20"/>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15"/>
      <c r="C448" s="15"/>
      <c r="D448" s="15"/>
      <c r="E448" s="15"/>
      <c r="F448" s="15"/>
      <c r="G448" s="20"/>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15"/>
      <c r="C449" s="15"/>
      <c r="D449" s="15"/>
      <c r="E449" s="15"/>
      <c r="F449" s="15"/>
      <c r="G449" s="20"/>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15"/>
      <c r="C450" s="15"/>
      <c r="D450" s="15"/>
      <c r="E450" s="15"/>
      <c r="F450" s="15"/>
      <c r="G450" s="20"/>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15"/>
      <c r="C451" s="15"/>
      <c r="D451" s="15"/>
      <c r="E451" s="15"/>
      <c r="F451" s="15"/>
      <c r="G451" s="20"/>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15"/>
      <c r="C452" s="15"/>
      <c r="D452" s="15"/>
      <c r="E452" s="15"/>
      <c r="F452" s="15"/>
      <c r="G452" s="20"/>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15"/>
      <c r="C453" s="15"/>
      <c r="D453" s="15"/>
      <c r="E453" s="15"/>
      <c r="F453" s="15"/>
      <c r="G453" s="20"/>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15"/>
      <c r="C454" s="15"/>
      <c r="D454" s="15"/>
      <c r="E454" s="15"/>
      <c r="F454" s="15"/>
      <c r="G454" s="20"/>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15"/>
      <c r="C455" s="15"/>
      <c r="D455" s="15"/>
      <c r="E455" s="15"/>
      <c r="F455" s="15"/>
      <c r="G455" s="20"/>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15"/>
      <c r="C456" s="15"/>
      <c r="D456" s="15"/>
      <c r="E456" s="15"/>
      <c r="F456" s="15"/>
      <c r="G456" s="20"/>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15"/>
      <c r="C457" s="15"/>
      <c r="D457" s="15"/>
      <c r="E457" s="15"/>
      <c r="F457" s="15"/>
      <c r="G457" s="20"/>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15"/>
      <c r="C458" s="15"/>
      <c r="D458" s="15"/>
      <c r="E458" s="15"/>
      <c r="F458" s="15"/>
      <c r="G458" s="20"/>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15"/>
      <c r="C459" s="15"/>
      <c r="D459" s="15"/>
      <c r="E459" s="15"/>
      <c r="F459" s="15"/>
      <c r="G459" s="20"/>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15"/>
      <c r="C460" s="15"/>
      <c r="D460" s="15"/>
      <c r="E460" s="15"/>
      <c r="F460" s="15"/>
      <c r="G460" s="20"/>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15"/>
      <c r="C461" s="15"/>
      <c r="D461" s="15"/>
      <c r="E461" s="15"/>
      <c r="F461" s="15"/>
      <c r="G461" s="20"/>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15"/>
      <c r="C462" s="15"/>
      <c r="D462" s="15"/>
      <c r="E462" s="15"/>
      <c r="F462" s="15"/>
      <c r="G462" s="20"/>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15"/>
      <c r="C463" s="15"/>
      <c r="D463" s="15"/>
      <c r="E463" s="15"/>
      <c r="F463" s="15"/>
      <c r="G463" s="20"/>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15"/>
      <c r="C464" s="15"/>
      <c r="D464" s="15"/>
      <c r="E464" s="15"/>
      <c r="F464" s="15"/>
      <c r="G464" s="20"/>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15"/>
      <c r="C465" s="15"/>
      <c r="D465" s="15"/>
      <c r="E465" s="15"/>
      <c r="F465" s="15"/>
      <c r="G465" s="20"/>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15"/>
      <c r="C466" s="15"/>
      <c r="D466" s="15"/>
      <c r="E466" s="15"/>
      <c r="F466" s="15"/>
      <c r="G466" s="20"/>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15"/>
      <c r="C467" s="15"/>
      <c r="D467" s="15"/>
      <c r="E467" s="15"/>
      <c r="F467" s="15"/>
      <c r="G467" s="20"/>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15"/>
      <c r="C468" s="15"/>
      <c r="D468" s="15"/>
      <c r="E468" s="15"/>
      <c r="F468" s="15"/>
      <c r="G468" s="20"/>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15"/>
      <c r="C469" s="15"/>
      <c r="D469" s="15"/>
      <c r="E469" s="15"/>
      <c r="F469" s="15"/>
      <c r="G469" s="20"/>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15"/>
      <c r="C470" s="15"/>
      <c r="D470" s="15"/>
      <c r="E470" s="15"/>
      <c r="F470" s="15"/>
      <c r="G470" s="20"/>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15"/>
      <c r="C471" s="15"/>
      <c r="D471" s="15"/>
      <c r="E471" s="15"/>
      <c r="F471" s="15"/>
      <c r="G471" s="20"/>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15"/>
      <c r="C472" s="15"/>
      <c r="D472" s="15"/>
      <c r="E472" s="15"/>
      <c r="F472" s="15"/>
      <c r="G472" s="20"/>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15"/>
      <c r="C473" s="15"/>
      <c r="D473" s="15"/>
      <c r="E473" s="15"/>
      <c r="F473" s="15"/>
      <c r="G473" s="20"/>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15"/>
      <c r="C474" s="15"/>
      <c r="D474" s="15"/>
      <c r="E474" s="15"/>
      <c r="F474" s="15"/>
      <c r="G474" s="20"/>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15"/>
      <c r="C475" s="15"/>
      <c r="D475" s="15"/>
      <c r="E475" s="15"/>
      <c r="F475" s="15"/>
      <c r="G475" s="20"/>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15"/>
      <c r="C476" s="15"/>
      <c r="D476" s="15"/>
      <c r="E476" s="15"/>
      <c r="F476" s="15"/>
      <c r="G476" s="20"/>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15"/>
      <c r="C477" s="15"/>
      <c r="D477" s="15"/>
      <c r="E477" s="15"/>
      <c r="F477" s="15"/>
      <c r="G477" s="20"/>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15"/>
      <c r="C478" s="15"/>
      <c r="D478" s="15"/>
      <c r="E478" s="15"/>
      <c r="F478" s="15"/>
      <c r="G478" s="20"/>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15"/>
      <c r="C479" s="15"/>
      <c r="D479" s="15"/>
      <c r="E479" s="15"/>
      <c r="F479" s="15"/>
      <c r="G479" s="20"/>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15"/>
      <c r="C480" s="15"/>
      <c r="D480" s="15"/>
      <c r="E480" s="15"/>
      <c r="F480" s="15"/>
      <c r="G480" s="20"/>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15"/>
      <c r="C481" s="15"/>
      <c r="D481" s="15"/>
      <c r="E481" s="15"/>
      <c r="F481" s="15"/>
      <c r="G481" s="20"/>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15"/>
      <c r="C482" s="15"/>
      <c r="D482" s="15"/>
      <c r="E482" s="15"/>
      <c r="F482" s="15"/>
      <c r="G482" s="20"/>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15"/>
      <c r="C483" s="15"/>
      <c r="D483" s="15"/>
      <c r="E483" s="15"/>
      <c r="F483" s="15"/>
      <c r="G483" s="20"/>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15"/>
      <c r="C484" s="15"/>
      <c r="D484" s="15"/>
      <c r="E484" s="15"/>
      <c r="F484" s="15"/>
      <c r="G484" s="20"/>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15"/>
      <c r="C485" s="15"/>
      <c r="D485" s="15"/>
      <c r="E485" s="15"/>
      <c r="F485" s="15"/>
      <c r="G485" s="20"/>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15"/>
      <c r="C486" s="15"/>
      <c r="D486" s="15"/>
      <c r="E486" s="15"/>
      <c r="F486" s="15"/>
      <c r="G486" s="20"/>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15"/>
      <c r="C487" s="15"/>
      <c r="D487" s="15"/>
      <c r="E487" s="15"/>
      <c r="F487" s="15"/>
      <c r="G487" s="20"/>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15"/>
      <c r="C488" s="15"/>
      <c r="D488" s="15"/>
      <c r="E488" s="15"/>
      <c r="F488" s="15"/>
      <c r="G488" s="20"/>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15"/>
      <c r="C489" s="15"/>
      <c r="D489" s="15"/>
      <c r="E489" s="15"/>
      <c r="F489" s="15"/>
      <c r="G489" s="20"/>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15"/>
      <c r="C490" s="15"/>
      <c r="D490" s="15"/>
      <c r="E490" s="15"/>
      <c r="F490" s="15"/>
      <c r="G490" s="20"/>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15"/>
      <c r="C491" s="15"/>
      <c r="D491" s="15"/>
      <c r="E491" s="15"/>
      <c r="F491" s="15"/>
      <c r="G491" s="20"/>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15"/>
      <c r="C492" s="15"/>
      <c r="D492" s="15"/>
      <c r="E492" s="15"/>
      <c r="F492" s="15"/>
      <c r="G492" s="20"/>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15"/>
      <c r="C493" s="15"/>
      <c r="D493" s="15"/>
      <c r="E493" s="15"/>
      <c r="F493" s="15"/>
      <c r="G493" s="20"/>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15"/>
      <c r="C494" s="15"/>
      <c r="D494" s="15"/>
      <c r="E494" s="15"/>
      <c r="F494" s="15"/>
      <c r="G494" s="20"/>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15"/>
      <c r="C495" s="15"/>
      <c r="D495" s="15"/>
      <c r="E495" s="15"/>
      <c r="F495" s="15"/>
      <c r="G495" s="20"/>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15"/>
      <c r="C496" s="15"/>
      <c r="D496" s="15"/>
      <c r="E496" s="15"/>
      <c r="F496" s="15"/>
      <c r="G496" s="20"/>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15"/>
      <c r="C497" s="15"/>
      <c r="D497" s="15"/>
      <c r="E497" s="15"/>
      <c r="F497" s="15"/>
      <c r="G497" s="20"/>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15"/>
      <c r="C498" s="15"/>
      <c r="D498" s="15"/>
      <c r="E498" s="15"/>
      <c r="F498" s="15"/>
      <c r="G498" s="20"/>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15"/>
      <c r="C499" s="15"/>
      <c r="D499" s="15"/>
      <c r="E499" s="15"/>
      <c r="F499" s="15"/>
      <c r="G499" s="20"/>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15"/>
      <c r="C500" s="15"/>
      <c r="D500" s="15"/>
      <c r="E500" s="15"/>
      <c r="F500" s="15"/>
      <c r="G500" s="20"/>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15"/>
      <c r="C501" s="15"/>
      <c r="D501" s="15"/>
      <c r="E501" s="15"/>
      <c r="F501" s="15"/>
      <c r="G501" s="20"/>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15"/>
      <c r="C502" s="15"/>
      <c r="D502" s="15"/>
      <c r="E502" s="15"/>
      <c r="F502" s="15"/>
      <c r="G502" s="20"/>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15"/>
      <c r="C503" s="15"/>
      <c r="D503" s="15"/>
      <c r="E503" s="15"/>
      <c r="F503" s="15"/>
      <c r="G503" s="20"/>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15"/>
      <c r="C504" s="15"/>
      <c r="D504" s="15"/>
      <c r="E504" s="15"/>
      <c r="F504" s="15"/>
      <c r="G504" s="20"/>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15"/>
      <c r="C505" s="15"/>
      <c r="D505" s="15"/>
      <c r="E505" s="15"/>
      <c r="F505" s="15"/>
      <c r="G505" s="20"/>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15"/>
      <c r="C506" s="15"/>
      <c r="D506" s="15"/>
      <c r="E506" s="15"/>
      <c r="F506" s="15"/>
      <c r="G506" s="20"/>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15"/>
      <c r="C507" s="15"/>
      <c r="D507" s="15"/>
      <c r="E507" s="15"/>
      <c r="F507" s="15"/>
      <c r="G507" s="20"/>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15"/>
      <c r="C508" s="15"/>
      <c r="D508" s="15"/>
      <c r="E508" s="15"/>
      <c r="F508" s="15"/>
      <c r="G508" s="20"/>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15"/>
      <c r="C509" s="15"/>
      <c r="D509" s="15"/>
      <c r="E509" s="15"/>
      <c r="F509" s="15"/>
      <c r="G509" s="20"/>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15"/>
      <c r="C510" s="15"/>
      <c r="D510" s="15"/>
      <c r="E510" s="15"/>
      <c r="F510" s="15"/>
      <c r="G510" s="20"/>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15"/>
      <c r="C511" s="15"/>
      <c r="D511" s="15"/>
      <c r="E511" s="15"/>
      <c r="F511" s="15"/>
      <c r="G511" s="20"/>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15"/>
      <c r="C512" s="15"/>
      <c r="D512" s="15"/>
      <c r="E512" s="15"/>
      <c r="F512" s="15"/>
      <c r="G512" s="20"/>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15"/>
      <c r="C513" s="15"/>
      <c r="D513" s="15"/>
      <c r="E513" s="15"/>
      <c r="F513" s="15"/>
      <c r="G513" s="20"/>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15"/>
      <c r="C514" s="15"/>
      <c r="D514" s="15"/>
      <c r="E514" s="15"/>
      <c r="F514" s="15"/>
      <c r="G514" s="20"/>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15"/>
      <c r="C515" s="15"/>
      <c r="D515" s="15"/>
      <c r="E515" s="15"/>
      <c r="F515" s="15"/>
      <c r="G515" s="20"/>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15"/>
      <c r="C516" s="15"/>
      <c r="D516" s="15"/>
      <c r="E516" s="15"/>
      <c r="F516" s="15"/>
      <c r="G516" s="20"/>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15"/>
      <c r="C517" s="15"/>
      <c r="D517" s="15"/>
      <c r="E517" s="15"/>
      <c r="F517" s="15"/>
      <c r="G517" s="20"/>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15"/>
      <c r="C518" s="15"/>
      <c r="D518" s="15"/>
      <c r="E518" s="15"/>
      <c r="F518" s="15"/>
      <c r="G518" s="20"/>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15"/>
      <c r="C519" s="15"/>
      <c r="D519" s="15"/>
      <c r="E519" s="15"/>
      <c r="F519" s="15"/>
      <c r="G519" s="20"/>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15"/>
      <c r="C520" s="15"/>
      <c r="D520" s="15"/>
      <c r="E520" s="15"/>
      <c r="F520" s="15"/>
      <c r="G520" s="20"/>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15"/>
      <c r="C521" s="15"/>
      <c r="D521" s="15"/>
      <c r="E521" s="15"/>
      <c r="F521" s="15"/>
      <c r="G521" s="20"/>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15"/>
      <c r="C522" s="15"/>
      <c r="D522" s="15"/>
      <c r="E522" s="15"/>
      <c r="F522" s="15"/>
      <c r="G522" s="20"/>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15"/>
      <c r="C523" s="15"/>
      <c r="D523" s="15"/>
      <c r="E523" s="15"/>
      <c r="F523" s="15"/>
      <c r="G523" s="20"/>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15"/>
      <c r="C524" s="15"/>
      <c r="D524" s="15"/>
      <c r="E524" s="15"/>
      <c r="F524" s="15"/>
      <c r="G524" s="20"/>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15"/>
      <c r="C525" s="15"/>
      <c r="D525" s="15"/>
      <c r="E525" s="15"/>
      <c r="F525" s="15"/>
      <c r="G525" s="20"/>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15"/>
      <c r="C526" s="15"/>
      <c r="D526" s="15"/>
      <c r="E526" s="15"/>
      <c r="F526" s="15"/>
      <c r="G526" s="20"/>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15"/>
      <c r="C527" s="15"/>
      <c r="D527" s="15"/>
      <c r="E527" s="15"/>
      <c r="F527" s="15"/>
      <c r="G527" s="20"/>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15"/>
      <c r="C528" s="15"/>
      <c r="D528" s="15"/>
      <c r="E528" s="15"/>
      <c r="F528" s="15"/>
      <c r="G528" s="20"/>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15"/>
      <c r="C529" s="15"/>
      <c r="D529" s="15"/>
      <c r="E529" s="15"/>
      <c r="F529" s="15"/>
      <c r="G529" s="20"/>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15"/>
      <c r="C530" s="15"/>
      <c r="D530" s="15"/>
      <c r="E530" s="15"/>
      <c r="F530" s="15"/>
      <c r="G530" s="20"/>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15"/>
      <c r="C531" s="15"/>
      <c r="D531" s="15"/>
      <c r="E531" s="15"/>
      <c r="F531" s="15"/>
      <c r="G531" s="20"/>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15"/>
      <c r="C532" s="15"/>
      <c r="D532" s="15"/>
      <c r="E532" s="15"/>
      <c r="F532" s="15"/>
      <c r="G532" s="20"/>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15"/>
      <c r="C533" s="15"/>
      <c r="D533" s="15"/>
      <c r="E533" s="15"/>
      <c r="F533" s="15"/>
      <c r="G533" s="20"/>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15"/>
      <c r="C534" s="15"/>
      <c r="D534" s="15"/>
      <c r="E534" s="15"/>
      <c r="F534" s="15"/>
      <c r="G534" s="20"/>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15"/>
      <c r="C535" s="15"/>
      <c r="D535" s="15"/>
      <c r="E535" s="15"/>
      <c r="F535" s="15"/>
      <c r="G535" s="20"/>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15"/>
      <c r="C536" s="15"/>
      <c r="D536" s="15"/>
      <c r="E536" s="15"/>
      <c r="F536" s="15"/>
      <c r="G536" s="20"/>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15"/>
      <c r="C537" s="15"/>
      <c r="D537" s="15"/>
      <c r="E537" s="15"/>
      <c r="F537" s="15"/>
      <c r="G537" s="20"/>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15"/>
      <c r="C538" s="15"/>
      <c r="D538" s="15"/>
      <c r="E538" s="15"/>
      <c r="F538" s="15"/>
      <c r="G538" s="20"/>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15"/>
      <c r="C539" s="15"/>
      <c r="D539" s="15"/>
      <c r="E539" s="15"/>
      <c r="F539" s="15"/>
      <c r="G539" s="20"/>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15"/>
      <c r="C540" s="15"/>
      <c r="D540" s="15"/>
      <c r="E540" s="15"/>
      <c r="F540" s="15"/>
      <c r="G540" s="20"/>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15"/>
      <c r="C541" s="15"/>
      <c r="D541" s="15"/>
      <c r="E541" s="15"/>
      <c r="F541" s="15"/>
      <c r="G541" s="20"/>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15"/>
      <c r="C542" s="15"/>
      <c r="D542" s="15"/>
      <c r="E542" s="15"/>
      <c r="F542" s="15"/>
      <c r="G542" s="20"/>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15"/>
      <c r="C543" s="15"/>
      <c r="D543" s="15"/>
      <c r="E543" s="15"/>
      <c r="F543" s="15"/>
      <c r="G543" s="20"/>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15"/>
      <c r="C544" s="15"/>
      <c r="D544" s="15"/>
      <c r="E544" s="15"/>
      <c r="F544" s="15"/>
      <c r="G544" s="20"/>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15"/>
      <c r="C545" s="15"/>
      <c r="D545" s="15"/>
      <c r="E545" s="15"/>
      <c r="F545" s="15"/>
      <c r="G545" s="20"/>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15"/>
      <c r="C546" s="15"/>
      <c r="D546" s="15"/>
      <c r="E546" s="15"/>
      <c r="F546" s="15"/>
      <c r="G546" s="20"/>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15"/>
      <c r="C547" s="15"/>
      <c r="D547" s="15"/>
      <c r="E547" s="15"/>
      <c r="F547" s="15"/>
      <c r="G547" s="20"/>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15"/>
      <c r="C548" s="15"/>
      <c r="D548" s="15"/>
      <c r="E548" s="15"/>
      <c r="F548" s="15"/>
      <c r="G548" s="20"/>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15"/>
      <c r="C549" s="15"/>
      <c r="D549" s="15"/>
      <c r="E549" s="15"/>
      <c r="F549" s="15"/>
      <c r="G549" s="20"/>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15"/>
      <c r="C550" s="15"/>
      <c r="D550" s="15"/>
      <c r="E550" s="15"/>
      <c r="F550" s="15"/>
      <c r="G550" s="20"/>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15"/>
      <c r="C551" s="15"/>
      <c r="D551" s="15"/>
      <c r="E551" s="15"/>
      <c r="F551" s="15"/>
      <c r="G551" s="20"/>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15"/>
      <c r="C552" s="15"/>
      <c r="D552" s="15"/>
      <c r="E552" s="15"/>
      <c r="F552" s="15"/>
      <c r="G552" s="20"/>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15"/>
      <c r="C553" s="15"/>
      <c r="D553" s="15"/>
      <c r="E553" s="15"/>
      <c r="F553" s="15"/>
      <c r="G553" s="20"/>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15"/>
      <c r="C554" s="15"/>
      <c r="D554" s="15"/>
      <c r="E554" s="15"/>
      <c r="F554" s="15"/>
      <c r="G554" s="20"/>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15"/>
      <c r="C555" s="15"/>
      <c r="D555" s="15"/>
      <c r="E555" s="15"/>
      <c r="F555" s="15"/>
      <c r="G555" s="20"/>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15"/>
      <c r="C556" s="15"/>
      <c r="D556" s="15"/>
      <c r="E556" s="15"/>
      <c r="F556" s="15"/>
      <c r="G556" s="20"/>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15"/>
      <c r="C557" s="15"/>
      <c r="D557" s="15"/>
      <c r="E557" s="15"/>
      <c r="F557" s="15"/>
      <c r="G557" s="20"/>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15"/>
      <c r="C558" s="15"/>
      <c r="D558" s="15"/>
      <c r="E558" s="15"/>
      <c r="F558" s="15"/>
      <c r="G558" s="20"/>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15"/>
      <c r="C559" s="15"/>
      <c r="D559" s="15"/>
      <c r="E559" s="15"/>
      <c r="F559" s="15"/>
      <c r="G559" s="20"/>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15"/>
      <c r="C560" s="15"/>
      <c r="D560" s="15"/>
      <c r="E560" s="15"/>
      <c r="F560" s="15"/>
      <c r="G560" s="20"/>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15"/>
      <c r="C561" s="15"/>
      <c r="D561" s="15"/>
      <c r="E561" s="15"/>
      <c r="F561" s="15"/>
      <c r="G561" s="20"/>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15"/>
      <c r="C562" s="15"/>
      <c r="D562" s="15"/>
      <c r="E562" s="15"/>
      <c r="F562" s="15"/>
      <c r="G562" s="20"/>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15"/>
      <c r="C563" s="15"/>
      <c r="D563" s="15"/>
      <c r="E563" s="15"/>
      <c r="F563" s="15"/>
      <c r="G563" s="20"/>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15"/>
      <c r="C564" s="15"/>
      <c r="D564" s="15"/>
      <c r="E564" s="15"/>
      <c r="F564" s="15"/>
      <c r="G564" s="20"/>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15"/>
      <c r="C565" s="15"/>
      <c r="D565" s="15"/>
      <c r="E565" s="15"/>
      <c r="F565" s="15"/>
      <c r="G565" s="20"/>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15"/>
      <c r="C566" s="15"/>
      <c r="D566" s="15"/>
      <c r="E566" s="15"/>
      <c r="F566" s="15"/>
      <c r="G566" s="20"/>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15"/>
      <c r="C567" s="15"/>
      <c r="D567" s="15"/>
      <c r="E567" s="15"/>
      <c r="F567" s="15"/>
      <c r="G567" s="20"/>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15"/>
      <c r="C568" s="15"/>
      <c r="D568" s="15"/>
      <c r="E568" s="15"/>
      <c r="F568" s="15"/>
      <c r="G568" s="20"/>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15"/>
      <c r="C569" s="15"/>
      <c r="D569" s="15"/>
      <c r="E569" s="15"/>
      <c r="F569" s="15"/>
      <c r="G569" s="20"/>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15"/>
      <c r="C570" s="15"/>
      <c r="D570" s="15"/>
      <c r="E570" s="15"/>
      <c r="F570" s="15"/>
      <c r="G570" s="20"/>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15"/>
      <c r="C571" s="15"/>
      <c r="D571" s="15"/>
      <c r="E571" s="15"/>
      <c r="F571" s="15"/>
      <c r="G571" s="20"/>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15"/>
      <c r="C572" s="15"/>
      <c r="D572" s="15"/>
      <c r="E572" s="15"/>
      <c r="F572" s="15"/>
      <c r="G572" s="20"/>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15"/>
      <c r="C573" s="15"/>
      <c r="D573" s="15"/>
      <c r="E573" s="15"/>
      <c r="F573" s="15"/>
      <c r="G573" s="20"/>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15"/>
      <c r="C574" s="15"/>
      <c r="D574" s="15"/>
      <c r="E574" s="15"/>
      <c r="F574" s="15"/>
      <c r="G574" s="20"/>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15"/>
      <c r="C575" s="15"/>
      <c r="D575" s="15"/>
      <c r="E575" s="15"/>
      <c r="F575" s="15"/>
      <c r="G575" s="20"/>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15"/>
      <c r="C576" s="15"/>
      <c r="D576" s="15"/>
      <c r="E576" s="15"/>
      <c r="F576" s="15"/>
      <c r="G576" s="20"/>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15"/>
      <c r="C577" s="15"/>
      <c r="D577" s="15"/>
      <c r="E577" s="15"/>
      <c r="F577" s="15"/>
      <c r="G577" s="20"/>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15"/>
      <c r="C578" s="15"/>
      <c r="D578" s="15"/>
      <c r="E578" s="15"/>
      <c r="F578" s="15"/>
      <c r="G578" s="20"/>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15"/>
      <c r="C579" s="15"/>
      <c r="D579" s="15"/>
      <c r="E579" s="15"/>
      <c r="F579" s="15"/>
      <c r="G579" s="20"/>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15"/>
      <c r="C580" s="15"/>
      <c r="D580" s="15"/>
      <c r="E580" s="15"/>
      <c r="F580" s="15"/>
      <c r="G580" s="20"/>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15"/>
      <c r="C581" s="15"/>
      <c r="D581" s="15"/>
      <c r="E581" s="15"/>
      <c r="F581" s="15"/>
      <c r="G581" s="20"/>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15"/>
      <c r="C582" s="15"/>
      <c r="D582" s="15"/>
      <c r="E582" s="15"/>
      <c r="F582" s="15"/>
      <c r="G582" s="20"/>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15"/>
      <c r="C583" s="15"/>
      <c r="D583" s="15"/>
      <c r="E583" s="15"/>
      <c r="F583" s="15"/>
      <c r="G583" s="20"/>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15"/>
      <c r="C584" s="15"/>
      <c r="D584" s="15"/>
      <c r="E584" s="15"/>
      <c r="F584" s="15"/>
      <c r="G584" s="20"/>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15"/>
      <c r="C585" s="15"/>
      <c r="D585" s="15"/>
      <c r="E585" s="15"/>
      <c r="F585" s="15"/>
      <c r="G585" s="20"/>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15"/>
      <c r="C586" s="15"/>
      <c r="D586" s="15"/>
      <c r="E586" s="15"/>
      <c r="F586" s="15"/>
      <c r="G586" s="20"/>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15"/>
      <c r="C587" s="15"/>
      <c r="D587" s="15"/>
      <c r="E587" s="15"/>
      <c r="F587" s="15"/>
      <c r="G587" s="20"/>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15"/>
      <c r="C588" s="15"/>
      <c r="D588" s="15"/>
      <c r="E588" s="15"/>
      <c r="F588" s="15"/>
      <c r="G588" s="20"/>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15"/>
      <c r="C589" s="15"/>
      <c r="D589" s="15"/>
      <c r="E589" s="15"/>
      <c r="F589" s="15"/>
      <c r="G589" s="20"/>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15"/>
      <c r="C590" s="15"/>
      <c r="D590" s="15"/>
      <c r="E590" s="15"/>
      <c r="F590" s="15"/>
      <c r="G590" s="20"/>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15"/>
      <c r="C591" s="15"/>
      <c r="D591" s="15"/>
      <c r="E591" s="15"/>
      <c r="F591" s="15"/>
      <c r="G591" s="20"/>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15"/>
      <c r="C592" s="15"/>
      <c r="D592" s="15"/>
      <c r="E592" s="15"/>
      <c r="F592" s="15"/>
      <c r="G592" s="20"/>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15"/>
      <c r="C593" s="15"/>
      <c r="D593" s="15"/>
      <c r="E593" s="15"/>
      <c r="F593" s="15"/>
      <c r="G593" s="20"/>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15"/>
      <c r="C594" s="15"/>
      <c r="D594" s="15"/>
      <c r="E594" s="15"/>
      <c r="F594" s="15"/>
      <c r="G594" s="20"/>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15"/>
      <c r="C595" s="15"/>
      <c r="D595" s="15"/>
      <c r="E595" s="15"/>
      <c r="F595" s="15"/>
      <c r="G595" s="20"/>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15"/>
      <c r="C596" s="15"/>
      <c r="D596" s="15"/>
      <c r="E596" s="15"/>
      <c r="F596" s="15"/>
      <c r="G596" s="20"/>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15"/>
      <c r="C597" s="15"/>
      <c r="D597" s="15"/>
      <c r="E597" s="15"/>
      <c r="F597" s="15"/>
      <c r="G597" s="20"/>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15"/>
      <c r="C598" s="15"/>
      <c r="D598" s="15"/>
      <c r="E598" s="15"/>
      <c r="F598" s="15"/>
      <c r="G598" s="20"/>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15"/>
      <c r="C599" s="15"/>
      <c r="D599" s="15"/>
      <c r="E599" s="15"/>
      <c r="F599" s="15"/>
      <c r="G599" s="20"/>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15"/>
      <c r="C600" s="15"/>
      <c r="D600" s="15"/>
      <c r="E600" s="15"/>
      <c r="F600" s="15"/>
      <c r="G600" s="20"/>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15"/>
      <c r="C601" s="15"/>
      <c r="D601" s="15"/>
      <c r="E601" s="15"/>
      <c r="F601" s="15"/>
      <c r="G601" s="20"/>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15"/>
      <c r="C602" s="15"/>
      <c r="D602" s="15"/>
      <c r="E602" s="15"/>
      <c r="F602" s="15"/>
      <c r="G602" s="20"/>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15"/>
      <c r="C603" s="15"/>
      <c r="D603" s="15"/>
      <c r="E603" s="15"/>
      <c r="F603" s="15"/>
      <c r="G603" s="20"/>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15"/>
      <c r="C604" s="15"/>
      <c r="D604" s="15"/>
      <c r="E604" s="15"/>
      <c r="F604" s="15"/>
      <c r="G604" s="20"/>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15"/>
      <c r="C605" s="15"/>
      <c r="D605" s="15"/>
      <c r="E605" s="15"/>
      <c r="F605" s="15"/>
      <c r="G605" s="20"/>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15"/>
      <c r="C606" s="15"/>
      <c r="D606" s="15"/>
      <c r="E606" s="15"/>
      <c r="F606" s="15"/>
      <c r="G606" s="20"/>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15"/>
      <c r="C607" s="15"/>
      <c r="D607" s="15"/>
      <c r="E607" s="15"/>
      <c r="F607" s="15"/>
      <c r="G607" s="20"/>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15"/>
      <c r="C608" s="15"/>
      <c r="D608" s="15"/>
      <c r="E608" s="15"/>
      <c r="F608" s="15"/>
      <c r="G608" s="20"/>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15"/>
      <c r="C609" s="15"/>
      <c r="D609" s="15"/>
      <c r="E609" s="15"/>
      <c r="F609" s="15"/>
      <c r="G609" s="20"/>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15"/>
      <c r="C610" s="15"/>
      <c r="D610" s="15"/>
      <c r="E610" s="15"/>
      <c r="F610" s="15"/>
      <c r="G610" s="20"/>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15"/>
      <c r="C611" s="15"/>
      <c r="D611" s="15"/>
      <c r="E611" s="15"/>
      <c r="F611" s="15"/>
      <c r="G611" s="20"/>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15"/>
      <c r="C612" s="15"/>
      <c r="D612" s="15"/>
      <c r="E612" s="15"/>
      <c r="F612" s="15"/>
      <c r="G612" s="20"/>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15"/>
      <c r="C613" s="15"/>
      <c r="D613" s="15"/>
      <c r="E613" s="15"/>
      <c r="F613" s="15"/>
      <c r="G613" s="20"/>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15"/>
      <c r="C614" s="15"/>
      <c r="D614" s="15"/>
      <c r="E614" s="15"/>
      <c r="F614" s="15"/>
      <c r="G614" s="20"/>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15"/>
      <c r="C615" s="15"/>
      <c r="D615" s="15"/>
      <c r="E615" s="15"/>
      <c r="F615" s="15"/>
      <c r="G615" s="20"/>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15"/>
      <c r="C616" s="15"/>
      <c r="D616" s="15"/>
      <c r="E616" s="15"/>
      <c r="F616" s="15"/>
      <c r="G616" s="20"/>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15"/>
      <c r="C617" s="15"/>
      <c r="D617" s="15"/>
      <c r="E617" s="15"/>
      <c r="F617" s="15"/>
      <c r="G617" s="20"/>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15"/>
      <c r="C618" s="15"/>
      <c r="D618" s="15"/>
      <c r="E618" s="15"/>
      <c r="F618" s="15"/>
      <c r="G618" s="20"/>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15"/>
      <c r="C619" s="15"/>
      <c r="D619" s="15"/>
      <c r="E619" s="15"/>
      <c r="F619" s="15"/>
      <c r="G619" s="20"/>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15"/>
      <c r="C620" s="15"/>
      <c r="D620" s="15"/>
      <c r="E620" s="15"/>
      <c r="F620" s="15"/>
      <c r="G620" s="20"/>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15"/>
      <c r="C621" s="15"/>
      <c r="D621" s="15"/>
      <c r="E621" s="15"/>
      <c r="F621" s="15"/>
      <c r="G621" s="20"/>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15"/>
      <c r="C622" s="15"/>
      <c r="D622" s="15"/>
      <c r="E622" s="15"/>
      <c r="F622" s="15"/>
      <c r="G622" s="20"/>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15"/>
      <c r="C623" s="15"/>
      <c r="D623" s="15"/>
      <c r="E623" s="15"/>
      <c r="F623" s="15"/>
      <c r="G623" s="20"/>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15"/>
      <c r="C624" s="15"/>
      <c r="D624" s="15"/>
      <c r="E624" s="15"/>
      <c r="F624" s="15"/>
      <c r="G624" s="20"/>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15"/>
      <c r="C625" s="15"/>
      <c r="D625" s="15"/>
      <c r="E625" s="15"/>
      <c r="F625" s="15"/>
      <c r="G625" s="20"/>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15"/>
      <c r="C626" s="15"/>
      <c r="D626" s="15"/>
      <c r="E626" s="15"/>
      <c r="F626" s="15"/>
      <c r="G626" s="20"/>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15"/>
      <c r="C627" s="15"/>
      <c r="D627" s="15"/>
      <c r="E627" s="15"/>
      <c r="F627" s="15"/>
      <c r="G627" s="20"/>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15"/>
      <c r="C628" s="15"/>
      <c r="D628" s="15"/>
      <c r="E628" s="15"/>
      <c r="F628" s="15"/>
      <c r="G628" s="20"/>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15"/>
      <c r="C629" s="15"/>
      <c r="D629" s="15"/>
      <c r="E629" s="15"/>
      <c r="F629" s="15"/>
      <c r="G629" s="20"/>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15"/>
      <c r="C630" s="15"/>
      <c r="D630" s="15"/>
      <c r="E630" s="15"/>
      <c r="F630" s="15"/>
      <c r="G630" s="20"/>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15"/>
      <c r="C631" s="15"/>
      <c r="D631" s="15"/>
      <c r="E631" s="15"/>
      <c r="F631" s="15"/>
      <c r="G631" s="20"/>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15"/>
      <c r="C632" s="15"/>
      <c r="D632" s="15"/>
      <c r="E632" s="15"/>
      <c r="F632" s="15"/>
      <c r="G632" s="20"/>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15"/>
      <c r="C633" s="15"/>
      <c r="D633" s="15"/>
      <c r="E633" s="15"/>
      <c r="F633" s="15"/>
      <c r="G633" s="20"/>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15"/>
      <c r="C634" s="15"/>
      <c r="D634" s="15"/>
      <c r="E634" s="15"/>
      <c r="F634" s="15"/>
      <c r="G634" s="20"/>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15"/>
      <c r="C635" s="15"/>
      <c r="D635" s="15"/>
      <c r="E635" s="15"/>
      <c r="F635" s="15"/>
      <c r="G635" s="20"/>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15"/>
      <c r="C636" s="15"/>
      <c r="D636" s="15"/>
      <c r="E636" s="15"/>
      <c r="F636" s="15"/>
      <c r="G636" s="20"/>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15"/>
      <c r="C637" s="15"/>
      <c r="D637" s="15"/>
      <c r="E637" s="15"/>
      <c r="F637" s="15"/>
      <c r="G637" s="20"/>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15"/>
      <c r="C638" s="15"/>
      <c r="D638" s="15"/>
      <c r="E638" s="15"/>
      <c r="F638" s="15"/>
      <c r="G638" s="20"/>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15"/>
      <c r="C639" s="15"/>
      <c r="D639" s="15"/>
      <c r="E639" s="15"/>
      <c r="F639" s="15"/>
      <c r="G639" s="20"/>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15"/>
      <c r="C640" s="15"/>
      <c r="D640" s="15"/>
      <c r="E640" s="15"/>
      <c r="F640" s="15"/>
      <c r="G640" s="20"/>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15"/>
      <c r="C641" s="15"/>
      <c r="D641" s="15"/>
      <c r="E641" s="15"/>
      <c r="F641" s="15"/>
      <c r="G641" s="20"/>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15"/>
      <c r="C642" s="15"/>
      <c r="D642" s="15"/>
      <c r="E642" s="15"/>
      <c r="F642" s="15"/>
      <c r="G642" s="20"/>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15"/>
      <c r="C643" s="15"/>
      <c r="D643" s="15"/>
      <c r="E643" s="15"/>
      <c r="F643" s="15"/>
      <c r="G643" s="20"/>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15"/>
      <c r="C644" s="15"/>
      <c r="D644" s="15"/>
      <c r="E644" s="15"/>
      <c r="F644" s="15"/>
      <c r="G644" s="20"/>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15"/>
      <c r="C645" s="15"/>
      <c r="D645" s="15"/>
      <c r="E645" s="15"/>
      <c r="F645" s="15"/>
      <c r="G645" s="20"/>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15"/>
      <c r="C646" s="15"/>
      <c r="D646" s="15"/>
      <c r="E646" s="15"/>
      <c r="F646" s="15"/>
      <c r="G646" s="20"/>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15"/>
      <c r="C647" s="15"/>
      <c r="D647" s="15"/>
      <c r="E647" s="15"/>
      <c r="F647" s="15"/>
      <c r="G647" s="20"/>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15"/>
      <c r="C648" s="15"/>
      <c r="D648" s="15"/>
      <c r="E648" s="15"/>
      <c r="F648" s="15"/>
      <c r="G648" s="20"/>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15"/>
      <c r="C649" s="15"/>
      <c r="D649" s="15"/>
      <c r="E649" s="15"/>
      <c r="F649" s="15"/>
      <c r="G649" s="20"/>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15"/>
      <c r="C650" s="15"/>
      <c r="D650" s="15"/>
      <c r="E650" s="15"/>
      <c r="F650" s="15"/>
      <c r="G650" s="20"/>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15"/>
      <c r="C651" s="15"/>
      <c r="D651" s="15"/>
      <c r="E651" s="15"/>
      <c r="F651" s="15"/>
      <c r="G651" s="20"/>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15"/>
      <c r="C652" s="15"/>
      <c r="D652" s="15"/>
      <c r="E652" s="15"/>
      <c r="F652" s="15"/>
      <c r="G652" s="20"/>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15"/>
      <c r="C653" s="15"/>
      <c r="D653" s="15"/>
      <c r="E653" s="15"/>
      <c r="F653" s="15"/>
      <c r="G653" s="20"/>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15"/>
      <c r="C654" s="15"/>
      <c r="D654" s="15"/>
      <c r="E654" s="15"/>
      <c r="F654" s="15"/>
      <c r="G654" s="20"/>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15"/>
      <c r="C655" s="15"/>
      <c r="D655" s="15"/>
      <c r="E655" s="15"/>
      <c r="F655" s="15"/>
      <c r="G655" s="20"/>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15"/>
      <c r="C656" s="15"/>
      <c r="D656" s="15"/>
      <c r="E656" s="15"/>
      <c r="F656" s="15"/>
      <c r="G656" s="20"/>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15"/>
      <c r="C657" s="15"/>
      <c r="D657" s="15"/>
      <c r="E657" s="15"/>
      <c r="F657" s="15"/>
      <c r="G657" s="20"/>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15"/>
      <c r="C658" s="15"/>
      <c r="D658" s="15"/>
      <c r="E658" s="15"/>
      <c r="F658" s="15"/>
      <c r="G658" s="20"/>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15"/>
      <c r="C659" s="15"/>
      <c r="D659" s="15"/>
      <c r="E659" s="15"/>
      <c r="F659" s="15"/>
      <c r="G659" s="20"/>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15"/>
      <c r="C660" s="15"/>
      <c r="D660" s="15"/>
      <c r="E660" s="15"/>
      <c r="F660" s="15"/>
      <c r="G660" s="20"/>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15"/>
      <c r="C661" s="15"/>
      <c r="D661" s="15"/>
      <c r="E661" s="15"/>
      <c r="F661" s="15"/>
      <c r="G661" s="20"/>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15"/>
      <c r="C662" s="15"/>
      <c r="D662" s="15"/>
      <c r="E662" s="15"/>
      <c r="F662" s="15"/>
      <c r="G662" s="20"/>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15"/>
      <c r="C663" s="15"/>
      <c r="D663" s="15"/>
      <c r="E663" s="15"/>
      <c r="F663" s="15"/>
      <c r="G663" s="20"/>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15"/>
      <c r="C664" s="15"/>
      <c r="D664" s="15"/>
      <c r="E664" s="15"/>
      <c r="F664" s="15"/>
      <c r="G664" s="20"/>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15"/>
      <c r="C665" s="15"/>
      <c r="D665" s="15"/>
      <c r="E665" s="15"/>
      <c r="F665" s="15"/>
      <c r="G665" s="20"/>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15"/>
      <c r="C666" s="15"/>
      <c r="D666" s="15"/>
      <c r="E666" s="15"/>
      <c r="F666" s="15"/>
      <c r="G666" s="20"/>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15"/>
      <c r="C667" s="15"/>
      <c r="D667" s="15"/>
      <c r="E667" s="15"/>
      <c r="F667" s="15"/>
      <c r="G667" s="20"/>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15"/>
      <c r="C668" s="15"/>
      <c r="D668" s="15"/>
      <c r="E668" s="15"/>
      <c r="F668" s="15"/>
      <c r="G668" s="20"/>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15"/>
      <c r="C669" s="15"/>
      <c r="D669" s="15"/>
      <c r="E669" s="15"/>
      <c r="F669" s="15"/>
      <c r="G669" s="20"/>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15"/>
      <c r="C670" s="15"/>
      <c r="D670" s="15"/>
      <c r="E670" s="15"/>
      <c r="F670" s="15"/>
      <c r="G670" s="20"/>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15"/>
      <c r="C671" s="15"/>
      <c r="D671" s="15"/>
      <c r="E671" s="15"/>
      <c r="F671" s="15"/>
      <c r="G671" s="20"/>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15"/>
      <c r="C672" s="15"/>
      <c r="D672" s="15"/>
      <c r="E672" s="15"/>
      <c r="F672" s="15"/>
      <c r="G672" s="20"/>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15"/>
      <c r="C673" s="15"/>
      <c r="D673" s="15"/>
      <c r="E673" s="15"/>
      <c r="F673" s="15"/>
      <c r="G673" s="20"/>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15"/>
      <c r="C674" s="15"/>
      <c r="D674" s="15"/>
      <c r="E674" s="15"/>
      <c r="F674" s="15"/>
      <c r="G674" s="20"/>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15"/>
      <c r="C675" s="15"/>
      <c r="D675" s="15"/>
      <c r="E675" s="15"/>
      <c r="F675" s="15"/>
      <c r="G675" s="20"/>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15"/>
      <c r="C676" s="15"/>
      <c r="D676" s="15"/>
      <c r="E676" s="15"/>
      <c r="F676" s="15"/>
      <c r="G676" s="20"/>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15"/>
      <c r="C677" s="15"/>
      <c r="D677" s="15"/>
      <c r="E677" s="15"/>
      <c r="F677" s="15"/>
      <c r="G677" s="20"/>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15"/>
      <c r="C678" s="15"/>
      <c r="D678" s="15"/>
      <c r="E678" s="15"/>
      <c r="F678" s="15"/>
      <c r="G678" s="20"/>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15"/>
      <c r="C679" s="15"/>
      <c r="D679" s="15"/>
      <c r="E679" s="15"/>
      <c r="F679" s="15"/>
      <c r="G679" s="20"/>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15"/>
      <c r="C680" s="15"/>
      <c r="D680" s="15"/>
      <c r="E680" s="15"/>
      <c r="F680" s="15"/>
      <c r="G680" s="20"/>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15"/>
      <c r="C681" s="15"/>
      <c r="D681" s="15"/>
      <c r="E681" s="15"/>
      <c r="F681" s="15"/>
      <c r="G681" s="20"/>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15"/>
      <c r="C682" s="15"/>
      <c r="D682" s="15"/>
      <c r="E682" s="15"/>
      <c r="F682" s="15"/>
      <c r="G682" s="20"/>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15"/>
      <c r="C683" s="15"/>
      <c r="D683" s="15"/>
      <c r="E683" s="15"/>
      <c r="F683" s="15"/>
      <c r="G683" s="20"/>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15"/>
      <c r="C684" s="15"/>
      <c r="D684" s="15"/>
      <c r="E684" s="15"/>
      <c r="F684" s="15"/>
      <c r="G684" s="20"/>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15"/>
      <c r="C685" s="15"/>
      <c r="D685" s="15"/>
      <c r="E685" s="15"/>
      <c r="F685" s="15"/>
      <c r="G685" s="20"/>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15"/>
      <c r="C686" s="15"/>
      <c r="D686" s="15"/>
      <c r="E686" s="15"/>
      <c r="F686" s="15"/>
      <c r="G686" s="20"/>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15"/>
      <c r="C687" s="15"/>
      <c r="D687" s="15"/>
      <c r="E687" s="15"/>
      <c r="F687" s="15"/>
      <c r="G687" s="20"/>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15"/>
      <c r="C688" s="15"/>
      <c r="D688" s="15"/>
      <c r="E688" s="15"/>
      <c r="F688" s="15"/>
      <c r="G688" s="20"/>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15"/>
      <c r="C689" s="15"/>
      <c r="D689" s="15"/>
      <c r="E689" s="15"/>
      <c r="F689" s="15"/>
      <c r="G689" s="20"/>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15"/>
      <c r="C690" s="15"/>
      <c r="D690" s="15"/>
      <c r="E690" s="15"/>
      <c r="F690" s="15"/>
      <c r="G690" s="20"/>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15"/>
      <c r="C691" s="15"/>
      <c r="D691" s="15"/>
      <c r="E691" s="15"/>
      <c r="F691" s="15"/>
      <c r="G691" s="20"/>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15"/>
      <c r="C692" s="15"/>
      <c r="D692" s="15"/>
      <c r="E692" s="15"/>
      <c r="F692" s="15"/>
      <c r="G692" s="20"/>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15"/>
      <c r="C693" s="15"/>
      <c r="D693" s="15"/>
      <c r="E693" s="15"/>
      <c r="F693" s="15"/>
      <c r="G693" s="20"/>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15"/>
      <c r="C694" s="15"/>
      <c r="D694" s="15"/>
      <c r="E694" s="15"/>
      <c r="F694" s="15"/>
      <c r="G694" s="20"/>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15"/>
      <c r="C695" s="15"/>
      <c r="D695" s="15"/>
      <c r="E695" s="15"/>
      <c r="F695" s="15"/>
      <c r="G695" s="20"/>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15"/>
      <c r="C696" s="15"/>
      <c r="D696" s="15"/>
      <c r="E696" s="15"/>
      <c r="F696" s="15"/>
      <c r="G696" s="20"/>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15"/>
      <c r="C697" s="15"/>
      <c r="D697" s="15"/>
      <c r="E697" s="15"/>
      <c r="F697" s="15"/>
      <c r="G697" s="20"/>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15"/>
      <c r="C698" s="15"/>
      <c r="D698" s="15"/>
      <c r="E698" s="15"/>
      <c r="F698" s="15"/>
      <c r="G698" s="20"/>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15"/>
      <c r="C699" s="15"/>
      <c r="D699" s="15"/>
      <c r="E699" s="15"/>
      <c r="F699" s="15"/>
      <c r="G699" s="20"/>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15"/>
      <c r="C700" s="15"/>
      <c r="D700" s="15"/>
      <c r="E700" s="15"/>
      <c r="F700" s="15"/>
      <c r="G700" s="20"/>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15"/>
      <c r="C701" s="15"/>
      <c r="D701" s="15"/>
      <c r="E701" s="15"/>
      <c r="F701" s="15"/>
      <c r="G701" s="20"/>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15"/>
      <c r="C702" s="15"/>
      <c r="D702" s="15"/>
      <c r="E702" s="15"/>
      <c r="F702" s="15"/>
      <c r="G702" s="20"/>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15"/>
      <c r="C703" s="15"/>
      <c r="D703" s="15"/>
      <c r="E703" s="15"/>
      <c r="F703" s="15"/>
      <c r="G703" s="20"/>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15"/>
      <c r="C704" s="15"/>
      <c r="D704" s="15"/>
      <c r="E704" s="15"/>
      <c r="F704" s="15"/>
      <c r="G704" s="20"/>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15"/>
      <c r="C705" s="15"/>
      <c r="D705" s="15"/>
      <c r="E705" s="15"/>
      <c r="F705" s="15"/>
      <c r="G705" s="20"/>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15"/>
      <c r="C706" s="15"/>
      <c r="D706" s="15"/>
      <c r="E706" s="15"/>
      <c r="F706" s="15"/>
      <c r="G706" s="20"/>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15"/>
      <c r="C707" s="15"/>
      <c r="D707" s="15"/>
      <c r="E707" s="15"/>
      <c r="F707" s="15"/>
      <c r="G707" s="20"/>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15"/>
      <c r="C708" s="15"/>
      <c r="D708" s="15"/>
      <c r="E708" s="15"/>
      <c r="F708" s="15"/>
      <c r="G708" s="20"/>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15"/>
      <c r="C709" s="15"/>
      <c r="D709" s="15"/>
      <c r="E709" s="15"/>
      <c r="F709" s="15"/>
      <c r="G709" s="20"/>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15"/>
      <c r="C710" s="15"/>
      <c r="D710" s="15"/>
      <c r="E710" s="15"/>
      <c r="F710" s="15"/>
      <c r="G710" s="20"/>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15"/>
      <c r="C711" s="15"/>
      <c r="D711" s="15"/>
      <c r="E711" s="15"/>
      <c r="F711" s="15"/>
      <c r="G711" s="20"/>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15"/>
      <c r="C712" s="15"/>
      <c r="D712" s="15"/>
      <c r="E712" s="15"/>
      <c r="F712" s="15"/>
      <c r="G712" s="20"/>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15"/>
      <c r="C713" s="15"/>
      <c r="D713" s="15"/>
      <c r="E713" s="15"/>
      <c r="F713" s="15"/>
      <c r="G713" s="20"/>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15"/>
      <c r="C714" s="15"/>
      <c r="D714" s="15"/>
      <c r="E714" s="15"/>
      <c r="F714" s="15"/>
      <c r="G714" s="20"/>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15"/>
      <c r="C715" s="15"/>
      <c r="D715" s="15"/>
      <c r="E715" s="15"/>
      <c r="F715" s="15"/>
      <c r="G715" s="20"/>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15"/>
      <c r="C716" s="15"/>
      <c r="D716" s="15"/>
      <c r="E716" s="15"/>
      <c r="F716" s="15"/>
      <c r="G716" s="20"/>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15"/>
      <c r="C717" s="15"/>
      <c r="D717" s="15"/>
      <c r="E717" s="15"/>
      <c r="F717" s="15"/>
      <c r="G717" s="20"/>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15"/>
      <c r="C718" s="15"/>
      <c r="D718" s="15"/>
      <c r="E718" s="15"/>
      <c r="F718" s="15"/>
      <c r="G718" s="20"/>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15"/>
      <c r="C719" s="15"/>
      <c r="D719" s="15"/>
      <c r="E719" s="15"/>
      <c r="F719" s="15"/>
      <c r="G719" s="20"/>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15"/>
      <c r="C720" s="15"/>
      <c r="D720" s="15"/>
      <c r="E720" s="15"/>
      <c r="F720" s="15"/>
      <c r="G720" s="20"/>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15"/>
      <c r="C721" s="15"/>
      <c r="D721" s="15"/>
      <c r="E721" s="15"/>
      <c r="F721" s="15"/>
      <c r="G721" s="20"/>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15"/>
      <c r="C722" s="15"/>
      <c r="D722" s="15"/>
      <c r="E722" s="15"/>
      <c r="F722" s="15"/>
      <c r="G722" s="20"/>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15"/>
      <c r="C723" s="15"/>
      <c r="D723" s="15"/>
      <c r="E723" s="15"/>
      <c r="F723" s="15"/>
      <c r="G723" s="20"/>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15"/>
      <c r="C724" s="15"/>
      <c r="D724" s="15"/>
      <c r="E724" s="15"/>
      <c r="F724" s="15"/>
      <c r="G724" s="20"/>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15"/>
      <c r="C725" s="15"/>
      <c r="D725" s="15"/>
      <c r="E725" s="15"/>
      <c r="F725" s="15"/>
      <c r="G725" s="20"/>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15"/>
      <c r="C726" s="15"/>
      <c r="D726" s="15"/>
      <c r="E726" s="15"/>
      <c r="F726" s="15"/>
      <c r="G726" s="20"/>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15"/>
      <c r="C727" s="15"/>
      <c r="D727" s="15"/>
      <c r="E727" s="15"/>
      <c r="F727" s="15"/>
      <c r="G727" s="20"/>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15"/>
      <c r="C728" s="15"/>
      <c r="D728" s="15"/>
      <c r="E728" s="15"/>
      <c r="F728" s="15"/>
      <c r="G728" s="20"/>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15"/>
      <c r="C729" s="15"/>
      <c r="D729" s="15"/>
      <c r="E729" s="15"/>
      <c r="F729" s="15"/>
      <c r="G729" s="20"/>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15"/>
      <c r="C730" s="15"/>
      <c r="D730" s="15"/>
      <c r="E730" s="15"/>
      <c r="F730" s="15"/>
      <c r="G730" s="20"/>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15"/>
      <c r="C731" s="15"/>
      <c r="D731" s="15"/>
      <c r="E731" s="15"/>
      <c r="F731" s="15"/>
      <c r="G731" s="20"/>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15"/>
      <c r="C732" s="15"/>
      <c r="D732" s="15"/>
      <c r="E732" s="15"/>
      <c r="F732" s="15"/>
      <c r="G732" s="20"/>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15"/>
      <c r="C733" s="15"/>
      <c r="D733" s="15"/>
      <c r="E733" s="15"/>
      <c r="F733" s="15"/>
      <c r="G733" s="20"/>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15"/>
      <c r="C734" s="15"/>
      <c r="D734" s="15"/>
      <c r="E734" s="15"/>
      <c r="F734" s="15"/>
      <c r="G734" s="20"/>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15"/>
      <c r="C735" s="15"/>
      <c r="D735" s="15"/>
      <c r="E735" s="15"/>
      <c r="F735" s="15"/>
      <c r="G735" s="20"/>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15"/>
      <c r="C736" s="15"/>
      <c r="D736" s="15"/>
      <c r="E736" s="15"/>
      <c r="F736" s="15"/>
      <c r="G736" s="20"/>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15"/>
      <c r="C737" s="15"/>
      <c r="D737" s="15"/>
      <c r="E737" s="15"/>
      <c r="F737" s="15"/>
      <c r="G737" s="20"/>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15"/>
      <c r="C738" s="15"/>
      <c r="D738" s="15"/>
      <c r="E738" s="15"/>
      <c r="F738" s="15"/>
      <c r="G738" s="20"/>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15"/>
      <c r="C739" s="15"/>
      <c r="D739" s="15"/>
      <c r="E739" s="15"/>
      <c r="F739" s="15"/>
      <c r="G739" s="20"/>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15"/>
      <c r="C740" s="15"/>
      <c r="D740" s="15"/>
      <c r="E740" s="15"/>
      <c r="F740" s="15"/>
      <c r="G740" s="20"/>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15"/>
      <c r="C741" s="15"/>
      <c r="D741" s="15"/>
      <c r="E741" s="15"/>
      <c r="F741" s="15"/>
      <c r="G741" s="20"/>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15"/>
      <c r="C742" s="15"/>
      <c r="D742" s="15"/>
      <c r="E742" s="15"/>
      <c r="F742" s="15"/>
      <c r="G742" s="20"/>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15"/>
      <c r="C743" s="15"/>
      <c r="D743" s="15"/>
      <c r="E743" s="15"/>
      <c r="F743" s="15"/>
      <c r="G743" s="20"/>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15"/>
      <c r="C744" s="15"/>
      <c r="D744" s="15"/>
      <c r="E744" s="15"/>
      <c r="F744" s="15"/>
      <c r="G744" s="20"/>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15"/>
      <c r="C745" s="15"/>
      <c r="D745" s="15"/>
      <c r="E745" s="15"/>
      <c r="F745" s="15"/>
      <c r="G745" s="20"/>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15"/>
      <c r="C746" s="15"/>
      <c r="D746" s="15"/>
      <c r="E746" s="15"/>
      <c r="F746" s="15"/>
      <c r="G746" s="20"/>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15"/>
      <c r="C747" s="15"/>
      <c r="D747" s="15"/>
      <c r="E747" s="15"/>
      <c r="F747" s="15"/>
      <c r="G747" s="20"/>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15"/>
      <c r="C748" s="15"/>
      <c r="D748" s="15"/>
      <c r="E748" s="15"/>
      <c r="F748" s="15"/>
      <c r="G748" s="20"/>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15"/>
      <c r="C749" s="15"/>
      <c r="D749" s="15"/>
      <c r="E749" s="15"/>
      <c r="F749" s="15"/>
      <c r="G749" s="20"/>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15"/>
      <c r="C750" s="15"/>
      <c r="D750" s="15"/>
      <c r="E750" s="15"/>
      <c r="F750" s="15"/>
      <c r="G750" s="20"/>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15"/>
      <c r="C751" s="15"/>
      <c r="D751" s="15"/>
      <c r="E751" s="15"/>
      <c r="F751" s="15"/>
      <c r="G751" s="20"/>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15"/>
      <c r="C752" s="15"/>
      <c r="D752" s="15"/>
      <c r="E752" s="15"/>
      <c r="F752" s="15"/>
      <c r="G752" s="20"/>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15"/>
      <c r="C753" s="15"/>
      <c r="D753" s="15"/>
      <c r="E753" s="15"/>
      <c r="F753" s="15"/>
      <c r="G753" s="20"/>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15"/>
      <c r="C754" s="15"/>
      <c r="D754" s="15"/>
      <c r="E754" s="15"/>
      <c r="F754" s="15"/>
      <c r="G754" s="20"/>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15"/>
      <c r="C755" s="15"/>
      <c r="D755" s="15"/>
      <c r="E755" s="15"/>
      <c r="F755" s="15"/>
      <c r="G755" s="20"/>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15"/>
      <c r="C756" s="15"/>
      <c r="D756" s="15"/>
      <c r="E756" s="15"/>
      <c r="F756" s="15"/>
      <c r="G756" s="20"/>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15"/>
      <c r="C757" s="15"/>
      <c r="D757" s="15"/>
      <c r="E757" s="15"/>
      <c r="F757" s="15"/>
      <c r="G757" s="20"/>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15"/>
      <c r="C758" s="15"/>
      <c r="D758" s="15"/>
      <c r="E758" s="15"/>
      <c r="F758" s="15"/>
      <c r="G758" s="20"/>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15"/>
      <c r="C759" s="15"/>
      <c r="D759" s="15"/>
      <c r="E759" s="15"/>
      <c r="F759" s="15"/>
      <c r="G759" s="20"/>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15"/>
      <c r="C760" s="15"/>
      <c r="D760" s="15"/>
      <c r="E760" s="15"/>
      <c r="F760" s="15"/>
      <c r="G760" s="20"/>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15"/>
      <c r="C761" s="15"/>
      <c r="D761" s="15"/>
      <c r="E761" s="15"/>
      <c r="F761" s="15"/>
      <c r="G761" s="20"/>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15"/>
      <c r="C762" s="15"/>
      <c r="D762" s="15"/>
      <c r="E762" s="15"/>
      <c r="F762" s="15"/>
      <c r="G762" s="20"/>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15"/>
      <c r="C763" s="15"/>
      <c r="D763" s="15"/>
      <c r="E763" s="15"/>
      <c r="F763" s="15"/>
      <c r="G763" s="20"/>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15"/>
      <c r="C764" s="15"/>
      <c r="D764" s="15"/>
      <c r="E764" s="15"/>
      <c r="F764" s="15"/>
      <c r="G764" s="20"/>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15"/>
      <c r="C765" s="15"/>
      <c r="D765" s="15"/>
      <c r="E765" s="15"/>
      <c r="F765" s="15"/>
      <c r="G765" s="20"/>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15"/>
      <c r="C766" s="15"/>
      <c r="D766" s="15"/>
      <c r="E766" s="15"/>
      <c r="F766" s="15"/>
      <c r="G766" s="20"/>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15"/>
      <c r="C767" s="15"/>
      <c r="D767" s="15"/>
      <c r="E767" s="15"/>
      <c r="F767" s="15"/>
      <c r="G767" s="20"/>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15"/>
      <c r="C768" s="15"/>
      <c r="D768" s="15"/>
      <c r="E768" s="15"/>
      <c r="F768" s="15"/>
      <c r="G768" s="20"/>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15"/>
      <c r="C769" s="15"/>
      <c r="D769" s="15"/>
      <c r="E769" s="15"/>
      <c r="F769" s="15"/>
      <c r="G769" s="20"/>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15"/>
      <c r="C770" s="15"/>
      <c r="D770" s="15"/>
      <c r="E770" s="15"/>
      <c r="F770" s="15"/>
      <c r="G770" s="20"/>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15"/>
      <c r="C771" s="15"/>
      <c r="D771" s="15"/>
      <c r="E771" s="15"/>
      <c r="F771" s="15"/>
      <c r="G771" s="20"/>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15"/>
      <c r="C772" s="15"/>
      <c r="D772" s="15"/>
      <c r="E772" s="15"/>
      <c r="F772" s="15"/>
      <c r="G772" s="20"/>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15"/>
      <c r="C773" s="15"/>
      <c r="D773" s="15"/>
      <c r="E773" s="15"/>
      <c r="F773" s="15"/>
      <c r="G773" s="20"/>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15"/>
      <c r="C774" s="15"/>
      <c r="D774" s="15"/>
      <c r="E774" s="15"/>
      <c r="F774" s="15"/>
      <c r="G774" s="20"/>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15"/>
      <c r="C775" s="15"/>
      <c r="D775" s="15"/>
      <c r="E775" s="15"/>
      <c r="F775" s="15"/>
      <c r="G775" s="20"/>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15"/>
      <c r="C776" s="15"/>
      <c r="D776" s="15"/>
      <c r="E776" s="15"/>
      <c r="F776" s="15"/>
      <c r="G776" s="20"/>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15"/>
      <c r="C777" s="15"/>
      <c r="D777" s="15"/>
      <c r="E777" s="15"/>
      <c r="F777" s="15"/>
      <c r="G777" s="20"/>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15"/>
      <c r="C778" s="15"/>
      <c r="D778" s="15"/>
      <c r="E778" s="15"/>
      <c r="F778" s="15"/>
      <c r="G778" s="20"/>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15"/>
      <c r="C779" s="15"/>
      <c r="D779" s="15"/>
      <c r="E779" s="15"/>
      <c r="F779" s="15"/>
      <c r="G779" s="20"/>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15"/>
      <c r="C780" s="15"/>
      <c r="D780" s="15"/>
      <c r="E780" s="15"/>
      <c r="F780" s="15"/>
      <c r="G780" s="20"/>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15"/>
      <c r="C781" s="15"/>
      <c r="D781" s="15"/>
      <c r="E781" s="15"/>
      <c r="F781" s="15"/>
      <c r="G781" s="20"/>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15"/>
      <c r="C782" s="15"/>
      <c r="D782" s="15"/>
      <c r="E782" s="15"/>
      <c r="F782" s="15"/>
      <c r="G782" s="20"/>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15"/>
      <c r="C783" s="15"/>
      <c r="D783" s="15"/>
      <c r="E783" s="15"/>
      <c r="F783" s="15"/>
      <c r="G783" s="20"/>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15"/>
      <c r="C784" s="15"/>
      <c r="D784" s="15"/>
      <c r="E784" s="15"/>
      <c r="F784" s="15"/>
      <c r="G784" s="20"/>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15"/>
      <c r="C785" s="15"/>
      <c r="D785" s="15"/>
      <c r="E785" s="15"/>
      <c r="F785" s="15"/>
      <c r="G785" s="20"/>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15"/>
      <c r="C786" s="15"/>
      <c r="D786" s="15"/>
      <c r="E786" s="15"/>
      <c r="F786" s="15"/>
      <c r="G786" s="20"/>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15"/>
      <c r="C787" s="15"/>
      <c r="D787" s="15"/>
      <c r="E787" s="15"/>
      <c r="F787" s="15"/>
      <c r="G787" s="20"/>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15"/>
      <c r="C788" s="15"/>
      <c r="D788" s="15"/>
      <c r="E788" s="15"/>
      <c r="F788" s="15"/>
      <c r="G788" s="20"/>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15"/>
      <c r="C789" s="15"/>
      <c r="D789" s="15"/>
      <c r="E789" s="15"/>
      <c r="F789" s="15"/>
      <c r="G789" s="20"/>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15"/>
      <c r="C790" s="15"/>
      <c r="D790" s="15"/>
      <c r="E790" s="15"/>
      <c r="F790" s="15"/>
      <c r="G790" s="20"/>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15"/>
      <c r="C791" s="15"/>
      <c r="D791" s="15"/>
      <c r="E791" s="15"/>
      <c r="F791" s="15"/>
      <c r="G791" s="20"/>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15"/>
      <c r="C792" s="15"/>
      <c r="D792" s="15"/>
      <c r="E792" s="15"/>
      <c r="F792" s="15"/>
      <c r="G792" s="20"/>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15"/>
      <c r="C793" s="15"/>
      <c r="D793" s="15"/>
      <c r="E793" s="15"/>
      <c r="F793" s="15"/>
      <c r="G793" s="20"/>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15"/>
      <c r="C794" s="15"/>
      <c r="D794" s="15"/>
      <c r="E794" s="15"/>
      <c r="F794" s="15"/>
      <c r="G794" s="20"/>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15"/>
      <c r="C795" s="15"/>
      <c r="D795" s="15"/>
      <c r="E795" s="15"/>
      <c r="F795" s="15"/>
      <c r="G795" s="20"/>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15"/>
      <c r="C796" s="15"/>
      <c r="D796" s="15"/>
      <c r="E796" s="15"/>
      <c r="F796" s="15"/>
      <c r="G796" s="20"/>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15"/>
      <c r="C797" s="15"/>
      <c r="D797" s="15"/>
      <c r="E797" s="15"/>
      <c r="F797" s="15"/>
      <c r="G797" s="20"/>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15"/>
      <c r="C798" s="15"/>
      <c r="D798" s="15"/>
      <c r="E798" s="15"/>
      <c r="F798" s="15"/>
      <c r="G798" s="20"/>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15"/>
      <c r="C799" s="15"/>
      <c r="D799" s="15"/>
      <c r="E799" s="15"/>
      <c r="F799" s="15"/>
      <c r="G799" s="20"/>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15"/>
      <c r="C800" s="15"/>
      <c r="D800" s="15"/>
      <c r="E800" s="15"/>
      <c r="F800" s="15"/>
      <c r="G800" s="20"/>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15"/>
      <c r="C801" s="15"/>
      <c r="D801" s="15"/>
      <c r="E801" s="15"/>
      <c r="F801" s="15"/>
      <c r="G801" s="20"/>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15"/>
      <c r="C802" s="15"/>
      <c r="D802" s="15"/>
      <c r="E802" s="15"/>
      <c r="F802" s="15"/>
      <c r="G802" s="20"/>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15"/>
      <c r="C803" s="15"/>
      <c r="D803" s="15"/>
      <c r="E803" s="15"/>
      <c r="F803" s="15"/>
      <c r="G803" s="20"/>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15"/>
      <c r="C804" s="15"/>
      <c r="D804" s="15"/>
      <c r="E804" s="15"/>
      <c r="F804" s="15"/>
      <c r="G804" s="20"/>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15"/>
      <c r="C805" s="15"/>
      <c r="D805" s="15"/>
      <c r="E805" s="15"/>
      <c r="F805" s="15"/>
      <c r="G805" s="20"/>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15"/>
      <c r="C806" s="15"/>
      <c r="D806" s="15"/>
      <c r="E806" s="15"/>
      <c r="F806" s="15"/>
      <c r="G806" s="20"/>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15"/>
      <c r="C807" s="15"/>
      <c r="D807" s="15"/>
      <c r="E807" s="15"/>
      <c r="F807" s="15"/>
      <c r="G807" s="20"/>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15"/>
      <c r="C808" s="15"/>
      <c r="D808" s="15"/>
      <c r="E808" s="15"/>
      <c r="F808" s="15"/>
      <c r="G808" s="20"/>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15"/>
      <c r="C809" s="15"/>
      <c r="D809" s="15"/>
      <c r="E809" s="15"/>
      <c r="F809" s="15"/>
      <c r="G809" s="20"/>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15"/>
      <c r="C810" s="15"/>
      <c r="D810" s="15"/>
      <c r="E810" s="15"/>
      <c r="F810" s="15"/>
      <c r="G810" s="20"/>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15"/>
      <c r="C811" s="15"/>
      <c r="D811" s="15"/>
      <c r="E811" s="15"/>
      <c r="F811" s="15"/>
      <c r="G811" s="20"/>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15"/>
      <c r="C812" s="15"/>
      <c r="D812" s="15"/>
      <c r="E812" s="15"/>
      <c r="F812" s="15"/>
      <c r="G812" s="20"/>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15"/>
      <c r="C813" s="15"/>
      <c r="D813" s="15"/>
      <c r="E813" s="15"/>
      <c r="F813" s="15"/>
      <c r="G813" s="20"/>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15"/>
      <c r="C814" s="15"/>
      <c r="D814" s="15"/>
      <c r="E814" s="15"/>
      <c r="F814" s="15"/>
      <c r="G814" s="20"/>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15"/>
      <c r="C815" s="15"/>
      <c r="D815" s="15"/>
      <c r="E815" s="15"/>
      <c r="F815" s="15"/>
      <c r="G815" s="20"/>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15"/>
      <c r="C816" s="15"/>
      <c r="D816" s="15"/>
      <c r="E816" s="15"/>
      <c r="F816" s="15"/>
      <c r="G816" s="20"/>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15"/>
      <c r="C817" s="15"/>
      <c r="D817" s="15"/>
      <c r="E817" s="15"/>
      <c r="F817" s="15"/>
      <c r="G817" s="20"/>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15"/>
      <c r="C818" s="15"/>
      <c r="D818" s="15"/>
      <c r="E818" s="15"/>
      <c r="F818" s="15"/>
      <c r="G818" s="20"/>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15"/>
      <c r="C819" s="15"/>
      <c r="D819" s="15"/>
      <c r="E819" s="15"/>
      <c r="F819" s="15"/>
      <c r="G819" s="20"/>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15"/>
      <c r="C820" s="15"/>
      <c r="D820" s="15"/>
      <c r="E820" s="15"/>
      <c r="F820" s="15"/>
      <c r="G820" s="20"/>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15"/>
      <c r="C821" s="15"/>
      <c r="D821" s="15"/>
      <c r="E821" s="15"/>
      <c r="F821" s="15"/>
      <c r="G821" s="20"/>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15"/>
      <c r="C822" s="15"/>
      <c r="D822" s="15"/>
      <c r="E822" s="15"/>
      <c r="F822" s="15"/>
      <c r="G822" s="20"/>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15"/>
      <c r="C823" s="15"/>
      <c r="D823" s="15"/>
      <c r="E823" s="15"/>
      <c r="F823" s="15"/>
      <c r="G823" s="20"/>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15"/>
      <c r="C824" s="15"/>
      <c r="D824" s="15"/>
      <c r="E824" s="15"/>
      <c r="F824" s="15"/>
      <c r="G824" s="20"/>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15"/>
      <c r="C825" s="15"/>
      <c r="D825" s="15"/>
      <c r="E825" s="15"/>
      <c r="F825" s="15"/>
      <c r="G825" s="20"/>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15"/>
      <c r="C826" s="15"/>
      <c r="D826" s="15"/>
      <c r="E826" s="15"/>
      <c r="F826" s="15"/>
      <c r="G826" s="20"/>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15"/>
      <c r="C827" s="15"/>
      <c r="D827" s="15"/>
      <c r="E827" s="15"/>
      <c r="F827" s="15"/>
      <c r="G827" s="20"/>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15"/>
      <c r="C828" s="15"/>
      <c r="D828" s="15"/>
      <c r="E828" s="15"/>
      <c r="F828" s="15"/>
      <c r="G828" s="20"/>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15"/>
      <c r="C829" s="15"/>
      <c r="D829" s="15"/>
      <c r="E829" s="15"/>
      <c r="F829" s="15"/>
      <c r="G829" s="20"/>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15"/>
      <c r="C830" s="15"/>
      <c r="D830" s="15"/>
      <c r="E830" s="15"/>
      <c r="F830" s="15"/>
      <c r="G830" s="20"/>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15"/>
      <c r="C831" s="15"/>
      <c r="D831" s="15"/>
      <c r="E831" s="15"/>
      <c r="F831" s="15"/>
      <c r="G831" s="20"/>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15"/>
      <c r="C832" s="15"/>
      <c r="D832" s="15"/>
      <c r="E832" s="15"/>
      <c r="F832" s="15"/>
      <c r="G832" s="20"/>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15"/>
      <c r="C833" s="15"/>
      <c r="D833" s="15"/>
      <c r="E833" s="15"/>
      <c r="F833" s="15"/>
      <c r="G833" s="20"/>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15"/>
      <c r="C834" s="15"/>
      <c r="D834" s="15"/>
      <c r="E834" s="15"/>
      <c r="F834" s="15"/>
      <c r="G834" s="20"/>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15"/>
      <c r="C835" s="15"/>
      <c r="D835" s="15"/>
      <c r="E835" s="15"/>
      <c r="F835" s="15"/>
      <c r="G835" s="20"/>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15"/>
      <c r="C836" s="15"/>
      <c r="D836" s="15"/>
      <c r="E836" s="15"/>
      <c r="F836" s="15"/>
      <c r="G836" s="20"/>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15"/>
      <c r="C837" s="15"/>
      <c r="D837" s="15"/>
      <c r="E837" s="15"/>
      <c r="F837" s="15"/>
      <c r="G837" s="20"/>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15"/>
      <c r="C838" s="15"/>
      <c r="D838" s="15"/>
      <c r="E838" s="15"/>
      <c r="F838" s="15"/>
      <c r="G838" s="20"/>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15"/>
      <c r="C839" s="15"/>
      <c r="D839" s="15"/>
      <c r="E839" s="15"/>
      <c r="F839" s="15"/>
      <c r="G839" s="20"/>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15"/>
      <c r="C840" s="15"/>
      <c r="D840" s="15"/>
      <c r="E840" s="15"/>
      <c r="F840" s="15"/>
      <c r="G840" s="20"/>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15"/>
      <c r="C841" s="15"/>
      <c r="D841" s="15"/>
      <c r="E841" s="15"/>
      <c r="F841" s="15"/>
      <c r="G841" s="20"/>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15"/>
      <c r="C842" s="15"/>
      <c r="D842" s="15"/>
      <c r="E842" s="15"/>
      <c r="F842" s="15"/>
      <c r="G842" s="20"/>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15"/>
      <c r="C843" s="15"/>
      <c r="D843" s="15"/>
      <c r="E843" s="15"/>
      <c r="F843" s="15"/>
      <c r="G843" s="20"/>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15"/>
      <c r="C844" s="15"/>
      <c r="D844" s="15"/>
      <c r="E844" s="15"/>
      <c r="F844" s="15"/>
      <c r="G844" s="20"/>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15"/>
      <c r="C845" s="15"/>
      <c r="D845" s="15"/>
      <c r="E845" s="15"/>
      <c r="F845" s="15"/>
      <c r="G845" s="20"/>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15"/>
      <c r="C846" s="15"/>
      <c r="D846" s="15"/>
      <c r="E846" s="15"/>
      <c r="F846" s="15"/>
      <c r="G846" s="20"/>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15"/>
      <c r="C847" s="15"/>
      <c r="D847" s="15"/>
      <c r="E847" s="15"/>
      <c r="F847" s="15"/>
      <c r="G847" s="20"/>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15"/>
      <c r="C848" s="15"/>
      <c r="D848" s="15"/>
      <c r="E848" s="15"/>
      <c r="F848" s="15"/>
      <c r="G848" s="20"/>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15"/>
      <c r="C849" s="15"/>
      <c r="D849" s="15"/>
      <c r="E849" s="15"/>
      <c r="F849" s="15"/>
      <c r="G849" s="20"/>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15"/>
      <c r="C850" s="15"/>
      <c r="D850" s="15"/>
      <c r="E850" s="15"/>
      <c r="F850" s="15"/>
      <c r="G850" s="20"/>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15"/>
      <c r="C851" s="15"/>
      <c r="D851" s="15"/>
      <c r="E851" s="15"/>
      <c r="F851" s="15"/>
      <c r="G851" s="20"/>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15"/>
      <c r="C852" s="15"/>
      <c r="D852" s="15"/>
      <c r="E852" s="15"/>
      <c r="F852" s="15"/>
      <c r="G852" s="20"/>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15"/>
      <c r="C853" s="15"/>
      <c r="D853" s="15"/>
      <c r="E853" s="15"/>
      <c r="F853" s="15"/>
      <c r="G853" s="20"/>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15"/>
      <c r="C854" s="15"/>
      <c r="D854" s="15"/>
      <c r="E854" s="15"/>
      <c r="F854" s="15"/>
      <c r="G854" s="20"/>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15"/>
      <c r="C855" s="15"/>
      <c r="D855" s="15"/>
      <c r="E855" s="15"/>
      <c r="F855" s="15"/>
      <c r="G855" s="20"/>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15"/>
      <c r="C856" s="15"/>
      <c r="D856" s="15"/>
      <c r="E856" s="15"/>
      <c r="F856" s="15"/>
      <c r="G856" s="20"/>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15"/>
      <c r="C857" s="15"/>
      <c r="D857" s="15"/>
      <c r="E857" s="15"/>
      <c r="F857" s="15"/>
      <c r="G857" s="20"/>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15"/>
      <c r="C858" s="15"/>
      <c r="D858" s="15"/>
      <c r="E858" s="15"/>
      <c r="F858" s="15"/>
      <c r="G858" s="20"/>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15"/>
      <c r="C859" s="15"/>
      <c r="D859" s="15"/>
      <c r="E859" s="15"/>
      <c r="F859" s="15"/>
      <c r="G859" s="20"/>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15"/>
      <c r="C860" s="15"/>
      <c r="D860" s="15"/>
      <c r="E860" s="15"/>
      <c r="F860" s="15"/>
      <c r="G860" s="20"/>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15"/>
      <c r="C861" s="15"/>
      <c r="D861" s="15"/>
      <c r="E861" s="15"/>
      <c r="F861" s="15"/>
      <c r="G861" s="20"/>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15"/>
      <c r="C862" s="15"/>
      <c r="D862" s="15"/>
      <c r="E862" s="15"/>
      <c r="F862" s="15"/>
      <c r="G862" s="20"/>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15"/>
      <c r="C863" s="15"/>
      <c r="D863" s="15"/>
      <c r="E863" s="15"/>
      <c r="F863" s="15"/>
      <c r="G863" s="20"/>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15"/>
      <c r="C864" s="15"/>
      <c r="D864" s="15"/>
      <c r="E864" s="15"/>
      <c r="F864" s="15"/>
      <c r="G864" s="20"/>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15"/>
      <c r="C865" s="15"/>
      <c r="D865" s="15"/>
      <c r="E865" s="15"/>
      <c r="F865" s="15"/>
      <c r="G865" s="20"/>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15"/>
      <c r="C866" s="15"/>
      <c r="D866" s="15"/>
      <c r="E866" s="15"/>
      <c r="F866" s="15"/>
      <c r="G866" s="20"/>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15"/>
      <c r="C867" s="15"/>
      <c r="D867" s="15"/>
      <c r="E867" s="15"/>
      <c r="F867" s="15"/>
      <c r="G867" s="20"/>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15"/>
      <c r="C868" s="15"/>
      <c r="D868" s="15"/>
      <c r="E868" s="15"/>
      <c r="F868" s="15"/>
      <c r="G868" s="20"/>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15"/>
      <c r="C869" s="15"/>
      <c r="D869" s="15"/>
      <c r="E869" s="15"/>
      <c r="F869" s="15"/>
      <c r="G869" s="20"/>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15"/>
      <c r="C870" s="15"/>
      <c r="D870" s="15"/>
      <c r="E870" s="15"/>
      <c r="F870" s="15"/>
      <c r="G870" s="20"/>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15"/>
      <c r="C871" s="15"/>
      <c r="D871" s="15"/>
      <c r="E871" s="15"/>
      <c r="F871" s="15"/>
      <c r="G871" s="20"/>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15"/>
      <c r="C872" s="15"/>
      <c r="D872" s="15"/>
      <c r="E872" s="15"/>
      <c r="F872" s="15"/>
      <c r="G872" s="20"/>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15"/>
      <c r="C873" s="15"/>
      <c r="D873" s="15"/>
      <c r="E873" s="15"/>
      <c r="F873" s="15"/>
      <c r="G873" s="20"/>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15"/>
      <c r="C874" s="15"/>
      <c r="D874" s="15"/>
      <c r="E874" s="15"/>
      <c r="F874" s="15"/>
      <c r="G874" s="20"/>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15"/>
      <c r="C875" s="15"/>
      <c r="D875" s="15"/>
      <c r="E875" s="15"/>
      <c r="F875" s="15"/>
      <c r="G875" s="20"/>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15"/>
      <c r="C876" s="15"/>
      <c r="D876" s="15"/>
      <c r="E876" s="15"/>
      <c r="F876" s="15"/>
      <c r="G876" s="20"/>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15"/>
      <c r="C877" s="15"/>
      <c r="D877" s="15"/>
      <c r="E877" s="15"/>
      <c r="F877" s="15"/>
      <c r="G877" s="20"/>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15"/>
      <c r="C878" s="15"/>
      <c r="D878" s="15"/>
      <c r="E878" s="15"/>
      <c r="F878" s="15"/>
      <c r="G878" s="20"/>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15"/>
      <c r="C879" s="15"/>
      <c r="D879" s="15"/>
      <c r="E879" s="15"/>
      <c r="F879" s="15"/>
      <c r="G879" s="20"/>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15"/>
      <c r="C880" s="15"/>
      <c r="D880" s="15"/>
      <c r="E880" s="15"/>
      <c r="F880" s="15"/>
      <c r="G880" s="20"/>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15"/>
      <c r="C881" s="15"/>
      <c r="D881" s="15"/>
      <c r="E881" s="15"/>
      <c r="F881" s="15"/>
      <c r="G881" s="20"/>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15"/>
      <c r="C882" s="15"/>
      <c r="D882" s="15"/>
      <c r="E882" s="15"/>
      <c r="F882" s="15"/>
      <c r="G882" s="20"/>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15"/>
      <c r="C883" s="15"/>
      <c r="D883" s="15"/>
      <c r="E883" s="15"/>
      <c r="F883" s="15"/>
      <c r="G883" s="20"/>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15"/>
      <c r="C884" s="15"/>
      <c r="D884" s="15"/>
      <c r="E884" s="15"/>
      <c r="F884" s="15"/>
      <c r="G884" s="20"/>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15"/>
      <c r="C885" s="15"/>
      <c r="D885" s="15"/>
      <c r="E885" s="15"/>
      <c r="F885" s="15"/>
      <c r="G885" s="20"/>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15"/>
      <c r="C886" s="15"/>
      <c r="D886" s="15"/>
      <c r="E886" s="15"/>
      <c r="F886" s="15"/>
      <c r="G886" s="20"/>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15"/>
      <c r="C887" s="15"/>
      <c r="D887" s="15"/>
      <c r="E887" s="15"/>
      <c r="F887" s="15"/>
      <c r="G887" s="20"/>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15"/>
      <c r="C888" s="15"/>
      <c r="D888" s="15"/>
      <c r="E888" s="15"/>
      <c r="F888" s="15"/>
      <c r="G888" s="20"/>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15"/>
      <c r="C889" s="15"/>
      <c r="D889" s="15"/>
      <c r="E889" s="15"/>
      <c r="F889" s="15"/>
      <c r="G889" s="20"/>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15"/>
      <c r="C890" s="15"/>
      <c r="D890" s="15"/>
      <c r="E890" s="15"/>
      <c r="F890" s="15"/>
      <c r="G890" s="20"/>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15"/>
      <c r="C891" s="15"/>
      <c r="D891" s="15"/>
      <c r="E891" s="15"/>
      <c r="F891" s="15"/>
      <c r="G891" s="20"/>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15"/>
      <c r="C892" s="15"/>
      <c r="D892" s="15"/>
      <c r="E892" s="15"/>
      <c r="F892" s="15"/>
      <c r="G892" s="20"/>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15"/>
      <c r="C893" s="15"/>
      <c r="D893" s="15"/>
      <c r="E893" s="15"/>
      <c r="F893" s="15"/>
      <c r="G893" s="20"/>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15"/>
      <c r="C894" s="15"/>
      <c r="D894" s="15"/>
      <c r="E894" s="15"/>
      <c r="F894" s="15"/>
      <c r="G894" s="20"/>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15"/>
      <c r="C895" s="15"/>
      <c r="D895" s="15"/>
      <c r="E895" s="15"/>
      <c r="F895" s="15"/>
      <c r="G895" s="20"/>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15"/>
      <c r="C896" s="15"/>
      <c r="D896" s="15"/>
      <c r="E896" s="15"/>
      <c r="F896" s="15"/>
      <c r="G896" s="20"/>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15"/>
      <c r="C897" s="15"/>
      <c r="D897" s="15"/>
      <c r="E897" s="15"/>
      <c r="F897" s="15"/>
      <c r="G897" s="20"/>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15"/>
      <c r="C898" s="15"/>
      <c r="D898" s="15"/>
      <c r="E898" s="15"/>
      <c r="F898" s="15"/>
      <c r="G898" s="20"/>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15"/>
      <c r="C899" s="15"/>
      <c r="D899" s="15"/>
      <c r="E899" s="15"/>
      <c r="F899" s="15"/>
      <c r="G899" s="20"/>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15"/>
      <c r="C900" s="15"/>
      <c r="D900" s="15"/>
      <c r="E900" s="15"/>
      <c r="F900" s="15"/>
      <c r="G900" s="20"/>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15"/>
      <c r="C901" s="15"/>
      <c r="D901" s="15"/>
      <c r="E901" s="15"/>
      <c r="F901" s="15"/>
      <c r="G901" s="20"/>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15"/>
      <c r="C902" s="15"/>
      <c r="D902" s="15"/>
      <c r="E902" s="15"/>
      <c r="F902" s="15"/>
      <c r="G902" s="20"/>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15"/>
      <c r="C903" s="15"/>
      <c r="D903" s="15"/>
      <c r="E903" s="15"/>
      <c r="F903" s="15"/>
      <c r="G903" s="20"/>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15"/>
      <c r="C904" s="15"/>
      <c r="D904" s="15"/>
      <c r="E904" s="15"/>
      <c r="F904" s="15"/>
      <c r="G904" s="20"/>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15"/>
      <c r="C905" s="15"/>
      <c r="D905" s="15"/>
      <c r="E905" s="15"/>
      <c r="F905" s="15"/>
      <c r="G905" s="20"/>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15"/>
      <c r="C906" s="15"/>
      <c r="D906" s="15"/>
      <c r="E906" s="15"/>
      <c r="F906" s="15"/>
      <c r="G906" s="20"/>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15"/>
      <c r="C907" s="15"/>
      <c r="D907" s="15"/>
      <c r="E907" s="15"/>
      <c r="F907" s="15"/>
      <c r="G907" s="20"/>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15"/>
      <c r="C908" s="15"/>
      <c r="D908" s="15"/>
      <c r="E908" s="15"/>
      <c r="F908" s="15"/>
      <c r="G908" s="20"/>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15"/>
      <c r="C909" s="15"/>
      <c r="D909" s="15"/>
      <c r="E909" s="15"/>
      <c r="F909" s="15"/>
      <c r="G909" s="20"/>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15"/>
      <c r="C910" s="15"/>
      <c r="D910" s="15"/>
      <c r="E910" s="15"/>
      <c r="F910" s="15"/>
      <c r="G910" s="20"/>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15"/>
      <c r="C911" s="15"/>
      <c r="D911" s="15"/>
      <c r="E911" s="15"/>
      <c r="F911" s="15"/>
      <c r="G911" s="20"/>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15"/>
      <c r="C912" s="15"/>
      <c r="D912" s="15"/>
      <c r="E912" s="15"/>
      <c r="F912" s="15"/>
      <c r="G912" s="20"/>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15"/>
      <c r="C913" s="15"/>
      <c r="D913" s="15"/>
      <c r="E913" s="15"/>
      <c r="F913" s="15"/>
      <c r="G913" s="20"/>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15"/>
      <c r="C914" s="15"/>
      <c r="D914" s="15"/>
      <c r="E914" s="15"/>
      <c r="F914" s="15"/>
      <c r="G914" s="20"/>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15"/>
      <c r="C915" s="15"/>
      <c r="D915" s="15"/>
      <c r="E915" s="15"/>
      <c r="F915" s="15"/>
      <c r="G915" s="20"/>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15"/>
      <c r="C916" s="15"/>
      <c r="D916" s="15"/>
      <c r="E916" s="15"/>
      <c r="F916" s="15"/>
      <c r="G916" s="20"/>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15"/>
      <c r="C917" s="15"/>
      <c r="D917" s="15"/>
      <c r="E917" s="15"/>
      <c r="F917" s="15"/>
      <c r="G917" s="20"/>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15"/>
      <c r="C918" s="15"/>
      <c r="D918" s="15"/>
      <c r="E918" s="15"/>
      <c r="F918" s="15"/>
      <c r="G918" s="20"/>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15"/>
      <c r="C919" s="15"/>
      <c r="D919" s="15"/>
      <c r="E919" s="15"/>
      <c r="F919" s="15"/>
      <c r="G919" s="20"/>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15"/>
      <c r="C920" s="15"/>
      <c r="D920" s="15"/>
      <c r="E920" s="15"/>
      <c r="F920" s="15"/>
      <c r="G920" s="20"/>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15"/>
      <c r="C921" s="15"/>
      <c r="D921" s="15"/>
      <c r="E921" s="15"/>
      <c r="F921" s="15"/>
      <c r="G921" s="20"/>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15"/>
      <c r="C922" s="15"/>
      <c r="D922" s="15"/>
      <c r="E922" s="15"/>
      <c r="F922" s="15"/>
      <c r="G922" s="20"/>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15"/>
      <c r="C923" s="15"/>
      <c r="D923" s="15"/>
      <c r="E923" s="15"/>
      <c r="F923" s="15"/>
      <c r="G923" s="20"/>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15"/>
      <c r="C924" s="15"/>
      <c r="D924" s="15"/>
      <c r="E924" s="15"/>
      <c r="F924" s="15"/>
      <c r="G924" s="20"/>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15"/>
      <c r="C925" s="15"/>
      <c r="D925" s="15"/>
      <c r="E925" s="15"/>
      <c r="F925" s="15"/>
      <c r="G925" s="20"/>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15"/>
      <c r="C926" s="15"/>
      <c r="D926" s="15"/>
      <c r="E926" s="15"/>
      <c r="F926" s="15"/>
      <c r="G926" s="20"/>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15"/>
      <c r="C927" s="15"/>
      <c r="D927" s="15"/>
      <c r="E927" s="15"/>
      <c r="F927" s="15"/>
      <c r="G927" s="20"/>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15"/>
      <c r="C928" s="15"/>
      <c r="D928" s="15"/>
      <c r="E928" s="15"/>
      <c r="F928" s="15"/>
      <c r="G928" s="20"/>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15"/>
      <c r="C929" s="15"/>
      <c r="D929" s="15"/>
      <c r="E929" s="15"/>
      <c r="F929" s="15"/>
      <c r="G929" s="20"/>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15"/>
      <c r="C930" s="15"/>
      <c r="D930" s="15"/>
      <c r="E930" s="15"/>
      <c r="F930" s="15"/>
      <c r="G930" s="20"/>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15"/>
      <c r="C931" s="15"/>
      <c r="D931" s="15"/>
      <c r="E931" s="15"/>
      <c r="F931" s="15"/>
      <c r="G931" s="20"/>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15"/>
      <c r="C932" s="15"/>
      <c r="D932" s="15"/>
      <c r="E932" s="15"/>
      <c r="F932" s="15"/>
      <c r="G932" s="20"/>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15"/>
      <c r="C933" s="15"/>
      <c r="D933" s="15"/>
      <c r="E933" s="15"/>
      <c r="F933" s="15"/>
      <c r="G933" s="20"/>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15"/>
      <c r="C934" s="15"/>
      <c r="D934" s="15"/>
      <c r="E934" s="15"/>
      <c r="F934" s="15"/>
      <c r="G934" s="20"/>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15"/>
      <c r="C935" s="15"/>
      <c r="D935" s="15"/>
      <c r="E935" s="15"/>
      <c r="F935" s="15"/>
      <c r="G935" s="20"/>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15"/>
      <c r="C936" s="15"/>
      <c r="D936" s="15"/>
      <c r="E936" s="15"/>
      <c r="F936" s="15"/>
      <c r="G936" s="20"/>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15"/>
      <c r="C937" s="15"/>
      <c r="D937" s="15"/>
      <c r="E937" s="15"/>
      <c r="F937" s="15"/>
      <c r="G937" s="20"/>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15"/>
      <c r="C938" s="15"/>
      <c r="D938" s="15"/>
      <c r="E938" s="15"/>
      <c r="F938" s="15"/>
      <c r="G938" s="20"/>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15"/>
      <c r="C939" s="15"/>
      <c r="D939" s="15"/>
      <c r="E939" s="15"/>
      <c r="F939" s="15"/>
      <c r="G939" s="20"/>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15"/>
      <c r="C940" s="15"/>
      <c r="D940" s="15"/>
      <c r="E940" s="15"/>
      <c r="F940" s="15"/>
      <c r="G940" s="20"/>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15"/>
      <c r="C941" s="15"/>
      <c r="D941" s="15"/>
      <c r="E941" s="15"/>
      <c r="F941" s="15"/>
      <c r="G941" s="20"/>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15"/>
      <c r="C942" s="15"/>
      <c r="D942" s="15"/>
      <c r="E942" s="15"/>
      <c r="F942" s="15"/>
      <c r="G942" s="20"/>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15"/>
      <c r="C943" s="15"/>
      <c r="D943" s="15"/>
      <c r="E943" s="15"/>
      <c r="F943" s="15"/>
      <c r="G943" s="20"/>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15"/>
      <c r="C944" s="15"/>
      <c r="D944" s="15"/>
      <c r="E944" s="15"/>
      <c r="F944" s="15"/>
      <c r="G944" s="20"/>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15"/>
      <c r="C945" s="15"/>
      <c r="D945" s="15"/>
      <c r="E945" s="15"/>
      <c r="F945" s="15"/>
      <c r="G945" s="20"/>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15"/>
      <c r="C946" s="15"/>
      <c r="D946" s="15"/>
      <c r="E946" s="15"/>
      <c r="F946" s="15"/>
      <c r="G946" s="20"/>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15"/>
      <c r="C947" s="15"/>
      <c r="D947" s="15"/>
      <c r="E947" s="15"/>
      <c r="F947" s="15"/>
      <c r="G947" s="20"/>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15"/>
      <c r="C948" s="15"/>
      <c r="D948" s="15"/>
      <c r="E948" s="15"/>
      <c r="F948" s="15"/>
      <c r="G948" s="20"/>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15"/>
      <c r="C949" s="15"/>
      <c r="D949" s="15"/>
      <c r="E949" s="15"/>
      <c r="F949" s="15"/>
      <c r="G949" s="20"/>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15"/>
      <c r="C950" s="15"/>
      <c r="D950" s="15"/>
      <c r="E950" s="15"/>
      <c r="F950" s="15"/>
      <c r="G950" s="20"/>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15"/>
      <c r="C951" s="15"/>
      <c r="D951" s="15"/>
      <c r="E951" s="15"/>
      <c r="F951" s="15"/>
      <c r="G951" s="20"/>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15"/>
      <c r="C952" s="15"/>
      <c r="D952" s="15"/>
      <c r="E952" s="15"/>
      <c r="F952" s="15"/>
      <c r="G952" s="20"/>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15"/>
      <c r="C953" s="15"/>
      <c r="D953" s="15"/>
      <c r="E953" s="15"/>
      <c r="F953" s="15"/>
      <c r="G953" s="20"/>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15"/>
      <c r="C954" s="15"/>
      <c r="D954" s="15"/>
      <c r="E954" s="15"/>
      <c r="F954" s="15"/>
      <c r="G954" s="20"/>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15"/>
      <c r="C955" s="15"/>
      <c r="D955" s="15"/>
      <c r="E955" s="15"/>
      <c r="F955" s="15"/>
      <c r="G955" s="20"/>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15"/>
      <c r="C956" s="15"/>
      <c r="D956" s="15"/>
      <c r="E956" s="15"/>
      <c r="F956" s="15"/>
      <c r="G956" s="20"/>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15"/>
      <c r="C957" s="15"/>
      <c r="D957" s="15"/>
      <c r="E957" s="15"/>
      <c r="F957" s="15"/>
      <c r="G957" s="20"/>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15"/>
      <c r="C958" s="15"/>
      <c r="D958" s="15"/>
      <c r="E958" s="15"/>
      <c r="F958" s="15"/>
      <c r="G958" s="20"/>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15"/>
      <c r="C959" s="15"/>
      <c r="D959" s="15"/>
      <c r="E959" s="15"/>
      <c r="F959" s="15"/>
      <c r="G959" s="20"/>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15"/>
      <c r="C960" s="15"/>
      <c r="D960" s="15"/>
      <c r="E960" s="15"/>
      <c r="F960" s="15"/>
      <c r="G960" s="20"/>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15"/>
      <c r="C961" s="15"/>
      <c r="D961" s="15"/>
      <c r="E961" s="15"/>
      <c r="F961" s="15"/>
      <c r="G961" s="20"/>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15"/>
      <c r="C962" s="15"/>
      <c r="D962" s="15"/>
      <c r="E962" s="15"/>
      <c r="F962" s="15"/>
      <c r="G962" s="20"/>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15"/>
      <c r="C963" s="15"/>
      <c r="D963" s="15"/>
      <c r="E963" s="15"/>
      <c r="F963" s="15"/>
      <c r="G963" s="20"/>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15"/>
      <c r="C964" s="15"/>
      <c r="D964" s="15"/>
      <c r="E964" s="15"/>
      <c r="F964" s="15"/>
      <c r="G964" s="20"/>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15"/>
      <c r="C965" s="15"/>
      <c r="D965" s="15"/>
      <c r="E965" s="15"/>
      <c r="F965" s="15"/>
      <c r="G965" s="20"/>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15"/>
      <c r="C966" s="15"/>
      <c r="D966" s="15"/>
      <c r="E966" s="15"/>
      <c r="F966" s="15"/>
      <c r="G966" s="20"/>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15"/>
      <c r="C967" s="15"/>
      <c r="D967" s="15"/>
      <c r="E967" s="15"/>
      <c r="F967" s="15"/>
      <c r="G967" s="20"/>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15"/>
      <c r="C968" s="15"/>
      <c r="D968" s="15"/>
      <c r="E968" s="15"/>
      <c r="F968" s="15"/>
      <c r="G968" s="20"/>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15"/>
      <c r="C969" s="15"/>
      <c r="D969" s="15"/>
      <c r="E969" s="15"/>
      <c r="F969" s="15"/>
      <c r="G969" s="20"/>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15"/>
      <c r="C970" s="15"/>
      <c r="D970" s="15"/>
      <c r="E970" s="15"/>
      <c r="F970" s="15"/>
      <c r="G970" s="20"/>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15"/>
      <c r="C971" s="15"/>
      <c r="D971" s="15"/>
      <c r="E971" s="15"/>
      <c r="F971" s="15"/>
      <c r="G971" s="20"/>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15"/>
      <c r="C972" s="15"/>
      <c r="D972" s="15"/>
      <c r="E972" s="15"/>
      <c r="F972" s="15"/>
      <c r="G972" s="20"/>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15"/>
      <c r="C973" s="15"/>
      <c r="D973" s="15"/>
      <c r="E973" s="15"/>
      <c r="F973" s="15"/>
      <c r="G973" s="20"/>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15"/>
      <c r="C974" s="15"/>
      <c r="D974" s="15"/>
      <c r="E974" s="15"/>
      <c r="F974" s="15"/>
      <c r="G974" s="20"/>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15"/>
      <c r="C975" s="15"/>
      <c r="D975" s="15"/>
      <c r="E975" s="15"/>
      <c r="F975" s="15"/>
      <c r="G975" s="20"/>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15"/>
      <c r="C976" s="15"/>
      <c r="D976" s="15"/>
      <c r="E976" s="15"/>
      <c r="F976" s="15"/>
      <c r="G976" s="20"/>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15"/>
      <c r="C977" s="15"/>
      <c r="D977" s="15"/>
      <c r="E977" s="15"/>
      <c r="F977" s="15"/>
      <c r="G977" s="20"/>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15"/>
      <c r="C978" s="15"/>
      <c r="D978" s="15"/>
      <c r="E978" s="15"/>
      <c r="F978" s="15"/>
      <c r="G978" s="20"/>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15"/>
      <c r="C979" s="15"/>
      <c r="D979" s="15"/>
      <c r="E979" s="15"/>
      <c r="F979" s="15"/>
      <c r="G979" s="20"/>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15"/>
      <c r="C980" s="15"/>
      <c r="D980" s="15"/>
      <c r="E980" s="15"/>
      <c r="F980" s="15"/>
      <c r="G980" s="20"/>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15"/>
      <c r="C981" s="15"/>
      <c r="D981" s="15"/>
      <c r="E981" s="15"/>
      <c r="F981" s="15"/>
      <c r="G981" s="20"/>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15"/>
      <c r="C982" s="15"/>
      <c r="D982" s="15"/>
      <c r="E982" s="15"/>
      <c r="F982" s="15"/>
      <c r="G982" s="20"/>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15"/>
      <c r="C983" s="15"/>
      <c r="D983" s="15"/>
      <c r="E983" s="15"/>
      <c r="F983" s="15"/>
      <c r="G983" s="20"/>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15"/>
      <c r="C984" s="15"/>
      <c r="D984" s="15"/>
      <c r="E984" s="15"/>
      <c r="F984" s="15"/>
      <c r="G984" s="20"/>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15"/>
      <c r="C985" s="15"/>
      <c r="D985" s="15"/>
      <c r="E985" s="15"/>
      <c r="F985" s="15"/>
      <c r="G985" s="20"/>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15"/>
      <c r="C986" s="15"/>
      <c r="D986" s="15"/>
      <c r="E986" s="15"/>
      <c r="F986" s="15"/>
      <c r="G986" s="20"/>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15"/>
      <c r="C987" s="15"/>
      <c r="D987" s="15"/>
      <c r="E987" s="15"/>
      <c r="F987" s="15"/>
      <c r="G987" s="20"/>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15"/>
      <c r="C988" s="15"/>
      <c r="D988" s="15"/>
      <c r="E988" s="15"/>
      <c r="F988" s="15"/>
      <c r="G988" s="20"/>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15"/>
      <c r="C989" s="15"/>
      <c r="D989" s="15"/>
      <c r="E989" s="15"/>
      <c r="F989" s="15"/>
      <c r="G989" s="20"/>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15"/>
      <c r="C990" s="15"/>
      <c r="D990" s="15"/>
      <c r="E990" s="15"/>
      <c r="F990" s="15"/>
      <c r="G990" s="20"/>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15"/>
      <c r="C991" s="15"/>
      <c r="D991" s="15"/>
      <c r="E991" s="15"/>
      <c r="F991" s="15"/>
      <c r="G991" s="20"/>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15"/>
      <c r="C992" s="15"/>
      <c r="D992" s="15"/>
      <c r="E992" s="15"/>
      <c r="F992" s="15"/>
      <c r="G992" s="20"/>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15"/>
      <c r="C993" s="15"/>
      <c r="D993" s="15"/>
      <c r="E993" s="15"/>
      <c r="F993" s="15"/>
      <c r="G993" s="20"/>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15"/>
      <c r="C994" s="15"/>
      <c r="D994" s="15"/>
      <c r="E994" s="15"/>
      <c r="F994" s="15"/>
      <c r="G994" s="20"/>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15"/>
      <c r="C995" s="15"/>
      <c r="D995" s="15"/>
      <c r="E995" s="15"/>
      <c r="F995" s="15"/>
      <c r="G995" s="20"/>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15"/>
      <c r="C996" s="15"/>
      <c r="D996" s="15"/>
      <c r="E996" s="15"/>
      <c r="F996" s="15"/>
      <c r="G996" s="20"/>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15"/>
      <c r="C997" s="15"/>
      <c r="D997" s="15"/>
      <c r="E997" s="15"/>
      <c r="F997" s="15"/>
      <c r="G997" s="20"/>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15"/>
      <c r="C998" s="15"/>
      <c r="D998" s="15"/>
      <c r="E998" s="15"/>
      <c r="F998" s="15"/>
      <c r="G998" s="20"/>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15"/>
      <c r="C999" s="15"/>
      <c r="D999" s="15"/>
      <c r="E999" s="15"/>
      <c r="F999" s="15"/>
      <c r="G999" s="20"/>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15"/>
      <c r="C1000" s="15"/>
      <c r="D1000" s="15"/>
      <c r="E1000" s="15"/>
      <c r="F1000" s="15"/>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B1:F1"/>
  </mergeCells>
  <conditionalFormatting sqref="B3:B1000 D3:F1000 C60:C1000">
    <cfRule type="containsBlanks" dxfId="43" priority="1">
      <formula>LEN(TRIM(B3))=0</formula>
    </cfRule>
    <cfRule type="containsBlanks" dxfId="42" priority="2">
      <formula>LEN(TRIM(B3))=0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Occupancy!$A$3:$A$21</xm:f>
          </x14:formula1>
          <xm:sqref>B3:B59</xm:sqref>
        </x14:dataValidation>
        <x14:dataValidation type="list" allowBlank="1" showErrorMessage="1" xr:uid="{00000000-0002-0000-1000-000001000000}">
          <x14:formula1>
            <xm:f>Setpoints!$A$3:$A$21</xm:f>
          </x14:formula1>
          <xm:sqref>E3:E59</xm:sqref>
        </x14:dataValidation>
        <x14:dataValidation type="list" allowBlank="1" showErrorMessage="1" xr:uid="{00000000-0002-0000-1000-000002000000}">
          <x14:formula1>
            <xm:f>Power!$A$3:$A$21</xm:f>
          </x14:formula1>
          <xm:sqref>D3:D59</xm:sqref>
        </x14:dataValidation>
        <x14:dataValidation type="list" allowBlank="1" showErrorMessage="1" xr:uid="{00000000-0002-0000-1000-000003000000}">
          <x14:formula1>
            <xm:f>Water_flow!$A$3:$A$21</xm:f>
          </x14:formula1>
          <xm:sqref>F3:F59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000"/>
  <sheetViews>
    <sheetView workbookViewId="0"/>
  </sheetViews>
  <sheetFormatPr baseColWidth="10" defaultColWidth="11.28515625" defaultRowHeight="15" customHeight="1"/>
  <cols>
    <col min="1" max="26" width="8.8554687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sheetPr>
  <dimension ref="A1:Z999"/>
  <sheetViews>
    <sheetView topLeftCell="B1" workbookViewId="0">
      <selection activeCell="A11" sqref="A11"/>
    </sheetView>
  </sheetViews>
  <sheetFormatPr baseColWidth="10" defaultColWidth="11.28515625" defaultRowHeight="15" customHeight="1"/>
  <cols>
    <col min="1" max="1" width="47.42578125" customWidth="1"/>
    <col min="2" max="2" width="26.140625" customWidth="1"/>
    <col min="3" max="3" width="14.85546875" customWidth="1"/>
    <col min="4" max="4" width="17.28515625" customWidth="1"/>
    <col min="5" max="5" width="13.5703125" customWidth="1"/>
    <col min="6" max="6" width="14.7109375" customWidth="1"/>
    <col min="7" max="7" width="12.85546875" customWidth="1"/>
    <col min="8" max="26" width="8.85546875" customWidth="1"/>
  </cols>
  <sheetData>
    <row r="1" spans="1:26" ht="45.75" customHeight="1">
      <c r="A1" s="40" t="s">
        <v>4814</v>
      </c>
      <c r="B1" s="78" t="s">
        <v>4813</v>
      </c>
      <c r="C1" s="84"/>
      <c r="D1" s="84"/>
      <c r="E1" s="84"/>
      <c r="F1" s="84"/>
      <c r="G1" s="48" t="s">
        <v>5037</v>
      </c>
      <c r="H1" s="63"/>
      <c r="I1" s="92"/>
      <c r="J1" s="31"/>
      <c r="K1" s="20"/>
      <c r="L1" s="20"/>
      <c r="M1" s="20"/>
      <c r="N1" s="20"/>
      <c r="O1" s="20"/>
      <c r="P1" s="20"/>
      <c r="Q1" s="20"/>
      <c r="R1" s="20"/>
      <c r="S1" s="20"/>
      <c r="T1" s="20"/>
      <c r="U1" s="20"/>
      <c r="V1" s="20"/>
      <c r="W1" s="20"/>
      <c r="X1" s="20"/>
      <c r="Y1" s="20"/>
      <c r="Z1" s="20"/>
    </row>
    <row r="2" spans="1:26" ht="17.25" customHeight="1">
      <c r="A2" s="41" t="s">
        <v>4832</v>
      </c>
      <c r="B2" s="41" t="s">
        <v>5038</v>
      </c>
      <c r="C2" s="42" t="s">
        <v>5039</v>
      </c>
      <c r="D2" s="42" t="s">
        <v>5040</v>
      </c>
      <c r="E2" s="42" t="s">
        <v>5041</v>
      </c>
      <c r="F2" s="42" t="s">
        <v>5042</v>
      </c>
      <c r="G2" s="44" t="s">
        <v>5043</v>
      </c>
      <c r="H2" s="65" t="s">
        <v>4836</v>
      </c>
      <c r="I2" s="92"/>
      <c r="J2" s="31"/>
      <c r="K2" s="20"/>
      <c r="L2" s="20"/>
      <c r="M2" s="20"/>
      <c r="N2" s="20"/>
      <c r="O2" s="20"/>
      <c r="P2" s="20"/>
      <c r="Q2" s="20"/>
      <c r="R2" s="20"/>
      <c r="S2" s="20"/>
      <c r="T2" s="20"/>
      <c r="U2" s="20"/>
      <c r="V2" s="20"/>
      <c r="W2" s="20"/>
      <c r="X2" s="20"/>
      <c r="Y2" s="20"/>
      <c r="Z2" s="20"/>
    </row>
    <row r="3" spans="1:26" ht="18" customHeight="1">
      <c r="A3" s="15" t="s">
        <v>5044</v>
      </c>
      <c r="B3" s="15" t="s">
        <v>78</v>
      </c>
      <c r="C3" s="15" t="s">
        <v>5045</v>
      </c>
      <c r="D3" s="15" t="s">
        <v>5046</v>
      </c>
      <c r="E3" s="15">
        <v>3.64</v>
      </c>
      <c r="F3" s="47">
        <v>0.75</v>
      </c>
      <c r="G3" s="93">
        <f t="shared" ref="G3:G42" si="0">E3*F3</f>
        <v>2.73</v>
      </c>
      <c r="H3" s="69" t="s">
        <v>4876</v>
      </c>
      <c r="I3" s="94"/>
      <c r="J3" s="31"/>
      <c r="K3" s="20"/>
      <c r="L3" s="20"/>
      <c r="M3" s="20"/>
      <c r="N3" s="20"/>
      <c r="O3" s="20"/>
      <c r="P3" s="20"/>
      <c r="Q3" s="20"/>
      <c r="R3" s="20"/>
      <c r="S3" s="20"/>
      <c r="T3" s="20"/>
      <c r="U3" s="20"/>
      <c r="V3" s="20"/>
      <c r="W3" s="20"/>
      <c r="X3" s="20"/>
      <c r="Y3" s="20"/>
      <c r="Z3" s="20"/>
    </row>
    <row r="4" spans="1:26" ht="17.25" customHeight="1">
      <c r="A4" s="15" t="s">
        <v>5047</v>
      </c>
      <c r="B4" s="15" t="s">
        <v>78</v>
      </c>
      <c r="C4" s="15" t="s">
        <v>5045</v>
      </c>
      <c r="D4" s="15" t="s">
        <v>5046</v>
      </c>
      <c r="E4" s="15">
        <v>3.64</v>
      </c>
      <c r="F4" s="47">
        <v>0.78</v>
      </c>
      <c r="G4" s="93">
        <f t="shared" si="0"/>
        <v>2.8392000000000004</v>
      </c>
      <c r="H4" s="69" t="s">
        <v>4876</v>
      </c>
      <c r="I4" s="94"/>
      <c r="J4" s="31"/>
      <c r="K4" s="20"/>
      <c r="L4" s="20"/>
      <c r="M4" s="20"/>
      <c r="N4" s="20"/>
      <c r="O4" s="20"/>
      <c r="P4" s="20"/>
      <c r="Q4" s="20"/>
      <c r="R4" s="20"/>
      <c r="S4" s="20"/>
      <c r="T4" s="20"/>
      <c r="U4" s="20"/>
      <c r="V4" s="20"/>
      <c r="W4" s="20"/>
      <c r="X4" s="20"/>
      <c r="Y4" s="20"/>
      <c r="Z4" s="20"/>
    </row>
    <row r="5" spans="1:26" ht="17.25" customHeight="1">
      <c r="A5" s="15" t="s">
        <v>5048</v>
      </c>
      <c r="B5" s="15" t="s">
        <v>78</v>
      </c>
      <c r="C5" s="15" t="s">
        <v>5045</v>
      </c>
      <c r="D5" s="15" t="s">
        <v>5049</v>
      </c>
      <c r="E5" s="15">
        <v>3.64</v>
      </c>
      <c r="F5" s="47">
        <v>0.88</v>
      </c>
      <c r="G5" s="93">
        <f t="shared" si="0"/>
        <v>3.2032000000000003</v>
      </c>
      <c r="H5" s="69" t="s">
        <v>4876</v>
      </c>
      <c r="I5" s="94"/>
      <c r="J5" s="31"/>
      <c r="K5" s="20"/>
      <c r="L5" s="20"/>
      <c r="M5" s="20"/>
      <c r="N5" s="20"/>
      <c r="O5" s="20"/>
      <c r="P5" s="20"/>
      <c r="Q5" s="20"/>
      <c r="R5" s="20"/>
      <c r="S5" s="20"/>
      <c r="T5" s="20"/>
      <c r="U5" s="20"/>
      <c r="V5" s="20"/>
      <c r="W5" s="20"/>
      <c r="X5" s="20"/>
      <c r="Y5" s="20"/>
      <c r="Z5" s="20"/>
    </row>
    <row r="6" spans="1:26" ht="17.25" customHeight="1">
      <c r="A6" s="15" t="s">
        <v>5050</v>
      </c>
      <c r="B6" s="15" t="s">
        <v>77</v>
      </c>
      <c r="C6" s="15" t="s">
        <v>5051</v>
      </c>
      <c r="D6" s="15" t="s">
        <v>5046</v>
      </c>
      <c r="E6" s="15">
        <v>0.86</v>
      </c>
      <c r="F6" s="47">
        <v>0.75</v>
      </c>
      <c r="G6" s="93">
        <f t="shared" si="0"/>
        <v>0.64500000000000002</v>
      </c>
      <c r="H6" s="69" t="s">
        <v>4876</v>
      </c>
      <c r="I6" s="94"/>
      <c r="J6" s="31"/>
      <c r="K6" s="20"/>
      <c r="L6" s="20"/>
      <c r="M6" s="20"/>
      <c r="N6" s="20"/>
      <c r="O6" s="20"/>
      <c r="P6" s="20"/>
      <c r="Q6" s="20"/>
      <c r="R6" s="20"/>
      <c r="S6" s="20"/>
      <c r="T6" s="20"/>
      <c r="U6" s="20"/>
      <c r="V6" s="20"/>
      <c r="W6" s="20"/>
      <c r="X6" s="20"/>
      <c r="Y6" s="20"/>
      <c r="Z6" s="20"/>
    </row>
    <row r="7" spans="1:26" ht="17.25" customHeight="1">
      <c r="A7" s="15" t="s">
        <v>5052</v>
      </c>
      <c r="B7" s="15" t="s">
        <v>77</v>
      </c>
      <c r="C7" s="15" t="s">
        <v>5051</v>
      </c>
      <c r="D7" s="15" t="s">
        <v>5046</v>
      </c>
      <c r="E7" s="15">
        <v>0.86</v>
      </c>
      <c r="F7" s="47">
        <v>0.78</v>
      </c>
      <c r="G7" s="93">
        <f t="shared" si="0"/>
        <v>0.67080000000000006</v>
      </c>
      <c r="H7" s="69" t="s">
        <v>4876</v>
      </c>
      <c r="I7" s="94"/>
      <c r="J7" s="31"/>
      <c r="K7" s="20"/>
      <c r="L7" s="20"/>
      <c r="M7" s="20"/>
      <c r="N7" s="20"/>
      <c r="O7" s="20"/>
      <c r="P7" s="20"/>
      <c r="Q7" s="20"/>
      <c r="R7" s="20"/>
      <c r="S7" s="20"/>
      <c r="T7" s="20"/>
      <c r="U7" s="20"/>
      <c r="V7" s="20"/>
      <c r="W7" s="20"/>
      <c r="X7" s="20"/>
      <c r="Y7" s="20"/>
      <c r="Z7" s="20"/>
    </row>
    <row r="8" spans="1:26" ht="17.25" customHeight="1">
      <c r="A8" s="15" t="s">
        <v>5053</v>
      </c>
      <c r="B8" s="15" t="s">
        <v>77</v>
      </c>
      <c r="C8" s="15" t="s">
        <v>5051</v>
      </c>
      <c r="D8" s="15" t="s">
        <v>5049</v>
      </c>
      <c r="E8" s="15">
        <v>0.86</v>
      </c>
      <c r="F8" s="47">
        <v>0.88</v>
      </c>
      <c r="G8" s="93">
        <f t="shared" si="0"/>
        <v>0.75680000000000003</v>
      </c>
      <c r="H8" s="69" t="s">
        <v>4876</v>
      </c>
      <c r="I8" s="94"/>
      <c r="J8" s="31"/>
      <c r="K8" s="20"/>
      <c r="L8" s="20"/>
      <c r="M8" s="20"/>
      <c r="N8" s="20"/>
      <c r="O8" s="20"/>
      <c r="P8" s="20"/>
      <c r="Q8" s="20"/>
      <c r="R8" s="20"/>
      <c r="S8" s="20"/>
      <c r="T8" s="20"/>
      <c r="U8" s="20"/>
      <c r="V8" s="20"/>
      <c r="W8" s="20"/>
      <c r="X8" s="20"/>
      <c r="Y8" s="20"/>
      <c r="Z8" s="20"/>
    </row>
    <row r="9" spans="1:26" ht="17.25" customHeight="1">
      <c r="A9" s="15" t="s">
        <v>5054</v>
      </c>
      <c r="B9" s="15" t="s">
        <v>77</v>
      </c>
      <c r="C9" s="15" t="s">
        <v>5051</v>
      </c>
      <c r="D9" s="15" t="s">
        <v>5049</v>
      </c>
      <c r="E9" s="15">
        <v>0.86</v>
      </c>
      <c r="F9" s="47">
        <v>0.92</v>
      </c>
      <c r="G9" s="93">
        <f t="shared" si="0"/>
        <v>0.79120000000000001</v>
      </c>
      <c r="H9" s="69" t="s">
        <v>4876</v>
      </c>
      <c r="I9" s="94"/>
      <c r="J9" s="31"/>
      <c r="K9" s="20"/>
      <c r="L9" s="20"/>
      <c r="M9" s="20"/>
      <c r="N9" s="20"/>
      <c r="O9" s="20"/>
      <c r="P9" s="20"/>
      <c r="Q9" s="20"/>
      <c r="R9" s="20"/>
      <c r="S9" s="20"/>
      <c r="T9" s="20"/>
      <c r="U9" s="20"/>
      <c r="V9" s="20"/>
      <c r="W9" s="20"/>
      <c r="X9" s="20"/>
      <c r="Y9" s="20"/>
      <c r="Z9" s="20"/>
    </row>
    <row r="10" spans="1:26" ht="17.25" customHeight="1">
      <c r="A10" s="15" t="s">
        <v>5055</v>
      </c>
      <c r="B10" s="15" t="s">
        <v>5056</v>
      </c>
      <c r="C10" s="15" t="s">
        <v>5045</v>
      </c>
      <c r="D10" s="15" t="s">
        <v>5046</v>
      </c>
      <c r="E10" s="15">
        <v>3.64</v>
      </c>
      <c r="F10" s="47">
        <v>0.85</v>
      </c>
      <c r="G10" s="93">
        <f t="shared" si="0"/>
        <v>3.0939999999999999</v>
      </c>
      <c r="H10" s="69" t="s">
        <v>4876</v>
      </c>
      <c r="I10" s="94"/>
      <c r="J10" s="31"/>
      <c r="K10" s="20"/>
      <c r="L10" s="20"/>
      <c r="M10" s="20"/>
      <c r="N10" s="20"/>
      <c r="O10" s="20"/>
      <c r="P10" s="20"/>
      <c r="Q10" s="20"/>
      <c r="R10" s="20"/>
      <c r="S10" s="20"/>
      <c r="T10" s="20"/>
      <c r="U10" s="20"/>
      <c r="V10" s="20"/>
      <c r="W10" s="20"/>
      <c r="X10" s="20"/>
      <c r="Y10" s="20"/>
      <c r="Z10" s="20"/>
    </row>
    <row r="11" spans="1:26" ht="17.25" customHeight="1">
      <c r="A11" s="15" t="s">
        <v>5057</v>
      </c>
      <c r="B11" s="15" t="s">
        <v>78</v>
      </c>
      <c r="C11" s="15" t="s">
        <v>5045</v>
      </c>
      <c r="D11" s="15" t="s">
        <v>5046</v>
      </c>
      <c r="E11" s="15">
        <v>3.64</v>
      </c>
      <c r="F11" s="47">
        <v>0.92</v>
      </c>
      <c r="G11" s="93">
        <f t="shared" si="0"/>
        <v>3.3488000000000002</v>
      </c>
      <c r="H11" s="69" t="s">
        <v>4876</v>
      </c>
      <c r="I11" s="94"/>
      <c r="J11" s="31"/>
      <c r="K11" s="20"/>
      <c r="L11" s="20"/>
      <c r="M11" s="20"/>
      <c r="N11" s="20"/>
      <c r="O11" s="20"/>
      <c r="P11" s="20"/>
      <c r="Q11" s="20"/>
      <c r="R11" s="20"/>
      <c r="S11" s="20"/>
      <c r="T11" s="20"/>
      <c r="U11" s="20"/>
      <c r="V11" s="20"/>
      <c r="W11" s="20"/>
      <c r="X11" s="20"/>
      <c r="Y11" s="20"/>
      <c r="Z11" s="20"/>
    </row>
    <row r="12" spans="1:26" ht="17.25" customHeight="1">
      <c r="A12" s="15" t="s">
        <v>5058</v>
      </c>
      <c r="B12" s="15" t="s">
        <v>78</v>
      </c>
      <c r="C12" s="15" t="s">
        <v>5045</v>
      </c>
      <c r="D12" s="15" t="s">
        <v>5046</v>
      </c>
      <c r="E12" s="15">
        <v>3.64</v>
      </c>
      <c r="F12" s="47">
        <v>0.92</v>
      </c>
      <c r="G12" s="93">
        <f t="shared" si="0"/>
        <v>3.3488000000000002</v>
      </c>
      <c r="H12" s="69" t="s">
        <v>4876</v>
      </c>
      <c r="I12" s="94"/>
      <c r="J12" s="31"/>
      <c r="K12" s="20"/>
      <c r="L12" s="20"/>
      <c r="M12" s="20"/>
      <c r="N12" s="20"/>
      <c r="O12" s="20"/>
      <c r="P12" s="20"/>
      <c r="Q12" s="20"/>
      <c r="R12" s="20"/>
      <c r="S12" s="20"/>
      <c r="T12" s="20"/>
      <c r="U12" s="20"/>
      <c r="V12" s="20"/>
      <c r="W12" s="20"/>
      <c r="X12" s="20"/>
      <c r="Y12" s="20"/>
      <c r="Z12" s="20"/>
    </row>
    <row r="13" spans="1:26" ht="17.25" customHeight="1">
      <c r="A13" s="15" t="s">
        <v>5059</v>
      </c>
      <c r="B13" s="15" t="s">
        <v>78</v>
      </c>
      <c r="C13" s="15" t="s">
        <v>5051</v>
      </c>
      <c r="D13" s="15" t="s">
        <v>5046</v>
      </c>
      <c r="E13" s="15">
        <v>1.51</v>
      </c>
      <c r="F13" s="47">
        <v>0.9</v>
      </c>
      <c r="G13" s="93">
        <f t="shared" si="0"/>
        <v>1.359</v>
      </c>
      <c r="H13" s="69" t="s">
        <v>4876</v>
      </c>
      <c r="I13" s="94"/>
      <c r="J13" s="31"/>
      <c r="K13" s="20"/>
      <c r="L13" s="20"/>
      <c r="M13" s="20"/>
      <c r="N13" s="20"/>
      <c r="O13" s="20"/>
      <c r="P13" s="20"/>
      <c r="Q13" s="20"/>
      <c r="R13" s="20"/>
      <c r="S13" s="20"/>
      <c r="T13" s="20"/>
      <c r="U13" s="20"/>
      <c r="V13" s="20"/>
      <c r="W13" s="20"/>
      <c r="X13" s="20"/>
      <c r="Y13" s="20"/>
      <c r="Z13" s="20"/>
    </row>
    <row r="14" spans="1:26" ht="17.25" customHeight="1">
      <c r="A14" s="15" t="s">
        <v>5060</v>
      </c>
      <c r="B14" s="15" t="s">
        <v>78</v>
      </c>
      <c r="C14" s="15" t="s">
        <v>5045</v>
      </c>
      <c r="D14" s="15" t="s">
        <v>5046</v>
      </c>
      <c r="E14" s="15">
        <v>4.5</v>
      </c>
      <c r="F14" s="47">
        <v>0.93</v>
      </c>
      <c r="G14" s="93">
        <f t="shared" si="0"/>
        <v>4.1850000000000005</v>
      </c>
      <c r="H14" s="69" t="s">
        <v>4876</v>
      </c>
      <c r="I14" s="94"/>
      <c r="J14" s="31"/>
      <c r="K14" s="20"/>
      <c r="L14" s="20"/>
      <c r="M14" s="20"/>
      <c r="N14" s="20"/>
      <c r="O14" s="20"/>
      <c r="P14" s="20"/>
      <c r="Q14" s="20"/>
      <c r="R14" s="20"/>
      <c r="S14" s="20"/>
      <c r="T14" s="20"/>
      <c r="U14" s="20"/>
      <c r="V14" s="20"/>
      <c r="W14" s="20"/>
      <c r="X14" s="20"/>
      <c r="Y14" s="20"/>
      <c r="Z14" s="20"/>
    </row>
    <row r="15" spans="1:26" ht="17.25" customHeight="1">
      <c r="A15" s="15" t="s">
        <v>5061</v>
      </c>
      <c r="B15" s="15" t="s">
        <v>77</v>
      </c>
      <c r="C15" s="15" t="s">
        <v>5051</v>
      </c>
      <c r="D15" s="15" t="s">
        <v>5049</v>
      </c>
      <c r="E15" s="15">
        <v>0.86</v>
      </c>
      <c r="F15" s="47">
        <v>0.92</v>
      </c>
      <c r="G15" s="93">
        <f t="shared" si="0"/>
        <v>0.79120000000000001</v>
      </c>
      <c r="H15" s="69" t="s">
        <v>4876</v>
      </c>
      <c r="I15" s="94"/>
      <c r="J15" s="31"/>
      <c r="K15" s="20"/>
      <c r="L15" s="20"/>
      <c r="M15" s="20"/>
      <c r="N15" s="20"/>
      <c r="O15" s="20"/>
      <c r="P15" s="20"/>
      <c r="Q15" s="20"/>
      <c r="R15" s="20"/>
      <c r="S15" s="20"/>
      <c r="T15" s="20"/>
      <c r="U15" s="20"/>
      <c r="V15" s="20"/>
      <c r="W15" s="20"/>
      <c r="X15" s="20"/>
      <c r="Y15" s="20"/>
      <c r="Z15" s="20"/>
    </row>
    <row r="16" spans="1:26" ht="17.25" customHeight="1">
      <c r="A16" s="15" t="s">
        <v>5062</v>
      </c>
      <c r="B16" s="15" t="s">
        <v>77</v>
      </c>
      <c r="C16" s="15" t="s">
        <v>5045</v>
      </c>
      <c r="D16" s="15" t="s">
        <v>5046</v>
      </c>
      <c r="E16" s="15">
        <v>3.94</v>
      </c>
      <c r="F16" s="47">
        <v>0.92</v>
      </c>
      <c r="G16" s="93">
        <f t="shared" si="0"/>
        <v>3.6248</v>
      </c>
      <c r="H16" s="69" t="s">
        <v>4876</v>
      </c>
      <c r="I16" s="94"/>
      <c r="J16" s="31"/>
      <c r="K16" s="20"/>
      <c r="L16" s="20"/>
      <c r="M16" s="20"/>
      <c r="N16" s="20"/>
      <c r="O16" s="20"/>
      <c r="P16" s="20"/>
      <c r="Q16" s="20"/>
      <c r="R16" s="20"/>
      <c r="S16" s="20"/>
      <c r="T16" s="20"/>
      <c r="U16" s="20"/>
      <c r="V16" s="20"/>
      <c r="W16" s="20"/>
      <c r="X16" s="20"/>
      <c r="Y16" s="20"/>
      <c r="Z16" s="20"/>
    </row>
    <row r="17" spans="1:26" ht="17.25" customHeight="1">
      <c r="A17" s="15" t="s">
        <v>5063</v>
      </c>
      <c r="B17" s="15" t="s">
        <v>77</v>
      </c>
      <c r="C17" s="15" t="s">
        <v>5051</v>
      </c>
      <c r="D17" s="15" t="s">
        <v>5046</v>
      </c>
      <c r="E17" s="15">
        <v>1.7</v>
      </c>
      <c r="F17" s="47">
        <v>0.9</v>
      </c>
      <c r="G17" s="93">
        <f t="shared" si="0"/>
        <v>1.53</v>
      </c>
      <c r="H17" s="69" t="s">
        <v>4876</v>
      </c>
      <c r="I17" s="94"/>
      <c r="J17" s="31"/>
      <c r="K17" s="20"/>
      <c r="L17" s="20"/>
      <c r="M17" s="20"/>
      <c r="N17" s="20"/>
      <c r="O17" s="20"/>
      <c r="P17" s="20"/>
      <c r="Q17" s="20"/>
      <c r="R17" s="20"/>
      <c r="S17" s="20"/>
      <c r="T17" s="20"/>
      <c r="U17" s="20"/>
      <c r="V17" s="20"/>
      <c r="W17" s="20"/>
      <c r="X17" s="20"/>
      <c r="Y17" s="20"/>
      <c r="Z17" s="20"/>
    </row>
    <row r="18" spans="1:26" ht="17.25" customHeight="1">
      <c r="A18" s="15" t="s">
        <v>5064</v>
      </c>
      <c r="B18" s="15" t="s">
        <v>77</v>
      </c>
      <c r="C18" s="15" t="s">
        <v>5045</v>
      </c>
      <c r="D18" s="15" t="s">
        <v>5046</v>
      </c>
      <c r="E18" s="15">
        <v>4.8</v>
      </c>
      <c r="F18" s="47">
        <v>0.93</v>
      </c>
      <c r="G18" s="93">
        <f t="shared" si="0"/>
        <v>4.4640000000000004</v>
      </c>
      <c r="H18" s="69" t="s">
        <v>4876</v>
      </c>
      <c r="I18" s="94"/>
      <c r="J18" s="31"/>
      <c r="K18" s="20"/>
      <c r="L18" s="20"/>
      <c r="M18" s="20"/>
      <c r="N18" s="20"/>
      <c r="O18" s="20"/>
      <c r="P18" s="20"/>
      <c r="Q18" s="20"/>
      <c r="R18" s="20"/>
      <c r="S18" s="20"/>
      <c r="T18" s="20"/>
      <c r="U18" s="20"/>
      <c r="V18" s="20"/>
      <c r="W18" s="20"/>
      <c r="X18" s="20"/>
      <c r="Y18" s="20"/>
      <c r="Z18" s="20"/>
    </row>
    <row r="19" spans="1:26" ht="17.25" customHeight="1">
      <c r="A19" s="15" t="s">
        <v>5065</v>
      </c>
      <c r="B19" s="15" t="s">
        <v>78</v>
      </c>
      <c r="C19" s="203" t="s">
        <v>6215</v>
      </c>
      <c r="D19" s="15" t="s">
        <v>5046</v>
      </c>
      <c r="E19" s="15">
        <v>0.755</v>
      </c>
      <c r="F19" s="47">
        <v>0.75</v>
      </c>
      <c r="G19" s="93">
        <f t="shared" si="0"/>
        <v>0.56625000000000003</v>
      </c>
      <c r="H19" s="69" t="s">
        <v>4876</v>
      </c>
      <c r="I19" s="94"/>
      <c r="J19" s="31"/>
      <c r="K19" s="20"/>
      <c r="L19" s="20"/>
      <c r="M19" s="20"/>
      <c r="N19" s="20"/>
      <c r="O19" s="20"/>
      <c r="P19" s="20"/>
      <c r="Q19" s="20"/>
      <c r="R19" s="20"/>
      <c r="S19" s="20"/>
      <c r="T19" s="20"/>
      <c r="U19" s="20"/>
      <c r="V19" s="20"/>
      <c r="W19" s="20"/>
      <c r="X19" s="20"/>
      <c r="Y19" s="20"/>
      <c r="Z19" s="20"/>
    </row>
    <row r="20" spans="1:26" ht="17.25" customHeight="1">
      <c r="A20" s="15" t="s">
        <v>5066</v>
      </c>
      <c r="B20" s="15" t="s">
        <v>78</v>
      </c>
      <c r="C20" s="203" t="s">
        <v>6215</v>
      </c>
      <c r="D20" s="15" t="s">
        <v>5046</v>
      </c>
      <c r="E20" s="15">
        <v>0.755</v>
      </c>
      <c r="F20" s="47">
        <v>0.78</v>
      </c>
      <c r="G20" s="93">
        <f t="shared" si="0"/>
        <v>0.58889999999999998</v>
      </c>
      <c r="H20" s="69" t="s">
        <v>4876</v>
      </c>
      <c r="I20" s="94"/>
      <c r="J20" s="31"/>
      <c r="K20" s="20"/>
      <c r="L20" s="20"/>
      <c r="M20" s="20"/>
      <c r="N20" s="20"/>
      <c r="O20" s="20"/>
      <c r="P20" s="20"/>
      <c r="Q20" s="20"/>
      <c r="R20" s="20"/>
      <c r="S20" s="20"/>
      <c r="T20" s="20"/>
      <c r="U20" s="20"/>
      <c r="V20" s="20"/>
      <c r="W20" s="20"/>
      <c r="X20" s="20"/>
      <c r="Y20" s="20"/>
      <c r="Z20" s="20"/>
    </row>
    <row r="21" spans="1:26" ht="17.25" customHeight="1">
      <c r="A21" s="15" t="s">
        <v>5067</v>
      </c>
      <c r="B21" s="15" t="s">
        <v>78</v>
      </c>
      <c r="C21" s="203" t="s">
        <v>6215</v>
      </c>
      <c r="D21" s="15" t="s">
        <v>5049</v>
      </c>
      <c r="E21" s="15">
        <v>0.755</v>
      </c>
      <c r="F21" s="47">
        <v>0.88</v>
      </c>
      <c r="G21" s="93">
        <f t="shared" si="0"/>
        <v>0.66439999999999999</v>
      </c>
      <c r="H21" s="69" t="s">
        <v>4876</v>
      </c>
      <c r="I21" s="94"/>
      <c r="J21" s="31"/>
      <c r="K21" s="20"/>
      <c r="L21" s="20"/>
      <c r="M21" s="20"/>
      <c r="N21" s="20"/>
      <c r="O21" s="20"/>
      <c r="P21" s="20"/>
      <c r="Q21" s="20"/>
      <c r="R21" s="20"/>
      <c r="S21" s="20"/>
      <c r="T21" s="20"/>
      <c r="U21" s="20"/>
      <c r="V21" s="20"/>
      <c r="W21" s="20"/>
      <c r="X21" s="20"/>
      <c r="Y21" s="20"/>
      <c r="Z21" s="20"/>
    </row>
    <row r="22" spans="1:26" ht="17.25" customHeight="1">
      <c r="A22" s="15" t="s">
        <v>5068</v>
      </c>
      <c r="B22" s="15" t="s">
        <v>77</v>
      </c>
      <c r="C22" s="203" t="s">
        <v>6215</v>
      </c>
      <c r="D22" s="15" t="s">
        <v>5046</v>
      </c>
      <c r="E22" s="15">
        <v>0.755</v>
      </c>
      <c r="F22" s="47">
        <v>0.75</v>
      </c>
      <c r="G22" s="93">
        <f t="shared" si="0"/>
        <v>0.56625000000000003</v>
      </c>
      <c r="H22" s="69" t="s">
        <v>4876</v>
      </c>
      <c r="I22" s="94"/>
      <c r="J22" s="31"/>
      <c r="K22" s="20"/>
      <c r="L22" s="20"/>
      <c r="M22" s="20"/>
      <c r="N22" s="20"/>
      <c r="O22" s="20"/>
      <c r="P22" s="20"/>
      <c r="Q22" s="20"/>
      <c r="R22" s="20"/>
      <c r="S22" s="20"/>
      <c r="T22" s="20"/>
      <c r="U22" s="20"/>
      <c r="V22" s="20"/>
      <c r="W22" s="20"/>
      <c r="X22" s="20"/>
      <c r="Y22" s="20"/>
      <c r="Z22" s="20"/>
    </row>
    <row r="23" spans="1:26" ht="17.25" customHeight="1">
      <c r="A23" s="15" t="s">
        <v>5069</v>
      </c>
      <c r="B23" s="15" t="s">
        <v>77</v>
      </c>
      <c r="C23" s="203" t="s">
        <v>6215</v>
      </c>
      <c r="D23" s="15" t="s">
        <v>5046</v>
      </c>
      <c r="E23" s="15">
        <v>0.755</v>
      </c>
      <c r="F23" s="47">
        <v>0.78</v>
      </c>
      <c r="G23" s="93">
        <f t="shared" si="0"/>
        <v>0.58889999999999998</v>
      </c>
      <c r="H23" s="69" t="s">
        <v>4876</v>
      </c>
      <c r="I23" s="94"/>
      <c r="J23" s="31"/>
      <c r="K23" s="20"/>
      <c r="L23" s="20"/>
      <c r="M23" s="20"/>
      <c r="N23" s="20"/>
      <c r="O23" s="20"/>
      <c r="P23" s="20"/>
      <c r="Q23" s="20"/>
      <c r="R23" s="20"/>
      <c r="S23" s="20"/>
      <c r="T23" s="20"/>
      <c r="U23" s="20"/>
      <c r="V23" s="20"/>
      <c r="W23" s="20"/>
      <c r="X23" s="20"/>
      <c r="Y23" s="20"/>
      <c r="Z23" s="20"/>
    </row>
    <row r="24" spans="1:26" ht="17.25" customHeight="1">
      <c r="A24" s="15" t="s">
        <v>5070</v>
      </c>
      <c r="B24" s="15" t="s">
        <v>77</v>
      </c>
      <c r="C24" s="203" t="s">
        <v>6215</v>
      </c>
      <c r="D24" s="15" t="s">
        <v>5049</v>
      </c>
      <c r="E24" s="15">
        <v>0.755</v>
      </c>
      <c r="F24" s="47">
        <v>0.88</v>
      </c>
      <c r="G24" s="93">
        <f t="shared" si="0"/>
        <v>0.66439999999999999</v>
      </c>
      <c r="H24" s="69" t="s">
        <v>4876</v>
      </c>
      <c r="I24" s="94"/>
      <c r="J24" s="31"/>
      <c r="K24" s="20"/>
      <c r="L24" s="20"/>
      <c r="M24" s="20"/>
      <c r="N24" s="20"/>
      <c r="O24" s="20"/>
      <c r="P24" s="20"/>
      <c r="Q24" s="20"/>
      <c r="R24" s="20"/>
      <c r="S24" s="20"/>
      <c r="T24" s="20"/>
      <c r="U24" s="20"/>
      <c r="V24" s="20"/>
      <c r="W24" s="20"/>
      <c r="X24" s="20"/>
      <c r="Y24" s="20"/>
      <c r="Z24" s="20"/>
    </row>
    <row r="25" spans="1:26" ht="17.25" customHeight="1">
      <c r="A25" s="15" t="s">
        <v>5071</v>
      </c>
      <c r="B25" s="15" t="s">
        <v>77</v>
      </c>
      <c r="C25" s="203" t="s">
        <v>6215</v>
      </c>
      <c r="D25" s="15" t="s">
        <v>5049</v>
      </c>
      <c r="E25" s="15">
        <v>0.755</v>
      </c>
      <c r="F25" s="47">
        <v>0.92</v>
      </c>
      <c r="G25" s="93">
        <f t="shared" si="0"/>
        <v>0.6946</v>
      </c>
      <c r="H25" s="69" t="s">
        <v>4876</v>
      </c>
      <c r="I25" s="92"/>
      <c r="J25" s="31"/>
      <c r="K25" s="20"/>
      <c r="L25" s="20"/>
      <c r="M25" s="20"/>
      <c r="N25" s="20"/>
      <c r="O25" s="20"/>
      <c r="P25" s="20"/>
      <c r="Q25" s="20"/>
      <c r="R25" s="20"/>
      <c r="S25" s="20"/>
      <c r="T25" s="20"/>
      <c r="U25" s="20"/>
      <c r="V25" s="20"/>
      <c r="W25" s="20"/>
      <c r="X25" s="20"/>
      <c r="Y25" s="20"/>
      <c r="Z25" s="20"/>
    </row>
    <row r="26" spans="1:26" ht="17.25" customHeight="1">
      <c r="A26" s="15" t="s">
        <v>5072</v>
      </c>
      <c r="B26" s="15" t="s">
        <v>5056</v>
      </c>
      <c r="C26" s="203" t="s">
        <v>6215</v>
      </c>
      <c r="D26" s="15" t="s">
        <v>5046</v>
      </c>
      <c r="E26" s="15">
        <v>0.755</v>
      </c>
      <c r="F26" s="47">
        <v>0.85</v>
      </c>
      <c r="G26" s="93">
        <f t="shared" si="0"/>
        <v>0.64174999999999993</v>
      </c>
      <c r="H26" s="69" t="s">
        <v>4876</v>
      </c>
      <c r="I26" s="92"/>
      <c r="J26" s="31"/>
      <c r="K26" s="20"/>
      <c r="L26" s="20"/>
      <c r="M26" s="20"/>
      <c r="N26" s="20"/>
      <c r="O26" s="20"/>
      <c r="P26" s="20"/>
      <c r="Q26" s="20"/>
      <c r="R26" s="20"/>
      <c r="S26" s="20"/>
      <c r="T26" s="20"/>
      <c r="U26" s="20"/>
      <c r="V26" s="20"/>
      <c r="W26" s="20"/>
      <c r="X26" s="20"/>
      <c r="Y26" s="20"/>
      <c r="Z26" s="20"/>
    </row>
    <row r="27" spans="1:26" ht="17.25" customHeight="1">
      <c r="A27" s="15" t="s">
        <v>5073</v>
      </c>
      <c r="B27" s="15" t="s">
        <v>78</v>
      </c>
      <c r="C27" s="203" t="s">
        <v>6215</v>
      </c>
      <c r="D27" s="15" t="s">
        <v>5046</v>
      </c>
      <c r="E27" s="15">
        <v>0.755</v>
      </c>
      <c r="F27" s="47">
        <v>0.92</v>
      </c>
      <c r="G27" s="93">
        <f t="shared" si="0"/>
        <v>0.6946</v>
      </c>
      <c r="H27" s="69" t="s">
        <v>4876</v>
      </c>
      <c r="I27" s="92"/>
      <c r="J27" s="31"/>
      <c r="K27" s="20"/>
      <c r="L27" s="20"/>
      <c r="M27" s="20"/>
      <c r="N27" s="20"/>
      <c r="O27" s="20"/>
      <c r="P27" s="20"/>
      <c r="Q27" s="20"/>
      <c r="R27" s="20"/>
      <c r="S27" s="20"/>
      <c r="T27" s="20"/>
      <c r="U27" s="20"/>
      <c r="V27" s="20"/>
      <c r="W27" s="20"/>
      <c r="X27" s="20"/>
      <c r="Y27" s="20"/>
      <c r="Z27" s="20"/>
    </row>
    <row r="28" spans="1:26" ht="17.25" customHeight="1">
      <c r="A28" s="15" t="s">
        <v>5074</v>
      </c>
      <c r="B28" s="15" t="s">
        <v>78</v>
      </c>
      <c r="C28" s="203" t="s">
        <v>6215</v>
      </c>
      <c r="D28" s="15" t="s">
        <v>5046</v>
      </c>
      <c r="E28" s="15">
        <v>0.755</v>
      </c>
      <c r="F28" s="47">
        <v>0.92</v>
      </c>
      <c r="G28" s="93">
        <f t="shared" si="0"/>
        <v>0.6946</v>
      </c>
      <c r="H28" s="69" t="s">
        <v>4876</v>
      </c>
      <c r="I28" s="92"/>
      <c r="J28" s="31"/>
      <c r="K28" s="20"/>
      <c r="L28" s="20"/>
      <c r="M28" s="20"/>
      <c r="N28" s="20"/>
      <c r="O28" s="20"/>
      <c r="P28" s="20"/>
      <c r="Q28" s="20"/>
      <c r="R28" s="20"/>
      <c r="S28" s="20"/>
      <c r="T28" s="20"/>
      <c r="U28" s="20"/>
      <c r="V28" s="20"/>
      <c r="W28" s="20"/>
      <c r="X28" s="20"/>
      <c r="Y28" s="20"/>
      <c r="Z28" s="20"/>
    </row>
    <row r="29" spans="1:26" ht="17.25" customHeight="1">
      <c r="A29" s="15" t="s">
        <v>5075</v>
      </c>
      <c r="B29" s="15" t="s">
        <v>78</v>
      </c>
      <c r="C29" s="203" t="s">
        <v>6215</v>
      </c>
      <c r="D29" s="15" t="s">
        <v>5046</v>
      </c>
      <c r="E29" s="15">
        <v>0.755</v>
      </c>
      <c r="F29" s="47">
        <v>0.9</v>
      </c>
      <c r="G29" s="93">
        <f t="shared" si="0"/>
        <v>0.67949999999999999</v>
      </c>
      <c r="H29" s="69" t="s">
        <v>4876</v>
      </c>
      <c r="I29" s="69"/>
      <c r="J29" s="20"/>
      <c r="K29" s="20"/>
      <c r="L29" s="20"/>
      <c r="M29" s="20"/>
      <c r="N29" s="20"/>
      <c r="O29" s="20"/>
      <c r="P29" s="20"/>
      <c r="Q29" s="20"/>
      <c r="R29" s="20"/>
      <c r="S29" s="20"/>
      <c r="T29" s="20"/>
      <c r="U29" s="20"/>
      <c r="V29" s="20"/>
      <c r="W29" s="20"/>
      <c r="X29" s="20"/>
      <c r="Y29" s="20"/>
      <c r="Z29" s="20"/>
    </row>
    <row r="30" spans="1:26" ht="17.25" customHeight="1">
      <c r="A30" s="15" t="s">
        <v>5076</v>
      </c>
      <c r="B30" s="15" t="s">
        <v>78</v>
      </c>
      <c r="C30" s="203" t="s">
        <v>6215</v>
      </c>
      <c r="D30" s="15" t="s">
        <v>5046</v>
      </c>
      <c r="E30" s="15">
        <v>0.755</v>
      </c>
      <c r="F30" s="47">
        <v>0.93</v>
      </c>
      <c r="G30" s="93">
        <f t="shared" si="0"/>
        <v>0.70215000000000005</v>
      </c>
      <c r="H30" s="69" t="s">
        <v>4876</v>
      </c>
      <c r="I30" s="20"/>
      <c r="J30" s="20"/>
      <c r="K30" s="20"/>
      <c r="L30" s="20"/>
      <c r="M30" s="20"/>
      <c r="N30" s="20"/>
      <c r="O30" s="20"/>
      <c r="P30" s="20"/>
      <c r="Q30" s="20"/>
      <c r="R30" s="20"/>
      <c r="S30" s="20"/>
      <c r="T30" s="20"/>
      <c r="U30" s="20"/>
      <c r="V30" s="20"/>
      <c r="W30" s="20"/>
      <c r="X30" s="20"/>
      <c r="Y30" s="20"/>
      <c r="Z30" s="20"/>
    </row>
    <row r="31" spans="1:26" ht="17.25" customHeight="1">
      <c r="A31" s="15" t="s">
        <v>5077</v>
      </c>
      <c r="B31" s="15" t="s">
        <v>77</v>
      </c>
      <c r="C31" s="203" t="s">
        <v>6215</v>
      </c>
      <c r="D31" s="15" t="s">
        <v>5049</v>
      </c>
      <c r="E31" s="15">
        <v>0.755</v>
      </c>
      <c r="F31" s="47">
        <v>0.92</v>
      </c>
      <c r="G31" s="93">
        <f t="shared" si="0"/>
        <v>0.6946</v>
      </c>
      <c r="H31" s="69" t="s">
        <v>4876</v>
      </c>
      <c r="I31" s="20"/>
      <c r="J31" s="20"/>
      <c r="K31" s="20"/>
      <c r="L31" s="20"/>
      <c r="M31" s="20"/>
      <c r="N31" s="20"/>
      <c r="O31" s="20"/>
      <c r="P31" s="20"/>
      <c r="Q31" s="20"/>
      <c r="R31" s="20"/>
      <c r="S31" s="20"/>
      <c r="T31" s="20"/>
      <c r="U31" s="20"/>
      <c r="V31" s="20"/>
      <c r="W31" s="20"/>
      <c r="X31" s="20"/>
      <c r="Y31" s="20"/>
      <c r="Z31" s="20"/>
    </row>
    <row r="32" spans="1:26" ht="17.25" customHeight="1">
      <c r="A32" s="15" t="s">
        <v>5078</v>
      </c>
      <c r="B32" s="15" t="s">
        <v>77</v>
      </c>
      <c r="C32" s="203" t="s">
        <v>6215</v>
      </c>
      <c r="D32" s="15" t="s">
        <v>5046</v>
      </c>
      <c r="E32" s="15">
        <v>0.755</v>
      </c>
      <c r="F32" s="47">
        <v>0.92</v>
      </c>
      <c r="G32" s="93">
        <f t="shared" si="0"/>
        <v>0.6946</v>
      </c>
      <c r="H32" s="69" t="s">
        <v>4876</v>
      </c>
      <c r="I32" s="20"/>
      <c r="J32" s="20"/>
      <c r="K32" s="20"/>
      <c r="L32" s="20"/>
      <c r="M32" s="20"/>
      <c r="N32" s="20"/>
      <c r="O32" s="20"/>
      <c r="P32" s="20"/>
      <c r="Q32" s="20"/>
      <c r="R32" s="20"/>
      <c r="S32" s="20"/>
      <c r="T32" s="20"/>
      <c r="U32" s="20"/>
      <c r="V32" s="20"/>
      <c r="W32" s="20"/>
      <c r="X32" s="20"/>
      <c r="Y32" s="20"/>
      <c r="Z32" s="20"/>
    </row>
    <row r="33" spans="1:26" ht="17.25" customHeight="1">
      <c r="A33" s="15" t="s">
        <v>5079</v>
      </c>
      <c r="B33" s="15" t="s">
        <v>77</v>
      </c>
      <c r="C33" s="203" t="s">
        <v>6215</v>
      </c>
      <c r="D33" s="15" t="s">
        <v>5046</v>
      </c>
      <c r="E33" s="15">
        <v>0.755</v>
      </c>
      <c r="F33" s="47">
        <v>0.9</v>
      </c>
      <c r="G33" s="93">
        <f t="shared" si="0"/>
        <v>0.67949999999999999</v>
      </c>
      <c r="H33" s="69" t="s">
        <v>4876</v>
      </c>
      <c r="I33" s="20"/>
      <c r="J33" s="20"/>
      <c r="K33" s="20"/>
      <c r="L33" s="20"/>
      <c r="M33" s="20"/>
      <c r="N33" s="20"/>
      <c r="O33" s="20"/>
      <c r="P33" s="20"/>
      <c r="Q33" s="20"/>
      <c r="R33" s="20"/>
      <c r="S33" s="20"/>
      <c r="T33" s="20"/>
      <c r="U33" s="20"/>
      <c r="V33" s="20"/>
      <c r="W33" s="20"/>
      <c r="X33" s="20"/>
      <c r="Y33" s="20"/>
      <c r="Z33" s="20"/>
    </row>
    <row r="34" spans="1:26" ht="17.25" customHeight="1">
      <c r="A34" s="15" t="s">
        <v>5080</v>
      </c>
      <c r="B34" s="15" t="s">
        <v>77</v>
      </c>
      <c r="C34" s="203" t="s">
        <v>6215</v>
      </c>
      <c r="D34" s="15" t="s">
        <v>5046</v>
      </c>
      <c r="E34" s="15">
        <v>0.755</v>
      </c>
      <c r="F34" s="47">
        <v>0.93</v>
      </c>
      <c r="G34" s="93">
        <f t="shared" si="0"/>
        <v>0.70215000000000005</v>
      </c>
      <c r="H34" s="69" t="s">
        <v>4876</v>
      </c>
      <c r="I34" s="20"/>
      <c r="J34" s="20"/>
      <c r="K34" s="20"/>
      <c r="L34" s="20"/>
      <c r="M34" s="20"/>
      <c r="N34" s="20"/>
      <c r="O34" s="20"/>
      <c r="P34" s="20"/>
      <c r="Q34" s="20"/>
      <c r="R34" s="20"/>
      <c r="S34" s="20"/>
      <c r="T34" s="20"/>
      <c r="U34" s="20"/>
      <c r="V34" s="20"/>
      <c r="W34" s="20"/>
      <c r="X34" s="20"/>
      <c r="Y34" s="20"/>
      <c r="Z34" s="20"/>
    </row>
    <row r="35" spans="1:26" ht="17.25" customHeight="1">
      <c r="A35" s="55" t="s">
        <v>5081</v>
      </c>
      <c r="B35" s="15" t="s">
        <v>77</v>
      </c>
      <c r="C35" s="15" t="s">
        <v>5051</v>
      </c>
      <c r="D35" s="15" t="s">
        <v>5046</v>
      </c>
      <c r="E35" s="47">
        <v>0.86</v>
      </c>
      <c r="F35" s="47">
        <v>0.75</v>
      </c>
      <c r="G35" s="93">
        <f t="shared" si="0"/>
        <v>0.64500000000000002</v>
      </c>
      <c r="H35" s="69" t="s">
        <v>4876</v>
      </c>
      <c r="I35" s="20"/>
      <c r="J35" s="20"/>
      <c r="K35" s="20"/>
      <c r="L35" s="20"/>
      <c r="M35" s="20"/>
      <c r="N35" s="20"/>
      <c r="O35" s="20"/>
      <c r="P35" s="20"/>
      <c r="Q35" s="20"/>
      <c r="R35" s="20"/>
      <c r="S35" s="20"/>
      <c r="T35" s="20"/>
      <c r="U35" s="20"/>
      <c r="V35" s="20"/>
      <c r="W35" s="20"/>
      <c r="X35" s="20"/>
      <c r="Y35" s="20"/>
      <c r="Z35" s="20"/>
    </row>
    <row r="36" spans="1:26" ht="17.25" customHeight="1">
      <c r="A36" s="55" t="s">
        <v>5082</v>
      </c>
      <c r="B36" s="15" t="s">
        <v>77</v>
      </c>
      <c r="C36" s="203" t="s">
        <v>6215</v>
      </c>
      <c r="D36" s="15" t="s">
        <v>5046</v>
      </c>
      <c r="E36" s="47">
        <v>0.755</v>
      </c>
      <c r="F36" s="47">
        <v>0.75</v>
      </c>
      <c r="G36" s="93">
        <f t="shared" si="0"/>
        <v>0.56625000000000003</v>
      </c>
      <c r="H36" s="69" t="s">
        <v>4876</v>
      </c>
      <c r="I36" s="20"/>
      <c r="J36" s="20"/>
      <c r="K36" s="20"/>
      <c r="L36" s="20"/>
      <c r="M36" s="20"/>
      <c r="N36" s="20"/>
      <c r="O36" s="20"/>
      <c r="P36" s="20"/>
      <c r="Q36" s="20"/>
      <c r="R36" s="20"/>
      <c r="S36" s="20"/>
      <c r="T36" s="20"/>
      <c r="U36" s="20"/>
      <c r="V36" s="20"/>
      <c r="W36" s="20"/>
      <c r="X36" s="20"/>
      <c r="Y36" s="20"/>
      <c r="Z36" s="20"/>
    </row>
    <row r="37" spans="1:26" ht="17.25" customHeight="1">
      <c r="A37" s="77" t="s">
        <v>5083</v>
      </c>
      <c r="B37" s="15" t="s">
        <v>77</v>
      </c>
      <c r="C37" s="15" t="s">
        <v>5051</v>
      </c>
      <c r="D37" s="15" t="s">
        <v>5046</v>
      </c>
      <c r="E37" s="47">
        <v>0.86</v>
      </c>
      <c r="F37" s="47">
        <v>0.75</v>
      </c>
      <c r="G37" s="93">
        <f t="shared" si="0"/>
        <v>0.64500000000000002</v>
      </c>
      <c r="H37" s="69" t="s">
        <v>4876</v>
      </c>
      <c r="I37" s="20"/>
      <c r="J37" s="20"/>
      <c r="K37" s="20"/>
      <c r="L37" s="20"/>
      <c r="M37" s="20"/>
      <c r="N37" s="20"/>
      <c r="O37" s="20"/>
      <c r="P37" s="20"/>
      <c r="Q37" s="20"/>
      <c r="R37" s="20"/>
      <c r="S37" s="20"/>
      <c r="T37" s="20"/>
      <c r="U37" s="20"/>
      <c r="V37" s="20"/>
      <c r="W37" s="20"/>
      <c r="X37" s="20"/>
      <c r="Y37" s="20"/>
      <c r="Z37" s="20"/>
    </row>
    <row r="38" spans="1:26" ht="17.25" customHeight="1">
      <c r="A38" s="77" t="s">
        <v>5084</v>
      </c>
      <c r="B38" s="15" t="s">
        <v>77</v>
      </c>
      <c r="C38" s="203" t="s">
        <v>6215</v>
      </c>
      <c r="D38" s="15" t="s">
        <v>5046</v>
      </c>
      <c r="E38" s="47">
        <v>0.755</v>
      </c>
      <c r="F38" s="47">
        <v>0.75</v>
      </c>
      <c r="G38" s="93">
        <f t="shared" si="0"/>
        <v>0.56625000000000003</v>
      </c>
      <c r="H38" s="69" t="s">
        <v>4876</v>
      </c>
      <c r="I38" s="20"/>
      <c r="J38" s="20"/>
      <c r="K38" s="20"/>
      <c r="L38" s="20"/>
      <c r="M38" s="20"/>
      <c r="N38" s="20"/>
      <c r="O38" s="20"/>
      <c r="P38" s="20"/>
      <c r="Q38" s="20"/>
      <c r="R38" s="20"/>
      <c r="S38" s="20"/>
      <c r="T38" s="20"/>
      <c r="U38" s="20"/>
      <c r="V38" s="20"/>
      <c r="W38" s="20"/>
      <c r="X38" s="20"/>
      <c r="Y38" s="20"/>
      <c r="Z38" s="20"/>
    </row>
    <row r="39" spans="1:26" ht="17.25" customHeight="1">
      <c r="A39" s="55" t="s">
        <v>5085</v>
      </c>
      <c r="B39" s="15" t="s">
        <v>78</v>
      </c>
      <c r="C39" s="15" t="s">
        <v>5045</v>
      </c>
      <c r="D39" s="15" t="s">
        <v>5046</v>
      </c>
      <c r="E39" s="47">
        <v>3.64</v>
      </c>
      <c r="F39" s="47">
        <v>0.75</v>
      </c>
      <c r="G39" s="93">
        <f t="shared" si="0"/>
        <v>2.73</v>
      </c>
      <c r="H39" s="69" t="s">
        <v>4876</v>
      </c>
      <c r="I39" s="20"/>
      <c r="J39" s="20"/>
      <c r="K39" s="20"/>
      <c r="L39" s="20"/>
      <c r="M39" s="20"/>
      <c r="N39" s="20"/>
      <c r="O39" s="20"/>
      <c r="P39" s="20"/>
      <c r="Q39" s="20"/>
      <c r="R39" s="20"/>
      <c r="S39" s="20"/>
      <c r="T39" s="20"/>
      <c r="U39" s="20"/>
      <c r="V39" s="20"/>
      <c r="W39" s="20"/>
      <c r="X39" s="20"/>
      <c r="Y39" s="20"/>
      <c r="Z39" s="20"/>
    </row>
    <row r="40" spans="1:26" ht="17.25" customHeight="1">
      <c r="A40" s="55" t="s">
        <v>5086</v>
      </c>
      <c r="B40" s="15" t="s">
        <v>78</v>
      </c>
      <c r="C40" s="203" t="s">
        <v>6215</v>
      </c>
      <c r="D40" s="15" t="s">
        <v>5046</v>
      </c>
      <c r="E40" s="47">
        <v>0.755</v>
      </c>
      <c r="F40" s="47">
        <v>0.75</v>
      </c>
      <c r="G40" s="93">
        <f t="shared" si="0"/>
        <v>0.56625000000000003</v>
      </c>
      <c r="H40" s="69" t="s">
        <v>4876</v>
      </c>
      <c r="I40" s="20"/>
      <c r="J40" s="20"/>
      <c r="K40" s="20"/>
      <c r="L40" s="20"/>
      <c r="M40" s="20"/>
      <c r="N40" s="20"/>
      <c r="O40" s="20"/>
      <c r="P40" s="20"/>
      <c r="Q40" s="20"/>
      <c r="R40" s="20"/>
      <c r="S40" s="20"/>
      <c r="T40" s="20"/>
      <c r="U40" s="20"/>
      <c r="V40" s="20"/>
      <c r="W40" s="20"/>
      <c r="X40" s="20"/>
      <c r="Y40" s="20"/>
      <c r="Z40" s="20"/>
    </row>
    <row r="41" spans="1:26" ht="17.25" customHeight="1">
      <c r="A41" s="77" t="s">
        <v>5087</v>
      </c>
      <c r="B41" s="15" t="s">
        <v>78</v>
      </c>
      <c r="C41" s="15" t="s">
        <v>5045</v>
      </c>
      <c r="D41" s="15" t="s">
        <v>5046</v>
      </c>
      <c r="E41" s="47">
        <v>3.64</v>
      </c>
      <c r="F41" s="47">
        <v>0.75</v>
      </c>
      <c r="G41" s="93">
        <f t="shared" si="0"/>
        <v>2.73</v>
      </c>
      <c r="H41" s="69" t="s">
        <v>4876</v>
      </c>
      <c r="I41" s="20"/>
      <c r="J41" s="20"/>
      <c r="K41" s="20"/>
      <c r="L41" s="20"/>
      <c r="M41" s="20"/>
      <c r="N41" s="20"/>
      <c r="O41" s="20"/>
      <c r="P41" s="20"/>
      <c r="Q41" s="20"/>
      <c r="R41" s="20"/>
      <c r="S41" s="20"/>
      <c r="T41" s="20"/>
      <c r="U41" s="20"/>
      <c r="V41" s="20"/>
      <c r="W41" s="20"/>
      <c r="X41" s="20"/>
      <c r="Y41" s="20"/>
      <c r="Z41" s="20"/>
    </row>
    <row r="42" spans="1:26" ht="17.25" customHeight="1">
      <c r="A42" s="77" t="s">
        <v>5088</v>
      </c>
      <c r="B42" s="15" t="s">
        <v>78</v>
      </c>
      <c r="C42" s="203" t="s">
        <v>6215</v>
      </c>
      <c r="D42" s="15" t="s">
        <v>5046</v>
      </c>
      <c r="E42" s="47">
        <v>0.755</v>
      </c>
      <c r="F42" s="47">
        <v>0.75</v>
      </c>
      <c r="G42" s="93">
        <f t="shared" si="0"/>
        <v>0.56625000000000003</v>
      </c>
      <c r="H42" s="69" t="s">
        <v>4876</v>
      </c>
      <c r="I42" s="20"/>
      <c r="J42" s="20"/>
      <c r="K42" s="20"/>
      <c r="L42" s="20"/>
      <c r="M42" s="20"/>
      <c r="N42" s="20"/>
      <c r="O42" s="20"/>
      <c r="P42" s="20"/>
      <c r="Q42" s="20"/>
      <c r="R42" s="20"/>
      <c r="S42" s="20"/>
      <c r="T42" s="20"/>
      <c r="U42" s="20"/>
      <c r="V42" s="20"/>
      <c r="W42" s="20"/>
      <c r="X42" s="20"/>
      <c r="Y42" s="20"/>
      <c r="Z42" s="20"/>
    </row>
    <row r="43" spans="1:26" ht="17.25" customHeight="1">
      <c r="A43" s="15" t="s">
        <v>6226</v>
      </c>
      <c r="B43" s="15" t="s">
        <v>77</v>
      </c>
      <c r="C43" s="203" t="s">
        <v>6215</v>
      </c>
      <c r="D43" s="15" t="s">
        <v>5046</v>
      </c>
      <c r="E43" s="47">
        <v>0</v>
      </c>
      <c r="F43" s="47">
        <v>0</v>
      </c>
      <c r="G43" s="93">
        <f t="shared" ref="G43:G44" si="1">E43*F43</f>
        <v>0</v>
      </c>
      <c r="H43" s="69" t="s">
        <v>4876</v>
      </c>
      <c r="I43" s="20"/>
      <c r="J43" s="20"/>
      <c r="K43" s="20"/>
      <c r="L43" s="20"/>
      <c r="M43" s="20"/>
      <c r="N43" s="20"/>
      <c r="O43" s="20"/>
      <c r="P43" s="20"/>
      <c r="Q43" s="20"/>
      <c r="R43" s="20"/>
      <c r="S43" s="20"/>
      <c r="T43" s="20"/>
      <c r="U43" s="20"/>
      <c r="V43" s="20"/>
      <c r="W43" s="20"/>
      <c r="X43" s="20"/>
      <c r="Y43" s="20"/>
      <c r="Z43" s="20"/>
    </row>
    <row r="44" spans="1:26" ht="17.25" customHeight="1">
      <c r="A44" s="15" t="s">
        <v>6227</v>
      </c>
      <c r="B44" s="15" t="s">
        <v>78</v>
      </c>
      <c r="C44" s="203" t="s">
        <v>6215</v>
      </c>
      <c r="D44" s="15" t="s">
        <v>5046</v>
      </c>
      <c r="E44" s="47">
        <v>0</v>
      </c>
      <c r="F44" s="47">
        <v>0</v>
      </c>
      <c r="G44" s="93">
        <f t="shared" si="1"/>
        <v>0</v>
      </c>
      <c r="H44" s="69" t="s">
        <v>4876</v>
      </c>
      <c r="I44" s="20"/>
      <c r="J44" s="20"/>
      <c r="K44" s="20"/>
      <c r="L44" s="20"/>
      <c r="M44" s="20"/>
      <c r="N44" s="20"/>
      <c r="O44" s="20"/>
      <c r="P44" s="20"/>
      <c r="Q44" s="20"/>
      <c r="R44" s="20"/>
      <c r="S44" s="20"/>
      <c r="T44" s="20"/>
      <c r="U44" s="20"/>
      <c r="V44" s="20"/>
      <c r="W44" s="20"/>
      <c r="X44" s="20"/>
      <c r="Y44" s="20"/>
      <c r="Z44" s="20"/>
    </row>
    <row r="45" spans="1:26" ht="17.25" customHeight="1">
      <c r="B45" s="15"/>
      <c r="C45" s="15"/>
      <c r="D45" s="15"/>
      <c r="E45" s="47"/>
      <c r="F45" s="47"/>
      <c r="G45" s="93"/>
      <c r="H45" s="203"/>
      <c r="I45" s="20"/>
      <c r="J45" s="20"/>
      <c r="K45" s="20"/>
      <c r="L45" s="20"/>
      <c r="M45" s="20"/>
      <c r="N45" s="20"/>
      <c r="O45" s="20"/>
      <c r="P45" s="20"/>
      <c r="Q45" s="20"/>
      <c r="R45" s="20"/>
      <c r="S45" s="20"/>
      <c r="T45" s="20"/>
      <c r="U45" s="20"/>
      <c r="V45" s="20"/>
      <c r="W45" s="20"/>
      <c r="X45" s="20"/>
      <c r="Y45" s="20"/>
      <c r="Z45" s="20"/>
    </row>
    <row r="46" spans="1:26" ht="17.25" customHeight="1">
      <c r="B46" s="15"/>
      <c r="C46" s="15"/>
      <c r="D46" s="15"/>
      <c r="E46" s="47"/>
      <c r="F46" s="47"/>
      <c r="G46" s="93"/>
      <c r="H46" s="20"/>
      <c r="I46" s="20"/>
      <c r="J46" s="20"/>
      <c r="K46" s="20"/>
      <c r="L46" s="20"/>
      <c r="M46" s="20"/>
      <c r="N46" s="20"/>
      <c r="O46" s="20"/>
      <c r="P46" s="20"/>
      <c r="Q46" s="20"/>
      <c r="R46" s="20"/>
      <c r="S46" s="20"/>
      <c r="T46" s="20"/>
      <c r="U46" s="20"/>
      <c r="V46" s="20"/>
      <c r="W46" s="20"/>
      <c r="X46" s="20"/>
      <c r="Y46" s="20"/>
      <c r="Z46" s="20"/>
    </row>
    <row r="47" spans="1:26" ht="17.25" customHeight="1">
      <c r="B47" s="15"/>
      <c r="C47" s="15"/>
      <c r="D47" s="15"/>
      <c r="E47" s="47"/>
      <c r="F47" s="47"/>
      <c r="G47" s="93"/>
      <c r="H47" s="20"/>
      <c r="I47" s="20"/>
      <c r="J47" s="20"/>
      <c r="K47" s="20"/>
      <c r="L47" s="20"/>
      <c r="M47" s="20"/>
      <c r="N47" s="20"/>
      <c r="O47" s="20"/>
      <c r="P47" s="20"/>
      <c r="Q47" s="20"/>
      <c r="R47" s="20"/>
      <c r="S47" s="20"/>
      <c r="T47" s="20"/>
      <c r="U47" s="20"/>
      <c r="V47" s="20"/>
      <c r="W47" s="20"/>
      <c r="X47" s="20"/>
      <c r="Y47" s="20"/>
      <c r="Z47" s="20"/>
    </row>
    <row r="48" spans="1:26" ht="17.25" customHeight="1">
      <c r="B48" s="15"/>
      <c r="C48" s="15"/>
      <c r="D48" s="15"/>
      <c r="E48" s="47"/>
      <c r="F48" s="47"/>
      <c r="G48" s="93"/>
      <c r="H48" s="20"/>
      <c r="I48" s="20"/>
      <c r="J48" s="20"/>
      <c r="K48" s="20"/>
      <c r="L48" s="20"/>
      <c r="M48" s="20"/>
      <c r="N48" s="20"/>
      <c r="O48" s="20"/>
      <c r="P48" s="20"/>
      <c r="Q48" s="20"/>
      <c r="R48" s="20"/>
      <c r="S48" s="20"/>
      <c r="T48" s="20"/>
      <c r="U48" s="20"/>
      <c r="V48" s="20"/>
      <c r="W48" s="20"/>
      <c r="X48" s="20"/>
      <c r="Y48" s="20"/>
      <c r="Z48" s="20"/>
    </row>
    <row r="49" spans="2:26" ht="17.25" customHeight="1">
      <c r="B49" s="15"/>
      <c r="C49" s="15"/>
      <c r="D49" s="15"/>
      <c r="E49" s="47"/>
      <c r="F49" s="47"/>
      <c r="G49" s="93"/>
      <c r="H49" s="20"/>
      <c r="I49" s="20"/>
      <c r="J49" s="20"/>
      <c r="K49" s="20"/>
      <c r="L49" s="20"/>
      <c r="M49" s="20"/>
      <c r="N49" s="20"/>
      <c r="O49" s="20"/>
      <c r="P49" s="20"/>
      <c r="Q49" s="20"/>
      <c r="R49" s="20"/>
      <c r="S49" s="20"/>
      <c r="T49" s="20"/>
      <c r="U49" s="20"/>
      <c r="V49" s="20"/>
      <c r="W49" s="20"/>
      <c r="X49" s="20"/>
      <c r="Y49" s="20"/>
      <c r="Z49" s="20"/>
    </row>
    <row r="50" spans="2:26" ht="17.25" customHeight="1">
      <c r="B50" s="15"/>
      <c r="C50" s="15"/>
      <c r="D50" s="15"/>
      <c r="E50" s="47"/>
      <c r="F50" s="47"/>
      <c r="G50" s="93"/>
      <c r="H50" s="20"/>
      <c r="I50" s="20"/>
      <c r="J50" s="20"/>
      <c r="K50" s="20"/>
      <c r="L50" s="20"/>
      <c r="M50" s="20"/>
      <c r="N50" s="20"/>
      <c r="O50" s="20"/>
      <c r="P50" s="20"/>
      <c r="Q50" s="20"/>
      <c r="R50" s="20"/>
      <c r="S50" s="20"/>
      <c r="T50" s="20"/>
      <c r="U50" s="20"/>
      <c r="V50" s="20"/>
      <c r="W50" s="20"/>
      <c r="X50" s="20"/>
      <c r="Y50" s="20"/>
      <c r="Z50" s="20"/>
    </row>
    <row r="51" spans="2:26" ht="17.25" customHeight="1">
      <c r="B51" s="15"/>
      <c r="C51" s="15"/>
      <c r="D51" s="15"/>
      <c r="E51" s="47"/>
      <c r="F51" s="47"/>
      <c r="G51" s="93"/>
      <c r="H51" s="20"/>
      <c r="I51" s="20"/>
      <c r="J51" s="20"/>
      <c r="K51" s="20"/>
      <c r="L51" s="20"/>
      <c r="M51" s="20"/>
      <c r="N51" s="20"/>
      <c r="O51" s="20"/>
      <c r="P51" s="20"/>
      <c r="Q51" s="20"/>
      <c r="R51" s="20"/>
      <c r="S51" s="20"/>
      <c r="T51" s="20"/>
      <c r="U51" s="20"/>
      <c r="V51" s="20"/>
      <c r="W51" s="20"/>
      <c r="X51" s="20"/>
      <c r="Y51" s="20"/>
      <c r="Z51" s="20"/>
    </row>
    <row r="52" spans="2:26" ht="17.25" customHeight="1">
      <c r="B52" s="15"/>
      <c r="C52" s="15"/>
      <c r="D52" s="15"/>
      <c r="E52" s="47"/>
      <c r="F52" s="47"/>
      <c r="G52" s="93"/>
      <c r="H52" s="20"/>
      <c r="I52" s="20"/>
      <c r="J52" s="20"/>
      <c r="K52" s="20"/>
      <c r="L52" s="20"/>
      <c r="M52" s="20"/>
      <c r="N52" s="20"/>
      <c r="O52" s="20"/>
      <c r="P52" s="20"/>
      <c r="Q52" s="20"/>
      <c r="R52" s="20"/>
      <c r="S52" s="20"/>
      <c r="T52" s="20"/>
      <c r="U52" s="20"/>
      <c r="V52" s="20"/>
      <c r="W52" s="20"/>
      <c r="X52" s="20"/>
      <c r="Y52" s="20"/>
      <c r="Z52" s="20"/>
    </row>
    <row r="53" spans="2:26" ht="17.25" customHeight="1">
      <c r="B53" s="15"/>
      <c r="C53" s="15"/>
      <c r="D53" s="15"/>
      <c r="E53" s="47"/>
      <c r="F53" s="47"/>
      <c r="G53" s="93"/>
      <c r="H53" s="20"/>
      <c r="I53" s="20"/>
      <c r="J53" s="20"/>
      <c r="K53" s="20"/>
      <c r="L53" s="20"/>
      <c r="M53" s="20"/>
      <c r="N53" s="20"/>
      <c r="O53" s="20"/>
      <c r="P53" s="20"/>
      <c r="Q53" s="20"/>
      <c r="R53" s="20"/>
      <c r="S53" s="20"/>
      <c r="T53" s="20"/>
      <c r="U53" s="20"/>
      <c r="V53" s="20"/>
      <c r="W53" s="20"/>
      <c r="X53" s="20"/>
      <c r="Y53" s="20"/>
      <c r="Z53" s="20"/>
    </row>
    <row r="54" spans="2:26" ht="17.25" customHeight="1">
      <c r="B54" s="15"/>
      <c r="C54" s="15"/>
      <c r="D54" s="15"/>
      <c r="E54" s="47"/>
      <c r="F54" s="47"/>
      <c r="G54" s="93"/>
      <c r="H54" s="20"/>
      <c r="I54" s="20"/>
      <c r="J54" s="20"/>
      <c r="K54" s="20"/>
      <c r="L54" s="20"/>
      <c r="M54" s="20"/>
      <c r="N54" s="20"/>
      <c r="O54" s="20"/>
      <c r="P54" s="20"/>
      <c r="Q54" s="20"/>
      <c r="R54" s="20"/>
      <c r="S54" s="20"/>
      <c r="T54" s="20"/>
      <c r="U54" s="20"/>
      <c r="V54" s="20"/>
      <c r="W54" s="20"/>
      <c r="X54" s="20"/>
      <c r="Y54" s="20"/>
      <c r="Z54" s="20"/>
    </row>
    <row r="55" spans="2:26" ht="17.25" customHeight="1">
      <c r="B55" s="15"/>
      <c r="C55" s="15"/>
      <c r="D55" s="15"/>
      <c r="E55" s="47"/>
      <c r="F55" s="47"/>
      <c r="G55" s="93"/>
      <c r="H55" s="20"/>
      <c r="I55" s="20"/>
      <c r="J55" s="20"/>
      <c r="K55" s="20"/>
      <c r="L55" s="20"/>
      <c r="M55" s="20"/>
      <c r="N55" s="20"/>
      <c r="O55" s="20"/>
      <c r="P55" s="20"/>
      <c r="Q55" s="20"/>
      <c r="R55" s="20"/>
      <c r="S55" s="20"/>
      <c r="T55" s="20"/>
      <c r="U55" s="20"/>
      <c r="V55" s="20"/>
      <c r="W55" s="20"/>
      <c r="X55" s="20"/>
      <c r="Y55" s="20"/>
      <c r="Z55" s="20"/>
    </row>
    <row r="56" spans="2:26" ht="17.25" customHeight="1">
      <c r="B56" s="15"/>
      <c r="C56" s="15"/>
      <c r="D56" s="15"/>
      <c r="E56" s="47"/>
      <c r="F56" s="47"/>
      <c r="G56" s="93"/>
      <c r="H56" s="20"/>
      <c r="I56" s="20"/>
      <c r="J56" s="20"/>
      <c r="K56" s="20"/>
      <c r="L56" s="20"/>
      <c r="M56" s="20"/>
      <c r="N56" s="20"/>
      <c r="O56" s="20"/>
      <c r="P56" s="20"/>
      <c r="Q56" s="20"/>
      <c r="R56" s="20"/>
      <c r="S56" s="20"/>
      <c r="T56" s="20"/>
      <c r="U56" s="20"/>
      <c r="V56" s="20"/>
      <c r="W56" s="20"/>
      <c r="X56" s="20"/>
      <c r="Y56" s="20"/>
      <c r="Z56" s="20"/>
    </row>
    <row r="57" spans="2:26" ht="17.25" customHeight="1">
      <c r="B57" s="15"/>
      <c r="C57" s="15"/>
      <c r="D57" s="15"/>
      <c r="E57" s="47"/>
      <c r="F57" s="47"/>
      <c r="G57" s="93"/>
      <c r="H57" s="20"/>
      <c r="I57" s="20"/>
      <c r="J57" s="20"/>
      <c r="K57" s="20"/>
      <c r="L57" s="20"/>
      <c r="M57" s="20"/>
      <c r="N57" s="20"/>
      <c r="O57" s="20"/>
      <c r="P57" s="20"/>
      <c r="Q57" s="20"/>
      <c r="R57" s="20"/>
      <c r="S57" s="20"/>
      <c r="T57" s="20"/>
      <c r="U57" s="20"/>
      <c r="V57" s="20"/>
      <c r="W57" s="20"/>
      <c r="X57" s="20"/>
      <c r="Y57" s="20"/>
      <c r="Z57" s="20"/>
    </row>
    <row r="58" spans="2:26" ht="17.25" customHeight="1">
      <c r="B58" s="15"/>
      <c r="C58" s="15"/>
      <c r="D58" s="15"/>
      <c r="E58" s="47"/>
      <c r="F58" s="47"/>
      <c r="G58" s="93"/>
      <c r="H58" s="20"/>
      <c r="I58" s="20"/>
      <c r="J58" s="20"/>
      <c r="K58" s="20"/>
      <c r="L58" s="20"/>
      <c r="M58" s="20"/>
      <c r="N58" s="20"/>
      <c r="O58" s="20"/>
      <c r="P58" s="20"/>
      <c r="Q58" s="20"/>
      <c r="R58" s="20"/>
      <c r="S58" s="20"/>
      <c r="T58" s="20"/>
      <c r="U58" s="20"/>
      <c r="V58" s="20"/>
      <c r="W58" s="20"/>
      <c r="X58" s="20"/>
      <c r="Y58" s="20"/>
      <c r="Z58" s="20"/>
    </row>
    <row r="59" spans="2:26" ht="17.25" customHeight="1">
      <c r="B59" s="15"/>
      <c r="C59" s="15"/>
      <c r="D59" s="15"/>
      <c r="E59" s="47"/>
      <c r="F59" s="47"/>
      <c r="G59" s="93"/>
      <c r="H59" s="20"/>
      <c r="I59" s="20"/>
      <c r="J59" s="20"/>
      <c r="K59" s="20"/>
      <c r="L59" s="20"/>
      <c r="M59" s="20"/>
      <c r="N59" s="20"/>
      <c r="O59" s="20"/>
      <c r="P59" s="20"/>
      <c r="Q59" s="20"/>
      <c r="R59" s="20"/>
      <c r="S59" s="20"/>
      <c r="T59" s="20"/>
      <c r="U59" s="20"/>
      <c r="V59" s="20"/>
      <c r="W59" s="20"/>
      <c r="X59" s="20"/>
      <c r="Y59" s="20"/>
      <c r="Z59" s="20"/>
    </row>
    <row r="60" spans="2:26" ht="17.25" customHeight="1">
      <c r="B60" s="15"/>
      <c r="C60" s="15"/>
      <c r="D60" s="15"/>
      <c r="E60" s="47"/>
      <c r="F60" s="47"/>
      <c r="G60" s="93"/>
      <c r="H60" s="20"/>
      <c r="I60" s="20"/>
      <c r="J60" s="20"/>
      <c r="K60" s="20"/>
      <c r="L60" s="20"/>
      <c r="M60" s="20"/>
      <c r="N60" s="20"/>
      <c r="O60" s="20"/>
      <c r="P60" s="20"/>
      <c r="Q60" s="20"/>
      <c r="R60" s="20"/>
      <c r="S60" s="20"/>
      <c r="T60" s="20"/>
      <c r="U60" s="20"/>
      <c r="V60" s="20"/>
      <c r="W60" s="20"/>
      <c r="X60" s="20"/>
      <c r="Y60" s="20"/>
      <c r="Z60" s="20"/>
    </row>
    <row r="61" spans="2:26" ht="17.25" customHeight="1">
      <c r="B61" s="15"/>
      <c r="C61" s="15"/>
      <c r="D61" s="15"/>
      <c r="E61" s="47"/>
      <c r="F61" s="47"/>
      <c r="G61" s="93"/>
      <c r="H61" s="20"/>
      <c r="I61" s="20"/>
      <c r="J61" s="20"/>
      <c r="K61" s="20"/>
      <c r="L61" s="20"/>
      <c r="M61" s="20"/>
      <c r="N61" s="20"/>
      <c r="O61" s="20"/>
      <c r="P61" s="20"/>
      <c r="Q61" s="20"/>
      <c r="R61" s="20"/>
      <c r="S61" s="20"/>
      <c r="T61" s="20"/>
      <c r="U61" s="20"/>
      <c r="V61" s="20"/>
      <c r="W61" s="20"/>
      <c r="X61" s="20"/>
      <c r="Y61" s="20"/>
      <c r="Z61" s="20"/>
    </row>
    <row r="62" spans="2:26" ht="17.25" customHeight="1">
      <c r="B62" s="15"/>
      <c r="C62" s="15"/>
      <c r="D62" s="15"/>
      <c r="E62" s="47"/>
      <c r="F62" s="47"/>
      <c r="G62" s="93"/>
      <c r="H62" s="20"/>
      <c r="I62" s="20"/>
      <c r="J62" s="20"/>
      <c r="K62" s="20"/>
      <c r="L62" s="20"/>
      <c r="M62" s="20"/>
      <c r="N62" s="20"/>
      <c r="O62" s="20"/>
      <c r="P62" s="20"/>
      <c r="Q62" s="20"/>
      <c r="R62" s="20"/>
      <c r="S62" s="20"/>
      <c r="T62" s="20"/>
      <c r="U62" s="20"/>
      <c r="V62" s="20"/>
      <c r="W62" s="20"/>
      <c r="X62" s="20"/>
      <c r="Y62" s="20"/>
      <c r="Z62" s="20"/>
    </row>
    <row r="63" spans="2:26" ht="17.25" customHeight="1">
      <c r="B63" s="15"/>
      <c r="C63" s="15"/>
      <c r="D63" s="15"/>
      <c r="E63" s="47"/>
      <c r="F63" s="47"/>
      <c r="G63" s="93"/>
      <c r="H63" s="20"/>
      <c r="I63" s="20"/>
      <c r="J63" s="20"/>
      <c r="K63" s="20"/>
      <c r="L63" s="20"/>
      <c r="M63" s="20"/>
      <c r="N63" s="20"/>
      <c r="O63" s="20"/>
      <c r="P63" s="20"/>
      <c r="Q63" s="20"/>
      <c r="R63" s="20"/>
      <c r="S63" s="20"/>
      <c r="T63" s="20"/>
      <c r="U63" s="20"/>
      <c r="V63" s="20"/>
      <c r="W63" s="20"/>
      <c r="X63" s="20"/>
      <c r="Y63" s="20"/>
      <c r="Z63" s="20"/>
    </row>
    <row r="64" spans="2:26" ht="17.25" customHeight="1">
      <c r="B64" s="15"/>
      <c r="C64" s="15"/>
      <c r="D64" s="15"/>
      <c r="E64" s="47"/>
      <c r="F64" s="47"/>
      <c r="G64" s="93"/>
      <c r="H64" s="20"/>
      <c r="I64" s="20"/>
      <c r="J64" s="20"/>
      <c r="K64" s="20"/>
      <c r="L64" s="20"/>
      <c r="M64" s="20"/>
      <c r="N64" s="20"/>
      <c r="O64" s="20"/>
      <c r="P64" s="20"/>
      <c r="Q64" s="20"/>
      <c r="R64" s="20"/>
      <c r="S64" s="20"/>
      <c r="T64" s="20"/>
      <c r="U64" s="20"/>
      <c r="V64" s="20"/>
      <c r="W64" s="20"/>
      <c r="X64" s="20"/>
      <c r="Y64" s="20"/>
      <c r="Z64" s="20"/>
    </row>
    <row r="65" spans="2:26" ht="17.25" customHeight="1">
      <c r="B65" s="15"/>
      <c r="C65" s="15"/>
      <c r="D65" s="15"/>
      <c r="E65" s="47"/>
      <c r="F65" s="47"/>
      <c r="G65" s="93"/>
      <c r="H65" s="20"/>
      <c r="I65" s="20"/>
      <c r="J65" s="20"/>
      <c r="K65" s="20"/>
      <c r="L65" s="20"/>
      <c r="M65" s="20"/>
      <c r="N65" s="20"/>
      <c r="O65" s="20"/>
      <c r="P65" s="20"/>
      <c r="Q65" s="20"/>
      <c r="R65" s="20"/>
      <c r="S65" s="20"/>
      <c r="T65" s="20"/>
      <c r="U65" s="20"/>
      <c r="V65" s="20"/>
      <c r="W65" s="20"/>
      <c r="X65" s="20"/>
      <c r="Y65" s="20"/>
      <c r="Z65" s="20"/>
    </row>
    <row r="66" spans="2:26" ht="17.25" customHeight="1">
      <c r="B66" s="15"/>
      <c r="C66" s="15"/>
      <c r="D66" s="15"/>
      <c r="E66" s="47"/>
      <c r="F66" s="47"/>
      <c r="G66" s="93"/>
      <c r="H66" s="20"/>
      <c r="I66" s="20"/>
      <c r="J66" s="20"/>
      <c r="K66" s="20"/>
      <c r="L66" s="20"/>
      <c r="M66" s="20"/>
      <c r="N66" s="20"/>
      <c r="O66" s="20"/>
      <c r="P66" s="20"/>
      <c r="Q66" s="20"/>
      <c r="R66" s="20"/>
      <c r="S66" s="20"/>
      <c r="T66" s="20"/>
      <c r="U66" s="20"/>
      <c r="V66" s="20"/>
      <c r="W66" s="20"/>
      <c r="X66" s="20"/>
      <c r="Y66" s="20"/>
      <c r="Z66" s="20"/>
    </row>
    <row r="67" spans="2:26" ht="17.25" customHeight="1">
      <c r="B67" s="15"/>
      <c r="C67" s="15"/>
      <c r="D67" s="15"/>
      <c r="E67" s="47"/>
      <c r="F67" s="47"/>
      <c r="G67" s="93"/>
      <c r="H67" s="20"/>
      <c r="I67" s="20"/>
      <c r="J67" s="20"/>
      <c r="K67" s="20"/>
      <c r="L67" s="20"/>
      <c r="M67" s="20"/>
      <c r="N67" s="20"/>
      <c r="O67" s="20"/>
      <c r="P67" s="20"/>
      <c r="Q67" s="20"/>
      <c r="R67" s="20"/>
      <c r="S67" s="20"/>
      <c r="T67" s="20"/>
      <c r="U67" s="20"/>
      <c r="V67" s="20"/>
      <c r="W67" s="20"/>
      <c r="X67" s="20"/>
      <c r="Y67" s="20"/>
      <c r="Z67" s="20"/>
    </row>
    <row r="68" spans="2:26" ht="17.25" customHeight="1">
      <c r="C68" s="15"/>
      <c r="G68" s="47"/>
      <c r="H68" s="20"/>
      <c r="I68" s="20"/>
      <c r="J68" s="20"/>
      <c r="K68" s="20"/>
      <c r="L68" s="20"/>
      <c r="M68" s="20"/>
      <c r="N68" s="20"/>
      <c r="O68" s="20"/>
      <c r="P68" s="20"/>
      <c r="Q68" s="20"/>
      <c r="R68" s="20"/>
      <c r="S68" s="20"/>
      <c r="T68" s="20"/>
      <c r="U68" s="20"/>
      <c r="V68" s="20"/>
      <c r="W68" s="20"/>
      <c r="X68" s="20"/>
      <c r="Y68" s="20"/>
      <c r="Z68" s="20"/>
    </row>
    <row r="69" spans="2:26" ht="17.25" customHeight="1">
      <c r="C69" s="15"/>
      <c r="G69" s="47"/>
      <c r="H69" s="20"/>
      <c r="I69" s="20"/>
      <c r="J69" s="20"/>
      <c r="K69" s="20"/>
      <c r="L69" s="20"/>
      <c r="M69" s="20"/>
      <c r="N69" s="20"/>
      <c r="O69" s="20"/>
      <c r="P69" s="20"/>
      <c r="Q69" s="20"/>
      <c r="R69" s="20"/>
      <c r="S69" s="20"/>
      <c r="T69" s="20"/>
      <c r="U69" s="20"/>
      <c r="V69" s="20"/>
      <c r="W69" s="20"/>
      <c r="X69" s="20"/>
      <c r="Y69" s="20"/>
      <c r="Z69" s="20"/>
    </row>
    <row r="70" spans="2:26" ht="17.25" customHeight="1">
      <c r="C70" s="15"/>
      <c r="G70" s="47"/>
      <c r="H70" s="20"/>
      <c r="I70" s="20"/>
      <c r="J70" s="20"/>
      <c r="K70" s="20"/>
      <c r="L70" s="20"/>
      <c r="M70" s="20"/>
      <c r="N70" s="20"/>
      <c r="O70" s="20"/>
      <c r="P70" s="20"/>
      <c r="Q70" s="20"/>
      <c r="R70" s="20"/>
      <c r="S70" s="20"/>
      <c r="T70" s="20"/>
      <c r="U70" s="20"/>
      <c r="V70" s="20"/>
      <c r="W70" s="20"/>
      <c r="X70" s="20"/>
      <c r="Y70" s="20"/>
      <c r="Z70" s="20"/>
    </row>
    <row r="71" spans="2:26" ht="17.25" customHeight="1">
      <c r="C71" s="15"/>
      <c r="G71" s="47"/>
      <c r="H71" s="20"/>
      <c r="I71" s="20"/>
      <c r="J71" s="20"/>
      <c r="K71" s="20"/>
      <c r="L71" s="20"/>
      <c r="M71" s="20"/>
      <c r="N71" s="20"/>
      <c r="O71" s="20"/>
      <c r="P71" s="20"/>
      <c r="Q71" s="20"/>
      <c r="R71" s="20"/>
      <c r="S71" s="20"/>
      <c r="T71" s="20"/>
      <c r="U71" s="20"/>
      <c r="V71" s="20"/>
      <c r="W71" s="20"/>
      <c r="X71" s="20"/>
      <c r="Y71" s="20"/>
      <c r="Z71" s="20"/>
    </row>
    <row r="72" spans="2:26" ht="17.25" customHeight="1">
      <c r="C72" s="15"/>
      <c r="G72" s="47"/>
      <c r="H72" s="20"/>
      <c r="I72" s="20"/>
      <c r="J72" s="20"/>
      <c r="K72" s="20"/>
      <c r="L72" s="20"/>
      <c r="M72" s="20"/>
      <c r="N72" s="20"/>
      <c r="O72" s="20"/>
      <c r="P72" s="20"/>
      <c r="Q72" s="20"/>
      <c r="R72" s="20"/>
      <c r="S72" s="20"/>
      <c r="T72" s="20"/>
      <c r="U72" s="20"/>
      <c r="V72" s="20"/>
      <c r="W72" s="20"/>
      <c r="X72" s="20"/>
      <c r="Y72" s="20"/>
      <c r="Z72" s="20"/>
    </row>
    <row r="73" spans="2:26" ht="17.25" customHeight="1">
      <c r="C73" s="15"/>
      <c r="G73" s="47"/>
      <c r="H73" s="20"/>
      <c r="I73" s="20"/>
      <c r="J73" s="20"/>
      <c r="K73" s="20"/>
      <c r="L73" s="20"/>
      <c r="M73" s="20"/>
      <c r="N73" s="20"/>
      <c r="O73" s="20"/>
      <c r="P73" s="20"/>
      <c r="Q73" s="20"/>
      <c r="R73" s="20"/>
      <c r="S73" s="20"/>
      <c r="T73" s="20"/>
      <c r="U73" s="20"/>
      <c r="V73" s="20"/>
      <c r="W73" s="20"/>
      <c r="X73" s="20"/>
      <c r="Y73" s="20"/>
      <c r="Z73" s="20"/>
    </row>
    <row r="74" spans="2:26" ht="17.25" customHeight="1">
      <c r="C74" s="15"/>
      <c r="G74" s="47"/>
      <c r="H74" s="20"/>
      <c r="I74" s="20"/>
      <c r="J74" s="20"/>
      <c r="K74" s="20"/>
      <c r="L74" s="20"/>
      <c r="M74" s="20"/>
      <c r="N74" s="20"/>
      <c r="O74" s="20"/>
      <c r="P74" s="20"/>
      <c r="Q74" s="20"/>
      <c r="R74" s="20"/>
      <c r="S74" s="20"/>
      <c r="T74" s="20"/>
      <c r="U74" s="20"/>
      <c r="V74" s="20"/>
      <c r="W74" s="20"/>
      <c r="X74" s="20"/>
      <c r="Y74" s="20"/>
      <c r="Z74" s="20"/>
    </row>
    <row r="75" spans="2:26" ht="17.25" customHeight="1">
      <c r="C75" s="15"/>
      <c r="G75" s="47"/>
      <c r="H75" s="20"/>
      <c r="I75" s="20"/>
      <c r="J75" s="20"/>
      <c r="K75" s="20"/>
      <c r="L75" s="20"/>
      <c r="M75" s="20"/>
      <c r="N75" s="20"/>
      <c r="O75" s="20"/>
      <c r="P75" s="20"/>
      <c r="Q75" s="20"/>
      <c r="R75" s="20"/>
      <c r="S75" s="20"/>
      <c r="T75" s="20"/>
      <c r="U75" s="20"/>
      <c r="V75" s="20"/>
      <c r="W75" s="20"/>
      <c r="X75" s="20"/>
      <c r="Y75" s="20"/>
      <c r="Z75" s="20"/>
    </row>
    <row r="76" spans="2:26" ht="17.25" customHeight="1">
      <c r="C76" s="15"/>
      <c r="G76" s="47"/>
      <c r="H76" s="20"/>
      <c r="I76" s="20"/>
      <c r="J76" s="20"/>
      <c r="K76" s="20"/>
      <c r="L76" s="20"/>
      <c r="M76" s="20"/>
      <c r="N76" s="20"/>
      <c r="O76" s="20"/>
      <c r="P76" s="20"/>
      <c r="Q76" s="20"/>
      <c r="R76" s="20"/>
      <c r="S76" s="20"/>
      <c r="T76" s="20"/>
      <c r="U76" s="20"/>
      <c r="V76" s="20"/>
      <c r="W76" s="20"/>
      <c r="X76" s="20"/>
      <c r="Y76" s="20"/>
      <c r="Z76" s="20"/>
    </row>
    <row r="77" spans="2:26" ht="17.25" customHeight="1">
      <c r="C77" s="15"/>
      <c r="G77" s="47"/>
      <c r="H77" s="20"/>
      <c r="I77" s="20"/>
      <c r="J77" s="20"/>
      <c r="K77" s="20"/>
      <c r="L77" s="20"/>
      <c r="M77" s="20"/>
      <c r="N77" s="20"/>
      <c r="O77" s="20"/>
      <c r="P77" s="20"/>
      <c r="Q77" s="20"/>
      <c r="R77" s="20"/>
      <c r="S77" s="20"/>
      <c r="T77" s="20"/>
      <c r="U77" s="20"/>
      <c r="V77" s="20"/>
      <c r="W77" s="20"/>
      <c r="X77" s="20"/>
      <c r="Y77" s="20"/>
      <c r="Z77" s="20"/>
    </row>
    <row r="78" spans="2:26" ht="17.25" customHeight="1">
      <c r="C78" s="15"/>
      <c r="G78" s="47"/>
      <c r="H78" s="20"/>
      <c r="I78" s="20"/>
      <c r="J78" s="20"/>
      <c r="K78" s="20"/>
      <c r="L78" s="20"/>
      <c r="M78" s="20"/>
      <c r="N78" s="20"/>
      <c r="O78" s="20"/>
      <c r="P78" s="20"/>
      <c r="Q78" s="20"/>
      <c r="R78" s="20"/>
      <c r="S78" s="20"/>
      <c r="T78" s="20"/>
      <c r="U78" s="20"/>
      <c r="V78" s="20"/>
      <c r="W78" s="20"/>
      <c r="X78" s="20"/>
      <c r="Y78" s="20"/>
      <c r="Z78" s="20"/>
    </row>
    <row r="79" spans="2:26" ht="17.25" customHeight="1">
      <c r="C79" s="15"/>
      <c r="G79" s="47"/>
      <c r="H79" s="20"/>
      <c r="I79" s="20"/>
      <c r="J79" s="20"/>
      <c r="K79" s="20"/>
      <c r="L79" s="20"/>
      <c r="M79" s="20"/>
      <c r="N79" s="20"/>
      <c r="O79" s="20"/>
      <c r="P79" s="20"/>
      <c r="Q79" s="20"/>
      <c r="R79" s="20"/>
      <c r="S79" s="20"/>
      <c r="T79" s="20"/>
      <c r="U79" s="20"/>
      <c r="V79" s="20"/>
      <c r="W79" s="20"/>
      <c r="X79" s="20"/>
      <c r="Y79" s="20"/>
      <c r="Z79" s="20"/>
    </row>
    <row r="80" spans="2:26" ht="17.25" customHeight="1">
      <c r="C80" s="15"/>
      <c r="G80" s="47"/>
      <c r="H80" s="20"/>
      <c r="I80" s="20"/>
      <c r="J80" s="20"/>
      <c r="K80" s="20"/>
      <c r="L80" s="20"/>
      <c r="M80" s="20"/>
      <c r="N80" s="20"/>
      <c r="O80" s="20"/>
      <c r="P80" s="20"/>
      <c r="Q80" s="20"/>
      <c r="R80" s="20"/>
      <c r="S80" s="20"/>
      <c r="T80" s="20"/>
      <c r="U80" s="20"/>
      <c r="V80" s="20"/>
      <c r="W80" s="20"/>
      <c r="X80" s="20"/>
      <c r="Y80" s="20"/>
      <c r="Z80" s="20"/>
    </row>
    <row r="81" spans="3:26" ht="17.25" customHeight="1">
      <c r="C81" s="15"/>
      <c r="G81" s="47"/>
      <c r="H81" s="20"/>
      <c r="I81" s="20"/>
      <c r="J81" s="20"/>
      <c r="K81" s="20"/>
      <c r="L81" s="20"/>
      <c r="M81" s="20"/>
      <c r="N81" s="20"/>
      <c r="O81" s="20"/>
      <c r="P81" s="20"/>
      <c r="Q81" s="20"/>
      <c r="R81" s="20"/>
      <c r="S81" s="20"/>
      <c r="T81" s="20"/>
      <c r="U81" s="20"/>
      <c r="V81" s="20"/>
      <c r="W81" s="20"/>
      <c r="X81" s="20"/>
      <c r="Y81" s="20"/>
      <c r="Z81" s="20"/>
    </row>
    <row r="82" spans="3:26" ht="17.25" customHeight="1">
      <c r="C82" s="15"/>
      <c r="G82" s="47"/>
      <c r="H82" s="20"/>
      <c r="I82" s="20"/>
      <c r="J82" s="20"/>
      <c r="K82" s="20"/>
      <c r="L82" s="20"/>
      <c r="M82" s="20"/>
      <c r="N82" s="20"/>
      <c r="O82" s="20"/>
      <c r="P82" s="20"/>
      <c r="Q82" s="20"/>
      <c r="R82" s="20"/>
      <c r="S82" s="20"/>
      <c r="T82" s="20"/>
      <c r="U82" s="20"/>
      <c r="V82" s="20"/>
      <c r="W82" s="20"/>
      <c r="X82" s="20"/>
      <c r="Y82" s="20"/>
      <c r="Z82" s="20"/>
    </row>
    <row r="83" spans="3:26" ht="17.25" customHeight="1">
      <c r="C83" s="15"/>
      <c r="G83" s="47"/>
      <c r="H83" s="20"/>
      <c r="I83" s="20"/>
      <c r="J83" s="20"/>
      <c r="K83" s="20"/>
      <c r="L83" s="20"/>
      <c r="M83" s="20"/>
      <c r="N83" s="20"/>
      <c r="O83" s="20"/>
      <c r="P83" s="20"/>
      <c r="Q83" s="20"/>
      <c r="R83" s="20"/>
      <c r="S83" s="20"/>
      <c r="T83" s="20"/>
      <c r="U83" s="20"/>
      <c r="V83" s="20"/>
      <c r="W83" s="20"/>
      <c r="X83" s="20"/>
      <c r="Y83" s="20"/>
      <c r="Z83" s="20"/>
    </row>
    <row r="84" spans="3:26" ht="17.25" customHeight="1">
      <c r="C84" s="15"/>
      <c r="G84" s="47"/>
      <c r="H84" s="20"/>
      <c r="I84" s="20"/>
      <c r="J84" s="20"/>
      <c r="K84" s="20"/>
      <c r="L84" s="20"/>
      <c r="M84" s="20"/>
      <c r="N84" s="20"/>
      <c r="O84" s="20"/>
      <c r="P84" s="20"/>
      <c r="Q84" s="20"/>
      <c r="R84" s="20"/>
      <c r="S84" s="20"/>
      <c r="T84" s="20"/>
      <c r="U84" s="20"/>
      <c r="V84" s="20"/>
      <c r="W84" s="20"/>
      <c r="X84" s="20"/>
      <c r="Y84" s="20"/>
      <c r="Z84" s="20"/>
    </row>
    <row r="85" spans="3:26" ht="17.25" customHeight="1">
      <c r="C85" s="15"/>
      <c r="G85" s="47"/>
      <c r="H85" s="20"/>
      <c r="I85" s="20"/>
      <c r="J85" s="20"/>
      <c r="K85" s="20"/>
      <c r="L85" s="20"/>
      <c r="M85" s="20"/>
      <c r="N85" s="20"/>
      <c r="O85" s="20"/>
      <c r="P85" s="20"/>
      <c r="Q85" s="20"/>
      <c r="R85" s="20"/>
      <c r="S85" s="20"/>
      <c r="T85" s="20"/>
      <c r="U85" s="20"/>
      <c r="V85" s="20"/>
      <c r="W85" s="20"/>
      <c r="X85" s="20"/>
      <c r="Y85" s="20"/>
      <c r="Z85" s="20"/>
    </row>
    <row r="86" spans="3:26" ht="17.25" customHeight="1">
      <c r="C86" s="15"/>
      <c r="G86" s="47"/>
      <c r="H86" s="20"/>
      <c r="I86" s="20"/>
      <c r="J86" s="20"/>
      <c r="K86" s="20"/>
      <c r="L86" s="20"/>
      <c r="M86" s="20"/>
      <c r="N86" s="20"/>
      <c r="O86" s="20"/>
      <c r="P86" s="20"/>
      <c r="Q86" s="20"/>
      <c r="R86" s="20"/>
      <c r="S86" s="20"/>
      <c r="T86" s="20"/>
      <c r="U86" s="20"/>
      <c r="V86" s="20"/>
      <c r="W86" s="20"/>
      <c r="X86" s="20"/>
      <c r="Y86" s="20"/>
      <c r="Z86" s="20"/>
    </row>
    <row r="87" spans="3:26" ht="17.25" customHeight="1">
      <c r="C87" s="15"/>
      <c r="G87" s="47"/>
      <c r="H87" s="20"/>
      <c r="I87" s="20"/>
      <c r="J87" s="20"/>
      <c r="K87" s="20"/>
      <c r="L87" s="20"/>
      <c r="M87" s="20"/>
      <c r="N87" s="20"/>
      <c r="O87" s="20"/>
      <c r="P87" s="20"/>
      <c r="Q87" s="20"/>
      <c r="R87" s="20"/>
      <c r="S87" s="20"/>
      <c r="T87" s="20"/>
      <c r="U87" s="20"/>
      <c r="V87" s="20"/>
      <c r="W87" s="20"/>
      <c r="X87" s="20"/>
      <c r="Y87" s="20"/>
      <c r="Z87" s="20"/>
    </row>
    <row r="88" spans="3:26" ht="17.25" customHeight="1">
      <c r="C88" s="15"/>
      <c r="G88" s="47"/>
      <c r="H88" s="20"/>
      <c r="I88" s="20"/>
      <c r="J88" s="20"/>
      <c r="K88" s="20"/>
      <c r="L88" s="20"/>
      <c r="M88" s="20"/>
      <c r="N88" s="20"/>
      <c r="O88" s="20"/>
      <c r="P88" s="20"/>
      <c r="Q88" s="20"/>
      <c r="R88" s="20"/>
      <c r="S88" s="20"/>
      <c r="T88" s="20"/>
      <c r="U88" s="20"/>
      <c r="V88" s="20"/>
      <c r="W88" s="20"/>
      <c r="X88" s="20"/>
      <c r="Y88" s="20"/>
      <c r="Z88" s="20"/>
    </row>
    <row r="89" spans="3:26" ht="17.25" customHeight="1">
      <c r="C89" s="15"/>
      <c r="G89" s="47"/>
      <c r="H89" s="20"/>
      <c r="I89" s="20"/>
      <c r="J89" s="20"/>
      <c r="K89" s="20"/>
      <c r="L89" s="20"/>
      <c r="M89" s="20"/>
      <c r="N89" s="20"/>
      <c r="O89" s="20"/>
      <c r="P89" s="20"/>
      <c r="Q89" s="20"/>
      <c r="R89" s="20"/>
      <c r="S89" s="20"/>
      <c r="T89" s="20"/>
      <c r="U89" s="20"/>
      <c r="V89" s="20"/>
      <c r="W89" s="20"/>
      <c r="X89" s="20"/>
      <c r="Y89" s="20"/>
      <c r="Z89" s="20"/>
    </row>
    <row r="90" spans="3:26" ht="17.25" customHeight="1">
      <c r="C90" s="15"/>
      <c r="G90" s="47"/>
      <c r="H90" s="20"/>
      <c r="I90" s="20"/>
      <c r="J90" s="20"/>
      <c r="K90" s="20"/>
      <c r="L90" s="20"/>
      <c r="M90" s="20"/>
      <c r="N90" s="20"/>
      <c r="O90" s="20"/>
      <c r="P90" s="20"/>
      <c r="Q90" s="20"/>
      <c r="R90" s="20"/>
      <c r="S90" s="20"/>
      <c r="T90" s="20"/>
      <c r="U90" s="20"/>
      <c r="V90" s="20"/>
      <c r="W90" s="20"/>
      <c r="X90" s="20"/>
      <c r="Y90" s="20"/>
      <c r="Z90" s="20"/>
    </row>
    <row r="91" spans="3:26" ht="17.25" customHeight="1">
      <c r="C91" s="15"/>
      <c r="G91" s="47"/>
      <c r="H91" s="20"/>
      <c r="I91" s="20"/>
      <c r="J91" s="20"/>
      <c r="K91" s="20"/>
      <c r="L91" s="20"/>
      <c r="M91" s="20"/>
      <c r="N91" s="20"/>
      <c r="O91" s="20"/>
      <c r="P91" s="20"/>
      <c r="Q91" s="20"/>
      <c r="R91" s="20"/>
      <c r="S91" s="20"/>
      <c r="T91" s="20"/>
      <c r="U91" s="20"/>
      <c r="V91" s="20"/>
      <c r="W91" s="20"/>
      <c r="X91" s="20"/>
      <c r="Y91" s="20"/>
      <c r="Z91" s="20"/>
    </row>
    <row r="92" spans="3:26" ht="17.25" customHeight="1">
      <c r="C92" s="15"/>
      <c r="G92" s="47"/>
      <c r="H92" s="20"/>
      <c r="I92" s="20"/>
      <c r="J92" s="20"/>
      <c r="K92" s="20"/>
      <c r="L92" s="20"/>
      <c r="M92" s="20"/>
      <c r="N92" s="20"/>
      <c r="O92" s="20"/>
      <c r="P92" s="20"/>
      <c r="Q92" s="20"/>
      <c r="R92" s="20"/>
      <c r="S92" s="20"/>
      <c r="T92" s="20"/>
      <c r="U92" s="20"/>
      <c r="V92" s="20"/>
      <c r="W92" s="20"/>
      <c r="X92" s="20"/>
      <c r="Y92" s="20"/>
      <c r="Z92" s="20"/>
    </row>
    <row r="93" spans="3:26" ht="17.25" customHeight="1">
      <c r="C93" s="15"/>
      <c r="G93" s="47"/>
      <c r="H93" s="20"/>
      <c r="I93" s="20"/>
      <c r="J93" s="20"/>
      <c r="K93" s="20"/>
      <c r="L93" s="20"/>
      <c r="M93" s="20"/>
      <c r="N93" s="20"/>
      <c r="O93" s="20"/>
      <c r="P93" s="20"/>
      <c r="Q93" s="20"/>
      <c r="R93" s="20"/>
      <c r="S93" s="20"/>
      <c r="T93" s="20"/>
      <c r="U93" s="20"/>
      <c r="V93" s="20"/>
      <c r="W93" s="20"/>
      <c r="X93" s="20"/>
      <c r="Y93" s="20"/>
      <c r="Z93" s="20"/>
    </row>
    <row r="94" spans="3:26" ht="17.25" customHeight="1">
      <c r="C94" s="15"/>
      <c r="G94" s="47"/>
      <c r="H94" s="20"/>
      <c r="I94" s="20"/>
      <c r="J94" s="20"/>
      <c r="K94" s="20"/>
      <c r="L94" s="20"/>
      <c r="M94" s="20"/>
      <c r="N94" s="20"/>
      <c r="O94" s="20"/>
      <c r="P94" s="20"/>
      <c r="Q94" s="20"/>
      <c r="R94" s="20"/>
      <c r="S94" s="20"/>
      <c r="T94" s="20"/>
      <c r="U94" s="20"/>
      <c r="V94" s="20"/>
      <c r="W94" s="20"/>
      <c r="X94" s="20"/>
      <c r="Y94" s="20"/>
      <c r="Z94" s="20"/>
    </row>
    <row r="95" spans="3:26" ht="17.25" customHeight="1">
      <c r="C95" s="15"/>
      <c r="G95" s="47"/>
      <c r="H95" s="20"/>
      <c r="I95" s="20"/>
      <c r="J95" s="20"/>
      <c r="K95" s="20"/>
      <c r="L95" s="20"/>
      <c r="M95" s="20"/>
      <c r="N95" s="20"/>
      <c r="O95" s="20"/>
      <c r="P95" s="20"/>
      <c r="Q95" s="20"/>
      <c r="R95" s="20"/>
      <c r="S95" s="20"/>
      <c r="T95" s="20"/>
      <c r="U95" s="20"/>
      <c r="V95" s="20"/>
      <c r="W95" s="20"/>
      <c r="X95" s="20"/>
      <c r="Y95" s="20"/>
      <c r="Z95" s="20"/>
    </row>
    <row r="96" spans="3:26" ht="17.25" customHeight="1">
      <c r="C96" s="15"/>
      <c r="G96" s="47"/>
      <c r="H96" s="20"/>
      <c r="I96" s="20"/>
      <c r="J96" s="20"/>
      <c r="K96" s="20"/>
      <c r="L96" s="20"/>
      <c r="M96" s="20"/>
      <c r="N96" s="20"/>
      <c r="O96" s="20"/>
      <c r="P96" s="20"/>
      <c r="Q96" s="20"/>
      <c r="R96" s="20"/>
      <c r="S96" s="20"/>
      <c r="T96" s="20"/>
      <c r="U96" s="20"/>
      <c r="V96" s="20"/>
      <c r="W96" s="20"/>
      <c r="X96" s="20"/>
      <c r="Y96" s="20"/>
      <c r="Z96" s="20"/>
    </row>
    <row r="97" spans="3:26" ht="17.25" customHeight="1">
      <c r="C97" s="15"/>
      <c r="G97" s="47"/>
      <c r="H97" s="20"/>
      <c r="I97" s="20"/>
      <c r="J97" s="20"/>
      <c r="K97" s="20"/>
      <c r="L97" s="20"/>
      <c r="M97" s="20"/>
      <c r="N97" s="20"/>
      <c r="O97" s="20"/>
      <c r="P97" s="20"/>
      <c r="Q97" s="20"/>
      <c r="R97" s="20"/>
      <c r="S97" s="20"/>
      <c r="T97" s="20"/>
      <c r="U97" s="20"/>
      <c r="V97" s="20"/>
      <c r="W97" s="20"/>
      <c r="X97" s="20"/>
      <c r="Y97" s="20"/>
      <c r="Z97" s="20"/>
    </row>
    <row r="98" spans="3:26" ht="17.25" customHeight="1">
      <c r="C98" s="15"/>
      <c r="G98" s="47"/>
      <c r="H98" s="20"/>
      <c r="I98" s="20"/>
      <c r="J98" s="20"/>
      <c r="K98" s="20"/>
      <c r="L98" s="20"/>
      <c r="M98" s="20"/>
      <c r="N98" s="20"/>
      <c r="O98" s="20"/>
      <c r="P98" s="20"/>
      <c r="Q98" s="20"/>
      <c r="R98" s="20"/>
      <c r="S98" s="20"/>
      <c r="T98" s="20"/>
      <c r="U98" s="20"/>
      <c r="V98" s="20"/>
      <c r="W98" s="20"/>
      <c r="X98" s="20"/>
      <c r="Y98" s="20"/>
      <c r="Z98" s="20"/>
    </row>
    <row r="99" spans="3:26" ht="17.25" customHeight="1">
      <c r="C99" s="15"/>
      <c r="G99" s="47"/>
      <c r="H99" s="20"/>
      <c r="I99" s="20"/>
      <c r="J99" s="20"/>
      <c r="K99" s="20"/>
      <c r="L99" s="20"/>
      <c r="M99" s="20"/>
      <c r="N99" s="20"/>
      <c r="O99" s="20"/>
      <c r="P99" s="20"/>
      <c r="Q99" s="20"/>
      <c r="R99" s="20"/>
      <c r="S99" s="20"/>
      <c r="T99" s="20"/>
      <c r="U99" s="20"/>
      <c r="V99" s="20"/>
      <c r="W99" s="20"/>
      <c r="X99" s="20"/>
      <c r="Y99" s="20"/>
      <c r="Z99" s="20"/>
    </row>
    <row r="100" spans="3:26" ht="17.25" customHeight="1">
      <c r="C100" s="15"/>
      <c r="G100" s="47"/>
      <c r="H100" s="20"/>
      <c r="I100" s="20"/>
      <c r="J100" s="20"/>
      <c r="K100" s="20"/>
      <c r="L100" s="20"/>
      <c r="M100" s="20"/>
      <c r="N100" s="20"/>
      <c r="O100" s="20"/>
      <c r="P100" s="20"/>
      <c r="Q100" s="20"/>
      <c r="R100" s="20"/>
      <c r="S100" s="20"/>
      <c r="T100" s="20"/>
      <c r="U100" s="20"/>
      <c r="V100" s="20"/>
      <c r="W100" s="20"/>
      <c r="X100" s="20"/>
      <c r="Y100" s="20"/>
      <c r="Z100" s="20"/>
    </row>
    <row r="101" spans="3:26" ht="17.25" customHeight="1">
      <c r="C101" s="15"/>
      <c r="G101" s="47"/>
      <c r="H101" s="20"/>
      <c r="I101" s="20"/>
      <c r="J101" s="20"/>
      <c r="K101" s="20"/>
      <c r="L101" s="20"/>
      <c r="M101" s="20"/>
      <c r="N101" s="20"/>
      <c r="O101" s="20"/>
      <c r="P101" s="20"/>
      <c r="Q101" s="20"/>
      <c r="R101" s="20"/>
      <c r="S101" s="20"/>
      <c r="T101" s="20"/>
      <c r="U101" s="20"/>
      <c r="V101" s="20"/>
      <c r="W101" s="20"/>
      <c r="X101" s="20"/>
      <c r="Y101" s="20"/>
      <c r="Z101" s="20"/>
    </row>
    <row r="102" spans="3:26" ht="17.25" customHeight="1">
      <c r="C102" s="15"/>
      <c r="G102" s="47"/>
      <c r="H102" s="20"/>
      <c r="I102" s="20"/>
      <c r="J102" s="20"/>
      <c r="K102" s="20"/>
      <c r="L102" s="20"/>
      <c r="M102" s="20"/>
      <c r="N102" s="20"/>
      <c r="O102" s="20"/>
      <c r="P102" s="20"/>
      <c r="Q102" s="20"/>
      <c r="R102" s="20"/>
      <c r="S102" s="20"/>
      <c r="T102" s="20"/>
      <c r="U102" s="20"/>
      <c r="V102" s="20"/>
      <c r="W102" s="20"/>
      <c r="X102" s="20"/>
      <c r="Y102" s="20"/>
      <c r="Z102" s="20"/>
    </row>
    <row r="103" spans="3:26" ht="17.25" customHeight="1">
      <c r="C103" s="15"/>
      <c r="G103" s="47"/>
      <c r="H103" s="20"/>
      <c r="I103" s="20"/>
      <c r="J103" s="20"/>
      <c r="K103" s="20"/>
      <c r="L103" s="20"/>
      <c r="M103" s="20"/>
      <c r="N103" s="20"/>
      <c r="O103" s="20"/>
      <c r="P103" s="20"/>
      <c r="Q103" s="20"/>
      <c r="R103" s="20"/>
      <c r="S103" s="20"/>
      <c r="T103" s="20"/>
      <c r="U103" s="20"/>
      <c r="V103" s="20"/>
      <c r="W103" s="20"/>
      <c r="X103" s="20"/>
      <c r="Y103" s="20"/>
      <c r="Z103" s="20"/>
    </row>
    <row r="104" spans="3:26" ht="17.25" customHeight="1">
      <c r="C104" s="15"/>
      <c r="G104" s="47"/>
      <c r="H104" s="20"/>
      <c r="I104" s="20"/>
      <c r="J104" s="20"/>
      <c r="K104" s="20"/>
      <c r="L104" s="20"/>
      <c r="M104" s="20"/>
      <c r="N104" s="20"/>
      <c r="O104" s="20"/>
      <c r="P104" s="20"/>
      <c r="Q104" s="20"/>
      <c r="R104" s="20"/>
      <c r="S104" s="20"/>
      <c r="T104" s="20"/>
      <c r="U104" s="20"/>
      <c r="V104" s="20"/>
      <c r="W104" s="20"/>
      <c r="X104" s="20"/>
      <c r="Y104" s="20"/>
      <c r="Z104" s="20"/>
    </row>
    <row r="105" spans="3:26" ht="17.25" customHeight="1">
      <c r="C105" s="15"/>
      <c r="G105" s="47"/>
      <c r="H105" s="20"/>
      <c r="I105" s="20"/>
      <c r="J105" s="20"/>
      <c r="K105" s="20"/>
      <c r="L105" s="20"/>
      <c r="M105" s="20"/>
      <c r="N105" s="20"/>
      <c r="O105" s="20"/>
      <c r="P105" s="20"/>
      <c r="Q105" s="20"/>
      <c r="R105" s="20"/>
      <c r="S105" s="20"/>
      <c r="T105" s="20"/>
      <c r="U105" s="20"/>
      <c r="V105" s="20"/>
      <c r="W105" s="20"/>
      <c r="X105" s="20"/>
      <c r="Y105" s="20"/>
      <c r="Z105" s="20"/>
    </row>
    <row r="106" spans="3:26" ht="17.25" customHeight="1">
      <c r="C106" s="15"/>
      <c r="G106" s="47"/>
      <c r="H106" s="20"/>
      <c r="I106" s="20"/>
      <c r="J106" s="20"/>
      <c r="K106" s="20"/>
      <c r="L106" s="20"/>
      <c r="M106" s="20"/>
      <c r="N106" s="20"/>
      <c r="O106" s="20"/>
      <c r="P106" s="20"/>
      <c r="Q106" s="20"/>
      <c r="R106" s="20"/>
      <c r="S106" s="20"/>
      <c r="T106" s="20"/>
      <c r="U106" s="20"/>
      <c r="V106" s="20"/>
      <c r="W106" s="20"/>
      <c r="X106" s="20"/>
      <c r="Y106" s="20"/>
      <c r="Z106" s="20"/>
    </row>
    <row r="107" spans="3:26" ht="17.25" customHeight="1">
      <c r="C107" s="15"/>
      <c r="G107" s="47"/>
      <c r="H107" s="20"/>
      <c r="I107" s="20"/>
      <c r="J107" s="20"/>
      <c r="K107" s="20"/>
      <c r="L107" s="20"/>
      <c r="M107" s="20"/>
      <c r="N107" s="20"/>
      <c r="O107" s="20"/>
      <c r="P107" s="20"/>
      <c r="Q107" s="20"/>
      <c r="R107" s="20"/>
      <c r="S107" s="20"/>
      <c r="T107" s="20"/>
      <c r="U107" s="20"/>
      <c r="V107" s="20"/>
      <c r="W107" s="20"/>
      <c r="X107" s="20"/>
      <c r="Y107" s="20"/>
      <c r="Z107" s="20"/>
    </row>
    <row r="108" spans="3:26" ht="17.25" customHeight="1">
      <c r="C108" s="15"/>
      <c r="G108" s="47"/>
      <c r="H108" s="20"/>
      <c r="I108" s="20"/>
      <c r="J108" s="20"/>
      <c r="K108" s="20"/>
      <c r="L108" s="20"/>
      <c r="M108" s="20"/>
      <c r="N108" s="20"/>
      <c r="O108" s="20"/>
      <c r="P108" s="20"/>
      <c r="Q108" s="20"/>
      <c r="R108" s="20"/>
      <c r="S108" s="20"/>
      <c r="T108" s="20"/>
      <c r="U108" s="20"/>
      <c r="V108" s="20"/>
      <c r="W108" s="20"/>
      <c r="X108" s="20"/>
      <c r="Y108" s="20"/>
      <c r="Z108" s="20"/>
    </row>
    <row r="109" spans="3:26" ht="17.25" customHeight="1">
      <c r="C109" s="15"/>
      <c r="G109" s="47"/>
      <c r="H109" s="20"/>
      <c r="I109" s="20"/>
      <c r="J109" s="20"/>
      <c r="K109" s="20"/>
      <c r="L109" s="20"/>
      <c r="M109" s="20"/>
      <c r="N109" s="20"/>
      <c r="O109" s="20"/>
      <c r="P109" s="20"/>
      <c r="Q109" s="20"/>
      <c r="R109" s="20"/>
      <c r="S109" s="20"/>
      <c r="T109" s="20"/>
      <c r="U109" s="20"/>
      <c r="V109" s="20"/>
      <c r="W109" s="20"/>
      <c r="X109" s="20"/>
      <c r="Y109" s="20"/>
      <c r="Z109" s="20"/>
    </row>
    <row r="110" spans="3:26" ht="17.25" customHeight="1">
      <c r="C110" s="15"/>
      <c r="G110" s="47"/>
      <c r="H110" s="20"/>
      <c r="I110" s="20"/>
      <c r="J110" s="20"/>
      <c r="K110" s="20"/>
      <c r="L110" s="20"/>
      <c r="M110" s="20"/>
      <c r="N110" s="20"/>
      <c r="O110" s="20"/>
      <c r="P110" s="20"/>
      <c r="Q110" s="20"/>
      <c r="R110" s="20"/>
      <c r="S110" s="20"/>
      <c r="T110" s="20"/>
      <c r="U110" s="20"/>
      <c r="V110" s="20"/>
      <c r="W110" s="20"/>
      <c r="X110" s="20"/>
      <c r="Y110" s="20"/>
      <c r="Z110" s="20"/>
    </row>
    <row r="111" spans="3:26" ht="17.25" customHeight="1">
      <c r="C111" s="15"/>
      <c r="G111" s="47"/>
      <c r="H111" s="20"/>
      <c r="I111" s="20"/>
      <c r="J111" s="20"/>
      <c r="K111" s="20"/>
      <c r="L111" s="20"/>
      <c r="M111" s="20"/>
      <c r="N111" s="20"/>
      <c r="O111" s="20"/>
      <c r="P111" s="20"/>
      <c r="Q111" s="20"/>
      <c r="R111" s="20"/>
      <c r="S111" s="20"/>
      <c r="T111" s="20"/>
      <c r="U111" s="20"/>
      <c r="V111" s="20"/>
      <c r="W111" s="20"/>
      <c r="X111" s="20"/>
      <c r="Y111" s="20"/>
      <c r="Z111" s="20"/>
    </row>
    <row r="112" spans="3:26" ht="17.25" customHeight="1">
      <c r="C112" s="15"/>
      <c r="G112" s="47"/>
      <c r="H112" s="20"/>
      <c r="I112" s="20"/>
      <c r="J112" s="20"/>
      <c r="K112" s="20"/>
      <c r="L112" s="20"/>
      <c r="M112" s="20"/>
      <c r="N112" s="20"/>
      <c r="O112" s="20"/>
      <c r="P112" s="20"/>
      <c r="Q112" s="20"/>
      <c r="R112" s="20"/>
      <c r="S112" s="20"/>
      <c r="T112" s="20"/>
      <c r="U112" s="20"/>
      <c r="V112" s="20"/>
      <c r="W112" s="20"/>
      <c r="X112" s="20"/>
      <c r="Y112" s="20"/>
      <c r="Z112" s="20"/>
    </row>
    <row r="113" spans="3:26" ht="17.25" customHeight="1">
      <c r="C113" s="15"/>
      <c r="G113" s="47"/>
      <c r="H113" s="20"/>
      <c r="I113" s="20"/>
      <c r="J113" s="20"/>
      <c r="K113" s="20"/>
      <c r="L113" s="20"/>
      <c r="M113" s="20"/>
      <c r="N113" s="20"/>
      <c r="O113" s="20"/>
      <c r="P113" s="20"/>
      <c r="Q113" s="20"/>
      <c r="R113" s="20"/>
      <c r="S113" s="20"/>
      <c r="T113" s="20"/>
      <c r="U113" s="20"/>
      <c r="V113" s="20"/>
      <c r="W113" s="20"/>
      <c r="X113" s="20"/>
      <c r="Y113" s="20"/>
      <c r="Z113" s="20"/>
    </row>
    <row r="114" spans="3:26" ht="17.25" customHeight="1">
      <c r="C114" s="15"/>
      <c r="G114" s="47"/>
      <c r="H114" s="20"/>
      <c r="I114" s="20"/>
      <c r="J114" s="20"/>
      <c r="K114" s="20"/>
      <c r="L114" s="20"/>
      <c r="M114" s="20"/>
      <c r="N114" s="20"/>
      <c r="O114" s="20"/>
      <c r="P114" s="20"/>
      <c r="Q114" s="20"/>
      <c r="R114" s="20"/>
      <c r="S114" s="20"/>
      <c r="T114" s="20"/>
      <c r="U114" s="20"/>
      <c r="V114" s="20"/>
      <c r="W114" s="20"/>
      <c r="X114" s="20"/>
      <c r="Y114" s="20"/>
      <c r="Z114" s="20"/>
    </row>
    <row r="115" spans="3:26" ht="17.25" customHeight="1">
      <c r="C115" s="15"/>
      <c r="G115" s="47"/>
      <c r="H115" s="20"/>
      <c r="I115" s="20"/>
      <c r="J115" s="20"/>
      <c r="K115" s="20"/>
      <c r="L115" s="20"/>
      <c r="M115" s="20"/>
      <c r="N115" s="20"/>
      <c r="O115" s="20"/>
      <c r="P115" s="20"/>
      <c r="Q115" s="20"/>
      <c r="R115" s="20"/>
      <c r="S115" s="20"/>
      <c r="T115" s="20"/>
      <c r="U115" s="20"/>
      <c r="V115" s="20"/>
      <c r="W115" s="20"/>
      <c r="X115" s="20"/>
      <c r="Y115" s="20"/>
      <c r="Z115" s="20"/>
    </row>
    <row r="116" spans="3:26" ht="17.25" customHeight="1">
      <c r="C116" s="15"/>
      <c r="G116" s="47"/>
      <c r="H116" s="20"/>
      <c r="I116" s="20"/>
      <c r="J116" s="20"/>
      <c r="K116" s="20"/>
      <c r="L116" s="20"/>
      <c r="M116" s="20"/>
      <c r="N116" s="20"/>
      <c r="O116" s="20"/>
      <c r="P116" s="20"/>
      <c r="Q116" s="20"/>
      <c r="R116" s="20"/>
      <c r="S116" s="20"/>
      <c r="T116" s="20"/>
      <c r="U116" s="20"/>
      <c r="V116" s="20"/>
      <c r="W116" s="20"/>
      <c r="X116" s="20"/>
      <c r="Y116" s="20"/>
      <c r="Z116" s="20"/>
    </row>
    <row r="117" spans="3:26" ht="17.25" customHeight="1">
      <c r="C117" s="15"/>
      <c r="G117" s="47"/>
      <c r="H117" s="20"/>
      <c r="I117" s="20"/>
      <c r="J117" s="20"/>
      <c r="K117" s="20"/>
      <c r="L117" s="20"/>
      <c r="M117" s="20"/>
      <c r="N117" s="20"/>
      <c r="O117" s="20"/>
      <c r="P117" s="20"/>
      <c r="Q117" s="20"/>
      <c r="R117" s="20"/>
      <c r="S117" s="20"/>
      <c r="T117" s="20"/>
      <c r="U117" s="20"/>
      <c r="V117" s="20"/>
      <c r="W117" s="20"/>
      <c r="X117" s="20"/>
      <c r="Y117" s="20"/>
      <c r="Z117" s="20"/>
    </row>
    <row r="118" spans="3:26" ht="17.25" customHeight="1">
      <c r="C118" s="15"/>
      <c r="G118" s="47"/>
      <c r="H118" s="20"/>
      <c r="I118" s="20"/>
      <c r="J118" s="20"/>
      <c r="K118" s="20"/>
      <c r="L118" s="20"/>
      <c r="M118" s="20"/>
      <c r="N118" s="20"/>
      <c r="O118" s="20"/>
      <c r="P118" s="20"/>
      <c r="Q118" s="20"/>
      <c r="R118" s="20"/>
      <c r="S118" s="20"/>
      <c r="T118" s="20"/>
      <c r="U118" s="20"/>
      <c r="V118" s="20"/>
      <c r="W118" s="20"/>
      <c r="X118" s="20"/>
      <c r="Y118" s="20"/>
      <c r="Z118" s="20"/>
    </row>
    <row r="119" spans="3:26" ht="17.25" customHeight="1">
      <c r="C119" s="15"/>
      <c r="G119" s="47"/>
      <c r="H119" s="20"/>
      <c r="I119" s="20"/>
      <c r="J119" s="20"/>
      <c r="K119" s="20"/>
      <c r="L119" s="20"/>
      <c r="M119" s="20"/>
      <c r="N119" s="20"/>
      <c r="O119" s="20"/>
      <c r="P119" s="20"/>
      <c r="Q119" s="20"/>
      <c r="R119" s="20"/>
      <c r="S119" s="20"/>
      <c r="T119" s="20"/>
      <c r="U119" s="20"/>
      <c r="V119" s="20"/>
      <c r="W119" s="20"/>
      <c r="X119" s="20"/>
      <c r="Y119" s="20"/>
      <c r="Z119" s="20"/>
    </row>
    <row r="120" spans="3:26" ht="17.25" customHeight="1">
      <c r="C120" s="15"/>
      <c r="G120" s="47"/>
      <c r="H120" s="20"/>
      <c r="I120" s="20"/>
      <c r="J120" s="20"/>
      <c r="K120" s="20"/>
      <c r="L120" s="20"/>
      <c r="M120" s="20"/>
      <c r="N120" s="20"/>
      <c r="O120" s="20"/>
      <c r="P120" s="20"/>
      <c r="Q120" s="20"/>
      <c r="R120" s="20"/>
      <c r="S120" s="20"/>
      <c r="T120" s="20"/>
      <c r="U120" s="20"/>
      <c r="V120" s="20"/>
      <c r="W120" s="20"/>
      <c r="X120" s="20"/>
      <c r="Y120" s="20"/>
      <c r="Z120" s="20"/>
    </row>
    <row r="121" spans="3:26" ht="17.25" customHeight="1">
      <c r="C121" s="15"/>
      <c r="G121" s="47"/>
      <c r="H121" s="20"/>
      <c r="I121" s="20"/>
      <c r="J121" s="20"/>
      <c r="K121" s="20"/>
      <c r="L121" s="20"/>
      <c r="M121" s="20"/>
      <c r="N121" s="20"/>
      <c r="O121" s="20"/>
      <c r="P121" s="20"/>
      <c r="Q121" s="20"/>
      <c r="R121" s="20"/>
      <c r="S121" s="20"/>
      <c r="T121" s="20"/>
      <c r="U121" s="20"/>
      <c r="V121" s="20"/>
      <c r="W121" s="20"/>
      <c r="X121" s="20"/>
      <c r="Y121" s="20"/>
      <c r="Z121" s="20"/>
    </row>
    <row r="122" spans="3:26" ht="17.25" customHeight="1">
      <c r="C122" s="15"/>
      <c r="G122" s="47"/>
      <c r="H122" s="20"/>
      <c r="I122" s="20"/>
      <c r="J122" s="20"/>
      <c r="K122" s="20"/>
      <c r="L122" s="20"/>
      <c r="M122" s="20"/>
      <c r="N122" s="20"/>
      <c r="O122" s="20"/>
      <c r="P122" s="20"/>
      <c r="Q122" s="20"/>
      <c r="R122" s="20"/>
      <c r="S122" s="20"/>
      <c r="T122" s="20"/>
      <c r="U122" s="20"/>
      <c r="V122" s="20"/>
      <c r="W122" s="20"/>
      <c r="X122" s="20"/>
      <c r="Y122" s="20"/>
      <c r="Z122" s="20"/>
    </row>
    <row r="123" spans="3:26" ht="17.25" customHeight="1">
      <c r="C123" s="15"/>
      <c r="G123" s="47"/>
      <c r="H123" s="20"/>
      <c r="I123" s="20"/>
      <c r="J123" s="20"/>
      <c r="K123" s="20"/>
      <c r="L123" s="20"/>
      <c r="M123" s="20"/>
      <c r="N123" s="20"/>
      <c r="O123" s="20"/>
      <c r="P123" s="20"/>
      <c r="Q123" s="20"/>
      <c r="R123" s="20"/>
      <c r="S123" s="20"/>
      <c r="T123" s="20"/>
      <c r="U123" s="20"/>
      <c r="V123" s="20"/>
      <c r="W123" s="20"/>
      <c r="X123" s="20"/>
      <c r="Y123" s="20"/>
      <c r="Z123" s="20"/>
    </row>
    <row r="124" spans="3:26" ht="17.25" customHeight="1">
      <c r="C124" s="15"/>
      <c r="G124" s="47"/>
      <c r="H124" s="20"/>
      <c r="I124" s="20"/>
      <c r="J124" s="20"/>
      <c r="K124" s="20"/>
      <c r="L124" s="20"/>
      <c r="M124" s="20"/>
      <c r="N124" s="20"/>
      <c r="O124" s="20"/>
      <c r="P124" s="20"/>
      <c r="Q124" s="20"/>
      <c r="R124" s="20"/>
      <c r="S124" s="20"/>
      <c r="T124" s="20"/>
      <c r="U124" s="20"/>
      <c r="V124" s="20"/>
      <c r="W124" s="20"/>
      <c r="X124" s="20"/>
      <c r="Y124" s="20"/>
      <c r="Z124" s="20"/>
    </row>
    <row r="125" spans="3:26" ht="17.25" customHeight="1">
      <c r="C125" s="15"/>
      <c r="G125" s="47"/>
      <c r="H125" s="20"/>
      <c r="I125" s="20"/>
      <c r="J125" s="20"/>
      <c r="K125" s="20"/>
      <c r="L125" s="20"/>
      <c r="M125" s="20"/>
      <c r="N125" s="20"/>
      <c r="O125" s="20"/>
      <c r="P125" s="20"/>
      <c r="Q125" s="20"/>
      <c r="R125" s="20"/>
      <c r="S125" s="20"/>
      <c r="T125" s="20"/>
      <c r="U125" s="20"/>
      <c r="V125" s="20"/>
      <c r="W125" s="20"/>
      <c r="X125" s="20"/>
      <c r="Y125" s="20"/>
      <c r="Z125" s="20"/>
    </row>
    <row r="126" spans="3:26" ht="17.25" customHeight="1">
      <c r="C126" s="15"/>
      <c r="G126" s="47"/>
      <c r="H126" s="20"/>
      <c r="I126" s="20"/>
      <c r="J126" s="20"/>
      <c r="K126" s="20"/>
      <c r="L126" s="20"/>
      <c r="M126" s="20"/>
      <c r="N126" s="20"/>
      <c r="O126" s="20"/>
      <c r="P126" s="20"/>
      <c r="Q126" s="20"/>
      <c r="R126" s="20"/>
      <c r="S126" s="20"/>
      <c r="T126" s="20"/>
      <c r="U126" s="20"/>
      <c r="V126" s="20"/>
      <c r="W126" s="20"/>
      <c r="X126" s="20"/>
      <c r="Y126" s="20"/>
      <c r="Z126" s="20"/>
    </row>
    <row r="127" spans="3:26" ht="17.25" customHeight="1">
      <c r="C127" s="15"/>
      <c r="G127" s="47"/>
      <c r="H127" s="20"/>
      <c r="I127" s="20"/>
      <c r="J127" s="20"/>
      <c r="K127" s="20"/>
      <c r="L127" s="20"/>
      <c r="M127" s="20"/>
      <c r="N127" s="20"/>
      <c r="O127" s="20"/>
      <c r="P127" s="20"/>
      <c r="Q127" s="20"/>
      <c r="R127" s="20"/>
      <c r="S127" s="20"/>
      <c r="T127" s="20"/>
      <c r="U127" s="20"/>
      <c r="V127" s="20"/>
      <c r="W127" s="20"/>
      <c r="X127" s="20"/>
      <c r="Y127" s="20"/>
      <c r="Z127" s="20"/>
    </row>
    <row r="128" spans="3:26" ht="17.25" customHeight="1">
      <c r="C128" s="15"/>
      <c r="G128" s="47"/>
      <c r="H128" s="20"/>
      <c r="I128" s="20"/>
      <c r="J128" s="20"/>
      <c r="K128" s="20"/>
      <c r="L128" s="20"/>
      <c r="M128" s="20"/>
      <c r="N128" s="20"/>
      <c r="O128" s="20"/>
      <c r="P128" s="20"/>
      <c r="Q128" s="20"/>
      <c r="R128" s="20"/>
      <c r="S128" s="20"/>
      <c r="T128" s="20"/>
      <c r="U128" s="20"/>
      <c r="V128" s="20"/>
      <c r="W128" s="20"/>
      <c r="X128" s="20"/>
      <c r="Y128" s="20"/>
      <c r="Z128" s="20"/>
    </row>
    <row r="129" spans="3:26" ht="17.25" customHeight="1">
      <c r="C129" s="15"/>
      <c r="G129" s="47"/>
      <c r="H129" s="20"/>
      <c r="I129" s="20"/>
      <c r="J129" s="20"/>
      <c r="K129" s="20"/>
      <c r="L129" s="20"/>
      <c r="M129" s="20"/>
      <c r="N129" s="20"/>
      <c r="O129" s="20"/>
      <c r="P129" s="20"/>
      <c r="Q129" s="20"/>
      <c r="R129" s="20"/>
      <c r="S129" s="20"/>
      <c r="T129" s="20"/>
      <c r="U129" s="20"/>
      <c r="V129" s="20"/>
      <c r="W129" s="20"/>
      <c r="X129" s="20"/>
      <c r="Y129" s="20"/>
      <c r="Z129" s="20"/>
    </row>
    <row r="130" spans="3:26" ht="17.25" customHeight="1">
      <c r="C130" s="15"/>
      <c r="G130" s="47"/>
      <c r="H130" s="20"/>
      <c r="I130" s="20"/>
      <c r="J130" s="20"/>
      <c r="K130" s="20"/>
      <c r="L130" s="20"/>
      <c r="M130" s="20"/>
      <c r="N130" s="20"/>
      <c r="O130" s="20"/>
      <c r="P130" s="20"/>
      <c r="Q130" s="20"/>
      <c r="R130" s="20"/>
      <c r="S130" s="20"/>
      <c r="T130" s="20"/>
      <c r="U130" s="20"/>
      <c r="V130" s="20"/>
      <c r="W130" s="20"/>
      <c r="X130" s="20"/>
      <c r="Y130" s="20"/>
      <c r="Z130" s="20"/>
    </row>
    <row r="131" spans="3:26" ht="17.25" customHeight="1">
      <c r="C131" s="15"/>
      <c r="G131" s="47"/>
      <c r="H131" s="20"/>
      <c r="I131" s="20"/>
      <c r="J131" s="20"/>
      <c r="K131" s="20"/>
      <c r="L131" s="20"/>
      <c r="M131" s="20"/>
      <c r="N131" s="20"/>
      <c r="O131" s="20"/>
      <c r="P131" s="20"/>
      <c r="Q131" s="20"/>
      <c r="R131" s="20"/>
      <c r="S131" s="20"/>
      <c r="T131" s="20"/>
      <c r="U131" s="20"/>
      <c r="V131" s="20"/>
      <c r="W131" s="20"/>
      <c r="X131" s="20"/>
      <c r="Y131" s="20"/>
      <c r="Z131" s="20"/>
    </row>
    <row r="132" spans="3:26" ht="17.25" customHeight="1">
      <c r="C132" s="15"/>
      <c r="G132" s="47"/>
      <c r="H132" s="20"/>
      <c r="I132" s="20"/>
      <c r="J132" s="20"/>
      <c r="K132" s="20"/>
      <c r="L132" s="20"/>
      <c r="M132" s="20"/>
      <c r="N132" s="20"/>
      <c r="O132" s="20"/>
      <c r="P132" s="20"/>
      <c r="Q132" s="20"/>
      <c r="R132" s="20"/>
      <c r="S132" s="20"/>
      <c r="T132" s="20"/>
      <c r="U132" s="20"/>
      <c r="V132" s="20"/>
      <c r="W132" s="20"/>
      <c r="X132" s="20"/>
      <c r="Y132" s="20"/>
      <c r="Z132" s="20"/>
    </row>
    <row r="133" spans="3:26" ht="17.25" customHeight="1">
      <c r="C133" s="15"/>
      <c r="G133" s="47"/>
      <c r="H133" s="20"/>
      <c r="I133" s="20"/>
      <c r="J133" s="20"/>
      <c r="K133" s="20"/>
      <c r="L133" s="20"/>
      <c r="M133" s="20"/>
      <c r="N133" s="20"/>
      <c r="O133" s="20"/>
      <c r="P133" s="20"/>
      <c r="Q133" s="20"/>
      <c r="R133" s="20"/>
      <c r="S133" s="20"/>
      <c r="T133" s="20"/>
      <c r="U133" s="20"/>
      <c r="V133" s="20"/>
      <c r="W133" s="20"/>
      <c r="X133" s="20"/>
      <c r="Y133" s="20"/>
      <c r="Z133" s="20"/>
    </row>
    <row r="134" spans="3:26" ht="17.25" customHeight="1">
      <c r="C134" s="15"/>
      <c r="G134" s="47"/>
      <c r="H134" s="20"/>
      <c r="I134" s="20"/>
      <c r="J134" s="20"/>
      <c r="K134" s="20"/>
      <c r="L134" s="20"/>
      <c r="M134" s="20"/>
      <c r="N134" s="20"/>
      <c r="O134" s="20"/>
      <c r="P134" s="20"/>
      <c r="Q134" s="20"/>
      <c r="R134" s="20"/>
      <c r="S134" s="20"/>
      <c r="T134" s="20"/>
      <c r="U134" s="20"/>
      <c r="V134" s="20"/>
      <c r="W134" s="20"/>
      <c r="X134" s="20"/>
      <c r="Y134" s="20"/>
      <c r="Z134" s="20"/>
    </row>
    <row r="135" spans="3:26" ht="17.25" customHeight="1">
      <c r="C135" s="15"/>
      <c r="G135" s="47"/>
      <c r="H135" s="20"/>
      <c r="I135" s="20"/>
      <c r="J135" s="20"/>
      <c r="K135" s="20"/>
      <c r="L135" s="20"/>
      <c r="M135" s="20"/>
      <c r="N135" s="20"/>
      <c r="O135" s="20"/>
      <c r="P135" s="20"/>
      <c r="Q135" s="20"/>
      <c r="R135" s="20"/>
      <c r="S135" s="20"/>
      <c r="T135" s="20"/>
      <c r="U135" s="20"/>
      <c r="V135" s="20"/>
      <c r="W135" s="20"/>
      <c r="X135" s="20"/>
      <c r="Y135" s="20"/>
      <c r="Z135" s="20"/>
    </row>
    <row r="136" spans="3:26" ht="17.25" customHeight="1">
      <c r="C136" s="15"/>
      <c r="G136" s="47"/>
      <c r="H136" s="20"/>
      <c r="I136" s="20"/>
      <c r="J136" s="20"/>
      <c r="K136" s="20"/>
      <c r="L136" s="20"/>
      <c r="M136" s="20"/>
      <c r="N136" s="20"/>
      <c r="O136" s="20"/>
      <c r="P136" s="20"/>
      <c r="Q136" s="20"/>
      <c r="R136" s="20"/>
      <c r="S136" s="20"/>
      <c r="T136" s="20"/>
      <c r="U136" s="20"/>
      <c r="V136" s="20"/>
      <c r="W136" s="20"/>
      <c r="X136" s="20"/>
      <c r="Y136" s="20"/>
      <c r="Z136" s="20"/>
    </row>
    <row r="137" spans="3:26" ht="17.25" customHeight="1">
      <c r="C137" s="15"/>
      <c r="G137" s="47"/>
      <c r="H137" s="20"/>
      <c r="I137" s="20"/>
      <c r="J137" s="20"/>
      <c r="K137" s="20"/>
      <c r="L137" s="20"/>
      <c r="M137" s="20"/>
      <c r="N137" s="20"/>
      <c r="O137" s="20"/>
      <c r="P137" s="20"/>
      <c r="Q137" s="20"/>
      <c r="R137" s="20"/>
      <c r="S137" s="20"/>
      <c r="T137" s="20"/>
      <c r="U137" s="20"/>
      <c r="V137" s="20"/>
      <c r="W137" s="20"/>
      <c r="X137" s="20"/>
      <c r="Y137" s="20"/>
      <c r="Z137" s="20"/>
    </row>
    <row r="138" spans="3:26" ht="17.25" customHeight="1">
      <c r="C138" s="15"/>
      <c r="G138" s="47"/>
      <c r="H138" s="20"/>
      <c r="I138" s="20"/>
      <c r="J138" s="20"/>
      <c r="K138" s="20"/>
      <c r="L138" s="20"/>
      <c r="M138" s="20"/>
      <c r="N138" s="20"/>
      <c r="O138" s="20"/>
      <c r="P138" s="20"/>
      <c r="Q138" s="20"/>
      <c r="R138" s="20"/>
      <c r="S138" s="20"/>
      <c r="T138" s="20"/>
      <c r="U138" s="20"/>
      <c r="V138" s="20"/>
      <c r="W138" s="20"/>
      <c r="X138" s="20"/>
      <c r="Y138" s="20"/>
      <c r="Z138" s="20"/>
    </row>
    <row r="139" spans="3:26" ht="17.25" customHeight="1">
      <c r="C139" s="15"/>
      <c r="G139" s="47"/>
      <c r="H139" s="20"/>
      <c r="I139" s="20"/>
      <c r="J139" s="20"/>
      <c r="K139" s="20"/>
      <c r="L139" s="20"/>
      <c r="M139" s="20"/>
      <c r="N139" s="20"/>
      <c r="O139" s="20"/>
      <c r="P139" s="20"/>
      <c r="Q139" s="20"/>
      <c r="R139" s="20"/>
      <c r="S139" s="20"/>
      <c r="T139" s="20"/>
      <c r="U139" s="20"/>
      <c r="V139" s="20"/>
      <c r="W139" s="20"/>
      <c r="X139" s="20"/>
      <c r="Y139" s="20"/>
      <c r="Z139" s="20"/>
    </row>
    <row r="140" spans="3:26" ht="17.25" customHeight="1">
      <c r="C140" s="15"/>
      <c r="G140" s="47"/>
      <c r="H140" s="20"/>
      <c r="I140" s="20"/>
      <c r="J140" s="20"/>
      <c r="K140" s="20"/>
      <c r="L140" s="20"/>
      <c r="M140" s="20"/>
      <c r="N140" s="20"/>
      <c r="O140" s="20"/>
      <c r="P140" s="20"/>
      <c r="Q140" s="20"/>
      <c r="R140" s="20"/>
      <c r="S140" s="20"/>
      <c r="T140" s="20"/>
      <c r="U140" s="20"/>
      <c r="V140" s="20"/>
      <c r="W140" s="20"/>
      <c r="X140" s="20"/>
      <c r="Y140" s="20"/>
      <c r="Z140" s="20"/>
    </row>
    <row r="141" spans="3:26" ht="17.25" customHeight="1">
      <c r="C141" s="15"/>
      <c r="G141" s="47"/>
      <c r="H141" s="20"/>
      <c r="I141" s="20"/>
      <c r="J141" s="20"/>
      <c r="K141" s="20"/>
      <c r="L141" s="20"/>
      <c r="M141" s="20"/>
      <c r="N141" s="20"/>
      <c r="O141" s="20"/>
      <c r="P141" s="20"/>
      <c r="Q141" s="20"/>
      <c r="R141" s="20"/>
      <c r="S141" s="20"/>
      <c r="T141" s="20"/>
      <c r="U141" s="20"/>
      <c r="V141" s="20"/>
      <c r="W141" s="20"/>
      <c r="X141" s="20"/>
      <c r="Y141" s="20"/>
      <c r="Z141" s="20"/>
    </row>
    <row r="142" spans="3:26" ht="17.25" customHeight="1">
      <c r="C142" s="15"/>
      <c r="G142" s="47"/>
      <c r="H142" s="20"/>
      <c r="I142" s="20"/>
      <c r="J142" s="20"/>
      <c r="K142" s="20"/>
      <c r="L142" s="20"/>
      <c r="M142" s="20"/>
      <c r="N142" s="20"/>
      <c r="O142" s="20"/>
      <c r="P142" s="20"/>
      <c r="Q142" s="20"/>
      <c r="R142" s="20"/>
      <c r="S142" s="20"/>
      <c r="T142" s="20"/>
      <c r="U142" s="20"/>
      <c r="V142" s="20"/>
      <c r="W142" s="20"/>
      <c r="X142" s="20"/>
      <c r="Y142" s="20"/>
      <c r="Z142" s="20"/>
    </row>
    <row r="143" spans="3:26" ht="17.25" customHeight="1">
      <c r="C143" s="15"/>
      <c r="G143" s="47"/>
      <c r="H143" s="20"/>
      <c r="I143" s="20"/>
      <c r="J143" s="20"/>
      <c r="K143" s="20"/>
      <c r="L143" s="20"/>
      <c r="M143" s="20"/>
      <c r="N143" s="20"/>
      <c r="O143" s="20"/>
      <c r="P143" s="20"/>
      <c r="Q143" s="20"/>
      <c r="R143" s="20"/>
      <c r="S143" s="20"/>
      <c r="T143" s="20"/>
      <c r="U143" s="20"/>
      <c r="V143" s="20"/>
      <c r="W143" s="20"/>
      <c r="X143" s="20"/>
      <c r="Y143" s="20"/>
      <c r="Z143" s="20"/>
    </row>
    <row r="144" spans="3:26" ht="17.25" customHeight="1">
      <c r="C144" s="15"/>
      <c r="G144" s="47"/>
      <c r="H144" s="20"/>
      <c r="I144" s="20"/>
      <c r="J144" s="20"/>
      <c r="K144" s="20"/>
      <c r="L144" s="20"/>
      <c r="M144" s="20"/>
      <c r="N144" s="20"/>
      <c r="O144" s="20"/>
      <c r="P144" s="20"/>
      <c r="Q144" s="20"/>
      <c r="R144" s="20"/>
      <c r="S144" s="20"/>
      <c r="T144" s="20"/>
      <c r="U144" s="20"/>
      <c r="V144" s="20"/>
      <c r="W144" s="20"/>
      <c r="X144" s="20"/>
      <c r="Y144" s="20"/>
      <c r="Z144" s="20"/>
    </row>
    <row r="145" spans="3:26" ht="17.25" customHeight="1">
      <c r="C145" s="15"/>
      <c r="G145" s="47"/>
      <c r="H145" s="20"/>
      <c r="I145" s="20"/>
      <c r="J145" s="20"/>
      <c r="K145" s="20"/>
      <c r="L145" s="20"/>
      <c r="M145" s="20"/>
      <c r="N145" s="20"/>
      <c r="O145" s="20"/>
      <c r="P145" s="20"/>
      <c r="Q145" s="20"/>
      <c r="R145" s="20"/>
      <c r="S145" s="20"/>
      <c r="T145" s="20"/>
      <c r="U145" s="20"/>
      <c r="V145" s="20"/>
      <c r="W145" s="20"/>
      <c r="X145" s="20"/>
      <c r="Y145" s="20"/>
      <c r="Z145" s="20"/>
    </row>
    <row r="146" spans="3:26" ht="17.25" customHeight="1">
      <c r="C146" s="15"/>
      <c r="G146" s="47"/>
      <c r="H146" s="20"/>
      <c r="I146" s="20"/>
      <c r="J146" s="20"/>
      <c r="K146" s="20"/>
      <c r="L146" s="20"/>
      <c r="M146" s="20"/>
      <c r="N146" s="20"/>
      <c r="O146" s="20"/>
      <c r="P146" s="20"/>
      <c r="Q146" s="20"/>
      <c r="R146" s="20"/>
      <c r="S146" s="20"/>
      <c r="T146" s="20"/>
      <c r="U146" s="20"/>
      <c r="V146" s="20"/>
      <c r="W146" s="20"/>
      <c r="X146" s="20"/>
      <c r="Y146" s="20"/>
      <c r="Z146" s="20"/>
    </row>
    <row r="147" spans="3:26" ht="17.25" customHeight="1">
      <c r="C147" s="15"/>
      <c r="G147" s="47"/>
      <c r="H147" s="20"/>
      <c r="I147" s="20"/>
      <c r="J147" s="20"/>
      <c r="K147" s="20"/>
      <c r="L147" s="20"/>
      <c r="M147" s="20"/>
      <c r="N147" s="20"/>
      <c r="O147" s="20"/>
      <c r="P147" s="20"/>
      <c r="Q147" s="20"/>
      <c r="R147" s="20"/>
      <c r="S147" s="20"/>
      <c r="T147" s="20"/>
      <c r="U147" s="20"/>
      <c r="V147" s="20"/>
      <c r="W147" s="20"/>
      <c r="X147" s="20"/>
      <c r="Y147" s="20"/>
      <c r="Z147" s="20"/>
    </row>
    <row r="148" spans="3:26" ht="17.25" customHeight="1">
      <c r="C148" s="15"/>
      <c r="G148" s="47"/>
      <c r="H148" s="20"/>
      <c r="I148" s="20"/>
      <c r="J148" s="20"/>
      <c r="K148" s="20"/>
      <c r="L148" s="20"/>
      <c r="M148" s="20"/>
      <c r="N148" s="20"/>
      <c r="O148" s="20"/>
      <c r="P148" s="20"/>
      <c r="Q148" s="20"/>
      <c r="R148" s="20"/>
      <c r="S148" s="20"/>
      <c r="T148" s="20"/>
      <c r="U148" s="20"/>
      <c r="V148" s="20"/>
      <c r="W148" s="20"/>
      <c r="X148" s="20"/>
      <c r="Y148" s="20"/>
      <c r="Z148" s="20"/>
    </row>
    <row r="149" spans="3:26" ht="17.25" customHeight="1">
      <c r="C149" s="15"/>
      <c r="G149" s="47"/>
      <c r="H149" s="20"/>
      <c r="I149" s="20"/>
      <c r="J149" s="20"/>
      <c r="K149" s="20"/>
      <c r="L149" s="20"/>
      <c r="M149" s="20"/>
      <c r="N149" s="20"/>
      <c r="O149" s="20"/>
      <c r="P149" s="20"/>
      <c r="Q149" s="20"/>
      <c r="R149" s="20"/>
      <c r="S149" s="20"/>
      <c r="T149" s="20"/>
      <c r="U149" s="20"/>
      <c r="V149" s="20"/>
      <c r="W149" s="20"/>
      <c r="X149" s="20"/>
      <c r="Y149" s="20"/>
      <c r="Z149" s="20"/>
    </row>
    <row r="150" spans="3:26" ht="17.25" customHeight="1">
      <c r="C150" s="15"/>
      <c r="G150" s="47"/>
      <c r="H150" s="20"/>
      <c r="I150" s="20"/>
      <c r="J150" s="20"/>
      <c r="K150" s="20"/>
      <c r="L150" s="20"/>
      <c r="M150" s="20"/>
      <c r="N150" s="20"/>
      <c r="O150" s="20"/>
      <c r="P150" s="20"/>
      <c r="Q150" s="20"/>
      <c r="R150" s="20"/>
      <c r="S150" s="20"/>
      <c r="T150" s="20"/>
      <c r="U150" s="20"/>
      <c r="V150" s="20"/>
      <c r="W150" s="20"/>
      <c r="X150" s="20"/>
      <c r="Y150" s="20"/>
      <c r="Z150" s="20"/>
    </row>
    <row r="151" spans="3:26" ht="17.25" customHeight="1">
      <c r="C151" s="15"/>
      <c r="G151" s="47"/>
      <c r="H151" s="20"/>
      <c r="I151" s="20"/>
      <c r="J151" s="20"/>
      <c r="K151" s="20"/>
      <c r="L151" s="20"/>
      <c r="M151" s="20"/>
      <c r="N151" s="20"/>
      <c r="O151" s="20"/>
      <c r="P151" s="20"/>
      <c r="Q151" s="20"/>
      <c r="R151" s="20"/>
      <c r="S151" s="20"/>
      <c r="T151" s="20"/>
      <c r="U151" s="20"/>
      <c r="V151" s="20"/>
      <c r="W151" s="20"/>
      <c r="X151" s="20"/>
      <c r="Y151" s="20"/>
      <c r="Z151" s="20"/>
    </row>
    <row r="152" spans="3:26" ht="17.25" customHeight="1">
      <c r="C152" s="15"/>
      <c r="G152" s="47"/>
      <c r="H152" s="20"/>
      <c r="I152" s="20"/>
      <c r="J152" s="20"/>
      <c r="K152" s="20"/>
      <c r="L152" s="20"/>
      <c r="M152" s="20"/>
      <c r="N152" s="20"/>
      <c r="O152" s="20"/>
      <c r="P152" s="20"/>
      <c r="Q152" s="20"/>
      <c r="R152" s="20"/>
      <c r="S152" s="20"/>
      <c r="T152" s="20"/>
      <c r="U152" s="20"/>
      <c r="V152" s="20"/>
      <c r="W152" s="20"/>
      <c r="X152" s="20"/>
      <c r="Y152" s="20"/>
      <c r="Z152" s="20"/>
    </row>
    <row r="153" spans="3:26" ht="17.25" customHeight="1">
      <c r="C153" s="15"/>
      <c r="G153" s="47"/>
      <c r="H153" s="20"/>
      <c r="I153" s="20"/>
      <c r="J153" s="20"/>
      <c r="K153" s="20"/>
      <c r="L153" s="20"/>
      <c r="M153" s="20"/>
      <c r="N153" s="20"/>
      <c r="O153" s="20"/>
      <c r="P153" s="20"/>
      <c r="Q153" s="20"/>
      <c r="R153" s="20"/>
      <c r="S153" s="20"/>
      <c r="T153" s="20"/>
      <c r="U153" s="20"/>
      <c r="V153" s="20"/>
      <c r="W153" s="20"/>
      <c r="X153" s="20"/>
      <c r="Y153" s="20"/>
      <c r="Z153" s="20"/>
    </row>
    <row r="154" spans="3:26" ht="17.25" customHeight="1">
      <c r="C154" s="15"/>
      <c r="G154" s="47"/>
      <c r="H154" s="20"/>
      <c r="I154" s="20"/>
      <c r="J154" s="20"/>
      <c r="K154" s="20"/>
      <c r="L154" s="20"/>
      <c r="M154" s="20"/>
      <c r="N154" s="20"/>
      <c r="O154" s="20"/>
      <c r="P154" s="20"/>
      <c r="Q154" s="20"/>
      <c r="R154" s="20"/>
      <c r="S154" s="20"/>
      <c r="T154" s="20"/>
      <c r="U154" s="20"/>
      <c r="V154" s="20"/>
      <c r="W154" s="20"/>
      <c r="X154" s="20"/>
      <c r="Y154" s="20"/>
      <c r="Z154" s="20"/>
    </row>
    <row r="155" spans="3:26" ht="17.25" customHeight="1">
      <c r="C155" s="15"/>
      <c r="G155" s="47"/>
      <c r="H155" s="20"/>
      <c r="I155" s="20"/>
      <c r="J155" s="20"/>
      <c r="K155" s="20"/>
      <c r="L155" s="20"/>
      <c r="M155" s="20"/>
      <c r="N155" s="20"/>
      <c r="O155" s="20"/>
      <c r="P155" s="20"/>
      <c r="Q155" s="20"/>
      <c r="R155" s="20"/>
      <c r="S155" s="20"/>
      <c r="T155" s="20"/>
      <c r="U155" s="20"/>
      <c r="V155" s="20"/>
      <c r="W155" s="20"/>
      <c r="X155" s="20"/>
      <c r="Y155" s="20"/>
      <c r="Z155" s="20"/>
    </row>
    <row r="156" spans="3:26" ht="17.25" customHeight="1">
      <c r="C156" s="15"/>
      <c r="G156" s="47"/>
      <c r="H156" s="20"/>
      <c r="I156" s="20"/>
      <c r="J156" s="20"/>
      <c r="K156" s="20"/>
      <c r="L156" s="20"/>
      <c r="M156" s="20"/>
      <c r="N156" s="20"/>
      <c r="O156" s="20"/>
      <c r="P156" s="20"/>
      <c r="Q156" s="20"/>
      <c r="R156" s="20"/>
      <c r="S156" s="20"/>
      <c r="T156" s="20"/>
      <c r="U156" s="20"/>
      <c r="V156" s="20"/>
      <c r="W156" s="20"/>
      <c r="X156" s="20"/>
      <c r="Y156" s="20"/>
      <c r="Z156" s="20"/>
    </row>
    <row r="157" spans="3:26" ht="17.25" customHeight="1">
      <c r="C157" s="15"/>
      <c r="G157" s="47"/>
      <c r="H157" s="20"/>
      <c r="I157" s="20"/>
      <c r="J157" s="20"/>
      <c r="K157" s="20"/>
      <c r="L157" s="20"/>
      <c r="M157" s="20"/>
      <c r="N157" s="20"/>
      <c r="O157" s="20"/>
      <c r="P157" s="20"/>
      <c r="Q157" s="20"/>
      <c r="R157" s="20"/>
      <c r="S157" s="20"/>
      <c r="T157" s="20"/>
      <c r="U157" s="20"/>
      <c r="V157" s="20"/>
      <c r="W157" s="20"/>
      <c r="X157" s="20"/>
      <c r="Y157" s="20"/>
      <c r="Z157" s="20"/>
    </row>
    <row r="158" spans="3:26" ht="17.25" customHeight="1">
      <c r="C158" s="15"/>
      <c r="G158" s="47"/>
      <c r="H158" s="20"/>
      <c r="I158" s="20"/>
      <c r="J158" s="20"/>
      <c r="K158" s="20"/>
      <c r="L158" s="20"/>
      <c r="M158" s="20"/>
      <c r="N158" s="20"/>
      <c r="O158" s="20"/>
      <c r="P158" s="20"/>
      <c r="Q158" s="20"/>
      <c r="R158" s="20"/>
      <c r="S158" s="20"/>
      <c r="T158" s="20"/>
      <c r="U158" s="20"/>
      <c r="V158" s="20"/>
      <c r="W158" s="20"/>
      <c r="X158" s="20"/>
      <c r="Y158" s="20"/>
      <c r="Z158" s="20"/>
    </row>
    <row r="159" spans="3:26" ht="17.25" customHeight="1">
      <c r="C159" s="15"/>
      <c r="G159" s="47"/>
      <c r="H159" s="20"/>
      <c r="I159" s="20"/>
      <c r="J159" s="20"/>
      <c r="K159" s="20"/>
      <c r="L159" s="20"/>
      <c r="M159" s="20"/>
      <c r="N159" s="20"/>
      <c r="O159" s="20"/>
      <c r="P159" s="20"/>
      <c r="Q159" s="20"/>
      <c r="R159" s="20"/>
      <c r="S159" s="20"/>
      <c r="T159" s="20"/>
      <c r="U159" s="20"/>
      <c r="V159" s="20"/>
      <c r="W159" s="20"/>
      <c r="X159" s="20"/>
      <c r="Y159" s="20"/>
      <c r="Z159" s="20"/>
    </row>
    <row r="160" spans="3:26" ht="17.25" customHeight="1">
      <c r="C160" s="15"/>
      <c r="G160" s="47"/>
      <c r="H160" s="20"/>
      <c r="I160" s="20"/>
      <c r="J160" s="20"/>
      <c r="K160" s="20"/>
      <c r="L160" s="20"/>
      <c r="M160" s="20"/>
      <c r="N160" s="20"/>
      <c r="O160" s="20"/>
      <c r="P160" s="20"/>
      <c r="Q160" s="20"/>
      <c r="R160" s="20"/>
      <c r="S160" s="20"/>
      <c r="T160" s="20"/>
      <c r="U160" s="20"/>
      <c r="V160" s="20"/>
      <c r="W160" s="20"/>
      <c r="X160" s="20"/>
      <c r="Y160" s="20"/>
      <c r="Z160" s="20"/>
    </row>
    <row r="161" spans="3:26" ht="17.25" customHeight="1">
      <c r="C161" s="15"/>
      <c r="G161" s="47"/>
      <c r="H161" s="20"/>
      <c r="I161" s="20"/>
      <c r="J161" s="20"/>
      <c r="K161" s="20"/>
      <c r="L161" s="20"/>
      <c r="M161" s="20"/>
      <c r="N161" s="20"/>
      <c r="O161" s="20"/>
      <c r="P161" s="20"/>
      <c r="Q161" s="20"/>
      <c r="R161" s="20"/>
      <c r="S161" s="20"/>
      <c r="T161" s="20"/>
      <c r="U161" s="20"/>
      <c r="V161" s="20"/>
      <c r="W161" s="20"/>
      <c r="X161" s="20"/>
      <c r="Y161" s="20"/>
      <c r="Z161" s="20"/>
    </row>
    <row r="162" spans="3:26" ht="17.25" customHeight="1">
      <c r="C162" s="15"/>
      <c r="G162" s="47"/>
      <c r="H162" s="20"/>
      <c r="I162" s="20"/>
      <c r="J162" s="20"/>
      <c r="K162" s="20"/>
      <c r="L162" s="20"/>
      <c r="M162" s="20"/>
      <c r="N162" s="20"/>
      <c r="O162" s="20"/>
      <c r="P162" s="20"/>
      <c r="Q162" s="20"/>
      <c r="R162" s="20"/>
      <c r="S162" s="20"/>
      <c r="T162" s="20"/>
      <c r="U162" s="20"/>
      <c r="V162" s="20"/>
      <c r="W162" s="20"/>
      <c r="X162" s="20"/>
      <c r="Y162" s="20"/>
      <c r="Z162" s="20"/>
    </row>
    <row r="163" spans="3:26" ht="17.25" customHeight="1">
      <c r="C163" s="15"/>
      <c r="G163" s="47"/>
      <c r="H163" s="20"/>
      <c r="I163" s="20"/>
      <c r="J163" s="20"/>
      <c r="K163" s="20"/>
      <c r="L163" s="20"/>
      <c r="M163" s="20"/>
      <c r="N163" s="20"/>
      <c r="O163" s="20"/>
      <c r="P163" s="20"/>
      <c r="Q163" s="20"/>
      <c r="R163" s="20"/>
      <c r="S163" s="20"/>
      <c r="T163" s="20"/>
      <c r="U163" s="20"/>
      <c r="V163" s="20"/>
      <c r="W163" s="20"/>
      <c r="X163" s="20"/>
      <c r="Y163" s="20"/>
      <c r="Z163" s="20"/>
    </row>
    <row r="164" spans="3:26" ht="17.25" customHeight="1">
      <c r="C164" s="15"/>
      <c r="G164" s="47"/>
      <c r="H164" s="20"/>
      <c r="I164" s="20"/>
      <c r="J164" s="20"/>
      <c r="K164" s="20"/>
      <c r="L164" s="20"/>
      <c r="M164" s="20"/>
      <c r="N164" s="20"/>
      <c r="O164" s="20"/>
      <c r="P164" s="20"/>
      <c r="Q164" s="20"/>
      <c r="R164" s="20"/>
      <c r="S164" s="20"/>
      <c r="T164" s="20"/>
      <c r="U164" s="20"/>
      <c r="V164" s="20"/>
      <c r="W164" s="20"/>
      <c r="X164" s="20"/>
      <c r="Y164" s="20"/>
      <c r="Z164" s="20"/>
    </row>
    <row r="165" spans="3:26" ht="17.25" customHeight="1">
      <c r="C165" s="15"/>
      <c r="G165" s="47"/>
      <c r="H165" s="20"/>
      <c r="I165" s="20"/>
      <c r="J165" s="20"/>
      <c r="K165" s="20"/>
      <c r="L165" s="20"/>
      <c r="M165" s="20"/>
      <c r="N165" s="20"/>
      <c r="O165" s="20"/>
      <c r="P165" s="20"/>
      <c r="Q165" s="20"/>
      <c r="R165" s="20"/>
      <c r="S165" s="20"/>
      <c r="T165" s="20"/>
      <c r="U165" s="20"/>
      <c r="V165" s="20"/>
      <c r="W165" s="20"/>
      <c r="X165" s="20"/>
      <c r="Y165" s="20"/>
      <c r="Z165" s="20"/>
    </row>
    <row r="166" spans="3:26" ht="17.25" customHeight="1">
      <c r="C166" s="15"/>
      <c r="G166" s="47"/>
      <c r="H166" s="20"/>
      <c r="I166" s="20"/>
      <c r="J166" s="20"/>
      <c r="K166" s="20"/>
      <c r="L166" s="20"/>
      <c r="M166" s="20"/>
      <c r="N166" s="20"/>
      <c r="O166" s="20"/>
      <c r="P166" s="20"/>
      <c r="Q166" s="20"/>
      <c r="R166" s="20"/>
      <c r="S166" s="20"/>
      <c r="T166" s="20"/>
      <c r="U166" s="20"/>
      <c r="V166" s="20"/>
      <c r="W166" s="20"/>
      <c r="X166" s="20"/>
      <c r="Y166" s="20"/>
      <c r="Z166" s="20"/>
    </row>
    <row r="167" spans="3:26" ht="17.25" customHeight="1">
      <c r="C167" s="15"/>
      <c r="G167" s="47"/>
      <c r="H167" s="20"/>
      <c r="I167" s="20"/>
      <c r="J167" s="20"/>
      <c r="K167" s="20"/>
      <c r="L167" s="20"/>
      <c r="M167" s="20"/>
      <c r="N167" s="20"/>
      <c r="O167" s="20"/>
      <c r="P167" s="20"/>
      <c r="Q167" s="20"/>
      <c r="R167" s="20"/>
      <c r="S167" s="20"/>
      <c r="T167" s="20"/>
      <c r="U167" s="20"/>
      <c r="V167" s="20"/>
      <c r="W167" s="20"/>
      <c r="X167" s="20"/>
      <c r="Y167" s="20"/>
      <c r="Z167" s="20"/>
    </row>
    <row r="168" spans="3:26" ht="17.25" customHeight="1">
      <c r="C168" s="15"/>
      <c r="G168" s="47"/>
      <c r="H168" s="20"/>
      <c r="I168" s="20"/>
      <c r="J168" s="20"/>
      <c r="K168" s="20"/>
      <c r="L168" s="20"/>
      <c r="M168" s="20"/>
      <c r="N168" s="20"/>
      <c r="O168" s="20"/>
      <c r="P168" s="20"/>
      <c r="Q168" s="20"/>
      <c r="R168" s="20"/>
      <c r="S168" s="20"/>
      <c r="T168" s="20"/>
      <c r="U168" s="20"/>
      <c r="V168" s="20"/>
      <c r="W168" s="20"/>
      <c r="X168" s="20"/>
      <c r="Y168" s="20"/>
      <c r="Z168" s="20"/>
    </row>
    <row r="169" spans="3:26" ht="17.25" customHeight="1">
      <c r="C169" s="15"/>
      <c r="G169" s="47"/>
      <c r="H169" s="20"/>
      <c r="I169" s="20"/>
      <c r="J169" s="20"/>
      <c r="K169" s="20"/>
      <c r="L169" s="20"/>
      <c r="M169" s="20"/>
      <c r="N169" s="20"/>
      <c r="O169" s="20"/>
      <c r="P169" s="20"/>
      <c r="Q169" s="20"/>
      <c r="R169" s="20"/>
      <c r="S169" s="20"/>
      <c r="T169" s="20"/>
      <c r="U169" s="20"/>
      <c r="V169" s="20"/>
      <c r="W169" s="20"/>
      <c r="X169" s="20"/>
      <c r="Y169" s="20"/>
      <c r="Z169" s="20"/>
    </row>
    <row r="170" spans="3:26" ht="17.25" customHeight="1">
      <c r="C170" s="15"/>
      <c r="G170" s="47"/>
      <c r="H170" s="20"/>
      <c r="I170" s="20"/>
      <c r="J170" s="20"/>
      <c r="K170" s="20"/>
      <c r="L170" s="20"/>
      <c r="M170" s="20"/>
      <c r="N170" s="20"/>
      <c r="O170" s="20"/>
      <c r="P170" s="20"/>
      <c r="Q170" s="20"/>
      <c r="R170" s="20"/>
      <c r="S170" s="20"/>
      <c r="T170" s="20"/>
      <c r="U170" s="20"/>
      <c r="V170" s="20"/>
      <c r="W170" s="20"/>
      <c r="X170" s="20"/>
      <c r="Y170" s="20"/>
      <c r="Z170" s="20"/>
    </row>
    <row r="171" spans="3:26" ht="17.25" customHeight="1">
      <c r="C171" s="15"/>
      <c r="G171" s="47"/>
      <c r="H171" s="20"/>
      <c r="I171" s="20"/>
      <c r="J171" s="20"/>
      <c r="K171" s="20"/>
      <c r="L171" s="20"/>
      <c r="M171" s="20"/>
      <c r="N171" s="20"/>
      <c r="O171" s="20"/>
      <c r="P171" s="20"/>
      <c r="Q171" s="20"/>
      <c r="R171" s="20"/>
      <c r="S171" s="20"/>
      <c r="T171" s="20"/>
      <c r="U171" s="20"/>
      <c r="V171" s="20"/>
      <c r="W171" s="20"/>
      <c r="X171" s="20"/>
      <c r="Y171" s="20"/>
      <c r="Z171" s="20"/>
    </row>
    <row r="172" spans="3:26" ht="17.25" customHeight="1">
      <c r="C172" s="15"/>
      <c r="G172" s="47"/>
      <c r="H172" s="20"/>
      <c r="I172" s="20"/>
      <c r="J172" s="20"/>
      <c r="K172" s="20"/>
      <c r="L172" s="20"/>
      <c r="M172" s="20"/>
      <c r="N172" s="20"/>
      <c r="O172" s="20"/>
      <c r="P172" s="20"/>
      <c r="Q172" s="20"/>
      <c r="R172" s="20"/>
      <c r="S172" s="20"/>
      <c r="T172" s="20"/>
      <c r="U172" s="20"/>
      <c r="V172" s="20"/>
      <c r="W172" s="20"/>
      <c r="X172" s="20"/>
      <c r="Y172" s="20"/>
      <c r="Z172" s="20"/>
    </row>
    <row r="173" spans="3:26" ht="17.25" customHeight="1">
      <c r="C173" s="15"/>
      <c r="G173" s="47"/>
      <c r="H173" s="20"/>
      <c r="I173" s="20"/>
      <c r="J173" s="20"/>
      <c r="K173" s="20"/>
      <c r="L173" s="20"/>
      <c r="M173" s="20"/>
      <c r="N173" s="20"/>
      <c r="O173" s="20"/>
      <c r="P173" s="20"/>
      <c r="Q173" s="20"/>
      <c r="R173" s="20"/>
      <c r="S173" s="20"/>
      <c r="T173" s="20"/>
      <c r="U173" s="20"/>
      <c r="V173" s="20"/>
      <c r="W173" s="20"/>
      <c r="X173" s="20"/>
      <c r="Y173" s="20"/>
      <c r="Z173" s="20"/>
    </row>
    <row r="174" spans="3:26" ht="17.25" customHeight="1">
      <c r="C174" s="15"/>
      <c r="G174" s="47"/>
      <c r="H174" s="20"/>
      <c r="I174" s="20"/>
      <c r="J174" s="20"/>
      <c r="K174" s="20"/>
      <c r="L174" s="20"/>
      <c r="M174" s="20"/>
      <c r="N174" s="20"/>
      <c r="O174" s="20"/>
      <c r="P174" s="20"/>
      <c r="Q174" s="20"/>
      <c r="R174" s="20"/>
      <c r="S174" s="20"/>
      <c r="T174" s="20"/>
      <c r="U174" s="20"/>
      <c r="V174" s="20"/>
      <c r="W174" s="20"/>
      <c r="X174" s="20"/>
      <c r="Y174" s="20"/>
      <c r="Z174" s="20"/>
    </row>
    <row r="175" spans="3:26" ht="17.25" customHeight="1">
      <c r="C175" s="15"/>
      <c r="G175" s="47"/>
      <c r="H175" s="20"/>
      <c r="I175" s="20"/>
      <c r="J175" s="20"/>
      <c r="K175" s="20"/>
      <c r="L175" s="20"/>
      <c r="M175" s="20"/>
      <c r="N175" s="20"/>
      <c r="O175" s="20"/>
      <c r="P175" s="20"/>
      <c r="Q175" s="20"/>
      <c r="R175" s="20"/>
      <c r="S175" s="20"/>
      <c r="T175" s="20"/>
      <c r="U175" s="20"/>
      <c r="V175" s="20"/>
      <c r="W175" s="20"/>
      <c r="X175" s="20"/>
      <c r="Y175" s="20"/>
      <c r="Z175" s="20"/>
    </row>
    <row r="176" spans="3:26" ht="17.25" customHeight="1">
      <c r="C176" s="15"/>
      <c r="G176" s="47"/>
      <c r="H176" s="20"/>
      <c r="I176" s="20"/>
      <c r="J176" s="20"/>
      <c r="K176" s="20"/>
      <c r="L176" s="20"/>
      <c r="M176" s="20"/>
      <c r="N176" s="20"/>
      <c r="O176" s="20"/>
      <c r="P176" s="20"/>
      <c r="Q176" s="20"/>
      <c r="R176" s="20"/>
      <c r="S176" s="20"/>
      <c r="T176" s="20"/>
      <c r="U176" s="20"/>
      <c r="V176" s="20"/>
      <c r="W176" s="20"/>
      <c r="X176" s="20"/>
      <c r="Y176" s="20"/>
      <c r="Z176" s="20"/>
    </row>
    <row r="177" spans="3:26" ht="17.25" customHeight="1">
      <c r="C177" s="15"/>
      <c r="G177" s="47"/>
      <c r="H177" s="20"/>
      <c r="I177" s="20"/>
      <c r="J177" s="20"/>
      <c r="K177" s="20"/>
      <c r="L177" s="20"/>
      <c r="M177" s="20"/>
      <c r="N177" s="20"/>
      <c r="O177" s="20"/>
      <c r="P177" s="20"/>
      <c r="Q177" s="20"/>
      <c r="R177" s="20"/>
      <c r="S177" s="20"/>
      <c r="T177" s="20"/>
      <c r="U177" s="20"/>
      <c r="V177" s="20"/>
      <c r="W177" s="20"/>
      <c r="X177" s="20"/>
      <c r="Y177" s="20"/>
      <c r="Z177" s="20"/>
    </row>
    <row r="178" spans="3:26" ht="17.25" customHeight="1">
      <c r="C178" s="15"/>
      <c r="G178" s="47"/>
      <c r="H178" s="20"/>
      <c r="I178" s="20"/>
      <c r="J178" s="20"/>
      <c r="K178" s="20"/>
      <c r="L178" s="20"/>
      <c r="M178" s="20"/>
      <c r="N178" s="20"/>
      <c r="O178" s="20"/>
      <c r="P178" s="20"/>
      <c r="Q178" s="20"/>
      <c r="R178" s="20"/>
      <c r="S178" s="20"/>
      <c r="T178" s="20"/>
      <c r="U178" s="20"/>
      <c r="V178" s="20"/>
      <c r="W178" s="20"/>
      <c r="X178" s="20"/>
      <c r="Y178" s="20"/>
      <c r="Z178" s="20"/>
    </row>
    <row r="179" spans="3:26" ht="17.25" customHeight="1">
      <c r="C179" s="15"/>
      <c r="G179" s="47"/>
      <c r="H179" s="20"/>
      <c r="I179" s="20"/>
      <c r="J179" s="20"/>
      <c r="K179" s="20"/>
      <c r="L179" s="20"/>
      <c r="M179" s="20"/>
      <c r="N179" s="20"/>
      <c r="O179" s="20"/>
      <c r="P179" s="20"/>
      <c r="Q179" s="20"/>
      <c r="R179" s="20"/>
      <c r="S179" s="20"/>
      <c r="T179" s="20"/>
      <c r="U179" s="20"/>
      <c r="V179" s="20"/>
      <c r="W179" s="20"/>
      <c r="X179" s="20"/>
      <c r="Y179" s="20"/>
      <c r="Z179" s="20"/>
    </row>
    <row r="180" spans="3:26" ht="17.25" customHeight="1">
      <c r="C180" s="15"/>
      <c r="G180" s="47"/>
      <c r="H180" s="20"/>
      <c r="I180" s="20"/>
      <c r="J180" s="20"/>
      <c r="K180" s="20"/>
      <c r="L180" s="20"/>
      <c r="M180" s="20"/>
      <c r="N180" s="20"/>
      <c r="O180" s="20"/>
      <c r="P180" s="20"/>
      <c r="Q180" s="20"/>
      <c r="R180" s="20"/>
      <c r="S180" s="20"/>
      <c r="T180" s="20"/>
      <c r="U180" s="20"/>
      <c r="V180" s="20"/>
      <c r="W180" s="20"/>
      <c r="X180" s="20"/>
      <c r="Y180" s="20"/>
      <c r="Z180" s="20"/>
    </row>
    <row r="181" spans="3:26" ht="17.25" customHeight="1">
      <c r="C181" s="15"/>
      <c r="G181" s="47"/>
      <c r="H181" s="20"/>
      <c r="I181" s="20"/>
      <c r="J181" s="20"/>
      <c r="K181" s="20"/>
      <c r="L181" s="20"/>
      <c r="M181" s="20"/>
      <c r="N181" s="20"/>
      <c r="O181" s="20"/>
      <c r="P181" s="20"/>
      <c r="Q181" s="20"/>
      <c r="R181" s="20"/>
      <c r="S181" s="20"/>
      <c r="T181" s="20"/>
      <c r="U181" s="20"/>
      <c r="V181" s="20"/>
      <c r="W181" s="20"/>
      <c r="X181" s="20"/>
      <c r="Y181" s="20"/>
      <c r="Z181" s="20"/>
    </row>
    <row r="182" spans="3:26" ht="17.25" customHeight="1">
      <c r="C182" s="15"/>
      <c r="G182" s="47"/>
      <c r="H182" s="20"/>
      <c r="I182" s="20"/>
      <c r="J182" s="20"/>
      <c r="K182" s="20"/>
      <c r="L182" s="20"/>
      <c r="M182" s="20"/>
      <c r="N182" s="20"/>
      <c r="O182" s="20"/>
      <c r="P182" s="20"/>
      <c r="Q182" s="20"/>
      <c r="R182" s="20"/>
      <c r="S182" s="20"/>
      <c r="T182" s="20"/>
      <c r="U182" s="20"/>
      <c r="V182" s="20"/>
      <c r="W182" s="20"/>
      <c r="X182" s="20"/>
      <c r="Y182" s="20"/>
      <c r="Z182" s="20"/>
    </row>
    <row r="183" spans="3:26" ht="17.25" customHeight="1">
      <c r="C183" s="15"/>
      <c r="G183" s="47"/>
      <c r="H183" s="20"/>
      <c r="I183" s="20"/>
      <c r="J183" s="20"/>
      <c r="K183" s="20"/>
      <c r="L183" s="20"/>
      <c r="M183" s="20"/>
      <c r="N183" s="20"/>
      <c r="O183" s="20"/>
      <c r="P183" s="20"/>
      <c r="Q183" s="20"/>
      <c r="R183" s="20"/>
      <c r="S183" s="20"/>
      <c r="T183" s="20"/>
      <c r="U183" s="20"/>
      <c r="V183" s="20"/>
      <c r="W183" s="20"/>
      <c r="X183" s="20"/>
      <c r="Y183" s="20"/>
      <c r="Z183" s="20"/>
    </row>
    <row r="184" spans="3:26" ht="17.25" customHeight="1">
      <c r="C184" s="15"/>
      <c r="G184" s="47"/>
      <c r="H184" s="20"/>
      <c r="I184" s="20"/>
      <c r="J184" s="20"/>
      <c r="K184" s="20"/>
      <c r="L184" s="20"/>
      <c r="M184" s="20"/>
      <c r="N184" s="20"/>
      <c r="O184" s="20"/>
      <c r="P184" s="20"/>
      <c r="Q184" s="20"/>
      <c r="R184" s="20"/>
      <c r="S184" s="20"/>
      <c r="T184" s="20"/>
      <c r="U184" s="20"/>
      <c r="V184" s="20"/>
      <c r="W184" s="20"/>
      <c r="X184" s="20"/>
      <c r="Y184" s="20"/>
      <c r="Z184" s="20"/>
    </row>
    <row r="185" spans="3:26" ht="17.25" customHeight="1">
      <c r="C185" s="15"/>
      <c r="G185" s="47"/>
      <c r="H185" s="20"/>
      <c r="I185" s="20"/>
      <c r="J185" s="20"/>
      <c r="K185" s="20"/>
      <c r="L185" s="20"/>
      <c r="M185" s="20"/>
      <c r="N185" s="20"/>
      <c r="O185" s="20"/>
      <c r="P185" s="20"/>
      <c r="Q185" s="20"/>
      <c r="R185" s="20"/>
      <c r="S185" s="20"/>
      <c r="T185" s="20"/>
      <c r="U185" s="20"/>
      <c r="V185" s="20"/>
      <c r="W185" s="20"/>
      <c r="X185" s="20"/>
      <c r="Y185" s="20"/>
      <c r="Z185" s="20"/>
    </row>
    <row r="186" spans="3:26" ht="17.25" customHeight="1">
      <c r="C186" s="15"/>
      <c r="G186" s="47"/>
      <c r="H186" s="20"/>
      <c r="I186" s="20"/>
      <c r="J186" s="20"/>
      <c r="K186" s="20"/>
      <c r="L186" s="20"/>
      <c r="M186" s="20"/>
      <c r="N186" s="20"/>
      <c r="O186" s="20"/>
      <c r="P186" s="20"/>
      <c r="Q186" s="20"/>
      <c r="R186" s="20"/>
      <c r="S186" s="20"/>
      <c r="T186" s="20"/>
      <c r="U186" s="20"/>
      <c r="V186" s="20"/>
      <c r="W186" s="20"/>
      <c r="X186" s="20"/>
      <c r="Y186" s="20"/>
      <c r="Z186" s="20"/>
    </row>
    <row r="187" spans="3:26" ht="17.25" customHeight="1">
      <c r="C187" s="15"/>
      <c r="G187" s="47"/>
      <c r="H187" s="20"/>
      <c r="I187" s="20"/>
      <c r="J187" s="20"/>
      <c r="K187" s="20"/>
      <c r="L187" s="20"/>
      <c r="M187" s="20"/>
      <c r="N187" s="20"/>
      <c r="O187" s="20"/>
      <c r="P187" s="20"/>
      <c r="Q187" s="20"/>
      <c r="R187" s="20"/>
      <c r="S187" s="20"/>
      <c r="T187" s="20"/>
      <c r="U187" s="20"/>
      <c r="V187" s="20"/>
      <c r="W187" s="20"/>
      <c r="X187" s="20"/>
      <c r="Y187" s="20"/>
      <c r="Z187" s="20"/>
    </row>
    <row r="188" spans="3:26" ht="17.25" customHeight="1">
      <c r="C188" s="15"/>
      <c r="G188" s="47"/>
      <c r="H188" s="20"/>
      <c r="I188" s="20"/>
      <c r="J188" s="20"/>
      <c r="K188" s="20"/>
      <c r="L188" s="20"/>
      <c r="M188" s="20"/>
      <c r="N188" s="20"/>
      <c r="O188" s="20"/>
      <c r="P188" s="20"/>
      <c r="Q188" s="20"/>
      <c r="R188" s="20"/>
      <c r="S188" s="20"/>
      <c r="T188" s="20"/>
      <c r="U188" s="20"/>
      <c r="V188" s="20"/>
      <c r="W188" s="20"/>
      <c r="X188" s="20"/>
      <c r="Y188" s="20"/>
      <c r="Z188" s="20"/>
    </row>
    <row r="189" spans="3:26" ht="17.25" customHeight="1">
      <c r="C189" s="15"/>
      <c r="G189" s="47"/>
      <c r="H189" s="20"/>
      <c r="I189" s="20"/>
      <c r="J189" s="20"/>
      <c r="K189" s="20"/>
      <c r="L189" s="20"/>
      <c r="M189" s="20"/>
      <c r="N189" s="20"/>
      <c r="O189" s="20"/>
      <c r="P189" s="20"/>
      <c r="Q189" s="20"/>
      <c r="R189" s="20"/>
      <c r="S189" s="20"/>
      <c r="T189" s="20"/>
      <c r="U189" s="20"/>
      <c r="V189" s="20"/>
      <c r="W189" s="20"/>
      <c r="X189" s="20"/>
      <c r="Y189" s="20"/>
      <c r="Z189" s="20"/>
    </row>
    <row r="190" spans="3:26" ht="17.25" customHeight="1">
      <c r="C190" s="15"/>
      <c r="G190" s="47"/>
      <c r="H190" s="20"/>
      <c r="I190" s="20"/>
      <c r="J190" s="20"/>
      <c r="K190" s="20"/>
      <c r="L190" s="20"/>
      <c r="M190" s="20"/>
      <c r="N190" s="20"/>
      <c r="O190" s="20"/>
      <c r="P190" s="20"/>
      <c r="Q190" s="20"/>
      <c r="R190" s="20"/>
      <c r="S190" s="20"/>
      <c r="T190" s="20"/>
      <c r="U190" s="20"/>
      <c r="V190" s="20"/>
      <c r="W190" s="20"/>
      <c r="X190" s="20"/>
      <c r="Y190" s="20"/>
      <c r="Z190" s="20"/>
    </row>
    <row r="191" spans="3:26" ht="17.25" customHeight="1">
      <c r="C191" s="15"/>
      <c r="G191" s="47"/>
      <c r="H191" s="20"/>
      <c r="I191" s="20"/>
      <c r="J191" s="20"/>
      <c r="K191" s="20"/>
      <c r="L191" s="20"/>
      <c r="M191" s="20"/>
      <c r="N191" s="20"/>
      <c r="O191" s="20"/>
      <c r="P191" s="20"/>
      <c r="Q191" s="20"/>
      <c r="R191" s="20"/>
      <c r="S191" s="20"/>
      <c r="T191" s="20"/>
      <c r="U191" s="20"/>
      <c r="V191" s="20"/>
      <c r="W191" s="20"/>
      <c r="X191" s="20"/>
      <c r="Y191" s="20"/>
      <c r="Z191" s="20"/>
    </row>
    <row r="192" spans="3:26" ht="17.25" customHeight="1">
      <c r="C192" s="15"/>
      <c r="G192" s="47"/>
      <c r="H192" s="20"/>
      <c r="I192" s="20"/>
      <c r="J192" s="20"/>
      <c r="K192" s="20"/>
      <c r="L192" s="20"/>
      <c r="M192" s="20"/>
      <c r="N192" s="20"/>
      <c r="O192" s="20"/>
      <c r="P192" s="20"/>
      <c r="Q192" s="20"/>
      <c r="R192" s="20"/>
      <c r="S192" s="20"/>
      <c r="T192" s="20"/>
      <c r="U192" s="20"/>
      <c r="V192" s="20"/>
      <c r="W192" s="20"/>
      <c r="X192" s="20"/>
      <c r="Y192" s="20"/>
      <c r="Z192" s="20"/>
    </row>
    <row r="193" spans="3:26" ht="17.25" customHeight="1">
      <c r="C193" s="15"/>
      <c r="G193" s="47"/>
      <c r="H193" s="20"/>
      <c r="I193" s="20"/>
      <c r="J193" s="20"/>
      <c r="K193" s="20"/>
      <c r="L193" s="20"/>
      <c r="M193" s="20"/>
      <c r="N193" s="20"/>
      <c r="O193" s="20"/>
      <c r="P193" s="20"/>
      <c r="Q193" s="20"/>
      <c r="R193" s="20"/>
      <c r="S193" s="20"/>
      <c r="T193" s="20"/>
      <c r="U193" s="20"/>
      <c r="V193" s="20"/>
      <c r="W193" s="20"/>
      <c r="X193" s="20"/>
      <c r="Y193" s="20"/>
      <c r="Z193" s="20"/>
    </row>
    <row r="194" spans="3:26" ht="17.25" customHeight="1">
      <c r="C194" s="15"/>
      <c r="G194" s="47"/>
      <c r="H194" s="20"/>
      <c r="I194" s="20"/>
      <c r="J194" s="20"/>
      <c r="K194" s="20"/>
      <c r="L194" s="20"/>
      <c r="M194" s="20"/>
      <c r="N194" s="20"/>
      <c r="O194" s="20"/>
      <c r="P194" s="20"/>
      <c r="Q194" s="20"/>
      <c r="R194" s="20"/>
      <c r="S194" s="20"/>
      <c r="T194" s="20"/>
      <c r="U194" s="20"/>
      <c r="V194" s="20"/>
      <c r="W194" s="20"/>
      <c r="X194" s="20"/>
      <c r="Y194" s="20"/>
      <c r="Z194" s="20"/>
    </row>
    <row r="195" spans="3:26" ht="17.25" customHeight="1">
      <c r="C195" s="15"/>
      <c r="G195" s="47"/>
      <c r="H195" s="20"/>
      <c r="I195" s="20"/>
      <c r="J195" s="20"/>
      <c r="K195" s="20"/>
      <c r="L195" s="20"/>
      <c r="M195" s="20"/>
      <c r="N195" s="20"/>
      <c r="O195" s="20"/>
      <c r="P195" s="20"/>
      <c r="Q195" s="20"/>
      <c r="R195" s="20"/>
      <c r="S195" s="20"/>
      <c r="T195" s="20"/>
      <c r="U195" s="20"/>
      <c r="V195" s="20"/>
      <c r="W195" s="20"/>
      <c r="X195" s="20"/>
      <c r="Y195" s="20"/>
      <c r="Z195" s="20"/>
    </row>
    <row r="196" spans="3:26" ht="17.25" customHeight="1">
      <c r="C196" s="15"/>
      <c r="G196" s="47"/>
      <c r="H196" s="20"/>
      <c r="I196" s="20"/>
      <c r="J196" s="20"/>
      <c r="K196" s="20"/>
      <c r="L196" s="20"/>
      <c r="M196" s="20"/>
      <c r="N196" s="20"/>
      <c r="O196" s="20"/>
      <c r="P196" s="20"/>
      <c r="Q196" s="20"/>
      <c r="R196" s="20"/>
      <c r="S196" s="20"/>
      <c r="T196" s="20"/>
      <c r="U196" s="20"/>
      <c r="V196" s="20"/>
      <c r="W196" s="20"/>
      <c r="X196" s="20"/>
      <c r="Y196" s="20"/>
      <c r="Z196" s="20"/>
    </row>
    <row r="197" spans="3:26" ht="17.25" customHeight="1">
      <c r="C197" s="15"/>
      <c r="G197" s="47"/>
      <c r="H197" s="20"/>
      <c r="I197" s="20"/>
      <c r="J197" s="20"/>
      <c r="K197" s="20"/>
      <c r="L197" s="20"/>
      <c r="M197" s="20"/>
      <c r="N197" s="20"/>
      <c r="O197" s="20"/>
      <c r="P197" s="20"/>
      <c r="Q197" s="20"/>
      <c r="R197" s="20"/>
      <c r="S197" s="20"/>
      <c r="T197" s="20"/>
      <c r="U197" s="20"/>
      <c r="V197" s="20"/>
      <c r="W197" s="20"/>
      <c r="X197" s="20"/>
      <c r="Y197" s="20"/>
      <c r="Z197" s="20"/>
    </row>
    <row r="198" spans="3:26" ht="17.25" customHeight="1">
      <c r="C198" s="15"/>
      <c r="G198" s="47"/>
      <c r="H198" s="20"/>
      <c r="I198" s="20"/>
      <c r="J198" s="20"/>
      <c r="K198" s="20"/>
      <c r="L198" s="20"/>
      <c r="M198" s="20"/>
      <c r="N198" s="20"/>
      <c r="O198" s="20"/>
      <c r="P198" s="20"/>
      <c r="Q198" s="20"/>
      <c r="R198" s="20"/>
      <c r="S198" s="20"/>
      <c r="T198" s="20"/>
      <c r="U198" s="20"/>
      <c r="V198" s="20"/>
      <c r="W198" s="20"/>
      <c r="X198" s="20"/>
      <c r="Y198" s="20"/>
      <c r="Z198" s="20"/>
    </row>
    <row r="199" spans="3:26" ht="17.25" customHeight="1">
      <c r="C199" s="15"/>
      <c r="G199" s="47"/>
      <c r="H199" s="20"/>
      <c r="I199" s="20"/>
      <c r="J199" s="20"/>
      <c r="K199" s="20"/>
      <c r="L199" s="20"/>
      <c r="M199" s="20"/>
      <c r="N199" s="20"/>
      <c r="O199" s="20"/>
      <c r="P199" s="20"/>
      <c r="Q199" s="20"/>
      <c r="R199" s="20"/>
      <c r="S199" s="20"/>
      <c r="T199" s="20"/>
      <c r="U199" s="20"/>
      <c r="V199" s="20"/>
      <c r="W199" s="20"/>
      <c r="X199" s="20"/>
      <c r="Y199" s="20"/>
      <c r="Z199" s="20"/>
    </row>
    <row r="200" spans="3:26" ht="17.25" customHeight="1">
      <c r="C200" s="15"/>
      <c r="G200" s="47"/>
      <c r="H200" s="20"/>
      <c r="I200" s="20"/>
      <c r="J200" s="20"/>
      <c r="K200" s="20"/>
      <c r="L200" s="20"/>
      <c r="M200" s="20"/>
      <c r="N200" s="20"/>
      <c r="O200" s="20"/>
      <c r="P200" s="20"/>
      <c r="Q200" s="20"/>
      <c r="R200" s="20"/>
      <c r="S200" s="20"/>
      <c r="T200" s="20"/>
      <c r="U200" s="20"/>
      <c r="V200" s="20"/>
      <c r="W200" s="20"/>
      <c r="X200" s="20"/>
      <c r="Y200" s="20"/>
      <c r="Z200" s="20"/>
    </row>
    <row r="201" spans="3:26" ht="17.25" customHeight="1">
      <c r="C201" s="15"/>
      <c r="G201" s="47"/>
      <c r="H201" s="20"/>
      <c r="I201" s="20"/>
      <c r="J201" s="20"/>
      <c r="K201" s="20"/>
      <c r="L201" s="20"/>
      <c r="M201" s="20"/>
      <c r="N201" s="20"/>
      <c r="O201" s="20"/>
      <c r="P201" s="20"/>
      <c r="Q201" s="20"/>
      <c r="R201" s="20"/>
      <c r="S201" s="20"/>
      <c r="T201" s="20"/>
      <c r="U201" s="20"/>
      <c r="V201" s="20"/>
      <c r="W201" s="20"/>
      <c r="X201" s="20"/>
      <c r="Y201" s="20"/>
      <c r="Z201" s="20"/>
    </row>
    <row r="202" spans="3:26" ht="17.25" customHeight="1">
      <c r="C202" s="15"/>
      <c r="G202" s="47"/>
      <c r="H202" s="20"/>
      <c r="I202" s="20"/>
      <c r="J202" s="20"/>
      <c r="K202" s="20"/>
      <c r="L202" s="20"/>
      <c r="M202" s="20"/>
      <c r="N202" s="20"/>
      <c r="O202" s="20"/>
      <c r="P202" s="20"/>
      <c r="Q202" s="20"/>
      <c r="R202" s="20"/>
      <c r="S202" s="20"/>
      <c r="T202" s="20"/>
      <c r="U202" s="20"/>
      <c r="V202" s="20"/>
      <c r="W202" s="20"/>
      <c r="X202" s="20"/>
      <c r="Y202" s="20"/>
      <c r="Z202" s="20"/>
    </row>
    <row r="203" spans="3:26" ht="17.25" customHeight="1">
      <c r="C203" s="15"/>
      <c r="G203" s="47"/>
      <c r="H203" s="20"/>
      <c r="I203" s="20"/>
      <c r="J203" s="20"/>
      <c r="K203" s="20"/>
      <c r="L203" s="20"/>
      <c r="M203" s="20"/>
      <c r="N203" s="20"/>
      <c r="O203" s="20"/>
      <c r="P203" s="20"/>
      <c r="Q203" s="20"/>
      <c r="R203" s="20"/>
      <c r="S203" s="20"/>
      <c r="T203" s="20"/>
      <c r="U203" s="20"/>
      <c r="V203" s="20"/>
      <c r="W203" s="20"/>
      <c r="X203" s="20"/>
      <c r="Y203" s="20"/>
      <c r="Z203" s="20"/>
    </row>
    <row r="204" spans="3:26" ht="17.25" customHeight="1">
      <c r="C204" s="15"/>
      <c r="G204" s="47"/>
      <c r="H204" s="20"/>
      <c r="I204" s="20"/>
      <c r="J204" s="20"/>
      <c r="K204" s="20"/>
      <c r="L204" s="20"/>
      <c r="M204" s="20"/>
      <c r="N204" s="20"/>
      <c r="O204" s="20"/>
      <c r="P204" s="20"/>
      <c r="Q204" s="20"/>
      <c r="R204" s="20"/>
      <c r="S204" s="20"/>
      <c r="T204" s="20"/>
      <c r="U204" s="20"/>
      <c r="V204" s="20"/>
      <c r="W204" s="20"/>
      <c r="X204" s="20"/>
      <c r="Y204" s="20"/>
      <c r="Z204" s="20"/>
    </row>
    <row r="205" spans="3:26" ht="17.25" customHeight="1">
      <c r="C205" s="15"/>
      <c r="G205" s="47"/>
      <c r="H205" s="20"/>
      <c r="I205" s="20"/>
      <c r="J205" s="20"/>
      <c r="K205" s="20"/>
      <c r="L205" s="20"/>
      <c r="M205" s="20"/>
      <c r="N205" s="20"/>
      <c r="O205" s="20"/>
      <c r="P205" s="20"/>
      <c r="Q205" s="20"/>
      <c r="R205" s="20"/>
      <c r="S205" s="20"/>
      <c r="T205" s="20"/>
      <c r="U205" s="20"/>
      <c r="V205" s="20"/>
      <c r="W205" s="20"/>
      <c r="X205" s="20"/>
      <c r="Y205" s="20"/>
      <c r="Z205" s="20"/>
    </row>
    <row r="206" spans="3:26" ht="17.25" customHeight="1">
      <c r="C206" s="15"/>
      <c r="G206" s="47"/>
      <c r="H206" s="20"/>
      <c r="I206" s="20"/>
      <c r="J206" s="20"/>
      <c r="K206" s="20"/>
      <c r="L206" s="20"/>
      <c r="M206" s="20"/>
      <c r="N206" s="20"/>
      <c r="O206" s="20"/>
      <c r="P206" s="20"/>
      <c r="Q206" s="20"/>
      <c r="R206" s="20"/>
      <c r="S206" s="20"/>
      <c r="T206" s="20"/>
      <c r="U206" s="20"/>
      <c r="V206" s="20"/>
      <c r="W206" s="20"/>
      <c r="X206" s="20"/>
      <c r="Y206" s="20"/>
      <c r="Z206" s="20"/>
    </row>
    <row r="207" spans="3:26" ht="17.25" customHeight="1">
      <c r="C207" s="15"/>
      <c r="G207" s="47"/>
      <c r="H207" s="20"/>
      <c r="I207" s="20"/>
      <c r="J207" s="20"/>
      <c r="K207" s="20"/>
      <c r="L207" s="20"/>
      <c r="M207" s="20"/>
      <c r="N207" s="20"/>
      <c r="O207" s="20"/>
      <c r="P207" s="20"/>
      <c r="Q207" s="20"/>
      <c r="R207" s="20"/>
      <c r="S207" s="20"/>
      <c r="T207" s="20"/>
      <c r="U207" s="20"/>
      <c r="V207" s="20"/>
      <c r="W207" s="20"/>
      <c r="X207" s="20"/>
      <c r="Y207" s="20"/>
      <c r="Z207" s="20"/>
    </row>
    <row r="208" spans="3:26" ht="17.25" customHeight="1">
      <c r="C208" s="15"/>
      <c r="G208" s="47"/>
      <c r="H208" s="20"/>
      <c r="I208" s="20"/>
      <c r="J208" s="20"/>
      <c r="K208" s="20"/>
      <c r="L208" s="20"/>
      <c r="M208" s="20"/>
      <c r="N208" s="20"/>
      <c r="O208" s="20"/>
      <c r="P208" s="20"/>
      <c r="Q208" s="20"/>
      <c r="R208" s="20"/>
      <c r="S208" s="20"/>
      <c r="T208" s="20"/>
      <c r="U208" s="20"/>
      <c r="V208" s="20"/>
      <c r="W208" s="20"/>
      <c r="X208" s="20"/>
      <c r="Y208" s="20"/>
      <c r="Z208" s="20"/>
    </row>
    <row r="209" spans="3:26" ht="17.25" customHeight="1">
      <c r="C209" s="15"/>
      <c r="G209" s="47"/>
      <c r="H209" s="20"/>
      <c r="I209" s="20"/>
      <c r="J209" s="20"/>
      <c r="K209" s="20"/>
      <c r="L209" s="20"/>
      <c r="M209" s="20"/>
      <c r="N209" s="20"/>
      <c r="O209" s="20"/>
      <c r="P209" s="20"/>
      <c r="Q209" s="20"/>
      <c r="R209" s="20"/>
      <c r="S209" s="20"/>
      <c r="T209" s="20"/>
      <c r="U209" s="20"/>
      <c r="V209" s="20"/>
      <c r="W209" s="20"/>
      <c r="X209" s="20"/>
      <c r="Y209" s="20"/>
      <c r="Z209" s="20"/>
    </row>
    <row r="210" spans="3:26" ht="17.25" customHeight="1">
      <c r="C210" s="15"/>
      <c r="G210" s="47"/>
      <c r="H210" s="20"/>
      <c r="I210" s="20"/>
      <c r="J210" s="20"/>
      <c r="K210" s="20"/>
      <c r="L210" s="20"/>
      <c r="M210" s="20"/>
      <c r="N210" s="20"/>
      <c r="O210" s="20"/>
      <c r="P210" s="20"/>
      <c r="Q210" s="20"/>
      <c r="R210" s="20"/>
      <c r="S210" s="20"/>
      <c r="T210" s="20"/>
      <c r="U210" s="20"/>
      <c r="V210" s="20"/>
      <c r="W210" s="20"/>
      <c r="X210" s="20"/>
      <c r="Y210" s="20"/>
      <c r="Z210" s="20"/>
    </row>
    <row r="211" spans="3:26" ht="17.25" customHeight="1">
      <c r="C211" s="15"/>
      <c r="G211" s="47"/>
      <c r="H211" s="20"/>
      <c r="I211" s="20"/>
      <c r="J211" s="20"/>
      <c r="K211" s="20"/>
      <c r="L211" s="20"/>
      <c r="M211" s="20"/>
      <c r="N211" s="20"/>
      <c r="O211" s="20"/>
      <c r="P211" s="20"/>
      <c r="Q211" s="20"/>
      <c r="R211" s="20"/>
      <c r="S211" s="20"/>
      <c r="T211" s="20"/>
      <c r="U211" s="20"/>
      <c r="V211" s="20"/>
      <c r="W211" s="20"/>
      <c r="X211" s="20"/>
      <c r="Y211" s="20"/>
      <c r="Z211" s="20"/>
    </row>
    <row r="212" spans="3:26" ht="17.25" customHeight="1">
      <c r="C212" s="15"/>
      <c r="G212" s="47"/>
      <c r="H212" s="20"/>
      <c r="I212" s="20"/>
      <c r="J212" s="20"/>
      <c r="K212" s="20"/>
      <c r="L212" s="20"/>
      <c r="M212" s="20"/>
      <c r="N212" s="20"/>
      <c r="O212" s="20"/>
      <c r="P212" s="20"/>
      <c r="Q212" s="20"/>
      <c r="R212" s="20"/>
      <c r="S212" s="20"/>
      <c r="T212" s="20"/>
      <c r="U212" s="20"/>
      <c r="V212" s="20"/>
      <c r="W212" s="20"/>
      <c r="X212" s="20"/>
      <c r="Y212" s="20"/>
      <c r="Z212" s="20"/>
    </row>
    <row r="213" spans="3:26" ht="17.25" customHeight="1">
      <c r="C213" s="15"/>
      <c r="G213" s="47"/>
      <c r="H213" s="20"/>
      <c r="I213" s="20"/>
      <c r="J213" s="20"/>
      <c r="K213" s="20"/>
      <c r="L213" s="20"/>
      <c r="M213" s="20"/>
      <c r="N213" s="20"/>
      <c r="O213" s="20"/>
      <c r="P213" s="20"/>
      <c r="Q213" s="20"/>
      <c r="R213" s="20"/>
      <c r="S213" s="20"/>
      <c r="T213" s="20"/>
      <c r="U213" s="20"/>
      <c r="V213" s="20"/>
      <c r="W213" s="20"/>
      <c r="X213" s="20"/>
      <c r="Y213" s="20"/>
      <c r="Z213" s="20"/>
    </row>
    <row r="214" spans="3:26" ht="17.25" customHeight="1">
      <c r="C214" s="15"/>
      <c r="G214" s="47"/>
      <c r="H214" s="20"/>
      <c r="I214" s="20"/>
      <c r="J214" s="20"/>
      <c r="K214" s="20"/>
      <c r="L214" s="20"/>
      <c r="M214" s="20"/>
      <c r="N214" s="20"/>
      <c r="O214" s="20"/>
      <c r="P214" s="20"/>
      <c r="Q214" s="20"/>
      <c r="R214" s="20"/>
      <c r="S214" s="20"/>
      <c r="T214" s="20"/>
      <c r="U214" s="20"/>
      <c r="V214" s="20"/>
      <c r="W214" s="20"/>
      <c r="X214" s="20"/>
      <c r="Y214" s="20"/>
      <c r="Z214" s="20"/>
    </row>
    <row r="215" spans="3:26" ht="17.25" customHeight="1">
      <c r="C215" s="15"/>
      <c r="G215" s="47"/>
      <c r="H215" s="20"/>
      <c r="I215" s="20"/>
      <c r="J215" s="20"/>
      <c r="K215" s="20"/>
      <c r="L215" s="20"/>
      <c r="M215" s="20"/>
      <c r="N215" s="20"/>
      <c r="O215" s="20"/>
      <c r="P215" s="20"/>
      <c r="Q215" s="20"/>
      <c r="R215" s="20"/>
      <c r="S215" s="20"/>
      <c r="T215" s="20"/>
      <c r="U215" s="20"/>
      <c r="V215" s="20"/>
      <c r="W215" s="20"/>
      <c r="X215" s="20"/>
      <c r="Y215" s="20"/>
      <c r="Z215" s="20"/>
    </row>
    <row r="216" spans="3:26" ht="17.25" customHeight="1">
      <c r="C216" s="15"/>
      <c r="G216" s="47"/>
      <c r="H216" s="20"/>
      <c r="I216" s="20"/>
      <c r="J216" s="20"/>
      <c r="K216" s="20"/>
      <c r="L216" s="20"/>
      <c r="M216" s="20"/>
      <c r="N216" s="20"/>
      <c r="O216" s="20"/>
      <c r="P216" s="20"/>
      <c r="Q216" s="20"/>
      <c r="R216" s="20"/>
      <c r="S216" s="20"/>
      <c r="T216" s="20"/>
      <c r="U216" s="20"/>
      <c r="V216" s="20"/>
      <c r="W216" s="20"/>
      <c r="X216" s="20"/>
      <c r="Y216" s="20"/>
      <c r="Z216" s="20"/>
    </row>
    <row r="217" spans="3:26" ht="17.25" customHeight="1">
      <c r="C217" s="15"/>
      <c r="G217" s="47"/>
      <c r="H217" s="20"/>
      <c r="I217" s="20"/>
      <c r="J217" s="20"/>
      <c r="K217" s="20"/>
      <c r="L217" s="20"/>
      <c r="M217" s="20"/>
      <c r="N217" s="20"/>
      <c r="O217" s="20"/>
      <c r="P217" s="20"/>
      <c r="Q217" s="20"/>
      <c r="R217" s="20"/>
      <c r="S217" s="20"/>
      <c r="T217" s="20"/>
      <c r="U217" s="20"/>
      <c r="V217" s="20"/>
      <c r="W217" s="20"/>
      <c r="X217" s="20"/>
      <c r="Y217" s="20"/>
      <c r="Z217" s="20"/>
    </row>
    <row r="218" spans="3:26" ht="17.25" customHeight="1">
      <c r="C218" s="15"/>
      <c r="G218" s="47"/>
      <c r="H218" s="20"/>
      <c r="I218" s="20"/>
      <c r="J218" s="20"/>
      <c r="K218" s="20"/>
      <c r="L218" s="20"/>
      <c r="M218" s="20"/>
      <c r="N218" s="20"/>
      <c r="O218" s="20"/>
      <c r="P218" s="20"/>
      <c r="Q218" s="20"/>
      <c r="R218" s="20"/>
      <c r="S218" s="20"/>
      <c r="T218" s="20"/>
      <c r="U218" s="20"/>
      <c r="V218" s="20"/>
      <c r="W218" s="20"/>
      <c r="X218" s="20"/>
      <c r="Y218" s="20"/>
      <c r="Z218" s="20"/>
    </row>
    <row r="219" spans="3:26" ht="17.25" customHeight="1">
      <c r="C219" s="15"/>
      <c r="G219" s="47"/>
      <c r="H219" s="20"/>
      <c r="I219" s="20"/>
      <c r="J219" s="20"/>
      <c r="K219" s="20"/>
      <c r="L219" s="20"/>
      <c r="M219" s="20"/>
      <c r="N219" s="20"/>
      <c r="O219" s="20"/>
      <c r="P219" s="20"/>
      <c r="Q219" s="20"/>
      <c r="R219" s="20"/>
      <c r="S219" s="20"/>
      <c r="T219" s="20"/>
      <c r="U219" s="20"/>
      <c r="V219" s="20"/>
      <c r="W219" s="20"/>
      <c r="X219" s="20"/>
      <c r="Y219" s="20"/>
      <c r="Z219" s="20"/>
    </row>
    <row r="220" spans="3:26" ht="17.25" customHeight="1">
      <c r="C220" s="15"/>
      <c r="G220" s="47"/>
      <c r="H220" s="20"/>
      <c r="I220" s="20"/>
      <c r="J220" s="20"/>
      <c r="K220" s="20"/>
      <c r="L220" s="20"/>
      <c r="M220" s="20"/>
      <c r="N220" s="20"/>
      <c r="O220" s="20"/>
      <c r="P220" s="20"/>
      <c r="Q220" s="20"/>
      <c r="R220" s="20"/>
      <c r="S220" s="20"/>
      <c r="T220" s="20"/>
      <c r="U220" s="20"/>
      <c r="V220" s="20"/>
      <c r="W220" s="20"/>
      <c r="X220" s="20"/>
      <c r="Y220" s="20"/>
      <c r="Z220" s="20"/>
    </row>
    <row r="221" spans="3:26" ht="17.25" customHeight="1">
      <c r="C221" s="15"/>
      <c r="G221" s="47"/>
      <c r="H221" s="20"/>
      <c r="I221" s="20"/>
      <c r="J221" s="20"/>
      <c r="K221" s="20"/>
      <c r="L221" s="20"/>
      <c r="M221" s="20"/>
      <c r="N221" s="20"/>
      <c r="O221" s="20"/>
      <c r="P221" s="20"/>
      <c r="Q221" s="20"/>
      <c r="R221" s="20"/>
      <c r="S221" s="20"/>
      <c r="T221" s="20"/>
      <c r="U221" s="20"/>
      <c r="V221" s="20"/>
      <c r="W221" s="20"/>
      <c r="X221" s="20"/>
      <c r="Y221" s="20"/>
      <c r="Z221" s="20"/>
    </row>
    <row r="222" spans="3:26" ht="17.25" customHeight="1">
      <c r="C222" s="15"/>
      <c r="G222" s="47"/>
      <c r="H222" s="20"/>
      <c r="I222" s="20"/>
      <c r="J222" s="20"/>
      <c r="K222" s="20"/>
      <c r="L222" s="20"/>
      <c r="M222" s="20"/>
      <c r="N222" s="20"/>
      <c r="O222" s="20"/>
      <c r="P222" s="20"/>
      <c r="Q222" s="20"/>
      <c r="R222" s="20"/>
      <c r="S222" s="20"/>
      <c r="T222" s="20"/>
      <c r="U222" s="20"/>
      <c r="V222" s="20"/>
      <c r="W222" s="20"/>
      <c r="X222" s="20"/>
      <c r="Y222" s="20"/>
      <c r="Z222" s="20"/>
    </row>
    <row r="223" spans="3:26" ht="17.25" customHeight="1">
      <c r="C223" s="15"/>
      <c r="G223" s="47"/>
      <c r="H223" s="20"/>
      <c r="I223" s="20"/>
      <c r="J223" s="20"/>
      <c r="K223" s="20"/>
      <c r="L223" s="20"/>
      <c r="M223" s="20"/>
      <c r="N223" s="20"/>
      <c r="O223" s="20"/>
      <c r="P223" s="20"/>
      <c r="Q223" s="20"/>
      <c r="R223" s="20"/>
      <c r="S223" s="20"/>
      <c r="T223" s="20"/>
      <c r="U223" s="20"/>
      <c r="V223" s="20"/>
      <c r="W223" s="20"/>
      <c r="X223" s="20"/>
      <c r="Y223" s="20"/>
      <c r="Z223" s="20"/>
    </row>
    <row r="224" spans="3:26" ht="17.25" customHeight="1">
      <c r="C224" s="15"/>
      <c r="G224" s="47"/>
      <c r="H224" s="20"/>
      <c r="I224" s="20"/>
      <c r="J224" s="20"/>
      <c r="K224" s="20"/>
      <c r="L224" s="20"/>
      <c r="M224" s="20"/>
      <c r="N224" s="20"/>
      <c r="O224" s="20"/>
      <c r="P224" s="20"/>
      <c r="Q224" s="20"/>
      <c r="R224" s="20"/>
      <c r="S224" s="20"/>
      <c r="T224" s="20"/>
      <c r="U224" s="20"/>
      <c r="V224" s="20"/>
      <c r="W224" s="20"/>
      <c r="X224" s="20"/>
      <c r="Y224" s="20"/>
      <c r="Z224" s="20"/>
    </row>
    <row r="225" spans="3:26" ht="17.25" customHeight="1">
      <c r="C225" s="15"/>
      <c r="G225" s="47"/>
      <c r="H225" s="20"/>
      <c r="I225" s="20"/>
      <c r="J225" s="20"/>
      <c r="K225" s="20"/>
      <c r="L225" s="20"/>
      <c r="M225" s="20"/>
      <c r="N225" s="20"/>
      <c r="O225" s="20"/>
      <c r="P225" s="20"/>
      <c r="Q225" s="20"/>
      <c r="R225" s="20"/>
      <c r="S225" s="20"/>
      <c r="T225" s="20"/>
      <c r="U225" s="20"/>
      <c r="V225" s="20"/>
      <c r="W225" s="20"/>
      <c r="X225" s="20"/>
      <c r="Y225" s="20"/>
      <c r="Z225" s="20"/>
    </row>
    <row r="226" spans="3:26" ht="17.25" customHeight="1">
      <c r="C226" s="15"/>
      <c r="G226" s="47"/>
      <c r="H226" s="20"/>
      <c r="I226" s="20"/>
      <c r="J226" s="20"/>
      <c r="K226" s="20"/>
      <c r="L226" s="20"/>
      <c r="M226" s="20"/>
      <c r="N226" s="20"/>
      <c r="O226" s="20"/>
      <c r="P226" s="20"/>
      <c r="Q226" s="20"/>
      <c r="R226" s="20"/>
      <c r="S226" s="20"/>
      <c r="T226" s="20"/>
      <c r="U226" s="20"/>
      <c r="V226" s="20"/>
      <c r="W226" s="20"/>
      <c r="X226" s="20"/>
      <c r="Y226" s="20"/>
      <c r="Z226" s="20"/>
    </row>
    <row r="227" spans="3:26" ht="17.25" customHeight="1">
      <c r="C227" s="15"/>
      <c r="G227" s="47"/>
      <c r="H227" s="20"/>
      <c r="I227" s="20"/>
      <c r="J227" s="20"/>
      <c r="K227" s="20"/>
      <c r="L227" s="20"/>
      <c r="M227" s="20"/>
      <c r="N227" s="20"/>
      <c r="O227" s="20"/>
      <c r="P227" s="20"/>
      <c r="Q227" s="20"/>
      <c r="R227" s="20"/>
      <c r="S227" s="20"/>
      <c r="T227" s="20"/>
      <c r="U227" s="20"/>
      <c r="V227" s="20"/>
      <c r="W227" s="20"/>
      <c r="X227" s="20"/>
      <c r="Y227" s="20"/>
      <c r="Z227" s="20"/>
    </row>
    <row r="228" spans="3:26" ht="17.25" customHeight="1">
      <c r="C228" s="15"/>
      <c r="G228" s="47"/>
      <c r="H228" s="20"/>
      <c r="I228" s="20"/>
      <c r="J228" s="20"/>
      <c r="K228" s="20"/>
      <c r="L228" s="20"/>
      <c r="M228" s="20"/>
      <c r="N228" s="20"/>
      <c r="O228" s="20"/>
      <c r="P228" s="20"/>
      <c r="Q228" s="20"/>
      <c r="R228" s="20"/>
      <c r="S228" s="20"/>
      <c r="T228" s="20"/>
      <c r="U228" s="20"/>
      <c r="V228" s="20"/>
      <c r="W228" s="20"/>
      <c r="X228" s="20"/>
      <c r="Y228" s="20"/>
      <c r="Z228" s="20"/>
    </row>
    <row r="229" spans="3:26" ht="17.25" customHeight="1">
      <c r="C229" s="15"/>
      <c r="G229" s="47"/>
      <c r="H229" s="20"/>
      <c r="I229" s="20"/>
      <c r="J229" s="20"/>
      <c r="K229" s="20"/>
      <c r="L229" s="20"/>
      <c r="M229" s="20"/>
      <c r="N229" s="20"/>
      <c r="O229" s="20"/>
      <c r="P229" s="20"/>
      <c r="Q229" s="20"/>
      <c r="R229" s="20"/>
      <c r="S229" s="20"/>
      <c r="T229" s="20"/>
      <c r="U229" s="20"/>
      <c r="V229" s="20"/>
      <c r="W229" s="20"/>
      <c r="X229" s="20"/>
      <c r="Y229" s="20"/>
      <c r="Z229" s="20"/>
    </row>
    <row r="230" spans="3:26" ht="17.25" customHeight="1">
      <c r="C230" s="15"/>
      <c r="G230" s="47"/>
      <c r="H230" s="20"/>
      <c r="I230" s="20"/>
      <c r="J230" s="20"/>
      <c r="K230" s="20"/>
      <c r="L230" s="20"/>
      <c r="M230" s="20"/>
      <c r="N230" s="20"/>
      <c r="O230" s="20"/>
      <c r="P230" s="20"/>
      <c r="Q230" s="20"/>
      <c r="R230" s="20"/>
      <c r="S230" s="20"/>
      <c r="T230" s="20"/>
      <c r="U230" s="20"/>
      <c r="V230" s="20"/>
      <c r="W230" s="20"/>
      <c r="X230" s="20"/>
      <c r="Y230" s="20"/>
      <c r="Z230" s="20"/>
    </row>
    <row r="231" spans="3:26" ht="17.25" customHeight="1">
      <c r="C231" s="15"/>
      <c r="G231" s="47"/>
      <c r="H231" s="20"/>
      <c r="I231" s="20"/>
      <c r="J231" s="20"/>
      <c r="K231" s="20"/>
      <c r="L231" s="20"/>
      <c r="M231" s="20"/>
      <c r="N231" s="20"/>
      <c r="O231" s="20"/>
      <c r="P231" s="20"/>
      <c r="Q231" s="20"/>
      <c r="R231" s="20"/>
      <c r="S231" s="20"/>
      <c r="T231" s="20"/>
      <c r="U231" s="20"/>
      <c r="V231" s="20"/>
      <c r="W231" s="20"/>
      <c r="X231" s="20"/>
      <c r="Y231" s="20"/>
      <c r="Z231" s="20"/>
    </row>
    <row r="232" spans="3:26" ht="17.25" customHeight="1">
      <c r="C232" s="15"/>
      <c r="G232" s="47"/>
      <c r="H232" s="20"/>
      <c r="I232" s="20"/>
      <c r="J232" s="20"/>
      <c r="K232" s="20"/>
      <c r="L232" s="20"/>
      <c r="M232" s="20"/>
      <c r="N232" s="20"/>
      <c r="O232" s="20"/>
      <c r="P232" s="20"/>
      <c r="Q232" s="20"/>
      <c r="R232" s="20"/>
      <c r="S232" s="20"/>
      <c r="T232" s="20"/>
      <c r="U232" s="20"/>
      <c r="V232" s="20"/>
      <c r="W232" s="20"/>
      <c r="X232" s="20"/>
      <c r="Y232" s="20"/>
      <c r="Z232" s="20"/>
    </row>
    <row r="233" spans="3:26" ht="17.25" customHeight="1">
      <c r="C233" s="15"/>
      <c r="G233" s="47"/>
      <c r="H233" s="20"/>
      <c r="I233" s="20"/>
      <c r="J233" s="20"/>
      <c r="K233" s="20"/>
      <c r="L233" s="20"/>
      <c r="M233" s="20"/>
      <c r="N233" s="20"/>
      <c r="O233" s="20"/>
      <c r="P233" s="20"/>
      <c r="Q233" s="20"/>
      <c r="R233" s="20"/>
      <c r="S233" s="20"/>
      <c r="T233" s="20"/>
      <c r="U233" s="20"/>
      <c r="V233" s="20"/>
      <c r="W233" s="20"/>
      <c r="X233" s="20"/>
      <c r="Y233" s="20"/>
      <c r="Z233" s="20"/>
    </row>
    <row r="234" spans="3:26" ht="17.25" customHeight="1">
      <c r="C234" s="15"/>
      <c r="G234" s="47"/>
      <c r="H234" s="20"/>
      <c r="I234" s="20"/>
      <c r="J234" s="20"/>
      <c r="K234" s="20"/>
      <c r="L234" s="20"/>
      <c r="M234" s="20"/>
      <c r="N234" s="20"/>
      <c r="O234" s="20"/>
      <c r="P234" s="20"/>
      <c r="Q234" s="20"/>
      <c r="R234" s="20"/>
      <c r="S234" s="20"/>
      <c r="T234" s="20"/>
      <c r="U234" s="20"/>
      <c r="V234" s="20"/>
      <c r="W234" s="20"/>
      <c r="X234" s="20"/>
      <c r="Y234" s="20"/>
      <c r="Z234" s="20"/>
    </row>
    <row r="235" spans="3:26" ht="17.25" customHeight="1">
      <c r="C235" s="15"/>
      <c r="G235" s="47"/>
      <c r="H235" s="20"/>
      <c r="I235" s="20"/>
      <c r="J235" s="20"/>
      <c r="K235" s="20"/>
      <c r="L235" s="20"/>
      <c r="M235" s="20"/>
      <c r="N235" s="20"/>
      <c r="O235" s="20"/>
      <c r="P235" s="20"/>
      <c r="Q235" s="20"/>
      <c r="R235" s="20"/>
      <c r="S235" s="20"/>
      <c r="T235" s="20"/>
      <c r="U235" s="20"/>
      <c r="V235" s="20"/>
      <c r="W235" s="20"/>
      <c r="X235" s="20"/>
      <c r="Y235" s="20"/>
      <c r="Z235" s="20"/>
    </row>
    <row r="236" spans="3:26" ht="17.25" customHeight="1">
      <c r="C236" s="15"/>
      <c r="G236" s="47"/>
      <c r="H236" s="20"/>
      <c r="I236" s="20"/>
      <c r="J236" s="20"/>
      <c r="K236" s="20"/>
      <c r="L236" s="20"/>
      <c r="M236" s="20"/>
      <c r="N236" s="20"/>
      <c r="O236" s="20"/>
      <c r="P236" s="20"/>
      <c r="Q236" s="20"/>
      <c r="R236" s="20"/>
      <c r="S236" s="20"/>
      <c r="T236" s="20"/>
      <c r="U236" s="20"/>
      <c r="V236" s="20"/>
      <c r="W236" s="20"/>
      <c r="X236" s="20"/>
      <c r="Y236" s="20"/>
      <c r="Z236" s="20"/>
    </row>
    <row r="237" spans="3:26" ht="17.25" customHeight="1">
      <c r="C237" s="15"/>
      <c r="G237" s="47"/>
      <c r="H237" s="20"/>
      <c r="I237" s="20"/>
      <c r="J237" s="20"/>
      <c r="K237" s="20"/>
      <c r="L237" s="20"/>
      <c r="M237" s="20"/>
      <c r="N237" s="20"/>
      <c r="O237" s="20"/>
      <c r="P237" s="20"/>
      <c r="Q237" s="20"/>
      <c r="R237" s="20"/>
      <c r="S237" s="20"/>
      <c r="T237" s="20"/>
      <c r="U237" s="20"/>
      <c r="V237" s="20"/>
      <c r="W237" s="20"/>
      <c r="X237" s="20"/>
      <c r="Y237" s="20"/>
      <c r="Z237" s="20"/>
    </row>
    <row r="238" spans="3:26" ht="17.25" customHeight="1">
      <c r="C238" s="15"/>
      <c r="G238" s="47"/>
      <c r="H238" s="20"/>
      <c r="I238" s="20"/>
      <c r="J238" s="20"/>
      <c r="K238" s="20"/>
      <c r="L238" s="20"/>
      <c r="M238" s="20"/>
      <c r="N238" s="20"/>
      <c r="O238" s="20"/>
      <c r="P238" s="20"/>
      <c r="Q238" s="20"/>
      <c r="R238" s="20"/>
      <c r="S238" s="20"/>
      <c r="T238" s="20"/>
      <c r="U238" s="20"/>
      <c r="V238" s="20"/>
      <c r="W238" s="20"/>
      <c r="X238" s="20"/>
      <c r="Y238" s="20"/>
      <c r="Z238" s="20"/>
    </row>
    <row r="239" spans="3:26" ht="17.25" customHeight="1">
      <c r="C239" s="15"/>
      <c r="G239" s="47"/>
      <c r="H239" s="20"/>
      <c r="I239" s="20"/>
      <c r="J239" s="20"/>
      <c r="K239" s="20"/>
      <c r="L239" s="20"/>
      <c r="M239" s="20"/>
      <c r="N239" s="20"/>
      <c r="O239" s="20"/>
      <c r="P239" s="20"/>
      <c r="Q239" s="20"/>
      <c r="R239" s="20"/>
      <c r="S239" s="20"/>
      <c r="T239" s="20"/>
      <c r="U239" s="20"/>
      <c r="V239" s="20"/>
      <c r="W239" s="20"/>
      <c r="X239" s="20"/>
      <c r="Y239" s="20"/>
      <c r="Z239" s="20"/>
    </row>
    <row r="240" spans="3:26" ht="17.25" customHeight="1">
      <c r="C240" s="15"/>
      <c r="G240" s="47"/>
      <c r="H240" s="20"/>
      <c r="I240" s="20"/>
      <c r="J240" s="20"/>
      <c r="K240" s="20"/>
      <c r="L240" s="20"/>
      <c r="M240" s="20"/>
      <c r="N240" s="20"/>
      <c r="O240" s="20"/>
      <c r="P240" s="20"/>
      <c r="Q240" s="20"/>
      <c r="R240" s="20"/>
      <c r="S240" s="20"/>
      <c r="T240" s="20"/>
      <c r="U240" s="20"/>
      <c r="V240" s="20"/>
      <c r="W240" s="20"/>
      <c r="X240" s="20"/>
      <c r="Y240" s="20"/>
      <c r="Z240" s="20"/>
    </row>
    <row r="241" spans="3:26" ht="17.25" customHeight="1">
      <c r="C241" s="15"/>
      <c r="G241" s="47"/>
      <c r="H241" s="20"/>
      <c r="I241" s="20"/>
      <c r="J241" s="20"/>
      <c r="K241" s="20"/>
      <c r="L241" s="20"/>
      <c r="M241" s="20"/>
      <c r="N241" s="20"/>
      <c r="O241" s="20"/>
      <c r="P241" s="20"/>
      <c r="Q241" s="20"/>
      <c r="R241" s="20"/>
      <c r="S241" s="20"/>
      <c r="T241" s="20"/>
      <c r="U241" s="20"/>
      <c r="V241" s="20"/>
      <c r="W241" s="20"/>
      <c r="X241" s="20"/>
      <c r="Y241" s="20"/>
      <c r="Z241" s="20"/>
    </row>
    <row r="242" spans="3:26" ht="17.25" customHeight="1">
      <c r="C242" s="15"/>
      <c r="G242" s="47"/>
      <c r="H242" s="20"/>
      <c r="I242" s="20"/>
      <c r="J242" s="20"/>
      <c r="K242" s="20"/>
      <c r="L242" s="20"/>
      <c r="M242" s="20"/>
      <c r="N242" s="20"/>
      <c r="O242" s="20"/>
      <c r="P242" s="20"/>
      <c r="Q242" s="20"/>
      <c r="R242" s="20"/>
      <c r="S242" s="20"/>
      <c r="T242" s="20"/>
      <c r="U242" s="20"/>
      <c r="V242" s="20"/>
      <c r="W242" s="20"/>
      <c r="X242" s="20"/>
      <c r="Y242" s="20"/>
      <c r="Z242" s="20"/>
    </row>
    <row r="243" spans="3:26" ht="17.25" customHeight="1">
      <c r="C243" s="15"/>
      <c r="G243" s="47"/>
      <c r="H243" s="20"/>
      <c r="I243" s="20"/>
      <c r="J243" s="20"/>
      <c r="K243" s="20"/>
      <c r="L243" s="20"/>
      <c r="M243" s="20"/>
      <c r="N243" s="20"/>
      <c r="O243" s="20"/>
      <c r="P243" s="20"/>
      <c r="Q243" s="20"/>
      <c r="R243" s="20"/>
      <c r="S243" s="20"/>
      <c r="T243" s="20"/>
      <c r="U243" s="20"/>
      <c r="V243" s="20"/>
      <c r="W243" s="20"/>
      <c r="X243" s="20"/>
      <c r="Y243" s="20"/>
      <c r="Z243" s="20"/>
    </row>
    <row r="244" spans="3:26" ht="17.25" customHeight="1">
      <c r="C244" s="15"/>
      <c r="G244" s="47"/>
      <c r="H244" s="20"/>
      <c r="I244" s="20"/>
      <c r="J244" s="20"/>
      <c r="K244" s="20"/>
      <c r="L244" s="20"/>
      <c r="M244" s="20"/>
      <c r="N244" s="20"/>
      <c r="O244" s="20"/>
      <c r="P244" s="20"/>
      <c r="Q244" s="20"/>
      <c r="R244" s="20"/>
      <c r="S244" s="20"/>
      <c r="T244" s="20"/>
      <c r="U244" s="20"/>
      <c r="V244" s="20"/>
      <c r="W244" s="20"/>
      <c r="X244" s="20"/>
      <c r="Y244" s="20"/>
      <c r="Z244" s="20"/>
    </row>
    <row r="245" spans="3:26" ht="17.25" customHeight="1">
      <c r="C245" s="15"/>
      <c r="G245" s="47"/>
      <c r="H245" s="20"/>
      <c r="I245" s="20"/>
      <c r="J245" s="20"/>
      <c r="K245" s="20"/>
      <c r="L245" s="20"/>
      <c r="M245" s="20"/>
      <c r="N245" s="20"/>
      <c r="O245" s="20"/>
      <c r="P245" s="20"/>
      <c r="Q245" s="20"/>
      <c r="R245" s="20"/>
      <c r="S245" s="20"/>
      <c r="T245" s="20"/>
      <c r="U245" s="20"/>
      <c r="V245" s="20"/>
      <c r="W245" s="20"/>
      <c r="X245" s="20"/>
      <c r="Y245" s="20"/>
      <c r="Z245" s="20"/>
    </row>
    <row r="246" spans="3:26" ht="17.25" customHeight="1">
      <c r="C246" s="15"/>
      <c r="G246" s="47"/>
      <c r="H246" s="20"/>
      <c r="I246" s="20"/>
      <c r="J246" s="20"/>
      <c r="K246" s="20"/>
      <c r="L246" s="20"/>
      <c r="M246" s="20"/>
      <c r="N246" s="20"/>
      <c r="O246" s="20"/>
      <c r="P246" s="20"/>
      <c r="Q246" s="20"/>
      <c r="R246" s="20"/>
      <c r="S246" s="20"/>
      <c r="T246" s="20"/>
      <c r="U246" s="20"/>
      <c r="V246" s="20"/>
      <c r="W246" s="20"/>
      <c r="X246" s="20"/>
      <c r="Y246" s="20"/>
      <c r="Z246" s="20"/>
    </row>
    <row r="247" spans="3:26" ht="17.25" customHeight="1">
      <c r="C247" s="15"/>
      <c r="G247" s="47"/>
      <c r="H247" s="20"/>
      <c r="I247" s="20"/>
      <c r="J247" s="20"/>
      <c r="K247" s="20"/>
      <c r="L247" s="20"/>
      <c r="M247" s="20"/>
      <c r="N247" s="20"/>
      <c r="O247" s="20"/>
      <c r="P247" s="20"/>
      <c r="Q247" s="20"/>
      <c r="R247" s="20"/>
      <c r="S247" s="20"/>
      <c r="T247" s="20"/>
      <c r="U247" s="20"/>
      <c r="V247" s="20"/>
      <c r="W247" s="20"/>
      <c r="X247" s="20"/>
      <c r="Y247" s="20"/>
      <c r="Z247" s="20"/>
    </row>
    <row r="248" spans="3:26" ht="17.25" customHeight="1">
      <c r="C248" s="15"/>
      <c r="G248" s="47"/>
      <c r="H248" s="20"/>
      <c r="I248" s="20"/>
      <c r="J248" s="20"/>
      <c r="K248" s="20"/>
      <c r="L248" s="20"/>
      <c r="M248" s="20"/>
      <c r="N248" s="20"/>
      <c r="O248" s="20"/>
      <c r="P248" s="20"/>
      <c r="Q248" s="20"/>
      <c r="R248" s="20"/>
      <c r="S248" s="20"/>
      <c r="T248" s="20"/>
      <c r="U248" s="20"/>
      <c r="V248" s="20"/>
      <c r="W248" s="20"/>
      <c r="X248" s="20"/>
      <c r="Y248" s="20"/>
      <c r="Z248" s="20"/>
    </row>
    <row r="249" spans="3:26" ht="17.25" customHeight="1">
      <c r="C249" s="15"/>
      <c r="G249" s="47"/>
      <c r="H249" s="20"/>
      <c r="I249" s="20"/>
      <c r="J249" s="20"/>
      <c r="K249" s="20"/>
      <c r="L249" s="20"/>
      <c r="M249" s="20"/>
      <c r="N249" s="20"/>
      <c r="O249" s="20"/>
      <c r="P249" s="20"/>
      <c r="Q249" s="20"/>
      <c r="R249" s="20"/>
      <c r="S249" s="20"/>
      <c r="T249" s="20"/>
      <c r="U249" s="20"/>
      <c r="V249" s="20"/>
      <c r="W249" s="20"/>
      <c r="X249" s="20"/>
      <c r="Y249" s="20"/>
      <c r="Z249" s="20"/>
    </row>
    <row r="250" spans="3:26" ht="17.25" customHeight="1">
      <c r="C250" s="15"/>
      <c r="G250" s="47"/>
      <c r="H250" s="20"/>
      <c r="I250" s="20"/>
      <c r="J250" s="20"/>
      <c r="K250" s="20"/>
      <c r="L250" s="20"/>
      <c r="M250" s="20"/>
      <c r="N250" s="20"/>
      <c r="O250" s="20"/>
      <c r="P250" s="20"/>
      <c r="Q250" s="20"/>
      <c r="R250" s="20"/>
      <c r="S250" s="20"/>
      <c r="T250" s="20"/>
      <c r="U250" s="20"/>
      <c r="V250" s="20"/>
      <c r="W250" s="20"/>
      <c r="X250" s="20"/>
      <c r="Y250" s="20"/>
      <c r="Z250" s="20"/>
    </row>
    <row r="251" spans="3:26" ht="17.25" customHeight="1">
      <c r="C251" s="15"/>
      <c r="G251" s="47"/>
      <c r="H251" s="20"/>
      <c r="I251" s="20"/>
      <c r="J251" s="20"/>
      <c r="K251" s="20"/>
      <c r="L251" s="20"/>
      <c r="M251" s="20"/>
      <c r="N251" s="20"/>
      <c r="O251" s="20"/>
      <c r="P251" s="20"/>
      <c r="Q251" s="20"/>
      <c r="R251" s="20"/>
      <c r="S251" s="20"/>
      <c r="T251" s="20"/>
      <c r="U251" s="20"/>
      <c r="V251" s="20"/>
      <c r="W251" s="20"/>
      <c r="X251" s="20"/>
      <c r="Y251" s="20"/>
      <c r="Z251" s="20"/>
    </row>
    <row r="252" spans="3:26" ht="17.25" customHeight="1">
      <c r="C252" s="15"/>
      <c r="G252" s="47"/>
      <c r="H252" s="20"/>
      <c r="I252" s="20"/>
      <c r="J252" s="20"/>
      <c r="K252" s="20"/>
      <c r="L252" s="20"/>
      <c r="M252" s="20"/>
      <c r="N252" s="20"/>
      <c r="O252" s="20"/>
      <c r="P252" s="20"/>
      <c r="Q252" s="20"/>
      <c r="R252" s="20"/>
      <c r="S252" s="20"/>
      <c r="T252" s="20"/>
      <c r="U252" s="20"/>
      <c r="V252" s="20"/>
      <c r="W252" s="20"/>
      <c r="X252" s="20"/>
      <c r="Y252" s="20"/>
      <c r="Z252" s="20"/>
    </row>
    <row r="253" spans="3:26" ht="17.25" customHeight="1">
      <c r="C253" s="15"/>
      <c r="G253" s="47"/>
      <c r="H253" s="20"/>
      <c r="I253" s="20"/>
      <c r="J253" s="20"/>
      <c r="K253" s="20"/>
      <c r="L253" s="20"/>
      <c r="M253" s="20"/>
      <c r="N253" s="20"/>
      <c r="O253" s="20"/>
      <c r="P253" s="20"/>
      <c r="Q253" s="20"/>
      <c r="R253" s="20"/>
      <c r="S253" s="20"/>
      <c r="T253" s="20"/>
      <c r="U253" s="20"/>
      <c r="V253" s="20"/>
      <c r="W253" s="20"/>
      <c r="X253" s="20"/>
      <c r="Y253" s="20"/>
      <c r="Z253" s="20"/>
    </row>
    <row r="254" spans="3:26" ht="17.25" customHeight="1">
      <c r="C254" s="15"/>
      <c r="G254" s="47"/>
      <c r="H254" s="20"/>
      <c r="I254" s="20"/>
      <c r="J254" s="20"/>
      <c r="K254" s="20"/>
      <c r="L254" s="20"/>
      <c r="M254" s="20"/>
      <c r="N254" s="20"/>
      <c r="O254" s="20"/>
      <c r="P254" s="20"/>
      <c r="Q254" s="20"/>
      <c r="R254" s="20"/>
      <c r="S254" s="20"/>
      <c r="T254" s="20"/>
      <c r="U254" s="20"/>
      <c r="V254" s="20"/>
      <c r="W254" s="20"/>
      <c r="X254" s="20"/>
      <c r="Y254" s="20"/>
      <c r="Z254" s="20"/>
    </row>
    <row r="255" spans="3:26" ht="17.25" customHeight="1">
      <c r="C255" s="15"/>
      <c r="G255" s="47"/>
      <c r="H255" s="20"/>
      <c r="I255" s="20"/>
      <c r="J255" s="20"/>
      <c r="K255" s="20"/>
      <c r="L255" s="20"/>
      <c r="M255" s="20"/>
      <c r="N255" s="20"/>
      <c r="O255" s="20"/>
      <c r="P255" s="20"/>
      <c r="Q255" s="20"/>
      <c r="R255" s="20"/>
      <c r="S255" s="20"/>
      <c r="T255" s="20"/>
      <c r="U255" s="20"/>
      <c r="V255" s="20"/>
      <c r="W255" s="20"/>
      <c r="X255" s="20"/>
      <c r="Y255" s="20"/>
      <c r="Z255" s="20"/>
    </row>
    <row r="256" spans="3:26" ht="17.25" customHeight="1">
      <c r="C256" s="15"/>
      <c r="G256" s="47"/>
      <c r="H256" s="20"/>
      <c r="I256" s="20"/>
      <c r="J256" s="20"/>
      <c r="K256" s="20"/>
      <c r="L256" s="20"/>
      <c r="M256" s="20"/>
      <c r="N256" s="20"/>
      <c r="O256" s="20"/>
      <c r="P256" s="20"/>
      <c r="Q256" s="20"/>
      <c r="R256" s="20"/>
      <c r="S256" s="20"/>
      <c r="T256" s="20"/>
      <c r="U256" s="20"/>
      <c r="V256" s="20"/>
      <c r="W256" s="20"/>
      <c r="X256" s="20"/>
      <c r="Y256" s="20"/>
      <c r="Z256" s="20"/>
    </row>
    <row r="257" spans="3:26" ht="17.25" customHeight="1">
      <c r="C257" s="15"/>
      <c r="G257" s="47"/>
      <c r="H257" s="20"/>
      <c r="I257" s="20"/>
      <c r="J257" s="20"/>
      <c r="K257" s="20"/>
      <c r="L257" s="20"/>
      <c r="M257" s="20"/>
      <c r="N257" s="20"/>
      <c r="O257" s="20"/>
      <c r="P257" s="20"/>
      <c r="Q257" s="20"/>
      <c r="R257" s="20"/>
      <c r="S257" s="20"/>
      <c r="T257" s="20"/>
      <c r="U257" s="20"/>
      <c r="V257" s="20"/>
      <c r="W257" s="20"/>
      <c r="X257" s="20"/>
      <c r="Y257" s="20"/>
      <c r="Z257" s="20"/>
    </row>
    <row r="258" spans="3:26" ht="17.25" customHeight="1">
      <c r="C258" s="15"/>
      <c r="G258" s="47"/>
      <c r="H258" s="20"/>
      <c r="I258" s="20"/>
      <c r="J258" s="20"/>
      <c r="K258" s="20"/>
      <c r="L258" s="20"/>
      <c r="M258" s="20"/>
      <c r="N258" s="20"/>
      <c r="O258" s="20"/>
      <c r="P258" s="20"/>
      <c r="Q258" s="20"/>
      <c r="R258" s="20"/>
      <c r="S258" s="20"/>
      <c r="T258" s="20"/>
      <c r="U258" s="20"/>
      <c r="V258" s="20"/>
      <c r="W258" s="20"/>
      <c r="X258" s="20"/>
      <c r="Y258" s="20"/>
      <c r="Z258" s="20"/>
    </row>
    <row r="259" spans="3:26" ht="17.25" customHeight="1">
      <c r="C259" s="15"/>
      <c r="G259" s="47"/>
      <c r="H259" s="20"/>
      <c r="I259" s="20"/>
      <c r="J259" s="20"/>
      <c r="K259" s="20"/>
      <c r="L259" s="20"/>
      <c r="M259" s="20"/>
      <c r="N259" s="20"/>
      <c r="O259" s="20"/>
      <c r="P259" s="20"/>
      <c r="Q259" s="20"/>
      <c r="R259" s="20"/>
      <c r="S259" s="20"/>
      <c r="T259" s="20"/>
      <c r="U259" s="20"/>
      <c r="V259" s="20"/>
      <c r="W259" s="20"/>
      <c r="X259" s="20"/>
      <c r="Y259" s="20"/>
      <c r="Z259" s="20"/>
    </row>
    <row r="260" spans="3:26" ht="17.25" customHeight="1">
      <c r="C260" s="15"/>
      <c r="G260" s="47"/>
      <c r="H260" s="20"/>
      <c r="I260" s="20"/>
      <c r="J260" s="20"/>
      <c r="K260" s="20"/>
      <c r="L260" s="20"/>
      <c r="M260" s="20"/>
      <c r="N260" s="20"/>
      <c r="O260" s="20"/>
      <c r="P260" s="20"/>
      <c r="Q260" s="20"/>
      <c r="R260" s="20"/>
      <c r="S260" s="20"/>
      <c r="T260" s="20"/>
      <c r="U260" s="20"/>
      <c r="V260" s="20"/>
      <c r="W260" s="20"/>
      <c r="X260" s="20"/>
      <c r="Y260" s="20"/>
      <c r="Z260" s="20"/>
    </row>
    <row r="261" spans="3:26" ht="17.25" customHeight="1">
      <c r="C261" s="15"/>
      <c r="G261" s="47"/>
      <c r="H261" s="20"/>
      <c r="I261" s="20"/>
      <c r="J261" s="20"/>
      <c r="K261" s="20"/>
      <c r="L261" s="20"/>
      <c r="M261" s="20"/>
      <c r="N261" s="20"/>
      <c r="O261" s="20"/>
      <c r="P261" s="20"/>
      <c r="Q261" s="20"/>
      <c r="R261" s="20"/>
      <c r="S261" s="20"/>
      <c r="T261" s="20"/>
      <c r="U261" s="20"/>
      <c r="V261" s="20"/>
      <c r="W261" s="20"/>
      <c r="X261" s="20"/>
      <c r="Y261" s="20"/>
      <c r="Z261" s="20"/>
    </row>
    <row r="262" spans="3:26" ht="17.25" customHeight="1">
      <c r="C262" s="15"/>
      <c r="G262" s="47"/>
      <c r="H262" s="20"/>
      <c r="I262" s="20"/>
      <c r="J262" s="20"/>
      <c r="K262" s="20"/>
      <c r="L262" s="20"/>
      <c r="M262" s="20"/>
      <c r="N262" s="20"/>
      <c r="O262" s="20"/>
      <c r="P262" s="20"/>
      <c r="Q262" s="20"/>
      <c r="R262" s="20"/>
      <c r="S262" s="20"/>
      <c r="T262" s="20"/>
      <c r="U262" s="20"/>
      <c r="V262" s="20"/>
      <c r="W262" s="20"/>
      <c r="X262" s="20"/>
      <c r="Y262" s="20"/>
      <c r="Z262" s="20"/>
    </row>
    <row r="263" spans="3:26" ht="17.25" customHeight="1">
      <c r="C263" s="15"/>
      <c r="G263" s="47"/>
      <c r="H263" s="20"/>
      <c r="I263" s="20"/>
      <c r="J263" s="20"/>
      <c r="K263" s="20"/>
      <c r="L263" s="20"/>
      <c r="M263" s="20"/>
      <c r="N263" s="20"/>
      <c r="O263" s="20"/>
      <c r="P263" s="20"/>
      <c r="Q263" s="20"/>
      <c r="R263" s="20"/>
      <c r="S263" s="20"/>
      <c r="T263" s="20"/>
      <c r="U263" s="20"/>
      <c r="V263" s="20"/>
      <c r="W263" s="20"/>
      <c r="X263" s="20"/>
      <c r="Y263" s="20"/>
      <c r="Z263" s="20"/>
    </row>
    <row r="264" spans="3:26" ht="17.25" customHeight="1">
      <c r="C264" s="15"/>
      <c r="G264" s="47"/>
      <c r="H264" s="20"/>
      <c r="I264" s="20"/>
      <c r="J264" s="20"/>
      <c r="K264" s="20"/>
      <c r="L264" s="20"/>
      <c r="M264" s="20"/>
      <c r="N264" s="20"/>
      <c r="O264" s="20"/>
      <c r="P264" s="20"/>
      <c r="Q264" s="20"/>
      <c r="R264" s="20"/>
      <c r="S264" s="20"/>
      <c r="T264" s="20"/>
      <c r="U264" s="20"/>
      <c r="V264" s="20"/>
      <c r="W264" s="20"/>
      <c r="X264" s="20"/>
      <c r="Y264" s="20"/>
      <c r="Z264" s="20"/>
    </row>
    <row r="265" spans="3:26" ht="17.25" customHeight="1">
      <c r="C265" s="15"/>
      <c r="G265" s="47"/>
      <c r="H265" s="20"/>
      <c r="I265" s="20"/>
      <c r="J265" s="20"/>
      <c r="K265" s="20"/>
      <c r="L265" s="20"/>
      <c r="M265" s="20"/>
      <c r="N265" s="20"/>
      <c r="O265" s="20"/>
      <c r="P265" s="20"/>
      <c r="Q265" s="20"/>
      <c r="R265" s="20"/>
      <c r="S265" s="20"/>
      <c r="T265" s="20"/>
      <c r="U265" s="20"/>
      <c r="V265" s="20"/>
      <c r="W265" s="20"/>
      <c r="X265" s="20"/>
      <c r="Y265" s="20"/>
      <c r="Z265" s="20"/>
    </row>
    <row r="266" spans="3:26" ht="17.25" customHeight="1">
      <c r="C266" s="15"/>
      <c r="G266" s="47"/>
      <c r="H266" s="20"/>
      <c r="I266" s="20"/>
      <c r="J266" s="20"/>
      <c r="K266" s="20"/>
      <c r="L266" s="20"/>
      <c r="M266" s="20"/>
      <c r="N266" s="20"/>
      <c r="O266" s="20"/>
      <c r="P266" s="20"/>
      <c r="Q266" s="20"/>
      <c r="R266" s="20"/>
      <c r="S266" s="20"/>
      <c r="T266" s="20"/>
      <c r="U266" s="20"/>
      <c r="V266" s="20"/>
      <c r="W266" s="20"/>
      <c r="X266" s="20"/>
      <c r="Y266" s="20"/>
      <c r="Z266" s="20"/>
    </row>
    <row r="267" spans="3:26" ht="17.25" customHeight="1">
      <c r="C267" s="15"/>
      <c r="G267" s="47"/>
      <c r="H267" s="20"/>
      <c r="I267" s="20"/>
      <c r="J267" s="20"/>
      <c r="K267" s="20"/>
      <c r="L267" s="20"/>
      <c r="M267" s="20"/>
      <c r="N267" s="20"/>
      <c r="O267" s="20"/>
      <c r="P267" s="20"/>
      <c r="Q267" s="20"/>
      <c r="R267" s="20"/>
      <c r="S267" s="20"/>
      <c r="T267" s="20"/>
      <c r="U267" s="20"/>
      <c r="V267" s="20"/>
      <c r="W267" s="20"/>
      <c r="X267" s="20"/>
      <c r="Y267" s="20"/>
      <c r="Z267" s="20"/>
    </row>
    <row r="268" spans="3:26" ht="17.25" customHeight="1">
      <c r="C268" s="15"/>
      <c r="G268" s="47"/>
      <c r="H268" s="20"/>
      <c r="I268" s="20"/>
      <c r="J268" s="20"/>
      <c r="K268" s="20"/>
      <c r="L268" s="20"/>
      <c r="M268" s="20"/>
      <c r="N268" s="20"/>
      <c r="O268" s="20"/>
      <c r="P268" s="20"/>
      <c r="Q268" s="20"/>
      <c r="R268" s="20"/>
      <c r="S268" s="20"/>
      <c r="T268" s="20"/>
      <c r="U268" s="20"/>
      <c r="V268" s="20"/>
      <c r="W268" s="20"/>
      <c r="X268" s="20"/>
      <c r="Y268" s="20"/>
      <c r="Z268" s="20"/>
    </row>
    <row r="269" spans="3:26" ht="17.25" customHeight="1">
      <c r="C269" s="15"/>
      <c r="G269" s="47"/>
      <c r="H269" s="20"/>
      <c r="I269" s="20"/>
      <c r="J269" s="20"/>
      <c r="K269" s="20"/>
      <c r="L269" s="20"/>
      <c r="M269" s="20"/>
      <c r="N269" s="20"/>
      <c r="O269" s="20"/>
      <c r="P269" s="20"/>
      <c r="Q269" s="20"/>
      <c r="R269" s="20"/>
      <c r="S269" s="20"/>
      <c r="T269" s="20"/>
      <c r="U269" s="20"/>
      <c r="V269" s="20"/>
      <c r="W269" s="20"/>
      <c r="X269" s="20"/>
      <c r="Y269" s="20"/>
      <c r="Z269" s="20"/>
    </row>
    <row r="270" spans="3:26" ht="17.25" customHeight="1">
      <c r="C270" s="15"/>
      <c r="G270" s="47"/>
      <c r="H270" s="20"/>
      <c r="I270" s="20"/>
      <c r="J270" s="20"/>
      <c r="K270" s="20"/>
      <c r="L270" s="20"/>
      <c r="M270" s="20"/>
      <c r="N270" s="20"/>
      <c r="O270" s="20"/>
      <c r="P270" s="20"/>
      <c r="Q270" s="20"/>
      <c r="R270" s="20"/>
      <c r="S270" s="20"/>
      <c r="T270" s="20"/>
      <c r="U270" s="20"/>
      <c r="V270" s="20"/>
      <c r="W270" s="20"/>
      <c r="X270" s="20"/>
      <c r="Y270" s="20"/>
      <c r="Z270" s="20"/>
    </row>
    <row r="271" spans="3:26" ht="17.25" customHeight="1">
      <c r="C271" s="15"/>
      <c r="G271" s="47"/>
      <c r="H271" s="20"/>
      <c r="I271" s="20"/>
      <c r="J271" s="20"/>
      <c r="K271" s="20"/>
      <c r="L271" s="20"/>
      <c r="M271" s="20"/>
      <c r="N271" s="20"/>
      <c r="O271" s="20"/>
      <c r="P271" s="20"/>
      <c r="Q271" s="20"/>
      <c r="R271" s="20"/>
      <c r="S271" s="20"/>
      <c r="T271" s="20"/>
      <c r="U271" s="20"/>
      <c r="V271" s="20"/>
      <c r="W271" s="20"/>
      <c r="X271" s="20"/>
      <c r="Y271" s="20"/>
      <c r="Z271" s="20"/>
    </row>
    <row r="272" spans="3:26" ht="17.25" customHeight="1">
      <c r="C272" s="15"/>
      <c r="G272" s="47"/>
      <c r="H272" s="20"/>
      <c r="I272" s="20"/>
      <c r="J272" s="20"/>
      <c r="K272" s="20"/>
      <c r="L272" s="20"/>
      <c r="M272" s="20"/>
      <c r="N272" s="20"/>
      <c r="O272" s="20"/>
      <c r="P272" s="20"/>
      <c r="Q272" s="20"/>
      <c r="R272" s="20"/>
      <c r="S272" s="20"/>
      <c r="T272" s="20"/>
      <c r="U272" s="20"/>
      <c r="V272" s="20"/>
      <c r="W272" s="20"/>
      <c r="X272" s="20"/>
      <c r="Y272" s="20"/>
      <c r="Z272" s="20"/>
    </row>
    <row r="273" spans="3:26" ht="17.25" customHeight="1">
      <c r="C273" s="15"/>
      <c r="G273" s="47"/>
      <c r="H273" s="20"/>
      <c r="I273" s="20"/>
      <c r="J273" s="20"/>
      <c r="K273" s="20"/>
      <c r="L273" s="20"/>
      <c r="M273" s="20"/>
      <c r="N273" s="20"/>
      <c r="O273" s="20"/>
      <c r="P273" s="20"/>
      <c r="Q273" s="20"/>
      <c r="R273" s="20"/>
      <c r="S273" s="20"/>
      <c r="T273" s="20"/>
      <c r="U273" s="20"/>
      <c r="V273" s="20"/>
      <c r="W273" s="20"/>
      <c r="X273" s="20"/>
      <c r="Y273" s="20"/>
      <c r="Z273" s="20"/>
    </row>
    <row r="274" spans="3:26" ht="17.25" customHeight="1">
      <c r="C274" s="15"/>
      <c r="G274" s="47"/>
      <c r="H274" s="20"/>
      <c r="I274" s="20"/>
      <c r="J274" s="20"/>
      <c r="K274" s="20"/>
      <c r="L274" s="20"/>
      <c r="M274" s="20"/>
      <c r="N274" s="20"/>
      <c r="O274" s="20"/>
      <c r="P274" s="20"/>
      <c r="Q274" s="20"/>
      <c r="R274" s="20"/>
      <c r="S274" s="20"/>
      <c r="T274" s="20"/>
      <c r="U274" s="20"/>
      <c r="V274" s="20"/>
      <c r="W274" s="20"/>
      <c r="X274" s="20"/>
      <c r="Y274" s="20"/>
      <c r="Z274" s="20"/>
    </row>
    <row r="275" spans="3:26" ht="17.25" customHeight="1">
      <c r="C275" s="15"/>
      <c r="G275" s="47"/>
      <c r="H275" s="20"/>
      <c r="I275" s="20"/>
      <c r="J275" s="20"/>
      <c r="K275" s="20"/>
      <c r="L275" s="20"/>
      <c r="M275" s="20"/>
      <c r="N275" s="20"/>
      <c r="O275" s="20"/>
      <c r="P275" s="20"/>
      <c r="Q275" s="20"/>
      <c r="R275" s="20"/>
      <c r="S275" s="20"/>
      <c r="T275" s="20"/>
      <c r="U275" s="20"/>
      <c r="V275" s="20"/>
      <c r="W275" s="20"/>
      <c r="X275" s="20"/>
      <c r="Y275" s="20"/>
      <c r="Z275" s="20"/>
    </row>
    <row r="276" spans="3:26" ht="17.25" customHeight="1">
      <c r="C276" s="15"/>
      <c r="G276" s="47"/>
      <c r="H276" s="20"/>
      <c r="I276" s="20"/>
      <c r="J276" s="20"/>
      <c r="K276" s="20"/>
      <c r="L276" s="20"/>
      <c r="M276" s="20"/>
      <c r="N276" s="20"/>
      <c r="O276" s="20"/>
      <c r="P276" s="20"/>
      <c r="Q276" s="20"/>
      <c r="R276" s="20"/>
      <c r="S276" s="20"/>
      <c r="T276" s="20"/>
      <c r="U276" s="20"/>
      <c r="V276" s="20"/>
      <c r="W276" s="20"/>
      <c r="X276" s="20"/>
      <c r="Y276" s="20"/>
      <c r="Z276" s="20"/>
    </row>
    <row r="277" spans="3:26" ht="17.25" customHeight="1">
      <c r="C277" s="15"/>
      <c r="G277" s="47"/>
      <c r="H277" s="20"/>
      <c r="I277" s="20"/>
      <c r="J277" s="20"/>
      <c r="K277" s="20"/>
      <c r="L277" s="20"/>
      <c r="M277" s="20"/>
      <c r="N277" s="20"/>
      <c r="O277" s="20"/>
      <c r="P277" s="20"/>
      <c r="Q277" s="20"/>
      <c r="R277" s="20"/>
      <c r="S277" s="20"/>
      <c r="T277" s="20"/>
      <c r="U277" s="20"/>
      <c r="V277" s="20"/>
      <c r="W277" s="20"/>
      <c r="X277" s="20"/>
      <c r="Y277" s="20"/>
      <c r="Z277" s="20"/>
    </row>
    <row r="278" spans="3:26" ht="17.25" customHeight="1">
      <c r="C278" s="15"/>
      <c r="G278" s="47"/>
      <c r="H278" s="20"/>
      <c r="I278" s="20"/>
      <c r="J278" s="20"/>
      <c r="K278" s="20"/>
      <c r="L278" s="20"/>
      <c r="M278" s="20"/>
      <c r="N278" s="20"/>
      <c r="O278" s="20"/>
      <c r="P278" s="20"/>
      <c r="Q278" s="20"/>
      <c r="R278" s="20"/>
      <c r="S278" s="20"/>
      <c r="T278" s="20"/>
      <c r="U278" s="20"/>
      <c r="V278" s="20"/>
      <c r="W278" s="20"/>
      <c r="X278" s="20"/>
      <c r="Y278" s="20"/>
      <c r="Z278" s="20"/>
    </row>
    <row r="279" spans="3:26" ht="17.25" customHeight="1">
      <c r="C279" s="15"/>
      <c r="G279" s="47"/>
      <c r="H279" s="20"/>
      <c r="I279" s="20"/>
      <c r="J279" s="20"/>
      <c r="K279" s="20"/>
      <c r="L279" s="20"/>
      <c r="M279" s="20"/>
      <c r="N279" s="20"/>
      <c r="O279" s="20"/>
      <c r="P279" s="20"/>
      <c r="Q279" s="20"/>
      <c r="R279" s="20"/>
      <c r="S279" s="20"/>
      <c r="T279" s="20"/>
      <c r="U279" s="20"/>
      <c r="V279" s="20"/>
      <c r="W279" s="20"/>
      <c r="X279" s="20"/>
      <c r="Y279" s="20"/>
      <c r="Z279" s="20"/>
    </row>
    <row r="280" spans="3:26" ht="17.25" customHeight="1">
      <c r="C280" s="15"/>
      <c r="G280" s="47"/>
      <c r="H280" s="20"/>
      <c r="I280" s="20"/>
      <c r="J280" s="20"/>
      <c r="K280" s="20"/>
      <c r="L280" s="20"/>
      <c r="M280" s="20"/>
      <c r="N280" s="20"/>
      <c r="O280" s="20"/>
      <c r="P280" s="20"/>
      <c r="Q280" s="20"/>
      <c r="R280" s="20"/>
      <c r="S280" s="20"/>
      <c r="T280" s="20"/>
      <c r="U280" s="20"/>
      <c r="V280" s="20"/>
      <c r="W280" s="20"/>
      <c r="X280" s="20"/>
      <c r="Y280" s="20"/>
      <c r="Z280" s="20"/>
    </row>
    <row r="281" spans="3:26" ht="17.25" customHeight="1">
      <c r="C281" s="15"/>
      <c r="G281" s="47"/>
      <c r="H281" s="20"/>
      <c r="I281" s="20"/>
      <c r="J281" s="20"/>
      <c r="K281" s="20"/>
      <c r="L281" s="20"/>
      <c r="M281" s="20"/>
      <c r="N281" s="20"/>
      <c r="O281" s="20"/>
      <c r="P281" s="20"/>
      <c r="Q281" s="20"/>
      <c r="R281" s="20"/>
      <c r="S281" s="20"/>
      <c r="T281" s="20"/>
      <c r="U281" s="20"/>
      <c r="V281" s="20"/>
      <c r="W281" s="20"/>
      <c r="X281" s="20"/>
      <c r="Y281" s="20"/>
      <c r="Z281" s="20"/>
    </row>
    <row r="282" spans="3:26" ht="17.25" customHeight="1">
      <c r="C282" s="15"/>
      <c r="G282" s="47"/>
      <c r="H282" s="20"/>
      <c r="I282" s="20"/>
      <c r="J282" s="20"/>
      <c r="K282" s="20"/>
      <c r="L282" s="20"/>
      <c r="M282" s="20"/>
      <c r="N282" s="20"/>
      <c r="O282" s="20"/>
      <c r="P282" s="20"/>
      <c r="Q282" s="20"/>
      <c r="R282" s="20"/>
      <c r="S282" s="20"/>
      <c r="T282" s="20"/>
      <c r="U282" s="20"/>
      <c r="V282" s="20"/>
      <c r="W282" s="20"/>
      <c r="X282" s="20"/>
      <c r="Y282" s="20"/>
      <c r="Z282" s="20"/>
    </row>
    <row r="283" spans="3:26" ht="17.25" customHeight="1">
      <c r="C283" s="15"/>
      <c r="G283" s="47"/>
      <c r="H283" s="20"/>
      <c r="I283" s="20"/>
      <c r="J283" s="20"/>
      <c r="K283" s="20"/>
      <c r="L283" s="20"/>
      <c r="M283" s="20"/>
      <c r="N283" s="20"/>
      <c r="O283" s="20"/>
      <c r="P283" s="20"/>
      <c r="Q283" s="20"/>
      <c r="R283" s="20"/>
      <c r="S283" s="20"/>
      <c r="T283" s="20"/>
      <c r="U283" s="20"/>
      <c r="V283" s="20"/>
      <c r="W283" s="20"/>
      <c r="X283" s="20"/>
      <c r="Y283" s="20"/>
      <c r="Z283" s="20"/>
    </row>
    <row r="284" spans="3:26" ht="17.25" customHeight="1">
      <c r="C284" s="15"/>
      <c r="G284" s="47"/>
      <c r="H284" s="20"/>
      <c r="I284" s="20"/>
      <c r="J284" s="20"/>
      <c r="K284" s="20"/>
      <c r="L284" s="20"/>
      <c r="M284" s="20"/>
      <c r="N284" s="20"/>
      <c r="O284" s="20"/>
      <c r="P284" s="20"/>
      <c r="Q284" s="20"/>
      <c r="R284" s="20"/>
      <c r="S284" s="20"/>
      <c r="T284" s="20"/>
      <c r="U284" s="20"/>
      <c r="V284" s="20"/>
      <c r="W284" s="20"/>
      <c r="X284" s="20"/>
      <c r="Y284" s="20"/>
      <c r="Z284" s="20"/>
    </row>
    <row r="285" spans="3:26" ht="17.25" customHeight="1">
      <c r="C285" s="15"/>
      <c r="G285" s="47"/>
      <c r="H285" s="20"/>
      <c r="I285" s="20"/>
      <c r="J285" s="20"/>
      <c r="K285" s="20"/>
      <c r="L285" s="20"/>
      <c r="M285" s="20"/>
      <c r="N285" s="20"/>
      <c r="O285" s="20"/>
      <c r="P285" s="20"/>
      <c r="Q285" s="20"/>
      <c r="R285" s="20"/>
      <c r="S285" s="20"/>
      <c r="T285" s="20"/>
      <c r="U285" s="20"/>
      <c r="V285" s="20"/>
      <c r="W285" s="20"/>
      <c r="X285" s="20"/>
      <c r="Y285" s="20"/>
      <c r="Z285" s="20"/>
    </row>
    <row r="286" spans="3:26" ht="17.25" customHeight="1">
      <c r="C286" s="15"/>
      <c r="G286" s="47"/>
      <c r="H286" s="20"/>
      <c r="I286" s="20"/>
      <c r="J286" s="20"/>
      <c r="K286" s="20"/>
      <c r="L286" s="20"/>
      <c r="M286" s="20"/>
      <c r="N286" s="20"/>
      <c r="O286" s="20"/>
      <c r="P286" s="20"/>
      <c r="Q286" s="20"/>
      <c r="R286" s="20"/>
      <c r="S286" s="20"/>
      <c r="T286" s="20"/>
      <c r="U286" s="20"/>
      <c r="V286" s="20"/>
      <c r="W286" s="20"/>
      <c r="X286" s="20"/>
      <c r="Y286" s="20"/>
      <c r="Z286" s="20"/>
    </row>
    <row r="287" spans="3:26" ht="17.25" customHeight="1">
      <c r="C287" s="15"/>
      <c r="G287" s="47"/>
      <c r="H287" s="20"/>
      <c r="I287" s="20"/>
      <c r="J287" s="20"/>
      <c r="K287" s="20"/>
      <c r="L287" s="20"/>
      <c r="M287" s="20"/>
      <c r="N287" s="20"/>
      <c r="O287" s="20"/>
      <c r="P287" s="20"/>
      <c r="Q287" s="20"/>
      <c r="R287" s="20"/>
      <c r="S287" s="20"/>
      <c r="T287" s="20"/>
      <c r="U287" s="20"/>
      <c r="V287" s="20"/>
      <c r="W287" s="20"/>
      <c r="X287" s="20"/>
      <c r="Y287" s="20"/>
      <c r="Z287" s="20"/>
    </row>
    <row r="288" spans="3:26" ht="17.25" customHeight="1">
      <c r="C288" s="15"/>
      <c r="G288" s="47"/>
      <c r="H288" s="20"/>
      <c r="I288" s="20"/>
      <c r="J288" s="20"/>
      <c r="K288" s="20"/>
      <c r="L288" s="20"/>
      <c r="M288" s="20"/>
      <c r="N288" s="20"/>
      <c r="O288" s="20"/>
      <c r="P288" s="20"/>
      <c r="Q288" s="20"/>
      <c r="R288" s="20"/>
      <c r="S288" s="20"/>
      <c r="T288" s="20"/>
      <c r="U288" s="20"/>
      <c r="V288" s="20"/>
      <c r="W288" s="20"/>
      <c r="X288" s="20"/>
      <c r="Y288" s="20"/>
      <c r="Z288" s="20"/>
    </row>
    <row r="289" spans="3:26" ht="17.25" customHeight="1">
      <c r="C289" s="15"/>
      <c r="G289" s="47"/>
      <c r="H289" s="20"/>
      <c r="I289" s="20"/>
      <c r="J289" s="20"/>
      <c r="K289" s="20"/>
      <c r="L289" s="20"/>
      <c r="M289" s="20"/>
      <c r="N289" s="20"/>
      <c r="O289" s="20"/>
      <c r="P289" s="20"/>
      <c r="Q289" s="20"/>
      <c r="R289" s="20"/>
      <c r="S289" s="20"/>
      <c r="T289" s="20"/>
      <c r="U289" s="20"/>
      <c r="V289" s="20"/>
      <c r="W289" s="20"/>
      <c r="X289" s="20"/>
      <c r="Y289" s="20"/>
      <c r="Z289" s="20"/>
    </row>
    <row r="290" spans="3:26" ht="17.25" customHeight="1">
      <c r="C290" s="15"/>
      <c r="G290" s="47"/>
      <c r="H290" s="20"/>
      <c r="I290" s="20"/>
      <c r="J290" s="20"/>
      <c r="K290" s="20"/>
      <c r="L290" s="20"/>
      <c r="M290" s="20"/>
      <c r="N290" s="20"/>
      <c r="O290" s="20"/>
      <c r="P290" s="20"/>
      <c r="Q290" s="20"/>
      <c r="R290" s="20"/>
      <c r="S290" s="20"/>
      <c r="T290" s="20"/>
      <c r="U290" s="20"/>
      <c r="V290" s="20"/>
      <c r="W290" s="20"/>
      <c r="X290" s="20"/>
      <c r="Y290" s="20"/>
      <c r="Z290" s="20"/>
    </row>
    <row r="291" spans="3:26" ht="17.25" customHeight="1">
      <c r="C291" s="15"/>
      <c r="G291" s="47"/>
      <c r="H291" s="20"/>
      <c r="I291" s="20"/>
      <c r="J291" s="20"/>
      <c r="K291" s="20"/>
      <c r="L291" s="20"/>
      <c r="M291" s="20"/>
      <c r="N291" s="20"/>
      <c r="O291" s="20"/>
      <c r="P291" s="20"/>
      <c r="Q291" s="20"/>
      <c r="R291" s="20"/>
      <c r="S291" s="20"/>
      <c r="T291" s="20"/>
      <c r="U291" s="20"/>
      <c r="V291" s="20"/>
      <c r="W291" s="20"/>
      <c r="X291" s="20"/>
      <c r="Y291" s="20"/>
      <c r="Z291" s="20"/>
    </row>
    <row r="292" spans="3:26" ht="17.25" customHeight="1">
      <c r="C292" s="15"/>
      <c r="G292" s="47"/>
      <c r="H292" s="20"/>
      <c r="I292" s="20"/>
      <c r="J292" s="20"/>
      <c r="K292" s="20"/>
      <c r="L292" s="20"/>
      <c r="M292" s="20"/>
      <c r="N292" s="20"/>
      <c r="O292" s="20"/>
      <c r="P292" s="20"/>
      <c r="Q292" s="20"/>
      <c r="R292" s="20"/>
      <c r="S292" s="20"/>
      <c r="T292" s="20"/>
      <c r="U292" s="20"/>
      <c r="V292" s="20"/>
      <c r="W292" s="20"/>
      <c r="X292" s="20"/>
      <c r="Y292" s="20"/>
      <c r="Z292" s="20"/>
    </row>
    <row r="293" spans="3:26" ht="17.25" customHeight="1">
      <c r="C293" s="15"/>
      <c r="G293" s="47"/>
      <c r="H293" s="20"/>
      <c r="I293" s="20"/>
      <c r="J293" s="20"/>
      <c r="K293" s="20"/>
      <c r="L293" s="20"/>
      <c r="M293" s="20"/>
      <c r="N293" s="20"/>
      <c r="O293" s="20"/>
      <c r="P293" s="20"/>
      <c r="Q293" s="20"/>
      <c r="R293" s="20"/>
      <c r="S293" s="20"/>
      <c r="T293" s="20"/>
      <c r="U293" s="20"/>
      <c r="V293" s="20"/>
      <c r="W293" s="20"/>
      <c r="X293" s="20"/>
      <c r="Y293" s="20"/>
      <c r="Z293" s="20"/>
    </row>
    <row r="294" spans="3:26" ht="17.25" customHeight="1">
      <c r="C294" s="15"/>
      <c r="G294" s="47"/>
      <c r="H294" s="20"/>
      <c r="I294" s="20"/>
      <c r="J294" s="20"/>
      <c r="K294" s="20"/>
      <c r="L294" s="20"/>
      <c r="M294" s="20"/>
      <c r="N294" s="20"/>
      <c r="O294" s="20"/>
      <c r="P294" s="20"/>
      <c r="Q294" s="20"/>
      <c r="R294" s="20"/>
      <c r="S294" s="20"/>
      <c r="T294" s="20"/>
      <c r="U294" s="20"/>
      <c r="V294" s="20"/>
      <c r="W294" s="20"/>
      <c r="X294" s="20"/>
      <c r="Y294" s="20"/>
      <c r="Z294" s="20"/>
    </row>
    <row r="295" spans="3:26" ht="17.25" customHeight="1">
      <c r="C295" s="15"/>
      <c r="G295" s="47"/>
      <c r="H295" s="20"/>
      <c r="I295" s="20"/>
      <c r="J295" s="20"/>
      <c r="K295" s="20"/>
      <c r="L295" s="20"/>
      <c r="M295" s="20"/>
      <c r="N295" s="20"/>
      <c r="O295" s="20"/>
      <c r="P295" s="20"/>
      <c r="Q295" s="20"/>
      <c r="R295" s="20"/>
      <c r="S295" s="20"/>
      <c r="T295" s="20"/>
      <c r="U295" s="20"/>
      <c r="V295" s="20"/>
      <c r="W295" s="20"/>
      <c r="X295" s="20"/>
      <c r="Y295" s="20"/>
      <c r="Z295" s="20"/>
    </row>
    <row r="296" spans="3:26" ht="17.25" customHeight="1">
      <c r="C296" s="15"/>
      <c r="G296" s="47"/>
      <c r="H296" s="20"/>
      <c r="I296" s="20"/>
      <c r="J296" s="20"/>
      <c r="K296" s="20"/>
      <c r="L296" s="20"/>
      <c r="M296" s="20"/>
      <c r="N296" s="20"/>
      <c r="O296" s="20"/>
      <c r="P296" s="20"/>
      <c r="Q296" s="20"/>
      <c r="R296" s="20"/>
      <c r="S296" s="20"/>
      <c r="T296" s="20"/>
      <c r="U296" s="20"/>
      <c r="V296" s="20"/>
      <c r="W296" s="20"/>
      <c r="X296" s="20"/>
      <c r="Y296" s="20"/>
      <c r="Z296" s="20"/>
    </row>
    <row r="297" spans="3:26" ht="17.25" customHeight="1">
      <c r="C297" s="15"/>
      <c r="G297" s="47"/>
      <c r="H297" s="20"/>
      <c r="I297" s="20"/>
      <c r="J297" s="20"/>
      <c r="K297" s="20"/>
      <c r="L297" s="20"/>
      <c r="M297" s="20"/>
      <c r="N297" s="20"/>
      <c r="O297" s="20"/>
      <c r="P297" s="20"/>
      <c r="Q297" s="20"/>
      <c r="R297" s="20"/>
      <c r="S297" s="20"/>
      <c r="T297" s="20"/>
      <c r="U297" s="20"/>
      <c r="V297" s="20"/>
      <c r="W297" s="20"/>
      <c r="X297" s="20"/>
      <c r="Y297" s="20"/>
      <c r="Z297" s="20"/>
    </row>
    <row r="298" spans="3:26" ht="17.25" customHeight="1">
      <c r="C298" s="15"/>
      <c r="G298" s="47"/>
      <c r="H298" s="20"/>
      <c r="I298" s="20"/>
      <c r="J298" s="20"/>
      <c r="K298" s="20"/>
      <c r="L298" s="20"/>
      <c r="M298" s="20"/>
      <c r="N298" s="20"/>
      <c r="O298" s="20"/>
      <c r="P298" s="20"/>
      <c r="Q298" s="20"/>
      <c r="R298" s="20"/>
      <c r="S298" s="20"/>
      <c r="T298" s="20"/>
      <c r="U298" s="20"/>
      <c r="V298" s="20"/>
      <c r="W298" s="20"/>
      <c r="X298" s="20"/>
      <c r="Y298" s="20"/>
      <c r="Z298" s="20"/>
    </row>
    <row r="299" spans="3:26" ht="17.25" customHeight="1">
      <c r="C299" s="15"/>
      <c r="G299" s="47"/>
      <c r="H299" s="20"/>
      <c r="I299" s="20"/>
      <c r="J299" s="20"/>
      <c r="K299" s="20"/>
      <c r="L299" s="20"/>
      <c r="M299" s="20"/>
      <c r="N299" s="20"/>
      <c r="O299" s="20"/>
      <c r="P299" s="20"/>
      <c r="Q299" s="20"/>
      <c r="R299" s="20"/>
      <c r="S299" s="20"/>
      <c r="T299" s="20"/>
      <c r="U299" s="20"/>
      <c r="V299" s="20"/>
      <c r="W299" s="20"/>
      <c r="X299" s="20"/>
      <c r="Y299" s="20"/>
      <c r="Z299" s="20"/>
    </row>
    <row r="300" spans="3:26" ht="17.25" customHeight="1">
      <c r="C300" s="15"/>
      <c r="G300" s="47"/>
      <c r="H300" s="20"/>
      <c r="I300" s="20"/>
      <c r="J300" s="20"/>
      <c r="K300" s="20"/>
      <c r="L300" s="20"/>
      <c r="M300" s="20"/>
      <c r="N300" s="20"/>
      <c r="O300" s="20"/>
      <c r="P300" s="20"/>
      <c r="Q300" s="20"/>
      <c r="R300" s="20"/>
      <c r="S300" s="20"/>
      <c r="T300" s="20"/>
      <c r="U300" s="20"/>
      <c r="V300" s="20"/>
      <c r="W300" s="20"/>
      <c r="X300" s="20"/>
      <c r="Y300" s="20"/>
      <c r="Z300" s="20"/>
    </row>
    <row r="301" spans="3:26" ht="17.25" customHeight="1">
      <c r="C301" s="15"/>
      <c r="G301" s="47"/>
      <c r="H301" s="20"/>
      <c r="I301" s="20"/>
      <c r="J301" s="20"/>
      <c r="K301" s="20"/>
      <c r="L301" s="20"/>
      <c r="M301" s="20"/>
      <c r="N301" s="20"/>
      <c r="O301" s="20"/>
      <c r="P301" s="20"/>
      <c r="Q301" s="20"/>
      <c r="R301" s="20"/>
      <c r="S301" s="20"/>
      <c r="T301" s="20"/>
      <c r="U301" s="20"/>
      <c r="V301" s="20"/>
      <c r="W301" s="20"/>
      <c r="X301" s="20"/>
      <c r="Y301" s="20"/>
      <c r="Z301" s="20"/>
    </row>
    <row r="302" spans="3:26" ht="17.25" customHeight="1">
      <c r="C302" s="15"/>
      <c r="G302" s="47"/>
      <c r="H302" s="20"/>
      <c r="I302" s="20"/>
      <c r="J302" s="20"/>
      <c r="K302" s="20"/>
      <c r="L302" s="20"/>
      <c r="M302" s="20"/>
      <c r="N302" s="20"/>
      <c r="O302" s="20"/>
      <c r="P302" s="20"/>
      <c r="Q302" s="20"/>
      <c r="R302" s="20"/>
      <c r="S302" s="20"/>
      <c r="T302" s="20"/>
      <c r="U302" s="20"/>
      <c r="V302" s="20"/>
      <c r="W302" s="20"/>
      <c r="X302" s="20"/>
      <c r="Y302" s="20"/>
      <c r="Z302" s="20"/>
    </row>
    <row r="303" spans="3:26" ht="17.25" customHeight="1">
      <c r="C303" s="15"/>
      <c r="G303" s="47"/>
      <c r="H303" s="20"/>
      <c r="I303" s="20"/>
      <c r="J303" s="20"/>
      <c r="K303" s="20"/>
      <c r="L303" s="20"/>
      <c r="M303" s="20"/>
      <c r="N303" s="20"/>
      <c r="O303" s="20"/>
      <c r="P303" s="20"/>
      <c r="Q303" s="20"/>
      <c r="R303" s="20"/>
      <c r="S303" s="20"/>
      <c r="T303" s="20"/>
      <c r="U303" s="20"/>
      <c r="V303" s="20"/>
      <c r="W303" s="20"/>
      <c r="X303" s="20"/>
      <c r="Y303" s="20"/>
      <c r="Z303" s="20"/>
    </row>
    <row r="304" spans="3:26" ht="17.25" customHeight="1">
      <c r="C304" s="15"/>
      <c r="G304" s="47"/>
      <c r="H304" s="20"/>
      <c r="I304" s="20"/>
      <c r="J304" s="20"/>
      <c r="K304" s="20"/>
      <c r="L304" s="20"/>
      <c r="M304" s="20"/>
      <c r="N304" s="20"/>
      <c r="O304" s="20"/>
      <c r="P304" s="20"/>
      <c r="Q304" s="20"/>
      <c r="R304" s="20"/>
      <c r="S304" s="20"/>
      <c r="T304" s="20"/>
      <c r="U304" s="20"/>
      <c r="V304" s="20"/>
      <c r="W304" s="20"/>
      <c r="X304" s="20"/>
      <c r="Y304" s="20"/>
      <c r="Z304" s="20"/>
    </row>
    <row r="305" spans="3:26" ht="17.25" customHeight="1">
      <c r="C305" s="15"/>
      <c r="G305" s="47"/>
      <c r="H305" s="20"/>
      <c r="I305" s="20"/>
      <c r="J305" s="20"/>
      <c r="K305" s="20"/>
      <c r="L305" s="20"/>
      <c r="M305" s="20"/>
      <c r="N305" s="20"/>
      <c r="O305" s="20"/>
      <c r="P305" s="20"/>
      <c r="Q305" s="20"/>
      <c r="R305" s="20"/>
      <c r="S305" s="20"/>
      <c r="T305" s="20"/>
      <c r="U305" s="20"/>
      <c r="V305" s="20"/>
      <c r="W305" s="20"/>
      <c r="X305" s="20"/>
      <c r="Y305" s="20"/>
      <c r="Z305" s="20"/>
    </row>
    <row r="306" spans="3:26" ht="17.25" customHeight="1">
      <c r="C306" s="15"/>
      <c r="G306" s="47"/>
      <c r="H306" s="20"/>
      <c r="I306" s="20"/>
      <c r="J306" s="20"/>
      <c r="K306" s="20"/>
      <c r="L306" s="20"/>
      <c r="M306" s="20"/>
      <c r="N306" s="20"/>
      <c r="O306" s="20"/>
      <c r="P306" s="20"/>
      <c r="Q306" s="20"/>
      <c r="R306" s="20"/>
      <c r="S306" s="20"/>
      <c r="T306" s="20"/>
      <c r="U306" s="20"/>
      <c r="V306" s="20"/>
      <c r="W306" s="20"/>
      <c r="X306" s="20"/>
      <c r="Y306" s="20"/>
      <c r="Z306" s="20"/>
    </row>
    <row r="307" spans="3:26" ht="17.25" customHeight="1">
      <c r="C307" s="15"/>
      <c r="G307" s="47"/>
      <c r="H307" s="20"/>
      <c r="I307" s="20"/>
      <c r="J307" s="20"/>
      <c r="K307" s="20"/>
      <c r="L307" s="20"/>
      <c r="M307" s="20"/>
      <c r="N307" s="20"/>
      <c r="O307" s="20"/>
      <c r="P307" s="20"/>
      <c r="Q307" s="20"/>
      <c r="R307" s="20"/>
      <c r="S307" s="20"/>
      <c r="T307" s="20"/>
      <c r="U307" s="20"/>
      <c r="V307" s="20"/>
      <c r="W307" s="20"/>
      <c r="X307" s="20"/>
      <c r="Y307" s="20"/>
      <c r="Z307" s="20"/>
    </row>
    <row r="308" spans="3:26" ht="17.25" customHeight="1">
      <c r="C308" s="15"/>
      <c r="G308" s="47"/>
      <c r="H308" s="20"/>
      <c r="I308" s="20"/>
      <c r="J308" s="20"/>
      <c r="K308" s="20"/>
      <c r="L308" s="20"/>
      <c r="M308" s="20"/>
      <c r="N308" s="20"/>
      <c r="O308" s="20"/>
      <c r="P308" s="20"/>
      <c r="Q308" s="20"/>
      <c r="R308" s="20"/>
      <c r="S308" s="20"/>
      <c r="T308" s="20"/>
      <c r="U308" s="20"/>
      <c r="V308" s="20"/>
      <c r="W308" s="20"/>
      <c r="X308" s="20"/>
      <c r="Y308" s="20"/>
      <c r="Z308" s="20"/>
    </row>
    <row r="309" spans="3:26" ht="17.25" customHeight="1">
      <c r="C309" s="15"/>
      <c r="G309" s="47"/>
      <c r="H309" s="20"/>
      <c r="I309" s="20"/>
      <c r="J309" s="20"/>
      <c r="K309" s="20"/>
      <c r="L309" s="20"/>
      <c r="M309" s="20"/>
      <c r="N309" s="20"/>
      <c r="O309" s="20"/>
      <c r="P309" s="20"/>
      <c r="Q309" s="20"/>
      <c r="R309" s="20"/>
      <c r="S309" s="20"/>
      <c r="T309" s="20"/>
      <c r="U309" s="20"/>
      <c r="V309" s="20"/>
      <c r="W309" s="20"/>
      <c r="X309" s="20"/>
      <c r="Y309" s="20"/>
      <c r="Z309" s="20"/>
    </row>
    <row r="310" spans="3:26" ht="17.25" customHeight="1">
      <c r="C310" s="15"/>
      <c r="G310" s="47"/>
      <c r="H310" s="20"/>
      <c r="I310" s="20"/>
      <c r="J310" s="20"/>
      <c r="K310" s="20"/>
      <c r="L310" s="20"/>
      <c r="M310" s="20"/>
      <c r="N310" s="20"/>
      <c r="O310" s="20"/>
      <c r="P310" s="20"/>
      <c r="Q310" s="20"/>
      <c r="R310" s="20"/>
      <c r="S310" s="20"/>
      <c r="T310" s="20"/>
      <c r="U310" s="20"/>
      <c r="V310" s="20"/>
      <c r="W310" s="20"/>
      <c r="X310" s="20"/>
      <c r="Y310" s="20"/>
      <c r="Z310" s="20"/>
    </row>
    <row r="311" spans="3:26" ht="17.25" customHeight="1">
      <c r="C311" s="15"/>
      <c r="G311" s="47"/>
      <c r="H311" s="20"/>
      <c r="I311" s="20"/>
      <c r="J311" s="20"/>
      <c r="K311" s="20"/>
      <c r="L311" s="20"/>
      <c r="M311" s="20"/>
      <c r="N311" s="20"/>
      <c r="O311" s="20"/>
      <c r="P311" s="20"/>
      <c r="Q311" s="20"/>
      <c r="R311" s="20"/>
      <c r="S311" s="20"/>
      <c r="T311" s="20"/>
      <c r="U311" s="20"/>
      <c r="V311" s="20"/>
      <c r="W311" s="20"/>
      <c r="X311" s="20"/>
      <c r="Y311" s="20"/>
      <c r="Z311" s="20"/>
    </row>
    <row r="312" spans="3:26" ht="17.25" customHeight="1">
      <c r="C312" s="15"/>
      <c r="G312" s="47"/>
      <c r="H312" s="20"/>
      <c r="I312" s="20"/>
      <c r="J312" s="20"/>
      <c r="K312" s="20"/>
      <c r="L312" s="20"/>
      <c r="M312" s="20"/>
      <c r="N312" s="20"/>
      <c r="O312" s="20"/>
      <c r="P312" s="20"/>
      <c r="Q312" s="20"/>
      <c r="R312" s="20"/>
      <c r="S312" s="20"/>
      <c r="T312" s="20"/>
      <c r="U312" s="20"/>
      <c r="V312" s="20"/>
      <c r="W312" s="20"/>
      <c r="X312" s="20"/>
      <c r="Y312" s="20"/>
      <c r="Z312" s="20"/>
    </row>
    <row r="313" spans="3:26" ht="17.25" customHeight="1">
      <c r="C313" s="15"/>
      <c r="G313" s="47"/>
      <c r="H313" s="20"/>
      <c r="I313" s="20"/>
      <c r="J313" s="20"/>
      <c r="K313" s="20"/>
      <c r="L313" s="20"/>
      <c r="M313" s="20"/>
      <c r="N313" s="20"/>
      <c r="O313" s="20"/>
      <c r="P313" s="20"/>
      <c r="Q313" s="20"/>
      <c r="R313" s="20"/>
      <c r="S313" s="20"/>
      <c r="T313" s="20"/>
      <c r="U313" s="20"/>
      <c r="V313" s="20"/>
      <c r="W313" s="20"/>
      <c r="X313" s="20"/>
      <c r="Y313" s="20"/>
      <c r="Z313" s="20"/>
    </row>
    <row r="314" spans="3:26" ht="17.25" customHeight="1">
      <c r="C314" s="15"/>
      <c r="G314" s="47"/>
      <c r="H314" s="20"/>
      <c r="I314" s="20"/>
      <c r="J314" s="20"/>
      <c r="K314" s="20"/>
      <c r="L314" s="20"/>
      <c r="M314" s="20"/>
      <c r="N314" s="20"/>
      <c r="O314" s="20"/>
      <c r="P314" s="20"/>
      <c r="Q314" s="20"/>
      <c r="R314" s="20"/>
      <c r="S314" s="20"/>
      <c r="T314" s="20"/>
      <c r="U314" s="20"/>
      <c r="V314" s="20"/>
      <c r="W314" s="20"/>
      <c r="X314" s="20"/>
      <c r="Y314" s="20"/>
      <c r="Z314" s="20"/>
    </row>
    <row r="315" spans="3:26" ht="17.25" customHeight="1">
      <c r="C315" s="15"/>
      <c r="G315" s="47"/>
      <c r="H315" s="20"/>
      <c r="I315" s="20"/>
      <c r="J315" s="20"/>
      <c r="K315" s="20"/>
      <c r="L315" s="20"/>
      <c r="M315" s="20"/>
      <c r="N315" s="20"/>
      <c r="O315" s="20"/>
      <c r="P315" s="20"/>
      <c r="Q315" s="20"/>
      <c r="R315" s="20"/>
      <c r="S315" s="20"/>
      <c r="T315" s="20"/>
      <c r="U315" s="20"/>
      <c r="V315" s="20"/>
      <c r="W315" s="20"/>
      <c r="X315" s="20"/>
      <c r="Y315" s="20"/>
      <c r="Z315" s="20"/>
    </row>
    <row r="316" spans="3:26" ht="17.25" customHeight="1">
      <c r="C316" s="15"/>
      <c r="G316" s="47"/>
      <c r="H316" s="20"/>
      <c r="I316" s="20"/>
      <c r="J316" s="20"/>
      <c r="K316" s="20"/>
      <c r="L316" s="20"/>
      <c r="M316" s="20"/>
      <c r="N316" s="20"/>
      <c r="O316" s="20"/>
      <c r="P316" s="20"/>
      <c r="Q316" s="20"/>
      <c r="R316" s="20"/>
      <c r="S316" s="20"/>
      <c r="T316" s="20"/>
      <c r="U316" s="20"/>
      <c r="V316" s="20"/>
      <c r="W316" s="20"/>
      <c r="X316" s="20"/>
      <c r="Y316" s="20"/>
      <c r="Z316" s="20"/>
    </row>
    <row r="317" spans="3:26" ht="17.25" customHeight="1">
      <c r="C317" s="15"/>
      <c r="G317" s="47"/>
      <c r="H317" s="20"/>
      <c r="I317" s="20"/>
      <c r="J317" s="20"/>
      <c r="K317" s="20"/>
      <c r="L317" s="20"/>
      <c r="M317" s="20"/>
      <c r="N317" s="20"/>
      <c r="O317" s="20"/>
      <c r="P317" s="20"/>
      <c r="Q317" s="20"/>
      <c r="R317" s="20"/>
      <c r="S317" s="20"/>
      <c r="T317" s="20"/>
      <c r="U317" s="20"/>
      <c r="V317" s="20"/>
      <c r="W317" s="20"/>
      <c r="X317" s="20"/>
      <c r="Y317" s="20"/>
      <c r="Z317" s="20"/>
    </row>
    <row r="318" spans="3:26" ht="17.25" customHeight="1">
      <c r="C318" s="15"/>
      <c r="G318" s="47"/>
      <c r="H318" s="20"/>
      <c r="I318" s="20"/>
      <c r="J318" s="20"/>
      <c r="K318" s="20"/>
      <c r="L318" s="20"/>
      <c r="M318" s="20"/>
      <c r="N318" s="20"/>
      <c r="O318" s="20"/>
      <c r="P318" s="20"/>
      <c r="Q318" s="20"/>
      <c r="R318" s="20"/>
      <c r="S318" s="20"/>
      <c r="T318" s="20"/>
      <c r="U318" s="20"/>
      <c r="V318" s="20"/>
      <c r="W318" s="20"/>
      <c r="X318" s="20"/>
      <c r="Y318" s="20"/>
      <c r="Z318" s="20"/>
    </row>
    <row r="319" spans="3:26" ht="17.25" customHeight="1">
      <c r="C319" s="15"/>
      <c r="G319" s="47"/>
      <c r="H319" s="20"/>
      <c r="I319" s="20"/>
      <c r="J319" s="20"/>
      <c r="K319" s="20"/>
      <c r="L319" s="20"/>
      <c r="M319" s="20"/>
      <c r="N319" s="20"/>
      <c r="O319" s="20"/>
      <c r="P319" s="20"/>
      <c r="Q319" s="20"/>
      <c r="R319" s="20"/>
      <c r="S319" s="20"/>
      <c r="T319" s="20"/>
      <c r="U319" s="20"/>
      <c r="V319" s="20"/>
      <c r="W319" s="20"/>
      <c r="X319" s="20"/>
      <c r="Y319" s="20"/>
      <c r="Z319" s="20"/>
    </row>
    <row r="320" spans="3:26" ht="17.25" customHeight="1">
      <c r="C320" s="15"/>
      <c r="G320" s="47"/>
      <c r="H320" s="20"/>
      <c r="I320" s="20"/>
      <c r="J320" s="20"/>
      <c r="K320" s="20"/>
      <c r="L320" s="20"/>
      <c r="M320" s="20"/>
      <c r="N320" s="20"/>
      <c r="O320" s="20"/>
      <c r="P320" s="20"/>
      <c r="Q320" s="20"/>
      <c r="R320" s="20"/>
      <c r="S320" s="20"/>
      <c r="T320" s="20"/>
      <c r="U320" s="20"/>
      <c r="V320" s="20"/>
      <c r="W320" s="20"/>
      <c r="X320" s="20"/>
      <c r="Y320" s="20"/>
      <c r="Z320" s="20"/>
    </row>
    <row r="321" spans="3:26" ht="17.25" customHeight="1">
      <c r="C321" s="15"/>
      <c r="G321" s="47"/>
      <c r="H321" s="20"/>
      <c r="I321" s="20"/>
      <c r="J321" s="20"/>
      <c r="K321" s="20"/>
      <c r="L321" s="20"/>
      <c r="M321" s="20"/>
      <c r="N321" s="20"/>
      <c r="O321" s="20"/>
      <c r="P321" s="20"/>
      <c r="Q321" s="20"/>
      <c r="R321" s="20"/>
      <c r="S321" s="20"/>
      <c r="T321" s="20"/>
      <c r="U321" s="20"/>
      <c r="V321" s="20"/>
      <c r="W321" s="20"/>
      <c r="X321" s="20"/>
      <c r="Y321" s="20"/>
      <c r="Z321" s="20"/>
    </row>
    <row r="322" spans="3:26" ht="17.25" customHeight="1">
      <c r="C322" s="15"/>
      <c r="G322" s="47"/>
      <c r="H322" s="20"/>
      <c r="I322" s="20"/>
      <c r="J322" s="20"/>
      <c r="K322" s="20"/>
      <c r="L322" s="20"/>
      <c r="M322" s="20"/>
      <c r="N322" s="20"/>
      <c r="O322" s="20"/>
      <c r="P322" s="20"/>
      <c r="Q322" s="20"/>
      <c r="R322" s="20"/>
      <c r="S322" s="20"/>
      <c r="T322" s="20"/>
      <c r="U322" s="20"/>
      <c r="V322" s="20"/>
      <c r="W322" s="20"/>
      <c r="X322" s="20"/>
      <c r="Y322" s="20"/>
      <c r="Z322" s="20"/>
    </row>
    <row r="323" spans="3:26" ht="17.25" customHeight="1">
      <c r="C323" s="15"/>
      <c r="G323" s="47"/>
      <c r="H323" s="20"/>
      <c r="I323" s="20"/>
      <c r="J323" s="20"/>
      <c r="K323" s="20"/>
      <c r="L323" s="20"/>
      <c r="M323" s="20"/>
      <c r="N323" s="20"/>
      <c r="O323" s="20"/>
      <c r="P323" s="20"/>
      <c r="Q323" s="20"/>
      <c r="R323" s="20"/>
      <c r="S323" s="20"/>
      <c r="T323" s="20"/>
      <c r="U323" s="20"/>
      <c r="V323" s="20"/>
      <c r="W323" s="20"/>
      <c r="X323" s="20"/>
      <c r="Y323" s="20"/>
      <c r="Z323" s="20"/>
    </row>
    <row r="324" spans="3:26" ht="17.25" customHeight="1">
      <c r="C324" s="15"/>
      <c r="G324" s="47"/>
      <c r="H324" s="20"/>
      <c r="I324" s="20"/>
      <c r="J324" s="20"/>
      <c r="K324" s="20"/>
      <c r="L324" s="20"/>
      <c r="M324" s="20"/>
      <c r="N324" s="20"/>
      <c r="O324" s="20"/>
      <c r="P324" s="20"/>
      <c r="Q324" s="20"/>
      <c r="R324" s="20"/>
      <c r="S324" s="20"/>
      <c r="T324" s="20"/>
      <c r="U324" s="20"/>
      <c r="V324" s="20"/>
      <c r="W324" s="20"/>
      <c r="X324" s="20"/>
      <c r="Y324" s="20"/>
      <c r="Z324" s="20"/>
    </row>
    <row r="325" spans="3:26" ht="17.25" customHeight="1">
      <c r="C325" s="15"/>
      <c r="G325" s="47"/>
      <c r="H325" s="20"/>
      <c r="I325" s="20"/>
      <c r="J325" s="20"/>
      <c r="K325" s="20"/>
      <c r="L325" s="20"/>
      <c r="M325" s="20"/>
      <c r="N325" s="20"/>
      <c r="O325" s="20"/>
      <c r="P325" s="20"/>
      <c r="Q325" s="20"/>
      <c r="R325" s="20"/>
      <c r="S325" s="20"/>
      <c r="T325" s="20"/>
      <c r="U325" s="20"/>
      <c r="V325" s="20"/>
      <c r="W325" s="20"/>
      <c r="X325" s="20"/>
      <c r="Y325" s="20"/>
      <c r="Z325" s="20"/>
    </row>
    <row r="326" spans="3:26" ht="17.25" customHeight="1">
      <c r="C326" s="15"/>
      <c r="G326" s="47"/>
      <c r="H326" s="20"/>
      <c r="I326" s="20"/>
      <c r="J326" s="20"/>
      <c r="K326" s="20"/>
      <c r="L326" s="20"/>
      <c r="M326" s="20"/>
      <c r="N326" s="20"/>
      <c r="O326" s="20"/>
      <c r="P326" s="20"/>
      <c r="Q326" s="20"/>
      <c r="R326" s="20"/>
      <c r="S326" s="20"/>
      <c r="T326" s="20"/>
      <c r="U326" s="20"/>
      <c r="V326" s="20"/>
      <c r="W326" s="20"/>
      <c r="X326" s="20"/>
      <c r="Y326" s="20"/>
      <c r="Z326" s="20"/>
    </row>
    <row r="327" spans="3:26" ht="17.25" customHeight="1">
      <c r="C327" s="15"/>
      <c r="G327" s="47"/>
      <c r="H327" s="20"/>
      <c r="I327" s="20"/>
      <c r="J327" s="20"/>
      <c r="K327" s="20"/>
      <c r="L327" s="20"/>
      <c r="M327" s="20"/>
      <c r="N327" s="20"/>
      <c r="O327" s="20"/>
      <c r="P327" s="20"/>
      <c r="Q327" s="20"/>
      <c r="R327" s="20"/>
      <c r="S327" s="20"/>
      <c r="T327" s="20"/>
      <c r="U327" s="20"/>
      <c r="V327" s="20"/>
      <c r="W327" s="20"/>
      <c r="X327" s="20"/>
      <c r="Y327" s="20"/>
      <c r="Z327" s="20"/>
    </row>
    <row r="328" spans="3:26" ht="17.25" customHeight="1">
      <c r="C328" s="15"/>
      <c r="G328" s="47"/>
      <c r="H328" s="20"/>
      <c r="I328" s="20"/>
      <c r="J328" s="20"/>
      <c r="K328" s="20"/>
      <c r="L328" s="20"/>
      <c r="M328" s="20"/>
      <c r="N328" s="20"/>
      <c r="O328" s="20"/>
      <c r="P328" s="20"/>
      <c r="Q328" s="20"/>
      <c r="R328" s="20"/>
      <c r="S328" s="20"/>
      <c r="T328" s="20"/>
      <c r="U328" s="20"/>
      <c r="V328" s="20"/>
      <c r="W328" s="20"/>
      <c r="X328" s="20"/>
      <c r="Y328" s="20"/>
      <c r="Z328" s="20"/>
    </row>
    <row r="329" spans="3:26" ht="17.25" customHeight="1">
      <c r="C329" s="15"/>
      <c r="G329" s="47"/>
      <c r="H329" s="20"/>
      <c r="I329" s="20"/>
      <c r="J329" s="20"/>
      <c r="K329" s="20"/>
      <c r="L329" s="20"/>
      <c r="M329" s="20"/>
      <c r="N329" s="20"/>
      <c r="O329" s="20"/>
      <c r="P329" s="20"/>
      <c r="Q329" s="20"/>
      <c r="R329" s="20"/>
      <c r="S329" s="20"/>
      <c r="T329" s="20"/>
      <c r="U329" s="20"/>
      <c r="V329" s="20"/>
      <c r="W329" s="20"/>
      <c r="X329" s="20"/>
      <c r="Y329" s="20"/>
      <c r="Z329" s="20"/>
    </row>
    <row r="330" spans="3:26" ht="17.25" customHeight="1">
      <c r="C330" s="15"/>
      <c r="G330" s="47"/>
      <c r="H330" s="20"/>
      <c r="I330" s="20"/>
      <c r="J330" s="20"/>
      <c r="K330" s="20"/>
      <c r="L330" s="20"/>
      <c r="M330" s="20"/>
      <c r="N330" s="20"/>
      <c r="O330" s="20"/>
      <c r="P330" s="20"/>
      <c r="Q330" s="20"/>
      <c r="R330" s="20"/>
      <c r="S330" s="20"/>
      <c r="T330" s="20"/>
      <c r="U330" s="20"/>
      <c r="V330" s="20"/>
      <c r="W330" s="20"/>
      <c r="X330" s="20"/>
      <c r="Y330" s="20"/>
      <c r="Z330" s="20"/>
    </row>
    <row r="331" spans="3:26" ht="17.25" customHeight="1">
      <c r="C331" s="15"/>
      <c r="G331" s="47"/>
      <c r="H331" s="20"/>
      <c r="I331" s="20"/>
      <c r="J331" s="20"/>
      <c r="K331" s="20"/>
      <c r="L331" s="20"/>
      <c r="M331" s="20"/>
      <c r="N331" s="20"/>
      <c r="O331" s="20"/>
      <c r="P331" s="20"/>
      <c r="Q331" s="20"/>
      <c r="R331" s="20"/>
      <c r="S331" s="20"/>
      <c r="T331" s="20"/>
      <c r="U331" s="20"/>
      <c r="V331" s="20"/>
      <c r="W331" s="20"/>
      <c r="X331" s="20"/>
      <c r="Y331" s="20"/>
      <c r="Z331" s="20"/>
    </row>
    <row r="332" spans="3:26" ht="17.25" customHeight="1">
      <c r="C332" s="15"/>
      <c r="G332" s="47"/>
      <c r="H332" s="20"/>
      <c r="I332" s="20"/>
      <c r="J332" s="20"/>
      <c r="K332" s="20"/>
      <c r="L332" s="20"/>
      <c r="M332" s="20"/>
      <c r="N332" s="20"/>
      <c r="O332" s="20"/>
      <c r="P332" s="20"/>
      <c r="Q332" s="20"/>
      <c r="R332" s="20"/>
      <c r="S332" s="20"/>
      <c r="T332" s="20"/>
      <c r="U332" s="20"/>
      <c r="V332" s="20"/>
      <c r="W332" s="20"/>
      <c r="X332" s="20"/>
      <c r="Y332" s="20"/>
      <c r="Z332" s="20"/>
    </row>
    <row r="333" spans="3:26" ht="17.25" customHeight="1">
      <c r="C333" s="15"/>
      <c r="G333" s="47"/>
      <c r="H333" s="20"/>
      <c r="I333" s="20"/>
      <c r="J333" s="20"/>
      <c r="K333" s="20"/>
      <c r="L333" s="20"/>
      <c r="M333" s="20"/>
      <c r="N333" s="20"/>
      <c r="O333" s="20"/>
      <c r="P333" s="20"/>
      <c r="Q333" s="20"/>
      <c r="R333" s="20"/>
      <c r="S333" s="20"/>
      <c r="T333" s="20"/>
      <c r="U333" s="20"/>
      <c r="V333" s="20"/>
      <c r="W333" s="20"/>
      <c r="X333" s="20"/>
      <c r="Y333" s="20"/>
      <c r="Z333" s="20"/>
    </row>
    <row r="334" spans="3:26" ht="17.25" customHeight="1">
      <c r="C334" s="15"/>
      <c r="G334" s="47"/>
      <c r="H334" s="20"/>
      <c r="I334" s="20"/>
      <c r="J334" s="20"/>
      <c r="K334" s="20"/>
      <c r="L334" s="20"/>
      <c r="M334" s="20"/>
      <c r="N334" s="20"/>
      <c r="O334" s="20"/>
      <c r="P334" s="20"/>
      <c r="Q334" s="20"/>
      <c r="R334" s="20"/>
      <c r="S334" s="20"/>
      <c r="T334" s="20"/>
      <c r="U334" s="20"/>
      <c r="V334" s="20"/>
      <c r="W334" s="20"/>
      <c r="X334" s="20"/>
      <c r="Y334" s="20"/>
      <c r="Z334" s="20"/>
    </row>
    <row r="335" spans="3:26" ht="17.25" customHeight="1">
      <c r="C335" s="15"/>
      <c r="G335" s="47"/>
      <c r="H335" s="20"/>
      <c r="I335" s="20"/>
      <c r="J335" s="20"/>
      <c r="K335" s="20"/>
      <c r="L335" s="20"/>
      <c r="M335" s="20"/>
      <c r="N335" s="20"/>
      <c r="O335" s="20"/>
      <c r="P335" s="20"/>
      <c r="Q335" s="20"/>
      <c r="R335" s="20"/>
      <c r="S335" s="20"/>
      <c r="T335" s="20"/>
      <c r="U335" s="20"/>
      <c r="V335" s="20"/>
      <c r="W335" s="20"/>
      <c r="X335" s="20"/>
      <c r="Y335" s="20"/>
      <c r="Z335" s="20"/>
    </row>
    <row r="336" spans="3:26" ht="17.25" customHeight="1">
      <c r="C336" s="15"/>
      <c r="G336" s="47"/>
      <c r="H336" s="20"/>
      <c r="I336" s="20"/>
      <c r="J336" s="20"/>
      <c r="K336" s="20"/>
      <c r="L336" s="20"/>
      <c r="M336" s="20"/>
      <c r="N336" s="20"/>
      <c r="O336" s="20"/>
      <c r="P336" s="20"/>
      <c r="Q336" s="20"/>
      <c r="R336" s="20"/>
      <c r="S336" s="20"/>
      <c r="T336" s="20"/>
      <c r="U336" s="20"/>
      <c r="V336" s="20"/>
      <c r="W336" s="20"/>
      <c r="X336" s="20"/>
      <c r="Y336" s="20"/>
      <c r="Z336" s="20"/>
    </row>
    <row r="337" spans="3:26" ht="17.25" customHeight="1">
      <c r="C337" s="15"/>
      <c r="G337" s="47"/>
      <c r="H337" s="20"/>
      <c r="I337" s="20"/>
      <c r="J337" s="20"/>
      <c r="K337" s="20"/>
      <c r="L337" s="20"/>
      <c r="M337" s="20"/>
      <c r="N337" s="20"/>
      <c r="O337" s="20"/>
      <c r="P337" s="20"/>
      <c r="Q337" s="20"/>
      <c r="R337" s="20"/>
      <c r="S337" s="20"/>
      <c r="T337" s="20"/>
      <c r="U337" s="20"/>
      <c r="V337" s="20"/>
      <c r="W337" s="20"/>
      <c r="X337" s="20"/>
      <c r="Y337" s="20"/>
      <c r="Z337" s="20"/>
    </row>
    <row r="338" spans="3:26" ht="17.25" customHeight="1">
      <c r="C338" s="15"/>
      <c r="G338" s="47"/>
      <c r="H338" s="20"/>
      <c r="I338" s="20"/>
      <c r="J338" s="20"/>
      <c r="K338" s="20"/>
      <c r="L338" s="20"/>
      <c r="M338" s="20"/>
      <c r="N338" s="20"/>
      <c r="O338" s="20"/>
      <c r="P338" s="20"/>
      <c r="Q338" s="20"/>
      <c r="R338" s="20"/>
      <c r="S338" s="20"/>
      <c r="T338" s="20"/>
      <c r="U338" s="20"/>
      <c r="V338" s="20"/>
      <c r="W338" s="20"/>
      <c r="X338" s="20"/>
      <c r="Y338" s="20"/>
      <c r="Z338" s="20"/>
    </row>
    <row r="339" spans="3:26" ht="17.25" customHeight="1">
      <c r="C339" s="15"/>
      <c r="G339" s="47"/>
      <c r="H339" s="20"/>
      <c r="I339" s="20"/>
      <c r="J339" s="20"/>
      <c r="K339" s="20"/>
      <c r="L339" s="20"/>
      <c r="M339" s="20"/>
      <c r="N339" s="20"/>
      <c r="O339" s="20"/>
      <c r="P339" s="20"/>
      <c r="Q339" s="20"/>
      <c r="R339" s="20"/>
      <c r="S339" s="20"/>
      <c r="T339" s="20"/>
      <c r="U339" s="20"/>
      <c r="V339" s="20"/>
      <c r="W339" s="20"/>
      <c r="X339" s="20"/>
      <c r="Y339" s="20"/>
      <c r="Z339" s="20"/>
    </row>
    <row r="340" spans="3:26" ht="17.25" customHeight="1">
      <c r="C340" s="15"/>
      <c r="G340" s="47"/>
      <c r="H340" s="20"/>
      <c r="I340" s="20"/>
      <c r="J340" s="20"/>
      <c r="K340" s="20"/>
      <c r="L340" s="20"/>
      <c r="M340" s="20"/>
      <c r="N340" s="20"/>
      <c r="O340" s="20"/>
      <c r="P340" s="20"/>
      <c r="Q340" s="20"/>
      <c r="R340" s="20"/>
      <c r="S340" s="20"/>
      <c r="T340" s="20"/>
      <c r="U340" s="20"/>
      <c r="V340" s="20"/>
      <c r="W340" s="20"/>
      <c r="X340" s="20"/>
      <c r="Y340" s="20"/>
      <c r="Z340" s="20"/>
    </row>
    <row r="341" spans="3:26" ht="17.25" customHeight="1">
      <c r="C341" s="15"/>
      <c r="G341" s="47"/>
      <c r="H341" s="20"/>
      <c r="I341" s="20"/>
      <c r="J341" s="20"/>
      <c r="K341" s="20"/>
      <c r="L341" s="20"/>
      <c r="M341" s="20"/>
      <c r="N341" s="20"/>
      <c r="O341" s="20"/>
      <c r="P341" s="20"/>
      <c r="Q341" s="20"/>
      <c r="R341" s="20"/>
      <c r="S341" s="20"/>
      <c r="T341" s="20"/>
      <c r="U341" s="20"/>
      <c r="V341" s="20"/>
      <c r="W341" s="20"/>
      <c r="X341" s="20"/>
      <c r="Y341" s="20"/>
      <c r="Z341" s="20"/>
    </row>
    <row r="342" spans="3:26" ht="17.25" customHeight="1">
      <c r="C342" s="15"/>
      <c r="G342" s="47"/>
      <c r="H342" s="20"/>
      <c r="I342" s="20"/>
      <c r="J342" s="20"/>
      <c r="K342" s="20"/>
      <c r="L342" s="20"/>
      <c r="M342" s="20"/>
      <c r="N342" s="20"/>
      <c r="O342" s="20"/>
      <c r="P342" s="20"/>
      <c r="Q342" s="20"/>
      <c r="R342" s="20"/>
      <c r="S342" s="20"/>
      <c r="T342" s="20"/>
      <c r="U342" s="20"/>
      <c r="V342" s="20"/>
      <c r="W342" s="20"/>
      <c r="X342" s="20"/>
      <c r="Y342" s="20"/>
      <c r="Z342" s="20"/>
    </row>
    <row r="343" spans="3:26" ht="17.25" customHeight="1">
      <c r="C343" s="15"/>
      <c r="G343" s="47"/>
      <c r="H343" s="20"/>
      <c r="I343" s="20"/>
      <c r="J343" s="20"/>
      <c r="K343" s="20"/>
      <c r="L343" s="20"/>
      <c r="M343" s="20"/>
      <c r="N343" s="20"/>
      <c r="O343" s="20"/>
      <c r="P343" s="20"/>
      <c r="Q343" s="20"/>
      <c r="R343" s="20"/>
      <c r="S343" s="20"/>
      <c r="T343" s="20"/>
      <c r="U343" s="20"/>
      <c r="V343" s="20"/>
      <c r="W343" s="20"/>
      <c r="X343" s="20"/>
      <c r="Y343" s="20"/>
      <c r="Z343" s="20"/>
    </row>
    <row r="344" spans="3:26" ht="17.25" customHeight="1">
      <c r="C344" s="15"/>
      <c r="G344" s="47"/>
      <c r="H344" s="20"/>
      <c r="I344" s="20"/>
      <c r="J344" s="20"/>
      <c r="K344" s="20"/>
      <c r="L344" s="20"/>
      <c r="M344" s="20"/>
      <c r="N344" s="20"/>
      <c r="O344" s="20"/>
      <c r="P344" s="20"/>
      <c r="Q344" s="20"/>
      <c r="R344" s="20"/>
      <c r="S344" s="20"/>
      <c r="T344" s="20"/>
      <c r="U344" s="20"/>
      <c r="V344" s="20"/>
      <c r="W344" s="20"/>
      <c r="X344" s="20"/>
      <c r="Y344" s="20"/>
      <c r="Z344" s="20"/>
    </row>
    <row r="345" spans="3:26" ht="17.25" customHeight="1">
      <c r="C345" s="15"/>
      <c r="G345" s="47"/>
      <c r="H345" s="20"/>
      <c r="I345" s="20"/>
      <c r="J345" s="20"/>
      <c r="K345" s="20"/>
      <c r="L345" s="20"/>
      <c r="M345" s="20"/>
      <c r="N345" s="20"/>
      <c r="O345" s="20"/>
      <c r="P345" s="20"/>
      <c r="Q345" s="20"/>
      <c r="R345" s="20"/>
      <c r="S345" s="20"/>
      <c r="T345" s="20"/>
      <c r="U345" s="20"/>
      <c r="V345" s="20"/>
      <c r="W345" s="20"/>
      <c r="X345" s="20"/>
      <c r="Y345" s="20"/>
      <c r="Z345" s="20"/>
    </row>
    <row r="346" spans="3:26" ht="17.25" customHeight="1">
      <c r="C346" s="15"/>
      <c r="G346" s="47"/>
      <c r="H346" s="20"/>
      <c r="I346" s="20"/>
      <c r="J346" s="20"/>
      <c r="K346" s="20"/>
      <c r="L346" s="20"/>
      <c r="M346" s="20"/>
      <c r="N346" s="20"/>
      <c r="O346" s="20"/>
      <c r="P346" s="20"/>
      <c r="Q346" s="20"/>
      <c r="R346" s="20"/>
      <c r="S346" s="20"/>
      <c r="T346" s="20"/>
      <c r="U346" s="20"/>
      <c r="V346" s="20"/>
      <c r="W346" s="20"/>
      <c r="X346" s="20"/>
      <c r="Y346" s="20"/>
      <c r="Z346" s="20"/>
    </row>
    <row r="347" spans="3:26" ht="17.25" customHeight="1">
      <c r="C347" s="15"/>
      <c r="G347" s="47"/>
      <c r="H347" s="20"/>
      <c r="I347" s="20"/>
      <c r="J347" s="20"/>
      <c r="K347" s="20"/>
      <c r="L347" s="20"/>
      <c r="M347" s="20"/>
      <c r="N347" s="20"/>
      <c r="O347" s="20"/>
      <c r="P347" s="20"/>
      <c r="Q347" s="20"/>
      <c r="R347" s="20"/>
      <c r="S347" s="20"/>
      <c r="T347" s="20"/>
      <c r="U347" s="20"/>
      <c r="V347" s="20"/>
      <c r="W347" s="20"/>
      <c r="X347" s="20"/>
      <c r="Y347" s="20"/>
      <c r="Z347" s="20"/>
    </row>
    <row r="348" spans="3:26" ht="17.25" customHeight="1">
      <c r="C348" s="15"/>
      <c r="G348" s="47"/>
      <c r="H348" s="20"/>
      <c r="I348" s="20"/>
      <c r="J348" s="20"/>
      <c r="K348" s="20"/>
      <c r="L348" s="20"/>
      <c r="M348" s="20"/>
      <c r="N348" s="20"/>
      <c r="O348" s="20"/>
      <c r="P348" s="20"/>
      <c r="Q348" s="20"/>
      <c r="R348" s="20"/>
      <c r="S348" s="20"/>
      <c r="T348" s="20"/>
      <c r="U348" s="20"/>
      <c r="V348" s="20"/>
      <c r="W348" s="20"/>
      <c r="X348" s="20"/>
      <c r="Y348" s="20"/>
      <c r="Z348" s="20"/>
    </row>
    <row r="349" spans="3:26" ht="17.25" customHeight="1">
      <c r="C349" s="15"/>
      <c r="G349" s="47"/>
      <c r="H349" s="20"/>
      <c r="I349" s="20"/>
      <c r="J349" s="20"/>
      <c r="K349" s="20"/>
      <c r="L349" s="20"/>
      <c r="M349" s="20"/>
      <c r="N349" s="20"/>
      <c r="O349" s="20"/>
      <c r="P349" s="20"/>
      <c r="Q349" s="20"/>
      <c r="R349" s="20"/>
      <c r="S349" s="20"/>
      <c r="T349" s="20"/>
      <c r="U349" s="20"/>
      <c r="V349" s="20"/>
      <c r="W349" s="20"/>
      <c r="X349" s="20"/>
      <c r="Y349" s="20"/>
      <c r="Z349" s="20"/>
    </row>
    <row r="350" spans="3:26" ht="17.25" customHeight="1">
      <c r="C350" s="15"/>
      <c r="G350" s="47"/>
      <c r="H350" s="20"/>
      <c r="I350" s="20"/>
      <c r="J350" s="20"/>
      <c r="K350" s="20"/>
      <c r="L350" s="20"/>
      <c r="M350" s="20"/>
      <c r="N350" s="20"/>
      <c r="O350" s="20"/>
      <c r="P350" s="20"/>
      <c r="Q350" s="20"/>
      <c r="R350" s="20"/>
      <c r="S350" s="20"/>
      <c r="T350" s="20"/>
      <c r="U350" s="20"/>
      <c r="V350" s="20"/>
      <c r="W350" s="20"/>
      <c r="X350" s="20"/>
      <c r="Y350" s="20"/>
      <c r="Z350" s="20"/>
    </row>
    <row r="351" spans="3:26" ht="17.25" customHeight="1">
      <c r="C351" s="15"/>
      <c r="G351" s="47"/>
      <c r="H351" s="20"/>
      <c r="I351" s="20"/>
      <c r="J351" s="20"/>
      <c r="K351" s="20"/>
      <c r="L351" s="20"/>
      <c r="M351" s="20"/>
      <c r="N351" s="20"/>
      <c r="O351" s="20"/>
      <c r="P351" s="20"/>
      <c r="Q351" s="20"/>
      <c r="R351" s="20"/>
      <c r="S351" s="20"/>
      <c r="T351" s="20"/>
      <c r="U351" s="20"/>
      <c r="V351" s="20"/>
      <c r="W351" s="20"/>
      <c r="X351" s="20"/>
      <c r="Y351" s="20"/>
      <c r="Z351" s="20"/>
    </row>
    <row r="352" spans="3:26" ht="17.25" customHeight="1">
      <c r="C352" s="15"/>
      <c r="G352" s="47"/>
      <c r="H352" s="20"/>
      <c r="I352" s="20"/>
      <c r="J352" s="20"/>
      <c r="K352" s="20"/>
      <c r="L352" s="20"/>
      <c r="M352" s="20"/>
      <c r="N352" s="20"/>
      <c r="O352" s="20"/>
      <c r="P352" s="20"/>
      <c r="Q352" s="20"/>
      <c r="R352" s="20"/>
      <c r="S352" s="20"/>
      <c r="T352" s="20"/>
      <c r="U352" s="20"/>
      <c r="V352" s="20"/>
      <c r="W352" s="20"/>
      <c r="X352" s="20"/>
      <c r="Y352" s="20"/>
      <c r="Z352" s="20"/>
    </row>
    <row r="353" spans="3:26" ht="17.25" customHeight="1">
      <c r="C353" s="15"/>
      <c r="G353" s="47"/>
      <c r="H353" s="20"/>
      <c r="I353" s="20"/>
      <c r="J353" s="20"/>
      <c r="K353" s="20"/>
      <c r="L353" s="20"/>
      <c r="M353" s="20"/>
      <c r="N353" s="20"/>
      <c r="O353" s="20"/>
      <c r="P353" s="20"/>
      <c r="Q353" s="20"/>
      <c r="R353" s="20"/>
      <c r="S353" s="20"/>
      <c r="T353" s="20"/>
      <c r="U353" s="20"/>
      <c r="V353" s="20"/>
      <c r="W353" s="20"/>
      <c r="X353" s="20"/>
      <c r="Y353" s="20"/>
      <c r="Z353" s="20"/>
    </row>
    <row r="354" spans="3:26" ht="17.25" customHeight="1">
      <c r="C354" s="15"/>
      <c r="G354" s="47"/>
      <c r="H354" s="20"/>
      <c r="I354" s="20"/>
      <c r="J354" s="20"/>
      <c r="K354" s="20"/>
      <c r="L354" s="20"/>
      <c r="M354" s="20"/>
      <c r="N354" s="20"/>
      <c r="O354" s="20"/>
      <c r="P354" s="20"/>
      <c r="Q354" s="20"/>
      <c r="R354" s="20"/>
      <c r="S354" s="20"/>
      <c r="T354" s="20"/>
      <c r="U354" s="20"/>
      <c r="V354" s="20"/>
      <c r="W354" s="20"/>
      <c r="X354" s="20"/>
      <c r="Y354" s="20"/>
      <c r="Z354" s="20"/>
    </row>
    <row r="355" spans="3:26" ht="17.25" customHeight="1">
      <c r="C355" s="15"/>
      <c r="G355" s="47"/>
      <c r="H355" s="20"/>
      <c r="I355" s="20"/>
      <c r="J355" s="20"/>
      <c r="K355" s="20"/>
      <c r="L355" s="20"/>
      <c r="M355" s="20"/>
      <c r="N355" s="20"/>
      <c r="O355" s="20"/>
      <c r="P355" s="20"/>
      <c r="Q355" s="20"/>
      <c r="R355" s="20"/>
      <c r="S355" s="20"/>
      <c r="T355" s="20"/>
      <c r="U355" s="20"/>
      <c r="V355" s="20"/>
      <c r="W355" s="20"/>
      <c r="X355" s="20"/>
      <c r="Y355" s="20"/>
      <c r="Z355" s="20"/>
    </row>
    <row r="356" spans="3:26" ht="17.25" customHeight="1">
      <c r="C356" s="15"/>
      <c r="G356" s="47"/>
      <c r="H356" s="20"/>
      <c r="I356" s="20"/>
      <c r="J356" s="20"/>
      <c r="K356" s="20"/>
      <c r="L356" s="20"/>
      <c r="M356" s="20"/>
      <c r="N356" s="20"/>
      <c r="O356" s="20"/>
      <c r="P356" s="20"/>
      <c r="Q356" s="20"/>
      <c r="R356" s="20"/>
      <c r="S356" s="20"/>
      <c r="T356" s="20"/>
      <c r="U356" s="20"/>
      <c r="V356" s="20"/>
      <c r="W356" s="20"/>
      <c r="X356" s="20"/>
      <c r="Y356" s="20"/>
      <c r="Z356" s="20"/>
    </row>
    <row r="357" spans="3:26" ht="17.25" customHeight="1">
      <c r="C357" s="15"/>
      <c r="G357" s="47"/>
      <c r="H357" s="20"/>
      <c r="I357" s="20"/>
      <c r="J357" s="20"/>
      <c r="K357" s="20"/>
      <c r="L357" s="20"/>
      <c r="M357" s="20"/>
      <c r="N357" s="20"/>
      <c r="O357" s="20"/>
      <c r="P357" s="20"/>
      <c r="Q357" s="20"/>
      <c r="R357" s="20"/>
      <c r="S357" s="20"/>
      <c r="T357" s="20"/>
      <c r="U357" s="20"/>
      <c r="V357" s="20"/>
      <c r="W357" s="20"/>
      <c r="X357" s="20"/>
      <c r="Y357" s="20"/>
      <c r="Z357" s="20"/>
    </row>
    <row r="358" spans="3:26" ht="17.25" customHeight="1">
      <c r="C358" s="15"/>
      <c r="G358" s="47"/>
      <c r="H358" s="20"/>
      <c r="I358" s="20"/>
      <c r="J358" s="20"/>
      <c r="K358" s="20"/>
      <c r="L358" s="20"/>
      <c r="M358" s="20"/>
      <c r="N358" s="20"/>
      <c r="O358" s="20"/>
      <c r="P358" s="20"/>
      <c r="Q358" s="20"/>
      <c r="R358" s="20"/>
      <c r="S358" s="20"/>
      <c r="T358" s="20"/>
      <c r="U358" s="20"/>
      <c r="V358" s="20"/>
      <c r="W358" s="20"/>
      <c r="X358" s="20"/>
      <c r="Y358" s="20"/>
      <c r="Z358" s="20"/>
    </row>
    <row r="359" spans="3:26" ht="17.25" customHeight="1">
      <c r="C359" s="15"/>
      <c r="G359" s="47"/>
      <c r="H359" s="20"/>
      <c r="I359" s="20"/>
      <c r="J359" s="20"/>
      <c r="K359" s="20"/>
      <c r="L359" s="20"/>
      <c r="M359" s="20"/>
      <c r="N359" s="20"/>
      <c r="O359" s="20"/>
      <c r="P359" s="20"/>
      <c r="Q359" s="20"/>
      <c r="R359" s="20"/>
      <c r="S359" s="20"/>
      <c r="T359" s="20"/>
      <c r="U359" s="20"/>
      <c r="V359" s="20"/>
      <c r="W359" s="20"/>
      <c r="X359" s="20"/>
      <c r="Y359" s="20"/>
      <c r="Z359" s="20"/>
    </row>
    <row r="360" spans="3:26" ht="17.25" customHeight="1">
      <c r="C360" s="15"/>
      <c r="G360" s="47"/>
      <c r="H360" s="20"/>
      <c r="I360" s="20"/>
      <c r="J360" s="20"/>
      <c r="K360" s="20"/>
      <c r="L360" s="20"/>
      <c r="M360" s="20"/>
      <c r="N360" s="20"/>
      <c r="O360" s="20"/>
      <c r="P360" s="20"/>
      <c r="Q360" s="20"/>
      <c r="R360" s="20"/>
      <c r="S360" s="20"/>
      <c r="T360" s="20"/>
      <c r="U360" s="20"/>
      <c r="V360" s="20"/>
      <c r="W360" s="20"/>
      <c r="X360" s="20"/>
      <c r="Y360" s="20"/>
      <c r="Z360" s="20"/>
    </row>
    <row r="361" spans="3:26" ht="17.25" customHeight="1">
      <c r="C361" s="15"/>
      <c r="G361" s="47"/>
      <c r="H361" s="20"/>
      <c r="I361" s="20"/>
      <c r="J361" s="20"/>
      <c r="K361" s="20"/>
      <c r="L361" s="20"/>
      <c r="M361" s="20"/>
      <c r="N361" s="20"/>
      <c r="O361" s="20"/>
      <c r="P361" s="20"/>
      <c r="Q361" s="20"/>
      <c r="R361" s="20"/>
      <c r="S361" s="20"/>
      <c r="T361" s="20"/>
      <c r="U361" s="20"/>
      <c r="V361" s="20"/>
      <c r="W361" s="20"/>
      <c r="X361" s="20"/>
      <c r="Y361" s="20"/>
      <c r="Z361" s="20"/>
    </row>
    <row r="362" spans="3:26" ht="17.25" customHeight="1">
      <c r="C362" s="15"/>
      <c r="G362" s="47"/>
      <c r="H362" s="20"/>
      <c r="I362" s="20"/>
      <c r="J362" s="20"/>
      <c r="K362" s="20"/>
      <c r="L362" s="20"/>
      <c r="M362" s="20"/>
      <c r="N362" s="20"/>
      <c r="O362" s="20"/>
      <c r="P362" s="20"/>
      <c r="Q362" s="20"/>
      <c r="R362" s="20"/>
      <c r="S362" s="20"/>
      <c r="T362" s="20"/>
      <c r="U362" s="20"/>
      <c r="V362" s="20"/>
      <c r="W362" s="20"/>
      <c r="X362" s="20"/>
      <c r="Y362" s="20"/>
      <c r="Z362" s="20"/>
    </row>
    <row r="363" spans="3:26" ht="17.25" customHeight="1">
      <c r="C363" s="15"/>
      <c r="G363" s="47"/>
      <c r="H363" s="20"/>
      <c r="I363" s="20"/>
      <c r="J363" s="20"/>
      <c r="K363" s="20"/>
      <c r="L363" s="20"/>
      <c r="M363" s="20"/>
      <c r="N363" s="20"/>
      <c r="O363" s="20"/>
      <c r="P363" s="20"/>
      <c r="Q363" s="20"/>
      <c r="R363" s="20"/>
      <c r="S363" s="20"/>
      <c r="T363" s="20"/>
      <c r="U363" s="20"/>
      <c r="V363" s="20"/>
      <c r="W363" s="20"/>
      <c r="X363" s="20"/>
      <c r="Y363" s="20"/>
      <c r="Z363" s="20"/>
    </row>
    <row r="364" spans="3:26" ht="17.25" customHeight="1">
      <c r="C364" s="15"/>
      <c r="G364" s="47"/>
      <c r="H364" s="20"/>
      <c r="I364" s="20"/>
      <c r="J364" s="20"/>
      <c r="K364" s="20"/>
      <c r="L364" s="20"/>
      <c r="M364" s="20"/>
      <c r="N364" s="20"/>
      <c r="O364" s="20"/>
      <c r="P364" s="20"/>
      <c r="Q364" s="20"/>
      <c r="R364" s="20"/>
      <c r="S364" s="20"/>
      <c r="T364" s="20"/>
      <c r="U364" s="20"/>
      <c r="V364" s="20"/>
      <c r="W364" s="20"/>
      <c r="X364" s="20"/>
      <c r="Y364" s="20"/>
      <c r="Z364" s="20"/>
    </row>
    <row r="365" spans="3:26" ht="17.25" customHeight="1">
      <c r="C365" s="15"/>
      <c r="G365" s="47"/>
      <c r="H365" s="20"/>
      <c r="I365" s="20"/>
      <c r="J365" s="20"/>
      <c r="K365" s="20"/>
      <c r="L365" s="20"/>
      <c r="M365" s="20"/>
      <c r="N365" s="20"/>
      <c r="O365" s="20"/>
      <c r="P365" s="20"/>
      <c r="Q365" s="20"/>
      <c r="R365" s="20"/>
      <c r="S365" s="20"/>
      <c r="T365" s="20"/>
      <c r="U365" s="20"/>
      <c r="V365" s="20"/>
      <c r="W365" s="20"/>
      <c r="X365" s="20"/>
      <c r="Y365" s="20"/>
      <c r="Z365" s="20"/>
    </row>
    <row r="366" spans="3:26" ht="17.25" customHeight="1">
      <c r="C366" s="15"/>
      <c r="G366" s="47"/>
      <c r="H366" s="20"/>
      <c r="I366" s="20"/>
      <c r="J366" s="20"/>
      <c r="K366" s="20"/>
      <c r="L366" s="20"/>
      <c r="M366" s="20"/>
      <c r="N366" s="20"/>
      <c r="O366" s="20"/>
      <c r="P366" s="20"/>
      <c r="Q366" s="20"/>
      <c r="R366" s="20"/>
      <c r="S366" s="20"/>
      <c r="T366" s="20"/>
      <c r="U366" s="20"/>
      <c r="V366" s="20"/>
      <c r="W366" s="20"/>
      <c r="X366" s="20"/>
      <c r="Y366" s="20"/>
      <c r="Z366" s="20"/>
    </row>
    <row r="367" spans="3:26" ht="17.25" customHeight="1">
      <c r="C367" s="15"/>
      <c r="G367" s="47"/>
      <c r="H367" s="20"/>
      <c r="I367" s="20"/>
      <c r="J367" s="20"/>
      <c r="K367" s="20"/>
      <c r="L367" s="20"/>
      <c r="M367" s="20"/>
      <c r="N367" s="20"/>
      <c r="O367" s="20"/>
      <c r="P367" s="20"/>
      <c r="Q367" s="20"/>
      <c r="R367" s="20"/>
      <c r="S367" s="20"/>
      <c r="T367" s="20"/>
      <c r="U367" s="20"/>
      <c r="V367" s="20"/>
      <c r="W367" s="20"/>
      <c r="X367" s="20"/>
      <c r="Y367" s="20"/>
      <c r="Z367" s="20"/>
    </row>
    <row r="368" spans="3:26" ht="17.25" customHeight="1">
      <c r="C368" s="15"/>
      <c r="G368" s="47"/>
      <c r="H368" s="20"/>
      <c r="I368" s="20"/>
      <c r="J368" s="20"/>
      <c r="K368" s="20"/>
      <c r="L368" s="20"/>
      <c r="M368" s="20"/>
      <c r="N368" s="20"/>
      <c r="O368" s="20"/>
      <c r="P368" s="20"/>
      <c r="Q368" s="20"/>
      <c r="R368" s="20"/>
      <c r="S368" s="20"/>
      <c r="T368" s="20"/>
      <c r="U368" s="20"/>
      <c r="V368" s="20"/>
      <c r="W368" s="20"/>
      <c r="X368" s="20"/>
      <c r="Y368" s="20"/>
      <c r="Z368" s="20"/>
    </row>
    <row r="369" spans="3:26" ht="17.25" customHeight="1">
      <c r="C369" s="15"/>
      <c r="G369" s="47"/>
      <c r="H369" s="20"/>
      <c r="I369" s="20"/>
      <c r="J369" s="20"/>
      <c r="K369" s="20"/>
      <c r="L369" s="20"/>
      <c r="M369" s="20"/>
      <c r="N369" s="20"/>
      <c r="O369" s="20"/>
      <c r="P369" s="20"/>
      <c r="Q369" s="20"/>
      <c r="R369" s="20"/>
      <c r="S369" s="20"/>
      <c r="T369" s="20"/>
      <c r="U369" s="20"/>
      <c r="V369" s="20"/>
      <c r="W369" s="20"/>
      <c r="X369" s="20"/>
      <c r="Y369" s="20"/>
      <c r="Z369" s="20"/>
    </row>
    <row r="370" spans="3:26" ht="17.25" customHeight="1">
      <c r="C370" s="15"/>
      <c r="G370" s="47"/>
      <c r="H370" s="20"/>
      <c r="I370" s="20"/>
      <c r="J370" s="20"/>
      <c r="K370" s="20"/>
      <c r="L370" s="20"/>
      <c r="M370" s="20"/>
      <c r="N370" s="20"/>
      <c r="O370" s="20"/>
      <c r="P370" s="20"/>
      <c r="Q370" s="20"/>
      <c r="R370" s="20"/>
      <c r="S370" s="20"/>
      <c r="T370" s="20"/>
      <c r="U370" s="20"/>
      <c r="V370" s="20"/>
      <c r="W370" s="20"/>
      <c r="X370" s="20"/>
      <c r="Y370" s="20"/>
      <c r="Z370" s="20"/>
    </row>
    <row r="371" spans="3:26" ht="17.25" customHeight="1">
      <c r="C371" s="15"/>
      <c r="G371" s="47"/>
      <c r="H371" s="20"/>
      <c r="I371" s="20"/>
      <c r="J371" s="20"/>
      <c r="K371" s="20"/>
      <c r="L371" s="20"/>
      <c r="M371" s="20"/>
      <c r="N371" s="20"/>
      <c r="O371" s="20"/>
      <c r="P371" s="20"/>
      <c r="Q371" s="20"/>
      <c r="R371" s="20"/>
      <c r="S371" s="20"/>
      <c r="T371" s="20"/>
      <c r="U371" s="20"/>
      <c r="V371" s="20"/>
      <c r="W371" s="20"/>
      <c r="X371" s="20"/>
      <c r="Y371" s="20"/>
      <c r="Z371" s="20"/>
    </row>
    <row r="372" spans="3:26" ht="17.25" customHeight="1">
      <c r="C372" s="15"/>
      <c r="G372" s="47"/>
      <c r="H372" s="20"/>
      <c r="I372" s="20"/>
      <c r="J372" s="20"/>
      <c r="K372" s="20"/>
      <c r="L372" s="20"/>
      <c r="M372" s="20"/>
      <c r="N372" s="20"/>
      <c r="O372" s="20"/>
      <c r="P372" s="20"/>
      <c r="Q372" s="20"/>
      <c r="R372" s="20"/>
      <c r="S372" s="20"/>
      <c r="T372" s="20"/>
      <c r="U372" s="20"/>
      <c r="V372" s="20"/>
      <c r="W372" s="20"/>
      <c r="X372" s="20"/>
      <c r="Y372" s="20"/>
      <c r="Z372" s="20"/>
    </row>
    <row r="373" spans="3:26" ht="17.25" customHeight="1">
      <c r="C373" s="15"/>
      <c r="G373" s="47"/>
      <c r="H373" s="20"/>
      <c r="I373" s="20"/>
      <c r="J373" s="20"/>
      <c r="K373" s="20"/>
      <c r="L373" s="20"/>
      <c r="M373" s="20"/>
      <c r="N373" s="20"/>
      <c r="O373" s="20"/>
      <c r="P373" s="20"/>
      <c r="Q373" s="20"/>
      <c r="R373" s="20"/>
      <c r="S373" s="20"/>
      <c r="T373" s="20"/>
      <c r="U373" s="20"/>
      <c r="V373" s="20"/>
      <c r="W373" s="20"/>
      <c r="X373" s="20"/>
      <c r="Y373" s="20"/>
      <c r="Z373" s="20"/>
    </row>
    <row r="374" spans="3:26" ht="17.25" customHeight="1">
      <c r="C374" s="15"/>
      <c r="G374" s="47"/>
      <c r="H374" s="20"/>
      <c r="I374" s="20"/>
      <c r="J374" s="20"/>
      <c r="K374" s="20"/>
      <c r="L374" s="20"/>
      <c r="M374" s="20"/>
      <c r="N374" s="20"/>
      <c r="O374" s="20"/>
      <c r="P374" s="20"/>
      <c r="Q374" s="20"/>
      <c r="R374" s="20"/>
      <c r="S374" s="20"/>
      <c r="T374" s="20"/>
      <c r="U374" s="20"/>
      <c r="V374" s="20"/>
      <c r="W374" s="20"/>
      <c r="X374" s="20"/>
      <c r="Y374" s="20"/>
      <c r="Z374" s="20"/>
    </row>
    <row r="375" spans="3:26" ht="17.25" customHeight="1">
      <c r="C375" s="15"/>
      <c r="G375" s="47"/>
      <c r="H375" s="20"/>
      <c r="I375" s="20"/>
      <c r="J375" s="20"/>
      <c r="K375" s="20"/>
      <c r="L375" s="20"/>
      <c r="M375" s="20"/>
      <c r="N375" s="20"/>
      <c r="O375" s="20"/>
      <c r="P375" s="20"/>
      <c r="Q375" s="20"/>
      <c r="R375" s="20"/>
      <c r="S375" s="20"/>
      <c r="T375" s="20"/>
      <c r="U375" s="20"/>
      <c r="V375" s="20"/>
      <c r="W375" s="20"/>
      <c r="X375" s="20"/>
      <c r="Y375" s="20"/>
      <c r="Z375" s="20"/>
    </row>
    <row r="376" spans="3:26" ht="17.25" customHeight="1">
      <c r="C376" s="15"/>
      <c r="G376" s="47"/>
      <c r="H376" s="20"/>
      <c r="I376" s="20"/>
      <c r="J376" s="20"/>
      <c r="K376" s="20"/>
      <c r="L376" s="20"/>
      <c r="M376" s="20"/>
      <c r="N376" s="20"/>
      <c r="O376" s="20"/>
      <c r="P376" s="20"/>
      <c r="Q376" s="20"/>
      <c r="R376" s="20"/>
      <c r="S376" s="20"/>
      <c r="T376" s="20"/>
      <c r="U376" s="20"/>
      <c r="V376" s="20"/>
      <c r="W376" s="20"/>
      <c r="X376" s="20"/>
      <c r="Y376" s="20"/>
      <c r="Z376" s="20"/>
    </row>
    <row r="377" spans="3:26" ht="17.25" customHeight="1">
      <c r="C377" s="15"/>
      <c r="G377" s="47"/>
      <c r="H377" s="20"/>
      <c r="I377" s="20"/>
      <c r="J377" s="20"/>
      <c r="K377" s="20"/>
      <c r="L377" s="20"/>
      <c r="M377" s="20"/>
      <c r="N377" s="20"/>
      <c r="O377" s="20"/>
      <c r="P377" s="20"/>
      <c r="Q377" s="20"/>
      <c r="R377" s="20"/>
      <c r="S377" s="20"/>
      <c r="T377" s="20"/>
      <c r="U377" s="20"/>
      <c r="V377" s="20"/>
      <c r="W377" s="20"/>
      <c r="X377" s="20"/>
      <c r="Y377" s="20"/>
      <c r="Z377" s="20"/>
    </row>
    <row r="378" spans="3:26" ht="17.25" customHeight="1">
      <c r="C378" s="15"/>
      <c r="G378" s="47"/>
      <c r="H378" s="20"/>
      <c r="I378" s="20"/>
      <c r="J378" s="20"/>
      <c r="K378" s="20"/>
      <c r="L378" s="20"/>
      <c r="M378" s="20"/>
      <c r="N378" s="20"/>
      <c r="O378" s="20"/>
      <c r="P378" s="20"/>
      <c r="Q378" s="20"/>
      <c r="R378" s="20"/>
      <c r="S378" s="20"/>
      <c r="T378" s="20"/>
      <c r="U378" s="20"/>
      <c r="V378" s="20"/>
      <c r="W378" s="20"/>
      <c r="X378" s="20"/>
      <c r="Y378" s="20"/>
      <c r="Z378" s="20"/>
    </row>
    <row r="379" spans="3:26" ht="17.25" customHeight="1">
      <c r="C379" s="15"/>
      <c r="G379" s="47"/>
      <c r="H379" s="20"/>
      <c r="I379" s="20"/>
      <c r="J379" s="20"/>
      <c r="K379" s="20"/>
      <c r="L379" s="20"/>
      <c r="M379" s="20"/>
      <c r="N379" s="20"/>
      <c r="O379" s="20"/>
      <c r="P379" s="20"/>
      <c r="Q379" s="20"/>
      <c r="R379" s="20"/>
      <c r="S379" s="20"/>
      <c r="T379" s="20"/>
      <c r="U379" s="20"/>
      <c r="V379" s="20"/>
      <c r="W379" s="20"/>
      <c r="X379" s="20"/>
      <c r="Y379" s="20"/>
      <c r="Z379" s="20"/>
    </row>
    <row r="380" spans="3:26" ht="17.25" customHeight="1">
      <c r="C380" s="15"/>
      <c r="G380" s="47"/>
      <c r="H380" s="20"/>
      <c r="I380" s="20"/>
      <c r="J380" s="20"/>
      <c r="K380" s="20"/>
      <c r="L380" s="20"/>
      <c r="M380" s="20"/>
      <c r="N380" s="20"/>
      <c r="O380" s="20"/>
      <c r="P380" s="20"/>
      <c r="Q380" s="20"/>
      <c r="R380" s="20"/>
      <c r="S380" s="20"/>
      <c r="T380" s="20"/>
      <c r="U380" s="20"/>
      <c r="V380" s="20"/>
      <c r="W380" s="20"/>
      <c r="X380" s="20"/>
      <c r="Y380" s="20"/>
      <c r="Z380" s="20"/>
    </row>
    <row r="381" spans="3:26" ht="17.25" customHeight="1">
      <c r="C381" s="15"/>
      <c r="G381" s="47"/>
      <c r="H381" s="20"/>
      <c r="I381" s="20"/>
      <c r="J381" s="20"/>
      <c r="K381" s="20"/>
      <c r="L381" s="20"/>
      <c r="M381" s="20"/>
      <c r="N381" s="20"/>
      <c r="O381" s="20"/>
      <c r="P381" s="20"/>
      <c r="Q381" s="20"/>
      <c r="R381" s="20"/>
      <c r="S381" s="20"/>
      <c r="T381" s="20"/>
      <c r="U381" s="20"/>
      <c r="V381" s="20"/>
      <c r="W381" s="20"/>
      <c r="X381" s="20"/>
      <c r="Y381" s="20"/>
      <c r="Z381" s="20"/>
    </row>
    <row r="382" spans="3:26" ht="17.25" customHeight="1">
      <c r="C382" s="15"/>
      <c r="G382" s="47"/>
      <c r="H382" s="20"/>
      <c r="I382" s="20"/>
      <c r="J382" s="20"/>
      <c r="K382" s="20"/>
      <c r="L382" s="20"/>
      <c r="M382" s="20"/>
      <c r="N382" s="20"/>
      <c r="O382" s="20"/>
      <c r="P382" s="20"/>
      <c r="Q382" s="20"/>
      <c r="R382" s="20"/>
      <c r="S382" s="20"/>
      <c r="T382" s="20"/>
      <c r="U382" s="20"/>
      <c r="V382" s="20"/>
      <c r="W382" s="20"/>
      <c r="X382" s="20"/>
      <c r="Y382" s="20"/>
      <c r="Z382" s="20"/>
    </row>
    <row r="383" spans="3:26" ht="17.25" customHeight="1">
      <c r="C383" s="15"/>
      <c r="G383" s="47"/>
      <c r="H383" s="20"/>
      <c r="I383" s="20"/>
      <c r="J383" s="20"/>
      <c r="K383" s="20"/>
      <c r="L383" s="20"/>
      <c r="M383" s="20"/>
      <c r="N383" s="20"/>
      <c r="O383" s="20"/>
      <c r="P383" s="20"/>
      <c r="Q383" s="20"/>
      <c r="R383" s="20"/>
      <c r="S383" s="20"/>
      <c r="T383" s="20"/>
      <c r="U383" s="20"/>
      <c r="V383" s="20"/>
      <c r="W383" s="20"/>
      <c r="X383" s="20"/>
      <c r="Y383" s="20"/>
      <c r="Z383" s="20"/>
    </row>
    <row r="384" spans="3:26" ht="17.25" customHeight="1">
      <c r="C384" s="15"/>
      <c r="G384" s="47"/>
      <c r="H384" s="20"/>
      <c r="I384" s="20"/>
      <c r="J384" s="20"/>
      <c r="K384" s="20"/>
      <c r="L384" s="20"/>
      <c r="M384" s="20"/>
      <c r="N384" s="20"/>
      <c r="O384" s="20"/>
      <c r="P384" s="20"/>
      <c r="Q384" s="20"/>
      <c r="R384" s="20"/>
      <c r="S384" s="20"/>
      <c r="T384" s="20"/>
      <c r="U384" s="20"/>
      <c r="V384" s="20"/>
      <c r="W384" s="20"/>
      <c r="X384" s="20"/>
      <c r="Y384" s="20"/>
      <c r="Z384" s="20"/>
    </row>
    <row r="385" spans="3:26" ht="17.25" customHeight="1">
      <c r="C385" s="15"/>
      <c r="G385" s="47"/>
      <c r="H385" s="20"/>
      <c r="I385" s="20"/>
      <c r="J385" s="20"/>
      <c r="K385" s="20"/>
      <c r="L385" s="20"/>
      <c r="M385" s="20"/>
      <c r="N385" s="20"/>
      <c r="O385" s="20"/>
      <c r="P385" s="20"/>
      <c r="Q385" s="20"/>
      <c r="R385" s="20"/>
      <c r="S385" s="20"/>
      <c r="T385" s="20"/>
      <c r="U385" s="20"/>
      <c r="V385" s="20"/>
      <c r="W385" s="20"/>
      <c r="X385" s="20"/>
      <c r="Y385" s="20"/>
      <c r="Z385" s="20"/>
    </row>
    <row r="386" spans="3:26" ht="17.25" customHeight="1">
      <c r="C386" s="15"/>
      <c r="G386" s="47"/>
      <c r="H386" s="20"/>
      <c r="I386" s="20"/>
      <c r="J386" s="20"/>
      <c r="K386" s="20"/>
      <c r="L386" s="20"/>
      <c r="M386" s="20"/>
      <c r="N386" s="20"/>
      <c r="O386" s="20"/>
      <c r="P386" s="20"/>
      <c r="Q386" s="20"/>
      <c r="R386" s="20"/>
      <c r="S386" s="20"/>
      <c r="T386" s="20"/>
      <c r="U386" s="20"/>
      <c r="V386" s="20"/>
      <c r="W386" s="20"/>
      <c r="X386" s="20"/>
      <c r="Y386" s="20"/>
      <c r="Z386" s="20"/>
    </row>
    <row r="387" spans="3:26" ht="17.25" customHeight="1">
      <c r="C387" s="15"/>
      <c r="G387" s="47"/>
      <c r="H387" s="20"/>
      <c r="I387" s="20"/>
      <c r="J387" s="20"/>
      <c r="K387" s="20"/>
      <c r="L387" s="20"/>
      <c r="M387" s="20"/>
      <c r="N387" s="20"/>
      <c r="O387" s="20"/>
      <c r="P387" s="20"/>
      <c r="Q387" s="20"/>
      <c r="R387" s="20"/>
      <c r="S387" s="20"/>
      <c r="T387" s="20"/>
      <c r="U387" s="20"/>
      <c r="V387" s="20"/>
      <c r="W387" s="20"/>
      <c r="X387" s="20"/>
      <c r="Y387" s="20"/>
      <c r="Z387" s="20"/>
    </row>
    <row r="388" spans="3:26" ht="17.25" customHeight="1">
      <c r="C388" s="15"/>
      <c r="G388" s="47"/>
      <c r="H388" s="20"/>
      <c r="I388" s="20"/>
      <c r="J388" s="20"/>
      <c r="K388" s="20"/>
      <c r="L388" s="20"/>
      <c r="M388" s="20"/>
      <c r="N388" s="20"/>
      <c r="O388" s="20"/>
      <c r="P388" s="20"/>
      <c r="Q388" s="20"/>
      <c r="R388" s="20"/>
      <c r="S388" s="20"/>
      <c r="T388" s="20"/>
      <c r="U388" s="20"/>
      <c r="V388" s="20"/>
      <c r="W388" s="20"/>
      <c r="X388" s="20"/>
      <c r="Y388" s="20"/>
      <c r="Z388" s="20"/>
    </row>
    <row r="389" spans="3:26" ht="17.25" customHeight="1">
      <c r="C389" s="15"/>
      <c r="G389" s="47"/>
      <c r="H389" s="20"/>
      <c r="I389" s="20"/>
      <c r="J389" s="20"/>
      <c r="K389" s="20"/>
      <c r="L389" s="20"/>
      <c r="M389" s="20"/>
      <c r="N389" s="20"/>
      <c r="O389" s="20"/>
      <c r="P389" s="20"/>
      <c r="Q389" s="20"/>
      <c r="R389" s="20"/>
      <c r="S389" s="20"/>
      <c r="T389" s="20"/>
      <c r="U389" s="20"/>
      <c r="V389" s="20"/>
      <c r="W389" s="20"/>
      <c r="X389" s="20"/>
      <c r="Y389" s="20"/>
      <c r="Z389" s="20"/>
    </row>
    <row r="390" spans="3:26" ht="17.25" customHeight="1">
      <c r="C390" s="15"/>
      <c r="G390" s="47"/>
      <c r="H390" s="20"/>
      <c r="I390" s="20"/>
      <c r="J390" s="20"/>
      <c r="K390" s="20"/>
      <c r="L390" s="20"/>
      <c r="M390" s="20"/>
      <c r="N390" s="20"/>
      <c r="O390" s="20"/>
      <c r="P390" s="20"/>
      <c r="Q390" s="20"/>
      <c r="R390" s="20"/>
      <c r="S390" s="20"/>
      <c r="T390" s="20"/>
      <c r="U390" s="20"/>
      <c r="V390" s="20"/>
      <c r="W390" s="20"/>
      <c r="X390" s="20"/>
      <c r="Y390" s="20"/>
      <c r="Z390" s="20"/>
    </row>
    <row r="391" spans="3:26" ht="17.25" customHeight="1">
      <c r="C391" s="15"/>
      <c r="G391" s="47"/>
      <c r="H391" s="20"/>
      <c r="I391" s="20"/>
      <c r="J391" s="20"/>
      <c r="K391" s="20"/>
      <c r="L391" s="20"/>
      <c r="M391" s="20"/>
      <c r="N391" s="20"/>
      <c r="O391" s="20"/>
      <c r="P391" s="20"/>
      <c r="Q391" s="20"/>
      <c r="R391" s="20"/>
      <c r="S391" s="20"/>
      <c r="T391" s="20"/>
      <c r="U391" s="20"/>
      <c r="V391" s="20"/>
      <c r="W391" s="20"/>
      <c r="X391" s="20"/>
      <c r="Y391" s="20"/>
      <c r="Z391" s="20"/>
    </row>
    <row r="392" spans="3:26" ht="17.25" customHeight="1">
      <c r="C392" s="15"/>
      <c r="G392" s="47"/>
      <c r="H392" s="20"/>
      <c r="I392" s="20"/>
      <c r="J392" s="20"/>
      <c r="K392" s="20"/>
      <c r="L392" s="20"/>
      <c r="M392" s="20"/>
      <c r="N392" s="20"/>
      <c r="O392" s="20"/>
      <c r="P392" s="20"/>
      <c r="Q392" s="20"/>
      <c r="R392" s="20"/>
      <c r="S392" s="20"/>
      <c r="T392" s="20"/>
      <c r="U392" s="20"/>
      <c r="V392" s="20"/>
      <c r="W392" s="20"/>
      <c r="X392" s="20"/>
      <c r="Y392" s="20"/>
      <c r="Z392" s="20"/>
    </row>
    <row r="393" spans="3:26" ht="17.25" customHeight="1">
      <c r="C393" s="15"/>
      <c r="G393" s="47"/>
      <c r="H393" s="20"/>
      <c r="I393" s="20"/>
      <c r="J393" s="20"/>
      <c r="K393" s="20"/>
      <c r="L393" s="20"/>
      <c r="M393" s="20"/>
      <c r="N393" s="20"/>
      <c r="O393" s="20"/>
      <c r="P393" s="20"/>
      <c r="Q393" s="20"/>
      <c r="R393" s="20"/>
      <c r="S393" s="20"/>
      <c r="T393" s="20"/>
      <c r="U393" s="20"/>
      <c r="V393" s="20"/>
      <c r="W393" s="20"/>
      <c r="X393" s="20"/>
      <c r="Y393" s="20"/>
      <c r="Z393" s="20"/>
    </row>
    <row r="394" spans="3:26" ht="17.25" customHeight="1">
      <c r="C394" s="15"/>
      <c r="G394" s="47"/>
      <c r="H394" s="20"/>
      <c r="I394" s="20"/>
      <c r="J394" s="20"/>
      <c r="K394" s="20"/>
      <c r="L394" s="20"/>
      <c r="M394" s="20"/>
      <c r="N394" s="20"/>
      <c r="O394" s="20"/>
      <c r="P394" s="20"/>
      <c r="Q394" s="20"/>
      <c r="R394" s="20"/>
      <c r="S394" s="20"/>
      <c r="T394" s="20"/>
      <c r="U394" s="20"/>
      <c r="V394" s="20"/>
      <c r="W394" s="20"/>
      <c r="X394" s="20"/>
      <c r="Y394" s="20"/>
      <c r="Z394" s="20"/>
    </row>
    <row r="395" spans="3:26" ht="17.25" customHeight="1">
      <c r="C395" s="15"/>
      <c r="G395" s="47"/>
      <c r="H395" s="20"/>
      <c r="I395" s="20"/>
      <c r="J395" s="20"/>
      <c r="K395" s="20"/>
      <c r="L395" s="20"/>
      <c r="M395" s="20"/>
      <c r="N395" s="20"/>
      <c r="O395" s="20"/>
      <c r="P395" s="20"/>
      <c r="Q395" s="20"/>
      <c r="R395" s="20"/>
      <c r="S395" s="20"/>
      <c r="T395" s="20"/>
      <c r="U395" s="20"/>
      <c r="V395" s="20"/>
      <c r="W395" s="20"/>
      <c r="X395" s="20"/>
      <c r="Y395" s="20"/>
      <c r="Z395" s="20"/>
    </row>
    <row r="396" spans="3:26" ht="17.25" customHeight="1">
      <c r="C396" s="15"/>
      <c r="G396" s="47"/>
      <c r="H396" s="20"/>
      <c r="I396" s="20"/>
      <c r="J396" s="20"/>
      <c r="K396" s="20"/>
      <c r="L396" s="20"/>
      <c r="M396" s="20"/>
      <c r="N396" s="20"/>
      <c r="O396" s="20"/>
      <c r="P396" s="20"/>
      <c r="Q396" s="20"/>
      <c r="R396" s="20"/>
      <c r="S396" s="20"/>
      <c r="T396" s="20"/>
      <c r="U396" s="20"/>
      <c r="V396" s="20"/>
      <c r="W396" s="20"/>
      <c r="X396" s="20"/>
      <c r="Y396" s="20"/>
      <c r="Z396" s="20"/>
    </row>
    <row r="397" spans="3:26" ht="17.25" customHeight="1">
      <c r="C397" s="15"/>
      <c r="G397" s="47"/>
      <c r="H397" s="20"/>
      <c r="I397" s="20"/>
      <c r="J397" s="20"/>
      <c r="K397" s="20"/>
      <c r="L397" s="20"/>
      <c r="M397" s="20"/>
      <c r="N397" s="20"/>
      <c r="O397" s="20"/>
      <c r="P397" s="20"/>
      <c r="Q397" s="20"/>
      <c r="R397" s="20"/>
      <c r="S397" s="20"/>
      <c r="T397" s="20"/>
      <c r="U397" s="20"/>
      <c r="V397" s="20"/>
      <c r="W397" s="20"/>
      <c r="X397" s="20"/>
      <c r="Y397" s="20"/>
      <c r="Z397" s="20"/>
    </row>
    <row r="398" spans="3:26" ht="17.25" customHeight="1">
      <c r="C398" s="15"/>
      <c r="G398" s="47"/>
      <c r="H398" s="20"/>
      <c r="I398" s="20"/>
      <c r="J398" s="20"/>
      <c r="K398" s="20"/>
      <c r="L398" s="20"/>
      <c r="M398" s="20"/>
      <c r="N398" s="20"/>
      <c r="O398" s="20"/>
      <c r="P398" s="20"/>
      <c r="Q398" s="20"/>
      <c r="R398" s="20"/>
      <c r="S398" s="20"/>
      <c r="T398" s="20"/>
      <c r="U398" s="20"/>
      <c r="V398" s="20"/>
      <c r="W398" s="20"/>
      <c r="X398" s="20"/>
      <c r="Y398" s="20"/>
      <c r="Z398" s="20"/>
    </row>
    <row r="399" spans="3:26" ht="17.25" customHeight="1">
      <c r="C399" s="15"/>
      <c r="G399" s="47"/>
      <c r="H399" s="20"/>
      <c r="I399" s="20"/>
      <c r="J399" s="20"/>
      <c r="K399" s="20"/>
      <c r="L399" s="20"/>
      <c r="M399" s="20"/>
      <c r="N399" s="20"/>
      <c r="O399" s="20"/>
      <c r="P399" s="20"/>
      <c r="Q399" s="20"/>
      <c r="R399" s="20"/>
      <c r="S399" s="20"/>
      <c r="T399" s="20"/>
      <c r="U399" s="20"/>
      <c r="V399" s="20"/>
      <c r="W399" s="20"/>
      <c r="X399" s="20"/>
      <c r="Y399" s="20"/>
      <c r="Z399" s="20"/>
    </row>
    <row r="400" spans="3:26" ht="17.25" customHeight="1">
      <c r="C400" s="15"/>
      <c r="G400" s="47"/>
      <c r="H400" s="20"/>
      <c r="I400" s="20"/>
      <c r="J400" s="20"/>
      <c r="K400" s="20"/>
      <c r="L400" s="20"/>
      <c r="M400" s="20"/>
      <c r="N400" s="20"/>
      <c r="O400" s="20"/>
      <c r="P400" s="20"/>
      <c r="Q400" s="20"/>
      <c r="R400" s="20"/>
      <c r="S400" s="20"/>
      <c r="T400" s="20"/>
      <c r="U400" s="20"/>
      <c r="V400" s="20"/>
      <c r="W400" s="20"/>
      <c r="X400" s="20"/>
      <c r="Y400" s="20"/>
      <c r="Z400" s="20"/>
    </row>
    <row r="401" spans="3:26" ht="17.25" customHeight="1">
      <c r="C401" s="15"/>
      <c r="G401" s="47"/>
      <c r="H401" s="20"/>
      <c r="I401" s="20"/>
      <c r="J401" s="20"/>
      <c r="K401" s="20"/>
      <c r="L401" s="20"/>
      <c r="M401" s="20"/>
      <c r="N401" s="20"/>
      <c r="O401" s="20"/>
      <c r="P401" s="20"/>
      <c r="Q401" s="20"/>
      <c r="R401" s="20"/>
      <c r="S401" s="20"/>
      <c r="T401" s="20"/>
      <c r="U401" s="20"/>
      <c r="V401" s="20"/>
      <c r="W401" s="20"/>
      <c r="X401" s="20"/>
      <c r="Y401" s="20"/>
      <c r="Z401" s="20"/>
    </row>
    <row r="402" spans="3:26" ht="17.25" customHeight="1">
      <c r="C402" s="15"/>
      <c r="G402" s="47"/>
      <c r="H402" s="20"/>
      <c r="I402" s="20"/>
      <c r="J402" s="20"/>
      <c r="K402" s="20"/>
      <c r="L402" s="20"/>
      <c r="M402" s="20"/>
      <c r="N402" s="20"/>
      <c r="O402" s="20"/>
      <c r="P402" s="20"/>
      <c r="Q402" s="20"/>
      <c r="R402" s="20"/>
      <c r="S402" s="20"/>
      <c r="T402" s="20"/>
      <c r="U402" s="20"/>
      <c r="V402" s="20"/>
      <c r="W402" s="20"/>
      <c r="X402" s="20"/>
      <c r="Y402" s="20"/>
      <c r="Z402" s="20"/>
    </row>
    <row r="403" spans="3:26" ht="17.25" customHeight="1">
      <c r="C403" s="15"/>
      <c r="G403" s="47"/>
      <c r="H403" s="20"/>
      <c r="I403" s="20"/>
      <c r="J403" s="20"/>
      <c r="K403" s="20"/>
      <c r="L403" s="20"/>
      <c r="M403" s="20"/>
      <c r="N403" s="20"/>
      <c r="O403" s="20"/>
      <c r="P403" s="20"/>
      <c r="Q403" s="20"/>
      <c r="R403" s="20"/>
      <c r="S403" s="20"/>
      <c r="T403" s="20"/>
      <c r="U403" s="20"/>
      <c r="V403" s="20"/>
      <c r="W403" s="20"/>
      <c r="X403" s="20"/>
      <c r="Y403" s="20"/>
      <c r="Z403" s="20"/>
    </row>
    <row r="404" spans="3:26" ht="17.25" customHeight="1">
      <c r="C404" s="15"/>
      <c r="G404" s="47"/>
      <c r="H404" s="20"/>
      <c r="I404" s="20"/>
      <c r="J404" s="20"/>
      <c r="K404" s="20"/>
      <c r="L404" s="20"/>
      <c r="M404" s="20"/>
      <c r="N404" s="20"/>
      <c r="O404" s="20"/>
      <c r="P404" s="20"/>
      <c r="Q404" s="20"/>
      <c r="R404" s="20"/>
      <c r="S404" s="20"/>
      <c r="T404" s="20"/>
      <c r="U404" s="20"/>
      <c r="V404" s="20"/>
      <c r="W404" s="20"/>
      <c r="X404" s="20"/>
      <c r="Y404" s="20"/>
      <c r="Z404" s="20"/>
    </row>
    <row r="405" spans="3:26" ht="17.25" customHeight="1">
      <c r="C405" s="15"/>
      <c r="G405" s="47"/>
      <c r="H405" s="20"/>
      <c r="I405" s="20"/>
      <c r="J405" s="20"/>
      <c r="K405" s="20"/>
      <c r="L405" s="20"/>
      <c r="M405" s="20"/>
      <c r="N405" s="20"/>
      <c r="O405" s="20"/>
      <c r="P405" s="20"/>
      <c r="Q405" s="20"/>
      <c r="R405" s="20"/>
      <c r="S405" s="20"/>
      <c r="T405" s="20"/>
      <c r="U405" s="20"/>
      <c r="V405" s="20"/>
      <c r="W405" s="20"/>
      <c r="X405" s="20"/>
      <c r="Y405" s="20"/>
      <c r="Z405" s="20"/>
    </row>
    <row r="406" spans="3:26" ht="17.25" customHeight="1">
      <c r="C406" s="15"/>
      <c r="G406" s="47"/>
      <c r="H406" s="20"/>
      <c r="I406" s="20"/>
      <c r="J406" s="20"/>
      <c r="K406" s="20"/>
      <c r="L406" s="20"/>
      <c r="M406" s="20"/>
      <c r="N406" s="20"/>
      <c r="O406" s="20"/>
      <c r="P406" s="20"/>
      <c r="Q406" s="20"/>
      <c r="R406" s="20"/>
      <c r="S406" s="20"/>
      <c r="T406" s="20"/>
      <c r="U406" s="20"/>
      <c r="V406" s="20"/>
      <c r="W406" s="20"/>
      <c r="X406" s="20"/>
      <c r="Y406" s="20"/>
      <c r="Z406" s="20"/>
    </row>
    <row r="407" spans="3:26" ht="17.25" customHeight="1">
      <c r="C407" s="15"/>
      <c r="G407" s="47"/>
      <c r="H407" s="20"/>
      <c r="I407" s="20"/>
      <c r="J407" s="20"/>
      <c r="K407" s="20"/>
      <c r="L407" s="20"/>
      <c r="M407" s="20"/>
      <c r="N407" s="20"/>
      <c r="O407" s="20"/>
      <c r="P407" s="20"/>
      <c r="Q407" s="20"/>
      <c r="R407" s="20"/>
      <c r="S407" s="20"/>
      <c r="T407" s="20"/>
      <c r="U407" s="20"/>
      <c r="V407" s="20"/>
      <c r="W407" s="20"/>
      <c r="X407" s="20"/>
      <c r="Y407" s="20"/>
      <c r="Z407" s="20"/>
    </row>
    <row r="408" spans="3:26" ht="17.25" customHeight="1">
      <c r="C408" s="15"/>
      <c r="G408" s="47"/>
      <c r="H408" s="20"/>
      <c r="I408" s="20"/>
      <c r="J408" s="20"/>
      <c r="K408" s="20"/>
      <c r="L408" s="20"/>
      <c r="M408" s="20"/>
      <c r="N408" s="20"/>
      <c r="O408" s="20"/>
      <c r="P408" s="20"/>
      <c r="Q408" s="20"/>
      <c r="R408" s="20"/>
      <c r="S408" s="20"/>
      <c r="T408" s="20"/>
      <c r="U408" s="20"/>
      <c r="V408" s="20"/>
      <c r="W408" s="20"/>
      <c r="X408" s="20"/>
      <c r="Y408" s="20"/>
      <c r="Z408" s="20"/>
    </row>
    <row r="409" spans="3:26" ht="17.25" customHeight="1">
      <c r="C409" s="15"/>
      <c r="G409" s="47"/>
      <c r="H409" s="20"/>
      <c r="I409" s="20"/>
      <c r="J409" s="20"/>
      <c r="K409" s="20"/>
      <c r="L409" s="20"/>
      <c r="M409" s="20"/>
      <c r="N409" s="20"/>
      <c r="O409" s="20"/>
      <c r="P409" s="20"/>
      <c r="Q409" s="20"/>
      <c r="R409" s="20"/>
      <c r="S409" s="20"/>
      <c r="T409" s="20"/>
      <c r="U409" s="20"/>
      <c r="V409" s="20"/>
      <c r="W409" s="20"/>
      <c r="X409" s="20"/>
      <c r="Y409" s="20"/>
      <c r="Z409" s="20"/>
    </row>
    <row r="410" spans="3:26" ht="17.25" customHeight="1">
      <c r="C410" s="15"/>
      <c r="G410" s="47"/>
      <c r="H410" s="20"/>
      <c r="I410" s="20"/>
      <c r="J410" s="20"/>
      <c r="K410" s="20"/>
      <c r="L410" s="20"/>
      <c r="M410" s="20"/>
      <c r="N410" s="20"/>
      <c r="O410" s="20"/>
      <c r="P410" s="20"/>
      <c r="Q410" s="20"/>
      <c r="R410" s="20"/>
      <c r="S410" s="20"/>
      <c r="T410" s="20"/>
      <c r="U410" s="20"/>
      <c r="V410" s="20"/>
      <c r="W410" s="20"/>
      <c r="X410" s="20"/>
      <c r="Y410" s="20"/>
      <c r="Z410" s="20"/>
    </row>
    <row r="411" spans="3:26" ht="17.25" customHeight="1">
      <c r="C411" s="15"/>
      <c r="G411" s="47"/>
      <c r="H411" s="20"/>
      <c r="I411" s="20"/>
      <c r="J411" s="20"/>
      <c r="K411" s="20"/>
      <c r="L411" s="20"/>
      <c r="M411" s="20"/>
      <c r="N411" s="20"/>
      <c r="O411" s="20"/>
      <c r="P411" s="20"/>
      <c r="Q411" s="20"/>
      <c r="R411" s="20"/>
      <c r="S411" s="20"/>
      <c r="T411" s="20"/>
      <c r="U411" s="20"/>
      <c r="V411" s="20"/>
      <c r="W411" s="20"/>
      <c r="X411" s="20"/>
      <c r="Y411" s="20"/>
      <c r="Z411" s="20"/>
    </row>
    <row r="412" spans="3:26" ht="17.25" customHeight="1">
      <c r="C412" s="15"/>
      <c r="G412" s="47"/>
      <c r="H412" s="20"/>
      <c r="I412" s="20"/>
      <c r="J412" s="20"/>
      <c r="K412" s="20"/>
      <c r="L412" s="20"/>
      <c r="M412" s="20"/>
      <c r="N412" s="20"/>
      <c r="O412" s="20"/>
      <c r="P412" s="20"/>
      <c r="Q412" s="20"/>
      <c r="R412" s="20"/>
      <c r="S412" s="20"/>
      <c r="T412" s="20"/>
      <c r="U412" s="20"/>
      <c r="V412" s="20"/>
      <c r="W412" s="20"/>
      <c r="X412" s="20"/>
      <c r="Y412" s="20"/>
      <c r="Z412" s="20"/>
    </row>
    <row r="413" spans="3:26" ht="17.25" customHeight="1">
      <c r="C413" s="15"/>
      <c r="G413" s="47"/>
      <c r="H413" s="20"/>
      <c r="I413" s="20"/>
      <c r="J413" s="20"/>
      <c r="K413" s="20"/>
      <c r="L413" s="20"/>
      <c r="M413" s="20"/>
      <c r="N413" s="20"/>
      <c r="O413" s="20"/>
      <c r="P413" s="20"/>
      <c r="Q413" s="20"/>
      <c r="R413" s="20"/>
      <c r="S413" s="20"/>
      <c r="T413" s="20"/>
      <c r="U413" s="20"/>
      <c r="V413" s="20"/>
      <c r="W413" s="20"/>
      <c r="X413" s="20"/>
      <c r="Y413" s="20"/>
      <c r="Z413" s="20"/>
    </row>
    <row r="414" spans="3:26" ht="17.25" customHeight="1">
      <c r="C414" s="15"/>
      <c r="G414" s="47"/>
      <c r="H414" s="20"/>
      <c r="I414" s="20"/>
      <c r="J414" s="20"/>
      <c r="K414" s="20"/>
      <c r="L414" s="20"/>
      <c r="M414" s="20"/>
      <c r="N414" s="20"/>
      <c r="O414" s="20"/>
      <c r="P414" s="20"/>
      <c r="Q414" s="20"/>
      <c r="R414" s="20"/>
      <c r="S414" s="20"/>
      <c r="T414" s="20"/>
      <c r="U414" s="20"/>
      <c r="V414" s="20"/>
      <c r="W414" s="20"/>
      <c r="X414" s="20"/>
      <c r="Y414" s="20"/>
      <c r="Z414" s="20"/>
    </row>
    <row r="415" spans="3:26" ht="17.25" customHeight="1">
      <c r="C415" s="15"/>
      <c r="G415" s="47"/>
      <c r="H415" s="20"/>
      <c r="I415" s="20"/>
      <c r="J415" s="20"/>
      <c r="K415" s="20"/>
      <c r="L415" s="20"/>
      <c r="M415" s="20"/>
      <c r="N415" s="20"/>
      <c r="O415" s="20"/>
      <c r="P415" s="20"/>
      <c r="Q415" s="20"/>
      <c r="R415" s="20"/>
      <c r="S415" s="20"/>
      <c r="T415" s="20"/>
      <c r="U415" s="20"/>
      <c r="V415" s="20"/>
      <c r="W415" s="20"/>
      <c r="X415" s="20"/>
      <c r="Y415" s="20"/>
      <c r="Z415" s="20"/>
    </row>
    <row r="416" spans="3:26" ht="17.25" customHeight="1">
      <c r="C416" s="15"/>
      <c r="G416" s="47"/>
      <c r="H416" s="20"/>
      <c r="I416" s="20"/>
      <c r="J416" s="20"/>
      <c r="K416" s="20"/>
      <c r="L416" s="20"/>
      <c r="M416" s="20"/>
      <c r="N416" s="20"/>
      <c r="O416" s="20"/>
      <c r="P416" s="20"/>
      <c r="Q416" s="20"/>
      <c r="R416" s="20"/>
      <c r="S416" s="20"/>
      <c r="T416" s="20"/>
      <c r="U416" s="20"/>
      <c r="V416" s="20"/>
      <c r="W416" s="20"/>
      <c r="X416" s="20"/>
      <c r="Y416" s="20"/>
      <c r="Z416" s="20"/>
    </row>
    <row r="417" spans="3:26" ht="17.25" customHeight="1">
      <c r="C417" s="15"/>
      <c r="G417" s="47"/>
      <c r="H417" s="20"/>
      <c r="I417" s="20"/>
      <c r="J417" s="20"/>
      <c r="K417" s="20"/>
      <c r="L417" s="20"/>
      <c r="M417" s="20"/>
      <c r="N417" s="20"/>
      <c r="O417" s="20"/>
      <c r="P417" s="20"/>
      <c r="Q417" s="20"/>
      <c r="R417" s="20"/>
      <c r="S417" s="20"/>
      <c r="T417" s="20"/>
      <c r="U417" s="20"/>
      <c r="V417" s="20"/>
      <c r="W417" s="20"/>
      <c r="X417" s="20"/>
      <c r="Y417" s="20"/>
      <c r="Z417" s="20"/>
    </row>
    <row r="418" spans="3:26" ht="17.25" customHeight="1">
      <c r="C418" s="15"/>
      <c r="G418" s="47"/>
      <c r="H418" s="20"/>
      <c r="I418" s="20"/>
      <c r="J418" s="20"/>
      <c r="K418" s="20"/>
      <c r="L418" s="20"/>
      <c r="M418" s="20"/>
      <c r="N418" s="20"/>
      <c r="O418" s="20"/>
      <c r="P418" s="20"/>
      <c r="Q418" s="20"/>
      <c r="R418" s="20"/>
      <c r="S418" s="20"/>
      <c r="T418" s="20"/>
      <c r="U418" s="20"/>
      <c r="V418" s="20"/>
      <c r="W418" s="20"/>
      <c r="X418" s="20"/>
      <c r="Y418" s="20"/>
      <c r="Z418" s="20"/>
    </row>
    <row r="419" spans="3:26" ht="17.25" customHeight="1">
      <c r="C419" s="15"/>
      <c r="G419" s="47"/>
      <c r="H419" s="20"/>
      <c r="I419" s="20"/>
      <c r="J419" s="20"/>
      <c r="K419" s="20"/>
      <c r="L419" s="20"/>
      <c r="M419" s="20"/>
      <c r="N419" s="20"/>
      <c r="O419" s="20"/>
      <c r="P419" s="20"/>
      <c r="Q419" s="20"/>
      <c r="R419" s="20"/>
      <c r="S419" s="20"/>
      <c r="T419" s="20"/>
      <c r="U419" s="20"/>
      <c r="V419" s="20"/>
      <c r="W419" s="20"/>
      <c r="X419" s="20"/>
      <c r="Y419" s="20"/>
      <c r="Z419" s="20"/>
    </row>
    <row r="420" spans="3:26" ht="17.25" customHeight="1">
      <c r="C420" s="15"/>
      <c r="G420" s="47"/>
      <c r="H420" s="20"/>
      <c r="I420" s="20"/>
      <c r="J420" s="20"/>
      <c r="K420" s="20"/>
      <c r="L420" s="20"/>
      <c r="M420" s="20"/>
      <c r="N420" s="20"/>
      <c r="O420" s="20"/>
      <c r="P420" s="20"/>
      <c r="Q420" s="20"/>
      <c r="R420" s="20"/>
      <c r="S420" s="20"/>
      <c r="T420" s="20"/>
      <c r="U420" s="20"/>
      <c r="V420" s="20"/>
      <c r="W420" s="20"/>
      <c r="X420" s="20"/>
      <c r="Y420" s="20"/>
      <c r="Z420" s="20"/>
    </row>
    <row r="421" spans="3:26" ht="17.25" customHeight="1">
      <c r="C421" s="15"/>
      <c r="G421" s="47"/>
      <c r="H421" s="20"/>
      <c r="I421" s="20"/>
      <c r="J421" s="20"/>
      <c r="K421" s="20"/>
      <c r="L421" s="20"/>
      <c r="M421" s="20"/>
      <c r="N421" s="20"/>
      <c r="O421" s="20"/>
      <c r="P421" s="20"/>
      <c r="Q421" s="20"/>
      <c r="R421" s="20"/>
      <c r="S421" s="20"/>
      <c r="T421" s="20"/>
      <c r="U421" s="20"/>
      <c r="V421" s="20"/>
      <c r="W421" s="20"/>
      <c r="X421" s="20"/>
      <c r="Y421" s="20"/>
      <c r="Z421" s="20"/>
    </row>
    <row r="422" spans="3:26" ht="17.25" customHeight="1">
      <c r="C422" s="15"/>
      <c r="G422" s="47"/>
      <c r="H422" s="20"/>
      <c r="I422" s="20"/>
      <c r="J422" s="20"/>
      <c r="K422" s="20"/>
      <c r="L422" s="20"/>
      <c r="M422" s="20"/>
      <c r="N422" s="20"/>
      <c r="O422" s="20"/>
      <c r="P422" s="20"/>
      <c r="Q422" s="20"/>
      <c r="R422" s="20"/>
      <c r="S422" s="20"/>
      <c r="T422" s="20"/>
      <c r="U422" s="20"/>
      <c r="V422" s="20"/>
      <c r="W422" s="20"/>
      <c r="X422" s="20"/>
      <c r="Y422" s="20"/>
      <c r="Z422" s="20"/>
    </row>
    <row r="423" spans="3:26" ht="17.25" customHeight="1">
      <c r="C423" s="15"/>
      <c r="G423" s="47"/>
      <c r="H423" s="20"/>
      <c r="I423" s="20"/>
      <c r="J423" s="20"/>
      <c r="K423" s="20"/>
      <c r="L423" s="20"/>
      <c r="M423" s="20"/>
      <c r="N423" s="20"/>
      <c r="O423" s="20"/>
      <c r="P423" s="20"/>
      <c r="Q423" s="20"/>
      <c r="R423" s="20"/>
      <c r="S423" s="20"/>
      <c r="T423" s="20"/>
      <c r="U423" s="20"/>
      <c r="V423" s="20"/>
      <c r="W423" s="20"/>
      <c r="X423" s="20"/>
      <c r="Y423" s="20"/>
      <c r="Z423" s="20"/>
    </row>
    <row r="424" spans="3:26" ht="17.25" customHeight="1">
      <c r="C424" s="15"/>
      <c r="G424" s="47"/>
      <c r="H424" s="20"/>
      <c r="I424" s="20"/>
      <c r="J424" s="20"/>
      <c r="K424" s="20"/>
      <c r="L424" s="20"/>
      <c r="M424" s="20"/>
      <c r="N424" s="20"/>
      <c r="O424" s="20"/>
      <c r="P424" s="20"/>
      <c r="Q424" s="20"/>
      <c r="R424" s="20"/>
      <c r="S424" s="20"/>
      <c r="T424" s="20"/>
      <c r="U424" s="20"/>
      <c r="V424" s="20"/>
      <c r="W424" s="20"/>
      <c r="X424" s="20"/>
      <c r="Y424" s="20"/>
      <c r="Z424" s="20"/>
    </row>
    <row r="425" spans="3:26" ht="17.25" customHeight="1">
      <c r="C425" s="15"/>
      <c r="G425" s="47"/>
      <c r="H425" s="20"/>
      <c r="I425" s="20"/>
      <c r="J425" s="20"/>
      <c r="K425" s="20"/>
      <c r="L425" s="20"/>
      <c r="M425" s="20"/>
      <c r="N425" s="20"/>
      <c r="O425" s="20"/>
      <c r="P425" s="20"/>
      <c r="Q425" s="20"/>
      <c r="R425" s="20"/>
      <c r="S425" s="20"/>
      <c r="T425" s="20"/>
      <c r="U425" s="20"/>
      <c r="V425" s="20"/>
      <c r="W425" s="20"/>
      <c r="X425" s="20"/>
      <c r="Y425" s="20"/>
      <c r="Z425" s="20"/>
    </row>
    <row r="426" spans="3:26" ht="17.25" customHeight="1">
      <c r="C426" s="15"/>
      <c r="G426" s="47"/>
      <c r="H426" s="20"/>
      <c r="I426" s="20"/>
      <c r="J426" s="20"/>
      <c r="K426" s="20"/>
      <c r="L426" s="20"/>
      <c r="M426" s="20"/>
      <c r="N426" s="20"/>
      <c r="O426" s="20"/>
      <c r="P426" s="20"/>
      <c r="Q426" s="20"/>
      <c r="R426" s="20"/>
      <c r="S426" s="20"/>
      <c r="T426" s="20"/>
      <c r="U426" s="20"/>
      <c r="V426" s="20"/>
      <c r="W426" s="20"/>
      <c r="X426" s="20"/>
      <c r="Y426" s="20"/>
      <c r="Z426" s="20"/>
    </row>
    <row r="427" spans="3:26" ht="17.25" customHeight="1">
      <c r="C427" s="15"/>
      <c r="G427" s="47"/>
      <c r="H427" s="20"/>
      <c r="I427" s="20"/>
      <c r="J427" s="20"/>
      <c r="K427" s="20"/>
      <c r="L427" s="20"/>
      <c r="M427" s="20"/>
      <c r="N427" s="20"/>
      <c r="O427" s="20"/>
      <c r="P427" s="20"/>
      <c r="Q427" s="20"/>
      <c r="R427" s="20"/>
      <c r="S427" s="20"/>
      <c r="T427" s="20"/>
      <c r="U427" s="20"/>
      <c r="V427" s="20"/>
      <c r="W427" s="20"/>
      <c r="X427" s="20"/>
      <c r="Y427" s="20"/>
      <c r="Z427" s="20"/>
    </row>
    <row r="428" spans="3:26" ht="17.25" customHeight="1">
      <c r="C428" s="15"/>
      <c r="G428" s="47"/>
      <c r="H428" s="20"/>
      <c r="I428" s="20"/>
      <c r="J428" s="20"/>
      <c r="K428" s="20"/>
      <c r="L428" s="20"/>
      <c r="M428" s="20"/>
      <c r="N428" s="20"/>
      <c r="O428" s="20"/>
      <c r="P428" s="20"/>
      <c r="Q428" s="20"/>
      <c r="R428" s="20"/>
      <c r="S428" s="20"/>
      <c r="T428" s="20"/>
      <c r="U428" s="20"/>
      <c r="V428" s="20"/>
      <c r="W428" s="20"/>
      <c r="X428" s="20"/>
      <c r="Y428" s="20"/>
      <c r="Z428" s="20"/>
    </row>
    <row r="429" spans="3:26" ht="17.25" customHeight="1">
      <c r="C429" s="15"/>
      <c r="G429" s="47"/>
      <c r="H429" s="20"/>
      <c r="I429" s="20"/>
      <c r="J429" s="20"/>
      <c r="K429" s="20"/>
      <c r="L429" s="20"/>
      <c r="M429" s="20"/>
      <c r="N429" s="20"/>
      <c r="O429" s="20"/>
      <c r="P429" s="20"/>
      <c r="Q429" s="20"/>
      <c r="R429" s="20"/>
      <c r="S429" s="20"/>
      <c r="T429" s="20"/>
      <c r="U429" s="20"/>
      <c r="V429" s="20"/>
      <c r="W429" s="20"/>
      <c r="X429" s="20"/>
      <c r="Y429" s="20"/>
      <c r="Z429" s="20"/>
    </row>
    <row r="430" spans="3:26" ht="17.25" customHeight="1">
      <c r="C430" s="15"/>
      <c r="G430" s="47"/>
      <c r="H430" s="20"/>
      <c r="I430" s="20"/>
      <c r="J430" s="20"/>
      <c r="K430" s="20"/>
      <c r="L430" s="20"/>
      <c r="M430" s="20"/>
      <c r="N430" s="20"/>
      <c r="O430" s="20"/>
      <c r="P430" s="20"/>
      <c r="Q430" s="20"/>
      <c r="R430" s="20"/>
      <c r="S430" s="20"/>
      <c r="T430" s="20"/>
      <c r="U430" s="20"/>
      <c r="V430" s="20"/>
      <c r="W430" s="20"/>
      <c r="X430" s="20"/>
      <c r="Y430" s="20"/>
      <c r="Z430" s="20"/>
    </row>
    <row r="431" spans="3:26" ht="17.25" customHeight="1">
      <c r="C431" s="15"/>
      <c r="G431" s="47"/>
      <c r="H431" s="20"/>
      <c r="I431" s="20"/>
      <c r="J431" s="20"/>
      <c r="K431" s="20"/>
      <c r="L431" s="20"/>
      <c r="M431" s="20"/>
      <c r="N431" s="20"/>
      <c r="O431" s="20"/>
      <c r="P431" s="20"/>
      <c r="Q431" s="20"/>
      <c r="R431" s="20"/>
      <c r="S431" s="20"/>
      <c r="T431" s="20"/>
      <c r="U431" s="20"/>
      <c r="V431" s="20"/>
      <c r="W431" s="20"/>
      <c r="X431" s="20"/>
      <c r="Y431" s="20"/>
      <c r="Z431" s="20"/>
    </row>
    <row r="432" spans="3:26" ht="17.25" customHeight="1">
      <c r="C432" s="15"/>
      <c r="G432" s="47"/>
      <c r="H432" s="20"/>
      <c r="I432" s="20"/>
      <c r="J432" s="20"/>
      <c r="K432" s="20"/>
      <c r="L432" s="20"/>
      <c r="M432" s="20"/>
      <c r="N432" s="20"/>
      <c r="O432" s="20"/>
      <c r="P432" s="20"/>
      <c r="Q432" s="20"/>
      <c r="R432" s="20"/>
      <c r="S432" s="20"/>
      <c r="T432" s="20"/>
      <c r="U432" s="20"/>
      <c r="V432" s="20"/>
      <c r="W432" s="20"/>
      <c r="X432" s="20"/>
      <c r="Y432" s="20"/>
      <c r="Z432" s="20"/>
    </row>
    <row r="433" spans="3:26" ht="17.25" customHeight="1">
      <c r="C433" s="15"/>
      <c r="G433" s="47"/>
      <c r="H433" s="20"/>
      <c r="I433" s="20"/>
      <c r="J433" s="20"/>
      <c r="K433" s="20"/>
      <c r="L433" s="20"/>
      <c r="M433" s="20"/>
      <c r="N433" s="20"/>
      <c r="O433" s="20"/>
      <c r="P433" s="20"/>
      <c r="Q433" s="20"/>
      <c r="R433" s="20"/>
      <c r="S433" s="20"/>
      <c r="T433" s="20"/>
      <c r="U433" s="20"/>
      <c r="V433" s="20"/>
      <c r="W433" s="20"/>
      <c r="X433" s="20"/>
      <c r="Y433" s="20"/>
      <c r="Z433" s="20"/>
    </row>
    <row r="434" spans="3:26" ht="17.25" customHeight="1">
      <c r="C434" s="15"/>
      <c r="G434" s="47"/>
      <c r="H434" s="20"/>
      <c r="I434" s="20"/>
      <c r="J434" s="20"/>
      <c r="K434" s="20"/>
      <c r="L434" s="20"/>
      <c r="M434" s="20"/>
      <c r="N434" s="20"/>
      <c r="O434" s="20"/>
      <c r="P434" s="20"/>
      <c r="Q434" s="20"/>
      <c r="R434" s="20"/>
      <c r="S434" s="20"/>
      <c r="T434" s="20"/>
      <c r="U434" s="20"/>
      <c r="V434" s="20"/>
      <c r="W434" s="20"/>
      <c r="X434" s="20"/>
      <c r="Y434" s="20"/>
      <c r="Z434" s="20"/>
    </row>
    <row r="435" spans="3:26" ht="17.25" customHeight="1">
      <c r="C435" s="15"/>
      <c r="G435" s="47"/>
      <c r="H435" s="20"/>
      <c r="I435" s="20"/>
      <c r="J435" s="20"/>
      <c r="K435" s="20"/>
      <c r="L435" s="20"/>
      <c r="M435" s="20"/>
      <c r="N435" s="20"/>
      <c r="O435" s="20"/>
      <c r="P435" s="20"/>
      <c r="Q435" s="20"/>
      <c r="R435" s="20"/>
      <c r="S435" s="20"/>
      <c r="T435" s="20"/>
      <c r="U435" s="20"/>
      <c r="V435" s="20"/>
      <c r="W435" s="20"/>
      <c r="X435" s="20"/>
      <c r="Y435" s="20"/>
      <c r="Z435" s="20"/>
    </row>
    <row r="436" spans="3:26" ht="17.25" customHeight="1">
      <c r="C436" s="15"/>
      <c r="G436" s="47"/>
      <c r="H436" s="20"/>
      <c r="I436" s="20"/>
      <c r="J436" s="20"/>
      <c r="K436" s="20"/>
      <c r="L436" s="20"/>
      <c r="M436" s="20"/>
      <c r="N436" s="20"/>
      <c r="O436" s="20"/>
      <c r="P436" s="20"/>
      <c r="Q436" s="20"/>
      <c r="R436" s="20"/>
      <c r="S436" s="20"/>
      <c r="T436" s="20"/>
      <c r="U436" s="20"/>
      <c r="V436" s="20"/>
      <c r="W436" s="20"/>
      <c r="X436" s="20"/>
      <c r="Y436" s="20"/>
      <c r="Z436" s="20"/>
    </row>
    <row r="437" spans="3:26" ht="17.25" customHeight="1">
      <c r="C437" s="15"/>
      <c r="G437" s="47"/>
      <c r="H437" s="20"/>
      <c r="I437" s="20"/>
      <c r="J437" s="20"/>
      <c r="K437" s="20"/>
      <c r="L437" s="20"/>
      <c r="M437" s="20"/>
      <c r="N437" s="20"/>
      <c r="O437" s="20"/>
      <c r="P437" s="20"/>
      <c r="Q437" s="20"/>
      <c r="R437" s="20"/>
      <c r="S437" s="20"/>
      <c r="T437" s="20"/>
      <c r="U437" s="20"/>
      <c r="V437" s="20"/>
      <c r="W437" s="20"/>
      <c r="X437" s="20"/>
      <c r="Y437" s="20"/>
      <c r="Z437" s="20"/>
    </row>
    <row r="438" spans="3:26" ht="17.25" customHeight="1">
      <c r="C438" s="15"/>
      <c r="G438" s="47"/>
      <c r="H438" s="20"/>
      <c r="I438" s="20"/>
      <c r="J438" s="20"/>
      <c r="K438" s="20"/>
      <c r="L438" s="20"/>
      <c r="M438" s="20"/>
      <c r="N438" s="20"/>
      <c r="O438" s="20"/>
      <c r="P438" s="20"/>
      <c r="Q438" s="20"/>
      <c r="R438" s="20"/>
      <c r="S438" s="20"/>
      <c r="T438" s="20"/>
      <c r="U438" s="20"/>
      <c r="V438" s="20"/>
      <c r="W438" s="20"/>
      <c r="X438" s="20"/>
      <c r="Y438" s="20"/>
      <c r="Z438" s="20"/>
    </row>
    <row r="439" spans="3:26" ht="17.25" customHeight="1">
      <c r="C439" s="15"/>
      <c r="G439" s="47"/>
      <c r="H439" s="20"/>
      <c r="I439" s="20"/>
      <c r="J439" s="20"/>
      <c r="K439" s="20"/>
      <c r="L439" s="20"/>
      <c r="M439" s="20"/>
      <c r="N439" s="20"/>
      <c r="O439" s="20"/>
      <c r="P439" s="20"/>
      <c r="Q439" s="20"/>
      <c r="R439" s="20"/>
      <c r="S439" s="20"/>
      <c r="T439" s="20"/>
      <c r="U439" s="20"/>
      <c r="V439" s="20"/>
      <c r="W439" s="20"/>
      <c r="X439" s="20"/>
      <c r="Y439" s="20"/>
      <c r="Z439" s="20"/>
    </row>
    <row r="440" spans="3:26" ht="17.25" customHeight="1">
      <c r="C440" s="15"/>
      <c r="G440" s="47"/>
      <c r="H440" s="20"/>
      <c r="I440" s="20"/>
      <c r="J440" s="20"/>
      <c r="K440" s="20"/>
      <c r="L440" s="20"/>
      <c r="M440" s="20"/>
      <c r="N440" s="20"/>
      <c r="O440" s="20"/>
      <c r="P440" s="20"/>
      <c r="Q440" s="20"/>
      <c r="R440" s="20"/>
      <c r="S440" s="20"/>
      <c r="T440" s="20"/>
      <c r="U440" s="20"/>
      <c r="V440" s="20"/>
      <c r="W440" s="20"/>
      <c r="X440" s="20"/>
      <c r="Y440" s="20"/>
      <c r="Z440" s="20"/>
    </row>
    <row r="441" spans="3:26" ht="17.25" customHeight="1">
      <c r="C441" s="15"/>
      <c r="G441" s="47"/>
      <c r="H441" s="20"/>
      <c r="I441" s="20"/>
      <c r="J441" s="20"/>
      <c r="K441" s="20"/>
      <c r="L441" s="20"/>
      <c r="M441" s="20"/>
      <c r="N441" s="20"/>
      <c r="O441" s="20"/>
      <c r="P441" s="20"/>
      <c r="Q441" s="20"/>
      <c r="R441" s="20"/>
      <c r="S441" s="20"/>
      <c r="T441" s="20"/>
      <c r="U441" s="20"/>
      <c r="V441" s="20"/>
      <c r="W441" s="20"/>
      <c r="X441" s="20"/>
      <c r="Y441" s="20"/>
      <c r="Z441" s="20"/>
    </row>
    <row r="442" spans="3:26" ht="17.25" customHeight="1">
      <c r="C442" s="15"/>
      <c r="G442" s="47"/>
      <c r="H442" s="20"/>
      <c r="I442" s="20"/>
      <c r="J442" s="20"/>
      <c r="K442" s="20"/>
      <c r="L442" s="20"/>
      <c r="M442" s="20"/>
      <c r="N442" s="20"/>
      <c r="O442" s="20"/>
      <c r="P442" s="20"/>
      <c r="Q442" s="20"/>
      <c r="R442" s="20"/>
      <c r="S442" s="20"/>
      <c r="T442" s="20"/>
      <c r="U442" s="20"/>
      <c r="V442" s="20"/>
      <c r="W442" s="20"/>
      <c r="X442" s="20"/>
      <c r="Y442" s="20"/>
      <c r="Z442" s="20"/>
    </row>
    <row r="443" spans="3:26" ht="17.25" customHeight="1">
      <c r="C443" s="15"/>
      <c r="G443" s="47"/>
      <c r="H443" s="20"/>
      <c r="I443" s="20"/>
      <c r="J443" s="20"/>
      <c r="K443" s="20"/>
      <c r="L443" s="20"/>
      <c r="M443" s="20"/>
      <c r="N443" s="20"/>
      <c r="O443" s="20"/>
      <c r="P443" s="20"/>
      <c r="Q443" s="20"/>
      <c r="R443" s="20"/>
      <c r="S443" s="20"/>
      <c r="T443" s="20"/>
      <c r="U443" s="20"/>
      <c r="V443" s="20"/>
      <c r="W443" s="20"/>
      <c r="X443" s="20"/>
      <c r="Y443" s="20"/>
      <c r="Z443" s="20"/>
    </row>
    <row r="444" spans="3:26" ht="17.25" customHeight="1">
      <c r="C444" s="15"/>
      <c r="G444" s="47"/>
      <c r="H444" s="20"/>
      <c r="I444" s="20"/>
      <c r="J444" s="20"/>
      <c r="K444" s="20"/>
      <c r="L444" s="20"/>
      <c r="M444" s="20"/>
      <c r="N444" s="20"/>
      <c r="O444" s="20"/>
      <c r="P444" s="20"/>
      <c r="Q444" s="20"/>
      <c r="R444" s="20"/>
      <c r="S444" s="20"/>
      <c r="T444" s="20"/>
      <c r="U444" s="20"/>
      <c r="V444" s="20"/>
      <c r="W444" s="20"/>
      <c r="X444" s="20"/>
      <c r="Y444" s="20"/>
      <c r="Z444" s="20"/>
    </row>
    <row r="445" spans="3:26" ht="17.25" customHeight="1">
      <c r="C445" s="15"/>
      <c r="G445" s="47"/>
      <c r="H445" s="20"/>
      <c r="I445" s="20"/>
      <c r="J445" s="20"/>
      <c r="K445" s="20"/>
      <c r="L445" s="20"/>
      <c r="M445" s="20"/>
      <c r="N445" s="20"/>
      <c r="O445" s="20"/>
      <c r="P445" s="20"/>
      <c r="Q445" s="20"/>
      <c r="R445" s="20"/>
      <c r="S445" s="20"/>
      <c r="T445" s="20"/>
      <c r="U445" s="20"/>
      <c r="V445" s="20"/>
      <c r="W445" s="20"/>
      <c r="X445" s="20"/>
      <c r="Y445" s="20"/>
      <c r="Z445" s="20"/>
    </row>
    <row r="446" spans="3:26" ht="17.25" customHeight="1">
      <c r="C446" s="15"/>
      <c r="G446" s="47"/>
      <c r="H446" s="20"/>
      <c r="I446" s="20"/>
      <c r="J446" s="20"/>
      <c r="K446" s="20"/>
      <c r="L446" s="20"/>
      <c r="M446" s="20"/>
      <c r="N446" s="20"/>
      <c r="O446" s="20"/>
      <c r="P446" s="20"/>
      <c r="Q446" s="20"/>
      <c r="R446" s="20"/>
      <c r="S446" s="20"/>
      <c r="T446" s="20"/>
      <c r="U446" s="20"/>
      <c r="V446" s="20"/>
      <c r="W446" s="20"/>
      <c r="X446" s="20"/>
      <c r="Y446" s="20"/>
      <c r="Z446" s="20"/>
    </row>
    <row r="447" spans="3:26" ht="17.25" customHeight="1">
      <c r="C447" s="15"/>
      <c r="G447" s="47"/>
      <c r="H447" s="20"/>
      <c r="I447" s="20"/>
      <c r="J447" s="20"/>
      <c r="K447" s="20"/>
      <c r="L447" s="20"/>
      <c r="M447" s="20"/>
      <c r="N447" s="20"/>
      <c r="O447" s="20"/>
      <c r="P447" s="20"/>
      <c r="Q447" s="20"/>
      <c r="R447" s="20"/>
      <c r="S447" s="20"/>
      <c r="T447" s="20"/>
      <c r="U447" s="20"/>
      <c r="V447" s="20"/>
      <c r="W447" s="20"/>
      <c r="X447" s="20"/>
      <c r="Y447" s="20"/>
      <c r="Z447" s="20"/>
    </row>
    <row r="448" spans="3:26" ht="17.25" customHeight="1">
      <c r="C448" s="15"/>
      <c r="G448" s="47"/>
      <c r="H448" s="20"/>
      <c r="I448" s="20"/>
      <c r="J448" s="20"/>
      <c r="K448" s="20"/>
      <c r="L448" s="20"/>
      <c r="M448" s="20"/>
      <c r="N448" s="20"/>
      <c r="O448" s="20"/>
      <c r="P448" s="20"/>
      <c r="Q448" s="20"/>
      <c r="R448" s="20"/>
      <c r="S448" s="20"/>
      <c r="T448" s="20"/>
      <c r="U448" s="20"/>
      <c r="V448" s="20"/>
      <c r="W448" s="20"/>
      <c r="X448" s="20"/>
      <c r="Y448" s="20"/>
      <c r="Z448" s="20"/>
    </row>
    <row r="449" spans="3:26" ht="17.25" customHeight="1">
      <c r="C449" s="15"/>
      <c r="G449" s="47"/>
      <c r="H449" s="20"/>
      <c r="I449" s="20"/>
      <c r="J449" s="20"/>
      <c r="K449" s="20"/>
      <c r="L449" s="20"/>
      <c r="M449" s="20"/>
      <c r="N449" s="20"/>
      <c r="O449" s="20"/>
      <c r="P449" s="20"/>
      <c r="Q449" s="20"/>
      <c r="R449" s="20"/>
      <c r="S449" s="20"/>
      <c r="T449" s="20"/>
      <c r="U449" s="20"/>
      <c r="V449" s="20"/>
      <c r="W449" s="20"/>
      <c r="X449" s="20"/>
      <c r="Y449" s="20"/>
      <c r="Z449" s="20"/>
    </row>
    <row r="450" spans="3:26" ht="17.25" customHeight="1">
      <c r="C450" s="15"/>
      <c r="G450" s="47"/>
      <c r="H450" s="20"/>
      <c r="I450" s="20"/>
      <c r="J450" s="20"/>
      <c r="K450" s="20"/>
      <c r="L450" s="20"/>
      <c r="M450" s="20"/>
      <c r="N450" s="20"/>
      <c r="O450" s="20"/>
      <c r="P450" s="20"/>
      <c r="Q450" s="20"/>
      <c r="R450" s="20"/>
      <c r="S450" s="20"/>
      <c r="T450" s="20"/>
      <c r="U450" s="20"/>
      <c r="V450" s="20"/>
      <c r="W450" s="20"/>
      <c r="X450" s="20"/>
      <c r="Y450" s="20"/>
      <c r="Z450" s="20"/>
    </row>
    <row r="451" spans="3:26" ht="17.25" customHeight="1">
      <c r="C451" s="15"/>
      <c r="G451" s="47"/>
      <c r="H451" s="20"/>
      <c r="I451" s="20"/>
      <c r="J451" s="20"/>
      <c r="K451" s="20"/>
      <c r="L451" s="20"/>
      <c r="M451" s="20"/>
      <c r="N451" s="20"/>
      <c r="O451" s="20"/>
      <c r="P451" s="20"/>
      <c r="Q451" s="20"/>
      <c r="R451" s="20"/>
      <c r="S451" s="20"/>
      <c r="T451" s="20"/>
      <c r="U451" s="20"/>
      <c r="V451" s="20"/>
      <c r="W451" s="20"/>
      <c r="X451" s="20"/>
      <c r="Y451" s="20"/>
      <c r="Z451" s="20"/>
    </row>
    <row r="452" spans="3:26" ht="17.25" customHeight="1">
      <c r="C452" s="15"/>
      <c r="G452" s="47"/>
      <c r="H452" s="20"/>
      <c r="I452" s="20"/>
      <c r="J452" s="20"/>
      <c r="K452" s="20"/>
      <c r="L452" s="20"/>
      <c r="M452" s="20"/>
      <c r="N452" s="20"/>
      <c r="O452" s="20"/>
      <c r="P452" s="20"/>
      <c r="Q452" s="20"/>
      <c r="R452" s="20"/>
      <c r="S452" s="20"/>
      <c r="T452" s="20"/>
      <c r="U452" s="20"/>
      <c r="V452" s="20"/>
      <c r="W452" s="20"/>
      <c r="X452" s="20"/>
      <c r="Y452" s="20"/>
      <c r="Z452" s="20"/>
    </row>
    <row r="453" spans="3:26" ht="17.25" customHeight="1">
      <c r="C453" s="15"/>
      <c r="G453" s="47"/>
      <c r="H453" s="20"/>
      <c r="I453" s="20"/>
      <c r="J453" s="20"/>
      <c r="K453" s="20"/>
      <c r="L453" s="20"/>
      <c r="M453" s="20"/>
      <c r="N453" s="20"/>
      <c r="O453" s="20"/>
      <c r="P453" s="20"/>
      <c r="Q453" s="20"/>
      <c r="R453" s="20"/>
      <c r="S453" s="20"/>
      <c r="T453" s="20"/>
      <c r="U453" s="20"/>
      <c r="V453" s="20"/>
      <c r="W453" s="20"/>
      <c r="X453" s="20"/>
      <c r="Y453" s="20"/>
      <c r="Z453" s="20"/>
    </row>
    <row r="454" spans="3:26" ht="17.25" customHeight="1">
      <c r="C454" s="15"/>
      <c r="G454" s="47"/>
      <c r="H454" s="20"/>
      <c r="I454" s="20"/>
      <c r="J454" s="20"/>
      <c r="K454" s="20"/>
      <c r="L454" s="20"/>
      <c r="M454" s="20"/>
      <c r="N454" s="20"/>
      <c r="O454" s="20"/>
      <c r="P454" s="20"/>
      <c r="Q454" s="20"/>
      <c r="R454" s="20"/>
      <c r="S454" s="20"/>
      <c r="T454" s="20"/>
      <c r="U454" s="20"/>
      <c r="V454" s="20"/>
      <c r="W454" s="20"/>
      <c r="X454" s="20"/>
      <c r="Y454" s="20"/>
      <c r="Z454" s="20"/>
    </row>
    <row r="455" spans="3:26" ht="17.25" customHeight="1">
      <c r="C455" s="15"/>
      <c r="G455" s="47"/>
      <c r="H455" s="20"/>
      <c r="I455" s="20"/>
      <c r="J455" s="20"/>
      <c r="K455" s="20"/>
      <c r="L455" s="20"/>
      <c r="M455" s="20"/>
      <c r="N455" s="20"/>
      <c r="O455" s="20"/>
      <c r="P455" s="20"/>
      <c r="Q455" s="20"/>
      <c r="R455" s="20"/>
      <c r="S455" s="20"/>
      <c r="T455" s="20"/>
      <c r="U455" s="20"/>
      <c r="V455" s="20"/>
      <c r="W455" s="20"/>
      <c r="X455" s="20"/>
      <c r="Y455" s="20"/>
      <c r="Z455" s="20"/>
    </row>
    <row r="456" spans="3:26" ht="17.25" customHeight="1">
      <c r="C456" s="15"/>
      <c r="G456" s="47"/>
      <c r="H456" s="20"/>
      <c r="I456" s="20"/>
      <c r="J456" s="20"/>
      <c r="K456" s="20"/>
      <c r="L456" s="20"/>
      <c r="M456" s="20"/>
      <c r="N456" s="20"/>
      <c r="O456" s="20"/>
      <c r="P456" s="20"/>
      <c r="Q456" s="20"/>
      <c r="R456" s="20"/>
      <c r="S456" s="20"/>
      <c r="T456" s="20"/>
      <c r="U456" s="20"/>
      <c r="V456" s="20"/>
      <c r="W456" s="20"/>
      <c r="X456" s="20"/>
      <c r="Y456" s="20"/>
      <c r="Z456" s="20"/>
    </row>
    <row r="457" spans="3:26" ht="17.25" customHeight="1">
      <c r="C457" s="15"/>
      <c r="G457" s="47"/>
      <c r="H457" s="20"/>
      <c r="I457" s="20"/>
      <c r="J457" s="20"/>
      <c r="K457" s="20"/>
      <c r="L457" s="20"/>
      <c r="M457" s="20"/>
      <c r="N457" s="20"/>
      <c r="O457" s="20"/>
      <c r="P457" s="20"/>
      <c r="Q457" s="20"/>
      <c r="R457" s="20"/>
      <c r="S457" s="20"/>
      <c r="T457" s="20"/>
      <c r="U457" s="20"/>
      <c r="V457" s="20"/>
      <c r="W457" s="20"/>
      <c r="X457" s="20"/>
      <c r="Y457" s="20"/>
      <c r="Z457" s="20"/>
    </row>
    <row r="458" spans="3:26" ht="17.25" customHeight="1">
      <c r="C458" s="15"/>
      <c r="G458" s="47"/>
      <c r="H458" s="20"/>
      <c r="I458" s="20"/>
      <c r="J458" s="20"/>
      <c r="K458" s="20"/>
      <c r="L458" s="20"/>
      <c r="M458" s="20"/>
      <c r="N458" s="20"/>
      <c r="O458" s="20"/>
      <c r="P458" s="20"/>
      <c r="Q458" s="20"/>
      <c r="R458" s="20"/>
      <c r="S458" s="20"/>
      <c r="T458" s="20"/>
      <c r="U458" s="20"/>
      <c r="V458" s="20"/>
      <c r="W458" s="20"/>
      <c r="X458" s="20"/>
      <c r="Y458" s="20"/>
      <c r="Z458" s="20"/>
    </row>
    <row r="459" spans="3:26" ht="17.25" customHeight="1">
      <c r="C459" s="15"/>
      <c r="G459" s="47"/>
      <c r="H459" s="20"/>
      <c r="I459" s="20"/>
      <c r="J459" s="20"/>
      <c r="K459" s="20"/>
      <c r="L459" s="20"/>
      <c r="M459" s="20"/>
      <c r="N459" s="20"/>
      <c r="O459" s="20"/>
      <c r="P459" s="20"/>
      <c r="Q459" s="20"/>
      <c r="R459" s="20"/>
      <c r="S459" s="20"/>
      <c r="T459" s="20"/>
      <c r="U459" s="20"/>
      <c r="V459" s="20"/>
      <c r="W459" s="20"/>
      <c r="X459" s="20"/>
      <c r="Y459" s="20"/>
      <c r="Z459" s="20"/>
    </row>
    <row r="460" spans="3:26" ht="17.25" customHeight="1">
      <c r="C460" s="15"/>
      <c r="G460" s="47"/>
      <c r="H460" s="20"/>
      <c r="I460" s="20"/>
      <c r="J460" s="20"/>
      <c r="K460" s="20"/>
      <c r="L460" s="20"/>
      <c r="M460" s="20"/>
      <c r="N460" s="20"/>
      <c r="O460" s="20"/>
      <c r="P460" s="20"/>
      <c r="Q460" s="20"/>
      <c r="R460" s="20"/>
      <c r="S460" s="20"/>
      <c r="T460" s="20"/>
      <c r="U460" s="20"/>
      <c r="V460" s="20"/>
      <c r="W460" s="20"/>
      <c r="X460" s="20"/>
      <c r="Y460" s="20"/>
      <c r="Z460" s="20"/>
    </row>
    <row r="461" spans="3:26" ht="17.25" customHeight="1">
      <c r="C461" s="15"/>
      <c r="G461" s="47"/>
      <c r="H461" s="20"/>
      <c r="I461" s="20"/>
      <c r="J461" s="20"/>
      <c r="K461" s="20"/>
      <c r="L461" s="20"/>
      <c r="M461" s="20"/>
      <c r="N461" s="20"/>
      <c r="O461" s="20"/>
      <c r="P461" s="20"/>
      <c r="Q461" s="20"/>
      <c r="R461" s="20"/>
      <c r="S461" s="20"/>
      <c r="T461" s="20"/>
      <c r="U461" s="20"/>
      <c r="V461" s="20"/>
      <c r="W461" s="20"/>
      <c r="X461" s="20"/>
      <c r="Y461" s="20"/>
      <c r="Z461" s="20"/>
    </row>
    <row r="462" spans="3:26" ht="17.25" customHeight="1">
      <c r="C462" s="15"/>
      <c r="G462" s="47"/>
      <c r="H462" s="20"/>
      <c r="I462" s="20"/>
      <c r="J462" s="20"/>
      <c r="K462" s="20"/>
      <c r="L462" s="20"/>
      <c r="M462" s="20"/>
      <c r="N462" s="20"/>
      <c r="O462" s="20"/>
      <c r="P462" s="20"/>
      <c r="Q462" s="20"/>
      <c r="R462" s="20"/>
      <c r="S462" s="20"/>
      <c r="T462" s="20"/>
      <c r="U462" s="20"/>
      <c r="V462" s="20"/>
      <c r="W462" s="20"/>
      <c r="X462" s="20"/>
      <c r="Y462" s="20"/>
      <c r="Z462" s="20"/>
    </row>
    <row r="463" spans="3:26" ht="17.25" customHeight="1">
      <c r="C463" s="15"/>
      <c r="G463" s="47"/>
      <c r="H463" s="20"/>
      <c r="I463" s="20"/>
      <c r="J463" s="20"/>
      <c r="K463" s="20"/>
      <c r="L463" s="20"/>
      <c r="M463" s="20"/>
      <c r="N463" s="20"/>
      <c r="O463" s="20"/>
      <c r="P463" s="20"/>
      <c r="Q463" s="20"/>
      <c r="R463" s="20"/>
      <c r="S463" s="20"/>
      <c r="T463" s="20"/>
      <c r="U463" s="20"/>
      <c r="V463" s="20"/>
      <c r="W463" s="20"/>
      <c r="X463" s="20"/>
      <c r="Y463" s="20"/>
      <c r="Z463" s="20"/>
    </row>
    <row r="464" spans="3:26" ht="17.25" customHeight="1">
      <c r="C464" s="15"/>
      <c r="G464" s="47"/>
      <c r="H464" s="20"/>
      <c r="I464" s="20"/>
      <c r="J464" s="20"/>
      <c r="K464" s="20"/>
      <c r="L464" s="20"/>
      <c r="M464" s="20"/>
      <c r="N464" s="20"/>
      <c r="O464" s="20"/>
      <c r="P464" s="20"/>
      <c r="Q464" s="20"/>
      <c r="R464" s="20"/>
      <c r="S464" s="20"/>
      <c r="T464" s="20"/>
      <c r="U464" s="20"/>
      <c r="V464" s="20"/>
      <c r="W464" s="20"/>
      <c r="X464" s="20"/>
      <c r="Y464" s="20"/>
      <c r="Z464" s="20"/>
    </row>
    <row r="465" spans="3:26" ht="17.25" customHeight="1">
      <c r="C465" s="15"/>
      <c r="G465" s="47"/>
      <c r="H465" s="20"/>
      <c r="I465" s="20"/>
      <c r="J465" s="20"/>
      <c r="K465" s="20"/>
      <c r="L465" s="20"/>
      <c r="M465" s="20"/>
      <c r="N465" s="20"/>
      <c r="O465" s="20"/>
      <c r="P465" s="20"/>
      <c r="Q465" s="20"/>
      <c r="R465" s="20"/>
      <c r="S465" s="20"/>
      <c r="T465" s="20"/>
      <c r="U465" s="20"/>
      <c r="V465" s="20"/>
      <c r="W465" s="20"/>
      <c r="X465" s="20"/>
      <c r="Y465" s="20"/>
      <c r="Z465" s="20"/>
    </row>
    <row r="466" spans="3:26" ht="17.25" customHeight="1">
      <c r="C466" s="15"/>
      <c r="G466" s="47"/>
      <c r="H466" s="20"/>
      <c r="I466" s="20"/>
      <c r="J466" s="20"/>
      <c r="K466" s="20"/>
      <c r="L466" s="20"/>
      <c r="M466" s="20"/>
      <c r="N466" s="20"/>
      <c r="O466" s="20"/>
      <c r="P466" s="20"/>
      <c r="Q466" s="20"/>
      <c r="R466" s="20"/>
      <c r="S466" s="20"/>
      <c r="T466" s="20"/>
      <c r="U466" s="20"/>
      <c r="V466" s="20"/>
      <c r="W466" s="20"/>
      <c r="X466" s="20"/>
      <c r="Y466" s="20"/>
      <c r="Z466" s="20"/>
    </row>
    <row r="467" spans="3:26" ht="17.25" customHeight="1">
      <c r="C467" s="15"/>
      <c r="G467" s="47"/>
      <c r="H467" s="20"/>
      <c r="I467" s="20"/>
      <c r="J467" s="20"/>
      <c r="K467" s="20"/>
      <c r="L467" s="20"/>
      <c r="M467" s="20"/>
      <c r="N467" s="20"/>
      <c r="O467" s="20"/>
      <c r="P467" s="20"/>
      <c r="Q467" s="20"/>
      <c r="R467" s="20"/>
      <c r="S467" s="20"/>
      <c r="T467" s="20"/>
      <c r="U467" s="20"/>
      <c r="V467" s="20"/>
      <c r="W467" s="20"/>
      <c r="X467" s="20"/>
      <c r="Y467" s="20"/>
      <c r="Z467" s="20"/>
    </row>
    <row r="468" spans="3:26" ht="17.25" customHeight="1">
      <c r="C468" s="15"/>
      <c r="G468" s="47"/>
      <c r="H468" s="20"/>
      <c r="I468" s="20"/>
      <c r="J468" s="20"/>
      <c r="K468" s="20"/>
      <c r="L468" s="20"/>
      <c r="M468" s="20"/>
      <c r="N468" s="20"/>
      <c r="O468" s="20"/>
      <c r="P468" s="20"/>
      <c r="Q468" s="20"/>
      <c r="R468" s="20"/>
      <c r="S468" s="20"/>
      <c r="T468" s="20"/>
      <c r="U468" s="20"/>
      <c r="V468" s="20"/>
      <c r="W468" s="20"/>
      <c r="X468" s="20"/>
      <c r="Y468" s="20"/>
      <c r="Z468" s="20"/>
    </row>
    <row r="469" spans="3:26" ht="17.25" customHeight="1">
      <c r="C469" s="15"/>
      <c r="G469" s="47"/>
      <c r="H469" s="20"/>
      <c r="I469" s="20"/>
      <c r="J469" s="20"/>
      <c r="K469" s="20"/>
      <c r="L469" s="20"/>
      <c r="M469" s="20"/>
      <c r="N469" s="20"/>
      <c r="O469" s="20"/>
      <c r="P469" s="20"/>
      <c r="Q469" s="20"/>
      <c r="R469" s="20"/>
      <c r="S469" s="20"/>
      <c r="T469" s="20"/>
      <c r="U469" s="20"/>
      <c r="V469" s="20"/>
      <c r="W469" s="20"/>
      <c r="X469" s="20"/>
      <c r="Y469" s="20"/>
      <c r="Z469" s="20"/>
    </row>
    <row r="470" spans="3:26" ht="17.25" customHeight="1">
      <c r="C470" s="15"/>
      <c r="G470" s="47"/>
      <c r="H470" s="20"/>
      <c r="I470" s="20"/>
      <c r="J470" s="20"/>
      <c r="K470" s="20"/>
      <c r="L470" s="20"/>
      <c r="M470" s="20"/>
      <c r="N470" s="20"/>
      <c r="O470" s="20"/>
      <c r="P470" s="20"/>
      <c r="Q470" s="20"/>
      <c r="R470" s="20"/>
      <c r="S470" s="20"/>
      <c r="T470" s="20"/>
      <c r="U470" s="20"/>
      <c r="V470" s="20"/>
      <c r="W470" s="20"/>
      <c r="X470" s="20"/>
      <c r="Y470" s="20"/>
      <c r="Z470" s="20"/>
    </row>
    <row r="471" spans="3:26" ht="17.25" customHeight="1">
      <c r="C471" s="15"/>
      <c r="G471" s="47"/>
      <c r="H471" s="20"/>
      <c r="I471" s="20"/>
      <c r="J471" s="20"/>
      <c r="K471" s="20"/>
      <c r="L471" s="20"/>
      <c r="M471" s="20"/>
      <c r="N471" s="20"/>
      <c r="O471" s="20"/>
      <c r="P471" s="20"/>
      <c r="Q471" s="20"/>
      <c r="R471" s="20"/>
      <c r="S471" s="20"/>
      <c r="T471" s="20"/>
      <c r="U471" s="20"/>
      <c r="V471" s="20"/>
      <c r="W471" s="20"/>
      <c r="X471" s="20"/>
      <c r="Y471" s="20"/>
      <c r="Z471" s="20"/>
    </row>
    <row r="472" spans="3:26" ht="17.25" customHeight="1">
      <c r="C472" s="15"/>
      <c r="G472" s="47"/>
      <c r="H472" s="20"/>
      <c r="I472" s="20"/>
      <c r="J472" s="20"/>
      <c r="K472" s="20"/>
      <c r="L472" s="20"/>
      <c r="M472" s="20"/>
      <c r="N472" s="20"/>
      <c r="O472" s="20"/>
      <c r="P472" s="20"/>
      <c r="Q472" s="20"/>
      <c r="R472" s="20"/>
      <c r="S472" s="20"/>
      <c r="T472" s="20"/>
      <c r="U472" s="20"/>
      <c r="V472" s="20"/>
      <c r="W472" s="20"/>
      <c r="X472" s="20"/>
      <c r="Y472" s="20"/>
      <c r="Z472" s="20"/>
    </row>
    <row r="473" spans="3:26" ht="17.25" customHeight="1">
      <c r="C473" s="15"/>
      <c r="G473" s="47"/>
      <c r="H473" s="20"/>
      <c r="I473" s="20"/>
      <c r="J473" s="20"/>
      <c r="K473" s="20"/>
      <c r="L473" s="20"/>
      <c r="M473" s="20"/>
      <c r="N473" s="20"/>
      <c r="O473" s="20"/>
      <c r="P473" s="20"/>
      <c r="Q473" s="20"/>
      <c r="R473" s="20"/>
      <c r="S473" s="20"/>
      <c r="T473" s="20"/>
      <c r="U473" s="20"/>
      <c r="V473" s="20"/>
      <c r="W473" s="20"/>
      <c r="X473" s="20"/>
      <c r="Y473" s="20"/>
      <c r="Z473" s="20"/>
    </row>
    <row r="474" spans="3:26" ht="17.25" customHeight="1">
      <c r="C474" s="15"/>
      <c r="G474" s="47"/>
      <c r="H474" s="20"/>
      <c r="I474" s="20"/>
      <c r="J474" s="20"/>
      <c r="K474" s="20"/>
      <c r="L474" s="20"/>
      <c r="M474" s="20"/>
      <c r="N474" s="20"/>
      <c r="O474" s="20"/>
      <c r="P474" s="20"/>
      <c r="Q474" s="20"/>
      <c r="R474" s="20"/>
      <c r="S474" s="20"/>
      <c r="T474" s="20"/>
      <c r="U474" s="20"/>
      <c r="V474" s="20"/>
      <c r="W474" s="20"/>
      <c r="X474" s="20"/>
      <c r="Y474" s="20"/>
      <c r="Z474" s="20"/>
    </row>
    <row r="475" spans="3:26" ht="17.25" customHeight="1">
      <c r="C475" s="15"/>
      <c r="G475" s="47"/>
      <c r="H475" s="20"/>
      <c r="I475" s="20"/>
      <c r="J475" s="20"/>
      <c r="K475" s="20"/>
      <c r="L475" s="20"/>
      <c r="M475" s="20"/>
      <c r="N475" s="20"/>
      <c r="O475" s="20"/>
      <c r="P475" s="20"/>
      <c r="Q475" s="20"/>
      <c r="R475" s="20"/>
      <c r="S475" s="20"/>
      <c r="T475" s="20"/>
      <c r="U475" s="20"/>
      <c r="V475" s="20"/>
      <c r="W475" s="20"/>
      <c r="X475" s="20"/>
      <c r="Y475" s="20"/>
      <c r="Z475" s="20"/>
    </row>
    <row r="476" spans="3:26" ht="17.25" customHeight="1">
      <c r="C476" s="15"/>
      <c r="G476" s="47"/>
      <c r="H476" s="20"/>
      <c r="I476" s="20"/>
      <c r="J476" s="20"/>
      <c r="K476" s="20"/>
      <c r="L476" s="20"/>
      <c r="M476" s="20"/>
      <c r="N476" s="20"/>
      <c r="O476" s="20"/>
      <c r="P476" s="20"/>
      <c r="Q476" s="20"/>
      <c r="R476" s="20"/>
      <c r="S476" s="20"/>
      <c r="T476" s="20"/>
      <c r="U476" s="20"/>
      <c r="V476" s="20"/>
      <c r="W476" s="20"/>
      <c r="X476" s="20"/>
      <c r="Y476" s="20"/>
      <c r="Z476" s="20"/>
    </row>
    <row r="477" spans="3:26" ht="17.25" customHeight="1">
      <c r="C477" s="15"/>
      <c r="G477" s="47"/>
      <c r="H477" s="20"/>
      <c r="I477" s="20"/>
      <c r="J477" s="20"/>
      <c r="K477" s="20"/>
      <c r="L477" s="20"/>
      <c r="M477" s="20"/>
      <c r="N477" s="20"/>
      <c r="O477" s="20"/>
      <c r="P477" s="20"/>
      <c r="Q477" s="20"/>
      <c r="R477" s="20"/>
      <c r="S477" s="20"/>
      <c r="T477" s="20"/>
      <c r="U477" s="20"/>
      <c r="V477" s="20"/>
      <c r="W477" s="20"/>
      <c r="X477" s="20"/>
      <c r="Y477" s="20"/>
      <c r="Z477" s="20"/>
    </row>
    <row r="478" spans="3:26" ht="17.25" customHeight="1">
      <c r="C478" s="15"/>
      <c r="G478" s="47"/>
      <c r="H478" s="20"/>
      <c r="I478" s="20"/>
      <c r="J478" s="20"/>
      <c r="K478" s="20"/>
      <c r="L478" s="20"/>
      <c r="M478" s="20"/>
      <c r="N478" s="20"/>
      <c r="O478" s="20"/>
      <c r="P478" s="20"/>
      <c r="Q478" s="20"/>
      <c r="R478" s="20"/>
      <c r="S478" s="20"/>
      <c r="T478" s="20"/>
      <c r="U478" s="20"/>
      <c r="V478" s="20"/>
      <c r="W478" s="20"/>
      <c r="X478" s="20"/>
      <c r="Y478" s="20"/>
      <c r="Z478" s="20"/>
    </row>
    <row r="479" spans="3:26" ht="17.25" customHeight="1">
      <c r="C479" s="15"/>
      <c r="G479" s="47"/>
      <c r="H479" s="20"/>
      <c r="I479" s="20"/>
      <c r="J479" s="20"/>
      <c r="K479" s="20"/>
      <c r="L479" s="20"/>
      <c r="M479" s="20"/>
      <c r="N479" s="20"/>
      <c r="O479" s="20"/>
      <c r="P479" s="20"/>
      <c r="Q479" s="20"/>
      <c r="R479" s="20"/>
      <c r="S479" s="20"/>
      <c r="T479" s="20"/>
      <c r="U479" s="20"/>
      <c r="V479" s="20"/>
      <c r="W479" s="20"/>
      <c r="X479" s="20"/>
      <c r="Y479" s="20"/>
      <c r="Z479" s="20"/>
    </row>
    <row r="480" spans="3:26" ht="17.25" customHeight="1">
      <c r="C480" s="15"/>
      <c r="G480" s="47"/>
      <c r="H480" s="20"/>
      <c r="I480" s="20"/>
      <c r="J480" s="20"/>
      <c r="K480" s="20"/>
      <c r="L480" s="20"/>
      <c r="M480" s="20"/>
      <c r="N480" s="20"/>
      <c r="O480" s="20"/>
      <c r="P480" s="20"/>
      <c r="Q480" s="20"/>
      <c r="R480" s="20"/>
      <c r="S480" s="20"/>
      <c r="T480" s="20"/>
      <c r="U480" s="20"/>
      <c r="V480" s="20"/>
      <c r="W480" s="20"/>
      <c r="X480" s="20"/>
      <c r="Y480" s="20"/>
      <c r="Z480" s="20"/>
    </row>
    <row r="481" spans="3:26" ht="17.25" customHeight="1">
      <c r="C481" s="15"/>
      <c r="G481" s="47"/>
      <c r="H481" s="20"/>
      <c r="I481" s="20"/>
      <c r="J481" s="20"/>
      <c r="K481" s="20"/>
      <c r="L481" s="20"/>
      <c r="M481" s="20"/>
      <c r="N481" s="20"/>
      <c r="O481" s="20"/>
      <c r="P481" s="20"/>
      <c r="Q481" s="20"/>
      <c r="R481" s="20"/>
      <c r="S481" s="20"/>
      <c r="T481" s="20"/>
      <c r="U481" s="20"/>
      <c r="V481" s="20"/>
      <c r="W481" s="20"/>
      <c r="X481" s="20"/>
      <c r="Y481" s="20"/>
      <c r="Z481" s="20"/>
    </row>
    <row r="482" spans="3:26" ht="17.25" customHeight="1">
      <c r="C482" s="15"/>
      <c r="G482" s="47"/>
      <c r="H482" s="20"/>
      <c r="I482" s="20"/>
      <c r="J482" s="20"/>
      <c r="K482" s="20"/>
      <c r="L482" s="20"/>
      <c r="M482" s="20"/>
      <c r="N482" s="20"/>
      <c r="O482" s="20"/>
      <c r="P482" s="20"/>
      <c r="Q482" s="20"/>
      <c r="R482" s="20"/>
      <c r="S482" s="20"/>
      <c r="T482" s="20"/>
      <c r="U482" s="20"/>
      <c r="V482" s="20"/>
      <c r="W482" s="20"/>
      <c r="X482" s="20"/>
      <c r="Y482" s="20"/>
      <c r="Z482" s="20"/>
    </row>
    <row r="483" spans="3:26" ht="17.25" customHeight="1">
      <c r="C483" s="15"/>
      <c r="G483" s="47"/>
      <c r="H483" s="20"/>
      <c r="I483" s="20"/>
      <c r="J483" s="20"/>
      <c r="K483" s="20"/>
      <c r="L483" s="20"/>
      <c r="M483" s="20"/>
      <c r="N483" s="20"/>
      <c r="O483" s="20"/>
      <c r="P483" s="20"/>
      <c r="Q483" s="20"/>
      <c r="R483" s="20"/>
      <c r="S483" s="20"/>
      <c r="T483" s="20"/>
      <c r="U483" s="20"/>
      <c r="V483" s="20"/>
      <c r="W483" s="20"/>
      <c r="X483" s="20"/>
      <c r="Y483" s="20"/>
      <c r="Z483" s="20"/>
    </row>
    <row r="484" spans="3:26" ht="17.25" customHeight="1">
      <c r="C484" s="15"/>
      <c r="G484" s="47"/>
      <c r="H484" s="20"/>
      <c r="I484" s="20"/>
      <c r="J484" s="20"/>
      <c r="K484" s="20"/>
      <c r="L484" s="20"/>
      <c r="M484" s="20"/>
      <c r="N484" s="20"/>
      <c r="O484" s="20"/>
      <c r="P484" s="20"/>
      <c r="Q484" s="20"/>
      <c r="R484" s="20"/>
      <c r="S484" s="20"/>
      <c r="T484" s="20"/>
      <c r="U484" s="20"/>
      <c r="V484" s="20"/>
      <c r="W484" s="20"/>
      <c r="X484" s="20"/>
      <c r="Y484" s="20"/>
      <c r="Z484" s="20"/>
    </row>
    <row r="485" spans="3:26" ht="17.25" customHeight="1">
      <c r="C485" s="15"/>
      <c r="G485" s="47"/>
      <c r="H485" s="20"/>
      <c r="I485" s="20"/>
      <c r="J485" s="20"/>
      <c r="K485" s="20"/>
      <c r="L485" s="20"/>
      <c r="M485" s="20"/>
      <c r="N485" s="20"/>
      <c r="O485" s="20"/>
      <c r="P485" s="20"/>
      <c r="Q485" s="20"/>
      <c r="R485" s="20"/>
      <c r="S485" s="20"/>
      <c r="T485" s="20"/>
      <c r="U485" s="20"/>
      <c r="V485" s="20"/>
      <c r="W485" s="20"/>
      <c r="X485" s="20"/>
      <c r="Y485" s="20"/>
      <c r="Z485" s="20"/>
    </row>
    <row r="486" spans="3:26" ht="17.25" customHeight="1">
      <c r="C486" s="15"/>
      <c r="G486" s="47"/>
      <c r="H486" s="20"/>
      <c r="I486" s="20"/>
      <c r="J486" s="20"/>
      <c r="K486" s="20"/>
      <c r="L486" s="20"/>
      <c r="M486" s="20"/>
      <c r="N486" s="20"/>
      <c r="O486" s="20"/>
      <c r="P486" s="20"/>
      <c r="Q486" s="20"/>
      <c r="R486" s="20"/>
      <c r="S486" s="20"/>
      <c r="T486" s="20"/>
      <c r="U486" s="20"/>
      <c r="V486" s="20"/>
      <c r="W486" s="20"/>
      <c r="X486" s="20"/>
      <c r="Y486" s="20"/>
      <c r="Z486" s="20"/>
    </row>
    <row r="487" spans="3:26" ht="17.25" customHeight="1">
      <c r="C487" s="15"/>
      <c r="G487" s="47"/>
      <c r="H487" s="20"/>
      <c r="I487" s="20"/>
      <c r="J487" s="20"/>
      <c r="K487" s="20"/>
      <c r="L487" s="20"/>
      <c r="M487" s="20"/>
      <c r="N487" s="20"/>
      <c r="O487" s="20"/>
      <c r="P487" s="20"/>
      <c r="Q487" s="20"/>
      <c r="R487" s="20"/>
      <c r="S487" s="20"/>
      <c r="T487" s="20"/>
      <c r="U487" s="20"/>
      <c r="V487" s="20"/>
      <c r="W487" s="20"/>
      <c r="X487" s="20"/>
      <c r="Y487" s="20"/>
      <c r="Z487" s="20"/>
    </row>
    <row r="488" spans="3:26" ht="17.25" customHeight="1">
      <c r="C488" s="15"/>
      <c r="G488" s="47"/>
      <c r="H488" s="20"/>
      <c r="I488" s="20"/>
      <c r="J488" s="20"/>
      <c r="K488" s="20"/>
      <c r="L488" s="20"/>
      <c r="M488" s="20"/>
      <c r="N488" s="20"/>
      <c r="O488" s="20"/>
      <c r="P488" s="20"/>
      <c r="Q488" s="20"/>
      <c r="R488" s="20"/>
      <c r="S488" s="20"/>
      <c r="T488" s="20"/>
      <c r="U488" s="20"/>
      <c r="V488" s="20"/>
      <c r="W488" s="20"/>
      <c r="X488" s="20"/>
      <c r="Y488" s="20"/>
      <c r="Z488" s="20"/>
    </row>
    <row r="489" spans="3:26" ht="17.25" customHeight="1">
      <c r="C489" s="15"/>
      <c r="G489" s="47"/>
      <c r="H489" s="20"/>
      <c r="I489" s="20"/>
      <c r="J489" s="20"/>
      <c r="K489" s="20"/>
      <c r="L489" s="20"/>
      <c r="M489" s="20"/>
      <c r="N489" s="20"/>
      <c r="O489" s="20"/>
      <c r="P489" s="20"/>
      <c r="Q489" s="20"/>
      <c r="R489" s="20"/>
      <c r="S489" s="20"/>
      <c r="T489" s="20"/>
      <c r="U489" s="20"/>
      <c r="V489" s="20"/>
      <c r="W489" s="20"/>
      <c r="X489" s="20"/>
      <c r="Y489" s="20"/>
      <c r="Z489" s="20"/>
    </row>
    <row r="490" spans="3:26" ht="17.25" customHeight="1">
      <c r="C490" s="15"/>
      <c r="G490" s="47"/>
      <c r="H490" s="20"/>
      <c r="I490" s="20"/>
      <c r="J490" s="20"/>
      <c r="K490" s="20"/>
      <c r="L490" s="20"/>
      <c r="M490" s="20"/>
      <c r="N490" s="20"/>
      <c r="O490" s="20"/>
      <c r="P490" s="20"/>
      <c r="Q490" s="20"/>
      <c r="R490" s="20"/>
      <c r="S490" s="20"/>
      <c r="T490" s="20"/>
      <c r="U490" s="20"/>
      <c r="V490" s="20"/>
      <c r="W490" s="20"/>
      <c r="X490" s="20"/>
      <c r="Y490" s="20"/>
      <c r="Z490" s="20"/>
    </row>
    <row r="491" spans="3:26" ht="17.25" customHeight="1">
      <c r="C491" s="15"/>
      <c r="G491" s="47"/>
      <c r="H491" s="20"/>
      <c r="I491" s="20"/>
      <c r="J491" s="20"/>
      <c r="K491" s="20"/>
      <c r="L491" s="20"/>
      <c r="M491" s="20"/>
      <c r="N491" s="20"/>
      <c r="O491" s="20"/>
      <c r="P491" s="20"/>
      <c r="Q491" s="20"/>
      <c r="R491" s="20"/>
      <c r="S491" s="20"/>
      <c r="T491" s="20"/>
      <c r="U491" s="20"/>
      <c r="V491" s="20"/>
      <c r="W491" s="20"/>
      <c r="X491" s="20"/>
      <c r="Y491" s="20"/>
      <c r="Z491" s="20"/>
    </row>
    <row r="492" spans="3:26" ht="17.25" customHeight="1">
      <c r="C492" s="15"/>
      <c r="G492" s="47"/>
      <c r="H492" s="20"/>
      <c r="I492" s="20"/>
      <c r="J492" s="20"/>
      <c r="K492" s="20"/>
      <c r="L492" s="20"/>
      <c r="M492" s="20"/>
      <c r="N492" s="20"/>
      <c r="O492" s="20"/>
      <c r="P492" s="20"/>
      <c r="Q492" s="20"/>
      <c r="R492" s="20"/>
      <c r="S492" s="20"/>
      <c r="T492" s="20"/>
      <c r="U492" s="20"/>
      <c r="V492" s="20"/>
      <c r="W492" s="20"/>
      <c r="X492" s="20"/>
      <c r="Y492" s="20"/>
      <c r="Z492" s="20"/>
    </row>
    <row r="493" spans="3:26" ht="17.25" customHeight="1">
      <c r="C493" s="15"/>
      <c r="G493" s="47"/>
      <c r="H493" s="20"/>
      <c r="I493" s="20"/>
      <c r="J493" s="20"/>
      <c r="K493" s="20"/>
      <c r="L493" s="20"/>
      <c r="M493" s="20"/>
      <c r="N493" s="20"/>
      <c r="O493" s="20"/>
      <c r="P493" s="20"/>
      <c r="Q493" s="20"/>
      <c r="R493" s="20"/>
      <c r="S493" s="20"/>
      <c r="T493" s="20"/>
      <c r="U493" s="20"/>
      <c r="V493" s="20"/>
      <c r="W493" s="20"/>
      <c r="X493" s="20"/>
      <c r="Y493" s="20"/>
      <c r="Z493" s="20"/>
    </row>
    <row r="494" spans="3:26" ht="17.25" customHeight="1">
      <c r="C494" s="15"/>
      <c r="G494" s="47"/>
      <c r="H494" s="20"/>
      <c r="I494" s="20"/>
      <c r="J494" s="20"/>
      <c r="K494" s="20"/>
      <c r="L494" s="20"/>
      <c r="M494" s="20"/>
      <c r="N494" s="20"/>
      <c r="O494" s="20"/>
      <c r="P494" s="20"/>
      <c r="Q494" s="20"/>
      <c r="R494" s="20"/>
      <c r="S494" s="20"/>
      <c r="T494" s="20"/>
      <c r="U494" s="20"/>
      <c r="V494" s="20"/>
      <c r="W494" s="20"/>
      <c r="X494" s="20"/>
      <c r="Y494" s="20"/>
      <c r="Z494" s="20"/>
    </row>
    <row r="495" spans="3:26" ht="17.25" customHeight="1">
      <c r="C495" s="15"/>
      <c r="G495" s="47"/>
      <c r="H495" s="20"/>
      <c r="I495" s="20"/>
      <c r="J495" s="20"/>
      <c r="K495" s="20"/>
      <c r="L495" s="20"/>
      <c r="M495" s="20"/>
      <c r="N495" s="20"/>
      <c r="O495" s="20"/>
      <c r="P495" s="20"/>
      <c r="Q495" s="20"/>
      <c r="R495" s="20"/>
      <c r="S495" s="20"/>
      <c r="T495" s="20"/>
      <c r="U495" s="20"/>
      <c r="V495" s="20"/>
      <c r="W495" s="20"/>
      <c r="X495" s="20"/>
      <c r="Y495" s="20"/>
      <c r="Z495" s="20"/>
    </row>
    <row r="496" spans="3:26" ht="17.25" customHeight="1">
      <c r="C496" s="15"/>
      <c r="G496" s="47"/>
      <c r="H496" s="20"/>
      <c r="I496" s="20"/>
      <c r="J496" s="20"/>
      <c r="K496" s="20"/>
      <c r="L496" s="20"/>
      <c r="M496" s="20"/>
      <c r="N496" s="20"/>
      <c r="O496" s="20"/>
      <c r="P496" s="20"/>
      <c r="Q496" s="20"/>
      <c r="R496" s="20"/>
      <c r="S496" s="20"/>
      <c r="T496" s="20"/>
      <c r="U496" s="20"/>
      <c r="V496" s="20"/>
      <c r="W496" s="20"/>
      <c r="X496" s="20"/>
      <c r="Y496" s="20"/>
      <c r="Z496" s="20"/>
    </row>
    <row r="497" spans="3:26" ht="17.25" customHeight="1">
      <c r="C497" s="15"/>
      <c r="G497" s="47"/>
      <c r="H497" s="20"/>
      <c r="I497" s="20"/>
      <c r="J497" s="20"/>
      <c r="K497" s="20"/>
      <c r="L497" s="20"/>
      <c r="M497" s="20"/>
      <c r="N497" s="20"/>
      <c r="O497" s="20"/>
      <c r="P497" s="20"/>
      <c r="Q497" s="20"/>
      <c r="R497" s="20"/>
      <c r="S497" s="20"/>
      <c r="T497" s="20"/>
      <c r="U497" s="20"/>
      <c r="V497" s="20"/>
      <c r="W497" s="20"/>
      <c r="X497" s="20"/>
      <c r="Y497" s="20"/>
      <c r="Z497" s="20"/>
    </row>
    <row r="498" spans="3:26" ht="17.25" customHeight="1">
      <c r="C498" s="15"/>
      <c r="G498" s="47"/>
      <c r="H498" s="20"/>
      <c r="I498" s="20"/>
      <c r="J498" s="20"/>
      <c r="K498" s="20"/>
      <c r="L498" s="20"/>
      <c r="M498" s="20"/>
      <c r="N498" s="20"/>
      <c r="O498" s="20"/>
      <c r="P498" s="20"/>
      <c r="Q498" s="20"/>
      <c r="R498" s="20"/>
      <c r="S498" s="20"/>
      <c r="T498" s="20"/>
      <c r="U498" s="20"/>
      <c r="V498" s="20"/>
      <c r="W498" s="20"/>
      <c r="X498" s="20"/>
      <c r="Y498" s="20"/>
      <c r="Z498" s="20"/>
    </row>
    <row r="499" spans="3:26" ht="17.25" customHeight="1">
      <c r="C499" s="15"/>
      <c r="G499" s="47"/>
      <c r="H499" s="20"/>
      <c r="I499" s="20"/>
      <c r="J499" s="20"/>
      <c r="K499" s="20"/>
      <c r="L499" s="20"/>
      <c r="M499" s="20"/>
      <c r="N499" s="20"/>
      <c r="O499" s="20"/>
      <c r="P499" s="20"/>
      <c r="Q499" s="20"/>
      <c r="R499" s="20"/>
      <c r="S499" s="20"/>
      <c r="T499" s="20"/>
      <c r="U499" s="20"/>
      <c r="V499" s="20"/>
      <c r="W499" s="20"/>
      <c r="X499" s="20"/>
      <c r="Y499" s="20"/>
      <c r="Z499" s="20"/>
    </row>
    <row r="500" spans="3:26" ht="17.25" customHeight="1">
      <c r="C500" s="15"/>
      <c r="G500" s="47"/>
      <c r="H500" s="20"/>
      <c r="I500" s="20"/>
      <c r="J500" s="20"/>
      <c r="K500" s="20"/>
      <c r="L500" s="20"/>
      <c r="M500" s="20"/>
      <c r="N500" s="20"/>
      <c r="O500" s="20"/>
      <c r="P500" s="20"/>
      <c r="Q500" s="20"/>
      <c r="R500" s="20"/>
      <c r="S500" s="20"/>
      <c r="T500" s="20"/>
      <c r="U500" s="20"/>
      <c r="V500" s="20"/>
      <c r="W500" s="20"/>
      <c r="X500" s="20"/>
      <c r="Y500" s="20"/>
      <c r="Z500" s="20"/>
    </row>
    <row r="501" spans="3:26" ht="17.25" customHeight="1">
      <c r="C501" s="15"/>
      <c r="G501" s="47"/>
      <c r="H501" s="20"/>
      <c r="I501" s="20"/>
      <c r="J501" s="20"/>
      <c r="K501" s="20"/>
      <c r="L501" s="20"/>
      <c r="M501" s="20"/>
      <c r="N501" s="20"/>
      <c r="O501" s="20"/>
      <c r="P501" s="20"/>
      <c r="Q501" s="20"/>
      <c r="R501" s="20"/>
      <c r="S501" s="20"/>
      <c r="T501" s="20"/>
      <c r="U501" s="20"/>
      <c r="V501" s="20"/>
      <c r="W501" s="20"/>
      <c r="X501" s="20"/>
      <c r="Y501" s="20"/>
      <c r="Z501" s="20"/>
    </row>
    <row r="502" spans="3:26" ht="17.25" customHeight="1">
      <c r="C502" s="15"/>
      <c r="G502" s="47"/>
      <c r="H502" s="20"/>
      <c r="I502" s="20"/>
      <c r="J502" s="20"/>
      <c r="K502" s="20"/>
      <c r="L502" s="20"/>
      <c r="M502" s="20"/>
      <c r="N502" s="20"/>
      <c r="O502" s="20"/>
      <c r="P502" s="20"/>
      <c r="Q502" s="20"/>
      <c r="R502" s="20"/>
      <c r="S502" s="20"/>
      <c r="T502" s="20"/>
      <c r="U502" s="20"/>
      <c r="V502" s="20"/>
      <c r="W502" s="20"/>
      <c r="X502" s="20"/>
      <c r="Y502" s="20"/>
      <c r="Z502" s="20"/>
    </row>
    <row r="503" spans="3:26" ht="17.25" customHeight="1">
      <c r="C503" s="15"/>
      <c r="G503" s="47"/>
      <c r="H503" s="20"/>
      <c r="I503" s="20"/>
      <c r="J503" s="20"/>
      <c r="K503" s="20"/>
      <c r="L503" s="20"/>
      <c r="M503" s="20"/>
      <c r="N503" s="20"/>
      <c r="O503" s="20"/>
      <c r="P503" s="20"/>
      <c r="Q503" s="20"/>
      <c r="R503" s="20"/>
      <c r="S503" s="20"/>
      <c r="T503" s="20"/>
      <c r="U503" s="20"/>
      <c r="V503" s="20"/>
      <c r="W503" s="20"/>
      <c r="X503" s="20"/>
      <c r="Y503" s="20"/>
      <c r="Z503" s="20"/>
    </row>
    <row r="504" spans="3:26" ht="17.25" customHeight="1">
      <c r="C504" s="15"/>
      <c r="G504" s="47"/>
      <c r="H504" s="20"/>
      <c r="I504" s="20"/>
      <c r="J504" s="20"/>
      <c r="K504" s="20"/>
      <c r="L504" s="20"/>
      <c r="M504" s="20"/>
      <c r="N504" s="20"/>
      <c r="O504" s="20"/>
      <c r="P504" s="20"/>
      <c r="Q504" s="20"/>
      <c r="R504" s="20"/>
      <c r="S504" s="20"/>
      <c r="T504" s="20"/>
      <c r="U504" s="20"/>
      <c r="V504" s="20"/>
      <c r="W504" s="20"/>
      <c r="X504" s="20"/>
      <c r="Y504" s="20"/>
      <c r="Z504" s="20"/>
    </row>
    <row r="505" spans="3:26" ht="17.25" customHeight="1">
      <c r="C505" s="15"/>
      <c r="G505" s="47"/>
      <c r="H505" s="20"/>
      <c r="I505" s="20"/>
      <c r="J505" s="20"/>
      <c r="K505" s="20"/>
      <c r="L505" s="20"/>
      <c r="M505" s="20"/>
      <c r="N505" s="20"/>
      <c r="O505" s="20"/>
      <c r="P505" s="20"/>
      <c r="Q505" s="20"/>
      <c r="R505" s="20"/>
      <c r="S505" s="20"/>
      <c r="T505" s="20"/>
      <c r="U505" s="20"/>
      <c r="V505" s="20"/>
      <c r="W505" s="20"/>
      <c r="X505" s="20"/>
      <c r="Y505" s="20"/>
      <c r="Z505" s="20"/>
    </row>
    <row r="506" spans="3:26" ht="17.25" customHeight="1">
      <c r="C506" s="15"/>
      <c r="G506" s="47"/>
      <c r="H506" s="20"/>
      <c r="I506" s="20"/>
      <c r="J506" s="20"/>
      <c r="K506" s="20"/>
      <c r="L506" s="20"/>
      <c r="M506" s="20"/>
      <c r="N506" s="20"/>
      <c r="O506" s="20"/>
      <c r="P506" s="20"/>
      <c r="Q506" s="20"/>
      <c r="R506" s="20"/>
      <c r="S506" s="20"/>
      <c r="T506" s="20"/>
      <c r="U506" s="20"/>
      <c r="V506" s="20"/>
      <c r="W506" s="20"/>
      <c r="X506" s="20"/>
      <c r="Y506" s="20"/>
      <c r="Z506" s="20"/>
    </row>
    <row r="507" spans="3:26" ht="17.25" customHeight="1">
      <c r="C507" s="15"/>
      <c r="G507" s="47"/>
      <c r="H507" s="20"/>
      <c r="I507" s="20"/>
      <c r="J507" s="20"/>
      <c r="K507" s="20"/>
      <c r="L507" s="20"/>
      <c r="M507" s="20"/>
      <c r="N507" s="20"/>
      <c r="O507" s="20"/>
      <c r="P507" s="20"/>
      <c r="Q507" s="20"/>
      <c r="R507" s="20"/>
      <c r="S507" s="20"/>
      <c r="T507" s="20"/>
      <c r="U507" s="20"/>
      <c r="V507" s="20"/>
      <c r="W507" s="20"/>
      <c r="X507" s="20"/>
      <c r="Y507" s="20"/>
      <c r="Z507" s="20"/>
    </row>
    <row r="508" spans="3:26" ht="17.25" customHeight="1">
      <c r="C508" s="15"/>
      <c r="G508" s="47"/>
      <c r="H508" s="20"/>
      <c r="I508" s="20"/>
      <c r="J508" s="20"/>
      <c r="K508" s="20"/>
      <c r="L508" s="20"/>
      <c r="M508" s="20"/>
      <c r="N508" s="20"/>
      <c r="O508" s="20"/>
      <c r="P508" s="20"/>
      <c r="Q508" s="20"/>
      <c r="R508" s="20"/>
      <c r="S508" s="20"/>
      <c r="T508" s="20"/>
      <c r="U508" s="20"/>
      <c r="V508" s="20"/>
      <c r="W508" s="20"/>
      <c r="X508" s="20"/>
      <c r="Y508" s="20"/>
      <c r="Z508" s="20"/>
    </row>
    <row r="509" spans="3:26" ht="17.25" customHeight="1">
      <c r="C509" s="15"/>
      <c r="G509" s="47"/>
      <c r="H509" s="20"/>
      <c r="I509" s="20"/>
      <c r="J509" s="20"/>
      <c r="K509" s="20"/>
      <c r="L509" s="20"/>
      <c r="M509" s="20"/>
      <c r="N509" s="20"/>
      <c r="O509" s="20"/>
      <c r="P509" s="20"/>
      <c r="Q509" s="20"/>
      <c r="R509" s="20"/>
      <c r="S509" s="20"/>
      <c r="T509" s="20"/>
      <c r="U509" s="20"/>
      <c r="V509" s="20"/>
      <c r="W509" s="20"/>
      <c r="X509" s="20"/>
      <c r="Y509" s="20"/>
      <c r="Z509" s="20"/>
    </row>
    <row r="510" spans="3:26" ht="17.25" customHeight="1">
      <c r="C510" s="15"/>
      <c r="G510" s="47"/>
      <c r="H510" s="20"/>
      <c r="I510" s="20"/>
      <c r="J510" s="20"/>
      <c r="K510" s="20"/>
      <c r="L510" s="20"/>
      <c r="M510" s="20"/>
      <c r="N510" s="20"/>
      <c r="O510" s="20"/>
      <c r="P510" s="20"/>
      <c r="Q510" s="20"/>
      <c r="R510" s="20"/>
      <c r="S510" s="20"/>
      <c r="T510" s="20"/>
      <c r="U510" s="20"/>
      <c r="V510" s="20"/>
      <c r="W510" s="20"/>
      <c r="X510" s="20"/>
      <c r="Y510" s="20"/>
      <c r="Z510" s="20"/>
    </row>
    <row r="511" spans="3:26" ht="17.25" customHeight="1">
      <c r="C511" s="15"/>
      <c r="G511" s="47"/>
      <c r="H511" s="20"/>
      <c r="I511" s="20"/>
      <c r="J511" s="20"/>
      <c r="K511" s="20"/>
      <c r="L511" s="20"/>
      <c r="M511" s="20"/>
      <c r="N511" s="20"/>
      <c r="O511" s="20"/>
      <c r="P511" s="20"/>
      <c r="Q511" s="20"/>
      <c r="R511" s="20"/>
      <c r="S511" s="20"/>
      <c r="T511" s="20"/>
      <c r="U511" s="20"/>
      <c r="V511" s="20"/>
      <c r="W511" s="20"/>
      <c r="X511" s="20"/>
      <c r="Y511" s="20"/>
      <c r="Z511" s="20"/>
    </row>
    <row r="512" spans="3:26" ht="17.25" customHeight="1">
      <c r="C512" s="15"/>
      <c r="G512" s="47"/>
      <c r="H512" s="20"/>
      <c r="I512" s="20"/>
      <c r="J512" s="20"/>
      <c r="K512" s="20"/>
      <c r="L512" s="20"/>
      <c r="M512" s="20"/>
      <c r="N512" s="20"/>
      <c r="O512" s="20"/>
      <c r="P512" s="20"/>
      <c r="Q512" s="20"/>
      <c r="R512" s="20"/>
      <c r="S512" s="20"/>
      <c r="T512" s="20"/>
      <c r="U512" s="20"/>
      <c r="V512" s="20"/>
      <c r="W512" s="20"/>
      <c r="X512" s="20"/>
      <c r="Y512" s="20"/>
      <c r="Z512" s="20"/>
    </row>
    <row r="513" spans="3:26" ht="17.25" customHeight="1">
      <c r="C513" s="15"/>
      <c r="G513" s="47"/>
      <c r="H513" s="20"/>
      <c r="I513" s="20"/>
      <c r="J513" s="20"/>
      <c r="K513" s="20"/>
      <c r="L513" s="20"/>
      <c r="M513" s="20"/>
      <c r="N513" s="20"/>
      <c r="O513" s="20"/>
      <c r="P513" s="20"/>
      <c r="Q513" s="20"/>
      <c r="R513" s="20"/>
      <c r="S513" s="20"/>
      <c r="T513" s="20"/>
      <c r="U513" s="20"/>
      <c r="V513" s="20"/>
      <c r="W513" s="20"/>
      <c r="X513" s="20"/>
      <c r="Y513" s="20"/>
      <c r="Z513" s="20"/>
    </row>
    <row r="514" spans="3:26" ht="17.25" customHeight="1">
      <c r="C514" s="15"/>
      <c r="G514" s="47"/>
      <c r="H514" s="20"/>
      <c r="I514" s="20"/>
      <c r="J514" s="20"/>
      <c r="K514" s="20"/>
      <c r="L514" s="20"/>
      <c r="M514" s="20"/>
      <c r="N514" s="20"/>
      <c r="O514" s="20"/>
      <c r="P514" s="20"/>
      <c r="Q514" s="20"/>
      <c r="R514" s="20"/>
      <c r="S514" s="20"/>
      <c r="T514" s="20"/>
      <c r="U514" s="20"/>
      <c r="V514" s="20"/>
      <c r="W514" s="20"/>
      <c r="X514" s="20"/>
      <c r="Y514" s="20"/>
      <c r="Z514" s="20"/>
    </row>
    <row r="515" spans="3:26" ht="17.25" customHeight="1">
      <c r="C515" s="15"/>
      <c r="G515" s="47"/>
      <c r="H515" s="20"/>
      <c r="I515" s="20"/>
      <c r="J515" s="20"/>
      <c r="K515" s="20"/>
      <c r="L515" s="20"/>
      <c r="M515" s="20"/>
      <c r="N515" s="20"/>
      <c r="O515" s="20"/>
      <c r="P515" s="20"/>
      <c r="Q515" s="20"/>
      <c r="R515" s="20"/>
      <c r="S515" s="20"/>
      <c r="T515" s="20"/>
      <c r="U515" s="20"/>
      <c r="V515" s="20"/>
      <c r="W515" s="20"/>
      <c r="X515" s="20"/>
      <c r="Y515" s="20"/>
      <c r="Z515" s="20"/>
    </row>
    <row r="516" spans="3:26" ht="17.25" customHeight="1">
      <c r="C516" s="15"/>
      <c r="G516" s="47"/>
      <c r="H516" s="20"/>
      <c r="I516" s="20"/>
      <c r="J516" s="20"/>
      <c r="K516" s="20"/>
      <c r="L516" s="20"/>
      <c r="M516" s="20"/>
      <c r="N516" s="20"/>
      <c r="O516" s="20"/>
      <c r="P516" s="20"/>
      <c r="Q516" s="20"/>
      <c r="R516" s="20"/>
      <c r="S516" s="20"/>
      <c r="T516" s="20"/>
      <c r="U516" s="20"/>
      <c r="V516" s="20"/>
      <c r="W516" s="20"/>
      <c r="X516" s="20"/>
      <c r="Y516" s="20"/>
      <c r="Z516" s="20"/>
    </row>
    <row r="517" spans="3:26" ht="17.25" customHeight="1">
      <c r="C517" s="15"/>
      <c r="G517" s="47"/>
      <c r="H517" s="20"/>
      <c r="I517" s="20"/>
      <c r="J517" s="20"/>
      <c r="K517" s="20"/>
      <c r="L517" s="20"/>
      <c r="M517" s="20"/>
      <c r="N517" s="20"/>
      <c r="O517" s="20"/>
      <c r="P517" s="20"/>
      <c r="Q517" s="20"/>
      <c r="R517" s="20"/>
      <c r="S517" s="20"/>
      <c r="T517" s="20"/>
      <c r="U517" s="20"/>
      <c r="V517" s="20"/>
      <c r="W517" s="20"/>
      <c r="X517" s="20"/>
      <c r="Y517" s="20"/>
      <c r="Z517" s="20"/>
    </row>
    <row r="518" spans="3:26" ht="17.25" customHeight="1">
      <c r="C518" s="15"/>
      <c r="G518" s="47"/>
      <c r="H518" s="20"/>
      <c r="I518" s="20"/>
      <c r="J518" s="20"/>
      <c r="K518" s="20"/>
      <c r="L518" s="20"/>
      <c r="M518" s="20"/>
      <c r="N518" s="20"/>
      <c r="O518" s="20"/>
      <c r="P518" s="20"/>
      <c r="Q518" s="20"/>
      <c r="R518" s="20"/>
      <c r="S518" s="20"/>
      <c r="T518" s="20"/>
      <c r="U518" s="20"/>
      <c r="V518" s="20"/>
      <c r="W518" s="20"/>
      <c r="X518" s="20"/>
      <c r="Y518" s="20"/>
      <c r="Z518" s="20"/>
    </row>
    <row r="519" spans="3:26" ht="17.25" customHeight="1">
      <c r="C519" s="15"/>
      <c r="G519" s="47"/>
      <c r="H519" s="20"/>
      <c r="I519" s="20"/>
      <c r="J519" s="20"/>
      <c r="K519" s="20"/>
      <c r="L519" s="20"/>
      <c r="M519" s="20"/>
      <c r="N519" s="20"/>
      <c r="O519" s="20"/>
      <c r="P519" s="20"/>
      <c r="Q519" s="20"/>
      <c r="R519" s="20"/>
      <c r="S519" s="20"/>
      <c r="T519" s="20"/>
      <c r="U519" s="20"/>
      <c r="V519" s="20"/>
      <c r="W519" s="20"/>
      <c r="X519" s="20"/>
      <c r="Y519" s="20"/>
      <c r="Z519" s="20"/>
    </row>
    <row r="520" spans="3:26" ht="17.25" customHeight="1">
      <c r="C520" s="15"/>
      <c r="G520" s="47"/>
      <c r="H520" s="20"/>
      <c r="I520" s="20"/>
      <c r="J520" s="20"/>
      <c r="K520" s="20"/>
      <c r="L520" s="20"/>
      <c r="M520" s="20"/>
      <c r="N520" s="20"/>
      <c r="O520" s="20"/>
      <c r="P520" s="20"/>
      <c r="Q520" s="20"/>
      <c r="R520" s="20"/>
      <c r="S520" s="20"/>
      <c r="T520" s="20"/>
      <c r="U520" s="20"/>
      <c r="V520" s="20"/>
      <c r="W520" s="20"/>
      <c r="X520" s="20"/>
      <c r="Y520" s="20"/>
      <c r="Z520" s="20"/>
    </row>
    <row r="521" spans="3:26" ht="17.25" customHeight="1">
      <c r="C521" s="15"/>
      <c r="G521" s="47"/>
      <c r="H521" s="20"/>
      <c r="I521" s="20"/>
      <c r="J521" s="20"/>
      <c r="K521" s="20"/>
      <c r="L521" s="20"/>
      <c r="M521" s="20"/>
      <c r="N521" s="20"/>
      <c r="O521" s="20"/>
      <c r="P521" s="20"/>
      <c r="Q521" s="20"/>
      <c r="R521" s="20"/>
      <c r="S521" s="20"/>
      <c r="T521" s="20"/>
      <c r="U521" s="20"/>
      <c r="V521" s="20"/>
      <c r="W521" s="20"/>
      <c r="X521" s="20"/>
      <c r="Y521" s="20"/>
      <c r="Z521" s="20"/>
    </row>
    <row r="522" spans="3:26" ht="17.25" customHeight="1">
      <c r="C522" s="15"/>
      <c r="G522" s="47"/>
      <c r="H522" s="20"/>
      <c r="I522" s="20"/>
      <c r="J522" s="20"/>
      <c r="K522" s="20"/>
      <c r="L522" s="20"/>
      <c r="M522" s="20"/>
      <c r="N522" s="20"/>
      <c r="O522" s="20"/>
      <c r="P522" s="20"/>
      <c r="Q522" s="20"/>
      <c r="R522" s="20"/>
      <c r="S522" s="20"/>
      <c r="T522" s="20"/>
      <c r="U522" s="20"/>
      <c r="V522" s="20"/>
      <c r="W522" s="20"/>
      <c r="X522" s="20"/>
      <c r="Y522" s="20"/>
      <c r="Z522" s="20"/>
    </row>
    <row r="523" spans="3:26" ht="17.25" customHeight="1">
      <c r="C523" s="15"/>
      <c r="G523" s="47"/>
      <c r="H523" s="20"/>
      <c r="I523" s="20"/>
      <c r="J523" s="20"/>
      <c r="K523" s="20"/>
      <c r="L523" s="20"/>
      <c r="M523" s="20"/>
      <c r="N523" s="20"/>
      <c r="O523" s="20"/>
      <c r="P523" s="20"/>
      <c r="Q523" s="20"/>
      <c r="R523" s="20"/>
      <c r="S523" s="20"/>
      <c r="T523" s="20"/>
      <c r="U523" s="20"/>
      <c r="V523" s="20"/>
      <c r="W523" s="20"/>
      <c r="X523" s="20"/>
      <c r="Y523" s="20"/>
      <c r="Z523" s="20"/>
    </row>
    <row r="524" spans="3:26" ht="17.25" customHeight="1">
      <c r="C524" s="15"/>
      <c r="G524" s="47"/>
      <c r="H524" s="20"/>
      <c r="I524" s="20"/>
      <c r="J524" s="20"/>
      <c r="K524" s="20"/>
      <c r="L524" s="20"/>
      <c r="M524" s="20"/>
      <c r="N524" s="20"/>
      <c r="O524" s="20"/>
      <c r="P524" s="20"/>
      <c r="Q524" s="20"/>
      <c r="R524" s="20"/>
      <c r="S524" s="20"/>
      <c r="T524" s="20"/>
      <c r="U524" s="20"/>
      <c r="V524" s="20"/>
      <c r="W524" s="20"/>
      <c r="X524" s="20"/>
      <c r="Y524" s="20"/>
      <c r="Z524" s="20"/>
    </row>
    <row r="525" spans="3:26" ht="17.25" customHeight="1">
      <c r="C525" s="15"/>
      <c r="G525" s="47"/>
      <c r="H525" s="20"/>
      <c r="I525" s="20"/>
      <c r="J525" s="20"/>
      <c r="K525" s="20"/>
      <c r="L525" s="20"/>
      <c r="M525" s="20"/>
      <c r="N525" s="20"/>
      <c r="O525" s="20"/>
      <c r="P525" s="20"/>
      <c r="Q525" s="20"/>
      <c r="R525" s="20"/>
      <c r="S525" s="20"/>
      <c r="T525" s="20"/>
      <c r="U525" s="20"/>
      <c r="V525" s="20"/>
      <c r="W525" s="20"/>
      <c r="X525" s="20"/>
      <c r="Y525" s="20"/>
      <c r="Z525" s="20"/>
    </row>
    <row r="526" spans="3:26" ht="17.25" customHeight="1">
      <c r="C526" s="15"/>
      <c r="G526" s="47"/>
      <c r="H526" s="20"/>
      <c r="I526" s="20"/>
      <c r="J526" s="20"/>
      <c r="K526" s="20"/>
      <c r="L526" s="20"/>
      <c r="M526" s="20"/>
      <c r="N526" s="20"/>
      <c r="O526" s="20"/>
      <c r="P526" s="20"/>
      <c r="Q526" s="20"/>
      <c r="R526" s="20"/>
      <c r="S526" s="20"/>
      <c r="T526" s="20"/>
      <c r="U526" s="20"/>
      <c r="V526" s="20"/>
      <c r="W526" s="20"/>
      <c r="X526" s="20"/>
      <c r="Y526" s="20"/>
      <c r="Z526" s="20"/>
    </row>
    <row r="527" spans="3:26" ht="17.25" customHeight="1">
      <c r="C527" s="15"/>
      <c r="G527" s="47"/>
      <c r="H527" s="20"/>
      <c r="I527" s="20"/>
      <c r="J527" s="20"/>
      <c r="K527" s="20"/>
      <c r="L527" s="20"/>
      <c r="M527" s="20"/>
      <c r="N527" s="20"/>
      <c r="O527" s="20"/>
      <c r="P527" s="20"/>
      <c r="Q527" s="20"/>
      <c r="R527" s="20"/>
      <c r="S527" s="20"/>
      <c r="T527" s="20"/>
      <c r="U527" s="20"/>
      <c r="V527" s="20"/>
      <c r="W527" s="20"/>
      <c r="X527" s="20"/>
      <c r="Y527" s="20"/>
      <c r="Z527" s="20"/>
    </row>
    <row r="528" spans="3:26" ht="17.25" customHeight="1">
      <c r="C528" s="15"/>
      <c r="G528" s="47"/>
      <c r="H528" s="20"/>
      <c r="I528" s="20"/>
      <c r="J528" s="20"/>
      <c r="K528" s="20"/>
      <c r="L528" s="20"/>
      <c r="M528" s="20"/>
      <c r="N528" s="20"/>
      <c r="O528" s="20"/>
      <c r="P528" s="20"/>
      <c r="Q528" s="20"/>
      <c r="R528" s="20"/>
      <c r="S528" s="20"/>
      <c r="T528" s="20"/>
      <c r="U528" s="20"/>
      <c r="V528" s="20"/>
      <c r="W528" s="20"/>
      <c r="X528" s="20"/>
      <c r="Y528" s="20"/>
      <c r="Z528" s="20"/>
    </row>
    <row r="529" spans="3:26" ht="17.25" customHeight="1">
      <c r="C529" s="15"/>
      <c r="G529" s="47"/>
      <c r="H529" s="20"/>
      <c r="I529" s="20"/>
      <c r="J529" s="20"/>
      <c r="K529" s="20"/>
      <c r="L529" s="20"/>
      <c r="M529" s="20"/>
      <c r="N529" s="20"/>
      <c r="O529" s="20"/>
      <c r="P529" s="20"/>
      <c r="Q529" s="20"/>
      <c r="R529" s="20"/>
      <c r="S529" s="20"/>
      <c r="T529" s="20"/>
      <c r="U529" s="20"/>
      <c r="V529" s="20"/>
      <c r="W529" s="20"/>
      <c r="X529" s="20"/>
      <c r="Y529" s="20"/>
      <c r="Z529" s="20"/>
    </row>
    <row r="530" spans="3:26" ht="17.25" customHeight="1">
      <c r="C530" s="15"/>
      <c r="G530" s="47"/>
      <c r="H530" s="20"/>
      <c r="I530" s="20"/>
      <c r="J530" s="20"/>
      <c r="K530" s="20"/>
      <c r="L530" s="20"/>
      <c r="M530" s="20"/>
      <c r="N530" s="20"/>
      <c r="O530" s="20"/>
      <c r="P530" s="20"/>
      <c r="Q530" s="20"/>
      <c r="R530" s="20"/>
      <c r="S530" s="20"/>
      <c r="T530" s="20"/>
      <c r="U530" s="20"/>
      <c r="V530" s="20"/>
      <c r="W530" s="20"/>
      <c r="X530" s="20"/>
      <c r="Y530" s="20"/>
      <c r="Z530" s="20"/>
    </row>
    <row r="531" spans="3:26" ht="17.25" customHeight="1">
      <c r="C531" s="15"/>
      <c r="G531" s="47"/>
      <c r="H531" s="20"/>
      <c r="I531" s="20"/>
      <c r="J531" s="20"/>
      <c r="K531" s="20"/>
      <c r="L531" s="20"/>
      <c r="M531" s="20"/>
      <c r="N531" s="20"/>
      <c r="O531" s="20"/>
      <c r="P531" s="20"/>
      <c r="Q531" s="20"/>
      <c r="R531" s="20"/>
      <c r="S531" s="20"/>
      <c r="T531" s="20"/>
      <c r="U531" s="20"/>
      <c r="V531" s="20"/>
      <c r="W531" s="20"/>
      <c r="X531" s="20"/>
      <c r="Y531" s="20"/>
      <c r="Z531" s="20"/>
    </row>
    <row r="532" spans="3:26" ht="17.25" customHeight="1">
      <c r="C532" s="15"/>
      <c r="G532" s="47"/>
      <c r="H532" s="20"/>
      <c r="I532" s="20"/>
      <c r="J532" s="20"/>
      <c r="K532" s="20"/>
      <c r="L532" s="20"/>
      <c r="M532" s="20"/>
      <c r="N532" s="20"/>
      <c r="O532" s="20"/>
      <c r="P532" s="20"/>
      <c r="Q532" s="20"/>
      <c r="R532" s="20"/>
      <c r="S532" s="20"/>
      <c r="T532" s="20"/>
      <c r="U532" s="20"/>
      <c r="V532" s="20"/>
      <c r="W532" s="20"/>
      <c r="X532" s="20"/>
      <c r="Y532" s="20"/>
      <c r="Z532" s="20"/>
    </row>
    <row r="533" spans="3:26" ht="17.25" customHeight="1">
      <c r="C533" s="15"/>
      <c r="G533" s="47"/>
      <c r="H533" s="20"/>
      <c r="I533" s="20"/>
      <c r="J533" s="20"/>
      <c r="K533" s="20"/>
      <c r="L533" s="20"/>
      <c r="M533" s="20"/>
      <c r="N533" s="20"/>
      <c r="O533" s="20"/>
      <c r="P533" s="20"/>
      <c r="Q533" s="20"/>
      <c r="R533" s="20"/>
      <c r="S533" s="20"/>
      <c r="T533" s="20"/>
      <c r="U533" s="20"/>
      <c r="V533" s="20"/>
      <c r="W533" s="20"/>
      <c r="X533" s="20"/>
      <c r="Y533" s="20"/>
      <c r="Z533" s="20"/>
    </row>
    <row r="534" spans="3:26" ht="17.25" customHeight="1">
      <c r="C534" s="15"/>
      <c r="G534" s="47"/>
      <c r="H534" s="20"/>
      <c r="I534" s="20"/>
      <c r="J534" s="20"/>
      <c r="K534" s="20"/>
      <c r="L534" s="20"/>
      <c r="M534" s="20"/>
      <c r="N534" s="20"/>
      <c r="O534" s="20"/>
      <c r="P534" s="20"/>
      <c r="Q534" s="20"/>
      <c r="R534" s="20"/>
      <c r="S534" s="20"/>
      <c r="T534" s="20"/>
      <c r="U534" s="20"/>
      <c r="V534" s="20"/>
      <c r="W534" s="20"/>
      <c r="X534" s="20"/>
      <c r="Y534" s="20"/>
      <c r="Z534" s="20"/>
    </row>
    <row r="535" spans="3:26" ht="17.25" customHeight="1">
      <c r="C535" s="15"/>
      <c r="G535" s="47"/>
      <c r="H535" s="20"/>
      <c r="I535" s="20"/>
      <c r="J535" s="20"/>
      <c r="K535" s="20"/>
      <c r="L535" s="20"/>
      <c r="M535" s="20"/>
      <c r="N535" s="20"/>
      <c r="O535" s="20"/>
      <c r="P535" s="20"/>
      <c r="Q535" s="20"/>
      <c r="R535" s="20"/>
      <c r="S535" s="20"/>
      <c r="T535" s="20"/>
      <c r="U535" s="20"/>
      <c r="V535" s="20"/>
      <c r="W535" s="20"/>
      <c r="X535" s="20"/>
      <c r="Y535" s="20"/>
      <c r="Z535" s="20"/>
    </row>
    <row r="536" spans="3:26" ht="17.25" customHeight="1">
      <c r="C536" s="15"/>
      <c r="G536" s="47"/>
      <c r="H536" s="20"/>
      <c r="I536" s="20"/>
      <c r="J536" s="20"/>
      <c r="K536" s="20"/>
      <c r="L536" s="20"/>
      <c r="M536" s="20"/>
      <c r="N536" s="20"/>
      <c r="O536" s="20"/>
      <c r="P536" s="20"/>
      <c r="Q536" s="20"/>
      <c r="R536" s="20"/>
      <c r="S536" s="20"/>
      <c r="T536" s="20"/>
      <c r="U536" s="20"/>
      <c r="V536" s="20"/>
      <c r="W536" s="20"/>
      <c r="X536" s="20"/>
      <c r="Y536" s="20"/>
      <c r="Z536" s="20"/>
    </row>
    <row r="537" spans="3:26" ht="17.25" customHeight="1">
      <c r="C537" s="15"/>
      <c r="G537" s="47"/>
      <c r="H537" s="20"/>
      <c r="I537" s="20"/>
      <c r="J537" s="20"/>
      <c r="K537" s="20"/>
      <c r="L537" s="20"/>
      <c r="M537" s="20"/>
      <c r="N537" s="20"/>
      <c r="O537" s="20"/>
      <c r="P537" s="20"/>
      <c r="Q537" s="20"/>
      <c r="R537" s="20"/>
      <c r="S537" s="20"/>
      <c r="T537" s="20"/>
      <c r="U537" s="20"/>
      <c r="V537" s="20"/>
      <c r="W537" s="20"/>
      <c r="X537" s="20"/>
      <c r="Y537" s="20"/>
      <c r="Z537" s="20"/>
    </row>
    <row r="538" spans="3:26" ht="17.25" customHeight="1">
      <c r="C538" s="15"/>
      <c r="G538" s="47"/>
      <c r="H538" s="20"/>
      <c r="I538" s="20"/>
      <c r="J538" s="20"/>
      <c r="K538" s="20"/>
      <c r="L538" s="20"/>
      <c r="M538" s="20"/>
      <c r="N538" s="20"/>
      <c r="O538" s="20"/>
      <c r="P538" s="20"/>
      <c r="Q538" s="20"/>
      <c r="R538" s="20"/>
      <c r="S538" s="20"/>
      <c r="T538" s="20"/>
      <c r="U538" s="20"/>
      <c r="V538" s="20"/>
      <c r="W538" s="20"/>
      <c r="X538" s="20"/>
      <c r="Y538" s="20"/>
      <c r="Z538" s="20"/>
    </row>
    <row r="539" spans="3:26" ht="17.25" customHeight="1">
      <c r="C539" s="15"/>
      <c r="G539" s="47"/>
      <c r="H539" s="20"/>
      <c r="I539" s="20"/>
      <c r="J539" s="20"/>
      <c r="K539" s="20"/>
      <c r="L539" s="20"/>
      <c r="M539" s="20"/>
      <c r="N539" s="20"/>
      <c r="O539" s="20"/>
      <c r="P539" s="20"/>
      <c r="Q539" s="20"/>
      <c r="R539" s="20"/>
      <c r="S539" s="20"/>
      <c r="T539" s="20"/>
      <c r="U539" s="20"/>
      <c r="V539" s="20"/>
      <c r="W539" s="20"/>
      <c r="X539" s="20"/>
      <c r="Y539" s="20"/>
      <c r="Z539" s="20"/>
    </row>
    <row r="540" spans="3:26" ht="17.25" customHeight="1">
      <c r="C540" s="15"/>
      <c r="G540" s="47"/>
      <c r="H540" s="20"/>
      <c r="I540" s="20"/>
      <c r="J540" s="20"/>
      <c r="K540" s="20"/>
      <c r="L540" s="20"/>
      <c r="M540" s="20"/>
      <c r="N540" s="20"/>
      <c r="O540" s="20"/>
      <c r="P540" s="20"/>
      <c r="Q540" s="20"/>
      <c r="R540" s="20"/>
      <c r="S540" s="20"/>
      <c r="T540" s="20"/>
      <c r="U540" s="20"/>
      <c r="V540" s="20"/>
      <c r="W540" s="20"/>
      <c r="X540" s="20"/>
      <c r="Y540" s="20"/>
      <c r="Z540" s="20"/>
    </row>
    <row r="541" spans="3:26" ht="17.25" customHeight="1">
      <c r="C541" s="15"/>
      <c r="G541" s="47"/>
      <c r="H541" s="20"/>
      <c r="I541" s="20"/>
      <c r="J541" s="20"/>
      <c r="K541" s="20"/>
      <c r="L541" s="20"/>
      <c r="M541" s="20"/>
      <c r="N541" s="20"/>
      <c r="O541" s="20"/>
      <c r="P541" s="20"/>
      <c r="Q541" s="20"/>
      <c r="R541" s="20"/>
      <c r="S541" s="20"/>
      <c r="T541" s="20"/>
      <c r="U541" s="20"/>
      <c r="V541" s="20"/>
      <c r="W541" s="20"/>
      <c r="X541" s="20"/>
      <c r="Y541" s="20"/>
      <c r="Z541" s="20"/>
    </row>
    <row r="542" spans="3:26" ht="17.25" customHeight="1">
      <c r="C542" s="15"/>
      <c r="G542" s="47"/>
      <c r="H542" s="20"/>
      <c r="I542" s="20"/>
      <c r="J542" s="20"/>
      <c r="K542" s="20"/>
      <c r="L542" s="20"/>
      <c r="M542" s="20"/>
      <c r="N542" s="20"/>
      <c r="O542" s="20"/>
      <c r="P542" s="20"/>
      <c r="Q542" s="20"/>
      <c r="R542" s="20"/>
      <c r="S542" s="20"/>
      <c r="T542" s="20"/>
      <c r="U542" s="20"/>
      <c r="V542" s="20"/>
      <c r="W542" s="20"/>
      <c r="X542" s="20"/>
      <c r="Y542" s="20"/>
      <c r="Z542" s="20"/>
    </row>
    <row r="543" spans="3:26" ht="17.25" customHeight="1">
      <c r="C543" s="15"/>
      <c r="G543" s="47"/>
      <c r="H543" s="20"/>
      <c r="I543" s="20"/>
      <c r="J543" s="20"/>
      <c r="K543" s="20"/>
      <c r="L543" s="20"/>
      <c r="M543" s="20"/>
      <c r="N543" s="20"/>
      <c r="O543" s="20"/>
      <c r="P543" s="20"/>
      <c r="Q543" s="20"/>
      <c r="R543" s="20"/>
      <c r="S543" s="20"/>
      <c r="T543" s="20"/>
      <c r="U543" s="20"/>
      <c r="V543" s="20"/>
      <c r="W543" s="20"/>
      <c r="X543" s="20"/>
      <c r="Y543" s="20"/>
      <c r="Z543" s="20"/>
    </row>
    <row r="544" spans="3:26" ht="17.25" customHeight="1">
      <c r="C544" s="15"/>
      <c r="G544" s="47"/>
      <c r="H544" s="20"/>
      <c r="I544" s="20"/>
      <c r="J544" s="20"/>
      <c r="K544" s="20"/>
      <c r="L544" s="20"/>
      <c r="M544" s="20"/>
      <c r="N544" s="20"/>
      <c r="O544" s="20"/>
      <c r="P544" s="20"/>
      <c r="Q544" s="20"/>
      <c r="R544" s="20"/>
      <c r="S544" s="20"/>
      <c r="T544" s="20"/>
      <c r="U544" s="20"/>
      <c r="V544" s="20"/>
      <c r="W544" s="20"/>
      <c r="X544" s="20"/>
      <c r="Y544" s="20"/>
      <c r="Z544" s="20"/>
    </row>
    <row r="545" spans="3:26" ht="17.25" customHeight="1">
      <c r="C545" s="15"/>
      <c r="G545" s="47"/>
      <c r="H545" s="20"/>
      <c r="I545" s="20"/>
      <c r="J545" s="20"/>
      <c r="K545" s="20"/>
      <c r="L545" s="20"/>
      <c r="M545" s="20"/>
      <c r="N545" s="20"/>
      <c r="O545" s="20"/>
      <c r="P545" s="20"/>
      <c r="Q545" s="20"/>
      <c r="R545" s="20"/>
      <c r="S545" s="20"/>
      <c r="T545" s="20"/>
      <c r="U545" s="20"/>
      <c r="V545" s="20"/>
      <c r="W545" s="20"/>
      <c r="X545" s="20"/>
      <c r="Y545" s="20"/>
      <c r="Z545" s="20"/>
    </row>
    <row r="546" spans="3:26" ht="17.25" customHeight="1">
      <c r="C546" s="15"/>
      <c r="G546" s="47"/>
      <c r="H546" s="20"/>
      <c r="I546" s="20"/>
      <c r="J546" s="20"/>
      <c r="K546" s="20"/>
      <c r="L546" s="20"/>
      <c r="M546" s="20"/>
      <c r="N546" s="20"/>
      <c r="O546" s="20"/>
      <c r="P546" s="20"/>
      <c r="Q546" s="20"/>
      <c r="R546" s="20"/>
      <c r="S546" s="20"/>
      <c r="T546" s="20"/>
      <c r="U546" s="20"/>
      <c r="V546" s="20"/>
      <c r="W546" s="20"/>
      <c r="X546" s="20"/>
      <c r="Y546" s="20"/>
      <c r="Z546" s="20"/>
    </row>
    <row r="547" spans="3:26" ht="17.25" customHeight="1">
      <c r="C547" s="15"/>
      <c r="G547" s="47"/>
      <c r="H547" s="20"/>
      <c r="I547" s="20"/>
      <c r="J547" s="20"/>
      <c r="K547" s="20"/>
      <c r="L547" s="20"/>
      <c r="M547" s="20"/>
      <c r="N547" s="20"/>
      <c r="O547" s="20"/>
      <c r="P547" s="20"/>
      <c r="Q547" s="20"/>
      <c r="R547" s="20"/>
      <c r="S547" s="20"/>
      <c r="T547" s="20"/>
      <c r="U547" s="20"/>
      <c r="V547" s="20"/>
      <c r="W547" s="20"/>
      <c r="X547" s="20"/>
      <c r="Y547" s="20"/>
      <c r="Z547" s="20"/>
    </row>
    <row r="548" spans="3:26" ht="17.25" customHeight="1">
      <c r="C548" s="15"/>
      <c r="G548" s="47"/>
      <c r="H548" s="20"/>
      <c r="I548" s="20"/>
      <c r="J548" s="20"/>
      <c r="K548" s="20"/>
      <c r="L548" s="20"/>
      <c r="M548" s="20"/>
      <c r="N548" s="20"/>
      <c r="O548" s="20"/>
      <c r="P548" s="20"/>
      <c r="Q548" s="20"/>
      <c r="R548" s="20"/>
      <c r="S548" s="20"/>
      <c r="T548" s="20"/>
      <c r="U548" s="20"/>
      <c r="V548" s="20"/>
      <c r="W548" s="20"/>
      <c r="X548" s="20"/>
      <c r="Y548" s="20"/>
      <c r="Z548" s="20"/>
    </row>
    <row r="549" spans="3:26" ht="17.25" customHeight="1">
      <c r="C549" s="15"/>
      <c r="G549" s="47"/>
      <c r="H549" s="20"/>
      <c r="I549" s="20"/>
      <c r="J549" s="20"/>
      <c r="K549" s="20"/>
      <c r="L549" s="20"/>
      <c r="M549" s="20"/>
      <c r="N549" s="20"/>
      <c r="O549" s="20"/>
      <c r="P549" s="20"/>
      <c r="Q549" s="20"/>
      <c r="R549" s="20"/>
      <c r="S549" s="20"/>
      <c r="T549" s="20"/>
      <c r="U549" s="20"/>
      <c r="V549" s="20"/>
      <c r="W549" s="20"/>
      <c r="X549" s="20"/>
      <c r="Y549" s="20"/>
      <c r="Z549" s="20"/>
    </row>
    <row r="550" spans="3:26" ht="17.25" customHeight="1">
      <c r="C550" s="15"/>
      <c r="G550" s="47"/>
      <c r="H550" s="20"/>
      <c r="I550" s="20"/>
      <c r="J550" s="20"/>
      <c r="K550" s="20"/>
      <c r="L550" s="20"/>
      <c r="M550" s="20"/>
      <c r="N550" s="20"/>
      <c r="O550" s="20"/>
      <c r="P550" s="20"/>
      <c r="Q550" s="20"/>
      <c r="R550" s="20"/>
      <c r="S550" s="20"/>
      <c r="T550" s="20"/>
      <c r="U550" s="20"/>
      <c r="V550" s="20"/>
      <c r="W550" s="20"/>
      <c r="X550" s="20"/>
      <c r="Y550" s="20"/>
      <c r="Z550" s="20"/>
    </row>
    <row r="551" spans="3:26" ht="17.25" customHeight="1">
      <c r="C551" s="15"/>
      <c r="G551" s="47"/>
      <c r="H551" s="20"/>
      <c r="I551" s="20"/>
      <c r="J551" s="20"/>
      <c r="K551" s="20"/>
      <c r="L551" s="20"/>
      <c r="M551" s="20"/>
      <c r="N551" s="20"/>
      <c r="O551" s="20"/>
      <c r="P551" s="20"/>
      <c r="Q551" s="20"/>
      <c r="R551" s="20"/>
      <c r="S551" s="20"/>
      <c r="T551" s="20"/>
      <c r="U551" s="20"/>
      <c r="V551" s="20"/>
      <c r="W551" s="20"/>
      <c r="X551" s="20"/>
      <c r="Y551" s="20"/>
      <c r="Z551" s="20"/>
    </row>
    <row r="552" spans="3:26" ht="17.25" customHeight="1">
      <c r="C552" s="15"/>
      <c r="G552" s="47"/>
      <c r="H552" s="20"/>
      <c r="I552" s="20"/>
      <c r="J552" s="20"/>
      <c r="K552" s="20"/>
      <c r="L552" s="20"/>
      <c r="M552" s="20"/>
      <c r="N552" s="20"/>
      <c r="O552" s="20"/>
      <c r="P552" s="20"/>
      <c r="Q552" s="20"/>
      <c r="R552" s="20"/>
      <c r="S552" s="20"/>
      <c r="T552" s="20"/>
      <c r="U552" s="20"/>
      <c r="V552" s="20"/>
      <c r="W552" s="20"/>
      <c r="X552" s="20"/>
      <c r="Y552" s="20"/>
      <c r="Z552" s="20"/>
    </row>
    <row r="553" spans="3:26" ht="17.25" customHeight="1">
      <c r="C553" s="15"/>
      <c r="G553" s="47"/>
      <c r="H553" s="20"/>
      <c r="I553" s="20"/>
      <c r="J553" s="20"/>
      <c r="K553" s="20"/>
      <c r="L553" s="20"/>
      <c r="M553" s="20"/>
      <c r="N553" s="20"/>
      <c r="O553" s="20"/>
      <c r="P553" s="20"/>
      <c r="Q553" s="20"/>
      <c r="R553" s="20"/>
      <c r="S553" s="20"/>
      <c r="T553" s="20"/>
      <c r="U553" s="20"/>
      <c r="V553" s="20"/>
      <c r="W553" s="20"/>
      <c r="X553" s="20"/>
      <c r="Y553" s="20"/>
      <c r="Z553" s="20"/>
    </row>
    <row r="554" spans="3:26" ht="17.25" customHeight="1">
      <c r="C554" s="15"/>
      <c r="G554" s="47"/>
      <c r="H554" s="20"/>
      <c r="I554" s="20"/>
      <c r="J554" s="20"/>
      <c r="K554" s="20"/>
      <c r="L554" s="20"/>
      <c r="M554" s="20"/>
      <c r="N554" s="20"/>
      <c r="O554" s="20"/>
      <c r="P554" s="20"/>
      <c r="Q554" s="20"/>
      <c r="R554" s="20"/>
      <c r="S554" s="20"/>
      <c r="T554" s="20"/>
      <c r="U554" s="20"/>
      <c r="V554" s="20"/>
      <c r="W554" s="20"/>
      <c r="X554" s="20"/>
      <c r="Y554" s="20"/>
      <c r="Z554" s="20"/>
    </row>
    <row r="555" spans="3:26" ht="17.25" customHeight="1">
      <c r="C555" s="15"/>
      <c r="G555" s="47"/>
      <c r="H555" s="20"/>
      <c r="I555" s="20"/>
      <c r="J555" s="20"/>
      <c r="K555" s="20"/>
      <c r="L555" s="20"/>
      <c r="M555" s="20"/>
      <c r="N555" s="20"/>
      <c r="O555" s="20"/>
      <c r="P555" s="20"/>
      <c r="Q555" s="20"/>
      <c r="R555" s="20"/>
      <c r="S555" s="20"/>
      <c r="T555" s="20"/>
      <c r="U555" s="20"/>
      <c r="V555" s="20"/>
      <c r="W555" s="20"/>
      <c r="X555" s="20"/>
      <c r="Y555" s="20"/>
      <c r="Z555" s="20"/>
    </row>
    <row r="556" spans="3:26" ht="17.25" customHeight="1">
      <c r="C556" s="15"/>
      <c r="G556" s="47"/>
      <c r="H556" s="20"/>
      <c r="I556" s="20"/>
      <c r="J556" s="20"/>
      <c r="K556" s="20"/>
      <c r="L556" s="20"/>
      <c r="M556" s="20"/>
      <c r="N556" s="20"/>
      <c r="O556" s="20"/>
      <c r="P556" s="20"/>
      <c r="Q556" s="20"/>
      <c r="R556" s="20"/>
      <c r="S556" s="20"/>
      <c r="T556" s="20"/>
      <c r="U556" s="20"/>
      <c r="V556" s="20"/>
      <c r="W556" s="20"/>
      <c r="X556" s="20"/>
      <c r="Y556" s="20"/>
      <c r="Z556" s="20"/>
    </row>
    <row r="557" spans="3:26" ht="17.25" customHeight="1">
      <c r="C557" s="15"/>
      <c r="G557" s="47"/>
      <c r="H557" s="20"/>
      <c r="I557" s="20"/>
      <c r="J557" s="20"/>
      <c r="K557" s="20"/>
      <c r="L557" s="20"/>
      <c r="M557" s="20"/>
      <c r="N557" s="20"/>
      <c r="O557" s="20"/>
      <c r="P557" s="20"/>
      <c r="Q557" s="20"/>
      <c r="R557" s="20"/>
      <c r="S557" s="20"/>
      <c r="T557" s="20"/>
      <c r="U557" s="20"/>
      <c r="V557" s="20"/>
      <c r="W557" s="20"/>
      <c r="X557" s="20"/>
      <c r="Y557" s="20"/>
      <c r="Z557" s="20"/>
    </row>
    <row r="558" spans="3:26" ht="17.25" customHeight="1">
      <c r="C558" s="15"/>
      <c r="G558" s="47"/>
      <c r="H558" s="20"/>
      <c r="I558" s="20"/>
      <c r="J558" s="20"/>
      <c r="K558" s="20"/>
      <c r="L558" s="20"/>
      <c r="M558" s="20"/>
      <c r="N558" s="20"/>
      <c r="O558" s="20"/>
      <c r="P558" s="20"/>
      <c r="Q558" s="20"/>
      <c r="R558" s="20"/>
      <c r="S558" s="20"/>
      <c r="T558" s="20"/>
      <c r="U558" s="20"/>
      <c r="V558" s="20"/>
      <c r="W558" s="20"/>
      <c r="X558" s="20"/>
      <c r="Y558" s="20"/>
      <c r="Z558" s="20"/>
    </row>
    <row r="559" spans="3:26" ht="17.25" customHeight="1">
      <c r="C559" s="15"/>
      <c r="G559" s="47"/>
      <c r="H559" s="20"/>
      <c r="I559" s="20"/>
      <c r="J559" s="20"/>
      <c r="K559" s="20"/>
      <c r="L559" s="20"/>
      <c r="M559" s="20"/>
      <c r="N559" s="20"/>
      <c r="O559" s="20"/>
      <c r="P559" s="20"/>
      <c r="Q559" s="20"/>
      <c r="R559" s="20"/>
      <c r="S559" s="20"/>
      <c r="T559" s="20"/>
      <c r="U559" s="20"/>
      <c r="V559" s="20"/>
      <c r="W559" s="20"/>
      <c r="X559" s="20"/>
      <c r="Y559" s="20"/>
      <c r="Z559" s="20"/>
    </row>
    <row r="560" spans="3:26" ht="17.25" customHeight="1">
      <c r="C560" s="15"/>
      <c r="G560" s="47"/>
      <c r="H560" s="20"/>
      <c r="I560" s="20"/>
      <c r="J560" s="20"/>
      <c r="K560" s="20"/>
      <c r="L560" s="20"/>
      <c r="M560" s="20"/>
      <c r="N560" s="20"/>
      <c r="O560" s="20"/>
      <c r="P560" s="20"/>
      <c r="Q560" s="20"/>
      <c r="R560" s="20"/>
      <c r="S560" s="20"/>
      <c r="T560" s="20"/>
      <c r="U560" s="20"/>
      <c r="V560" s="20"/>
      <c r="W560" s="20"/>
      <c r="X560" s="20"/>
      <c r="Y560" s="20"/>
      <c r="Z560" s="20"/>
    </row>
    <row r="561" spans="3:26" ht="17.25" customHeight="1">
      <c r="C561" s="15"/>
      <c r="G561" s="47"/>
      <c r="H561" s="20"/>
      <c r="I561" s="20"/>
      <c r="J561" s="20"/>
      <c r="K561" s="20"/>
      <c r="L561" s="20"/>
      <c r="M561" s="20"/>
      <c r="N561" s="20"/>
      <c r="O561" s="20"/>
      <c r="P561" s="20"/>
      <c r="Q561" s="20"/>
      <c r="R561" s="20"/>
      <c r="S561" s="20"/>
      <c r="T561" s="20"/>
      <c r="U561" s="20"/>
      <c r="V561" s="20"/>
      <c r="W561" s="20"/>
      <c r="X561" s="20"/>
      <c r="Y561" s="20"/>
      <c r="Z561" s="20"/>
    </row>
    <row r="562" spans="3:26" ht="17.25" customHeight="1">
      <c r="C562" s="15"/>
      <c r="G562" s="47"/>
      <c r="H562" s="20"/>
      <c r="I562" s="20"/>
      <c r="J562" s="20"/>
      <c r="K562" s="20"/>
      <c r="L562" s="20"/>
      <c r="M562" s="20"/>
      <c r="N562" s="20"/>
      <c r="O562" s="20"/>
      <c r="P562" s="20"/>
      <c r="Q562" s="20"/>
      <c r="R562" s="20"/>
      <c r="S562" s="20"/>
      <c r="T562" s="20"/>
      <c r="U562" s="20"/>
      <c r="V562" s="20"/>
      <c r="W562" s="20"/>
      <c r="X562" s="20"/>
      <c r="Y562" s="20"/>
      <c r="Z562" s="20"/>
    </row>
    <row r="563" spans="3:26" ht="17.25" customHeight="1">
      <c r="C563" s="15"/>
      <c r="G563" s="47"/>
      <c r="H563" s="20"/>
      <c r="I563" s="20"/>
      <c r="J563" s="20"/>
      <c r="K563" s="20"/>
      <c r="L563" s="20"/>
      <c r="M563" s="20"/>
      <c r="N563" s="20"/>
      <c r="O563" s="20"/>
      <c r="P563" s="20"/>
      <c r="Q563" s="20"/>
      <c r="R563" s="20"/>
      <c r="S563" s="20"/>
      <c r="T563" s="20"/>
      <c r="U563" s="20"/>
      <c r="V563" s="20"/>
      <c r="W563" s="20"/>
      <c r="X563" s="20"/>
      <c r="Y563" s="20"/>
      <c r="Z563" s="20"/>
    </row>
    <row r="564" spans="3:26" ht="17.25" customHeight="1">
      <c r="C564" s="15"/>
      <c r="G564" s="47"/>
      <c r="H564" s="20"/>
      <c r="I564" s="20"/>
      <c r="J564" s="20"/>
      <c r="K564" s="20"/>
      <c r="L564" s="20"/>
      <c r="M564" s="20"/>
      <c r="N564" s="20"/>
      <c r="O564" s="20"/>
      <c r="P564" s="20"/>
      <c r="Q564" s="20"/>
      <c r="R564" s="20"/>
      <c r="S564" s="20"/>
      <c r="T564" s="20"/>
      <c r="U564" s="20"/>
      <c r="V564" s="20"/>
      <c r="W564" s="20"/>
      <c r="X564" s="20"/>
      <c r="Y564" s="20"/>
      <c r="Z564" s="20"/>
    </row>
    <row r="565" spans="3:26" ht="17.25" customHeight="1">
      <c r="C565" s="15"/>
      <c r="G565" s="47"/>
      <c r="H565" s="20"/>
      <c r="I565" s="20"/>
      <c r="J565" s="20"/>
      <c r="K565" s="20"/>
      <c r="L565" s="20"/>
      <c r="M565" s="20"/>
      <c r="N565" s="20"/>
      <c r="O565" s="20"/>
      <c r="P565" s="20"/>
      <c r="Q565" s="20"/>
      <c r="R565" s="20"/>
      <c r="S565" s="20"/>
      <c r="T565" s="20"/>
      <c r="U565" s="20"/>
      <c r="V565" s="20"/>
      <c r="W565" s="20"/>
      <c r="X565" s="20"/>
      <c r="Y565" s="20"/>
      <c r="Z565" s="20"/>
    </row>
    <row r="566" spans="3:26" ht="17.25" customHeight="1">
      <c r="C566" s="15"/>
      <c r="G566" s="47"/>
      <c r="H566" s="20"/>
      <c r="I566" s="20"/>
      <c r="J566" s="20"/>
      <c r="K566" s="20"/>
      <c r="L566" s="20"/>
      <c r="M566" s="20"/>
      <c r="N566" s="20"/>
      <c r="O566" s="20"/>
      <c r="P566" s="20"/>
      <c r="Q566" s="20"/>
      <c r="R566" s="20"/>
      <c r="S566" s="20"/>
      <c r="T566" s="20"/>
      <c r="U566" s="20"/>
      <c r="V566" s="20"/>
      <c r="W566" s="20"/>
      <c r="X566" s="20"/>
      <c r="Y566" s="20"/>
      <c r="Z566" s="20"/>
    </row>
    <row r="567" spans="3:26" ht="17.25" customHeight="1">
      <c r="C567" s="15"/>
      <c r="G567" s="47"/>
      <c r="H567" s="20"/>
      <c r="I567" s="20"/>
      <c r="J567" s="20"/>
      <c r="K567" s="20"/>
      <c r="L567" s="20"/>
      <c r="M567" s="20"/>
      <c r="N567" s="20"/>
      <c r="O567" s="20"/>
      <c r="P567" s="20"/>
      <c r="Q567" s="20"/>
      <c r="R567" s="20"/>
      <c r="S567" s="20"/>
      <c r="T567" s="20"/>
      <c r="U567" s="20"/>
      <c r="V567" s="20"/>
      <c r="W567" s="20"/>
      <c r="X567" s="20"/>
      <c r="Y567" s="20"/>
      <c r="Z567" s="20"/>
    </row>
    <row r="568" spans="3:26" ht="17.25" customHeight="1">
      <c r="C568" s="15"/>
      <c r="G568" s="47"/>
      <c r="H568" s="20"/>
      <c r="I568" s="20"/>
      <c r="J568" s="20"/>
      <c r="K568" s="20"/>
      <c r="L568" s="20"/>
      <c r="M568" s="20"/>
      <c r="N568" s="20"/>
      <c r="O568" s="20"/>
      <c r="P568" s="20"/>
      <c r="Q568" s="20"/>
      <c r="R568" s="20"/>
      <c r="S568" s="20"/>
      <c r="T568" s="20"/>
      <c r="U568" s="20"/>
      <c r="V568" s="20"/>
      <c r="W568" s="20"/>
      <c r="X568" s="20"/>
      <c r="Y568" s="20"/>
      <c r="Z568" s="20"/>
    </row>
    <row r="569" spans="3:26" ht="17.25" customHeight="1">
      <c r="C569" s="15"/>
      <c r="G569" s="47"/>
      <c r="H569" s="20"/>
      <c r="I569" s="20"/>
      <c r="J569" s="20"/>
      <c r="K569" s="20"/>
      <c r="L569" s="20"/>
      <c r="M569" s="20"/>
      <c r="N569" s="20"/>
      <c r="O569" s="20"/>
      <c r="P569" s="20"/>
      <c r="Q569" s="20"/>
      <c r="R569" s="20"/>
      <c r="S569" s="20"/>
      <c r="T569" s="20"/>
      <c r="U569" s="20"/>
      <c r="V569" s="20"/>
      <c r="W569" s="20"/>
      <c r="X569" s="20"/>
      <c r="Y569" s="20"/>
      <c r="Z569" s="20"/>
    </row>
    <row r="570" spans="3:26" ht="17.25" customHeight="1">
      <c r="C570" s="15"/>
      <c r="G570" s="47"/>
      <c r="H570" s="20"/>
      <c r="I570" s="20"/>
      <c r="J570" s="20"/>
      <c r="K570" s="20"/>
      <c r="L570" s="20"/>
      <c r="M570" s="20"/>
      <c r="N570" s="20"/>
      <c r="O570" s="20"/>
      <c r="P570" s="20"/>
      <c r="Q570" s="20"/>
      <c r="R570" s="20"/>
      <c r="S570" s="20"/>
      <c r="T570" s="20"/>
      <c r="U570" s="20"/>
      <c r="V570" s="20"/>
      <c r="W570" s="20"/>
      <c r="X570" s="20"/>
      <c r="Y570" s="20"/>
      <c r="Z570" s="20"/>
    </row>
    <row r="571" spans="3:26" ht="17.25" customHeight="1">
      <c r="C571" s="15"/>
      <c r="G571" s="47"/>
      <c r="H571" s="20"/>
      <c r="I571" s="20"/>
      <c r="J571" s="20"/>
      <c r="K571" s="20"/>
      <c r="L571" s="20"/>
      <c r="M571" s="20"/>
      <c r="N571" s="20"/>
      <c r="O571" s="20"/>
      <c r="P571" s="20"/>
      <c r="Q571" s="20"/>
      <c r="R571" s="20"/>
      <c r="S571" s="20"/>
      <c r="T571" s="20"/>
      <c r="U571" s="20"/>
      <c r="V571" s="20"/>
      <c r="W571" s="20"/>
      <c r="X571" s="20"/>
      <c r="Y571" s="20"/>
      <c r="Z571" s="20"/>
    </row>
    <row r="572" spans="3:26" ht="17.25" customHeight="1">
      <c r="C572" s="15"/>
      <c r="G572" s="47"/>
      <c r="H572" s="20"/>
      <c r="I572" s="20"/>
      <c r="J572" s="20"/>
      <c r="K572" s="20"/>
      <c r="L572" s="20"/>
      <c r="M572" s="20"/>
      <c r="N572" s="20"/>
      <c r="O572" s="20"/>
      <c r="P572" s="20"/>
      <c r="Q572" s="20"/>
      <c r="R572" s="20"/>
      <c r="S572" s="20"/>
      <c r="T572" s="20"/>
      <c r="U572" s="20"/>
      <c r="V572" s="20"/>
      <c r="W572" s="20"/>
      <c r="X572" s="20"/>
      <c r="Y572" s="20"/>
      <c r="Z572" s="20"/>
    </row>
    <row r="573" spans="3:26" ht="17.25" customHeight="1">
      <c r="C573" s="15"/>
      <c r="G573" s="47"/>
      <c r="H573" s="20"/>
      <c r="I573" s="20"/>
      <c r="J573" s="20"/>
      <c r="K573" s="20"/>
      <c r="L573" s="20"/>
      <c r="M573" s="20"/>
      <c r="N573" s="20"/>
      <c r="O573" s="20"/>
      <c r="P573" s="20"/>
      <c r="Q573" s="20"/>
      <c r="R573" s="20"/>
      <c r="S573" s="20"/>
      <c r="T573" s="20"/>
      <c r="U573" s="20"/>
      <c r="V573" s="20"/>
      <c r="W573" s="20"/>
      <c r="X573" s="20"/>
      <c r="Y573" s="20"/>
      <c r="Z573" s="20"/>
    </row>
    <row r="574" spans="3:26" ht="17.25" customHeight="1">
      <c r="C574" s="15"/>
      <c r="G574" s="47"/>
      <c r="H574" s="20"/>
      <c r="I574" s="20"/>
      <c r="J574" s="20"/>
      <c r="K574" s="20"/>
      <c r="L574" s="20"/>
      <c r="M574" s="20"/>
      <c r="N574" s="20"/>
      <c r="O574" s="20"/>
      <c r="P574" s="20"/>
      <c r="Q574" s="20"/>
      <c r="R574" s="20"/>
      <c r="S574" s="20"/>
      <c r="T574" s="20"/>
      <c r="U574" s="20"/>
      <c r="V574" s="20"/>
      <c r="W574" s="20"/>
      <c r="X574" s="20"/>
      <c r="Y574" s="20"/>
      <c r="Z574" s="20"/>
    </row>
    <row r="575" spans="3:26" ht="17.25" customHeight="1">
      <c r="C575" s="15"/>
      <c r="G575" s="47"/>
      <c r="H575" s="20"/>
      <c r="I575" s="20"/>
      <c r="J575" s="20"/>
      <c r="K575" s="20"/>
      <c r="L575" s="20"/>
      <c r="M575" s="20"/>
      <c r="N575" s="20"/>
      <c r="O575" s="20"/>
      <c r="P575" s="20"/>
      <c r="Q575" s="20"/>
      <c r="R575" s="20"/>
      <c r="S575" s="20"/>
      <c r="T575" s="20"/>
      <c r="U575" s="20"/>
      <c r="V575" s="20"/>
      <c r="W575" s="20"/>
      <c r="X575" s="20"/>
      <c r="Y575" s="20"/>
      <c r="Z575" s="20"/>
    </row>
    <row r="576" spans="3:26" ht="17.25" customHeight="1">
      <c r="C576" s="15"/>
      <c r="G576" s="47"/>
      <c r="H576" s="20"/>
      <c r="I576" s="20"/>
      <c r="J576" s="20"/>
      <c r="K576" s="20"/>
      <c r="L576" s="20"/>
      <c r="M576" s="20"/>
      <c r="N576" s="20"/>
      <c r="O576" s="20"/>
      <c r="P576" s="20"/>
      <c r="Q576" s="20"/>
      <c r="R576" s="20"/>
      <c r="S576" s="20"/>
      <c r="T576" s="20"/>
      <c r="U576" s="20"/>
      <c r="V576" s="20"/>
      <c r="W576" s="20"/>
      <c r="X576" s="20"/>
      <c r="Y576" s="20"/>
      <c r="Z576" s="20"/>
    </row>
    <row r="577" spans="3:26" ht="17.25" customHeight="1">
      <c r="C577" s="15"/>
      <c r="G577" s="47"/>
      <c r="H577" s="20"/>
      <c r="I577" s="20"/>
      <c r="J577" s="20"/>
      <c r="K577" s="20"/>
      <c r="L577" s="20"/>
      <c r="M577" s="20"/>
      <c r="N577" s="20"/>
      <c r="O577" s="20"/>
      <c r="P577" s="20"/>
      <c r="Q577" s="20"/>
      <c r="R577" s="20"/>
      <c r="S577" s="20"/>
      <c r="T577" s="20"/>
      <c r="U577" s="20"/>
      <c r="V577" s="20"/>
      <c r="W577" s="20"/>
      <c r="X577" s="20"/>
      <c r="Y577" s="20"/>
      <c r="Z577" s="20"/>
    </row>
    <row r="578" spans="3:26" ht="17.25" customHeight="1">
      <c r="C578" s="15"/>
      <c r="G578" s="47"/>
      <c r="H578" s="20"/>
      <c r="I578" s="20"/>
      <c r="J578" s="20"/>
      <c r="K578" s="20"/>
      <c r="L578" s="20"/>
      <c r="M578" s="20"/>
      <c r="N578" s="20"/>
      <c r="O578" s="20"/>
      <c r="P578" s="20"/>
      <c r="Q578" s="20"/>
      <c r="R578" s="20"/>
      <c r="S578" s="20"/>
      <c r="T578" s="20"/>
      <c r="U578" s="20"/>
      <c r="V578" s="20"/>
      <c r="W578" s="20"/>
      <c r="X578" s="20"/>
      <c r="Y578" s="20"/>
      <c r="Z578" s="20"/>
    </row>
    <row r="579" spans="3:26" ht="17.25" customHeight="1">
      <c r="C579" s="15"/>
      <c r="G579" s="47"/>
      <c r="H579" s="20"/>
      <c r="I579" s="20"/>
      <c r="J579" s="20"/>
      <c r="K579" s="20"/>
      <c r="L579" s="20"/>
      <c r="M579" s="20"/>
      <c r="N579" s="20"/>
      <c r="O579" s="20"/>
      <c r="P579" s="20"/>
      <c r="Q579" s="20"/>
      <c r="R579" s="20"/>
      <c r="S579" s="20"/>
      <c r="T579" s="20"/>
      <c r="U579" s="20"/>
      <c r="V579" s="20"/>
      <c r="W579" s="20"/>
      <c r="X579" s="20"/>
      <c r="Y579" s="20"/>
      <c r="Z579" s="20"/>
    </row>
    <row r="580" spans="3:26" ht="17.25" customHeight="1">
      <c r="C580" s="15"/>
      <c r="G580" s="47"/>
      <c r="H580" s="20"/>
      <c r="I580" s="20"/>
      <c r="J580" s="20"/>
      <c r="K580" s="20"/>
      <c r="L580" s="20"/>
      <c r="M580" s="20"/>
      <c r="N580" s="20"/>
      <c r="O580" s="20"/>
      <c r="P580" s="20"/>
      <c r="Q580" s="20"/>
      <c r="R580" s="20"/>
      <c r="S580" s="20"/>
      <c r="T580" s="20"/>
      <c r="U580" s="20"/>
      <c r="V580" s="20"/>
      <c r="W580" s="20"/>
      <c r="X580" s="20"/>
      <c r="Y580" s="20"/>
      <c r="Z580" s="20"/>
    </row>
    <row r="581" spans="3:26" ht="17.25" customHeight="1">
      <c r="C581" s="15"/>
      <c r="G581" s="47"/>
      <c r="H581" s="20"/>
      <c r="I581" s="20"/>
      <c r="J581" s="20"/>
      <c r="K581" s="20"/>
      <c r="L581" s="20"/>
      <c r="M581" s="20"/>
      <c r="N581" s="20"/>
      <c r="O581" s="20"/>
      <c r="P581" s="20"/>
      <c r="Q581" s="20"/>
      <c r="R581" s="20"/>
      <c r="S581" s="20"/>
      <c r="T581" s="20"/>
      <c r="U581" s="20"/>
      <c r="V581" s="20"/>
      <c r="W581" s="20"/>
      <c r="X581" s="20"/>
      <c r="Y581" s="20"/>
      <c r="Z581" s="20"/>
    </row>
    <row r="582" spans="3:26" ht="17.25" customHeight="1">
      <c r="C582" s="15"/>
      <c r="G582" s="47"/>
      <c r="H582" s="20"/>
      <c r="I582" s="20"/>
      <c r="J582" s="20"/>
      <c r="K582" s="20"/>
      <c r="L582" s="20"/>
      <c r="M582" s="20"/>
      <c r="N582" s="20"/>
      <c r="O582" s="20"/>
      <c r="P582" s="20"/>
      <c r="Q582" s="20"/>
      <c r="R582" s="20"/>
      <c r="S582" s="20"/>
      <c r="T582" s="20"/>
      <c r="U582" s="20"/>
      <c r="V582" s="20"/>
      <c r="W582" s="20"/>
      <c r="X582" s="20"/>
      <c r="Y582" s="20"/>
      <c r="Z582" s="20"/>
    </row>
    <row r="583" spans="3:26" ht="17.25" customHeight="1">
      <c r="C583" s="15"/>
      <c r="G583" s="47"/>
      <c r="H583" s="20"/>
      <c r="I583" s="20"/>
      <c r="J583" s="20"/>
      <c r="K583" s="20"/>
      <c r="L583" s="20"/>
      <c r="M583" s="20"/>
      <c r="N583" s="20"/>
      <c r="O583" s="20"/>
      <c r="P583" s="20"/>
      <c r="Q583" s="20"/>
      <c r="R583" s="20"/>
      <c r="S583" s="20"/>
      <c r="T583" s="20"/>
      <c r="U583" s="20"/>
      <c r="V583" s="20"/>
      <c r="W583" s="20"/>
      <c r="X583" s="20"/>
      <c r="Y583" s="20"/>
      <c r="Z583" s="20"/>
    </row>
    <row r="584" spans="3:26" ht="17.25" customHeight="1">
      <c r="C584" s="15"/>
      <c r="G584" s="47"/>
      <c r="H584" s="20"/>
      <c r="I584" s="20"/>
      <c r="J584" s="20"/>
      <c r="K584" s="20"/>
      <c r="L584" s="20"/>
      <c r="M584" s="20"/>
      <c r="N584" s="20"/>
      <c r="O584" s="20"/>
      <c r="P584" s="20"/>
      <c r="Q584" s="20"/>
      <c r="R584" s="20"/>
      <c r="S584" s="20"/>
      <c r="T584" s="20"/>
      <c r="U584" s="20"/>
      <c r="V584" s="20"/>
      <c r="W584" s="20"/>
      <c r="X584" s="20"/>
      <c r="Y584" s="20"/>
      <c r="Z584" s="20"/>
    </row>
    <row r="585" spans="3:26" ht="17.25" customHeight="1">
      <c r="C585" s="15"/>
      <c r="G585" s="47"/>
      <c r="H585" s="20"/>
      <c r="I585" s="20"/>
      <c r="J585" s="20"/>
      <c r="K585" s="20"/>
      <c r="L585" s="20"/>
      <c r="M585" s="20"/>
      <c r="N585" s="20"/>
      <c r="O585" s="20"/>
      <c r="P585" s="20"/>
      <c r="Q585" s="20"/>
      <c r="R585" s="20"/>
      <c r="S585" s="20"/>
      <c r="T585" s="20"/>
      <c r="U585" s="20"/>
      <c r="V585" s="20"/>
      <c r="W585" s="20"/>
      <c r="X585" s="20"/>
      <c r="Y585" s="20"/>
      <c r="Z585" s="20"/>
    </row>
    <row r="586" spans="3:26" ht="17.25" customHeight="1">
      <c r="C586" s="15"/>
      <c r="G586" s="47"/>
      <c r="H586" s="20"/>
      <c r="I586" s="20"/>
      <c r="J586" s="20"/>
      <c r="K586" s="20"/>
      <c r="L586" s="20"/>
      <c r="M586" s="20"/>
      <c r="N586" s="20"/>
      <c r="O586" s="20"/>
      <c r="P586" s="20"/>
      <c r="Q586" s="20"/>
      <c r="R586" s="20"/>
      <c r="S586" s="20"/>
      <c r="T586" s="20"/>
      <c r="U586" s="20"/>
      <c r="V586" s="20"/>
      <c r="W586" s="20"/>
      <c r="X586" s="20"/>
      <c r="Y586" s="20"/>
      <c r="Z586" s="20"/>
    </row>
    <row r="587" spans="3:26" ht="17.25" customHeight="1">
      <c r="C587" s="15"/>
      <c r="G587" s="47"/>
      <c r="H587" s="20"/>
      <c r="I587" s="20"/>
      <c r="J587" s="20"/>
      <c r="K587" s="20"/>
      <c r="L587" s="20"/>
      <c r="M587" s="20"/>
      <c r="N587" s="20"/>
      <c r="O587" s="20"/>
      <c r="P587" s="20"/>
      <c r="Q587" s="20"/>
      <c r="R587" s="20"/>
      <c r="S587" s="20"/>
      <c r="T587" s="20"/>
      <c r="U587" s="20"/>
      <c r="V587" s="20"/>
      <c r="W587" s="20"/>
      <c r="X587" s="20"/>
      <c r="Y587" s="20"/>
      <c r="Z587" s="20"/>
    </row>
    <row r="588" spans="3:26" ht="17.25" customHeight="1">
      <c r="C588" s="15"/>
      <c r="G588" s="47"/>
      <c r="H588" s="20"/>
      <c r="I588" s="20"/>
      <c r="J588" s="20"/>
      <c r="K588" s="20"/>
      <c r="L588" s="20"/>
      <c r="M588" s="20"/>
      <c r="N588" s="20"/>
      <c r="O588" s="20"/>
      <c r="P588" s="20"/>
      <c r="Q588" s="20"/>
      <c r="R588" s="20"/>
      <c r="S588" s="20"/>
      <c r="T588" s="20"/>
      <c r="U588" s="20"/>
      <c r="V588" s="20"/>
      <c r="W588" s="20"/>
      <c r="X588" s="20"/>
      <c r="Y588" s="20"/>
      <c r="Z588" s="20"/>
    </row>
    <row r="589" spans="3:26" ht="17.25" customHeight="1">
      <c r="C589" s="15"/>
      <c r="G589" s="47"/>
      <c r="H589" s="20"/>
      <c r="I589" s="20"/>
      <c r="J589" s="20"/>
      <c r="K589" s="20"/>
      <c r="L589" s="20"/>
      <c r="M589" s="20"/>
      <c r="N589" s="20"/>
      <c r="O589" s="20"/>
      <c r="P589" s="20"/>
      <c r="Q589" s="20"/>
      <c r="R589" s="20"/>
      <c r="S589" s="20"/>
      <c r="T589" s="20"/>
      <c r="U589" s="20"/>
      <c r="V589" s="20"/>
      <c r="W589" s="20"/>
      <c r="X589" s="20"/>
      <c r="Y589" s="20"/>
      <c r="Z589" s="20"/>
    </row>
    <row r="590" spans="3:26" ht="17.25" customHeight="1">
      <c r="C590" s="15"/>
      <c r="G590" s="47"/>
      <c r="H590" s="20"/>
      <c r="I590" s="20"/>
      <c r="J590" s="20"/>
      <c r="K590" s="20"/>
      <c r="L590" s="20"/>
      <c r="M590" s="20"/>
      <c r="N590" s="20"/>
      <c r="O590" s="20"/>
      <c r="P590" s="20"/>
      <c r="Q590" s="20"/>
      <c r="R590" s="20"/>
      <c r="S590" s="20"/>
      <c r="T590" s="20"/>
      <c r="U590" s="20"/>
      <c r="V590" s="20"/>
      <c r="W590" s="20"/>
      <c r="X590" s="20"/>
      <c r="Y590" s="20"/>
      <c r="Z590" s="20"/>
    </row>
    <row r="591" spans="3:26" ht="17.25" customHeight="1">
      <c r="C591" s="15"/>
      <c r="G591" s="47"/>
      <c r="H591" s="20"/>
      <c r="I591" s="20"/>
      <c r="J591" s="20"/>
      <c r="K591" s="20"/>
      <c r="L591" s="20"/>
      <c r="M591" s="20"/>
      <c r="N591" s="20"/>
      <c r="O591" s="20"/>
      <c r="P591" s="20"/>
      <c r="Q591" s="20"/>
      <c r="R591" s="20"/>
      <c r="S591" s="20"/>
      <c r="T591" s="20"/>
      <c r="U591" s="20"/>
      <c r="V591" s="20"/>
      <c r="W591" s="20"/>
      <c r="X591" s="20"/>
      <c r="Y591" s="20"/>
      <c r="Z591" s="20"/>
    </row>
    <row r="592" spans="3:26" ht="17.25" customHeight="1">
      <c r="C592" s="15"/>
      <c r="G592" s="47"/>
      <c r="H592" s="20"/>
      <c r="I592" s="20"/>
      <c r="J592" s="20"/>
      <c r="K592" s="20"/>
      <c r="L592" s="20"/>
      <c r="M592" s="20"/>
      <c r="N592" s="20"/>
      <c r="O592" s="20"/>
      <c r="P592" s="20"/>
      <c r="Q592" s="20"/>
      <c r="R592" s="20"/>
      <c r="S592" s="20"/>
      <c r="T592" s="20"/>
      <c r="U592" s="20"/>
      <c r="V592" s="20"/>
      <c r="W592" s="20"/>
      <c r="X592" s="20"/>
      <c r="Y592" s="20"/>
      <c r="Z592" s="20"/>
    </row>
    <row r="593" spans="3:26" ht="17.25" customHeight="1">
      <c r="C593" s="15"/>
      <c r="G593" s="47"/>
      <c r="H593" s="20"/>
      <c r="I593" s="20"/>
      <c r="J593" s="20"/>
      <c r="K593" s="20"/>
      <c r="L593" s="20"/>
      <c r="M593" s="20"/>
      <c r="N593" s="20"/>
      <c r="O593" s="20"/>
      <c r="P593" s="20"/>
      <c r="Q593" s="20"/>
      <c r="R593" s="20"/>
      <c r="S593" s="20"/>
      <c r="T593" s="20"/>
      <c r="U593" s="20"/>
      <c r="V593" s="20"/>
      <c r="W593" s="20"/>
      <c r="X593" s="20"/>
      <c r="Y593" s="20"/>
      <c r="Z593" s="20"/>
    </row>
    <row r="594" spans="3:26" ht="17.25" customHeight="1">
      <c r="C594" s="15"/>
      <c r="G594" s="47"/>
      <c r="H594" s="20"/>
      <c r="I594" s="20"/>
      <c r="J594" s="20"/>
      <c r="K594" s="20"/>
      <c r="L594" s="20"/>
      <c r="M594" s="20"/>
      <c r="N594" s="20"/>
      <c r="O594" s="20"/>
      <c r="P594" s="20"/>
      <c r="Q594" s="20"/>
      <c r="R594" s="20"/>
      <c r="S594" s="20"/>
      <c r="T594" s="20"/>
      <c r="U594" s="20"/>
      <c r="V594" s="20"/>
      <c r="W594" s="20"/>
      <c r="X594" s="20"/>
      <c r="Y594" s="20"/>
      <c r="Z594" s="20"/>
    </row>
    <row r="595" spans="3:26" ht="17.25" customHeight="1">
      <c r="C595" s="15"/>
      <c r="G595" s="47"/>
      <c r="H595" s="20"/>
      <c r="I595" s="20"/>
      <c r="J595" s="20"/>
      <c r="K595" s="20"/>
      <c r="L595" s="20"/>
      <c r="M595" s="20"/>
      <c r="N595" s="20"/>
      <c r="O595" s="20"/>
      <c r="P595" s="20"/>
      <c r="Q595" s="20"/>
      <c r="R595" s="20"/>
      <c r="S595" s="20"/>
      <c r="T595" s="20"/>
      <c r="U595" s="20"/>
      <c r="V595" s="20"/>
      <c r="W595" s="20"/>
      <c r="X595" s="20"/>
      <c r="Y595" s="20"/>
      <c r="Z595" s="20"/>
    </row>
    <row r="596" spans="3:26" ht="17.25" customHeight="1">
      <c r="C596" s="15"/>
      <c r="G596" s="47"/>
      <c r="H596" s="20"/>
      <c r="I596" s="20"/>
      <c r="J596" s="20"/>
      <c r="K596" s="20"/>
      <c r="L596" s="20"/>
      <c r="M596" s="20"/>
      <c r="N596" s="20"/>
      <c r="O596" s="20"/>
      <c r="P596" s="20"/>
      <c r="Q596" s="20"/>
      <c r="R596" s="20"/>
      <c r="S596" s="20"/>
      <c r="T596" s="20"/>
      <c r="U596" s="20"/>
      <c r="V596" s="20"/>
      <c r="W596" s="20"/>
      <c r="X596" s="20"/>
      <c r="Y596" s="20"/>
      <c r="Z596" s="20"/>
    </row>
    <row r="597" spans="3:26" ht="17.25" customHeight="1">
      <c r="C597" s="15"/>
      <c r="G597" s="47"/>
      <c r="H597" s="20"/>
      <c r="I597" s="20"/>
      <c r="J597" s="20"/>
      <c r="K597" s="20"/>
      <c r="L597" s="20"/>
      <c r="M597" s="20"/>
      <c r="N597" s="20"/>
      <c r="O597" s="20"/>
      <c r="P597" s="20"/>
      <c r="Q597" s="20"/>
      <c r="R597" s="20"/>
      <c r="S597" s="20"/>
      <c r="T597" s="20"/>
      <c r="U597" s="20"/>
      <c r="V597" s="20"/>
      <c r="W597" s="20"/>
      <c r="X597" s="20"/>
      <c r="Y597" s="20"/>
      <c r="Z597" s="20"/>
    </row>
    <row r="598" spans="3:26" ht="17.25" customHeight="1">
      <c r="C598" s="15"/>
      <c r="G598" s="47"/>
      <c r="H598" s="20"/>
      <c r="I598" s="20"/>
      <c r="J598" s="20"/>
      <c r="K598" s="20"/>
      <c r="L598" s="20"/>
      <c r="M598" s="20"/>
      <c r="N598" s="20"/>
      <c r="O598" s="20"/>
      <c r="P598" s="20"/>
      <c r="Q598" s="20"/>
      <c r="R598" s="20"/>
      <c r="S598" s="20"/>
      <c r="T598" s="20"/>
      <c r="U598" s="20"/>
      <c r="V598" s="20"/>
      <c r="W598" s="20"/>
      <c r="X598" s="20"/>
      <c r="Y598" s="20"/>
      <c r="Z598" s="20"/>
    </row>
    <row r="599" spans="3:26" ht="17.25" customHeight="1">
      <c r="C599" s="15"/>
      <c r="G599" s="47"/>
      <c r="H599" s="20"/>
      <c r="I599" s="20"/>
      <c r="J599" s="20"/>
      <c r="K599" s="20"/>
      <c r="L599" s="20"/>
      <c r="M599" s="20"/>
      <c r="N599" s="20"/>
      <c r="O599" s="20"/>
      <c r="P599" s="20"/>
      <c r="Q599" s="20"/>
      <c r="R599" s="20"/>
      <c r="S599" s="20"/>
      <c r="T599" s="20"/>
      <c r="U599" s="20"/>
      <c r="V599" s="20"/>
      <c r="W599" s="20"/>
      <c r="X599" s="20"/>
      <c r="Y599" s="20"/>
      <c r="Z599" s="20"/>
    </row>
    <row r="600" spans="3:26" ht="17.25" customHeight="1">
      <c r="C600" s="15"/>
      <c r="G600" s="47"/>
      <c r="H600" s="20"/>
      <c r="I600" s="20"/>
      <c r="J600" s="20"/>
      <c r="K600" s="20"/>
      <c r="L600" s="20"/>
      <c r="M600" s="20"/>
      <c r="N600" s="20"/>
      <c r="O600" s="20"/>
      <c r="P600" s="20"/>
      <c r="Q600" s="20"/>
      <c r="R600" s="20"/>
      <c r="S600" s="20"/>
      <c r="T600" s="20"/>
      <c r="U600" s="20"/>
      <c r="V600" s="20"/>
      <c r="W600" s="20"/>
      <c r="X600" s="20"/>
      <c r="Y600" s="20"/>
      <c r="Z600" s="20"/>
    </row>
    <row r="601" spans="3:26" ht="17.25" customHeight="1">
      <c r="C601" s="15"/>
      <c r="G601" s="47"/>
      <c r="H601" s="20"/>
      <c r="I601" s="20"/>
      <c r="J601" s="20"/>
      <c r="K601" s="20"/>
      <c r="L601" s="20"/>
      <c r="M601" s="20"/>
      <c r="N601" s="20"/>
      <c r="O601" s="20"/>
      <c r="P601" s="20"/>
      <c r="Q601" s="20"/>
      <c r="R601" s="20"/>
      <c r="S601" s="20"/>
      <c r="T601" s="20"/>
      <c r="U601" s="20"/>
      <c r="V601" s="20"/>
      <c r="W601" s="20"/>
      <c r="X601" s="20"/>
      <c r="Y601" s="20"/>
      <c r="Z601" s="20"/>
    </row>
    <row r="602" spans="3:26" ht="17.25" customHeight="1">
      <c r="C602" s="15"/>
      <c r="G602" s="47"/>
      <c r="H602" s="20"/>
      <c r="I602" s="20"/>
      <c r="J602" s="20"/>
      <c r="K602" s="20"/>
      <c r="L602" s="20"/>
      <c r="M602" s="20"/>
      <c r="N602" s="20"/>
      <c r="O602" s="20"/>
      <c r="P602" s="20"/>
      <c r="Q602" s="20"/>
      <c r="R602" s="20"/>
      <c r="S602" s="20"/>
      <c r="T602" s="20"/>
      <c r="U602" s="20"/>
      <c r="V602" s="20"/>
      <c r="W602" s="20"/>
      <c r="X602" s="20"/>
      <c r="Y602" s="20"/>
      <c r="Z602" s="20"/>
    </row>
    <row r="603" spans="3:26" ht="17.25" customHeight="1">
      <c r="C603" s="15"/>
      <c r="G603" s="47"/>
      <c r="H603" s="20"/>
      <c r="I603" s="20"/>
      <c r="J603" s="20"/>
      <c r="K603" s="20"/>
      <c r="L603" s="20"/>
      <c r="M603" s="20"/>
      <c r="N603" s="20"/>
      <c r="O603" s="20"/>
      <c r="P603" s="20"/>
      <c r="Q603" s="20"/>
      <c r="R603" s="20"/>
      <c r="S603" s="20"/>
      <c r="T603" s="20"/>
      <c r="U603" s="20"/>
      <c r="V603" s="20"/>
      <c r="W603" s="20"/>
      <c r="X603" s="20"/>
      <c r="Y603" s="20"/>
      <c r="Z603" s="20"/>
    </row>
    <row r="604" spans="3:26" ht="17.25" customHeight="1">
      <c r="C604" s="15"/>
      <c r="G604" s="47"/>
      <c r="H604" s="20"/>
      <c r="I604" s="20"/>
      <c r="J604" s="20"/>
      <c r="K604" s="20"/>
      <c r="L604" s="20"/>
      <c r="M604" s="20"/>
      <c r="N604" s="20"/>
      <c r="O604" s="20"/>
      <c r="P604" s="20"/>
      <c r="Q604" s="20"/>
      <c r="R604" s="20"/>
      <c r="S604" s="20"/>
      <c r="T604" s="20"/>
      <c r="U604" s="20"/>
      <c r="V604" s="20"/>
      <c r="W604" s="20"/>
      <c r="X604" s="20"/>
      <c r="Y604" s="20"/>
      <c r="Z604" s="20"/>
    </row>
    <row r="605" spans="3:26" ht="17.25" customHeight="1">
      <c r="C605" s="15"/>
      <c r="G605" s="47"/>
      <c r="H605" s="20"/>
      <c r="I605" s="20"/>
      <c r="J605" s="20"/>
      <c r="K605" s="20"/>
      <c r="L605" s="20"/>
      <c r="M605" s="20"/>
      <c r="N605" s="20"/>
      <c r="O605" s="20"/>
      <c r="P605" s="20"/>
      <c r="Q605" s="20"/>
      <c r="R605" s="20"/>
      <c r="S605" s="20"/>
      <c r="T605" s="20"/>
      <c r="U605" s="20"/>
      <c r="V605" s="20"/>
      <c r="W605" s="20"/>
      <c r="X605" s="20"/>
      <c r="Y605" s="20"/>
      <c r="Z605" s="20"/>
    </row>
    <row r="606" spans="3:26" ht="17.25" customHeight="1">
      <c r="C606" s="15"/>
      <c r="G606" s="47"/>
      <c r="H606" s="20"/>
      <c r="I606" s="20"/>
      <c r="J606" s="20"/>
      <c r="K606" s="20"/>
      <c r="L606" s="20"/>
      <c r="M606" s="20"/>
      <c r="N606" s="20"/>
      <c r="O606" s="20"/>
      <c r="P606" s="20"/>
      <c r="Q606" s="20"/>
      <c r="R606" s="20"/>
      <c r="S606" s="20"/>
      <c r="T606" s="20"/>
      <c r="U606" s="20"/>
      <c r="V606" s="20"/>
      <c r="W606" s="20"/>
      <c r="X606" s="20"/>
      <c r="Y606" s="20"/>
      <c r="Z606" s="20"/>
    </row>
    <row r="607" spans="3:26" ht="17.25" customHeight="1">
      <c r="C607" s="15"/>
      <c r="G607" s="47"/>
      <c r="H607" s="20"/>
      <c r="I607" s="20"/>
      <c r="J607" s="20"/>
      <c r="K607" s="20"/>
      <c r="L607" s="20"/>
      <c r="M607" s="20"/>
      <c r="N607" s="20"/>
      <c r="O607" s="20"/>
      <c r="P607" s="20"/>
      <c r="Q607" s="20"/>
      <c r="R607" s="20"/>
      <c r="S607" s="20"/>
      <c r="T607" s="20"/>
      <c r="U607" s="20"/>
      <c r="V607" s="20"/>
      <c r="W607" s="20"/>
      <c r="X607" s="20"/>
      <c r="Y607" s="20"/>
      <c r="Z607" s="20"/>
    </row>
    <row r="608" spans="3:26" ht="17.25" customHeight="1">
      <c r="C608" s="15"/>
      <c r="G608" s="47"/>
      <c r="H608" s="20"/>
      <c r="I608" s="20"/>
      <c r="J608" s="20"/>
      <c r="K608" s="20"/>
      <c r="L608" s="20"/>
      <c r="M608" s="20"/>
      <c r="N608" s="20"/>
      <c r="O608" s="20"/>
      <c r="P608" s="20"/>
      <c r="Q608" s="20"/>
      <c r="R608" s="20"/>
      <c r="S608" s="20"/>
      <c r="T608" s="20"/>
      <c r="U608" s="20"/>
      <c r="V608" s="20"/>
      <c r="W608" s="20"/>
      <c r="X608" s="20"/>
      <c r="Y608" s="20"/>
      <c r="Z608" s="20"/>
    </row>
    <row r="609" spans="3:26" ht="17.25" customHeight="1">
      <c r="C609" s="15"/>
      <c r="G609" s="47"/>
      <c r="H609" s="20"/>
      <c r="I609" s="20"/>
      <c r="J609" s="20"/>
      <c r="K609" s="20"/>
      <c r="L609" s="20"/>
      <c r="M609" s="20"/>
      <c r="N609" s="20"/>
      <c r="O609" s="20"/>
      <c r="P609" s="20"/>
      <c r="Q609" s="20"/>
      <c r="R609" s="20"/>
      <c r="S609" s="20"/>
      <c r="T609" s="20"/>
      <c r="U609" s="20"/>
      <c r="V609" s="20"/>
      <c r="W609" s="20"/>
      <c r="X609" s="20"/>
      <c r="Y609" s="20"/>
      <c r="Z609" s="20"/>
    </row>
    <row r="610" spans="3:26" ht="17.25" customHeight="1">
      <c r="C610" s="15"/>
      <c r="G610" s="47"/>
      <c r="H610" s="20"/>
      <c r="I610" s="20"/>
      <c r="J610" s="20"/>
      <c r="K610" s="20"/>
      <c r="L610" s="20"/>
      <c r="M610" s="20"/>
      <c r="N610" s="20"/>
      <c r="O610" s="20"/>
      <c r="P610" s="20"/>
      <c r="Q610" s="20"/>
      <c r="R610" s="20"/>
      <c r="S610" s="20"/>
      <c r="T610" s="20"/>
      <c r="U610" s="20"/>
      <c r="V610" s="20"/>
      <c r="W610" s="20"/>
      <c r="X610" s="20"/>
      <c r="Y610" s="20"/>
      <c r="Z610" s="20"/>
    </row>
    <row r="611" spans="3:26" ht="17.25" customHeight="1">
      <c r="C611" s="15"/>
      <c r="G611" s="47"/>
      <c r="H611" s="20"/>
      <c r="I611" s="20"/>
      <c r="J611" s="20"/>
      <c r="K611" s="20"/>
      <c r="L611" s="20"/>
      <c r="M611" s="20"/>
      <c r="N611" s="20"/>
      <c r="O611" s="20"/>
      <c r="P611" s="20"/>
      <c r="Q611" s="20"/>
      <c r="R611" s="20"/>
      <c r="S611" s="20"/>
      <c r="T611" s="20"/>
      <c r="U611" s="20"/>
      <c r="V611" s="20"/>
      <c r="W611" s="20"/>
      <c r="X611" s="20"/>
      <c r="Y611" s="20"/>
      <c r="Z611" s="20"/>
    </row>
    <row r="612" spans="3:26" ht="17.25" customHeight="1">
      <c r="C612" s="15"/>
      <c r="G612" s="47"/>
      <c r="H612" s="20"/>
      <c r="I612" s="20"/>
      <c r="J612" s="20"/>
      <c r="K612" s="20"/>
      <c r="L612" s="20"/>
      <c r="M612" s="20"/>
      <c r="N612" s="20"/>
      <c r="O612" s="20"/>
      <c r="P612" s="20"/>
      <c r="Q612" s="20"/>
      <c r="R612" s="20"/>
      <c r="S612" s="20"/>
      <c r="T612" s="20"/>
      <c r="U612" s="20"/>
      <c r="V612" s="20"/>
      <c r="W612" s="20"/>
      <c r="X612" s="20"/>
      <c r="Y612" s="20"/>
      <c r="Z612" s="20"/>
    </row>
    <row r="613" spans="3:26" ht="17.25" customHeight="1">
      <c r="C613" s="15"/>
      <c r="G613" s="47"/>
      <c r="H613" s="20"/>
      <c r="I613" s="20"/>
      <c r="J613" s="20"/>
      <c r="K613" s="20"/>
      <c r="L613" s="20"/>
      <c r="M613" s="20"/>
      <c r="N613" s="20"/>
      <c r="O613" s="20"/>
      <c r="P613" s="20"/>
      <c r="Q613" s="20"/>
      <c r="R613" s="20"/>
      <c r="S613" s="20"/>
      <c r="T613" s="20"/>
      <c r="U613" s="20"/>
      <c r="V613" s="20"/>
      <c r="W613" s="20"/>
      <c r="X613" s="20"/>
      <c r="Y613" s="20"/>
      <c r="Z613" s="20"/>
    </row>
    <row r="614" spans="3:26" ht="17.25" customHeight="1">
      <c r="C614" s="15"/>
      <c r="G614" s="47"/>
      <c r="H614" s="20"/>
      <c r="I614" s="20"/>
      <c r="J614" s="20"/>
      <c r="K614" s="20"/>
      <c r="L614" s="20"/>
      <c r="M614" s="20"/>
      <c r="N614" s="20"/>
      <c r="O614" s="20"/>
      <c r="P614" s="20"/>
      <c r="Q614" s="20"/>
      <c r="R614" s="20"/>
      <c r="S614" s="20"/>
      <c r="T614" s="20"/>
      <c r="U614" s="20"/>
      <c r="V614" s="20"/>
      <c r="W614" s="20"/>
      <c r="X614" s="20"/>
      <c r="Y614" s="20"/>
      <c r="Z614" s="20"/>
    </row>
    <row r="615" spans="3:26" ht="17.25" customHeight="1">
      <c r="C615" s="15"/>
      <c r="G615" s="47"/>
      <c r="H615" s="20"/>
      <c r="I615" s="20"/>
      <c r="J615" s="20"/>
      <c r="K615" s="20"/>
      <c r="L615" s="20"/>
      <c r="M615" s="20"/>
      <c r="N615" s="20"/>
      <c r="O615" s="20"/>
      <c r="P615" s="20"/>
      <c r="Q615" s="20"/>
      <c r="R615" s="20"/>
      <c r="S615" s="20"/>
      <c r="T615" s="20"/>
      <c r="U615" s="20"/>
      <c r="V615" s="20"/>
      <c r="W615" s="20"/>
      <c r="X615" s="20"/>
      <c r="Y615" s="20"/>
      <c r="Z615" s="20"/>
    </row>
    <row r="616" spans="3:26" ht="17.25" customHeight="1">
      <c r="C616" s="15"/>
      <c r="G616" s="47"/>
      <c r="H616" s="20"/>
      <c r="I616" s="20"/>
      <c r="J616" s="20"/>
      <c r="K616" s="20"/>
      <c r="L616" s="20"/>
      <c r="M616" s="20"/>
      <c r="N616" s="20"/>
      <c r="O616" s="20"/>
      <c r="P616" s="20"/>
      <c r="Q616" s="20"/>
      <c r="R616" s="20"/>
      <c r="S616" s="20"/>
      <c r="T616" s="20"/>
      <c r="U616" s="20"/>
      <c r="V616" s="20"/>
      <c r="W616" s="20"/>
      <c r="X616" s="20"/>
      <c r="Y616" s="20"/>
      <c r="Z616" s="20"/>
    </row>
    <row r="617" spans="3:26" ht="17.25" customHeight="1">
      <c r="C617" s="15"/>
      <c r="G617" s="47"/>
      <c r="H617" s="20"/>
      <c r="I617" s="20"/>
      <c r="J617" s="20"/>
      <c r="K617" s="20"/>
      <c r="L617" s="20"/>
      <c r="M617" s="20"/>
      <c r="N617" s="20"/>
      <c r="O617" s="20"/>
      <c r="P617" s="20"/>
      <c r="Q617" s="20"/>
      <c r="R617" s="20"/>
      <c r="S617" s="20"/>
      <c r="T617" s="20"/>
      <c r="U617" s="20"/>
      <c r="V617" s="20"/>
      <c r="W617" s="20"/>
      <c r="X617" s="20"/>
      <c r="Y617" s="20"/>
      <c r="Z617" s="20"/>
    </row>
    <row r="618" spans="3:26" ht="17.25" customHeight="1">
      <c r="C618" s="15"/>
      <c r="G618" s="47"/>
      <c r="H618" s="20"/>
      <c r="I618" s="20"/>
      <c r="J618" s="20"/>
      <c r="K618" s="20"/>
      <c r="L618" s="20"/>
      <c r="M618" s="20"/>
      <c r="N618" s="20"/>
      <c r="O618" s="20"/>
      <c r="P618" s="20"/>
      <c r="Q618" s="20"/>
      <c r="R618" s="20"/>
      <c r="S618" s="20"/>
      <c r="T618" s="20"/>
      <c r="U618" s="20"/>
      <c r="V618" s="20"/>
      <c r="W618" s="20"/>
      <c r="X618" s="20"/>
      <c r="Y618" s="20"/>
      <c r="Z618" s="20"/>
    </row>
    <row r="619" spans="3:26" ht="17.25" customHeight="1">
      <c r="C619" s="15"/>
      <c r="G619" s="47"/>
      <c r="H619" s="20"/>
      <c r="I619" s="20"/>
      <c r="J619" s="20"/>
      <c r="K619" s="20"/>
      <c r="L619" s="20"/>
      <c r="M619" s="20"/>
      <c r="N619" s="20"/>
      <c r="O619" s="20"/>
      <c r="P619" s="20"/>
      <c r="Q619" s="20"/>
      <c r="R619" s="20"/>
      <c r="S619" s="20"/>
      <c r="T619" s="20"/>
      <c r="U619" s="20"/>
      <c r="V619" s="20"/>
      <c r="W619" s="20"/>
      <c r="X619" s="20"/>
      <c r="Y619" s="20"/>
      <c r="Z619" s="20"/>
    </row>
    <row r="620" spans="3:26" ht="17.25" customHeight="1">
      <c r="C620" s="15"/>
      <c r="G620" s="47"/>
      <c r="H620" s="20"/>
      <c r="I620" s="20"/>
      <c r="J620" s="20"/>
      <c r="K620" s="20"/>
      <c r="L620" s="20"/>
      <c r="M620" s="20"/>
      <c r="N620" s="20"/>
      <c r="O620" s="20"/>
      <c r="P620" s="20"/>
      <c r="Q620" s="20"/>
      <c r="R620" s="20"/>
      <c r="S620" s="20"/>
      <c r="T620" s="20"/>
      <c r="U620" s="20"/>
      <c r="V620" s="20"/>
      <c r="W620" s="20"/>
      <c r="X620" s="20"/>
      <c r="Y620" s="20"/>
      <c r="Z620" s="20"/>
    </row>
    <row r="621" spans="3:26" ht="17.25" customHeight="1">
      <c r="C621" s="15"/>
      <c r="G621" s="47"/>
      <c r="H621" s="20"/>
      <c r="I621" s="20"/>
      <c r="J621" s="20"/>
      <c r="K621" s="20"/>
      <c r="L621" s="20"/>
      <c r="M621" s="20"/>
      <c r="N621" s="20"/>
      <c r="O621" s="20"/>
      <c r="P621" s="20"/>
      <c r="Q621" s="20"/>
      <c r="R621" s="20"/>
      <c r="S621" s="20"/>
      <c r="T621" s="20"/>
      <c r="U621" s="20"/>
      <c r="V621" s="20"/>
      <c r="W621" s="20"/>
      <c r="X621" s="20"/>
      <c r="Y621" s="20"/>
      <c r="Z621" s="20"/>
    </row>
    <row r="622" spans="3:26" ht="17.25" customHeight="1">
      <c r="C622" s="15"/>
      <c r="G622" s="47"/>
      <c r="H622" s="20"/>
      <c r="I622" s="20"/>
      <c r="J622" s="20"/>
      <c r="K622" s="20"/>
      <c r="L622" s="20"/>
      <c r="M622" s="20"/>
      <c r="N622" s="20"/>
      <c r="O622" s="20"/>
      <c r="P622" s="20"/>
      <c r="Q622" s="20"/>
      <c r="R622" s="20"/>
      <c r="S622" s="20"/>
      <c r="T622" s="20"/>
      <c r="U622" s="20"/>
      <c r="V622" s="20"/>
      <c r="W622" s="20"/>
      <c r="X622" s="20"/>
      <c r="Y622" s="20"/>
      <c r="Z622" s="20"/>
    </row>
    <row r="623" spans="3:26" ht="17.25" customHeight="1">
      <c r="C623" s="15"/>
      <c r="G623" s="47"/>
      <c r="H623" s="20"/>
      <c r="I623" s="20"/>
      <c r="J623" s="20"/>
      <c r="K623" s="20"/>
      <c r="L623" s="20"/>
      <c r="M623" s="20"/>
      <c r="N623" s="20"/>
      <c r="O623" s="20"/>
      <c r="P623" s="20"/>
      <c r="Q623" s="20"/>
      <c r="R623" s="20"/>
      <c r="S623" s="20"/>
      <c r="T623" s="20"/>
      <c r="U623" s="20"/>
      <c r="V623" s="20"/>
      <c r="W623" s="20"/>
      <c r="X623" s="20"/>
      <c r="Y623" s="20"/>
      <c r="Z623" s="20"/>
    </row>
    <row r="624" spans="3:26" ht="17.25" customHeight="1">
      <c r="C624" s="15"/>
      <c r="G624" s="47"/>
      <c r="H624" s="20"/>
      <c r="I624" s="20"/>
      <c r="J624" s="20"/>
      <c r="K624" s="20"/>
      <c r="L624" s="20"/>
      <c r="M624" s="20"/>
      <c r="N624" s="20"/>
      <c r="O624" s="20"/>
      <c r="P624" s="20"/>
      <c r="Q624" s="20"/>
      <c r="R624" s="20"/>
      <c r="S624" s="20"/>
      <c r="T624" s="20"/>
      <c r="U624" s="20"/>
      <c r="V624" s="20"/>
      <c r="W624" s="20"/>
      <c r="X624" s="20"/>
      <c r="Y624" s="20"/>
      <c r="Z624" s="20"/>
    </row>
    <row r="625" spans="3:26" ht="17.25" customHeight="1">
      <c r="C625" s="15"/>
      <c r="G625" s="47"/>
      <c r="H625" s="20"/>
      <c r="I625" s="20"/>
      <c r="J625" s="20"/>
      <c r="K625" s="20"/>
      <c r="L625" s="20"/>
      <c r="M625" s="20"/>
      <c r="N625" s="20"/>
      <c r="O625" s="20"/>
      <c r="P625" s="20"/>
      <c r="Q625" s="20"/>
      <c r="R625" s="20"/>
      <c r="S625" s="20"/>
      <c r="T625" s="20"/>
      <c r="U625" s="20"/>
      <c r="V625" s="20"/>
      <c r="W625" s="20"/>
      <c r="X625" s="20"/>
      <c r="Y625" s="20"/>
      <c r="Z625" s="20"/>
    </row>
    <row r="626" spans="3:26" ht="17.25" customHeight="1">
      <c r="C626" s="15"/>
      <c r="G626" s="47"/>
      <c r="H626" s="20"/>
      <c r="I626" s="20"/>
      <c r="J626" s="20"/>
      <c r="K626" s="20"/>
      <c r="L626" s="20"/>
      <c r="M626" s="20"/>
      <c r="N626" s="20"/>
      <c r="O626" s="20"/>
      <c r="P626" s="20"/>
      <c r="Q626" s="20"/>
      <c r="R626" s="20"/>
      <c r="S626" s="20"/>
      <c r="T626" s="20"/>
      <c r="U626" s="20"/>
      <c r="V626" s="20"/>
      <c r="W626" s="20"/>
      <c r="X626" s="20"/>
      <c r="Y626" s="20"/>
      <c r="Z626" s="20"/>
    </row>
    <row r="627" spans="3:26" ht="17.25" customHeight="1">
      <c r="C627" s="15"/>
      <c r="G627" s="47"/>
      <c r="H627" s="20"/>
      <c r="I627" s="20"/>
      <c r="J627" s="20"/>
      <c r="K627" s="20"/>
      <c r="L627" s="20"/>
      <c r="M627" s="20"/>
      <c r="N627" s="20"/>
      <c r="O627" s="20"/>
      <c r="P627" s="20"/>
      <c r="Q627" s="20"/>
      <c r="R627" s="20"/>
      <c r="S627" s="20"/>
      <c r="T627" s="20"/>
      <c r="U627" s="20"/>
      <c r="V627" s="20"/>
      <c r="W627" s="20"/>
      <c r="X627" s="20"/>
      <c r="Y627" s="20"/>
      <c r="Z627" s="20"/>
    </row>
    <row r="628" spans="3:26" ht="17.25" customHeight="1">
      <c r="C628" s="15"/>
      <c r="G628" s="47"/>
      <c r="H628" s="20"/>
      <c r="I628" s="20"/>
      <c r="J628" s="20"/>
      <c r="K628" s="20"/>
      <c r="L628" s="20"/>
      <c r="M628" s="20"/>
      <c r="N628" s="20"/>
      <c r="O628" s="20"/>
      <c r="P628" s="20"/>
      <c r="Q628" s="20"/>
      <c r="R628" s="20"/>
      <c r="S628" s="20"/>
      <c r="T628" s="20"/>
      <c r="U628" s="20"/>
      <c r="V628" s="20"/>
      <c r="W628" s="20"/>
      <c r="X628" s="20"/>
      <c r="Y628" s="20"/>
      <c r="Z628" s="20"/>
    </row>
    <row r="629" spans="3:26" ht="17.25" customHeight="1">
      <c r="C629" s="15"/>
      <c r="G629" s="47"/>
      <c r="H629" s="20"/>
      <c r="I629" s="20"/>
      <c r="J629" s="20"/>
      <c r="K629" s="20"/>
      <c r="L629" s="20"/>
      <c r="M629" s="20"/>
      <c r="N629" s="20"/>
      <c r="O629" s="20"/>
      <c r="P629" s="20"/>
      <c r="Q629" s="20"/>
      <c r="R629" s="20"/>
      <c r="S629" s="20"/>
      <c r="T629" s="20"/>
      <c r="U629" s="20"/>
      <c r="V629" s="20"/>
      <c r="W629" s="20"/>
      <c r="X629" s="20"/>
      <c r="Y629" s="20"/>
      <c r="Z629" s="20"/>
    </row>
    <row r="630" spans="3:26" ht="17.25" customHeight="1">
      <c r="C630" s="15"/>
      <c r="G630" s="47"/>
      <c r="H630" s="20"/>
      <c r="I630" s="20"/>
      <c r="J630" s="20"/>
      <c r="K630" s="20"/>
      <c r="L630" s="20"/>
      <c r="M630" s="20"/>
      <c r="N630" s="20"/>
      <c r="O630" s="20"/>
      <c r="P630" s="20"/>
      <c r="Q630" s="20"/>
      <c r="R630" s="20"/>
      <c r="S630" s="20"/>
      <c r="T630" s="20"/>
      <c r="U630" s="20"/>
      <c r="V630" s="20"/>
      <c r="W630" s="20"/>
      <c r="X630" s="20"/>
      <c r="Y630" s="20"/>
      <c r="Z630" s="20"/>
    </row>
    <row r="631" spans="3:26" ht="17.25" customHeight="1">
      <c r="C631" s="15"/>
      <c r="G631" s="47"/>
      <c r="H631" s="20"/>
      <c r="I631" s="20"/>
      <c r="J631" s="20"/>
      <c r="K631" s="20"/>
      <c r="L631" s="20"/>
      <c r="M631" s="20"/>
      <c r="N631" s="20"/>
      <c r="O631" s="20"/>
      <c r="P631" s="20"/>
      <c r="Q631" s="20"/>
      <c r="R631" s="20"/>
      <c r="S631" s="20"/>
      <c r="T631" s="20"/>
      <c r="U631" s="20"/>
      <c r="V631" s="20"/>
      <c r="W631" s="20"/>
      <c r="X631" s="20"/>
      <c r="Y631" s="20"/>
      <c r="Z631" s="20"/>
    </row>
    <row r="632" spans="3:26" ht="17.25" customHeight="1">
      <c r="C632" s="15"/>
      <c r="G632" s="47"/>
      <c r="H632" s="20"/>
      <c r="I632" s="20"/>
      <c r="J632" s="20"/>
      <c r="K632" s="20"/>
      <c r="L632" s="20"/>
      <c r="M632" s="20"/>
      <c r="N632" s="20"/>
      <c r="O632" s="20"/>
      <c r="P632" s="20"/>
      <c r="Q632" s="20"/>
      <c r="R632" s="20"/>
      <c r="S632" s="20"/>
      <c r="T632" s="20"/>
      <c r="U632" s="20"/>
      <c r="V632" s="20"/>
      <c r="W632" s="20"/>
      <c r="X632" s="20"/>
      <c r="Y632" s="20"/>
      <c r="Z632" s="20"/>
    </row>
    <row r="633" spans="3:26" ht="17.25" customHeight="1">
      <c r="C633" s="15"/>
      <c r="G633" s="47"/>
      <c r="H633" s="20"/>
      <c r="I633" s="20"/>
      <c r="J633" s="20"/>
      <c r="K633" s="20"/>
      <c r="L633" s="20"/>
      <c r="M633" s="20"/>
      <c r="N633" s="20"/>
      <c r="O633" s="20"/>
      <c r="P633" s="20"/>
      <c r="Q633" s="20"/>
      <c r="R633" s="20"/>
      <c r="S633" s="20"/>
      <c r="T633" s="20"/>
      <c r="U633" s="20"/>
      <c r="V633" s="20"/>
      <c r="W633" s="20"/>
      <c r="X633" s="20"/>
      <c r="Y633" s="20"/>
      <c r="Z633" s="20"/>
    </row>
    <row r="634" spans="3:26" ht="17.25" customHeight="1">
      <c r="C634" s="15"/>
      <c r="G634" s="47"/>
      <c r="H634" s="20"/>
      <c r="I634" s="20"/>
      <c r="J634" s="20"/>
      <c r="K634" s="20"/>
      <c r="L634" s="20"/>
      <c r="M634" s="20"/>
      <c r="N634" s="20"/>
      <c r="O634" s="20"/>
      <c r="P634" s="20"/>
      <c r="Q634" s="20"/>
      <c r="R634" s="20"/>
      <c r="S634" s="20"/>
      <c r="T634" s="20"/>
      <c r="U634" s="20"/>
      <c r="V634" s="20"/>
      <c r="W634" s="20"/>
      <c r="X634" s="20"/>
      <c r="Y634" s="20"/>
      <c r="Z634" s="20"/>
    </row>
    <row r="635" spans="3:26" ht="17.25" customHeight="1">
      <c r="C635" s="15"/>
      <c r="G635" s="47"/>
      <c r="H635" s="20"/>
      <c r="I635" s="20"/>
      <c r="J635" s="20"/>
      <c r="K635" s="20"/>
      <c r="L635" s="20"/>
      <c r="M635" s="20"/>
      <c r="N635" s="20"/>
      <c r="O635" s="20"/>
      <c r="P635" s="20"/>
      <c r="Q635" s="20"/>
      <c r="R635" s="20"/>
      <c r="S635" s="20"/>
      <c r="T635" s="20"/>
      <c r="U635" s="20"/>
      <c r="V635" s="20"/>
      <c r="W635" s="20"/>
      <c r="X635" s="20"/>
      <c r="Y635" s="20"/>
      <c r="Z635" s="20"/>
    </row>
    <row r="636" spans="3:26" ht="17.25" customHeight="1">
      <c r="C636" s="15"/>
      <c r="G636" s="47"/>
      <c r="H636" s="20"/>
      <c r="I636" s="20"/>
      <c r="J636" s="20"/>
      <c r="K636" s="20"/>
      <c r="L636" s="20"/>
      <c r="M636" s="20"/>
      <c r="N636" s="20"/>
      <c r="O636" s="20"/>
      <c r="P636" s="20"/>
      <c r="Q636" s="20"/>
      <c r="R636" s="20"/>
      <c r="S636" s="20"/>
      <c r="T636" s="20"/>
      <c r="U636" s="20"/>
      <c r="V636" s="20"/>
      <c r="W636" s="20"/>
      <c r="X636" s="20"/>
      <c r="Y636" s="20"/>
      <c r="Z636" s="20"/>
    </row>
    <row r="637" spans="3:26" ht="17.25" customHeight="1">
      <c r="C637" s="15"/>
      <c r="G637" s="47"/>
      <c r="H637" s="20"/>
      <c r="I637" s="20"/>
      <c r="J637" s="20"/>
      <c r="K637" s="20"/>
      <c r="L637" s="20"/>
      <c r="M637" s="20"/>
      <c r="N637" s="20"/>
      <c r="O637" s="20"/>
      <c r="P637" s="20"/>
      <c r="Q637" s="20"/>
      <c r="R637" s="20"/>
      <c r="S637" s="20"/>
      <c r="T637" s="20"/>
      <c r="U637" s="20"/>
      <c r="V637" s="20"/>
      <c r="W637" s="20"/>
      <c r="X637" s="20"/>
      <c r="Y637" s="20"/>
      <c r="Z637" s="20"/>
    </row>
    <row r="638" spans="3:26" ht="17.25" customHeight="1">
      <c r="C638" s="15"/>
      <c r="G638" s="47"/>
      <c r="H638" s="20"/>
      <c r="I638" s="20"/>
      <c r="J638" s="20"/>
      <c r="K638" s="20"/>
      <c r="L638" s="20"/>
      <c r="M638" s="20"/>
      <c r="N638" s="20"/>
      <c r="O638" s="20"/>
      <c r="P638" s="20"/>
      <c r="Q638" s="20"/>
      <c r="R638" s="20"/>
      <c r="S638" s="20"/>
      <c r="T638" s="20"/>
      <c r="U638" s="20"/>
      <c r="V638" s="20"/>
      <c r="W638" s="20"/>
      <c r="X638" s="20"/>
      <c r="Y638" s="20"/>
      <c r="Z638" s="20"/>
    </row>
    <row r="639" spans="3:26" ht="17.25" customHeight="1">
      <c r="C639" s="15"/>
      <c r="G639" s="47"/>
      <c r="H639" s="20"/>
      <c r="I639" s="20"/>
      <c r="J639" s="20"/>
      <c r="K639" s="20"/>
      <c r="L639" s="20"/>
      <c r="M639" s="20"/>
      <c r="N639" s="20"/>
      <c r="O639" s="20"/>
      <c r="P639" s="20"/>
      <c r="Q639" s="20"/>
      <c r="R639" s="20"/>
      <c r="S639" s="20"/>
      <c r="T639" s="20"/>
      <c r="U639" s="20"/>
      <c r="V639" s="20"/>
      <c r="W639" s="20"/>
      <c r="X639" s="20"/>
      <c r="Y639" s="20"/>
      <c r="Z639" s="20"/>
    </row>
    <row r="640" spans="3:26" ht="17.25" customHeight="1">
      <c r="C640" s="15"/>
      <c r="G640" s="47"/>
      <c r="H640" s="20"/>
      <c r="I640" s="20"/>
      <c r="J640" s="20"/>
      <c r="K640" s="20"/>
      <c r="L640" s="20"/>
      <c r="M640" s="20"/>
      <c r="N640" s="20"/>
      <c r="O640" s="20"/>
      <c r="P640" s="20"/>
      <c r="Q640" s="20"/>
      <c r="R640" s="20"/>
      <c r="S640" s="20"/>
      <c r="T640" s="20"/>
      <c r="U640" s="20"/>
      <c r="V640" s="20"/>
      <c r="W640" s="20"/>
      <c r="X640" s="20"/>
      <c r="Y640" s="20"/>
      <c r="Z640" s="20"/>
    </row>
    <row r="641" spans="3:26" ht="17.25" customHeight="1">
      <c r="C641" s="15"/>
      <c r="G641" s="47"/>
      <c r="H641" s="20"/>
      <c r="I641" s="20"/>
      <c r="J641" s="20"/>
      <c r="K641" s="20"/>
      <c r="L641" s="20"/>
      <c r="M641" s="20"/>
      <c r="N641" s="20"/>
      <c r="O641" s="20"/>
      <c r="P641" s="20"/>
      <c r="Q641" s="20"/>
      <c r="R641" s="20"/>
      <c r="S641" s="20"/>
      <c r="T641" s="20"/>
      <c r="U641" s="20"/>
      <c r="V641" s="20"/>
      <c r="W641" s="20"/>
      <c r="X641" s="20"/>
      <c r="Y641" s="20"/>
      <c r="Z641" s="20"/>
    </row>
    <row r="642" spans="3:26" ht="17.25" customHeight="1">
      <c r="C642" s="15"/>
      <c r="G642" s="47"/>
      <c r="H642" s="20"/>
      <c r="I642" s="20"/>
      <c r="J642" s="20"/>
      <c r="K642" s="20"/>
      <c r="L642" s="20"/>
      <c r="M642" s="20"/>
      <c r="N642" s="20"/>
      <c r="O642" s="20"/>
      <c r="P642" s="20"/>
      <c r="Q642" s="20"/>
      <c r="R642" s="20"/>
      <c r="S642" s="20"/>
      <c r="T642" s="20"/>
      <c r="U642" s="20"/>
      <c r="V642" s="20"/>
      <c r="W642" s="20"/>
      <c r="X642" s="20"/>
      <c r="Y642" s="20"/>
      <c r="Z642" s="20"/>
    </row>
    <row r="643" spans="3:26" ht="17.25" customHeight="1">
      <c r="C643" s="15"/>
      <c r="G643" s="47"/>
      <c r="H643" s="20"/>
      <c r="I643" s="20"/>
      <c r="J643" s="20"/>
      <c r="K643" s="20"/>
      <c r="L643" s="20"/>
      <c r="M643" s="20"/>
      <c r="N643" s="20"/>
      <c r="O643" s="20"/>
      <c r="P643" s="20"/>
      <c r="Q643" s="20"/>
      <c r="R643" s="20"/>
      <c r="S643" s="20"/>
      <c r="T643" s="20"/>
      <c r="U643" s="20"/>
      <c r="V643" s="20"/>
      <c r="W643" s="20"/>
      <c r="X643" s="20"/>
      <c r="Y643" s="20"/>
      <c r="Z643" s="20"/>
    </row>
    <row r="644" spans="3:26" ht="17.25" customHeight="1">
      <c r="C644" s="15"/>
      <c r="G644" s="47"/>
      <c r="H644" s="20"/>
      <c r="I644" s="20"/>
      <c r="J644" s="20"/>
      <c r="K644" s="20"/>
      <c r="L644" s="20"/>
      <c r="M644" s="20"/>
      <c r="N644" s="20"/>
      <c r="O644" s="20"/>
      <c r="P644" s="20"/>
      <c r="Q644" s="20"/>
      <c r="R644" s="20"/>
      <c r="S644" s="20"/>
      <c r="T644" s="20"/>
      <c r="U644" s="20"/>
      <c r="V644" s="20"/>
      <c r="W644" s="20"/>
      <c r="X644" s="20"/>
      <c r="Y644" s="20"/>
      <c r="Z644" s="20"/>
    </row>
    <row r="645" spans="3:26" ht="17.25" customHeight="1">
      <c r="C645" s="15"/>
      <c r="G645" s="47"/>
      <c r="H645" s="20"/>
      <c r="I645" s="20"/>
      <c r="J645" s="20"/>
      <c r="K645" s="20"/>
      <c r="L645" s="20"/>
      <c r="M645" s="20"/>
      <c r="N645" s="20"/>
      <c r="O645" s="20"/>
      <c r="P645" s="20"/>
      <c r="Q645" s="20"/>
      <c r="R645" s="20"/>
      <c r="S645" s="20"/>
      <c r="T645" s="20"/>
      <c r="U645" s="20"/>
      <c r="V645" s="20"/>
      <c r="W645" s="20"/>
      <c r="X645" s="20"/>
      <c r="Y645" s="20"/>
      <c r="Z645" s="20"/>
    </row>
    <row r="646" spans="3:26" ht="17.25" customHeight="1">
      <c r="C646" s="15"/>
      <c r="G646" s="47"/>
      <c r="H646" s="20"/>
      <c r="I646" s="20"/>
      <c r="J646" s="20"/>
      <c r="K646" s="20"/>
      <c r="L646" s="20"/>
      <c r="M646" s="20"/>
      <c r="N646" s="20"/>
      <c r="O646" s="20"/>
      <c r="P646" s="20"/>
      <c r="Q646" s="20"/>
      <c r="R646" s="20"/>
      <c r="S646" s="20"/>
      <c r="T646" s="20"/>
      <c r="U646" s="20"/>
      <c r="V646" s="20"/>
      <c r="W646" s="20"/>
      <c r="X646" s="20"/>
      <c r="Y646" s="20"/>
      <c r="Z646" s="20"/>
    </row>
    <row r="647" spans="3:26" ht="17.25" customHeight="1">
      <c r="C647" s="15"/>
      <c r="G647" s="47"/>
      <c r="H647" s="20"/>
      <c r="I647" s="20"/>
      <c r="J647" s="20"/>
      <c r="K647" s="20"/>
      <c r="L647" s="20"/>
      <c r="M647" s="20"/>
      <c r="N647" s="20"/>
      <c r="O647" s="20"/>
      <c r="P647" s="20"/>
      <c r="Q647" s="20"/>
      <c r="R647" s="20"/>
      <c r="S647" s="20"/>
      <c r="T647" s="20"/>
      <c r="U647" s="20"/>
      <c r="V647" s="20"/>
      <c r="W647" s="20"/>
      <c r="X647" s="20"/>
      <c r="Y647" s="20"/>
      <c r="Z647" s="20"/>
    </row>
    <row r="648" spans="3:26" ht="17.25" customHeight="1">
      <c r="C648" s="15"/>
      <c r="G648" s="47"/>
      <c r="H648" s="20"/>
      <c r="I648" s="20"/>
      <c r="J648" s="20"/>
      <c r="K648" s="20"/>
      <c r="L648" s="20"/>
      <c r="M648" s="20"/>
      <c r="N648" s="20"/>
      <c r="O648" s="20"/>
      <c r="P648" s="20"/>
      <c r="Q648" s="20"/>
      <c r="R648" s="20"/>
      <c r="S648" s="20"/>
      <c r="T648" s="20"/>
      <c r="U648" s="20"/>
      <c r="V648" s="20"/>
      <c r="W648" s="20"/>
      <c r="X648" s="20"/>
      <c r="Y648" s="20"/>
      <c r="Z648" s="20"/>
    </row>
    <row r="649" spans="3:26" ht="17.25" customHeight="1">
      <c r="C649" s="15"/>
      <c r="G649" s="47"/>
      <c r="H649" s="20"/>
      <c r="I649" s="20"/>
      <c r="J649" s="20"/>
      <c r="K649" s="20"/>
      <c r="L649" s="20"/>
      <c r="M649" s="20"/>
      <c r="N649" s="20"/>
      <c r="O649" s="20"/>
      <c r="P649" s="20"/>
      <c r="Q649" s="20"/>
      <c r="R649" s="20"/>
      <c r="S649" s="20"/>
      <c r="T649" s="20"/>
      <c r="U649" s="20"/>
      <c r="V649" s="20"/>
      <c r="W649" s="20"/>
      <c r="X649" s="20"/>
      <c r="Y649" s="20"/>
      <c r="Z649" s="20"/>
    </row>
    <row r="650" spans="3:26" ht="17.25" customHeight="1">
      <c r="C650" s="15"/>
      <c r="G650" s="47"/>
      <c r="H650" s="20"/>
      <c r="I650" s="20"/>
      <c r="J650" s="20"/>
      <c r="K650" s="20"/>
      <c r="L650" s="20"/>
      <c r="M650" s="20"/>
      <c r="N650" s="20"/>
      <c r="O650" s="20"/>
      <c r="P650" s="20"/>
      <c r="Q650" s="20"/>
      <c r="R650" s="20"/>
      <c r="S650" s="20"/>
      <c r="T650" s="20"/>
      <c r="U650" s="20"/>
      <c r="V650" s="20"/>
      <c r="W650" s="20"/>
      <c r="X650" s="20"/>
      <c r="Y650" s="20"/>
      <c r="Z650" s="20"/>
    </row>
    <row r="651" spans="3:26" ht="17.25" customHeight="1">
      <c r="C651" s="15"/>
      <c r="G651" s="47"/>
      <c r="H651" s="20"/>
      <c r="I651" s="20"/>
      <c r="J651" s="20"/>
      <c r="K651" s="20"/>
      <c r="L651" s="20"/>
      <c r="M651" s="20"/>
      <c r="N651" s="20"/>
      <c r="O651" s="20"/>
      <c r="P651" s="20"/>
      <c r="Q651" s="20"/>
      <c r="R651" s="20"/>
      <c r="S651" s="20"/>
      <c r="T651" s="20"/>
      <c r="U651" s="20"/>
      <c r="V651" s="20"/>
      <c r="W651" s="20"/>
      <c r="X651" s="20"/>
      <c r="Y651" s="20"/>
      <c r="Z651" s="20"/>
    </row>
    <row r="652" spans="3:26" ht="17.25" customHeight="1">
      <c r="C652" s="15"/>
      <c r="G652" s="47"/>
      <c r="H652" s="20"/>
      <c r="I652" s="20"/>
      <c r="J652" s="20"/>
      <c r="K652" s="20"/>
      <c r="L652" s="20"/>
      <c r="M652" s="20"/>
      <c r="N652" s="20"/>
      <c r="O652" s="20"/>
      <c r="P652" s="20"/>
      <c r="Q652" s="20"/>
      <c r="R652" s="20"/>
      <c r="S652" s="20"/>
      <c r="T652" s="20"/>
      <c r="U652" s="20"/>
      <c r="V652" s="20"/>
      <c r="W652" s="20"/>
      <c r="X652" s="20"/>
      <c r="Y652" s="20"/>
      <c r="Z652" s="20"/>
    </row>
    <row r="653" spans="3:26" ht="17.25" customHeight="1">
      <c r="C653" s="15"/>
      <c r="G653" s="47"/>
      <c r="H653" s="20"/>
      <c r="I653" s="20"/>
      <c r="J653" s="20"/>
      <c r="K653" s="20"/>
      <c r="L653" s="20"/>
      <c r="M653" s="20"/>
      <c r="N653" s="20"/>
      <c r="O653" s="20"/>
      <c r="P653" s="20"/>
      <c r="Q653" s="20"/>
      <c r="R653" s="20"/>
      <c r="S653" s="20"/>
      <c r="T653" s="20"/>
      <c r="U653" s="20"/>
      <c r="V653" s="20"/>
      <c r="W653" s="20"/>
      <c r="X653" s="20"/>
      <c r="Y653" s="20"/>
      <c r="Z653" s="20"/>
    </row>
    <row r="654" spans="3:26" ht="17.25" customHeight="1">
      <c r="C654" s="15"/>
      <c r="G654" s="47"/>
      <c r="H654" s="20"/>
      <c r="I654" s="20"/>
      <c r="J654" s="20"/>
      <c r="K654" s="20"/>
      <c r="L654" s="20"/>
      <c r="M654" s="20"/>
      <c r="N654" s="20"/>
      <c r="O654" s="20"/>
      <c r="P654" s="20"/>
      <c r="Q654" s="20"/>
      <c r="R654" s="20"/>
      <c r="S654" s="20"/>
      <c r="T654" s="20"/>
      <c r="U654" s="20"/>
      <c r="V654" s="20"/>
      <c r="W654" s="20"/>
      <c r="X654" s="20"/>
      <c r="Y654" s="20"/>
      <c r="Z654" s="20"/>
    </row>
    <row r="655" spans="3:26" ht="17.25" customHeight="1">
      <c r="C655" s="15"/>
      <c r="G655" s="47"/>
      <c r="H655" s="20"/>
      <c r="I655" s="20"/>
      <c r="J655" s="20"/>
      <c r="K655" s="20"/>
      <c r="L655" s="20"/>
      <c r="M655" s="20"/>
      <c r="N655" s="20"/>
      <c r="O655" s="20"/>
      <c r="P655" s="20"/>
      <c r="Q655" s="20"/>
      <c r="R655" s="20"/>
      <c r="S655" s="20"/>
      <c r="T655" s="20"/>
      <c r="U655" s="20"/>
      <c r="V655" s="20"/>
      <c r="W655" s="20"/>
      <c r="X655" s="20"/>
      <c r="Y655" s="20"/>
      <c r="Z655" s="20"/>
    </row>
    <row r="656" spans="3:26" ht="17.25" customHeight="1">
      <c r="C656" s="15"/>
      <c r="G656" s="47"/>
      <c r="H656" s="20"/>
      <c r="I656" s="20"/>
      <c r="J656" s="20"/>
      <c r="K656" s="20"/>
      <c r="L656" s="20"/>
      <c r="M656" s="20"/>
      <c r="N656" s="20"/>
      <c r="O656" s="20"/>
      <c r="P656" s="20"/>
      <c r="Q656" s="20"/>
      <c r="R656" s="20"/>
      <c r="S656" s="20"/>
      <c r="T656" s="20"/>
      <c r="U656" s="20"/>
      <c r="V656" s="20"/>
      <c r="W656" s="20"/>
      <c r="X656" s="20"/>
      <c r="Y656" s="20"/>
      <c r="Z656" s="20"/>
    </row>
    <row r="657" spans="3:26" ht="17.25" customHeight="1">
      <c r="C657" s="15"/>
      <c r="G657" s="47"/>
      <c r="H657" s="20"/>
      <c r="I657" s="20"/>
      <c r="J657" s="20"/>
      <c r="K657" s="20"/>
      <c r="L657" s="20"/>
      <c r="M657" s="20"/>
      <c r="N657" s="20"/>
      <c r="O657" s="20"/>
      <c r="P657" s="20"/>
      <c r="Q657" s="20"/>
      <c r="R657" s="20"/>
      <c r="S657" s="20"/>
      <c r="T657" s="20"/>
      <c r="U657" s="20"/>
      <c r="V657" s="20"/>
      <c r="W657" s="20"/>
      <c r="X657" s="20"/>
      <c r="Y657" s="20"/>
      <c r="Z657" s="20"/>
    </row>
    <row r="658" spans="3:26" ht="17.25" customHeight="1">
      <c r="C658" s="15"/>
      <c r="G658" s="47"/>
      <c r="H658" s="20"/>
      <c r="I658" s="20"/>
      <c r="J658" s="20"/>
      <c r="K658" s="20"/>
      <c r="L658" s="20"/>
      <c r="M658" s="20"/>
      <c r="N658" s="20"/>
      <c r="O658" s="20"/>
      <c r="P658" s="20"/>
      <c r="Q658" s="20"/>
      <c r="R658" s="20"/>
      <c r="S658" s="20"/>
      <c r="T658" s="20"/>
      <c r="U658" s="20"/>
      <c r="V658" s="20"/>
      <c r="W658" s="20"/>
      <c r="X658" s="20"/>
      <c r="Y658" s="20"/>
      <c r="Z658" s="20"/>
    </row>
    <row r="659" spans="3:26" ht="17.25" customHeight="1">
      <c r="C659" s="15"/>
      <c r="G659" s="47"/>
      <c r="H659" s="20"/>
      <c r="I659" s="20"/>
      <c r="J659" s="20"/>
      <c r="K659" s="20"/>
      <c r="L659" s="20"/>
      <c r="M659" s="20"/>
      <c r="N659" s="20"/>
      <c r="O659" s="20"/>
      <c r="P659" s="20"/>
      <c r="Q659" s="20"/>
      <c r="R659" s="20"/>
      <c r="S659" s="20"/>
      <c r="T659" s="20"/>
      <c r="U659" s="20"/>
      <c r="V659" s="20"/>
      <c r="W659" s="20"/>
      <c r="X659" s="20"/>
      <c r="Y659" s="20"/>
      <c r="Z659" s="20"/>
    </row>
    <row r="660" spans="3:26" ht="17.25" customHeight="1">
      <c r="C660" s="15"/>
      <c r="G660" s="47"/>
      <c r="H660" s="20"/>
      <c r="I660" s="20"/>
      <c r="J660" s="20"/>
      <c r="K660" s="20"/>
      <c r="L660" s="20"/>
      <c r="M660" s="20"/>
      <c r="N660" s="20"/>
      <c r="O660" s="20"/>
      <c r="P660" s="20"/>
      <c r="Q660" s="20"/>
      <c r="R660" s="20"/>
      <c r="S660" s="20"/>
      <c r="T660" s="20"/>
      <c r="U660" s="20"/>
      <c r="V660" s="20"/>
      <c r="W660" s="20"/>
      <c r="X660" s="20"/>
      <c r="Y660" s="20"/>
      <c r="Z660" s="20"/>
    </row>
    <row r="661" spans="3:26" ht="17.25" customHeight="1">
      <c r="C661" s="15"/>
      <c r="G661" s="47"/>
      <c r="H661" s="20"/>
      <c r="I661" s="20"/>
      <c r="J661" s="20"/>
      <c r="K661" s="20"/>
      <c r="L661" s="20"/>
      <c r="M661" s="20"/>
      <c r="N661" s="20"/>
      <c r="O661" s="20"/>
      <c r="P661" s="20"/>
      <c r="Q661" s="20"/>
      <c r="R661" s="20"/>
      <c r="S661" s="20"/>
      <c r="T661" s="20"/>
      <c r="U661" s="20"/>
      <c r="V661" s="20"/>
      <c r="W661" s="20"/>
      <c r="X661" s="20"/>
      <c r="Y661" s="20"/>
      <c r="Z661" s="20"/>
    </row>
    <row r="662" spans="3:26" ht="17.25" customHeight="1">
      <c r="C662" s="15"/>
      <c r="G662" s="47"/>
      <c r="H662" s="20"/>
      <c r="I662" s="20"/>
      <c r="J662" s="20"/>
      <c r="K662" s="20"/>
      <c r="L662" s="20"/>
      <c r="M662" s="20"/>
      <c r="N662" s="20"/>
      <c r="O662" s="20"/>
      <c r="P662" s="20"/>
      <c r="Q662" s="20"/>
      <c r="R662" s="20"/>
      <c r="S662" s="20"/>
      <c r="T662" s="20"/>
      <c r="U662" s="20"/>
      <c r="V662" s="20"/>
      <c r="W662" s="20"/>
      <c r="X662" s="20"/>
      <c r="Y662" s="20"/>
      <c r="Z662" s="20"/>
    </row>
    <row r="663" spans="3:26" ht="17.25" customHeight="1">
      <c r="C663" s="15"/>
      <c r="G663" s="47"/>
      <c r="H663" s="20"/>
      <c r="I663" s="20"/>
      <c r="J663" s="20"/>
      <c r="K663" s="20"/>
      <c r="L663" s="20"/>
      <c r="M663" s="20"/>
      <c r="N663" s="20"/>
      <c r="O663" s="20"/>
      <c r="P663" s="20"/>
      <c r="Q663" s="20"/>
      <c r="R663" s="20"/>
      <c r="S663" s="20"/>
      <c r="T663" s="20"/>
      <c r="U663" s="20"/>
      <c r="V663" s="20"/>
      <c r="W663" s="20"/>
      <c r="X663" s="20"/>
      <c r="Y663" s="20"/>
      <c r="Z663" s="20"/>
    </row>
    <row r="664" spans="3:26" ht="17.25" customHeight="1">
      <c r="C664" s="15"/>
      <c r="G664" s="47"/>
      <c r="H664" s="20"/>
      <c r="I664" s="20"/>
      <c r="J664" s="20"/>
      <c r="K664" s="20"/>
      <c r="L664" s="20"/>
      <c r="M664" s="20"/>
      <c r="N664" s="20"/>
      <c r="O664" s="20"/>
      <c r="P664" s="20"/>
      <c r="Q664" s="20"/>
      <c r="R664" s="20"/>
      <c r="S664" s="20"/>
      <c r="T664" s="20"/>
      <c r="U664" s="20"/>
      <c r="V664" s="20"/>
      <c r="W664" s="20"/>
      <c r="X664" s="20"/>
      <c r="Y664" s="20"/>
      <c r="Z664" s="20"/>
    </row>
    <row r="665" spans="3:26" ht="17.25" customHeight="1">
      <c r="C665" s="15"/>
      <c r="G665" s="47"/>
      <c r="H665" s="20"/>
      <c r="I665" s="20"/>
      <c r="J665" s="20"/>
      <c r="K665" s="20"/>
      <c r="L665" s="20"/>
      <c r="M665" s="20"/>
      <c r="N665" s="20"/>
      <c r="O665" s="20"/>
      <c r="P665" s="20"/>
      <c r="Q665" s="20"/>
      <c r="R665" s="20"/>
      <c r="S665" s="20"/>
      <c r="T665" s="20"/>
      <c r="U665" s="20"/>
      <c r="V665" s="20"/>
      <c r="W665" s="20"/>
      <c r="X665" s="20"/>
      <c r="Y665" s="20"/>
      <c r="Z665" s="20"/>
    </row>
    <row r="666" spans="3:26" ht="17.25" customHeight="1">
      <c r="C666" s="15"/>
      <c r="G666" s="47"/>
      <c r="H666" s="20"/>
      <c r="I666" s="20"/>
      <c r="J666" s="20"/>
      <c r="K666" s="20"/>
      <c r="L666" s="20"/>
      <c r="M666" s="20"/>
      <c r="N666" s="20"/>
      <c r="O666" s="20"/>
      <c r="P666" s="20"/>
      <c r="Q666" s="20"/>
      <c r="R666" s="20"/>
      <c r="S666" s="20"/>
      <c r="T666" s="20"/>
      <c r="U666" s="20"/>
      <c r="V666" s="20"/>
      <c r="W666" s="20"/>
      <c r="X666" s="20"/>
      <c r="Y666" s="20"/>
      <c r="Z666" s="20"/>
    </row>
    <row r="667" spans="3:26" ht="17.25" customHeight="1">
      <c r="C667" s="15"/>
      <c r="G667" s="47"/>
      <c r="H667" s="20"/>
      <c r="I667" s="20"/>
      <c r="J667" s="20"/>
      <c r="K667" s="20"/>
      <c r="L667" s="20"/>
      <c r="M667" s="20"/>
      <c r="N667" s="20"/>
      <c r="O667" s="20"/>
      <c r="P667" s="20"/>
      <c r="Q667" s="20"/>
      <c r="R667" s="20"/>
      <c r="S667" s="20"/>
      <c r="T667" s="20"/>
      <c r="U667" s="20"/>
      <c r="V667" s="20"/>
      <c r="W667" s="20"/>
      <c r="X667" s="20"/>
      <c r="Y667" s="20"/>
      <c r="Z667" s="20"/>
    </row>
    <row r="668" spans="3:26" ht="17.25" customHeight="1">
      <c r="C668" s="15"/>
      <c r="G668" s="47"/>
      <c r="H668" s="20"/>
      <c r="I668" s="20"/>
      <c r="J668" s="20"/>
      <c r="K668" s="20"/>
      <c r="L668" s="20"/>
      <c r="M668" s="20"/>
      <c r="N668" s="20"/>
      <c r="O668" s="20"/>
      <c r="P668" s="20"/>
      <c r="Q668" s="20"/>
      <c r="R668" s="20"/>
      <c r="S668" s="20"/>
      <c r="T668" s="20"/>
      <c r="U668" s="20"/>
      <c r="V668" s="20"/>
      <c r="W668" s="20"/>
      <c r="X668" s="20"/>
      <c r="Y668" s="20"/>
      <c r="Z668" s="20"/>
    </row>
    <row r="669" spans="3:26" ht="17.25" customHeight="1">
      <c r="C669" s="15"/>
      <c r="G669" s="47"/>
      <c r="H669" s="20"/>
      <c r="I669" s="20"/>
      <c r="J669" s="20"/>
      <c r="K669" s="20"/>
      <c r="L669" s="20"/>
      <c r="M669" s="20"/>
      <c r="N669" s="20"/>
      <c r="O669" s="20"/>
      <c r="P669" s="20"/>
      <c r="Q669" s="20"/>
      <c r="R669" s="20"/>
      <c r="S669" s="20"/>
      <c r="T669" s="20"/>
      <c r="U669" s="20"/>
      <c r="V669" s="20"/>
      <c r="W669" s="20"/>
      <c r="X669" s="20"/>
      <c r="Y669" s="20"/>
      <c r="Z669" s="20"/>
    </row>
    <row r="670" spans="3:26" ht="17.25" customHeight="1">
      <c r="C670" s="15"/>
      <c r="G670" s="47"/>
      <c r="H670" s="20"/>
      <c r="I670" s="20"/>
      <c r="J670" s="20"/>
      <c r="K670" s="20"/>
      <c r="L670" s="20"/>
      <c r="M670" s="20"/>
      <c r="N670" s="20"/>
      <c r="O670" s="20"/>
      <c r="P670" s="20"/>
      <c r="Q670" s="20"/>
      <c r="R670" s="20"/>
      <c r="S670" s="20"/>
      <c r="T670" s="20"/>
      <c r="U670" s="20"/>
      <c r="V670" s="20"/>
      <c r="W670" s="20"/>
      <c r="X670" s="20"/>
      <c r="Y670" s="20"/>
      <c r="Z670" s="20"/>
    </row>
    <row r="671" spans="3:26" ht="17.25" customHeight="1">
      <c r="C671" s="15"/>
      <c r="G671" s="47"/>
      <c r="H671" s="20"/>
      <c r="I671" s="20"/>
      <c r="J671" s="20"/>
      <c r="K671" s="20"/>
      <c r="L671" s="20"/>
      <c r="M671" s="20"/>
      <c r="N671" s="20"/>
      <c r="O671" s="20"/>
      <c r="P671" s="20"/>
      <c r="Q671" s="20"/>
      <c r="R671" s="20"/>
      <c r="S671" s="20"/>
      <c r="T671" s="20"/>
      <c r="U671" s="20"/>
      <c r="V671" s="20"/>
      <c r="W671" s="20"/>
      <c r="X671" s="20"/>
      <c r="Y671" s="20"/>
      <c r="Z671" s="20"/>
    </row>
    <row r="672" spans="3:26" ht="17.25" customHeight="1">
      <c r="C672" s="15"/>
      <c r="G672" s="47"/>
      <c r="H672" s="20"/>
      <c r="I672" s="20"/>
      <c r="J672" s="20"/>
      <c r="K672" s="20"/>
      <c r="L672" s="20"/>
      <c r="M672" s="20"/>
      <c r="N672" s="20"/>
      <c r="O672" s="20"/>
      <c r="P672" s="20"/>
      <c r="Q672" s="20"/>
      <c r="R672" s="20"/>
      <c r="S672" s="20"/>
      <c r="T672" s="20"/>
      <c r="U672" s="20"/>
      <c r="V672" s="20"/>
      <c r="W672" s="20"/>
      <c r="X672" s="20"/>
      <c r="Y672" s="20"/>
      <c r="Z672" s="20"/>
    </row>
    <row r="673" spans="3:26" ht="17.25" customHeight="1">
      <c r="C673" s="15"/>
      <c r="G673" s="47"/>
      <c r="H673" s="20"/>
      <c r="I673" s="20"/>
      <c r="J673" s="20"/>
      <c r="K673" s="20"/>
      <c r="L673" s="20"/>
      <c r="M673" s="20"/>
      <c r="N673" s="20"/>
      <c r="O673" s="20"/>
      <c r="P673" s="20"/>
      <c r="Q673" s="20"/>
      <c r="R673" s="20"/>
      <c r="S673" s="20"/>
      <c r="T673" s="20"/>
      <c r="U673" s="20"/>
      <c r="V673" s="20"/>
      <c r="W673" s="20"/>
      <c r="X673" s="20"/>
      <c r="Y673" s="20"/>
      <c r="Z673" s="20"/>
    </row>
    <row r="674" spans="3:26" ht="17.25" customHeight="1">
      <c r="C674" s="15"/>
      <c r="G674" s="47"/>
      <c r="H674" s="20"/>
      <c r="I674" s="20"/>
      <c r="J674" s="20"/>
      <c r="K674" s="20"/>
      <c r="L674" s="20"/>
      <c r="M674" s="20"/>
      <c r="N674" s="20"/>
      <c r="O674" s="20"/>
      <c r="P674" s="20"/>
      <c r="Q674" s="20"/>
      <c r="R674" s="20"/>
      <c r="S674" s="20"/>
      <c r="T674" s="20"/>
      <c r="U674" s="20"/>
      <c r="V674" s="20"/>
      <c r="W674" s="20"/>
      <c r="X674" s="20"/>
      <c r="Y674" s="20"/>
      <c r="Z674" s="20"/>
    </row>
    <row r="675" spans="3:26" ht="17.25" customHeight="1">
      <c r="C675" s="15"/>
      <c r="G675" s="47"/>
      <c r="H675" s="20"/>
      <c r="I675" s="20"/>
      <c r="J675" s="20"/>
      <c r="K675" s="20"/>
      <c r="L675" s="20"/>
      <c r="M675" s="20"/>
      <c r="N675" s="20"/>
      <c r="O675" s="20"/>
      <c r="P675" s="20"/>
      <c r="Q675" s="20"/>
      <c r="R675" s="20"/>
      <c r="S675" s="20"/>
      <c r="T675" s="20"/>
      <c r="U675" s="20"/>
      <c r="V675" s="20"/>
      <c r="W675" s="20"/>
      <c r="X675" s="20"/>
      <c r="Y675" s="20"/>
      <c r="Z675" s="20"/>
    </row>
    <row r="676" spans="3:26" ht="17.25" customHeight="1">
      <c r="C676" s="15"/>
      <c r="G676" s="47"/>
      <c r="H676" s="20"/>
      <c r="I676" s="20"/>
      <c r="J676" s="20"/>
      <c r="K676" s="20"/>
      <c r="L676" s="20"/>
      <c r="M676" s="20"/>
      <c r="N676" s="20"/>
      <c r="O676" s="20"/>
      <c r="P676" s="20"/>
      <c r="Q676" s="20"/>
      <c r="R676" s="20"/>
      <c r="S676" s="20"/>
      <c r="T676" s="20"/>
      <c r="U676" s="20"/>
      <c r="V676" s="20"/>
      <c r="W676" s="20"/>
      <c r="X676" s="20"/>
      <c r="Y676" s="20"/>
      <c r="Z676" s="20"/>
    </row>
    <row r="677" spans="3:26" ht="17.25" customHeight="1">
      <c r="C677" s="15"/>
      <c r="G677" s="47"/>
      <c r="H677" s="20"/>
      <c r="I677" s="20"/>
      <c r="J677" s="20"/>
      <c r="K677" s="20"/>
      <c r="L677" s="20"/>
      <c r="M677" s="20"/>
      <c r="N677" s="20"/>
      <c r="O677" s="20"/>
      <c r="P677" s="20"/>
      <c r="Q677" s="20"/>
      <c r="R677" s="20"/>
      <c r="S677" s="20"/>
      <c r="T677" s="20"/>
      <c r="U677" s="20"/>
      <c r="V677" s="20"/>
      <c r="W677" s="20"/>
      <c r="X677" s="20"/>
      <c r="Y677" s="20"/>
      <c r="Z677" s="20"/>
    </row>
    <row r="678" spans="3:26" ht="17.25" customHeight="1">
      <c r="C678" s="15"/>
      <c r="G678" s="47"/>
      <c r="H678" s="20"/>
      <c r="I678" s="20"/>
      <c r="J678" s="20"/>
      <c r="K678" s="20"/>
      <c r="L678" s="20"/>
      <c r="M678" s="20"/>
      <c r="N678" s="20"/>
      <c r="O678" s="20"/>
      <c r="P678" s="20"/>
      <c r="Q678" s="20"/>
      <c r="R678" s="20"/>
      <c r="S678" s="20"/>
      <c r="T678" s="20"/>
      <c r="U678" s="20"/>
      <c r="V678" s="20"/>
      <c r="W678" s="20"/>
      <c r="X678" s="20"/>
      <c r="Y678" s="20"/>
      <c r="Z678" s="20"/>
    </row>
    <row r="679" spans="3:26" ht="17.25" customHeight="1">
      <c r="C679" s="15"/>
      <c r="G679" s="47"/>
      <c r="H679" s="20"/>
      <c r="I679" s="20"/>
      <c r="J679" s="20"/>
      <c r="K679" s="20"/>
      <c r="L679" s="20"/>
      <c r="M679" s="20"/>
      <c r="N679" s="20"/>
      <c r="O679" s="20"/>
      <c r="P679" s="20"/>
      <c r="Q679" s="20"/>
      <c r="R679" s="20"/>
      <c r="S679" s="20"/>
      <c r="T679" s="20"/>
      <c r="U679" s="20"/>
      <c r="V679" s="20"/>
      <c r="W679" s="20"/>
      <c r="X679" s="20"/>
      <c r="Y679" s="20"/>
      <c r="Z679" s="20"/>
    </row>
    <row r="680" spans="3:26" ht="17.25" customHeight="1">
      <c r="C680" s="15"/>
      <c r="G680" s="47"/>
      <c r="H680" s="20"/>
      <c r="I680" s="20"/>
      <c r="J680" s="20"/>
      <c r="K680" s="20"/>
      <c r="L680" s="20"/>
      <c r="M680" s="20"/>
      <c r="N680" s="20"/>
      <c r="O680" s="20"/>
      <c r="P680" s="20"/>
      <c r="Q680" s="20"/>
      <c r="R680" s="20"/>
      <c r="S680" s="20"/>
      <c r="T680" s="20"/>
      <c r="U680" s="20"/>
      <c r="V680" s="20"/>
      <c r="W680" s="20"/>
      <c r="X680" s="20"/>
      <c r="Y680" s="20"/>
      <c r="Z680" s="20"/>
    </row>
    <row r="681" spans="3:26" ht="17.25" customHeight="1">
      <c r="C681" s="15"/>
      <c r="G681" s="47"/>
      <c r="H681" s="20"/>
      <c r="I681" s="20"/>
      <c r="J681" s="20"/>
      <c r="K681" s="20"/>
      <c r="L681" s="20"/>
      <c r="M681" s="20"/>
      <c r="N681" s="20"/>
      <c r="O681" s="20"/>
      <c r="P681" s="20"/>
      <c r="Q681" s="20"/>
      <c r="R681" s="20"/>
      <c r="S681" s="20"/>
      <c r="T681" s="20"/>
      <c r="U681" s="20"/>
      <c r="V681" s="20"/>
      <c r="W681" s="20"/>
      <c r="X681" s="20"/>
      <c r="Y681" s="20"/>
      <c r="Z681" s="20"/>
    </row>
    <row r="682" spans="3:26" ht="17.25" customHeight="1">
      <c r="C682" s="15"/>
      <c r="G682" s="47"/>
      <c r="H682" s="20"/>
      <c r="I682" s="20"/>
      <c r="J682" s="20"/>
      <c r="K682" s="20"/>
      <c r="L682" s="20"/>
      <c r="M682" s="20"/>
      <c r="N682" s="20"/>
      <c r="O682" s="20"/>
      <c r="P682" s="20"/>
      <c r="Q682" s="20"/>
      <c r="R682" s="20"/>
      <c r="S682" s="20"/>
      <c r="T682" s="20"/>
      <c r="U682" s="20"/>
      <c r="V682" s="20"/>
      <c r="W682" s="20"/>
      <c r="X682" s="20"/>
      <c r="Y682" s="20"/>
      <c r="Z682" s="20"/>
    </row>
    <row r="683" spans="3:26" ht="17.25" customHeight="1">
      <c r="C683" s="15"/>
      <c r="G683" s="47"/>
      <c r="H683" s="20"/>
      <c r="I683" s="20"/>
      <c r="J683" s="20"/>
      <c r="K683" s="20"/>
      <c r="L683" s="20"/>
      <c r="M683" s="20"/>
      <c r="N683" s="20"/>
      <c r="O683" s="20"/>
      <c r="P683" s="20"/>
      <c r="Q683" s="20"/>
      <c r="R683" s="20"/>
      <c r="S683" s="20"/>
      <c r="T683" s="20"/>
      <c r="U683" s="20"/>
      <c r="V683" s="20"/>
      <c r="W683" s="20"/>
      <c r="X683" s="20"/>
      <c r="Y683" s="20"/>
      <c r="Z683" s="20"/>
    </row>
    <row r="684" spans="3:26" ht="17.25" customHeight="1">
      <c r="C684" s="15"/>
      <c r="G684" s="47"/>
      <c r="H684" s="20"/>
      <c r="I684" s="20"/>
      <c r="J684" s="20"/>
      <c r="K684" s="20"/>
      <c r="L684" s="20"/>
      <c r="M684" s="20"/>
      <c r="N684" s="20"/>
      <c r="O684" s="20"/>
      <c r="P684" s="20"/>
      <c r="Q684" s="20"/>
      <c r="R684" s="20"/>
      <c r="S684" s="20"/>
      <c r="T684" s="20"/>
      <c r="U684" s="20"/>
      <c r="V684" s="20"/>
      <c r="W684" s="20"/>
      <c r="X684" s="20"/>
      <c r="Y684" s="20"/>
      <c r="Z684" s="20"/>
    </row>
    <row r="685" spans="3:26" ht="17.25" customHeight="1">
      <c r="C685" s="15"/>
      <c r="G685" s="47"/>
      <c r="H685" s="20"/>
      <c r="I685" s="20"/>
      <c r="J685" s="20"/>
      <c r="K685" s="20"/>
      <c r="L685" s="20"/>
      <c r="M685" s="20"/>
      <c r="N685" s="20"/>
      <c r="O685" s="20"/>
      <c r="P685" s="20"/>
      <c r="Q685" s="20"/>
      <c r="R685" s="20"/>
      <c r="S685" s="20"/>
      <c r="T685" s="20"/>
      <c r="U685" s="20"/>
      <c r="V685" s="20"/>
      <c r="W685" s="20"/>
      <c r="X685" s="20"/>
      <c r="Y685" s="20"/>
      <c r="Z685" s="20"/>
    </row>
    <row r="686" spans="3:26" ht="17.25" customHeight="1">
      <c r="C686" s="15"/>
      <c r="G686" s="47"/>
      <c r="H686" s="20"/>
      <c r="I686" s="20"/>
      <c r="J686" s="20"/>
      <c r="K686" s="20"/>
      <c r="L686" s="20"/>
      <c r="M686" s="20"/>
      <c r="N686" s="20"/>
      <c r="O686" s="20"/>
      <c r="P686" s="20"/>
      <c r="Q686" s="20"/>
      <c r="R686" s="20"/>
      <c r="S686" s="20"/>
      <c r="T686" s="20"/>
      <c r="U686" s="20"/>
      <c r="V686" s="20"/>
      <c r="W686" s="20"/>
      <c r="X686" s="20"/>
      <c r="Y686" s="20"/>
      <c r="Z686" s="20"/>
    </row>
    <row r="687" spans="3:26" ht="17.25" customHeight="1">
      <c r="C687" s="15"/>
      <c r="G687" s="47"/>
      <c r="H687" s="20"/>
      <c r="I687" s="20"/>
      <c r="J687" s="20"/>
      <c r="K687" s="20"/>
      <c r="L687" s="20"/>
      <c r="M687" s="20"/>
      <c r="N687" s="20"/>
      <c r="O687" s="20"/>
      <c r="P687" s="20"/>
      <c r="Q687" s="20"/>
      <c r="R687" s="20"/>
      <c r="S687" s="20"/>
      <c r="T687" s="20"/>
      <c r="U687" s="20"/>
      <c r="V687" s="20"/>
      <c r="W687" s="20"/>
      <c r="X687" s="20"/>
      <c r="Y687" s="20"/>
      <c r="Z687" s="20"/>
    </row>
    <row r="688" spans="3:26" ht="17.25" customHeight="1">
      <c r="C688" s="15"/>
      <c r="G688" s="47"/>
      <c r="H688" s="20"/>
      <c r="I688" s="20"/>
      <c r="J688" s="20"/>
      <c r="K688" s="20"/>
      <c r="L688" s="20"/>
      <c r="M688" s="20"/>
      <c r="N688" s="20"/>
      <c r="O688" s="20"/>
      <c r="P688" s="20"/>
      <c r="Q688" s="20"/>
      <c r="R688" s="20"/>
      <c r="S688" s="20"/>
      <c r="T688" s="20"/>
      <c r="U688" s="20"/>
      <c r="V688" s="20"/>
      <c r="W688" s="20"/>
      <c r="X688" s="20"/>
      <c r="Y688" s="20"/>
      <c r="Z688" s="20"/>
    </row>
    <row r="689" spans="3:26" ht="17.25" customHeight="1">
      <c r="C689" s="15"/>
      <c r="G689" s="47"/>
      <c r="H689" s="20"/>
      <c r="I689" s="20"/>
      <c r="J689" s="20"/>
      <c r="K689" s="20"/>
      <c r="L689" s="20"/>
      <c r="M689" s="20"/>
      <c r="N689" s="20"/>
      <c r="O689" s="20"/>
      <c r="P689" s="20"/>
      <c r="Q689" s="20"/>
      <c r="R689" s="20"/>
      <c r="S689" s="20"/>
      <c r="T689" s="20"/>
      <c r="U689" s="20"/>
      <c r="V689" s="20"/>
      <c r="W689" s="20"/>
      <c r="X689" s="20"/>
      <c r="Y689" s="20"/>
      <c r="Z689" s="20"/>
    </row>
    <row r="690" spans="3:26" ht="17.25" customHeight="1">
      <c r="C690" s="15"/>
      <c r="G690" s="47"/>
      <c r="H690" s="20"/>
      <c r="I690" s="20"/>
      <c r="J690" s="20"/>
      <c r="K690" s="20"/>
      <c r="L690" s="20"/>
      <c r="M690" s="20"/>
      <c r="N690" s="20"/>
      <c r="O690" s="20"/>
      <c r="P690" s="20"/>
      <c r="Q690" s="20"/>
      <c r="R690" s="20"/>
      <c r="S690" s="20"/>
      <c r="T690" s="20"/>
      <c r="U690" s="20"/>
      <c r="V690" s="20"/>
      <c r="W690" s="20"/>
      <c r="X690" s="20"/>
      <c r="Y690" s="20"/>
      <c r="Z690" s="20"/>
    </row>
    <row r="691" spans="3:26" ht="17.25" customHeight="1">
      <c r="C691" s="15"/>
      <c r="G691" s="47"/>
      <c r="H691" s="20"/>
      <c r="I691" s="20"/>
      <c r="J691" s="20"/>
      <c r="K691" s="20"/>
      <c r="L691" s="20"/>
      <c r="M691" s="20"/>
      <c r="N691" s="20"/>
      <c r="O691" s="20"/>
      <c r="P691" s="20"/>
      <c r="Q691" s="20"/>
      <c r="R691" s="20"/>
      <c r="S691" s="20"/>
      <c r="T691" s="20"/>
      <c r="U691" s="20"/>
      <c r="V691" s="20"/>
      <c r="W691" s="20"/>
      <c r="X691" s="20"/>
      <c r="Y691" s="20"/>
      <c r="Z691" s="20"/>
    </row>
    <row r="692" spans="3:26" ht="17.25" customHeight="1">
      <c r="C692" s="15"/>
      <c r="G692" s="47"/>
      <c r="H692" s="20"/>
      <c r="I692" s="20"/>
      <c r="J692" s="20"/>
      <c r="K692" s="20"/>
      <c r="L692" s="20"/>
      <c r="M692" s="20"/>
      <c r="N692" s="20"/>
      <c r="O692" s="20"/>
      <c r="P692" s="20"/>
      <c r="Q692" s="20"/>
      <c r="R692" s="20"/>
      <c r="S692" s="20"/>
      <c r="T692" s="20"/>
      <c r="U692" s="20"/>
      <c r="V692" s="20"/>
      <c r="W692" s="20"/>
      <c r="X692" s="20"/>
      <c r="Y692" s="20"/>
      <c r="Z692" s="20"/>
    </row>
    <row r="693" spans="3:26" ht="17.25" customHeight="1">
      <c r="C693" s="15"/>
      <c r="G693" s="47"/>
      <c r="H693" s="20"/>
      <c r="I693" s="20"/>
      <c r="J693" s="20"/>
      <c r="K693" s="20"/>
      <c r="L693" s="20"/>
      <c r="M693" s="20"/>
      <c r="N693" s="20"/>
      <c r="O693" s="20"/>
      <c r="P693" s="20"/>
      <c r="Q693" s="20"/>
      <c r="R693" s="20"/>
      <c r="S693" s="20"/>
      <c r="T693" s="20"/>
      <c r="U693" s="20"/>
      <c r="V693" s="20"/>
      <c r="W693" s="20"/>
      <c r="X693" s="20"/>
      <c r="Y693" s="20"/>
      <c r="Z693" s="20"/>
    </row>
    <row r="694" spans="3:26" ht="17.25" customHeight="1">
      <c r="C694" s="15"/>
      <c r="G694" s="47"/>
      <c r="H694" s="20"/>
      <c r="I694" s="20"/>
      <c r="J694" s="20"/>
      <c r="K694" s="20"/>
      <c r="L694" s="20"/>
      <c r="M694" s="20"/>
      <c r="N694" s="20"/>
      <c r="O694" s="20"/>
      <c r="P694" s="20"/>
      <c r="Q694" s="20"/>
      <c r="R694" s="20"/>
      <c r="S694" s="20"/>
      <c r="T694" s="20"/>
      <c r="U694" s="20"/>
      <c r="V694" s="20"/>
      <c r="W694" s="20"/>
      <c r="X694" s="20"/>
      <c r="Y694" s="20"/>
      <c r="Z694" s="20"/>
    </row>
    <row r="695" spans="3:26" ht="17.25" customHeight="1">
      <c r="C695" s="15"/>
      <c r="G695" s="47"/>
      <c r="H695" s="20"/>
      <c r="I695" s="20"/>
      <c r="J695" s="20"/>
      <c r="K695" s="20"/>
      <c r="L695" s="20"/>
      <c r="M695" s="20"/>
      <c r="N695" s="20"/>
      <c r="O695" s="20"/>
      <c r="P695" s="20"/>
      <c r="Q695" s="20"/>
      <c r="R695" s="20"/>
      <c r="S695" s="20"/>
      <c r="T695" s="20"/>
      <c r="U695" s="20"/>
      <c r="V695" s="20"/>
      <c r="W695" s="20"/>
      <c r="X695" s="20"/>
      <c r="Y695" s="20"/>
      <c r="Z695" s="20"/>
    </row>
    <row r="696" spans="3:26" ht="17.25" customHeight="1">
      <c r="C696" s="15"/>
      <c r="G696" s="47"/>
      <c r="H696" s="20"/>
      <c r="I696" s="20"/>
      <c r="J696" s="20"/>
      <c r="K696" s="20"/>
      <c r="L696" s="20"/>
      <c r="M696" s="20"/>
      <c r="N696" s="20"/>
      <c r="O696" s="20"/>
      <c r="P696" s="20"/>
      <c r="Q696" s="20"/>
      <c r="R696" s="20"/>
      <c r="S696" s="20"/>
      <c r="T696" s="20"/>
      <c r="U696" s="20"/>
      <c r="V696" s="20"/>
      <c r="W696" s="20"/>
      <c r="X696" s="20"/>
      <c r="Y696" s="20"/>
      <c r="Z696" s="20"/>
    </row>
    <row r="697" spans="3:26" ht="17.25" customHeight="1">
      <c r="C697" s="15"/>
      <c r="G697" s="47"/>
      <c r="H697" s="20"/>
      <c r="I697" s="20"/>
      <c r="J697" s="20"/>
      <c r="K697" s="20"/>
      <c r="L697" s="20"/>
      <c r="M697" s="20"/>
      <c r="N697" s="20"/>
      <c r="O697" s="20"/>
      <c r="P697" s="20"/>
      <c r="Q697" s="20"/>
      <c r="R697" s="20"/>
      <c r="S697" s="20"/>
      <c r="T697" s="20"/>
      <c r="U697" s="20"/>
      <c r="V697" s="20"/>
      <c r="W697" s="20"/>
      <c r="X697" s="20"/>
      <c r="Y697" s="20"/>
      <c r="Z697" s="20"/>
    </row>
    <row r="698" spans="3:26" ht="17.25" customHeight="1">
      <c r="C698" s="15"/>
      <c r="G698" s="47"/>
      <c r="H698" s="20"/>
      <c r="I698" s="20"/>
      <c r="J698" s="20"/>
      <c r="K698" s="20"/>
      <c r="L698" s="20"/>
      <c r="M698" s="20"/>
      <c r="N698" s="20"/>
      <c r="O698" s="20"/>
      <c r="P698" s="20"/>
      <c r="Q698" s="20"/>
      <c r="R698" s="20"/>
      <c r="S698" s="20"/>
      <c r="T698" s="20"/>
      <c r="U698" s="20"/>
      <c r="V698" s="20"/>
      <c r="W698" s="20"/>
      <c r="X698" s="20"/>
      <c r="Y698" s="20"/>
      <c r="Z698" s="20"/>
    </row>
    <row r="699" spans="3:26" ht="17.25" customHeight="1">
      <c r="C699" s="15"/>
      <c r="G699" s="47"/>
      <c r="H699" s="20"/>
      <c r="I699" s="20"/>
      <c r="J699" s="20"/>
      <c r="K699" s="20"/>
      <c r="L699" s="20"/>
      <c r="M699" s="20"/>
      <c r="N699" s="20"/>
      <c r="O699" s="20"/>
      <c r="P699" s="20"/>
      <c r="Q699" s="20"/>
      <c r="R699" s="20"/>
      <c r="S699" s="20"/>
      <c r="T699" s="20"/>
      <c r="U699" s="20"/>
      <c r="V699" s="20"/>
      <c r="W699" s="20"/>
      <c r="X699" s="20"/>
      <c r="Y699" s="20"/>
      <c r="Z699" s="20"/>
    </row>
    <row r="700" spans="3:26" ht="17.25" customHeight="1">
      <c r="C700" s="15"/>
      <c r="G700" s="47"/>
      <c r="H700" s="20"/>
      <c r="I700" s="20"/>
      <c r="J700" s="20"/>
      <c r="K700" s="20"/>
      <c r="L700" s="20"/>
      <c r="M700" s="20"/>
      <c r="N700" s="20"/>
      <c r="O700" s="20"/>
      <c r="P700" s="20"/>
      <c r="Q700" s="20"/>
      <c r="R700" s="20"/>
      <c r="S700" s="20"/>
      <c r="T700" s="20"/>
      <c r="U700" s="20"/>
      <c r="V700" s="20"/>
      <c r="W700" s="20"/>
      <c r="X700" s="20"/>
      <c r="Y700" s="20"/>
      <c r="Z700" s="20"/>
    </row>
    <row r="701" spans="3:26" ht="17.25" customHeight="1">
      <c r="C701" s="15"/>
      <c r="G701" s="47"/>
      <c r="H701" s="20"/>
      <c r="I701" s="20"/>
      <c r="J701" s="20"/>
      <c r="K701" s="20"/>
      <c r="L701" s="20"/>
      <c r="M701" s="20"/>
      <c r="N701" s="20"/>
      <c r="O701" s="20"/>
      <c r="P701" s="20"/>
      <c r="Q701" s="20"/>
      <c r="R701" s="20"/>
      <c r="S701" s="20"/>
      <c r="T701" s="20"/>
      <c r="U701" s="20"/>
      <c r="V701" s="20"/>
      <c r="W701" s="20"/>
      <c r="X701" s="20"/>
      <c r="Y701" s="20"/>
      <c r="Z701" s="20"/>
    </row>
    <row r="702" spans="3:26" ht="17.25" customHeight="1">
      <c r="C702" s="15"/>
      <c r="G702" s="47"/>
      <c r="H702" s="20"/>
      <c r="I702" s="20"/>
      <c r="J702" s="20"/>
      <c r="K702" s="20"/>
      <c r="L702" s="20"/>
      <c r="M702" s="20"/>
      <c r="N702" s="20"/>
      <c r="O702" s="20"/>
      <c r="P702" s="20"/>
      <c r="Q702" s="20"/>
      <c r="R702" s="20"/>
      <c r="S702" s="20"/>
      <c r="T702" s="20"/>
      <c r="U702" s="20"/>
      <c r="V702" s="20"/>
      <c r="W702" s="20"/>
      <c r="X702" s="20"/>
      <c r="Y702" s="20"/>
      <c r="Z702" s="20"/>
    </row>
    <row r="703" spans="3:26" ht="17.25" customHeight="1">
      <c r="C703" s="15"/>
      <c r="G703" s="47"/>
      <c r="H703" s="20"/>
      <c r="I703" s="20"/>
      <c r="J703" s="20"/>
      <c r="K703" s="20"/>
      <c r="L703" s="20"/>
      <c r="M703" s="20"/>
      <c r="N703" s="20"/>
      <c r="O703" s="20"/>
      <c r="P703" s="20"/>
      <c r="Q703" s="20"/>
      <c r="R703" s="20"/>
      <c r="S703" s="20"/>
      <c r="T703" s="20"/>
      <c r="U703" s="20"/>
      <c r="V703" s="20"/>
      <c r="W703" s="20"/>
      <c r="X703" s="20"/>
      <c r="Y703" s="20"/>
      <c r="Z703" s="20"/>
    </row>
    <row r="704" spans="3:26" ht="17.25" customHeight="1">
      <c r="C704" s="15"/>
      <c r="G704" s="47"/>
      <c r="H704" s="20"/>
      <c r="I704" s="20"/>
      <c r="J704" s="20"/>
      <c r="K704" s="20"/>
      <c r="L704" s="20"/>
      <c r="M704" s="20"/>
      <c r="N704" s="20"/>
      <c r="O704" s="20"/>
      <c r="P704" s="20"/>
      <c r="Q704" s="20"/>
      <c r="R704" s="20"/>
      <c r="S704" s="20"/>
      <c r="T704" s="20"/>
      <c r="U704" s="20"/>
      <c r="V704" s="20"/>
      <c r="W704" s="20"/>
      <c r="X704" s="20"/>
      <c r="Y704" s="20"/>
      <c r="Z704" s="20"/>
    </row>
    <row r="705" spans="3:26" ht="17.25" customHeight="1">
      <c r="C705" s="15"/>
      <c r="G705" s="47"/>
      <c r="H705" s="20"/>
      <c r="I705" s="20"/>
      <c r="J705" s="20"/>
      <c r="K705" s="20"/>
      <c r="L705" s="20"/>
      <c r="M705" s="20"/>
      <c r="N705" s="20"/>
      <c r="O705" s="20"/>
      <c r="P705" s="20"/>
      <c r="Q705" s="20"/>
      <c r="R705" s="20"/>
      <c r="S705" s="20"/>
      <c r="T705" s="20"/>
      <c r="U705" s="20"/>
      <c r="V705" s="20"/>
      <c r="W705" s="20"/>
      <c r="X705" s="20"/>
      <c r="Y705" s="20"/>
      <c r="Z705" s="20"/>
    </row>
    <row r="706" spans="3:26" ht="17.25" customHeight="1">
      <c r="C706" s="15"/>
      <c r="G706" s="47"/>
      <c r="H706" s="20"/>
      <c r="I706" s="20"/>
      <c r="J706" s="20"/>
      <c r="K706" s="20"/>
      <c r="L706" s="20"/>
      <c r="M706" s="20"/>
      <c r="N706" s="20"/>
      <c r="O706" s="20"/>
      <c r="P706" s="20"/>
      <c r="Q706" s="20"/>
      <c r="R706" s="20"/>
      <c r="S706" s="20"/>
      <c r="T706" s="20"/>
      <c r="U706" s="20"/>
      <c r="V706" s="20"/>
      <c r="W706" s="20"/>
      <c r="X706" s="20"/>
      <c r="Y706" s="20"/>
      <c r="Z706" s="20"/>
    </row>
    <row r="707" spans="3:26" ht="17.25" customHeight="1">
      <c r="C707" s="15"/>
      <c r="G707" s="47"/>
      <c r="H707" s="20"/>
      <c r="I707" s="20"/>
      <c r="J707" s="20"/>
      <c r="K707" s="20"/>
      <c r="L707" s="20"/>
      <c r="M707" s="20"/>
      <c r="N707" s="20"/>
      <c r="O707" s="20"/>
      <c r="P707" s="20"/>
      <c r="Q707" s="20"/>
      <c r="R707" s="20"/>
      <c r="S707" s="20"/>
      <c r="T707" s="20"/>
      <c r="U707" s="20"/>
      <c r="V707" s="20"/>
      <c r="W707" s="20"/>
      <c r="X707" s="20"/>
      <c r="Y707" s="20"/>
      <c r="Z707" s="20"/>
    </row>
    <row r="708" spans="3:26" ht="17.25" customHeight="1">
      <c r="C708" s="15"/>
      <c r="G708" s="47"/>
      <c r="H708" s="20"/>
      <c r="I708" s="20"/>
      <c r="J708" s="20"/>
      <c r="K708" s="20"/>
      <c r="L708" s="20"/>
      <c r="M708" s="20"/>
      <c r="N708" s="20"/>
      <c r="O708" s="20"/>
      <c r="P708" s="20"/>
      <c r="Q708" s="20"/>
      <c r="R708" s="20"/>
      <c r="S708" s="20"/>
      <c r="T708" s="20"/>
      <c r="U708" s="20"/>
      <c r="V708" s="20"/>
      <c r="W708" s="20"/>
      <c r="X708" s="20"/>
      <c r="Y708" s="20"/>
      <c r="Z708" s="20"/>
    </row>
    <row r="709" spans="3:26" ht="17.25" customHeight="1">
      <c r="C709" s="15"/>
      <c r="G709" s="47"/>
      <c r="H709" s="20"/>
      <c r="I709" s="20"/>
      <c r="J709" s="20"/>
      <c r="K709" s="20"/>
      <c r="L709" s="20"/>
      <c r="M709" s="20"/>
      <c r="N709" s="20"/>
      <c r="O709" s="20"/>
      <c r="P709" s="20"/>
      <c r="Q709" s="20"/>
      <c r="R709" s="20"/>
      <c r="S709" s="20"/>
      <c r="T709" s="20"/>
      <c r="U709" s="20"/>
      <c r="V709" s="20"/>
      <c r="W709" s="20"/>
      <c r="X709" s="20"/>
      <c r="Y709" s="20"/>
      <c r="Z709" s="20"/>
    </row>
    <row r="710" spans="3:26" ht="17.25" customHeight="1">
      <c r="C710" s="15"/>
      <c r="G710" s="47"/>
      <c r="H710" s="20"/>
      <c r="I710" s="20"/>
      <c r="J710" s="20"/>
      <c r="K710" s="20"/>
      <c r="L710" s="20"/>
      <c r="M710" s="20"/>
      <c r="N710" s="20"/>
      <c r="O710" s="20"/>
      <c r="P710" s="20"/>
      <c r="Q710" s="20"/>
      <c r="R710" s="20"/>
      <c r="S710" s="20"/>
      <c r="T710" s="20"/>
      <c r="U710" s="20"/>
      <c r="V710" s="20"/>
      <c r="W710" s="20"/>
      <c r="X710" s="20"/>
      <c r="Y710" s="20"/>
      <c r="Z710" s="20"/>
    </row>
    <row r="711" spans="3:26" ht="17.25" customHeight="1">
      <c r="C711" s="15"/>
      <c r="G711" s="47"/>
      <c r="H711" s="20"/>
      <c r="I711" s="20"/>
      <c r="J711" s="20"/>
      <c r="K711" s="20"/>
      <c r="L711" s="20"/>
      <c r="M711" s="20"/>
      <c r="N711" s="20"/>
      <c r="O711" s="20"/>
      <c r="P711" s="20"/>
      <c r="Q711" s="20"/>
      <c r="R711" s="20"/>
      <c r="S711" s="20"/>
      <c r="T711" s="20"/>
      <c r="U711" s="20"/>
      <c r="V711" s="20"/>
      <c r="W711" s="20"/>
      <c r="X711" s="20"/>
      <c r="Y711" s="20"/>
      <c r="Z711" s="20"/>
    </row>
    <row r="712" spans="3:26" ht="17.25" customHeight="1">
      <c r="C712" s="15"/>
      <c r="G712" s="47"/>
      <c r="H712" s="20"/>
      <c r="I712" s="20"/>
      <c r="J712" s="20"/>
      <c r="K712" s="20"/>
      <c r="L712" s="20"/>
      <c r="M712" s="20"/>
      <c r="N712" s="20"/>
      <c r="O712" s="20"/>
      <c r="P712" s="20"/>
      <c r="Q712" s="20"/>
      <c r="R712" s="20"/>
      <c r="S712" s="20"/>
      <c r="T712" s="20"/>
      <c r="U712" s="20"/>
      <c r="V712" s="20"/>
      <c r="W712" s="20"/>
      <c r="X712" s="20"/>
      <c r="Y712" s="20"/>
      <c r="Z712" s="20"/>
    </row>
    <row r="713" spans="3:26" ht="17.25" customHeight="1">
      <c r="C713" s="15"/>
      <c r="G713" s="47"/>
      <c r="H713" s="20"/>
      <c r="I713" s="20"/>
      <c r="J713" s="20"/>
      <c r="K713" s="20"/>
      <c r="L713" s="20"/>
      <c r="M713" s="20"/>
      <c r="N713" s="20"/>
      <c r="O713" s="20"/>
      <c r="P713" s="20"/>
      <c r="Q713" s="20"/>
      <c r="R713" s="20"/>
      <c r="S713" s="20"/>
      <c r="T713" s="20"/>
      <c r="U713" s="20"/>
      <c r="V713" s="20"/>
      <c r="W713" s="20"/>
      <c r="X713" s="20"/>
      <c r="Y713" s="20"/>
      <c r="Z713" s="20"/>
    </row>
    <row r="714" spans="3:26" ht="17.25" customHeight="1">
      <c r="C714" s="15"/>
      <c r="G714" s="47"/>
      <c r="H714" s="20"/>
      <c r="I714" s="20"/>
      <c r="J714" s="20"/>
      <c r="K714" s="20"/>
      <c r="L714" s="20"/>
      <c r="M714" s="20"/>
      <c r="N714" s="20"/>
      <c r="O714" s="20"/>
      <c r="P714" s="20"/>
      <c r="Q714" s="20"/>
      <c r="R714" s="20"/>
      <c r="S714" s="20"/>
      <c r="T714" s="20"/>
      <c r="U714" s="20"/>
      <c r="V714" s="20"/>
      <c r="W714" s="20"/>
      <c r="X714" s="20"/>
      <c r="Y714" s="20"/>
      <c r="Z714" s="20"/>
    </row>
    <row r="715" spans="3:26" ht="17.25" customHeight="1">
      <c r="C715" s="15"/>
      <c r="G715" s="47"/>
      <c r="H715" s="20"/>
      <c r="I715" s="20"/>
      <c r="J715" s="20"/>
      <c r="K715" s="20"/>
      <c r="L715" s="20"/>
      <c r="M715" s="20"/>
      <c r="N715" s="20"/>
      <c r="O715" s="20"/>
      <c r="P715" s="20"/>
      <c r="Q715" s="20"/>
      <c r="R715" s="20"/>
      <c r="S715" s="20"/>
      <c r="T715" s="20"/>
      <c r="U715" s="20"/>
      <c r="V715" s="20"/>
      <c r="W715" s="20"/>
      <c r="X715" s="20"/>
      <c r="Y715" s="20"/>
      <c r="Z715" s="20"/>
    </row>
    <row r="716" spans="3:26" ht="17.25" customHeight="1">
      <c r="C716" s="15"/>
      <c r="G716" s="47"/>
      <c r="H716" s="20"/>
      <c r="I716" s="20"/>
      <c r="J716" s="20"/>
      <c r="K716" s="20"/>
      <c r="L716" s="20"/>
      <c r="M716" s="20"/>
      <c r="N716" s="20"/>
      <c r="O716" s="20"/>
      <c r="P716" s="20"/>
      <c r="Q716" s="20"/>
      <c r="R716" s="20"/>
      <c r="S716" s="20"/>
      <c r="T716" s="20"/>
      <c r="U716" s="20"/>
      <c r="V716" s="20"/>
      <c r="W716" s="20"/>
      <c r="X716" s="20"/>
      <c r="Y716" s="20"/>
      <c r="Z716" s="20"/>
    </row>
    <row r="717" spans="3:26" ht="17.25" customHeight="1">
      <c r="C717" s="15"/>
      <c r="G717" s="47"/>
      <c r="H717" s="20"/>
      <c r="I717" s="20"/>
      <c r="J717" s="20"/>
      <c r="K717" s="20"/>
      <c r="L717" s="20"/>
      <c r="M717" s="20"/>
      <c r="N717" s="20"/>
      <c r="O717" s="20"/>
      <c r="P717" s="20"/>
      <c r="Q717" s="20"/>
      <c r="R717" s="20"/>
      <c r="S717" s="20"/>
      <c r="T717" s="20"/>
      <c r="U717" s="20"/>
      <c r="V717" s="20"/>
      <c r="W717" s="20"/>
      <c r="X717" s="20"/>
      <c r="Y717" s="20"/>
      <c r="Z717" s="20"/>
    </row>
    <row r="718" spans="3:26" ht="17.25" customHeight="1">
      <c r="C718" s="15"/>
      <c r="G718" s="47"/>
      <c r="H718" s="20"/>
      <c r="I718" s="20"/>
      <c r="J718" s="20"/>
      <c r="K718" s="20"/>
      <c r="L718" s="20"/>
      <c r="M718" s="20"/>
      <c r="N718" s="20"/>
      <c r="O718" s="20"/>
      <c r="P718" s="20"/>
      <c r="Q718" s="20"/>
      <c r="R718" s="20"/>
      <c r="S718" s="20"/>
      <c r="T718" s="20"/>
      <c r="U718" s="20"/>
      <c r="V718" s="20"/>
      <c r="W718" s="20"/>
      <c r="X718" s="20"/>
      <c r="Y718" s="20"/>
      <c r="Z718" s="20"/>
    </row>
    <row r="719" spans="3:26" ht="17.25" customHeight="1">
      <c r="C719" s="15"/>
      <c r="G719" s="47"/>
      <c r="H719" s="20"/>
      <c r="I719" s="20"/>
      <c r="J719" s="20"/>
      <c r="K719" s="20"/>
      <c r="L719" s="20"/>
      <c r="M719" s="20"/>
      <c r="N719" s="20"/>
      <c r="O719" s="20"/>
      <c r="P719" s="20"/>
      <c r="Q719" s="20"/>
      <c r="R719" s="20"/>
      <c r="S719" s="20"/>
      <c r="T719" s="20"/>
      <c r="U719" s="20"/>
      <c r="V719" s="20"/>
      <c r="W719" s="20"/>
      <c r="X719" s="20"/>
      <c r="Y719" s="20"/>
      <c r="Z719" s="20"/>
    </row>
    <row r="720" spans="3:26" ht="17.25" customHeight="1">
      <c r="C720" s="15"/>
      <c r="G720" s="47"/>
      <c r="H720" s="20"/>
      <c r="I720" s="20"/>
      <c r="J720" s="20"/>
      <c r="K720" s="20"/>
      <c r="L720" s="20"/>
      <c r="M720" s="20"/>
      <c r="N720" s="20"/>
      <c r="O720" s="20"/>
      <c r="P720" s="20"/>
      <c r="Q720" s="20"/>
      <c r="R720" s="20"/>
      <c r="S720" s="20"/>
      <c r="T720" s="20"/>
      <c r="U720" s="20"/>
      <c r="V720" s="20"/>
      <c r="W720" s="20"/>
      <c r="X720" s="20"/>
      <c r="Y720" s="20"/>
      <c r="Z720" s="20"/>
    </row>
    <row r="721" spans="3:26" ht="17.25" customHeight="1">
      <c r="C721" s="15"/>
      <c r="G721" s="47"/>
      <c r="H721" s="20"/>
      <c r="I721" s="20"/>
      <c r="J721" s="20"/>
      <c r="K721" s="20"/>
      <c r="L721" s="20"/>
      <c r="M721" s="20"/>
      <c r="N721" s="20"/>
      <c r="O721" s="20"/>
      <c r="P721" s="20"/>
      <c r="Q721" s="20"/>
      <c r="R721" s="20"/>
      <c r="S721" s="20"/>
      <c r="T721" s="20"/>
      <c r="U721" s="20"/>
      <c r="V721" s="20"/>
      <c r="W721" s="20"/>
      <c r="X721" s="20"/>
      <c r="Y721" s="20"/>
      <c r="Z721" s="20"/>
    </row>
    <row r="722" spans="3:26" ht="17.25" customHeight="1">
      <c r="C722" s="15"/>
      <c r="G722" s="47"/>
      <c r="H722" s="20"/>
      <c r="I722" s="20"/>
      <c r="J722" s="20"/>
      <c r="K722" s="20"/>
      <c r="L722" s="20"/>
      <c r="M722" s="20"/>
      <c r="N722" s="20"/>
      <c r="O722" s="20"/>
      <c r="P722" s="20"/>
      <c r="Q722" s="20"/>
      <c r="R722" s="20"/>
      <c r="S722" s="20"/>
      <c r="T722" s="20"/>
      <c r="U722" s="20"/>
      <c r="V722" s="20"/>
      <c r="W722" s="20"/>
      <c r="X722" s="20"/>
      <c r="Y722" s="20"/>
      <c r="Z722" s="20"/>
    </row>
    <row r="723" spans="3:26" ht="17.25" customHeight="1">
      <c r="C723" s="15"/>
      <c r="G723" s="47"/>
      <c r="H723" s="20"/>
      <c r="I723" s="20"/>
      <c r="J723" s="20"/>
      <c r="K723" s="20"/>
      <c r="L723" s="20"/>
      <c r="M723" s="20"/>
      <c r="N723" s="20"/>
      <c r="O723" s="20"/>
      <c r="P723" s="20"/>
      <c r="Q723" s="20"/>
      <c r="R723" s="20"/>
      <c r="S723" s="20"/>
      <c r="T723" s="20"/>
      <c r="U723" s="20"/>
      <c r="V723" s="20"/>
      <c r="W723" s="20"/>
      <c r="X723" s="20"/>
      <c r="Y723" s="20"/>
      <c r="Z723" s="20"/>
    </row>
    <row r="724" spans="3:26" ht="17.25" customHeight="1">
      <c r="C724" s="15"/>
      <c r="G724" s="47"/>
      <c r="H724" s="20"/>
      <c r="I724" s="20"/>
      <c r="J724" s="20"/>
      <c r="K724" s="20"/>
      <c r="L724" s="20"/>
      <c r="M724" s="20"/>
      <c r="N724" s="20"/>
      <c r="O724" s="20"/>
      <c r="P724" s="20"/>
      <c r="Q724" s="20"/>
      <c r="R724" s="20"/>
      <c r="S724" s="20"/>
      <c r="T724" s="20"/>
      <c r="U724" s="20"/>
      <c r="V724" s="20"/>
      <c r="W724" s="20"/>
      <c r="X724" s="20"/>
      <c r="Y724" s="20"/>
      <c r="Z724" s="20"/>
    </row>
    <row r="725" spans="3:26" ht="17.25" customHeight="1">
      <c r="C725" s="15"/>
      <c r="G725" s="47"/>
      <c r="H725" s="20"/>
      <c r="I725" s="20"/>
      <c r="J725" s="20"/>
      <c r="K725" s="20"/>
      <c r="L725" s="20"/>
      <c r="M725" s="20"/>
      <c r="N725" s="20"/>
      <c r="O725" s="20"/>
      <c r="P725" s="20"/>
      <c r="Q725" s="20"/>
      <c r="R725" s="20"/>
      <c r="S725" s="20"/>
      <c r="T725" s="20"/>
      <c r="U725" s="20"/>
      <c r="V725" s="20"/>
      <c r="W725" s="20"/>
      <c r="X725" s="20"/>
      <c r="Y725" s="20"/>
      <c r="Z725" s="20"/>
    </row>
    <row r="726" spans="3:26" ht="17.25" customHeight="1">
      <c r="C726" s="15"/>
      <c r="G726" s="47"/>
      <c r="H726" s="20"/>
      <c r="I726" s="20"/>
      <c r="J726" s="20"/>
      <c r="K726" s="20"/>
      <c r="L726" s="20"/>
      <c r="M726" s="20"/>
      <c r="N726" s="20"/>
      <c r="O726" s="20"/>
      <c r="P726" s="20"/>
      <c r="Q726" s="20"/>
      <c r="R726" s="20"/>
      <c r="S726" s="20"/>
      <c r="T726" s="20"/>
      <c r="U726" s="20"/>
      <c r="V726" s="20"/>
      <c r="W726" s="20"/>
      <c r="X726" s="20"/>
      <c r="Y726" s="20"/>
      <c r="Z726" s="20"/>
    </row>
    <row r="727" spans="3:26" ht="17.25" customHeight="1">
      <c r="C727" s="15"/>
      <c r="G727" s="47"/>
      <c r="H727" s="20"/>
      <c r="I727" s="20"/>
      <c r="J727" s="20"/>
      <c r="K727" s="20"/>
      <c r="L727" s="20"/>
      <c r="M727" s="20"/>
      <c r="N727" s="20"/>
      <c r="O727" s="20"/>
      <c r="P727" s="20"/>
      <c r="Q727" s="20"/>
      <c r="R727" s="20"/>
      <c r="S727" s="20"/>
      <c r="T727" s="20"/>
      <c r="U727" s="20"/>
      <c r="V727" s="20"/>
      <c r="W727" s="20"/>
      <c r="X727" s="20"/>
      <c r="Y727" s="20"/>
      <c r="Z727" s="20"/>
    </row>
    <row r="728" spans="3:26" ht="17.25" customHeight="1">
      <c r="C728" s="15"/>
      <c r="G728" s="47"/>
      <c r="H728" s="20"/>
      <c r="I728" s="20"/>
      <c r="J728" s="20"/>
      <c r="K728" s="20"/>
      <c r="L728" s="20"/>
      <c r="M728" s="20"/>
      <c r="N728" s="20"/>
      <c r="O728" s="20"/>
      <c r="P728" s="20"/>
      <c r="Q728" s="20"/>
      <c r="R728" s="20"/>
      <c r="S728" s="20"/>
      <c r="T728" s="20"/>
      <c r="U728" s="20"/>
      <c r="V728" s="20"/>
      <c r="W728" s="20"/>
      <c r="X728" s="20"/>
      <c r="Y728" s="20"/>
      <c r="Z728" s="20"/>
    </row>
    <row r="729" spans="3:26" ht="17.25" customHeight="1">
      <c r="C729" s="15"/>
      <c r="G729" s="47"/>
      <c r="H729" s="20"/>
      <c r="I729" s="20"/>
      <c r="J729" s="20"/>
      <c r="K729" s="20"/>
      <c r="L729" s="20"/>
      <c r="M729" s="20"/>
      <c r="N729" s="20"/>
      <c r="O729" s="20"/>
      <c r="P729" s="20"/>
      <c r="Q729" s="20"/>
      <c r="R729" s="20"/>
      <c r="S729" s="20"/>
      <c r="T729" s="20"/>
      <c r="U729" s="20"/>
      <c r="V729" s="20"/>
      <c r="W729" s="20"/>
      <c r="X729" s="20"/>
      <c r="Y729" s="20"/>
      <c r="Z729" s="20"/>
    </row>
    <row r="730" spans="3:26" ht="17.25" customHeight="1">
      <c r="C730" s="15"/>
      <c r="G730" s="47"/>
      <c r="H730" s="20"/>
      <c r="I730" s="20"/>
      <c r="J730" s="20"/>
      <c r="K730" s="20"/>
      <c r="L730" s="20"/>
      <c r="M730" s="20"/>
      <c r="N730" s="20"/>
      <c r="O730" s="20"/>
      <c r="P730" s="20"/>
      <c r="Q730" s="20"/>
      <c r="R730" s="20"/>
      <c r="S730" s="20"/>
      <c r="T730" s="20"/>
      <c r="U730" s="20"/>
      <c r="V730" s="20"/>
      <c r="W730" s="20"/>
      <c r="X730" s="20"/>
      <c r="Y730" s="20"/>
      <c r="Z730" s="20"/>
    </row>
    <row r="731" spans="3:26" ht="17.25" customHeight="1">
      <c r="C731" s="15"/>
      <c r="G731" s="47"/>
      <c r="H731" s="20"/>
      <c r="I731" s="20"/>
      <c r="J731" s="20"/>
      <c r="K731" s="20"/>
      <c r="L731" s="20"/>
      <c r="M731" s="20"/>
      <c r="N731" s="20"/>
      <c r="O731" s="20"/>
      <c r="P731" s="20"/>
      <c r="Q731" s="20"/>
      <c r="R731" s="20"/>
      <c r="S731" s="20"/>
      <c r="T731" s="20"/>
      <c r="U731" s="20"/>
      <c r="V731" s="20"/>
      <c r="W731" s="20"/>
      <c r="X731" s="20"/>
      <c r="Y731" s="20"/>
      <c r="Z731" s="20"/>
    </row>
    <row r="732" spans="3:26" ht="17.25" customHeight="1">
      <c r="C732" s="15"/>
      <c r="G732" s="47"/>
      <c r="H732" s="20"/>
      <c r="I732" s="20"/>
      <c r="J732" s="20"/>
      <c r="K732" s="20"/>
      <c r="L732" s="20"/>
      <c r="M732" s="20"/>
      <c r="N732" s="20"/>
      <c r="O732" s="20"/>
      <c r="P732" s="20"/>
      <c r="Q732" s="20"/>
      <c r="R732" s="20"/>
      <c r="S732" s="20"/>
      <c r="T732" s="20"/>
      <c r="U732" s="20"/>
      <c r="V732" s="20"/>
      <c r="W732" s="20"/>
      <c r="X732" s="20"/>
      <c r="Y732" s="20"/>
      <c r="Z732" s="20"/>
    </row>
    <row r="733" spans="3:26" ht="17.25" customHeight="1">
      <c r="C733" s="15"/>
      <c r="G733" s="47"/>
      <c r="H733" s="20"/>
      <c r="I733" s="20"/>
      <c r="J733" s="20"/>
      <c r="K733" s="20"/>
      <c r="L733" s="20"/>
      <c r="M733" s="20"/>
      <c r="N733" s="20"/>
      <c r="O733" s="20"/>
      <c r="P733" s="20"/>
      <c r="Q733" s="20"/>
      <c r="R733" s="20"/>
      <c r="S733" s="20"/>
      <c r="T733" s="20"/>
      <c r="U733" s="20"/>
      <c r="V733" s="20"/>
      <c r="W733" s="20"/>
      <c r="X733" s="20"/>
      <c r="Y733" s="20"/>
      <c r="Z733" s="20"/>
    </row>
    <row r="734" spans="3:26" ht="17.25" customHeight="1">
      <c r="C734" s="15"/>
      <c r="G734" s="47"/>
      <c r="H734" s="20"/>
      <c r="I734" s="20"/>
      <c r="J734" s="20"/>
      <c r="K734" s="20"/>
      <c r="L734" s="20"/>
      <c r="M734" s="20"/>
      <c r="N734" s="20"/>
      <c r="O734" s="20"/>
      <c r="P734" s="20"/>
      <c r="Q734" s="20"/>
      <c r="R734" s="20"/>
      <c r="S734" s="20"/>
      <c r="T734" s="20"/>
      <c r="U734" s="20"/>
      <c r="V734" s="20"/>
      <c r="W734" s="20"/>
      <c r="X734" s="20"/>
      <c r="Y734" s="20"/>
      <c r="Z734" s="20"/>
    </row>
    <row r="735" spans="3:26" ht="17.25" customHeight="1">
      <c r="C735" s="15"/>
      <c r="G735" s="47"/>
      <c r="H735" s="20"/>
      <c r="I735" s="20"/>
      <c r="J735" s="20"/>
      <c r="K735" s="20"/>
      <c r="L735" s="20"/>
      <c r="M735" s="20"/>
      <c r="N735" s="20"/>
      <c r="O735" s="20"/>
      <c r="P735" s="20"/>
      <c r="Q735" s="20"/>
      <c r="R735" s="20"/>
      <c r="S735" s="20"/>
      <c r="T735" s="20"/>
      <c r="U735" s="20"/>
      <c r="V735" s="20"/>
      <c r="W735" s="20"/>
      <c r="X735" s="20"/>
      <c r="Y735" s="20"/>
      <c r="Z735" s="20"/>
    </row>
    <row r="736" spans="3:26" ht="17.25" customHeight="1">
      <c r="C736" s="15"/>
      <c r="G736" s="47"/>
      <c r="H736" s="20"/>
      <c r="I736" s="20"/>
      <c r="J736" s="20"/>
      <c r="K736" s="20"/>
      <c r="L736" s="20"/>
      <c r="M736" s="20"/>
      <c r="N736" s="20"/>
      <c r="O736" s="20"/>
      <c r="P736" s="20"/>
      <c r="Q736" s="20"/>
      <c r="R736" s="20"/>
      <c r="S736" s="20"/>
      <c r="T736" s="20"/>
      <c r="U736" s="20"/>
      <c r="V736" s="20"/>
      <c r="W736" s="20"/>
      <c r="X736" s="20"/>
      <c r="Y736" s="20"/>
      <c r="Z736" s="20"/>
    </row>
    <row r="737" spans="3:26" ht="17.25" customHeight="1">
      <c r="C737" s="15"/>
      <c r="G737" s="47"/>
      <c r="H737" s="20"/>
      <c r="I737" s="20"/>
      <c r="J737" s="20"/>
      <c r="K737" s="20"/>
      <c r="L737" s="20"/>
      <c r="M737" s="20"/>
      <c r="N737" s="20"/>
      <c r="O737" s="20"/>
      <c r="P737" s="20"/>
      <c r="Q737" s="20"/>
      <c r="R737" s="20"/>
      <c r="S737" s="20"/>
      <c r="T737" s="20"/>
      <c r="U737" s="20"/>
      <c r="V737" s="20"/>
      <c r="W737" s="20"/>
      <c r="X737" s="20"/>
      <c r="Y737" s="20"/>
      <c r="Z737" s="20"/>
    </row>
    <row r="738" spans="3:26" ht="17.25" customHeight="1">
      <c r="C738" s="15"/>
      <c r="G738" s="47"/>
      <c r="H738" s="20"/>
      <c r="I738" s="20"/>
      <c r="J738" s="20"/>
      <c r="K738" s="20"/>
      <c r="L738" s="20"/>
      <c r="M738" s="20"/>
      <c r="N738" s="20"/>
      <c r="O738" s="20"/>
      <c r="P738" s="20"/>
      <c r="Q738" s="20"/>
      <c r="R738" s="20"/>
      <c r="S738" s="20"/>
      <c r="T738" s="20"/>
      <c r="U738" s="20"/>
      <c r="V738" s="20"/>
      <c r="W738" s="20"/>
      <c r="X738" s="20"/>
      <c r="Y738" s="20"/>
      <c r="Z738" s="20"/>
    </row>
    <row r="739" spans="3:26" ht="17.25" customHeight="1">
      <c r="C739" s="15"/>
      <c r="G739" s="47"/>
      <c r="H739" s="20"/>
      <c r="I739" s="20"/>
      <c r="J739" s="20"/>
      <c r="K739" s="20"/>
      <c r="L739" s="20"/>
      <c r="M739" s="20"/>
      <c r="N739" s="20"/>
      <c r="O739" s="20"/>
      <c r="P739" s="20"/>
      <c r="Q739" s="20"/>
      <c r="R739" s="20"/>
      <c r="S739" s="20"/>
      <c r="T739" s="20"/>
      <c r="U739" s="20"/>
      <c r="V739" s="20"/>
      <c r="W739" s="20"/>
      <c r="X739" s="20"/>
      <c r="Y739" s="20"/>
      <c r="Z739" s="20"/>
    </row>
    <row r="740" spans="3:26" ht="17.25" customHeight="1">
      <c r="C740" s="15"/>
      <c r="G740" s="47"/>
      <c r="H740" s="20"/>
      <c r="I740" s="20"/>
      <c r="J740" s="20"/>
      <c r="K740" s="20"/>
      <c r="L740" s="20"/>
      <c r="M740" s="20"/>
      <c r="N740" s="20"/>
      <c r="O740" s="20"/>
      <c r="P740" s="20"/>
      <c r="Q740" s="20"/>
      <c r="R740" s="20"/>
      <c r="S740" s="20"/>
      <c r="T740" s="20"/>
      <c r="U740" s="20"/>
      <c r="V740" s="20"/>
      <c r="W740" s="20"/>
      <c r="X740" s="20"/>
      <c r="Y740" s="20"/>
      <c r="Z740" s="20"/>
    </row>
    <row r="741" spans="3:26" ht="17.25" customHeight="1">
      <c r="C741" s="15"/>
      <c r="G741" s="47"/>
      <c r="H741" s="20"/>
      <c r="I741" s="20"/>
      <c r="J741" s="20"/>
      <c r="K741" s="20"/>
      <c r="L741" s="20"/>
      <c r="M741" s="20"/>
      <c r="N741" s="20"/>
      <c r="O741" s="20"/>
      <c r="P741" s="20"/>
      <c r="Q741" s="20"/>
      <c r="R741" s="20"/>
      <c r="S741" s="20"/>
      <c r="T741" s="20"/>
      <c r="U741" s="20"/>
      <c r="V741" s="20"/>
      <c r="W741" s="20"/>
      <c r="X741" s="20"/>
      <c r="Y741" s="20"/>
      <c r="Z741" s="20"/>
    </row>
    <row r="742" spans="3:26" ht="17.25" customHeight="1">
      <c r="C742" s="15"/>
      <c r="G742" s="47"/>
      <c r="H742" s="20"/>
      <c r="I742" s="20"/>
      <c r="J742" s="20"/>
      <c r="K742" s="20"/>
      <c r="L742" s="20"/>
      <c r="M742" s="20"/>
      <c r="N742" s="20"/>
      <c r="O742" s="20"/>
      <c r="P742" s="20"/>
      <c r="Q742" s="20"/>
      <c r="R742" s="20"/>
      <c r="S742" s="20"/>
      <c r="T742" s="20"/>
      <c r="U742" s="20"/>
      <c r="V742" s="20"/>
      <c r="W742" s="20"/>
      <c r="X742" s="20"/>
      <c r="Y742" s="20"/>
      <c r="Z742" s="20"/>
    </row>
    <row r="743" spans="3:26" ht="17.25" customHeight="1">
      <c r="C743" s="15"/>
      <c r="G743" s="47"/>
      <c r="H743" s="20"/>
      <c r="I743" s="20"/>
      <c r="J743" s="20"/>
      <c r="K743" s="20"/>
      <c r="L743" s="20"/>
      <c r="M743" s="20"/>
      <c r="N743" s="20"/>
      <c r="O743" s="20"/>
      <c r="P743" s="20"/>
      <c r="Q743" s="20"/>
      <c r="R743" s="20"/>
      <c r="S743" s="20"/>
      <c r="T743" s="20"/>
      <c r="U743" s="20"/>
      <c r="V743" s="20"/>
      <c r="W743" s="20"/>
      <c r="X743" s="20"/>
      <c r="Y743" s="20"/>
      <c r="Z743" s="20"/>
    </row>
    <row r="744" spans="3:26" ht="17.25" customHeight="1">
      <c r="C744" s="15"/>
      <c r="G744" s="47"/>
      <c r="H744" s="20"/>
      <c r="I744" s="20"/>
      <c r="J744" s="20"/>
      <c r="K744" s="20"/>
      <c r="L744" s="20"/>
      <c r="M744" s="20"/>
      <c r="N744" s="20"/>
      <c r="O744" s="20"/>
      <c r="P744" s="20"/>
      <c r="Q744" s="20"/>
      <c r="R744" s="20"/>
      <c r="S744" s="20"/>
      <c r="T744" s="20"/>
      <c r="U744" s="20"/>
      <c r="V744" s="20"/>
      <c r="W744" s="20"/>
      <c r="X744" s="20"/>
      <c r="Y744" s="20"/>
      <c r="Z744" s="20"/>
    </row>
    <row r="745" spans="3:26" ht="17.25" customHeight="1">
      <c r="C745" s="15"/>
      <c r="G745" s="47"/>
      <c r="H745" s="20"/>
      <c r="I745" s="20"/>
      <c r="J745" s="20"/>
      <c r="K745" s="20"/>
      <c r="L745" s="20"/>
      <c r="M745" s="20"/>
      <c r="N745" s="20"/>
      <c r="O745" s="20"/>
      <c r="P745" s="20"/>
      <c r="Q745" s="20"/>
      <c r="R745" s="20"/>
      <c r="S745" s="20"/>
      <c r="T745" s="20"/>
      <c r="U745" s="20"/>
      <c r="V745" s="20"/>
      <c r="W745" s="20"/>
      <c r="X745" s="20"/>
      <c r="Y745" s="20"/>
      <c r="Z745" s="20"/>
    </row>
    <row r="746" spans="3:26" ht="17.25" customHeight="1">
      <c r="C746" s="15"/>
      <c r="G746" s="47"/>
      <c r="H746" s="20"/>
      <c r="I746" s="20"/>
      <c r="J746" s="20"/>
      <c r="K746" s="20"/>
      <c r="L746" s="20"/>
      <c r="M746" s="20"/>
      <c r="N746" s="20"/>
      <c r="O746" s="20"/>
      <c r="P746" s="20"/>
      <c r="Q746" s="20"/>
      <c r="R746" s="20"/>
      <c r="S746" s="20"/>
      <c r="T746" s="20"/>
      <c r="U746" s="20"/>
      <c r="V746" s="20"/>
      <c r="W746" s="20"/>
      <c r="X746" s="20"/>
      <c r="Y746" s="20"/>
      <c r="Z746" s="20"/>
    </row>
    <row r="747" spans="3:26" ht="17.25" customHeight="1">
      <c r="C747" s="15"/>
      <c r="G747" s="47"/>
      <c r="H747" s="20"/>
      <c r="I747" s="20"/>
      <c r="J747" s="20"/>
      <c r="K747" s="20"/>
      <c r="L747" s="20"/>
      <c r="M747" s="20"/>
      <c r="N747" s="20"/>
      <c r="O747" s="20"/>
      <c r="P747" s="20"/>
      <c r="Q747" s="20"/>
      <c r="R747" s="20"/>
      <c r="S747" s="20"/>
      <c r="T747" s="20"/>
      <c r="U747" s="20"/>
      <c r="V747" s="20"/>
      <c r="W747" s="20"/>
      <c r="X747" s="20"/>
      <c r="Y747" s="20"/>
      <c r="Z747" s="20"/>
    </row>
    <row r="748" spans="3:26" ht="17.25" customHeight="1">
      <c r="C748" s="15"/>
      <c r="G748" s="47"/>
      <c r="H748" s="20"/>
      <c r="I748" s="20"/>
      <c r="J748" s="20"/>
      <c r="K748" s="20"/>
      <c r="L748" s="20"/>
      <c r="M748" s="20"/>
      <c r="N748" s="20"/>
      <c r="O748" s="20"/>
      <c r="P748" s="20"/>
      <c r="Q748" s="20"/>
      <c r="R748" s="20"/>
      <c r="S748" s="20"/>
      <c r="T748" s="20"/>
      <c r="U748" s="20"/>
      <c r="V748" s="20"/>
      <c r="W748" s="20"/>
      <c r="X748" s="20"/>
      <c r="Y748" s="20"/>
      <c r="Z748" s="20"/>
    </row>
    <row r="749" spans="3:26" ht="17.25" customHeight="1">
      <c r="C749" s="15"/>
      <c r="G749" s="47"/>
      <c r="H749" s="20"/>
      <c r="I749" s="20"/>
      <c r="J749" s="20"/>
      <c r="K749" s="20"/>
      <c r="L749" s="20"/>
      <c r="M749" s="20"/>
      <c r="N749" s="20"/>
      <c r="O749" s="20"/>
      <c r="P749" s="20"/>
      <c r="Q749" s="20"/>
      <c r="R749" s="20"/>
      <c r="S749" s="20"/>
      <c r="T749" s="20"/>
      <c r="U749" s="20"/>
      <c r="V749" s="20"/>
      <c r="W749" s="20"/>
      <c r="X749" s="20"/>
      <c r="Y749" s="20"/>
      <c r="Z749" s="20"/>
    </row>
    <row r="750" spans="3:26" ht="17.25" customHeight="1">
      <c r="C750" s="15"/>
      <c r="G750" s="47"/>
      <c r="H750" s="20"/>
      <c r="I750" s="20"/>
      <c r="J750" s="20"/>
      <c r="K750" s="20"/>
      <c r="L750" s="20"/>
      <c r="M750" s="20"/>
      <c r="N750" s="20"/>
      <c r="O750" s="20"/>
      <c r="P750" s="20"/>
      <c r="Q750" s="20"/>
      <c r="R750" s="20"/>
      <c r="S750" s="20"/>
      <c r="T750" s="20"/>
      <c r="U750" s="20"/>
      <c r="V750" s="20"/>
      <c r="W750" s="20"/>
      <c r="X750" s="20"/>
      <c r="Y750" s="20"/>
      <c r="Z750" s="20"/>
    </row>
    <row r="751" spans="3:26" ht="17.25" customHeight="1">
      <c r="C751" s="15"/>
      <c r="G751" s="47"/>
      <c r="H751" s="20"/>
      <c r="I751" s="20"/>
      <c r="J751" s="20"/>
      <c r="K751" s="20"/>
      <c r="L751" s="20"/>
      <c r="M751" s="20"/>
      <c r="N751" s="20"/>
      <c r="O751" s="20"/>
      <c r="P751" s="20"/>
      <c r="Q751" s="20"/>
      <c r="R751" s="20"/>
      <c r="S751" s="20"/>
      <c r="T751" s="20"/>
      <c r="U751" s="20"/>
      <c r="V751" s="20"/>
      <c r="W751" s="20"/>
      <c r="X751" s="20"/>
      <c r="Y751" s="20"/>
      <c r="Z751" s="20"/>
    </row>
    <row r="752" spans="3:26" ht="17.25" customHeight="1">
      <c r="C752" s="15"/>
      <c r="G752" s="47"/>
      <c r="H752" s="20"/>
      <c r="I752" s="20"/>
      <c r="J752" s="20"/>
      <c r="K752" s="20"/>
      <c r="L752" s="20"/>
      <c r="M752" s="20"/>
      <c r="N752" s="20"/>
      <c r="O752" s="20"/>
      <c r="P752" s="20"/>
      <c r="Q752" s="20"/>
      <c r="R752" s="20"/>
      <c r="S752" s="20"/>
      <c r="T752" s="20"/>
      <c r="U752" s="20"/>
      <c r="V752" s="20"/>
      <c r="W752" s="20"/>
      <c r="X752" s="20"/>
      <c r="Y752" s="20"/>
      <c r="Z752" s="20"/>
    </row>
    <row r="753" spans="3:26" ht="17.25" customHeight="1">
      <c r="C753" s="15"/>
      <c r="G753" s="47"/>
      <c r="H753" s="20"/>
      <c r="I753" s="20"/>
      <c r="J753" s="20"/>
      <c r="K753" s="20"/>
      <c r="L753" s="20"/>
      <c r="M753" s="20"/>
      <c r="N753" s="20"/>
      <c r="O753" s="20"/>
      <c r="P753" s="20"/>
      <c r="Q753" s="20"/>
      <c r="R753" s="20"/>
      <c r="S753" s="20"/>
      <c r="T753" s="20"/>
      <c r="U753" s="20"/>
      <c r="V753" s="20"/>
      <c r="W753" s="20"/>
      <c r="X753" s="20"/>
      <c r="Y753" s="20"/>
      <c r="Z753" s="20"/>
    </row>
    <row r="754" spans="3:26" ht="17.25" customHeight="1">
      <c r="C754" s="15"/>
      <c r="G754" s="47"/>
      <c r="H754" s="20"/>
      <c r="I754" s="20"/>
      <c r="J754" s="20"/>
      <c r="K754" s="20"/>
      <c r="L754" s="20"/>
      <c r="M754" s="20"/>
      <c r="N754" s="20"/>
      <c r="O754" s="20"/>
      <c r="P754" s="20"/>
      <c r="Q754" s="20"/>
      <c r="R754" s="20"/>
      <c r="S754" s="20"/>
      <c r="T754" s="20"/>
      <c r="U754" s="20"/>
      <c r="V754" s="20"/>
      <c r="W754" s="20"/>
      <c r="X754" s="20"/>
      <c r="Y754" s="20"/>
      <c r="Z754" s="20"/>
    </row>
    <row r="755" spans="3:26" ht="17.25" customHeight="1">
      <c r="C755" s="15"/>
      <c r="G755" s="47"/>
      <c r="H755" s="20"/>
      <c r="I755" s="20"/>
      <c r="J755" s="20"/>
      <c r="K755" s="20"/>
      <c r="L755" s="20"/>
      <c r="M755" s="20"/>
      <c r="N755" s="20"/>
      <c r="O755" s="20"/>
      <c r="P755" s="20"/>
      <c r="Q755" s="20"/>
      <c r="R755" s="20"/>
      <c r="S755" s="20"/>
      <c r="T755" s="20"/>
      <c r="U755" s="20"/>
      <c r="V755" s="20"/>
      <c r="W755" s="20"/>
      <c r="X755" s="20"/>
      <c r="Y755" s="20"/>
      <c r="Z755" s="20"/>
    </row>
    <row r="756" spans="3:26" ht="17.25" customHeight="1">
      <c r="C756" s="15"/>
      <c r="G756" s="47"/>
      <c r="H756" s="20"/>
      <c r="I756" s="20"/>
      <c r="J756" s="20"/>
      <c r="K756" s="20"/>
      <c r="L756" s="20"/>
      <c r="M756" s="20"/>
      <c r="N756" s="20"/>
      <c r="O756" s="20"/>
      <c r="P756" s="20"/>
      <c r="Q756" s="20"/>
      <c r="R756" s="20"/>
      <c r="S756" s="20"/>
      <c r="T756" s="20"/>
      <c r="U756" s="20"/>
      <c r="V756" s="20"/>
      <c r="W756" s="20"/>
      <c r="X756" s="20"/>
      <c r="Y756" s="20"/>
      <c r="Z756" s="20"/>
    </row>
    <row r="757" spans="3:26" ht="17.25" customHeight="1">
      <c r="C757" s="15"/>
      <c r="G757" s="47"/>
      <c r="H757" s="20"/>
      <c r="I757" s="20"/>
      <c r="J757" s="20"/>
      <c r="K757" s="20"/>
      <c r="L757" s="20"/>
      <c r="M757" s="20"/>
      <c r="N757" s="20"/>
      <c r="O757" s="20"/>
      <c r="P757" s="20"/>
      <c r="Q757" s="20"/>
      <c r="R757" s="20"/>
      <c r="S757" s="20"/>
      <c r="T757" s="20"/>
      <c r="U757" s="20"/>
      <c r="V757" s="20"/>
      <c r="W757" s="20"/>
      <c r="X757" s="20"/>
      <c r="Y757" s="20"/>
      <c r="Z757" s="20"/>
    </row>
    <row r="758" spans="3:26" ht="17.25" customHeight="1">
      <c r="C758" s="15"/>
      <c r="G758" s="47"/>
      <c r="H758" s="20"/>
      <c r="I758" s="20"/>
      <c r="J758" s="20"/>
      <c r="K758" s="20"/>
      <c r="L758" s="20"/>
      <c r="M758" s="20"/>
      <c r="N758" s="20"/>
      <c r="O758" s="20"/>
      <c r="P758" s="20"/>
      <c r="Q758" s="20"/>
      <c r="R758" s="20"/>
      <c r="S758" s="20"/>
      <c r="T758" s="20"/>
      <c r="U758" s="20"/>
      <c r="V758" s="20"/>
      <c r="W758" s="20"/>
      <c r="X758" s="20"/>
      <c r="Y758" s="20"/>
      <c r="Z758" s="20"/>
    </row>
    <row r="759" spans="3:26" ht="17.25" customHeight="1">
      <c r="C759" s="15"/>
      <c r="G759" s="47"/>
      <c r="H759" s="20"/>
      <c r="I759" s="20"/>
      <c r="J759" s="20"/>
      <c r="K759" s="20"/>
      <c r="L759" s="20"/>
      <c r="M759" s="20"/>
      <c r="N759" s="20"/>
      <c r="O759" s="20"/>
      <c r="P759" s="20"/>
      <c r="Q759" s="20"/>
      <c r="R759" s="20"/>
      <c r="S759" s="20"/>
      <c r="T759" s="20"/>
      <c r="U759" s="20"/>
      <c r="V759" s="20"/>
      <c r="W759" s="20"/>
      <c r="X759" s="20"/>
      <c r="Y759" s="20"/>
      <c r="Z759" s="20"/>
    </row>
    <row r="760" spans="3:26" ht="17.25" customHeight="1">
      <c r="C760" s="15"/>
      <c r="G760" s="47"/>
      <c r="H760" s="20"/>
      <c r="I760" s="20"/>
      <c r="J760" s="20"/>
      <c r="K760" s="20"/>
      <c r="L760" s="20"/>
      <c r="M760" s="20"/>
      <c r="N760" s="20"/>
      <c r="O760" s="20"/>
      <c r="P760" s="20"/>
      <c r="Q760" s="20"/>
      <c r="R760" s="20"/>
      <c r="S760" s="20"/>
      <c r="T760" s="20"/>
      <c r="U760" s="20"/>
      <c r="V760" s="20"/>
      <c r="W760" s="20"/>
      <c r="X760" s="20"/>
      <c r="Y760" s="20"/>
      <c r="Z760" s="20"/>
    </row>
    <row r="761" spans="3:26" ht="17.25" customHeight="1">
      <c r="C761" s="15"/>
      <c r="G761" s="47"/>
      <c r="H761" s="20"/>
      <c r="I761" s="20"/>
      <c r="J761" s="20"/>
      <c r="K761" s="20"/>
      <c r="L761" s="20"/>
      <c r="M761" s="20"/>
      <c r="N761" s="20"/>
      <c r="O761" s="20"/>
      <c r="P761" s="20"/>
      <c r="Q761" s="20"/>
      <c r="R761" s="20"/>
      <c r="S761" s="20"/>
      <c r="T761" s="20"/>
      <c r="U761" s="20"/>
      <c r="V761" s="20"/>
      <c r="W761" s="20"/>
      <c r="X761" s="20"/>
      <c r="Y761" s="20"/>
      <c r="Z761" s="20"/>
    </row>
    <row r="762" spans="3:26" ht="17.25" customHeight="1">
      <c r="C762" s="15"/>
      <c r="G762" s="47"/>
      <c r="H762" s="20"/>
      <c r="I762" s="20"/>
      <c r="J762" s="20"/>
      <c r="K762" s="20"/>
      <c r="L762" s="20"/>
      <c r="M762" s="20"/>
      <c r="N762" s="20"/>
      <c r="O762" s="20"/>
      <c r="P762" s="20"/>
      <c r="Q762" s="20"/>
      <c r="R762" s="20"/>
      <c r="S762" s="20"/>
      <c r="T762" s="20"/>
      <c r="U762" s="20"/>
      <c r="V762" s="20"/>
      <c r="W762" s="20"/>
      <c r="X762" s="20"/>
      <c r="Y762" s="20"/>
      <c r="Z762" s="20"/>
    </row>
    <row r="763" spans="3:26" ht="17.25" customHeight="1">
      <c r="C763" s="15"/>
      <c r="G763" s="47"/>
      <c r="H763" s="20"/>
      <c r="I763" s="20"/>
      <c r="J763" s="20"/>
      <c r="K763" s="20"/>
      <c r="L763" s="20"/>
      <c r="M763" s="20"/>
      <c r="N763" s="20"/>
      <c r="O763" s="20"/>
      <c r="P763" s="20"/>
      <c r="Q763" s="20"/>
      <c r="R763" s="20"/>
      <c r="S763" s="20"/>
      <c r="T763" s="20"/>
      <c r="U763" s="20"/>
      <c r="V763" s="20"/>
      <c r="W763" s="20"/>
      <c r="X763" s="20"/>
      <c r="Y763" s="20"/>
      <c r="Z763" s="20"/>
    </row>
    <row r="764" spans="3:26" ht="17.25" customHeight="1">
      <c r="C764" s="15"/>
      <c r="G764" s="47"/>
      <c r="H764" s="20"/>
      <c r="I764" s="20"/>
      <c r="J764" s="20"/>
      <c r="K764" s="20"/>
      <c r="L764" s="20"/>
      <c r="M764" s="20"/>
      <c r="N764" s="20"/>
      <c r="O764" s="20"/>
      <c r="P764" s="20"/>
      <c r="Q764" s="20"/>
      <c r="R764" s="20"/>
      <c r="S764" s="20"/>
      <c r="T764" s="20"/>
      <c r="U764" s="20"/>
      <c r="V764" s="20"/>
      <c r="W764" s="20"/>
      <c r="X764" s="20"/>
      <c r="Y764" s="20"/>
      <c r="Z764" s="20"/>
    </row>
    <row r="765" spans="3:26" ht="17.25" customHeight="1">
      <c r="C765" s="15"/>
      <c r="G765" s="47"/>
      <c r="H765" s="20"/>
      <c r="I765" s="20"/>
      <c r="J765" s="20"/>
      <c r="K765" s="20"/>
      <c r="L765" s="20"/>
      <c r="M765" s="20"/>
      <c r="N765" s="20"/>
      <c r="O765" s="20"/>
      <c r="P765" s="20"/>
      <c r="Q765" s="20"/>
      <c r="R765" s="20"/>
      <c r="S765" s="20"/>
      <c r="T765" s="20"/>
      <c r="U765" s="20"/>
      <c r="V765" s="20"/>
      <c r="W765" s="20"/>
      <c r="X765" s="20"/>
      <c r="Y765" s="20"/>
      <c r="Z765" s="20"/>
    </row>
    <row r="766" spans="3:26" ht="17.25" customHeight="1">
      <c r="C766" s="15"/>
      <c r="G766" s="47"/>
      <c r="H766" s="20"/>
      <c r="I766" s="20"/>
      <c r="J766" s="20"/>
      <c r="K766" s="20"/>
      <c r="L766" s="20"/>
      <c r="M766" s="20"/>
      <c r="N766" s="20"/>
      <c r="O766" s="20"/>
      <c r="P766" s="20"/>
      <c r="Q766" s="20"/>
      <c r="R766" s="20"/>
      <c r="S766" s="20"/>
      <c r="T766" s="20"/>
      <c r="U766" s="20"/>
      <c r="V766" s="20"/>
      <c r="W766" s="20"/>
      <c r="X766" s="20"/>
      <c r="Y766" s="20"/>
      <c r="Z766" s="20"/>
    </row>
    <row r="767" spans="3:26" ht="17.25" customHeight="1">
      <c r="C767" s="15"/>
      <c r="G767" s="47"/>
      <c r="H767" s="20"/>
      <c r="I767" s="20"/>
      <c r="J767" s="20"/>
      <c r="K767" s="20"/>
      <c r="L767" s="20"/>
      <c r="M767" s="20"/>
      <c r="N767" s="20"/>
      <c r="O767" s="20"/>
      <c r="P767" s="20"/>
      <c r="Q767" s="20"/>
      <c r="R767" s="20"/>
      <c r="S767" s="20"/>
      <c r="T767" s="20"/>
      <c r="U767" s="20"/>
      <c r="V767" s="20"/>
      <c r="W767" s="20"/>
      <c r="X767" s="20"/>
      <c r="Y767" s="20"/>
      <c r="Z767" s="20"/>
    </row>
    <row r="768" spans="3:26" ht="17.25" customHeight="1">
      <c r="C768" s="15"/>
      <c r="G768" s="47"/>
      <c r="H768" s="20"/>
      <c r="I768" s="20"/>
      <c r="J768" s="20"/>
      <c r="K768" s="20"/>
      <c r="L768" s="20"/>
      <c r="M768" s="20"/>
      <c r="N768" s="20"/>
      <c r="O768" s="20"/>
      <c r="P768" s="20"/>
      <c r="Q768" s="20"/>
      <c r="R768" s="20"/>
      <c r="S768" s="20"/>
      <c r="T768" s="20"/>
      <c r="U768" s="20"/>
      <c r="V768" s="20"/>
      <c r="W768" s="20"/>
      <c r="X768" s="20"/>
      <c r="Y768" s="20"/>
      <c r="Z768" s="20"/>
    </row>
    <row r="769" spans="3:26" ht="17.25" customHeight="1">
      <c r="C769" s="15"/>
      <c r="G769" s="47"/>
      <c r="H769" s="20"/>
      <c r="I769" s="20"/>
      <c r="J769" s="20"/>
      <c r="K769" s="20"/>
      <c r="L769" s="20"/>
      <c r="M769" s="20"/>
      <c r="N769" s="20"/>
      <c r="O769" s="20"/>
      <c r="P769" s="20"/>
      <c r="Q769" s="20"/>
      <c r="R769" s="20"/>
      <c r="S769" s="20"/>
      <c r="T769" s="20"/>
      <c r="U769" s="20"/>
      <c r="V769" s="20"/>
      <c r="W769" s="20"/>
      <c r="X769" s="20"/>
      <c r="Y769" s="20"/>
      <c r="Z769" s="20"/>
    </row>
    <row r="770" spans="3:26" ht="17.25" customHeight="1">
      <c r="C770" s="15"/>
      <c r="G770" s="47"/>
      <c r="H770" s="20"/>
      <c r="I770" s="20"/>
      <c r="J770" s="20"/>
      <c r="K770" s="20"/>
      <c r="L770" s="20"/>
      <c r="M770" s="20"/>
      <c r="N770" s="20"/>
      <c r="O770" s="20"/>
      <c r="P770" s="20"/>
      <c r="Q770" s="20"/>
      <c r="R770" s="20"/>
      <c r="S770" s="20"/>
      <c r="T770" s="20"/>
      <c r="U770" s="20"/>
      <c r="V770" s="20"/>
      <c r="W770" s="20"/>
      <c r="X770" s="20"/>
      <c r="Y770" s="20"/>
      <c r="Z770" s="20"/>
    </row>
    <row r="771" spans="3:26" ht="17.25" customHeight="1">
      <c r="C771" s="15"/>
      <c r="G771" s="47"/>
      <c r="H771" s="20"/>
      <c r="I771" s="20"/>
      <c r="J771" s="20"/>
      <c r="K771" s="20"/>
      <c r="L771" s="20"/>
      <c r="M771" s="20"/>
      <c r="N771" s="20"/>
      <c r="O771" s="20"/>
      <c r="P771" s="20"/>
      <c r="Q771" s="20"/>
      <c r="R771" s="20"/>
      <c r="S771" s="20"/>
      <c r="T771" s="20"/>
      <c r="U771" s="20"/>
      <c r="V771" s="20"/>
      <c r="W771" s="20"/>
      <c r="X771" s="20"/>
      <c r="Y771" s="20"/>
      <c r="Z771" s="20"/>
    </row>
    <row r="772" spans="3:26" ht="17.25" customHeight="1">
      <c r="C772" s="15"/>
      <c r="G772" s="47"/>
      <c r="H772" s="20"/>
      <c r="I772" s="20"/>
      <c r="J772" s="20"/>
      <c r="K772" s="20"/>
      <c r="L772" s="20"/>
      <c r="M772" s="20"/>
      <c r="N772" s="20"/>
      <c r="O772" s="20"/>
      <c r="P772" s="20"/>
      <c r="Q772" s="20"/>
      <c r="R772" s="20"/>
      <c r="S772" s="20"/>
      <c r="T772" s="20"/>
      <c r="U772" s="20"/>
      <c r="V772" s="20"/>
      <c r="W772" s="20"/>
      <c r="X772" s="20"/>
      <c r="Y772" s="20"/>
      <c r="Z772" s="20"/>
    </row>
    <row r="773" spans="3:26" ht="17.25" customHeight="1">
      <c r="C773" s="15"/>
      <c r="G773" s="47"/>
      <c r="H773" s="20"/>
      <c r="I773" s="20"/>
      <c r="J773" s="20"/>
      <c r="K773" s="20"/>
      <c r="L773" s="20"/>
      <c r="M773" s="20"/>
      <c r="N773" s="20"/>
      <c r="O773" s="20"/>
      <c r="P773" s="20"/>
      <c r="Q773" s="20"/>
      <c r="R773" s="20"/>
      <c r="S773" s="20"/>
      <c r="T773" s="20"/>
      <c r="U773" s="20"/>
      <c r="V773" s="20"/>
      <c r="W773" s="20"/>
      <c r="X773" s="20"/>
      <c r="Y773" s="20"/>
      <c r="Z773" s="20"/>
    </row>
    <row r="774" spans="3:26" ht="17.25" customHeight="1">
      <c r="C774" s="15"/>
      <c r="G774" s="47"/>
      <c r="H774" s="20"/>
      <c r="I774" s="20"/>
      <c r="J774" s="20"/>
      <c r="K774" s="20"/>
      <c r="L774" s="20"/>
      <c r="M774" s="20"/>
      <c r="N774" s="20"/>
      <c r="O774" s="20"/>
      <c r="P774" s="20"/>
      <c r="Q774" s="20"/>
      <c r="R774" s="20"/>
      <c r="S774" s="20"/>
      <c r="T774" s="20"/>
      <c r="U774" s="20"/>
      <c r="V774" s="20"/>
      <c r="W774" s="20"/>
      <c r="X774" s="20"/>
      <c r="Y774" s="20"/>
      <c r="Z774" s="20"/>
    </row>
    <row r="775" spans="3:26" ht="17.25" customHeight="1">
      <c r="C775" s="15"/>
      <c r="G775" s="47"/>
      <c r="H775" s="20"/>
      <c r="I775" s="20"/>
      <c r="J775" s="20"/>
      <c r="K775" s="20"/>
      <c r="L775" s="20"/>
      <c r="M775" s="20"/>
      <c r="N775" s="20"/>
      <c r="O775" s="20"/>
      <c r="P775" s="20"/>
      <c r="Q775" s="20"/>
      <c r="R775" s="20"/>
      <c r="S775" s="20"/>
      <c r="T775" s="20"/>
      <c r="U775" s="20"/>
      <c r="V775" s="20"/>
      <c r="W775" s="20"/>
      <c r="X775" s="20"/>
      <c r="Y775" s="20"/>
      <c r="Z775" s="20"/>
    </row>
    <row r="776" spans="3:26" ht="17.25" customHeight="1">
      <c r="C776" s="15"/>
      <c r="G776" s="47"/>
      <c r="H776" s="20"/>
      <c r="I776" s="20"/>
      <c r="J776" s="20"/>
      <c r="K776" s="20"/>
      <c r="L776" s="20"/>
      <c r="M776" s="20"/>
      <c r="N776" s="20"/>
      <c r="O776" s="20"/>
      <c r="P776" s="20"/>
      <c r="Q776" s="20"/>
      <c r="R776" s="20"/>
      <c r="S776" s="20"/>
      <c r="T776" s="20"/>
      <c r="U776" s="20"/>
      <c r="V776" s="20"/>
      <c r="W776" s="20"/>
      <c r="X776" s="20"/>
      <c r="Y776" s="20"/>
      <c r="Z776" s="20"/>
    </row>
    <row r="777" spans="3:26" ht="17.25" customHeight="1">
      <c r="C777" s="15"/>
      <c r="G777" s="47"/>
      <c r="H777" s="20"/>
      <c r="I777" s="20"/>
      <c r="J777" s="20"/>
      <c r="K777" s="20"/>
      <c r="L777" s="20"/>
      <c r="M777" s="20"/>
      <c r="N777" s="20"/>
      <c r="O777" s="20"/>
      <c r="P777" s="20"/>
      <c r="Q777" s="20"/>
      <c r="R777" s="20"/>
      <c r="S777" s="20"/>
      <c r="T777" s="20"/>
      <c r="U777" s="20"/>
      <c r="V777" s="20"/>
      <c r="W777" s="20"/>
      <c r="X777" s="20"/>
      <c r="Y777" s="20"/>
      <c r="Z777" s="20"/>
    </row>
    <row r="778" spans="3:26" ht="17.25" customHeight="1">
      <c r="C778" s="15"/>
      <c r="G778" s="47"/>
      <c r="H778" s="20"/>
      <c r="I778" s="20"/>
      <c r="J778" s="20"/>
      <c r="K778" s="20"/>
      <c r="L778" s="20"/>
      <c r="M778" s="20"/>
      <c r="N778" s="20"/>
      <c r="O778" s="20"/>
      <c r="P778" s="20"/>
      <c r="Q778" s="20"/>
      <c r="R778" s="20"/>
      <c r="S778" s="20"/>
      <c r="T778" s="20"/>
      <c r="U778" s="20"/>
      <c r="V778" s="20"/>
      <c r="W778" s="20"/>
      <c r="X778" s="20"/>
      <c r="Y778" s="20"/>
      <c r="Z778" s="20"/>
    </row>
    <row r="779" spans="3:26" ht="17.25" customHeight="1">
      <c r="C779" s="15"/>
      <c r="G779" s="47"/>
      <c r="H779" s="20"/>
      <c r="I779" s="20"/>
      <c r="J779" s="20"/>
      <c r="K779" s="20"/>
      <c r="L779" s="20"/>
      <c r="M779" s="20"/>
      <c r="N779" s="20"/>
      <c r="O779" s="20"/>
      <c r="P779" s="20"/>
      <c r="Q779" s="20"/>
      <c r="R779" s="20"/>
      <c r="S779" s="20"/>
      <c r="T779" s="20"/>
      <c r="U779" s="20"/>
      <c r="V779" s="20"/>
      <c r="W779" s="20"/>
      <c r="X779" s="20"/>
      <c r="Y779" s="20"/>
      <c r="Z779" s="20"/>
    </row>
    <row r="780" spans="3:26" ht="17.25" customHeight="1">
      <c r="C780" s="15"/>
      <c r="G780" s="47"/>
      <c r="H780" s="20"/>
      <c r="I780" s="20"/>
      <c r="J780" s="20"/>
      <c r="K780" s="20"/>
      <c r="L780" s="20"/>
      <c r="M780" s="20"/>
      <c r="N780" s="20"/>
      <c r="O780" s="20"/>
      <c r="P780" s="20"/>
      <c r="Q780" s="20"/>
      <c r="R780" s="20"/>
      <c r="S780" s="20"/>
      <c r="T780" s="20"/>
      <c r="U780" s="20"/>
      <c r="V780" s="20"/>
      <c r="W780" s="20"/>
      <c r="X780" s="20"/>
      <c r="Y780" s="20"/>
      <c r="Z780" s="20"/>
    </row>
    <row r="781" spans="3:26" ht="17.25" customHeight="1">
      <c r="C781" s="15"/>
      <c r="G781" s="47"/>
      <c r="H781" s="20"/>
      <c r="I781" s="20"/>
      <c r="J781" s="20"/>
      <c r="K781" s="20"/>
      <c r="L781" s="20"/>
      <c r="M781" s="20"/>
      <c r="N781" s="20"/>
      <c r="O781" s="20"/>
      <c r="P781" s="20"/>
      <c r="Q781" s="20"/>
      <c r="R781" s="20"/>
      <c r="S781" s="20"/>
      <c r="T781" s="20"/>
      <c r="U781" s="20"/>
      <c r="V781" s="20"/>
      <c r="W781" s="20"/>
      <c r="X781" s="20"/>
      <c r="Y781" s="20"/>
      <c r="Z781" s="20"/>
    </row>
    <row r="782" spans="3:26" ht="17.25" customHeight="1">
      <c r="C782" s="15"/>
      <c r="G782" s="47"/>
      <c r="H782" s="20"/>
      <c r="I782" s="20"/>
      <c r="J782" s="20"/>
      <c r="K782" s="20"/>
      <c r="L782" s="20"/>
      <c r="M782" s="20"/>
      <c r="N782" s="20"/>
      <c r="O782" s="20"/>
      <c r="P782" s="20"/>
      <c r="Q782" s="20"/>
      <c r="R782" s="20"/>
      <c r="S782" s="20"/>
      <c r="T782" s="20"/>
      <c r="U782" s="20"/>
      <c r="V782" s="20"/>
      <c r="W782" s="20"/>
      <c r="X782" s="20"/>
      <c r="Y782" s="20"/>
      <c r="Z782" s="20"/>
    </row>
    <row r="783" spans="3:26" ht="17.25" customHeight="1">
      <c r="C783" s="15"/>
      <c r="G783" s="47"/>
      <c r="H783" s="20"/>
      <c r="I783" s="20"/>
      <c r="J783" s="20"/>
      <c r="K783" s="20"/>
      <c r="L783" s="20"/>
      <c r="M783" s="20"/>
      <c r="N783" s="20"/>
      <c r="O783" s="20"/>
      <c r="P783" s="20"/>
      <c r="Q783" s="20"/>
      <c r="R783" s="20"/>
      <c r="S783" s="20"/>
      <c r="T783" s="20"/>
      <c r="U783" s="20"/>
      <c r="V783" s="20"/>
      <c r="W783" s="20"/>
      <c r="X783" s="20"/>
      <c r="Y783" s="20"/>
      <c r="Z783" s="20"/>
    </row>
    <row r="784" spans="3:26" ht="17.25" customHeight="1">
      <c r="C784" s="15"/>
      <c r="G784" s="47"/>
      <c r="H784" s="20"/>
      <c r="I784" s="20"/>
      <c r="J784" s="20"/>
      <c r="K784" s="20"/>
      <c r="L784" s="20"/>
      <c r="M784" s="20"/>
      <c r="N784" s="20"/>
      <c r="O784" s="20"/>
      <c r="P784" s="20"/>
      <c r="Q784" s="20"/>
      <c r="R784" s="20"/>
      <c r="S784" s="20"/>
      <c r="T784" s="20"/>
      <c r="U784" s="20"/>
      <c r="V784" s="20"/>
      <c r="W784" s="20"/>
      <c r="X784" s="20"/>
      <c r="Y784" s="20"/>
      <c r="Z784" s="20"/>
    </row>
    <row r="785" spans="3:26" ht="17.25" customHeight="1">
      <c r="C785" s="15"/>
      <c r="G785" s="47"/>
      <c r="H785" s="20"/>
      <c r="I785" s="20"/>
      <c r="J785" s="20"/>
      <c r="K785" s="20"/>
      <c r="L785" s="20"/>
      <c r="M785" s="20"/>
      <c r="N785" s="20"/>
      <c r="O785" s="20"/>
      <c r="P785" s="20"/>
      <c r="Q785" s="20"/>
      <c r="R785" s="20"/>
      <c r="S785" s="20"/>
      <c r="T785" s="20"/>
      <c r="U785" s="20"/>
      <c r="V785" s="20"/>
      <c r="W785" s="20"/>
      <c r="X785" s="20"/>
      <c r="Y785" s="20"/>
      <c r="Z785" s="20"/>
    </row>
    <row r="786" spans="3:26" ht="17.25" customHeight="1">
      <c r="C786" s="15"/>
      <c r="G786" s="47"/>
      <c r="H786" s="20"/>
      <c r="I786" s="20"/>
      <c r="J786" s="20"/>
      <c r="K786" s="20"/>
      <c r="L786" s="20"/>
      <c r="M786" s="20"/>
      <c r="N786" s="20"/>
      <c r="O786" s="20"/>
      <c r="P786" s="20"/>
      <c r="Q786" s="20"/>
      <c r="R786" s="20"/>
      <c r="S786" s="20"/>
      <c r="T786" s="20"/>
      <c r="U786" s="20"/>
      <c r="V786" s="20"/>
      <c r="W786" s="20"/>
      <c r="X786" s="20"/>
      <c r="Y786" s="20"/>
      <c r="Z786" s="20"/>
    </row>
    <row r="787" spans="3:26" ht="17.25" customHeight="1">
      <c r="C787" s="15"/>
      <c r="G787" s="47"/>
      <c r="H787" s="20"/>
      <c r="I787" s="20"/>
      <c r="J787" s="20"/>
      <c r="K787" s="20"/>
      <c r="L787" s="20"/>
      <c r="M787" s="20"/>
      <c r="N787" s="20"/>
      <c r="O787" s="20"/>
      <c r="P787" s="20"/>
      <c r="Q787" s="20"/>
      <c r="R787" s="20"/>
      <c r="S787" s="20"/>
      <c r="T787" s="20"/>
      <c r="U787" s="20"/>
      <c r="V787" s="20"/>
      <c r="W787" s="20"/>
      <c r="X787" s="20"/>
      <c r="Y787" s="20"/>
      <c r="Z787" s="20"/>
    </row>
    <row r="788" spans="3:26" ht="17.25" customHeight="1">
      <c r="C788" s="15"/>
      <c r="G788" s="47"/>
      <c r="H788" s="20"/>
      <c r="I788" s="20"/>
      <c r="J788" s="20"/>
      <c r="K788" s="20"/>
      <c r="L788" s="20"/>
      <c r="M788" s="20"/>
      <c r="N788" s="20"/>
      <c r="O788" s="20"/>
      <c r="P788" s="20"/>
      <c r="Q788" s="20"/>
      <c r="R788" s="20"/>
      <c r="S788" s="20"/>
      <c r="T788" s="20"/>
      <c r="U788" s="20"/>
      <c r="V788" s="20"/>
      <c r="W788" s="20"/>
      <c r="X788" s="20"/>
      <c r="Y788" s="20"/>
      <c r="Z788" s="20"/>
    </row>
    <row r="789" spans="3:26" ht="17.25" customHeight="1">
      <c r="C789" s="15"/>
      <c r="G789" s="47"/>
      <c r="H789" s="20"/>
      <c r="I789" s="20"/>
      <c r="J789" s="20"/>
      <c r="K789" s="20"/>
      <c r="L789" s="20"/>
      <c r="M789" s="20"/>
      <c r="N789" s="20"/>
      <c r="O789" s="20"/>
      <c r="P789" s="20"/>
      <c r="Q789" s="20"/>
      <c r="R789" s="20"/>
      <c r="S789" s="20"/>
      <c r="T789" s="20"/>
      <c r="U789" s="20"/>
      <c r="V789" s="20"/>
      <c r="W789" s="20"/>
      <c r="X789" s="20"/>
      <c r="Y789" s="20"/>
      <c r="Z789" s="20"/>
    </row>
    <row r="790" spans="3:26" ht="17.25" customHeight="1">
      <c r="C790" s="15"/>
      <c r="G790" s="47"/>
      <c r="H790" s="20"/>
      <c r="I790" s="20"/>
      <c r="J790" s="20"/>
      <c r="K790" s="20"/>
      <c r="L790" s="20"/>
      <c r="M790" s="20"/>
      <c r="N790" s="20"/>
      <c r="O790" s="20"/>
      <c r="P790" s="20"/>
      <c r="Q790" s="20"/>
      <c r="R790" s="20"/>
      <c r="S790" s="20"/>
      <c r="T790" s="20"/>
      <c r="U790" s="20"/>
      <c r="V790" s="20"/>
      <c r="W790" s="20"/>
      <c r="X790" s="20"/>
      <c r="Y790" s="20"/>
      <c r="Z790" s="20"/>
    </row>
    <row r="791" spans="3:26" ht="17.25" customHeight="1">
      <c r="C791" s="15"/>
      <c r="G791" s="47"/>
      <c r="H791" s="20"/>
      <c r="I791" s="20"/>
      <c r="J791" s="20"/>
      <c r="K791" s="20"/>
      <c r="L791" s="20"/>
      <c r="M791" s="20"/>
      <c r="N791" s="20"/>
      <c r="O791" s="20"/>
      <c r="P791" s="20"/>
      <c r="Q791" s="20"/>
      <c r="R791" s="20"/>
      <c r="S791" s="20"/>
      <c r="T791" s="20"/>
      <c r="U791" s="20"/>
      <c r="V791" s="20"/>
      <c r="W791" s="20"/>
      <c r="X791" s="20"/>
      <c r="Y791" s="20"/>
      <c r="Z791" s="20"/>
    </row>
    <row r="792" spans="3:26" ht="17.25" customHeight="1">
      <c r="C792" s="15"/>
      <c r="G792" s="47"/>
      <c r="H792" s="20"/>
      <c r="I792" s="20"/>
      <c r="J792" s="20"/>
      <c r="K792" s="20"/>
      <c r="L792" s="20"/>
      <c r="M792" s="20"/>
      <c r="N792" s="20"/>
      <c r="O792" s="20"/>
      <c r="P792" s="20"/>
      <c r="Q792" s="20"/>
      <c r="R792" s="20"/>
      <c r="S792" s="20"/>
      <c r="T792" s="20"/>
      <c r="U792" s="20"/>
      <c r="V792" s="20"/>
      <c r="W792" s="20"/>
      <c r="X792" s="20"/>
      <c r="Y792" s="20"/>
      <c r="Z792" s="20"/>
    </row>
    <row r="793" spans="3:26" ht="17.25" customHeight="1">
      <c r="C793" s="15"/>
      <c r="G793" s="47"/>
      <c r="H793" s="20"/>
      <c r="I793" s="20"/>
      <c r="J793" s="20"/>
      <c r="K793" s="20"/>
      <c r="L793" s="20"/>
      <c r="M793" s="20"/>
      <c r="N793" s="20"/>
      <c r="O793" s="20"/>
      <c r="P793" s="20"/>
      <c r="Q793" s="20"/>
      <c r="R793" s="20"/>
      <c r="S793" s="20"/>
      <c r="T793" s="20"/>
      <c r="U793" s="20"/>
      <c r="V793" s="20"/>
      <c r="W793" s="20"/>
      <c r="X793" s="20"/>
      <c r="Y793" s="20"/>
      <c r="Z793" s="20"/>
    </row>
    <row r="794" spans="3:26" ht="17.25" customHeight="1">
      <c r="C794" s="15"/>
      <c r="G794" s="47"/>
      <c r="H794" s="20"/>
      <c r="I794" s="20"/>
      <c r="J794" s="20"/>
      <c r="K794" s="20"/>
      <c r="L794" s="20"/>
      <c r="M794" s="20"/>
      <c r="N794" s="20"/>
      <c r="O794" s="20"/>
      <c r="P794" s="20"/>
      <c r="Q794" s="20"/>
      <c r="R794" s="20"/>
      <c r="S794" s="20"/>
      <c r="T794" s="20"/>
      <c r="U794" s="20"/>
      <c r="V794" s="20"/>
      <c r="W794" s="20"/>
      <c r="X794" s="20"/>
      <c r="Y794" s="20"/>
      <c r="Z794" s="20"/>
    </row>
    <row r="795" spans="3:26" ht="17.25" customHeight="1">
      <c r="C795" s="15"/>
      <c r="G795" s="47"/>
      <c r="H795" s="20"/>
      <c r="I795" s="20"/>
      <c r="J795" s="20"/>
      <c r="K795" s="20"/>
      <c r="L795" s="20"/>
      <c r="M795" s="20"/>
      <c r="N795" s="20"/>
      <c r="O795" s="20"/>
      <c r="P795" s="20"/>
      <c r="Q795" s="20"/>
      <c r="R795" s="20"/>
      <c r="S795" s="20"/>
      <c r="T795" s="20"/>
      <c r="U795" s="20"/>
      <c r="V795" s="20"/>
      <c r="W795" s="20"/>
      <c r="X795" s="20"/>
      <c r="Y795" s="20"/>
      <c r="Z795" s="20"/>
    </row>
    <row r="796" spans="3:26" ht="17.25" customHeight="1">
      <c r="C796" s="15"/>
      <c r="G796" s="47"/>
      <c r="H796" s="20"/>
      <c r="I796" s="20"/>
      <c r="J796" s="20"/>
      <c r="K796" s="20"/>
      <c r="L796" s="20"/>
      <c r="M796" s="20"/>
      <c r="N796" s="20"/>
      <c r="O796" s="20"/>
      <c r="P796" s="20"/>
      <c r="Q796" s="20"/>
      <c r="R796" s="20"/>
      <c r="S796" s="20"/>
      <c r="T796" s="20"/>
      <c r="U796" s="20"/>
      <c r="V796" s="20"/>
      <c r="W796" s="20"/>
      <c r="X796" s="20"/>
      <c r="Y796" s="20"/>
      <c r="Z796" s="20"/>
    </row>
    <row r="797" spans="3:26" ht="17.25" customHeight="1">
      <c r="C797" s="15"/>
      <c r="G797" s="47"/>
      <c r="H797" s="20"/>
      <c r="I797" s="20"/>
      <c r="J797" s="20"/>
      <c r="K797" s="20"/>
      <c r="L797" s="20"/>
      <c r="M797" s="20"/>
      <c r="N797" s="20"/>
      <c r="O797" s="20"/>
      <c r="P797" s="20"/>
      <c r="Q797" s="20"/>
      <c r="R797" s="20"/>
      <c r="S797" s="20"/>
      <c r="T797" s="20"/>
      <c r="U797" s="20"/>
      <c r="V797" s="20"/>
      <c r="W797" s="20"/>
      <c r="X797" s="20"/>
      <c r="Y797" s="20"/>
      <c r="Z797" s="20"/>
    </row>
    <row r="798" spans="3:26" ht="17.25" customHeight="1">
      <c r="C798" s="15"/>
      <c r="G798" s="47"/>
      <c r="H798" s="20"/>
      <c r="I798" s="20"/>
      <c r="J798" s="20"/>
      <c r="K798" s="20"/>
      <c r="L798" s="20"/>
      <c r="M798" s="20"/>
      <c r="N798" s="20"/>
      <c r="O798" s="20"/>
      <c r="P798" s="20"/>
      <c r="Q798" s="20"/>
      <c r="R798" s="20"/>
      <c r="S798" s="20"/>
      <c r="T798" s="20"/>
      <c r="U798" s="20"/>
      <c r="V798" s="20"/>
      <c r="W798" s="20"/>
      <c r="X798" s="20"/>
      <c r="Y798" s="20"/>
      <c r="Z798" s="20"/>
    </row>
    <row r="799" spans="3:26" ht="17.25" customHeight="1">
      <c r="C799" s="15"/>
      <c r="G799" s="47"/>
      <c r="H799" s="20"/>
      <c r="I799" s="20"/>
      <c r="J799" s="20"/>
      <c r="K799" s="20"/>
      <c r="L799" s="20"/>
      <c r="M799" s="20"/>
      <c r="N799" s="20"/>
      <c r="O799" s="20"/>
      <c r="P799" s="20"/>
      <c r="Q799" s="20"/>
      <c r="R799" s="20"/>
      <c r="S799" s="20"/>
      <c r="T799" s="20"/>
      <c r="U799" s="20"/>
      <c r="V799" s="20"/>
      <c r="W799" s="20"/>
      <c r="X799" s="20"/>
      <c r="Y799" s="20"/>
      <c r="Z799" s="20"/>
    </row>
    <row r="800" spans="3:26" ht="17.25" customHeight="1">
      <c r="C800" s="15"/>
      <c r="G800" s="47"/>
      <c r="H800" s="20"/>
      <c r="I800" s="20"/>
      <c r="J800" s="20"/>
      <c r="K800" s="20"/>
      <c r="L800" s="20"/>
      <c r="M800" s="20"/>
      <c r="N800" s="20"/>
      <c r="O800" s="20"/>
      <c r="P800" s="20"/>
      <c r="Q800" s="20"/>
      <c r="R800" s="20"/>
      <c r="S800" s="20"/>
      <c r="T800" s="20"/>
      <c r="U800" s="20"/>
      <c r="V800" s="20"/>
      <c r="W800" s="20"/>
      <c r="X800" s="20"/>
      <c r="Y800" s="20"/>
      <c r="Z800" s="20"/>
    </row>
    <row r="801" spans="3:26" ht="17.25" customHeight="1">
      <c r="C801" s="15"/>
      <c r="G801" s="47"/>
      <c r="H801" s="20"/>
      <c r="I801" s="20"/>
      <c r="J801" s="20"/>
      <c r="K801" s="20"/>
      <c r="L801" s="20"/>
      <c r="M801" s="20"/>
      <c r="N801" s="20"/>
      <c r="O801" s="20"/>
      <c r="P801" s="20"/>
      <c r="Q801" s="20"/>
      <c r="R801" s="20"/>
      <c r="S801" s="20"/>
      <c r="T801" s="20"/>
      <c r="U801" s="20"/>
      <c r="V801" s="20"/>
      <c r="W801" s="20"/>
      <c r="X801" s="20"/>
      <c r="Y801" s="20"/>
      <c r="Z801" s="20"/>
    </row>
    <row r="802" spans="3:26" ht="17.25" customHeight="1">
      <c r="C802" s="15"/>
      <c r="G802" s="47"/>
      <c r="H802" s="20"/>
      <c r="I802" s="20"/>
      <c r="J802" s="20"/>
      <c r="K802" s="20"/>
      <c r="L802" s="20"/>
      <c r="M802" s="20"/>
      <c r="N802" s="20"/>
      <c r="O802" s="20"/>
      <c r="P802" s="20"/>
      <c r="Q802" s="20"/>
      <c r="R802" s="20"/>
      <c r="S802" s="20"/>
      <c r="T802" s="20"/>
      <c r="U802" s="20"/>
      <c r="V802" s="20"/>
      <c r="W802" s="20"/>
      <c r="X802" s="20"/>
      <c r="Y802" s="20"/>
      <c r="Z802" s="20"/>
    </row>
    <row r="803" spans="3:26" ht="17.25" customHeight="1">
      <c r="C803" s="15"/>
      <c r="G803" s="47"/>
      <c r="H803" s="20"/>
      <c r="I803" s="20"/>
      <c r="J803" s="20"/>
      <c r="K803" s="20"/>
      <c r="L803" s="20"/>
      <c r="M803" s="20"/>
      <c r="N803" s="20"/>
      <c r="O803" s="20"/>
      <c r="P803" s="20"/>
      <c r="Q803" s="20"/>
      <c r="R803" s="20"/>
      <c r="S803" s="20"/>
      <c r="T803" s="20"/>
      <c r="U803" s="20"/>
      <c r="V803" s="20"/>
      <c r="W803" s="20"/>
      <c r="X803" s="20"/>
      <c r="Y803" s="20"/>
      <c r="Z803" s="20"/>
    </row>
    <row r="804" spans="3:26" ht="17.25" customHeight="1">
      <c r="C804" s="15"/>
      <c r="G804" s="47"/>
      <c r="H804" s="20"/>
      <c r="I804" s="20"/>
      <c r="J804" s="20"/>
      <c r="K804" s="20"/>
      <c r="L804" s="20"/>
      <c r="M804" s="20"/>
      <c r="N804" s="20"/>
      <c r="O804" s="20"/>
      <c r="P804" s="20"/>
      <c r="Q804" s="20"/>
      <c r="R804" s="20"/>
      <c r="S804" s="20"/>
      <c r="T804" s="20"/>
      <c r="U804" s="20"/>
      <c r="V804" s="20"/>
      <c r="W804" s="20"/>
      <c r="X804" s="20"/>
      <c r="Y804" s="20"/>
      <c r="Z804" s="20"/>
    </row>
    <row r="805" spans="3:26" ht="17.25" customHeight="1">
      <c r="C805" s="15"/>
      <c r="G805" s="47"/>
      <c r="H805" s="20"/>
      <c r="I805" s="20"/>
      <c r="J805" s="20"/>
      <c r="K805" s="20"/>
      <c r="L805" s="20"/>
      <c r="M805" s="20"/>
      <c r="N805" s="20"/>
      <c r="O805" s="20"/>
      <c r="P805" s="20"/>
      <c r="Q805" s="20"/>
      <c r="R805" s="20"/>
      <c r="S805" s="20"/>
      <c r="T805" s="20"/>
      <c r="U805" s="20"/>
      <c r="V805" s="20"/>
      <c r="W805" s="20"/>
      <c r="X805" s="20"/>
      <c r="Y805" s="20"/>
      <c r="Z805" s="20"/>
    </row>
    <row r="806" spans="3:26" ht="17.25" customHeight="1">
      <c r="C806" s="15"/>
      <c r="G806" s="47"/>
      <c r="H806" s="20"/>
      <c r="I806" s="20"/>
      <c r="J806" s="20"/>
      <c r="K806" s="20"/>
      <c r="L806" s="20"/>
      <c r="M806" s="20"/>
      <c r="N806" s="20"/>
      <c r="O806" s="20"/>
      <c r="P806" s="20"/>
      <c r="Q806" s="20"/>
      <c r="R806" s="20"/>
      <c r="S806" s="20"/>
      <c r="T806" s="20"/>
      <c r="U806" s="20"/>
      <c r="V806" s="20"/>
      <c r="W806" s="20"/>
      <c r="X806" s="20"/>
      <c r="Y806" s="20"/>
      <c r="Z806" s="20"/>
    </row>
    <row r="807" spans="3:26" ht="17.25" customHeight="1">
      <c r="C807" s="15"/>
      <c r="G807" s="47"/>
      <c r="H807" s="20"/>
      <c r="I807" s="20"/>
      <c r="J807" s="20"/>
      <c r="K807" s="20"/>
      <c r="L807" s="20"/>
      <c r="M807" s="20"/>
      <c r="N807" s="20"/>
      <c r="O807" s="20"/>
      <c r="P807" s="20"/>
      <c r="Q807" s="20"/>
      <c r="R807" s="20"/>
      <c r="S807" s="20"/>
      <c r="T807" s="20"/>
      <c r="U807" s="20"/>
      <c r="V807" s="20"/>
      <c r="W807" s="20"/>
      <c r="X807" s="20"/>
      <c r="Y807" s="20"/>
      <c r="Z807" s="20"/>
    </row>
    <row r="808" spans="3:26" ht="17.25" customHeight="1">
      <c r="C808" s="15"/>
      <c r="G808" s="47"/>
      <c r="H808" s="20"/>
      <c r="I808" s="20"/>
      <c r="J808" s="20"/>
      <c r="K808" s="20"/>
      <c r="L808" s="20"/>
      <c r="M808" s="20"/>
      <c r="N808" s="20"/>
      <c r="O808" s="20"/>
      <c r="P808" s="20"/>
      <c r="Q808" s="20"/>
      <c r="R808" s="20"/>
      <c r="S808" s="20"/>
      <c r="T808" s="20"/>
      <c r="U808" s="20"/>
      <c r="V808" s="20"/>
      <c r="W808" s="20"/>
      <c r="X808" s="20"/>
      <c r="Y808" s="20"/>
      <c r="Z808" s="20"/>
    </row>
    <row r="809" spans="3:26" ht="17.25" customHeight="1">
      <c r="C809" s="15"/>
      <c r="G809" s="47"/>
      <c r="H809" s="20"/>
      <c r="I809" s="20"/>
      <c r="J809" s="20"/>
      <c r="K809" s="20"/>
      <c r="L809" s="20"/>
      <c r="M809" s="20"/>
      <c r="N809" s="20"/>
      <c r="O809" s="20"/>
      <c r="P809" s="20"/>
      <c r="Q809" s="20"/>
      <c r="R809" s="20"/>
      <c r="S809" s="20"/>
      <c r="T809" s="20"/>
      <c r="U809" s="20"/>
      <c r="V809" s="20"/>
      <c r="W809" s="20"/>
      <c r="X809" s="20"/>
      <c r="Y809" s="20"/>
      <c r="Z809" s="20"/>
    </row>
    <row r="810" spans="3:26" ht="17.25" customHeight="1">
      <c r="C810" s="15"/>
      <c r="G810" s="47"/>
      <c r="H810" s="20"/>
      <c r="I810" s="20"/>
      <c r="J810" s="20"/>
      <c r="K810" s="20"/>
      <c r="L810" s="20"/>
      <c r="M810" s="20"/>
      <c r="N810" s="20"/>
      <c r="O810" s="20"/>
      <c r="P810" s="20"/>
      <c r="Q810" s="20"/>
      <c r="R810" s="20"/>
      <c r="S810" s="20"/>
      <c r="T810" s="20"/>
      <c r="U810" s="20"/>
      <c r="V810" s="20"/>
      <c r="W810" s="20"/>
      <c r="X810" s="20"/>
      <c r="Y810" s="20"/>
      <c r="Z810" s="20"/>
    </row>
    <row r="811" spans="3:26" ht="17.25" customHeight="1">
      <c r="C811" s="15"/>
      <c r="G811" s="47"/>
      <c r="H811" s="20"/>
      <c r="I811" s="20"/>
      <c r="J811" s="20"/>
      <c r="K811" s="20"/>
      <c r="L811" s="20"/>
      <c r="M811" s="20"/>
      <c r="N811" s="20"/>
      <c r="O811" s="20"/>
      <c r="P811" s="20"/>
      <c r="Q811" s="20"/>
      <c r="R811" s="20"/>
      <c r="S811" s="20"/>
      <c r="T811" s="20"/>
      <c r="U811" s="20"/>
      <c r="V811" s="20"/>
      <c r="W811" s="20"/>
      <c r="X811" s="20"/>
      <c r="Y811" s="20"/>
      <c r="Z811" s="20"/>
    </row>
    <row r="812" spans="3:26" ht="17.25" customHeight="1">
      <c r="C812" s="15"/>
      <c r="G812" s="47"/>
      <c r="H812" s="20"/>
      <c r="I812" s="20"/>
      <c r="J812" s="20"/>
      <c r="K812" s="20"/>
      <c r="L812" s="20"/>
      <c r="M812" s="20"/>
      <c r="N812" s="20"/>
      <c r="O812" s="20"/>
      <c r="P812" s="20"/>
      <c r="Q812" s="20"/>
      <c r="R812" s="20"/>
      <c r="S812" s="20"/>
      <c r="T812" s="20"/>
      <c r="U812" s="20"/>
      <c r="V812" s="20"/>
      <c r="W812" s="20"/>
      <c r="X812" s="20"/>
      <c r="Y812" s="20"/>
      <c r="Z812" s="20"/>
    </row>
    <row r="813" spans="3:26" ht="17.25" customHeight="1">
      <c r="C813" s="15"/>
      <c r="G813" s="47"/>
      <c r="H813" s="20"/>
      <c r="I813" s="20"/>
      <c r="J813" s="20"/>
      <c r="K813" s="20"/>
      <c r="L813" s="20"/>
      <c r="M813" s="20"/>
      <c r="N813" s="20"/>
      <c r="O813" s="20"/>
      <c r="P813" s="20"/>
      <c r="Q813" s="20"/>
      <c r="R813" s="20"/>
      <c r="S813" s="20"/>
      <c r="T813" s="20"/>
      <c r="U813" s="20"/>
      <c r="V813" s="20"/>
      <c r="W813" s="20"/>
      <c r="X813" s="20"/>
      <c r="Y813" s="20"/>
      <c r="Z813" s="20"/>
    </row>
    <row r="814" spans="3:26" ht="17.25" customHeight="1">
      <c r="C814" s="15"/>
      <c r="G814" s="47"/>
      <c r="H814" s="20"/>
      <c r="I814" s="20"/>
      <c r="J814" s="20"/>
      <c r="K814" s="20"/>
      <c r="L814" s="20"/>
      <c r="M814" s="20"/>
      <c r="N814" s="20"/>
      <c r="O814" s="20"/>
      <c r="P814" s="20"/>
      <c r="Q814" s="20"/>
      <c r="R814" s="20"/>
      <c r="S814" s="20"/>
      <c r="T814" s="20"/>
      <c r="U814" s="20"/>
      <c r="V814" s="20"/>
      <c r="W814" s="20"/>
      <c r="X814" s="20"/>
      <c r="Y814" s="20"/>
      <c r="Z814" s="20"/>
    </row>
    <row r="815" spans="3:26" ht="17.25" customHeight="1">
      <c r="C815" s="15"/>
      <c r="G815" s="47"/>
      <c r="H815" s="20"/>
      <c r="I815" s="20"/>
      <c r="J815" s="20"/>
      <c r="K815" s="20"/>
      <c r="L815" s="20"/>
      <c r="M815" s="20"/>
      <c r="N815" s="20"/>
      <c r="O815" s="20"/>
      <c r="P815" s="20"/>
      <c r="Q815" s="20"/>
      <c r="R815" s="20"/>
      <c r="S815" s="20"/>
      <c r="T815" s="20"/>
      <c r="U815" s="20"/>
      <c r="V815" s="20"/>
      <c r="W815" s="20"/>
      <c r="X815" s="20"/>
      <c r="Y815" s="20"/>
      <c r="Z815" s="20"/>
    </row>
    <row r="816" spans="3:26" ht="17.25" customHeight="1">
      <c r="C816" s="15"/>
      <c r="G816" s="47"/>
      <c r="H816" s="20"/>
      <c r="I816" s="20"/>
      <c r="J816" s="20"/>
      <c r="K816" s="20"/>
      <c r="L816" s="20"/>
      <c r="M816" s="20"/>
      <c r="N816" s="20"/>
      <c r="O816" s="20"/>
      <c r="P816" s="20"/>
      <c r="Q816" s="20"/>
      <c r="R816" s="20"/>
      <c r="S816" s="20"/>
      <c r="T816" s="20"/>
      <c r="U816" s="20"/>
      <c r="V816" s="20"/>
      <c r="W816" s="20"/>
      <c r="X816" s="20"/>
      <c r="Y816" s="20"/>
      <c r="Z816" s="20"/>
    </row>
    <row r="817" spans="3:26" ht="17.25" customHeight="1">
      <c r="C817" s="15"/>
      <c r="G817" s="47"/>
      <c r="H817" s="20"/>
      <c r="I817" s="20"/>
      <c r="J817" s="20"/>
      <c r="K817" s="20"/>
      <c r="L817" s="20"/>
      <c r="M817" s="20"/>
      <c r="N817" s="20"/>
      <c r="O817" s="20"/>
      <c r="P817" s="20"/>
      <c r="Q817" s="20"/>
      <c r="R817" s="20"/>
      <c r="S817" s="20"/>
      <c r="T817" s="20"/>
      <c r="U817" s="20"/>
      <c r="V817" s="20"/>
      <c r="W817" s="20"/>
      <c r="X817" s="20"/>
      <c r="Y817" s="20"/>
      <c r="Z817" s="20"/>
    </row>
    <row r="818" spans="3:26" ht="17.25" customHeight="1">
      <c r="C818" s="15"/>
      <c r="G818" s="47"/>
      <c r="H818" s="20"/>
      <c r="I818" s="20"/>
      <c r="J818" s="20"/>
      <c r="K818" s="20"/>
      <c r="L818" s="20"/>
      <c r="M818" s="20"/>
      <c r="N818" s="20"/>
      <c r="O818" s="20"/>
      <c r="P818" s="20"/>
      <c r="Q818" s="20"/>
      <c r="R818" s="20"/>
      <c r="S818" s="20"/>
      <c r="T818" s="20"/>
      <c r="U818" s="20"/>
      <c r="V818" s="20"/>
      <c r="W818" s="20"/>
      <c r="X818" s="20"/>
      <c r="Y818" s="20"/>
      <c r="Z818" s="20"/>
    </row>
    <row r="819" spans="3:26" ht="17.25" customHeight="1">
      <c r="C819" s="15"/>
      <c r="G819" s="47"/>
      <c r="H819" s="20"/>
      <c r="I819" s="20"/>
      <c r="J819" s="20"/>
      <c r="K819" s="20"/>
      <c r="L819" s="20"/>
      <c r="M819" s="20"/>
      <c r="N819" s="20"/>
      <c r="O819" s="20"/>
      <c r="P819" s="20"/>
      <c r="Q819" s="20"/>
      <c r="R819" s="20"/>
      <c r="S819" s="20"/>
      <c r="T819" s="20"/>
      <c r="U819" s="20"/>
      <c r="V819" s="20"/>
      <c r="W819" s="20"/>
      <c r="X819" s="20"/>
      <c r="Y819" s="20"/>
      <c r="Z819" s="20"/>
    </row>
    <row r="820" spans="3:26" ht="17.25" customHeight="1">
      <c r="C820" s="15"/>
      <c r="G820" s="47"/>
      <c r="H820" s="20"/>
      <c r="I820" s="20"/>
      <c r="J820" s="20"/>
      <c r="K820" s="20"/>
      <c r="L820" s="20"/>
      <c r="M820" s="20"/>
      <c r="N820" s="20"/>
      <c r="O820" s="20"/>
      <c r="P820" s="20"/>
      <c r="Q820" s="20"/>
      <c r="R820" s="20"/>
      <c r="S820" s="20"/>
      <c r="T820" s="20"/>
      <c r="U820" s="20"/>
      <c r="V820" s="20"/>
      <c r="W820" s="20"/>
      <c r="X820" s="20"/>
      <c r="Y820" s="20"/>
      <c r="Z820" s="20"/>
    </row>
    <row r="821" spans="3:26" ht="17.25" customHeight="1">
      <c r="C821" s="15"/>
      <c r="G821" s="47"/>
      <c r="H821" s="20"/>
      <c r="I821" s="20"/>
      <c r="J821" s="20"/>
      <c r="K821" s="20"/>
      <c r="L821" s="20"/>
      <c r="M821" s="20"/>
      <c r="N821" s="20"/>
      <c r="O821" s="20"/>
      <c r="P821" s="20"/>
      <c r="Q821" s="20"/>
      <c r="R821" s="20"/>
      <c r="S821" s="20"/>
      <c r="T821" s="20"/>
      <c r="U821" s="20"/>
      <c r="V821" s="20"/>
      <c r="W821" s="20"/>
      <c r="X821" s="20"/>
      <c r="Y821" s="20"/>
      <c r="Z821" s="20"/>
    </row>
    <row r="822" spans="3:26" ht="17.25" customHeight="1">
      <c r="C822" s="15"/>
      <c r="G822" s="47"/>
      <c r="H822" s="20"/>
      <c r="I822" s="20"/>
      <c r="J822" s="20"/>
      <c r="K822" s="20"/>
      <c r="L822" s="20"/>
      <c r="M822" s="20"/>
      <c r="N822" s="20"/>
      <c r="O822" s="20"/>
      <c r="P822" s="20"/>
      <c r="Q822" s="20"/>
      <c r="R822" s="20"/>
      <c r="S822" s="20"/>
      <c r="T822" s="20"/>
      <c r="U822" s="20"/>
      <c r="V822" s="20"/>
      <c r="W822" s="20"/>
      <c r="X822" s="20"/>
      <c r="Y822" s="20"/>
      <c r="Z822" s="20"/>
    </row>
    <row r="823" spans="3:26" ht="17.25" customHeight="1">
      <c r="C823" s="15"/>
      <c r="G823" s="47"/>
      <c r="H823" s="20"/>
      <c r="I823" s="20"/>
      <c r="J823" s="20"/>
      <c r="K823" s="20"/>
      <c r="L823" s="20"/>
      <c r="M823" s="20"/>
      <c r="N823" s="20"/>
      <c r="O823" s="20"/>
      <c r="P823" s="20"/>
      <c r="Q823" s="20"/>
      <c r="R823" s="20"/>
      <c r="S823" s="20"/>
      <c r="T823" s="20"/>
      <c r="U823" s="20"/>
      <c r="V823" s="20"/>
      <c r="W823" s="20"/>
      <c r="X823" s="20"/>
      <c r="Y823" s="20"/>
      <c r="Z823" s="20"/>
    </row>
    <row r="824" spans="3:26" ht="17.25" customHeight="1">
      <c r="C824" s="15"/>
      <c r="G824" s="47"/>
      <c r="H824" s="20"/>
      <c r="I824" s="20"/>
      <c r="J824" s="20"/>
      <c r="K824" s="20"/>
      <c r="L824" s="20"/>
      <c r="M824" s="20"/>
      <c r="N824" s="20"/>
      <c r="O824" s="20"/>
      <c r="P824" s="20"/>
      <c r="Q824" s="20"/>
      <c r="R824" s="20"/>
      <c r="S824" s="20"/>
      <c r="T824" s="20"/>
      <c r="U824" s="20"/>
      <c r="V824" s="20"/>
      <c r="W824" s="20"/>
      <c r="X824" s="20"/>
      <c r="Y824" s="20"/>
      <c r="Z824" s="20"/>
    </row>
    <row r="825" spans="3:26" ht="17.25" customHeight="1">
      <c r="C825" s="15"/>
      <c r="G825" s="47"/>
      <c r="H825" s="20"/>
      <c r="I825" s="20"/>
      <c r="J825" s="20"/>
      <c r="K825" s="20"/>
      <c r="L825" s="20"/>
      <c r="M825" s="20"/>
      <c r="N825" s="20"/>
      <c r="O825" s="20"/>
      <c r="P825" s="20"/>
      <c r="Q825" s="20"/>
      <c r="R825" s="20"/>
      <c r="S825" s="20"/>
      <c r="T825" s="20"/>
      <c r="U825" s="20"/>
      <c r="V825" s="20"/>
      <c r="W825" s="20"/>
      <c r="X825" s="20"/>
      <c r="Y825" s="20"/>
      <c r="Z825" s="20"/>
    </row>
    <row r="826" spans="3:26" ht="17.25" customHeight="1">
      <c r="C826" s="15"/>
      <c r="G826" s="47"/>
      <c r="H826" s="20"/>
      <c r="I826" s="20"/>
      <c r="J826" s="20"/>
      <c r="K826" s="20"/>
      <c r="L826" s="20"/>
      <c r="M826" s="20"/>
      <c r="N826" s="20"/>
      <c r="O826" s="20"/>
      <c r="P826" s="20"/>
      <c r="Q826" s="20"/>
      <c r="R826" s="20"/>
      <c r="S826" s="20"/>
      <c r="T826" s="20"/>
      <c r="U826" s="20"/>
      <c r="V826" s="20"/>
      <c r="W826" s="20"/>
      <c r="X826" s="20"/>
      <c r="Y826" s="20"/>
      <c r="Z826" s="20"/>
    </row>
    <row r="827" spans="3:26" ht="17.25" customHeight="1">
      <c r="C827" s="15"/>
      <c r="G827" s="47"/>
      <c r="H827" s="20"/>
      <c r="I827" s="20"/>
      <c r="J827" s="20"/>
      <c r="K827" s="20"/>
      <c r="L827" s="20"/>
      <c r="M827" s="20"/>
      <c r="N827" s="20"/>
      <c r="O827" s="20"/>
      <c r="P827" s="20"/>
      <c r="Q827" s="20"/>
      <c r="R827" s="20"/>
      <c r="S827" s="20"/>
      <c r="T827" s="20"/>
      <c r="U827" s="20"/>
      <c r="V827" s="20"/>
      <c r="W827" s="20"/>
      <c r="X827" s="20"/>
      <c r="Y827" s="20"/>
      <c r="Z827" s="20"/>
    </row>
    <row r="828" spans="3:26" ht="17.25" customHeight="1">
      <c r="C828" s="15"/>
      <c r="G828" s="47"/>
      <c r="H828" s="20"/>
      <c r="I828" s="20"/>
      <c r="J828" s="20"/>
      <c r="K828" s="20"/>
      <c r="L828" s="20"/>
      <c r="M828" s="20"/>
      <c r="N828" s="20"/>
      <c r="O828" s="20"/>
      <c r="P828" s="20"/>
      <c r="Q828" s="20"/>
      <c r="R828" s="20"/>
      <c r="S828" s="20"/>
      <c r="T828" s="20"/>
      <c r="U828" s="20"/>
      <c r="V828" s="20"/>
      <c r="W828" s="20"/>
      <c r="X828" s="20"/>
      <c r="Y828" s="20"/>
      <c r="Z828" s="20"/>
    </row>
    <row r="829" spans="3:26" ht="17.25" customHeight="1">
      <c r="C829" s="15"/>
      <c r="G829" s="47"/>
      <c r="H829" s="20"/>
      <c r="I829" s="20"/>
      <c r="J829" s="20"/>
      <c r="K829" s="20"/>
      <c r="L829" s="20"/>
      <c r="M829" s="20"/>
      <c r="N829" s="20"/>
      <c r="O829" s="20"/>
      <c r="P829" s="20"/>
      <c r="Q829" s="20"/>
      <c r="R829" s="20"/>
      <c r="S829" s="20"/>
      <c r="T829" s="20"/>
      <c r="U829" s="20"/>
      <c r="V829" s="20"/>
      <c r="W829" s="20"/>
      <c r="X829" s="20"/>
      <c r="Y829" s="20"/>
      <c r="Z829" s="20"/>
    </row>
    <row r="830" spans="3:26" ht="17.25" customHeight="1">
      <c r="C830" s="15"/>
      <c r="G830" s="47"/>
      <c r="H830" s="20"/>
      <c r="I830" s="20"/>
      <c r="J830" s="20"/>
      <c r="K830" s="20"/>
      <c r="L830" s="20"/>
      <c r="M830" s="20"/>
      <c r="N830" s="20"/>
      <c r="O830" s="20"/>
      <c r="P830" s="20"/>
      <c r="Q830" s="20"/>
      <c r="R830" s="20"/>
      <c r="S830" s="20"/>
      <c r="T830" s="20"/>
      <c r="U830" s="20"/>
      <c r="V830" s="20"/>
      <c r="W830" s="20"/>
      <c r="X830" s="20"/>
      <c r="Y830" s="20"/>
      <c r="Z830" s="20"/>
    </row>
    <row r="831" spans="3:26" ht="17.25" customHeight="1">
      <c r="C831" s="15"/>
      <c r="G831" s="47"/>
      <c r="H831" s="20"/>
      <c r="I831" s="20"/>
      <c r="J831" s="20"/>
      <c r="K831" s="20"/>
      <c r="L831" s="20"/>
      <c r="M831" s="20"/>
      <c r="N831" s="20"/>
      <c r="O831" s="20"/>
      <c r="P831" s="20"/>
      <c r="Q831" s="20"/>
      <c r="R831" s="20"/>
      <c r="S831" s="20"/>
      <c r="T831" s="20"/>
      <c r="U831" s="20"/>
      <c r="V831" s="20"/>
      <c r="W831" s="20"/>
      <c r="X831" s="20"/>
      <c r="Y831" s="20"/>
      <c r="Z831" s="20"/>
    </row>
    <row r="832" spans="3:26" ht="17.25" customHeight="1">
      <c r="C832" s="15"/>
      <c r="G832" s="47"/>
      <c r="H832" s="20"/>
      <c r="I832" s="20"/>
      <c r="J832" s="20"/>
      <c r="K832" s="20"/>
      <c r="L832" s="20"/>
      <c r="M832" s="20"/>
      <c r="N832" s="20"/>
      <c r="O832" s="20"/>
      <c r="P832" s="20"/>
      <c r="Q832" s="20"/>
      <c r="R832" s="20"/>
      <c r="S832" s="20"/>
      <c r="T832" s="20"/>
      <c r="U832" s="20"/>
      <c r="V832" s="20"/>
      <c r="W832" s="20"/>
      <c r="X832" s="20"/>
      <c r="Y832" s="20"/>
      <c r="Z832" s="20"/>
    </row>
    <row r="833" spans="3:26" ht="17.25" customHeight="1">
      <c r="C833" s="15"/>
      <c r="G833" s="47"/>
      <c r="H833" s="20"/>
      <c r="I833" s="20"/>
      <c r="J833" s="20"/>
      <c r="K833" s="20"/>
      <c r="L833" s="20"/>
      <c r="M833" s="20"/>
      <c r="N833" s="20"/>
      <c r="O833" s="20"/>
      <c r="P833" s="20"/>
      <c r="Q833" s="20"/>
      <c r="R833" s="20"/>
      <c r="S833" s="20"/>
      <c r="T833" s="20"/>
      <c r="U833" s="20"/>
      <c r="V833" s="20"/>
      <c r="W833" s="20"/>
      <c r="X833" s="20"/>
      <c r="Y833" s="20"/>
      <c r="Z833" s="20"/>
    </row>
    <row r="834" spans="3:26" ht="17.25" customHeight="1">
      <c r="C834" s="15"/>
      <c r="G834" s="47"/>
      <c r="H834" s="20"/>
      <c r="I834" s="20"/>
      <c r="J834" s="20"/>
      <c r="K834" s="20"/>
      <c r="L834" s="20"/>
      <c r="M834" s="20"/>
      <c r="N834" s="20"/>
      <c r="O834" s="20"/>
      <c r="P834" s="20"/>
      <c r="Q834" s="20"/>
      <c r="R834" s="20"/>
      <c r="S834" s="20"/>
      <c r="T834" s="20"/>
      <c r="U834" s="20"/>
      <c r="V834" s="20"/>
      <c r="W834" s="20"/>
      <c r="X834" s="20"/>
      <c r="Y834" s="20"/>
      <c r="Z834" s="20"/>
    </row>
    <row r="835" spans="3:26" ht="17.25" customHeight="1">
      <c r="C835" s="15"/>
      <c r="G835" s="47"/>
      <c r="H835" s="20"/>
      <c r="I835" s="20"/>
      <c r="J835" s="20"/>
      <c r="K835" s="20"/>
      <c r="L835" s="20"/>
      <c r="M835" s="20"/>
      <c r="N835" s="20"/>
      <c r="O835" s="20"/>
      <c r="P835" s="20"/>
      <c r="Q835" s="20"/>
      <c r="R835" s="20"/>
      <c r="S835" s="20"/>
      <c r="T835" s="20"/>
      <c r="U835" s="20"/>
      <c r="V835" s="20"/>
      <c r="W835" s="20"/>
      <c r="X835" s="20"/>
      <c r="Y835" s="20"/>
      <c r="Z835" s="20"/>
    </row>
    <row r="836" spans="3:26" ht="17.25" customHeight="1">
      <c r="C836" s="15"/>
      <c r="G836" s="47"/>
      <c r="H836" s="20"/>
      <c r="I836" s="20"/>
      <c r="J836" s="20"/>
      <c r="K836" s="20"/>
      <c r="L836" s="20"/>
      <c r="M836" s="20"/>
      <c r="N836" s="20"/>
      <c r="O836" s="20"/>
      <c r="P836" s="20"/>
      <c r="Q836" s="20"/>
      <c r="R836" s="20"/>
      <c r="S836" s="20"/>
      <c r="T836" s="20"/>
      <c r="U836" s="20"/>
      <c r="V836" s="20"/>
      <c r="W836" s="20"/>
      <c r="X836" s="20"/>
      <c r="Y836" s="20"/>
      <c r="Z836" s="20"/>
    </row>
    <row r="837" spans="3:26" ht="17.25" customHeight="1">
      <c r="C837" s="15"/>
      <c r="G837" s="47"/>
      <c r="H837" s="20"/>
      <c r="I837" s="20"/>
      <c r="J837" s="20"/>
      <c r="K837" s="20"/>
      <c r="L837" s="20"/>
      <c r="M837" s="20"/>
      <c r="N837" s="20"/>
      <c r="O837" s="20"/>
      <c r="P837" s="20"/>
      <c r="Q837" s="20"/>
      <c r="R837" s="20"/>
      <c r="S837" s="20"/>
      <c r="T837" s="20"/>
      <c r="U837" s="20"/>
      <c r="V837" s="20"/>
      <c r="W837" s="20"/>
      <c r="X837" s="20"/>
      <c r="Y837" s="20"/>
      <c r="Z837" s="20"/>
    </row>
    <row r="838" spans="3:26" ht="17.25" customHeight="1">
      <c r="C838" s="15"/>
      <c r="G838" s="47"/>
      <c r="H838" s="20"/>
      <c r="I838" s="20"/>
      <c r="J838" s="20"/>
      <c r="K838" s="20"/>
      <c r="L838" s="20"/>
      <c r="M838" s="20"/>
      <c r="N838" s="20"/>
      <c r="O838" s="20"/>
      <c r="P838" s="20"/>
      <c r="Q838" s="20"/>
      <c r="R838" s="20"/>
      <c r="S838" s="20"/>
      <c r="T838" s="20"/>
      <c r="U838" s="20"/>
      <c r="V838" s="20"/>
      <c r="W838" s="20"/>
      <c r="X838" s="20"/>
      <c r="Y838" s="20"/>
      <c r="Z838" s="20"/>
    </row>
    <row r="839" spans="3:26" ht="17.25" customHeight="1">
      <c r="C839" s="15"/>
      <c r="G839" s="47"/>
      <c r="H839" s="20"/>
      <c r="I839" s="20"/>
      <c r="J839" s="20"/>
      <c r="K839" s="20"/>
      <c r="L839" s="20"/>
      <c r="M839" s="20"/>
      <c r="N839" s="20"/>
      <c r="O839" s="20"/>
      <c r="P839" s="20"/>
      <c r="Q839" s="20"/>
      <c r="R839" s="20"/>
      <c r="S839" s="20"/>
      <c r="T839" s="20"/>
      <c r="U839" s="20"/>
      <c r="V839" s="20"/>
      <c r="W839" s="20"/>
      <c r="X839" s="20"/>
      <c r="Y839" s="20"/>
      <c r="Z839" s="20"/>
    </row>
    <row r="840" spans="3:26" ht="17.25" customHeight="1">
      <c r="C840" s="15"/>
      <c r="G840" s="47"/>
      <c r="H840" s="20"/>
      <c r="I840" s="20"/>
      <c r="J840" s="20"/>
      <c r="K840" s="20"/>
      <c r="L840" s="20"/>
      <c r="M840" s="20"/>
      <c r="N840" s="20"/>
      <c r="O840" s="20"/>
      <c r="P840" s="20"/>
      <c r="Q840" s="20"/>
      <c r="R840" s="20"/>
      <c r="S840" s="20"/>
      <c r="T840" s="20"/>
      <c r="U840" s="20"/>
      <c r="V840" s="20"/>
      <c r="W840" s="20"/>
      <c r="X840" s="20"/>
      <c r="Y840" s="20"/>
      <c r="Z840" s="20"/>
    </row>
    <row r="841" spans="3:26" ht="17.25" customHeight="1">
      <c r="C841" s="15"/>
      <c r="G841" s="47"/>
      <c r="H841" s="20"/>
      <c r="I841" s="20"/>
      <c r="J841" s="20"/>
      <c r="K841" s="20"/>
      <c r="L841" s="20"/>
      <c r="M841" s="20"/>
      <c r="N841" s="20"/>
      <c r="O841" s="20"/>
      <c r="P841" s="20"/>
      <c r="Q841" s="20"/>
      <c r="R841" s="20"/>
      <c r="S841" s="20"/>
      <c r="T841" s="20"/>
      <c r="U841" s="20"/>
      <c r="V841" s="20"/>
      <c r="W841" s="20"/>
      <c r="X841" s="20"/>
      <c r="Y841" s="20"/>
      <c r="Z841" s="20"/>
    </row>
    <row r="842" spans="3:26" ht="17.25" customHeight="1">
      <c r="C842" s="15"/>
      <c r="G842" s="47"/>
      <c r="H842" s="20"/>
      <c r="I842" s="20"/>
      <c r="J842" s="20"/>
      <c r="K842" s="20"/>
      <c r="L842" s="20"/>
      <c r="M842" s="20"/>
      <c r="N842" s="20"/>
      <c r="O842" s="20"/>
      <c r="P842" s="20"/>
      <c r="Q842" s="20"/>
      <c r="R842" s="20"/>
      <c r="S842" s="20"/>
      <c r="T842" s="20"/>
      <c r="U842" s="20"/>
      <c r="V842" s="20"/>
      <c r="W842" s="20"/>
      <c r="X842" s="20"/>
      <c r="Y842" s="20"/>
      <c r="Z842" s="20"/>
    </row>
    <row r="843" spans="3:26" ht="17.25" customHeight="1">
      <c r="C843" s="15"/>
      <c r="G843" s="47"/>
      <c r="H843" s="20"/>
      <c r="I843" s="20"/>
      <c r="J843" s="20"/>
      <c r="K843" s="20"/>
      <c r="L843" s="20"/>
      <c r="M843" s="20"/>
      <c r="N843" s="20"/>
      <c r="O843" s="20"/>
      <c r="P843" s="20"/>
      <c r="Q843" s="20"/>
      <c r="R843" s="20"/>
      <c r="S843" s="20"/>
      <c r="T843" s="20"/>
      <c r="U843" s="20"/>
      <c r="V843" s="20"/>
      <c r="W843" s="20"/>
      <c r="X843" s="20"/>
      <c r="Y843" s="20"/>
      <c r="Z843" s="20"/>
    </row>
    <row r="844" spans="3:26" ht="17.25" customHeight="1">
      <c r="C844" s="15"/>
      <c r="G844" s="47"/>
      <c r="H844" s="20"/>
      <c r="I844" s="20"/>
      <c r="J844" s="20"/>
      <c r="K844" s="20"/>
      <c r="L844" s="20"/>
      <c r="M844" s="20"/>
      <c r="N844" s="20"/>
      <c r="O844" s="20"/>
      <c r="P844" s="20"/>
      <c r="Q844" s="20"/>
      <c r="R844" s="20"/>
      <c r="S844" s="20"/>
      <c r="T844" s="20"/>
      <c r="U844" s="20"/>
      <c r="V844" s="20"/>
      <c r="W844" s="20"/>
      <c r="X844" s="20"/>
      <c r="Y844" s="20"/>
      <c r="Z844" s="20"/>
    </row>
    <row r="845" spans="3:26" ht="17.25" customHeight="1">
      <c r="C845" s="15"/>
      <c r="G845" s="47"/>
      <c r="H845" s="20"/>
      <c r="I845" s="20"/>
      <c r="J845" s="20"/>
      <c r="K845" s="20"/>
      <c r="L845" s="20"/>
      <c r="M845" s="20"/>
      <c r="N845" s="20"/>
      <c r="O845" s="20"/>
      <c r="P845" s="20"/>
      <c r="Q845" s="20"/>
      <c r="R845" s="20"/>
      <c r="S845" s="20"/>
      <c r="T845" s="20"/>
      <c r="U845" s="20"/>
      <c r="V845" s="20"/>
      <c r="W845" s="20"/>
      <c r="X845" s="20"/>
      <c r="Y845" s="20"/>
      <c r="Z845" s="20"/>
    </row>
    <row r="846" spans="3:26" ht="17.25" customHeight="1">
      <c r="C846" s="15"/>
      <c r="G846" s="47"/>
      <c r="H846" s="20"/>
      <c r="I846" s="20"/>
      <c r="J846" s="20"/>
      <c r="K846" s="20"/>
      <c r="L846" s="20"/>
      <c r="M846" s="20"/>
      <c r="N846" s="20"/>
      <c r="O846" s="20"/>
      <c r="P846" s="20"/>
      <c r="Q846" s="20"/>
      <c r="R846" s="20"/>
      <c r="S846" s="20"/>
      <c r="T846" s="20"/>
      <c r="U846" s="20"/>
      <c r="V846" s="20"/>
      <c r="W846" s="20"/>
      <c r="X846" s="20"/>
      <c r="Y846" s="20"/>
      <c r="Z846" s="20"/>
    </row>
    <row r="847" spans="3:26" ht="17.25" customHeight="1">
      <c r="C847" s="15"/>
      <c r="G847" s="47"/>
      <c r="H847" s="20"/>
      <c r="I847" s="20"/>
      <c r="J847" s="20"/>
      <c r="K847" s="20"/>
      <c r="L847" s="20"/>
      <c r="M847" s="20"/>
      <c r="N847" s="20"/>
      <c r="O847" s="20"/>
      <c r="P847" s="20"/>
      <c r="Q847" s="20"/>
      <c r="R847" s="20"/>
      <c r="S847" s="20"/>
      <c r="T847" s="20"/>
      <c r="U847" s="20"/>
      <c r="V847" s="20"/>
      <c r="W847" s="20"/>
      <c r="X847" s="20"/>
      <c r="Y847" s="20"/>
      <c r="Z847" s="20"/>
    </row>
    <row r="848" spans="3:26" ht="17.25" customHeight="1">
      <c r="C848" s="15"/>
      <c r="G848" s="47"/>
      <c r="H848" s="20"/>
      <c r="I848" s="20"/>
      <c r="J848" s="20"/>
      <c r="K848" s="20"/>
      <c r="L848" s="20"/>
      <c r="M848" s="20"/>
      <c r="N848" s="20"/>
      <c r="O848" s="20"/>
      <c r="P848" s="20"/>
      <c r="Q848" s="20"/>
      <c r="R848" s="20"/>
      <c r="S848" s="20"/>
      <c r="T848" s="20"/>
      <c r="U848" s="20"/>
      <c r="V848" s="20"/>
      <c r="W848" s="20"/>
      <c r="X848" s="20"/>
      <c r="Y848" s="20"/>
      <c r="Z848" s="20"/>
    </row>
    <row r="849" spans="3:26" ht="17.25" customHeight="1">
      <c r="C849" s="15"/>
      <c r="G849" s="47"/>
      <c r="H849" s="20"/>
      <c r="I849" s="20"/>
      <c r="J849" s="20"/>
      <c r="K849" s="20"/>
      <c r="L849" s="20"/>
      <c r="M849" s="20"/>
      <c r="N849" s="20"/>
      <c r="O849" s="20"/>
      <c r="P849" s="20"/>
      <c r="Q849" s="20"/>
      <c r="R849" s="20"/>
      <c r="S849" s="20"/>
      <c r="T849" s="20"/>
      <c r="U849" s="20"/>
      <c r="V849" s="20"/>
      <c r="W849" s="20"/>
      <c r="X849" s="20"/>
      <c r="Y849" s="20"/>
      <c r="Z849" s="20"/>
    </row>
    <row r="850" spans="3:26" ht="17.25" customHeight="1">
      <c r="C850" s="15"/>
      <c r="G850" s="47"/>
      <c r="H850" s="20"/>
      <c r="I850" s="20"/>
      <c r="J850" s="20"/>
      <c r="K850" s="20"/>
      <c r="L850" s="20"/>
      <c r="M850" s="20"/>
      <c r="N850" s="20"/>
      <c r="O850" s="20"/>
      <c r="P850" s="20"/>
      <c r="Q850" s="20"/>
      <c r="R850" s="20"/>
      <c r="S850" s="20"/>
      <c r="T850" s="20"/>
      <c r="U850" s="20"/>
      <c r="V850" s="20"/>
      <c r="W850" s="20"/>
      <c r="X850" s="20"/>
      <c r="Y850" s="20"/>
      <c r="Z850" s="20"/>
    </row>
    <row r="851" spans="3:26" ht="17.25" customHeight="1">
      <c r="C851" s="15"/>
      <c r="G851" s="47"/>
      <c r="H851" s="20"/>
      <c r="I851" s="20"/>
      <c r="J851" s="20"/>
      <c r="K851" s="20"/>
      <c r="L851" s="20"/>
      <c r="M851" s="20"/>
      <c r="N851" s="20"/>
      <c r="O851" s="20"/>
      <c r="P851" s="20"/>
      <c r="Q851" s="20"/>
      <c r="R851" s="20"/>
      <c r="S851" s="20"/>
      <c r="T851" s="20"/>
      <c r="U851" s="20"/>
      <c r="V851" s="20"/>
      <c r="W851" s="20"/>
      <c r="X851" s="20"/>
      <c r="Y851" s="20"/>
      <c r="Z851" s="20"/>
    </row>
    <row r="852" spans="3:26" ht="17.25" customHeight="1">
      <c r="C852" s="15"/>
      <c r="G852" s="47"/>
      <c r="H852" s="20"/>
      <c r="I852" s="20"/>
      <c r="J852" s="20"/>
      <c r="K852" s="20"/>
      <c r="L852" s="20"/>
      <c r="M852" s="20"/>
      <c r="N852" s="20"/>
      <c r="O852" s="20"/>
      <c r="P852" s="20"/>
      <c r="Q852" s="20"/>
      <c r="R852" s="20"/>
      <c r="S852" s="20"/>
      <c r="T852" s="20"/>
      <c r="U852" s="20"/>
      <c r="V852" s="20"/>
      <c r="W852" s="20"/>
      <c r="X852" s="20"/>
      <c r="Y852" s="20"/>
      <c r="Z852" s="20"/>
    </row>
    <row r="853" spans="3:26" ht="17.25" customHeight="1">
      <c r="C853" s="15"/>
      <c r="G853" s="47"/>
      <c r="H853" s="20"/>
      <c r="I853" s="20"/>
      <c r="J853" s="20"/>
      <c r="K853" s="20"/>
      <c r="L853" s="20"/>
      <c r="M853" s="20"/>
      <c r="N853" s="20"/>
      <c r="O853" s="20"/>
      <c r="P853" s="20"/>
      <c r="Q853" s="20"/>
      <c r="R853" s="20"/>
      <c r="S853" s="20"/>
      <c r="T853" s="20"/>
      <c r="U853" s="20"/>
      <c r="V853" s="20"/>
      <c r="W853" s="20"/>
      <c r="X853" s="20"/>
      <c r="Y853" s="20"/>
      <c r="Z853" s="20"/>
    </row>
    <row r="854" spans="3:26" ht="17.25" customHeight="1">
      <c r="C854" s="15"/>
      <c r="G854" s="47"/>
      <c r="H854" s="20"/>
      <c r="I854" s="20"/>
      <c r="J854" s="20"/>
      <c r="K854" s="20"/>
      <c r="L854" s="20"/>
      <c r="M854" s="20"/>
      <c r="N854" s="20"/>
      <c r="O854" s="20"/>
      <c r="P854" s="20"/>
      <c r="Q854" s="20"/>
      <c r="R854" s="20"/>
      <c r="S854" s="20"/>
      <c r="T854" s="20"/>
      <c r="U854" s="20"/>
      <c r="V854" s="20"/>
      <c r="W854" s="20"/>
      <c r="X854" s="20"/>
      <c r="Y854" s="20"/>
      <c r="Z854" s="20"/>
    </row>
    <row r="855" spans="3:26" ht="17.25" customHeight="1">
      <c r="C855" s="15"/>
      <c r="G855" s="47"/>
      <c r="H855" s="20"/>
      <c r="I855" s="20"/>
      <c r="J855" s="20"/>
      <c r="K855" s="20"/>
      <c r="L855" s="20"/>
      <c r="M855" s="20"/>
      <c r="N855" s="20"/>
      <c r="O855" s="20"/>
      <c r="P855" s="20"/>
      <c r="Q855" s="20"/>
      <c r="R855" s="20"/>
      <c r="S855" s="20"/>
      <c r="T855" s="20"/>
      <c r="U855" s="20"/>
      <c r="V855" s="20"/>
      <c r="W855" s="20"/>
      <c r="X855" s="20"/>
      <c r="Y855" s="20"/>
      <c r="Z855" s="20"/>
    </row>
    <row r="856" spans="3:26" ht="17.25" customHeight="1">
      <c r="C856" s="15"/>
      <c r="G856" s="47"/>
      <c r="H856" s="20"/>
      <c r="I856" s="20"/>
      <c r="J856" s="20"/>
      <c r="K856" s="20"/>
      <c r="L856" s="20"/>
      <c r="M856" s="20"/>
      <c r="N856" s="20"/>
      <c r="O856" s="20"/>
      <c r="P856" s="20"/>
      <c r="Q856" s="20"/>
      <c r="R856" s="20"/>
      <c r="S856" s="20"/>
      <c r="T856" s="20"/>
      <c r="U856" s="20"/>
      <c r="V856" s="20"/>
      <c r="W856" s="20"/>
      <c r="X856" s="20"/>
      <c r="Y856" s="20"/>
      <c r="Z856" s="20"/>
    </row>
    <row r="857" spans="3:26" ht="17.25" customHeight="1">
      <c r="C857" s="15"/>
      <c r="G857" s="47"/>
      <c r="H857" s="20"/>
      <c r="I857" s="20"/>
      <c r="J857" s="20"/>
      <c r="K857" s="20"/>
      <c r="L857" s="20"/>
      <c r="M857" s="20"/>
      <c r="N857" s="20"/>
      <c r="O857" s="20"/>
      <c r="P857" s="20"/>
      <c r="Q857" s="20"/>
      <c r="R857" s="20"/>
      <c r="S857" s="20"/>
      <c r="T857" s="20"/>
      <c r="U857" s="20"/>
      <c r="V857" s="20"/>
      <c r="W857" s="20"/>
      <c r="X857" s="20"/>
      <c r="Y857" s="20"/>
      <c r="Z857" s="20"/>
    </row>
    <row r="858" spans="3:26" ht="17.25" customHeight="1">
      <c r="C858" s="15"/>
      <c r="G858" s="47"/>
      <c r="H858" s="20"/>
      <c r="I858" s="20"/>
      <c r="J858" s="20"/>
      <c r="K858" s="20"/>
      <c r="L858" s="20"/>
      <c r="M858" s="20"/>
      <c r="N858" s="20"/>
      <c r="O858" s="20"/>
      <c r="P858" s="20"/>
      <c r="Q858" s="20"/>
      <c r="R858" s="20"/>
      <c r="S858" s="20"/>
      <c r="T858" s="20"/>
      <c r="U858" s="20"/>
      <c r="V858" s="20"/>
      <c r="W858" s="20"/>
      <c r="X858" s="20"/>
      <c r="Y858" s="20"/>
      <c r="Z858" s="20"/>
    </row>
    <row r="859" spans="3:26" ht="17.25" customHeight="1">
      <c r="C859" s="15"/>
      <c r="G859" s="47"/>
      <c r="H859" s="20"/>
      <c r="I859" s="20"/>
      <c r="J859" s="20"/>
      <c r="K859" s="20"/>
      <c r="L859" s="20"/>
      <c r="M859" s="20"/>
      <c r="N859" s="20"/>
      <c r="O859" s="20"/>
      <c r="P859" s="20"/>
      <c r="Q859" s="20"/>
      <c r="R859" s="20"/>
      <c r="S859" s="20"/>
      <c r="T859" s="20"/>
      <c r="U859" s="20"/>
      <c r="V859" s="20"/>
      <c r="W859" s="20"/>
      <c r="X859" s="20"/>
      <c r="Y859" s="20"/>
      <c r="Z859" s="20"/>
    </row>
    <row r="860" spans="3:26" ht="17.25" customHeight="1">
      <c r="C860" s="15"/>
      <c r="G860" s="47"/>
      <c r="H860" s="20"/>
      <c r="I860" s="20"/>
      <c r="J860" s="20"/>
      <c r="K860" s="20"/>
      <c r="L860" s="20"/>
      <c r="M860" s="20"/>
      <c r="N860" s="20"/>
      <c r="O860" s="20"/>
      <c r="P860" s="20"/>
      <c r="Q860" s="20"/>
      <c r="R860" s="20"/>
      <c r="S860" s="20"/>
      <c r="T860" s="20"/>
      <c r="U860" s="20"/>
      <c r="V860" s="20"/>
      <c r="W860" s="20"/>
      <c r="X860" s="20"/>
      <c r="Y860" s="20"/>
      <c r="Z860" s="20"/>
    </row>
    <row r="861" spans="3:26" ht="17.25" customHeight="1">
      <c r="C861" s="15"/>
      <c r="G861" s="47"/>
      <c r="H861" s="20"/>
      <c r="I861" s="20"/>
      <c r="J861" s="20"/>
      <c r="K861" s="20"/>
      <c r="L861" s="20"/>
      <c r="M861" s="20"/>
      <c r="N861" s="20"/>
      <c r="O861" s="20"/>
      <c r="P861" s="20"/>
      <c r="Q861" s="20"/>
      <c r="R861" s="20"/>
      <c r="S861" s="20"/>
      <c r="T861" s="20"/>
      <c r="U861" s="20"/>
      <c r="V861" s="20"/>
      <c r="W861" s="20"/>
      <c r="X861" s="20"/>
      <c r="Y861" s="20"/>
      <c r="Z861" s="20"/>
    </row>
    <row r="862" spans="3:26" ht="17.25" customHeight="1">
      <c r="C862" s="15"/>
      <c r="G862" s="47"/>
      <c r="H862" s="20"/>
      <c r="I862" s="20"/>
      <c r="J862" s="20"/>
      <c r="K862" s="20"/>
      <c r="L862" s="20"/>
      <c r="M862" s="20"/>
      <c r="N862" s="20"/>
      <c r="O862" s="20"/>
      <c r="P862" s="20"/>
      <c r="Q862" s="20"/>
      <c r="R862" s="20"/>
      <c r="S862" s="20"/>
      <c r="T862" s="20"/>
      <c r="U862" s="20"/>
      <c r="V862" s="20"/>
      <c r="W862" s="20"/>
      <c r="X862" s="20"/>
      <c r="Y862" s="20"/>
      <c r="Z862" s="20"/>
    </row>
    <row r="863" spans="3:26" ht="17.25" customHeight="1">
      <c r="C863" s="15"/>
      <c r="G863" s="47"/>
      <c r="H863" s="20"/>
      <c r="I863" s="20"/>
      <c r="J863" s="20"/>
      <c r="K863" s="20"/>
      <c r="L863" s="20"/>
      <c r="M863" s="20"/>
      <c r="N863" s="20"/>
      <c r="O863" s="20"/>
      <c r="P863" s="20"/>
      <c r="Q863" s="20"/>
      <c r="R863" s="20"/>
      <c r="S863" s="20"/>
      <c r="T863" s="20"/>
      <c r="U863" s="20"/>
      <c r="V863" s="20"/>
      <c r="W863" s="20"/>
      <c r="X863" s="20"/>
      <c r="Y863" s="20"/>
      <c r="Z863" s="20"/>
    </row>
    <row r="864" spans="3:26" ht="17.25" customHeight="1">
      <c r="C864" s="15"/>
      <c r="G864" s="47"/>
      <c r="H864" s="20"/>
      <c r="I864" s="20"/>
      <c r="J864" s="20"/>
      <c r="K864" s="20"/>
      <c r="L864" s="20"/>
      <c r="M864" s="20"/>
      <c r="N864" s="20"/>
      <c r="O864" s="20"/>
      <c r="P864" s="20"/>
      <c r="Q864" s="20"/>
      <c r="R864" s="20"/>
      <c r="S864" s="20"/>
      <c r="T864" s="20"/>
      <c r="U864" s="20"/>
      <c r="V864" s="20"/>
      <c r="W864" s="20"/>
      <c r="X864" s="20"/>
      <c r="Y864" s="20"/>
      <c r="Z864" s="20"/>
    </row>
    <row r="865" spans="3:26" ht="17.25" customHeight="1">
      <c r="C865" s="15"/>
      <c r="G865" s="47"/>
      <c r="H865" s="20"/>
      <c r="I865" s="20"/>
      <c r="J865" s="20"/>
      <c r="K865" s="20"/>
      <c r="L865" s="20"/>
      <c r="M865" s="20"/>
      <c r="N865" s="20"/>
      <c r="O865" s="20"/>
      <c r="P865" s="20"/>
      <c r="Q865" s="20"/>
      <c r="R865" s="20"/>
      <c r="S865" s="20"/>
      <c r="T865" s="20"/>
      <c r="U865" s="20"/>
      <c r="V865" s="20"/>
      <c r="W865" s="20"/>
      <c r="X865" s="20"/>
      <c r="Y865" s="20"/>
      <c r="Z865" s="20"/>
    </row>
    <row r="866" spans="3:26" ht="17.25" customHeight="1">
      <c r="C866" s="15"/>
      <c r="G866" s="47"/>
      <c r="H866" s="20"/>
      <c r="I866" s="20"/>
      <c r="J866" s="20"/>
      <c r="K866" s="20"/>
      <c r="L866" s="20"/>
      <c r="M866" s="20"/>
      <c r="N866" s="20"/>
      <c r="O866" s="20"/>
      <c r="P866" s="20"/>
      <c r="Q866" s="20"/>
      <c r="R866" s="20"/>
      <c r="S866" s="20"/>
      <c r="T866" s="20"/>
      <c r="U866" s="20"/>
      <c r="V866" s="20"/>
      <c r="W866" s="20"/>
      <c r="X866" s="20"/>
      <c r="Y866" s="20"/>
      <c r="Z866" s="20"/>
    </row>
    <row r="867" spans="3:26" ht="17.25" customHeight="1">
      <c r="C867" s="15"/>
      <c r="G867" s="47"/>
      <c r="H867" s="20"/>
      <c r="I867" s="20"/>
      <c r="J867" s="20"/>
      <c r="K867" s="20"/>
      <c r="L867" s="20"/>
      <c r="M867" s="20"/>
      <c r="N867" s="20"/>
      <c r="O867" s="20"/>
      <c r="P867" s="20"/>
      <c r="Q867" s="20"/>
      <c r="R867" s="20"/>
      <c r="S867" s="20"/>
      <c r="T867" s="20"/>
      <c r="U867" s="20"/>
      <c r="V867" s="20"/>
      <c r="W867" s="20"/>
      <c r="X867" s="20"/>
      <c r="Y867" s="20"/>
      <c r="Z867" s="20"/>
    </row>
    <row r="868" spans="3:26" ht="17.25" customHeight="1">
      <c r="C868" s="15"/>
      <c r="G868" s="47"/>
      <c r="H868" s="20"/>
      <c r="I868" s="20"/>
      <c r="J868" s="20"/>
      <c r="K868" s="20"/>
      <c r="L868" s="20"/>
      <c r="M868" s="20"/>
      <c r="N868" s="20"/>
      <c r="O868" s="20"/>
      <c r="P868" s="20"/>
      <c r="Q868" s="20"/>
      <c r="R868" s="20"/>
      <c r="S868" s="20"/>
      <c r="T868" s="20"/>
      <c r="U868" s="20"/>
      <c r="V868" s="20"/>
      <c r="W868" s="20"/>
      <c r="X868" s="20"/>
      <c r="Y868" s="20"/>
      <c r="Z868" s="20"/>
    </row>
    <row r="869" spans="3:26" ht="17.25" customHeight="1">
      <c r="C869" s="15"/>
      <c r="G869" s="47"/>
      <c r="H869" s="20"/>
      <c r="I869" s="20"/>
      <c r="J869" s="20"/>
      <c r="K869" s="20"/>
      <c r="L869" s="20"/>
      <c r="M869" s="20"/>
      <c r="N869" s="20"/>
      <c r="O869" s="20"/>
      <c r="P869" s="20"/>
      <c r="Q869" s="20"/>
      <c r="R869" s="20"/>
      <c r="S869" s="20"/>
      <c r="T869" s="20"/>
      <c r="U869" s="20"/>
      <c r="V869" s="20"/>
      <c r="W869" s="20"/>
      <c r="X869" s="20"/>
      <c r="Y869" s="20"/>
      <c r="Z869" s="20"/>
    </row>
    <row r="870" spans="3:26" ht="17.25" customHeight="1">
      <c r="C870" s="15"/>
      <c r="G870" s="47"/>
      <c r="H870" s="20"/>
      <c r="I870" s="20"/>
      <c r="J870" s="20"/>
      <c r="K870" s="20"/>
      <c r="L870" s="20"/>
      <c r="M870" s="20"/>
      <c r="N870" s="20"/>
      <c r="O870" s="20"/>
      <c r="P870" s="20"/>
      <c r="Q870" s="20"/>
      <c r="R870" s="20"/>
      <c r="S870" s="20"/>
      <c r="T870" s="20"/>
      <c r="U870" s="20"/>
      <c r="V870" s="20"/>
      <c r="W870" s="20"/>
      <c r="X870" s="20"/>
      <c r="Y870" s="20"/>
      <c r="Z870" s="20"/>
    </row>
    <row r="871" spans="3:26" ht="17.25" customHeight="1">
      <c r="C871" s="15"/>
      <c r="G871" s="47"/>
      <c r="H871" s="20"/>
      <c r="I871" s="20"/>
      <c r="J871" s="20"/>
      <c r="K871" s="20"/>
      <c r="L871" s="20"/>
      <c r="M871" s="20"/>
      <c r="N871" s="20"/>
      <c r="O871" s="20"/>
      <c r="P871" s="20"/>
      <c r="Q871" s="20"/>
      <c r="R871" s="20"/>
      <c r="S871" s="20"/>
      <c r="T871" s="20"/>
      <c r="U871" s="20"/>
      <c r="V871" s="20"/>
      <c r="W871" s="20"/>
      <c r="X871" s="20"/>
      <c r="Y871" s="20"/>
      <c r="Z871" s="20"/>
    </row>
    <row r="872" spans="3:26" ht="17.25" customHeight="1">
      <c r="C872" s="15"/>
      <c r="G872" s="47"/>
      <c r="H872" s="20"/>
      <c r="I872" s="20"/>
      <c r="J872" s="20"/>
      <c r="K872" s="20"/>
      <c r="L872" s="20"/>
      <c r="M872" s="20"/>
      <c r="N872" s="20"/>
      <c r="O872" s="20"/>
      <c r="P872" s="20"/>
      <c r="Q872" s="20"/>
      <c r="R872" s="20"/>
      <c r="S872" s="20"/>
      <c r="T872" s="20"/>
      <c r="U872" s="20"/>
      <c r="V872" s="20"/>
      <c r="W872" s="20"/>
      <c r="X872" s="20"/>
      <c r="Y872" s="20"/>
      <c r="Z872" s="20"/>
    </row>
    <row r="873" spans="3:26" ht="17.25" customHeight="1">
      <c r="C873" s="15"/>
      <c r="G873" s="47"/>
      <c r="H873" s="20"/>
      <c r="I873" s="20"/>
      <c r="J873" s="20"/>
      <c r="K873" s="20"/>
      <c r="L873" s="20"/>
      <c r="M873" s="20"/>
      <c r="N873" s="20"/>
      <c r="O873" s="20"/>
      <c r="P873" s="20"/>
      <c r="Q873" s="20"/>
      <c r="R873" s="20"/>
      <c r="S873" s="20"/>
      <c r="T873" s="20"/>
      <c r="U873" s="20"/>
      <c r="V873" s="20"/>
      <c r="W873" s="20"/>
      <c r="X873" s="20"/>
      <c r="Y873" s="20"/>
      <c r="Z873" s="20"/>
    </row>
    <row r="874" spans="3:26" ht="17.25" customHeight="1">
      <c r="C874" s="15"/>
      <c r="G874" s="47"/>
      <c r="H874" s="20"/>
      <c r="I874" s="20"/>
      <c r="J874" s="20"/>
      <c r="K874" s="20"/>
      <c r="L874" s="20"/>
      <c r="M874" s="20"/>
      <c r="N874" s="20"/>
      <c r="O874" s="20"/>
      <c r="P874" s="20"/>
      <c r="Q874" s="20"/>
      <c r="R874" s="20"/>
      <c r="S874" s="20"/>
      <c r="T874" s="20"/>
      <c r="U874" s="20"/>
      <c r="V874" s="20"/>
      <c r="W874" s="20"/>
      <c r="X874" s="20"/>
      <c r="Y874" s="20"/>
      <c r="Z874" s="20"/>
    </row>
    <row r="875" spans="3:26" ht="17.25" customHeight="1">
      <c r="C875" s="15"/>
      <c r="G875" s="47"/>
      <c r="H875" s="20"/>
      <c r="I875" s="20"/>
      <c r="J875" s="20"/>
      <c r="K875" s="20"/>
      <c r="L875" s="20"/>
      <c r="M875" s="20"/>
      <c r="N875" s="20"/>
      <c r="O875" s="20"/>
      <c r="P875" s="20"/>
      <c r="Q875" s="20"/>
      <c r="R875" s="20"/>
      <c r="S875" s="20"/>
      <c r="T875" s="20"/>
      <c r="U875" s="20"/>
      <c r="V875" s="20"/>
      <c r="W875" s="20"/>
      <c r="X875" s="20"/>
      <c r="Y875" s="20"/>
      <c r="Z875" s="20"/>
    </row>
    <row r="876" spans="3:26" ht="17.25" customHeight="1">
      <c r="C876" s="15"/>
      <c r="G876" s="47"/>
      <c r="H876" s="20"/>
      <c r="I876" s="20"/>
      <c r="J876" s="20"/>
      <c r="K876" s="20"/>
      <c r="L876" s="20"/>
      <c r="M876" s="20"/>
      <c r="N876" s="20"/>
      <c r="O876" s="20"/>
      <c r="P876" s="20"/>
      <c r="Q876" s="20"/>
      <c r="R876" s="20"/>
      <c r="S876" s="20"/>
      <c r="T876" s="20"/>
      <c r="U876" s="20"/>
      <c r="V876" s="20"/>
      <c r="W876" s="20"/>
      <c r="X876" s="20"/>
      <c r="Y876" s="20"/>
      <c r="Z876" s="20"/>
    </row>
    <row r="877" spans="3:26" ht="17.25" customHeight="1">
      <c r="C877" s="15"/>
      <c r="G877" s="47"/>
      <c r="H877" s="20"/>
      <c r="I877" s="20"/>
      <c r="J877" s="20"/>
      <c r="K877" s="20"/>
      <c r="L877" s="20"/>
      <c r="M877" s="20"/>
      <c r="N877" s="20"/>
      <c r="O877" s="20"/>
      <c r="P877" s="20"/>
      <c r="Q877" s="20"/>
      <c r="R877" s="20"/>
      <c r="S877" s="20"/>
      <c r="T877" s="20"/>
      <c r="U877" s="20"/>
      <c r="V877" s="20"/>
      <c r="W877" s="20"/>
      <c r="X877" s="20"/>
      <c r="Y877" s="20"/>
      <c r="Z877" s="20"/>
    </row>
    <row r="878" spans="3:26" ht="17.25" customHeight="1">
      <c r="C878" s="15"/>
      <c r="G878" s="47"/>
      <c r="H878" s="20"/>
      <c r="I878" s="20"/>
      <c r="J878" s="20"/>
      <c r="K878" s="20"/>
      <c r="L878" s="20"/>
      <c r="M878" s="20"/>
      <c r="N878" s="20"/>
      <c r="O878" s="20"/>
      <c r="P878" s="20"/>
      <c r="Q878" s="20"/>
      <c r="R878" s="20"/>
      <c r="S878" s="20"/>
      <c r="T878" s="20"/>
      <c r="U878" s="20"/>
      <c r="V878" s="20"/>
      <c r="W878" s="20"/>
      <c r="X878" s="20"/>
      <c r="Y878" s="20"/>
      <c r="Z878" s="20"/>
    </row>
    <row r="879" spans="3:26" ht="17.25" customHeight="1">
      <c r="C879" s="15"/>
      <c r="G879" s="47"/>
      <c r="H879" s="20"/>
      <c r="I879" s="20"/>
      <c r="J879" s="20"/>
      <c r="K879" s="20"/>
      <c r="L879" s="20"/>
      <c r="M879" s="20"/>
      <c r="N879" s="20"/>
      <c r="O879" s="20"/>
      <c r="P879" s="20"/>
      <c r="Q879" s="20"/>
      <c r="R879" s="20"/>
      <c r="S879" s="20"/>
      <c r="T879" s="20"/>
      <c r="U879" s="20"/>
      <c r="V879" s="20"/>
      <c r="W879" s="20"/>
      <c r="X879" s="20"/>
      <c r="Y879" s="20"/>
      <c r="Z879" s="20"/>
    </row>
    <row r="880" spans="3:26" ht="17.25" customHeight="1">
      <c r="C880" s="15"/>
      <c r="G880" s="47"/>
      <c r="H880" s="20"/>
      <c r="I880" s="20"/>
      <c r="J880" s="20"/>
      <c r="K880" s="20"/>
      <c r="L880" s="20"/>
      <c r="M880" s="20"/>
      <c r="N880" s="20"/>
      <c r="O880" s="20"/>
      <c r="P880" s="20"/>
      <c r="Q880" s="20"/>
      <c r="R880" s="20"/>
      <c r="S880" s="20"/>
      <c r="T880" s="20"/>
      <c r="U880" s="20"/>
      <c r="V880" s="20"/>
      <c r="W880" s="20"/>
      <c r="X880" s="20"/>
      <c r="Y880" s="20"/>
      <c r="Z880" s="20"/>
    </row>
    <row r="881" spans="3:26" ht="17.25" customHeight="1">
      <c r="C881" s="15"/>
      <c r="G881" s="47"/>
      <c r="H881" s="20"/>
      <c r="I881" s="20"/>
      <c r="J881" s="20"/>
      <c r="K881" s="20"/>
      <c r="L881" s="20"/>
      <c r="M881" s="20"/>
      <c r="N881" s="20"/>
      <c r="O881" s="20"/>
      <c r="P881" s="20"/>
      <c r="Q881" s="20"/>
      <c r="R881" s="20"/>
      <c r="S881" s="20"/>
      <c r="T881" s="20"/>
      <c r="U881" s="20"/>
      <c r="V881" s="20"/>
      <c r="W881" s="20"/>
      <c r="X881" s="20"/>
      <c r="Y881" s="20"/>
      <c r="Z881" s="20"/>
    </row>
    <row r="882" spans="3:26" ht="17.25" customHeight="1">
      <c r="C882" s="15"/>
      <c r="G882" s="47"/>
      <c r="H882" s="20"/>
      <c r="I882" s="20"/>
      <c r="J882" s="20"/>
      <c r="K882" s="20"/>
      <c r="L882" s="20"/>
      <c r="M882" s="20"/>
      <c r="N882" s="20"/>
      <c r="O882" s="20"/>
      <c r="P882" s="20"/>
      <c r="Q882" s="20"/>
      <c r="R882" s="20"/>
      <c r="S882" s="20"/>
      <c r="T882" s="20"/>
      <c r="U882" s="20"/>
      <c r="V882" s="20"/>
      <c r="W882" s="20"/>
      <c r="X882" s="20"/>
      <c r="Y882" s="20"/>
      <c r="Z882" s="20"/>
    </row>
    <row r="883" spans="3:26" ht="17.25" customHeight="1">
      <c r="C883" s="15"/>
      <c r="G883" s="47"/>
      <c r="H883" s="20"/>
      <c r="I883" s="20"/>
      <c r="J883" s="20"/>
      <c r="K883" s="20"/>
      <c r="L883" s="20"/>
      <c r="M883" s="20"/>
      <c r="N883" s="20"/>
      <c r="O883" s="20"/>
      <c r="P883" s="20"/>
      <c r="Q883" s="20"/>
      <c r="R883" s="20"/>
      <c r="S883" s="20"/>
      <c r="T883" s="20"/>
      <c r="U883" s="20"/>
      <c r="V883" s="20"/>
      <c r="W883" s="20"/>
      <c r="X883" s="20"/>
      <c r="Y883" s="20"/>
      <c r="Z883" s="20"/>
    </row>
    <row r="884" spans="3:26" ht="17.25" customHeight="1">
      <c r="C884" s="15"/>
      <c r="G884" s="47"/>
      <c r="H884" s="20"/>
      <c r="I884" s="20"/>
      <c r="J884" s="20"/>
      <c r="K884" s="20"/>
      <c r="L884" s="20"/>
      <c r="M884" s="20"/>
      <c r="N884" s="20"/>
      <c r="O884" s="20"/>
      <c r="P884" s="20"/>
      <c r="Q884" s="20"/>
      <c r="R884" s="20"/>
      <c r="S884" s="20"/>
      <c r="T884" s="20"/>
      <c r="U884" s="20"/>
      <c r="V884" s="20"/>
      <c r="W884" s="20"/>
      <c r="X884" s="20"/>
      <c r="Y884" s="20"/>
      <c r="Z884" s="20"/>
    </row>
    <row r="885" spans="3:26" ht="17.25" customHeight="1">
      <c r="C885" s="15"/>
      <c r="G885" s="47"/>
      <c r="H885" s="20"/>
      <c r="I885" s="20"/>
      <c r="J885" s="20"/>
      <c r="K885" s="20"/>
      <c r="L885" s="20"/>
      <c r="M885" s="20"/>
      <c r="N885" s="20"/>
      <c r="O885" s="20"/>
      <c r="P885" s="20"/>
      <c r="Q885" s="20"/>
      <c r="R885" s="20"/>
      <c r="S885" s="20"/>
      <c r="T885" s="20"/>
      <c r="U885" s="20"/>
      <c r="V885" s="20"/>
      <c r="W885" s="20"/>
      <c r="X885" s="20"/>
      <c r="Y885" s="20"/>
      <c r="Z885" s="20"/>
    </row>
    <row r="886" spans="3:26" ht="17.25" customHeight="1">
      <c r="C886" s="15"/>
      <c r="G886" s="47"/>
      <c r="H886" s="20"/>
      <c r="I886" s="20"/>
      <c r="J886" s="20"/>
      <c r="K886" s="20"/>
      <c r="L886" s="20"/>
      <c r="M886" s="20"/>
      <c r="N886" s="20"/>
      <c r="O886" s="20"/>
      <c r="P886" s="20"/>
      <c r="Q886" s="20"/>
      <c r="R886" s="20"/>
      <c r="S886" s="20"/>
      <c r="T886" s="20"/>
      <c r="U886" s="20"/>
      <c r="V886" s="20"/>
      <c r="W886" s="20"/>
      <c r="X886" s="20"/>
      <c r="Y886" s="20"/>
      <c r="Z886" s="20"/>
    </row>
    <row r="887" spans="3:26" ht="17.25" customHeight="1">
      <c r="C887" s="15"/>
      <c r="G887" s="47"/>
      <c r="H887" s="20"/>
      <c r="I887" s="20"/>
      <c r="J887" s="20"/>
      <c r="K887" s="20"/>
      <c r="L887" s="20"/>
      <c r="M887" s="20"/>
      <c r="N887" s="20"/>
      <c r="O887" s="20"/>
      <c r="P887" s="20"/>
      <c r="Q887" s="20"/>
      <c r="R887" s="20"/>
      <c r="S887" s="20"/>
      <c r="T887" s="20"/>
      <c r="U887" s="20"/>
      <c r="V887" s="20"/>
      <c r="W887" s="20"/>
      <c r="X887" s="20"/>
      <c r="Y887" s="20"/>
      <c r="Z887" s="20"/>
    </row>
    <row r="888" spans="3:26" ht="17.25" customHeight="1">
      <c r="C888" s="15"/>
      <c r="G888" s="47"/>
      <c r="H888" s="20"/>
      <c r="I888" s="20"/>
      <c r="J888" s="20"/>
      <c r="K888" s="20"/>
      <c r="L888" s="20"/>
      <c r="M888" s="20"/>
      <c r="N888" s="20"/>
      <c r="O888" s="20"/>
      <c r="P888" s="20"/>
      <c r="Q888" s="20"/>
      <c r="R888" s="20"/>
      <c r="S888" s="20"/>
      <c r="T888" s="20"/>
      <c r="U888" s="20"/>
      <c r="V888" s="20"/>
      <c r="W888" s="20"/>
      <c r="X888" s="20"/>
      <c r="Y888" s="20"/>
      <c r="Z888" s="20"/>
    </row>
    <row r="889" spans="3:26" ht="17.25" customHeight="1">
      <c r="C889" s="15"/>
      <c r="G889" s="47"/>
      <c r="H889" s="20"/>
      <c r="I889" s="20"/>
      <c r="J889" s="20"/>
      <c r="K889" s="20"/>
      <c r="L889" s="20"/>
      <c r="M889" s="20"/>
      <c r="N889" s="20"/>
      <c r="O889" s="20"/>
      <c r="P889" s="20"/>
      <c r="Q889" s="20"/>
      <c r="R889" s="20"/>
      <c r="S889" s="20"/>
      <c r="T889" s="20"/>
      <c r="U889" s="20"/>
      <c r="V889" s="20"/>
      <c r="W889" s="20"/>
      <c r="X889" s="20"/>
      <c r="Y889" s="20"/>
      <c r="Z889" s="20"/>
    </row>
    <row r="890" spans="3:26" ht="17.25" customHeight="1">
      <c r="C890" s="15"/>
      <c r="G890" s="47"/>
      <c r="H890" s="20"/>
      <c r="I890" s="20"/>
      <c r="J890" s="20"/>
      <c r="K890" s="20"/>
      <c r="L890" s="20"/>
      <c r="M890" s="20"/>
      <c r="N890" s="20"/>
      <c r="O890" s="20"/>
      <c r="P890" s="20"/>
      <c r="Q890" s="20"/>
      <c r="R890" s="20"/>
      <c r="S890" s="20"/>
      <c r="T890" s="20"/>
      <c r="U890" s="20"/>
      <c r="V890" s="20"/>
      <c r="W890" s="20"/>
      <c r="X890" s="20"/>
      <c r="Y890" s="20"/>
      <c r="Z890" s="20"/>
    </row>
    <row r="891" spans="3:26" ht="17.25" customHeight="1">
      <c r="C891" s="15"/>
      <c r="G891" s="47"/>
      <c r="H891" s="20"/>
      <c r="I891" s="20"/>
      <c r="J891" s="20"/>
      <c r="K891" s="20"/>
      <c r="L891" s="20"/>
      <c r="M891" s="20"/>
      <c r="N891" s="20"/>
      <c r="O891" s="20"/>
      <c r="P891" s="20"/>
      <c r="Q891" s="20"/>
      <c r="R891" s="20"/>
      <c r="S891" s="20"/>
      <c r="T891" s="20"/>
      <c r="U891" s="20"/>
      <c r="V891" s="20"/>
      <c r="W891" s="20"/>
      <c r="X891" s="20"/>
      <c r="Y891" s="20"/>
      <c r="Z891" s="20"/>
    </row>
    <row r="892" spans="3:26" ht="17.25" customHeight="1">
      <c r="C892" s="15"/>
      <c r="G892" s="47"/>
      <c r="H892" s="20"/>
      <c r="I892" s="20"/>
      <c r="J892" s="20"/>
      <c r="K892" s="20"/>
      <c r="L892" s="20"/>
      <c r="M892" s="20"/>
      <c r="N892" s="20"/>
      <c r="O892" s="20"/>
      <c r="P892" s="20"/>
      <c r="Q892" s="20"/>
      <c r="R892" s="20"/>
      <c r="S892" s="20"/>
      <c r="T892" s="20"/>
      <c r="U892" s="20"/>
      <c r="V892" s="20"/>
      <c r="W892" s="20"/>
      <c r="X892" s="20"/>
      <c r="Y892" s="20"/>
      <c r="Z892" s="20"/>
    </row>
    <row r="893" spans="3:26" ht="17.25" customHeight="1">
      <c r="C893" s="15"/>
      <c r="G893" s="47"/>
      <c r="H893" s="20"/>
      <c r="I893" s="20"/>
      <c r="J893" s="20"/>
      <c r="K893" s="20"/>
      <c r="L893" s="20"/>
      <c r="M893" s="20"/>
      <c r="N893" s="20"/>
      <c r="O893" s="20"/>
      <c r="P893" s="20"/>
      <c r="Q893" s="20"/>
      <c r="R893" s="20"/>
      <c r="S893" s="20"/>
      <c r="T893" s="20"/>
      <c r="U893" s="20"/>
      <c r="V893" s="20"/>
      <c r="W893" s="20"/>
      <c r="X893" s="20"/>
      <c r="Y893" s="20"/>
      <c r="Z893" s="20"/>
    </row>
    <row r="894" spans="3:26" ht="17.25" customHeight="1">
      <c r="C894" s="15"/>
      <c r="G894" s="47"/>
      <c r="H894" s="20"/>
      <c r="I894" s="20"/>
      <c r="J894" s="20"/>
      <c r="K894" s="20"/>
      <c r="L894" s="20"/>
      <c r="M894" s="20"/>
      <c r="N894" s="20"/>
      <c r="O894" s="20"/>
      <c r="P894" s="20"/>
      <c r="Q894" s="20"/>
      <c r="R894" s="20"/>
      <c r="S894" s="20"/>
      <c r="T894" s="20"/>
      <c r="U894" s="20"/>
      <c r="V894" s="20"/>
      <c r="W894" s="20"/>
      <c r="X894" s="20"/>
      <c r="Y894" s="20"/>
      <c r="Z894" s="20"/>
    </row>
    <row r="895" spans="3:26" ht="17.25" customHeight="1">
      <c r="C895" s="15"/>
      <c r="G895" s="47"/>
      <c r="H895" s="20"/>
      <c r="I895" s="20"/>
      <c r="J895" s="20"/>
      <c r="K895" s="20"/>
      <c r="L895" s="20"/>
      <c r="M895" s="20"/>
      <c r="N895" s="20"/>
      <c r="O895" s="20"/>
      <c r="P895" s="20"/>
      <c r="Q895" s="20"/>
      <c r="R895" s="20"/>
      <c r="S895" s="20"/>
      <c r="T895" s="20"/>
      <c r="U895" s="20"/>
      <c r="V895" s="20"/>
      <c r="W895" s="20"/>
      <c r="X895" s="20"/>
      <c r="Y895" s="20"/>
      <c r="Z895" s="20"/>
    </row>
    <row r="896" spans="3:26" ht="17.25" customHeight="1">
      <c r="C896" s="15"/>
      <c r="G896" s="47"/>
      <c r="H896" s="20"/>
      <c r="I896" s="20"/>
      <c r="J896" s="20"/>
      <c r="K896" s="20"/>
      <c r="L896" s="20"/>
      <c r="M896" s="20"/>
      <c r="N896" s="20"/>
      <c r="O896" s="20"/>
      <c r="P896" s="20"/>
      <c r="Q896" s="20"/>
      <c r="R896" s="20"/>
      <c r="S896" s="20"/>
      <c r="T896" s="20"/>
      <c r="U896" s="20"/>
      <c r="V896" s="20"/>
      <c r="W896" s="20"/>
      <c r="X896" s="20"/>
      <c r="Y896" s="20"/>
      <c r="Z896" s="20"/>
    </row>
    <row r="897" spans="3:26" ht="17.25" customHeight="1">
      <c r="C897" s="15"/>
      <c r="G897" s="47"/>
      <c r="H897" s="20"/>
      <c r="I897" s="20"/>
      <c r="J897" s="20"/>
      <c r="K897" s="20"/>
      <c r="L897" s="20"/>
      <c r="M897" s="20"/>
      <c r="N897" s="20"/>
      <c r="O897" s="20"/>
      <c r="P897" s="20"/>
      <c r="Q897" s="20"/>
      <c r="R897" s="20"/>
      <c r="S897" s="20"/>
      <c r="T897" s="20"/>
      <c r="U897" s="20"/>
      <c r="V897" s="20"/>
      <c r="W897" s="20"/>
      <c r="X897" s="20"/>
      <c r="Y897" s="20"/>
      <c r="Z897" s="20"/>
    </row>
    <row r="898" spans="3:26" ht="17.25" customHeight="1">
      <c r="C898" s="15"/>
      <c r="G898" s="47"/>
      <c r="H898" s="20"/>
      <c r="I898" s="20"/>
      <c r="J898" s="20"/>
      <c r="K898" s="20"/>
      <c r="L898" s="20"/>
      <c r="M898" s="20"/>
      <c r="N898" s="20"/>
      <c r="O898" s="20"/>
      <c r="P898" s="20"/>
      <c r="Q898" s="20"/>
      <c r="R898" s="20"/>
      <c r="S898" s="20"/>
      <c r="T898" s="20"/>
      <c r="U898" s="20"/>
      <c r="V898" s="20"/>
      <c r="W898" s="20"/>
      <c r="X898" s="20"/>
      <c r="Y898" s="20"/>
      <c r="Z898" s="20"/>
    </row>
    <row r="899" spans="3:26" ht="17.25" customHeight="1">
      <c r="C899" s="15"/>
      <c r="G899" s="47"/>
      <c r="H899" s="20"/>
      <c r="I899" s="20"/>
      <c r="J899" s="20"/>
      <c r="K899" s="20"/>
      <c r="L899" s="20"/>
      <c r="M899" s="20"/>
      <c r="N899" s="20"/>
      <c r="O899" s="20"/>
      <c r="P899" s="20"/>
      <c r="Q899" s="20"/>
      <c r="R899" s="20"/>
      <c r="S899" s="20"/>
      <c r="T899" s="20"/>
      <c r="U899" s="20"/>
      <c r="V899" s="20"/>
      <c r="W899" s="20"/>
      <c r="X899" s="20"/>
      <c r="Y899" s="20"/>
      <c r="Z899" s="20"/>
    </row>
    <row r="900" spans="3:26" ht="17.25" customHeight="1">
      <c r="C900" s="15"/>
      <c r="G900" s="47"/>
      <c r="H900" s="20"/>
      <c r="I900" s="20"/>
      <c r="J900" s="20"/>
      <c r="K900" s="20"/>
      <c r="L900" s="20"/>
      <c r="M900" s="20"/>
      <c r="N900" s="20"/>
      <c r="O900" s="20"/>
      <c r="P900" s="20"/>
      <c r="Q900" s="20"/>
      <c r="R900" s="20"/>
      <c r="S900" s="20"/>
      <c r="T900" s="20"/>
      <c r="U900" s="20"/>
      <c r="V900" s="20"/>
      <c r="W900" s="20"/>
      <c r="X900" s="20"/>
      <c r="Y900" s="20"/>
      <c r="Z900" s="20"/>
    </row>
    <row r="901" spans="3:26" ht="17.25" customHeight="1">
      <c r="C901" s="15"/>
      <c r="G901" s="47"/>
      <c r="H901" s="20"/>
      <c r="I901" s="20"/>
      <c r="J901" s="20"/>
      <c r="K901" s="20"/>
      <c r="L901" s="20"/>
      <c r="M901" s="20"/>
      <c r="N901" s="20"/>
      <c r="O901" s="20"/>
      <c r="P901" s="20"/>
      <c r="Q901" s="20"/>
      <c r="R901" s="20"/>
      <c r="S901" s="20"/>
      <c r="T901" s="20"/>
      <c r="U901" s="20"/>
      <c r="V901" s="20"/>
      <c r="W901" s="20"/>
      <c r="X901" s="20"/>
      <c r="Y901" s="20"/>
      <c r="Z901" s="20"/>
    </row>
    <row r="902" spans="3:26" ht="17.25" customHeight="1">
      <c r="C902" s="15"/>
      <c r="G902" s="47"/>
      <c r="H902" s="20"/>
      <c r="I902" s="20"/>
      <c r="J902" s="20"/>
      <c r="K902" s="20"/>
      <c r="L902" s="20"/>
      <c r="M902" s="20"/>
      <c r="N902" s="20"/>
      <c r="O902" s="20"/>
      <c r="P902" s="20"/>
      <c r="Q902" s="20"/>
      <c r="R902" s="20"/>
      <c r="S902" s="20"/>
      <c r="T902" s="20"/>
      <c r="U902" s="20"/>
      <c r="V902" s="20"/>
      <c r="W902" s="20"/>
      <c r="X902" s="20"/>
      <c r="Y902" s="20"/>
      <c r="Z902" s="20"/>
    </row>
    <row r="903" spans="3:26" ht="17.25" customHeight="1">
      <c r="C903" s="15"/>
      <c r="G903" s="47"/>
      <c r="H903" s="20"/>
      <c r="I903" s="20"/>
      <c r="J903" s="20"/>
      <c r="K903" s="20"/>
      <c r="L903" s="20"/>
      <c r="M903" s="20"/>
      <c r="N903" s="20"/>
      <c r="O903" s="20"/>
      <c r="P903" s="20"/>
      <c r="Q903" s="20"/>
      <c r="R903" s="20"/>
      <c r="S903" s="20"/>
      <c r="T903" s="20"/>
      <c r="U903" s="20"/>
      <c r="V903" s="20"/>
      <c r="W903" s="20"/>
      <c r="X903" s="20"/>
      <c r="Y903" s="20"/>
      <c r="Z903" s="20"/>
    </row>
    <row r="904" spans="3:26" ht="17.25" customHeight="1">
      <c r="C904" s="15"/>
      <c r="G904" s="47"/>
      <c r="H904" s="20"/>
      <c r="I904" s="20"/>
      <c r="J904" s="20"/>
      <c r="K904" s="20"/>
      <c r="L904" s="20"/>
      <c r="M904" s="20"/>
      <c r="N904" s="20"/>
      <c r="O904" s="20"/>
      <c r="P904" s="20"/>
      <c r="Q904" s="20"/>
      <c r="R904" s="20"/>
      <c r="S904" s="20"/>
      <c r="T904" s="20"/>
      <c r="U904" s="20"/>
      <c r="V904" s="20"/>
      <c r="W904" s="20"/>
      <c r="X904" s="20"/>
      <c r="Y904" s="20"/>
      <c r="Z904" s="20"/>
    </row>
    <row r="905" spans="3:26" ht="17.25" customHeight="1">
      <c r="C905" s="15"/>
      <c r="G905" s="47"/>
      <c r="H905" s="20"/>
      <c r="I905" s="20"/>
      <c r="J905" s="20"/>
      <c r="K905" s="20"/>
      <c r="L905" s="20"/>
      <c r="M905" s="20"/>
      <c r="N905" s="20"/>
      <c r="O905" s="20"/>
      <c r="P905" s="20"/>
      <c r="Q905" s="20"/>
      <c r="R905" s="20"/>
      <c r="S905" s="20"/>
      <c r="T905" s="20"/>
      <c r="U905" s="20"/>
      <c r="V905" s="20"/>
      <c r="W905" s="20"/>
      <c r="X905" s="20"/>
      <c r="Y905" s="20"/>
      <c r="Z905" s="20"/>
    </row>
    <row r="906" spans="3:26" ht="17.25" customHeight="1">
      <c r="C906" s="15"/>
      <c r="G906" s="47"/>
      <c r="H906" s="20"/>
      <c r="I906" s="20"/>
      <c r="J906" s="20"/>
      <c r="K906" s="20"/>
      <c r="L906" s="20"/>
      <c r="M906" s="20"/>
      <c r="N906" s="20"/>
      <c r="O906" s="20"/>
      <c r="P906" s="20"/>
      <c r="Q906" s="20"/>
      <c r="R906" s="20"/>
      <c r="S906" s="20"/>
      <c r="T906" s="20"/>
      <c r="U906" s="20"/>
      <c r="V906" s="20"/>
      <c r="W906" s="20"/>
      <c r="X906" s="20"/>
      <c r="Y906" s="20"/>
      <c r="Z906" s="20"/>
    </row>
    <row r="907" spans="3:26" ht="17.25" customHeight="1">
      <c r="C907" s="15"/>
      <c r="G907" s="47"/>
      <c r="H907" s="20"/>
      <c r="I907" s="20"/>
      <c r="J907" s="20"/>
      <c r="K907" s="20"/>
      <c r="L907" s="20"/>
      <c r="M907" s="20"/>
      <c r="N907" s="20"/>
      <c r="O907" s="20"/>
      <c r="P907" s="20"/>
      <c r="Q907" s="20"/>
      <c r="R907" s="20"/>
      <c r="S907" s="20"/>
      <c r="T907" s="20"/>
      <c r="U907" s="20"/>
      <c r="V907" s="20"/>
      <c r="W907" s="20"/>
      <c r="X907" s="20"/>
      <c r="Y907" s="20"/>
      <c r="Z907" s="20"/>
    </row>
    <row r="908" spans="3:26" ht="17.25" customHeight="1">
      <c r="C908" s="15"/>
      <c r="G908" s="47"/>
      <c r="H908" s="20"/>
      <c r="I908" s="20"/>
      <c r="J908" s="20"/>
      <c r="K908" s="20"/>
      <c r="L908" s="20"/>
      <c r="M908" s="20"/>
      <c r="N908" s="20"/>
      <c r="O908" s="20"/>
      <c r="P908" s="20"/>
      <c r="Q908" s="20"/>
      <c r="R908" s="20"/>
      <c r="S908" s="20"/>
      <c r="T908" s="20"/>
      <c r="U908" s="20"/>
      <c r="V908" s="20"/>
      <c r="W908" s="20"/>
      <c r="X908" s="20"/>
      <c r="Y908" s="20"/>
      <c r="Z908" s="20"/>
    </row>
    <row r="909" spans="3:26" ht="17.25" customHeight="1">
      <c r="C909" s="15"/>
      <c r="G909" s="47"/>
      <c r="H909" s="20"/>
      <c r="I909" s="20"/>
      <c r="J909" s="20"/>
      <c r="K909" s="20"/>
      <c r="L909" s="20"/>
      <c r="M909" s="20"/>
      <c r="N909" s="20"/>
      <c r="O909" s="20"/>
      <c r="P909" s="20"/>
      <c r="Q909" s="20"/>
      <c r="R909" s="20"/>
      <c r="S909" s="20"/>
      <c r="T909" s="20"/>
      <c r="U909" s="20"/>
      <c r="V909" s="20"/>
      <c r="W909" s="20"/>
      <c r="X909" s="20"/>
      <c r="Y909" s="20"/>
      <c r="Z909" s="20"/>
    </row>
    <row r="910" spans="3:26" ht="17.25" customHeight="1">
      <c r="C910" s="15"/>
      <c r="G910" s="47"/>
      <c r="H910" s="20"/>
      <c r="I910" s="20"/>
      <c r="J910" s="20"/>
      <c r="K910" s="20"/>
      <c r="L910" s="20"/>
      <c r="M910" s="20"/>
      <c r="N910" s="20"/>
      <c r="O910" s="20"/>
      <c r="P910" s="20"/>
      <c r="Q910" s="20"/>
      <c r="R910" s="20"/>
      <c r="S910" s="20"/>
      <c r="T910" s="20"/>
      <c r="U910" s="20"/>
      <c r="V910" s="20"/>
      <c r="W910" s="20"/>
      <c r="X910" s="20"/>
      <c r="Y910" s="20"/>
      <c r="Z910" s="20"/>
    </row>
    <row r="911" spans="3:26" ht="17.25" customHeight="1">
      <c r="C911" s="15"/>
      <c r="G911" s="47"/>
      <c r="H911" s="20"/>
      <c r="I911" s="20"/>
      <c r="J911" s="20"/>
      <c r="K911" s="20"/>
      <c r="L911" s="20"/>
      <c r="M911" s="20"/>
      <c r="N911" s="20"/>
      <c r="O911" s="20"/>
      <c r="P911" s="20"/>
      <c r="Q911" s="20"/>
      <c r="R911" s="20"/>
      <c r="S911" s="20"/>
      <c r="T911" s="20"/>
      <c r="U911" s="20"/>
      <c r="V911" s="20"/>
      <c r="W911" s="20"/>
      <c r="X911" s="20"/>
      <c r="Y911" s="20"/>
      <c r="Z911" s="20"/>
    </row>
    <row r="912" spans="3:26" ht="17.25" customHeight="1">
      <c r="C912" s="15"/>
      <c r="G912" s="47"/>
      <c r="H912" s="20"/>
      <c r="I912" s="20"/>
      <c r="J912" s="20"/>
      <c r="K912" s="20"/>
      <c r="L912" s="20"/>
      <c r="M912" s="20"/>
      <c r="N912" s="20"/>
      <c r="O912" s="20"/>
      <c r="P912" s="20"/>
      <c r="Q912" s="20"/>
      <c r="R912" s="20"/>
      <c r="S912" s="20"/>
      <c r="T912" s="20"/>
      <c r="U912" s="20"/>
      <c r="V912" s="20"/>
      <c r="W912" s="20"/>
      <c r="X912" s="20"/>
      <c r="Y912" s="20"/>
      <c r="Z912" s="20"/>
    </row>
    <row r="913" spans="3:26" ht="17.25" customHeight="1">
      <c r="C913" s="15"/>
      <c r="G913" s="47"/>
      <c r="H913" s="20"/>
      <c r="I913" s="20"/>
      <c r="J913" s="20"/>
      <c r="K913" s="20"/>
      <c r="L913" s="20"/>
      <c r="M913" s="20"/>
      <c r="N913" s="20"/>
      <c r="O913" s="20"/>
      <c r="P913" s="20"/>
      <c r="Q913" s="20"/>
      <c r="R913" s="20"/>
      <c r="S913" s="20"/>
      <c r="T913" s="20"/>
      <c r="U913" s="20"/>
      <c r="V913" s="20"/>
      <c r="W913" s="20"/>
      <c r="X913" s="20"/>
      <c r="Y913" s="20"/>
      <c r="Z913" s="20"/>
    </row>
    <row r="914" spans="3:26" ht="17.25" customHeight="1">
      <c r="C914" s="15"/>
      <c r="G914" s="47"/>
      <c r="H914" s="20"/>
      <c r="I914" s="20"/>
      <c r="J914" s="20"/>
      <c r="K914" s="20"/>
      <c r="L914" s="20"/>
      <c r="M914" s="20"/>
      <c r="N914" s="20"/>
      <c r="O914" s="20"/>
      <c r="P914" s="20"/>
      <c r="Q914" s="20"/>
      <c r="R914" s="20"/>
      <c r="S914" s="20"/>
      <c r="T914" s="20"/>
      <c r="U914" s="20"/>
      <c r="V914" s="20"/>
      <c r="W914" s="20"/>
      <c r="X914" s="20"/>
      <c r="Y914" s="20"/>
      <c r="Z914" s="20"/>
    </row>
    <row r="915" spans="3:26" ht="17.25" customHeight="1">
      <c r="C915" s="15"/>
      <c r="G915" s="47"/>
      <c r="H915" s="20"/>
      <c r="I915" s="20"/>
      <c r="J915" s="20"/>
      <c r="K915" s="20"/>
      <c r="L915" s="20"/>
      <c r="M915" s="20"/>
      <c r="N915" s="20"/>
      <c r="O915" s="20"/>
      <c r="P915" s="20"/>
      <c r="Q915" s="20"/>
      <c r="R915" s="20"/>
      <c r="S915" s="20"/>
      <c r="T915" s="20"/>
      <c r="U915" s="20"/>
      <c r="V915" s="20"/>
      <c r="W915" s="20"/>
      <c r="X915" s="20"/>
      <c r="Y915" s="20"/>
      <c r="Z915" s="20"/>
    </row>
    <row r="916" spans="3:26" ht="17.25" customHeight="1">
      <c r="C916" s="15"/>
      <c r="G916" s="47"/>
      <c r="H916" s="20"/>
      <c r="I916" s="20"/>
      <c r="J916" s="20"/>
      <c r="K916" s="20"/>
      <c r="L916" s="20"/>
      <c r="M916" s="20"/>
      <c r="N916" s="20"/>
      <c r="O916" s="20"/>
      <c r="P916" s="20"/>
      <c r="Q916" s="20"/>
      <c r="R916" s="20"/>
      <c r="S916" s="20"/>
      <c r="T916" s="20"/>
      <c r="U916" s="20"/>
      <c r="V916" s="20"/>
      <c r="W916" s="20"/>
      <c r="X916" s="20"/>
      <c r="Y916" s="20"/>
      <c r="Z916" s="20"/>
    </row>
    <row r="917" spans="3:26" ht="17.25" customHeight="1">
      <c r="C917" s="15"/>
      <c r="G917" s="47"/>
      <c r="H917" s="20"/>
      <c r="I917" s="20"/>
      <c r="J917" s="20"/>
      <c r="K917" s="20"/>
      <c r="L917" s="20"/>
      <c r="M917" s="20"/>
      <c r="N917" s="20"/>
      <c r="O917" s="20"/>
      <c r="P917" s="20"/>
      <c r="Q917" s="20"/>
      <c r="R917" s="20"/>
      <c r="S917" s="20"/>
      <c r="T917" s="20"/>
      <c r="U917" s="20"/>
      <c r="V917" s="20"/>
      <c r="W917" s="20"/>
      <c r="X917" s="20"/>
      <c r="Y917" s="20"/>
      <c r="Z917" s="20"/>
    </row>
    <row r="918" spans="3:26" ht="17.25" customHeight="1">
      <c r="C918" s="15"/>
      <c r="G918" s="47"/>
      <c r="H918" s="20"/>
      <c r="I918" s="20"/>
      <c r="J918" s="20"/>
      <c r="K918" s="20"/>
      <c r="L918" s="20"/>
      <c r="M918" s="20"/>
      <c r="N918" s="20"/>
      <c r="O918" s="20"/>
      <c r="P918" s="20"/>
      <c r="Q918" s="20"/>
      <c r="R918" s="20"/>
      <c r="S918" s="20"/>
      <c r="T918" s="20"/>
      <c r="U918" s="20"/>
      <c r="V918" s="20"/>
      <c r="W918" s="20"/>
      <c r="X918" s="20"/>
      <c r="Y918" s="20"/>
      <c r="Z918" s="20"/>
    </row>
    <row r="919" spans="3:26" ht="17.25" customHeight="1">
      <c r="C919" s="15"/>
      <c r="G919" s="47"/>
      <c r="H919" s="20"/>
      <c r="I919" s="20"/>
      <c r="J919" s="20"/>
      <c r="K919" s="20"/>
      <c r="L919" s="20"/>
      <c r="M919" s="20"/>
      <c r="N919" s="20"/>
      <c r="O919" s="20"/>
      <c r="P919" s="20"/>
      <c r="Q919" s="20"/>
      <c r="R919" s="20"/>
      <c r="S919" s="20"/>
      <c r="T919" s="20"/>
      <c r="U919" s="20"/>
      <c r="V919" s="20"/>
      <c r="W919" s="20"/>
      <c r="X919" s="20"/>
      <c r="Y919" s="20"/>
      <c r="Z919" s="20"/>
    </row>
    <row r="920" spans="3:26" ht="17.25" customHeight="1">
      <c r="C920" s="15"/>
      <c r="G920" s="47"/>
      <c r="H920" s="20"/>
      <c r="I920" s="20"/>
      <c r="J920" s="20"/>
      <c r="K920" s="20"/>
      <c r="L920" s="20"/>
      <c r="M920" s="20"/>
      <c r="N920" s="20"/>
      <c r="O920" s="20"/>
      <c r="P920" s="20"/>
      <c r="Q920" s="20"/>
      <c r="R920" s="20"/>
      <c r="S920" s="20"/>
      <c r="T920" s="20"/>
      <c r="U920" s="20"/>
      <c r="V920" s="20"/>
      <c r="W920" s="20"/>
      <c r="X920" s="20"/>
      <c r="Y920" s="20"/>
      <c r="Z920" s="20"/>
    </row>
    <row r="921" spans="3:26" ht="17.25" customHeight="1">
      <c r="C921" s="15"/>
      <c r="G921" s="47"/>
      <c r="H921" s="20"/>
      <c r="I921" s="20"/>
      <c r="J921" s="20"/>
      <c r="K921" s="20"/>
      <c r="L921" s="20"/>
      <c r="M921" s="20"/>
      <c r="N921" s="20"/>
      <c r="O921" s="20"/>
      <c r="P921" s="20"/>
      <c r="Q921" s="20"/>
      <c r="R921" s="20"/>
      <c r="S921" s="20"/>
      <c r="T921" s="20"/>
      <c r="U921" s="20"/>
      <c r="V921" s="20"/>
      <c r="W921" s="20"/>
      <c r="X921" s="20"/>
      <c r="Y921" s="20"/>
      <c r="Z921" s="20"/>
    </row>
    <row r="922" spans="3:26" ht="17.25" customHeight="1">
      <c r="C922" s="15"/>
      <c r="G922" s="47"/>
      <c r="H922" s="20"/>
      <c r="I922" s="20"/>
      <c r="J922" s="20"/>
      <c r="K922" s="20"/>
      <c r="L922" s="20"/>
      <c r="M922" s="20"/>
      <c r="N922" s="20"/>
      <c r="O922" s="20"/>
      <c r="P922" s="20"/>
      <c r="Q922" s="20"/>
      <c r="R922" s="20"/>
      <c r="S922" s="20"/>
      <c r="T922" s="20"/>
      <c r="U922" s="20"/>
      <c r="V922" s="20"/>
      <c r="W922" s="20"/>
      <c r="X922" s="20"/>
      <c r="Y922" s="20"/>
      <c r="Z922" s="20"/>
    </row>
    <row r="923" spans="3:26" ht="17.25" customHeight="1">
      <c r="C923" s="15"/>
      <c r="G923" s="47"/>
      <c r="H923" s="20"/>
      <c r="I923" s="20"/>
      <c r="J923" s="20"/>
      <c r="K923" s="20"/>
      <c r="L923" s="20"/>
      <c r="M923" s="20"/>
      <c r="N923" s="20"/>
      <c r="O923" s="20"/>
      <c r="P923" s="20"/>
      <c r="Q923" s="20"/>
      <c r="R923" s="20"/>
      <c r="S923" s="20"/>
      <c r="T923" s="20"/>
      <c r="U923" s="20"/>
      <c r="V923" s="20"/>
      <c r="W923" s="20"/>
      <c r="X923" s="20"/>
      <c r="Y923" s="20"/>
      <c r="Z923" s="20"/>
    </row>
    <row r="924" spans="3:26" ht="17.25" customHeight="1">
      <c r="C924" s="15"/>
      <c r="G924" s="47"/>
      <c r="H924" s="20"/>
      <c r="I924" s="20"/>
      <c r="J924" s="20"/>
      <c r="K924" s="20"/>
      <c r="L924" s="20"/>
      <c r="M924" s="20"/>
      <c r="N924" s="20"/>
      <c r="O924" s="20"/>
      <c r="P924" s="20"/>
      <c r="Q924" s="20"/>
      <c r="R924" s="20"/>
      <c r="S924" s="20"/>
      <c r="T924" s="20"/>
      <c r="U924" s="20"/>
      <c r="V924" s="20"/>
      <c r="W924" s="20"/>
      <c r="X924" s="20"/>
      <c r="Y924" s="20"/>
      <c r="Z924" s="20"/>
    </row>
    <row r="925" spans="3:26" ht="17.25" customHeight="1">
      <c r="C925" s="15"/>
      <c r="G925" s="47"/>
      <c r="H925" s="20"/>
      <c r="I925" s="20"/>
      <c r="J925" s="20"/>
      <c r="K925" s="20"/>
      <c r="L925" s="20"/>
      <c r="M925" s="20"/>
      <c r="N925" s="20"/>
      <c r="O925" s="20"/>
      <c r="P925" s="20"/>
      <c r="Q925" s="20"/>
      <c r="R925" s="20"/>
      <c r="S925" s="20"/>
      <c r="T925" s="20"/>
      <c r="U925" s="20"/>
      <c r="V925" s="20"/>
      <c r="W925" s="20"/>
      <c r="X925" s="20"/>
      <c r="Y925" s="20"/>
      <c r="Z925" s="20"/>
    </row>
    <row r="926" spans="3:26" ht="17.25" customHeight="1">
      <c r="C926" s="15"/>
      <c r="G926" s="47"/>
      <c r="H926" s="20"/>
      <c r="I926" s="20"/>
      <c r="J926" s="20"/>
      <c r="K926" s="20"/>
      <c r="L926" s="20"/>
      <c r="M926" s="20"/>
      <c r="N926" s="20"/>
      <c r="O926" s="20"/>
      <c r="P926" s="20"/>
      <c r="Q926" s="20"/>
      <c r="R926" s="20"/>
      <c r="S926" s="20"/>
      <c r="T926" s="20"/>
      <c r="U926" s="20"/>
      <c r="V926" s="20"/>
      <c r="W926" s="20"/>
      <c r="X926" s="20"/>
      <c r="Y926" s="20"/>
      <c r="Z926" s="20"/>
    </row>
    <row r="927" spans="3:26" ht="17.25" customHeight="1">
      <c r="C927" s="15"/>
      <c r="G927" s="47"/>
      <c r="H927" s="20"/>
      <c r="I927" s="20"/>
      <c r="J927" s="20"/>
      <c r="K927" s="20"/>
      <c r="L927" s="20"/>
      <c r="M927" s="20"/>
      <c r="N927" s="20"/>
      <c r="O927" s="20"/>
      <c r="P927" s="20"/>
      <c r="Q927" s="20"/>
      <c r="R927" s="20"/>
      <c r="S927" s="20"/>
      <c r="T927" s="20"/>
      <c r="U927" s="20"/>
      <c r="V927" s="20"/>
      <c r="W927" s="20"/>
      <c r="X927" s="20"/>
      <c r="Y927" s="20"/>
      <c r="Z927" s="20"/>
    </row>
    <row r="928" spans="3:26" ht="17.25" customHeight="1">
      <c r="C928" s="15"/>
      <c r="G928" s="47"/>
      <c r="H928" s="20"/>
      <c r="I928" s="20"/>
      <c r="J928" s="20"/>
      <c r="K928" s="20"/>
      <c r="L928" s="20"/>
      <c r="M928" s="20"/>
      <c r="N928" s="20"/>
      <c r="O928" s="20"/>
      <c r="P928" s="20"/>
      <c r="Q928" s="20"/>
      <c r="R928" s="20"/>
      <c r="S928" s="20"/>
      <c r="T928" s="20"/>
      <c r="U928" s="20"/>
      <c r="V928" s="20"/>
      <c r="W928" s="20"/>
      <c r="X928" s="20"/>
      <c r="Y928" s="20"/>
      <c r="Z928" s="20"/>
    </row>
    <row r="929" spans="3:26" ht="17.25" customHeight="1">
      <c r="C929" s="15"/>
      <c r="G929" s="47"/>
      <c r="H929" s="20"/>
      <c r="I929" s="20"/>
      <c r="J929" s="20"/>
      <c r="K929" s="20"/>
      <c r="L929" s="20"/>
      <c r="M929" s="20"/>
      <c r="N929" s="20"/>
      <c r="O929" s="20"/>
      <c r="P929" s="20"/>
      <c r="Q929" s="20"/>
      <c r="R929" s="20"/>
      <c r="S929" s="20"/>
      <c r="T929" s="20"/>
      <c r="U929" s="20"/>
      <c r="V929" s="20"/>
      <c r="W929" s="20"/>
      <c r="X929" s="20"/>
      <c r="Y929" s="20"/>
      <c r="Z929" s="20"/>
    </row>
    <row r="930" spans="3:26" ht="17.25" customHeight="1">
      <c r="C930" s="15"/>
      <c r="G930" s="47"/>
      <c r="H930" s="20"/>
      <c r="I930" s="20"/>
      <c r="J930" s="20"/>
      <c r="K930" s="20"/>
      <c r="L930" s="20"/>
      <c r="M930" s="20"/>
      <c r="N930" s="20"/>
      <c r="O930" s="20"/>
      <c r="P930" s="20"/>
      <c r="Q930" s="20"/>
      <c r="R930" s="20"/>
      <c r="S930" s="20"/>
      <c r="T930" s="20"/>
      <c r="U930" s="20"/>
      <c r="V930" s="20"/>
      <c r="W930" s="20"/>
      <c r="X930" s="20"/>
      <c r="Y930" s="20"/>
      <c r="Z930" s="20"/>
    </row>
    <row r="931" spans="3:26" ht="17.25" customHeight="1">
      <c r="C931" s="15"/>
      <c r="G931" s="47"/>
      <c r="H931" s="20"/>
      <c r="I931" s="20"/>
      <c r="J931" s="20"/>
      <c r="K931" s="20"/>
      <c r="L931" s="20"/>
      <c r="M931" s="20"/>
      <c r="N931" s="20"/>
      <c r="O931" s="20"/>
      <c r="P931" s="20"/>
      <c r="Q931" s="20"/>
      <c r="R931" s="20"/>
      <c r="S931" s="20"/>
      <c r="T931" s="20"/>
      <c r="U931" s="20"/>
      <c r="V931" s="20"/>
      <c r="W931" s="20"/>
      <c r="X931" s="20"/>
      <c r="Y931" s="20"/>
      <c r="Z931" s="20"/>
    </row>
    <row r="932" spans="3:26" ht="17.25" customHeight="1">
      <c r="C932" s="15"/>
      <c r="G932" s="47"/>
      <c r="H932" s="20"/>
      <c r="I932" s="20"/>
      <c r="J932" s="20"/>
      <c r="K932" s="20"/>
      <c r="L932" s="20"/>
      <c r="M932" s="20"/>
      <c r="N932" s="20"/>
      <c r="O932" s="20"/>
      <c r="P932" s="20"/>
      <c r="Q932" s="20"/>
      <c r="R932" s="20"/>
      <c r="S932" s="20"/>
      <c r="T932" s="20"/>
      <c r="U932" s="20"/>
      <c r="V932" s="20"/>
      <c r="W932" s="20"/>
      <c r="X932" s="20"/>
      <c r="Y932" s="20"/>
      <c r="Z932" s="20"/>
    </row>
    <row r="933" spans="3:26" ht="17.25" customHeight="1">
      <c r="C933" s="15"/>
      <c r="G933" s="47"/>
      <c r="H933" s="20"/>
      <c r="I933" s="20"/>
      <c r="J933" s="20"/>
      <c r="K933" s="20"/>
      <c r="L933" s="20"/>
      <c r="M933" s="20"/>
      <c r="N933" s="20"/>
      <c r="O933" s="20"/>
      <c r="P933" s="20"/>
      <c r="Q933" s="20"/>
      <c r="R933" s="20"/>
      <c r="S933" s="20"/>
      <c r="T933" s="20"/>
      <c r="U933" s="20"/>
      <c r="V933" s="20"/>
      <c r="W933" s="20"/>
      <c r="X933" s="20"/>
      <c r="Y933" s="20"/>
      <c r="Z933" s="20"/>
    </row>
    <row r="934" spans="3:26" ht="17.25" customHeight="1">
      <c r="C934" s="15"/>
      <c r="G934" s="47"/>
      <c r="H934" s="20"/>
      <c r="I934" s="20"/>
      <c r="J934" s="20"/>
      <c r="K934" s="20"/>
      <c r="L934" s="20"/>
      <c r="M934" s="20"/>
      <c r="N934" s="20"/>
      <c r="O934" s="20"/>
      <c r="P934" s="20"/>
      <c r="Q934" s="20"/>
      <c r="R934" s="20"/>
      <c r="S934" s="20"/>
      <c r="T934" s="20"/>
      <c r="U934" s="20"/>
      <c r="V934" s="20"/>
      <c r="W934" s="20"/>
      <c r="X934" s="20"/>
      <c r="Y934" s="20"/>
      <c r="Z934" s="20"/>
    </row>
    <row r="935" spans="3:26" ht="17.25" customHeight="1">
      <c r="C935" s="15"/>
      <c r="G935" s="47"/>
      <c r="H935" s="20"/>
      <c r="I935" s="20"/>
      <c r="J935" s="20"/>
      <c r="K935" s="20"/>
      <c r="L935" s="20"/>
      <c r="M935" s="20"/>
      <c r="N935" s="20"/>
      <c r="O935" s="20"/>
      <c r="P935" s="20"/>
      <c r="Q935" s="20"/>
      <c r="R935" s="20"/>
      <c r="S935" s="20"/>
      <c r="T935" s="20"/>
      <c r="U935" s="20"/>
      <c r="V935" s="20"/>
      <c r="W935" s="20"/>
      <c r="X935" s="20"/>
      <c r="Y935" s="20"/>
      <c r="Z935" s="20"/>
    </row>
    <row r="936" spans="3:26" ht="17.25" customHeight="1">
      <c r="C936" s="15"/>
      <c r="G936" s="47"/>
      <c r="H936" s="20"/>
      <c r="I936" s="20"/>
      <c r="J936" s="20"/>
      <c r="K936" s="20"/>
      <c r="L936" s="20"/>
      <c r="M936" s="20"/>
      <c r="N936" s="20"/>
      <c r="O936" s="20"/>
      <c r="P936" s="20"/>
      <c r="Q936" s="20"/>
      <c r="R936" s="20"/>
      <c r="S936" s="20"/>
      <c r="T936" s="20"/>
      <c r="U936" s="20"/>
      <c r="V936" s="20"/>
      <c r="W936" s="20"/>
      <c r="X936" s="20"/>
      <c r="Y936" s="20"/>
      <c r="Z936" s="20"/>
    </row>
    <row r="937" spans="3:26" ht="17.25" customHeight="1">
      <c r="C937" s="15"/>
      <c r="G937" s="47"/>
      <c r="H937" s="20"/>
      <c r="I937" s="20"/>
      <c r="J937" s="20"/>
      <c r="K937" s="20"/>
      <c r="L937" s="20"/>
      <c r="M937" s="20"/>
      <c r="N937" s="20"/>
      <c r="O937" s="20"/>
      <c r="P937" s="20"/>
      <c r="Q937" s="20"/>
      <c r="R937" s="20"/>
      <c r="S937" s="20"/>
      <c r="T937" s="20"/>
      <c r="U937" s="20"/>
      <c r="V937" s="20"/>
      <c r="W937" s="20"/>
      <c r="X937" s="20"/>
      <c r="Y937" s="20"/>
      <c r="Z937" s="20"/>
    </row>
    <row r="938" spans="3:26" ht="17.25" customHeight="1">
      <c r="C938" s="15"/>
      <c r="G938" s="47"/>
      <c r="H938" s="20"/>
      <c r="I938" s="20"/>
      <c r="J938" s="20"/>
      <c r="K938" s="20"/>
      <c r="L938" s="20"/>
      <c r="M938" s="20"/>
      <c r="N938" s="20"/>
      <c r="O938" s="20"/>
      <c r="P938" s="20"/>
      <c r="Q938" s="20"/>
      <c r="R938" s="20"/>
      <c r="S938" s="20"/>
      <c r="T938" s="20"/>
      <c r="U938" s="20"/>
      <c r="V938" s="20"/>
      <c r="W938" s="20"/>
      <c r="X938" s="20"/>
      <c r="Y938" s="20"/>
      <c r="Z938" s="20"/>
    </row>
    <row r="939" spans="3:26" ht="17.25" customHeight="1">
      <c r="C939" s="15"/>
      <c r="G939" s="47"/>
      <c r="H939" s="20"/>
      <c r="I939" s="20"/>
      <c r="J939" s="20"/>
      <c r="K939" s="20"/>
      <c r="L939" s="20"/>
      <c r="M939" s="20"/>
      <c r="N939" s="20"/>
      <c r="O939" s="20"/>
      <c r="P939" s="20"/>
      <c r="Q939" s="20"/>
      <c r="R939" s="20"/>
      <c r="S939" s="20"/>
      <c r="T939" s="20"/>
      <c r="U939" s="20"/>
      <c r="V939" s="20"/>
      <c r="W939" s="20"/>
      <c r="X939" s="20"/>
      <c r="Y939" s="20"/>
      <c r="Z939" s="20"/>
    </row>
    <row r="940" spans="3:26" ht="17.25" customHeight="1">
      <c r="C940" s="15"/>
      <c r="G940" s="47"/>
      <c r="H940" s="20"/>
      <c r="I940" s="20"/>
      <c r="J940" s="20"/>
      <c r="K940" s="20"/>
      <c r="L940" s="20"/>
      <c r="M940" s="20"/>
      <c r="N940" s="20"/>
      <c r="O940" s="20"/>
      <c r="P940" s="20"/>
      <c r="Q940" s="20"/>
      <c r="R940" s="20"/>
      <c r="S940" s="20"/>
      <c r="T940" s="20"/>
      <c r="U940" s="20"/>
      <c r="V940" s="20"/>
      <c r="W940" s="20"/>
      <c r="X940" s="20"/>
      <c r="Y940" s="20"/>
      <c r="Z940" s="20"/>
    </row>
    <row r="941" spans="3:26" ht="17.25" customHeight="1">
      <c r="C941" s="15"/>
      <c r="G941" s="47"/>
      <c r="H941" s="20"/>
      <c r="I941" s="20"/>
      <c r="J941" s="20"/>
      <c r="K941" s="20"/>
      <c r="L941" s="20"/>
      <c r="M941" s="20"/>
      <c r="N941" s="20"/>
      <c r="O941" s="20"/>
      <c r="P941" s="20"/>
      <c r="Q941" s="20"/>
      <c r="R941" s="20"/>
      <c r="S941" s="20"/>
      <c r="T941" s="20"/>
      <c r="U941" s="20"/>
      <c r="V941" s="20"/>
      <c r="W941" s="20"/>
      <c r="X941" s="20"/>
      <c r="Y941" s="20"/>
      <c r="Z941" s="20"/>
    </row>
    <row r="942" spans="3:26" ht="17.25" customHeight="1">
      <c r="C942" s="15"/>
      <c r="G942" s="47"/>
      <c r="H942" s="20"/>
      <c r="I942" s="20"/>
      <c r="J942" s="20"/>
      <c r="K942" s="20"/>
      <c r="L942" s="20"/>
      <c r="M942" s="20"/>
      <c r="N942" s="20"/>
      <c r="O942" s="20"/>
      <c r="P942" s="20"/>
      <c r="Q942" s="20"/>
      <c r="R942" s="20"/>
      <c r="S942" s="20"/>
      <c r="T942" s="20"/>
      <c r="U942" s="20"/>
      <c r="V942" s="20"/>
      <c r="W942" s="20"/>
      <c r="X942" s="20"/>
      <c r="Y942" s="20"/>
      <c r="Z942" s="20"/>
    </row>
    <row r="943" spans="3:26" ht="17.25" customHeight="1">
      <c r="C943" s="15"/>
      <c r="G943" s="47"/>
      <c r="H943" s="20"/>
      <c r="I943" s="20"/>
      <c r="J943" s="20"/>
      <c r="K943" s="20"/>
      <c r="L943" s="20"/>
      <c r="M943" s="20"/>
      <c r="N943" s="20"/>
      <c r="O943" s="20"/>
      <c r="P943" s="20"/>
      <c r="Q943" s="20"/>
      <c r="R943" s="20"/>
      <c r="S943" s="20"/>
      <c r="T943" s="20"/>
      <c r="U943" s="20"/>
      <c r="V943" s="20"/>
      <c r="W943" s="20"/>
      <c r="X943" s="20"/>
      <c r="Y943" s="20"/>
      <c r="Z943" s="20"/>
    </row>
    <row r="944" spans="3:26" ht="17.25" customHeight="1">
      <c r="C944" s="15"/>
      <c r="G944" s="47"/>
      <c r="H944" s="20"/>
      <c r="I944" s="20"/>
      <c r="J944" s="20"/>
      <c r="K944" s="20"/>
      <c r="L944" s="20"/>
      <c r="M944" s="20"/>
      <c r="N944" s="20"/>
      <c r="O944" s="20"/>
      <c r="P944" s="20"/>
      <c r="Q944" s="20"/>
      <c r="R944" s="20"/>
      <c r="S944" s="20"/>
      <c r="T944" s="20"/>
      <c r="U944" s="20"/>
      <c r="V944" s="20"/>
      <c r="W944" s="20"/>
      <c r="X944" s="20"/>
      <c r="Y944" s="20"/>
      <c r="Z944" s="20"/>
    </row>
    <row r="945" spans="3:26" ht="17.25" customHeight="1">
      <c r="C945" s="15"/>
      <c r="G945" s="47"/>
      <c r="H945" s="20"/>
      <c r="I945" s="20"/>
      <c r="J945" s="20"/>
      <c r="K945" s="20"/>
      <c r="L945" s="20"/>
      <c r="M945" s="20"/>
      <c r="N945" s="20"/>
      <c r="O945" s="20"/>
      <c r="P945" s="20"/>
      <c r="Q945" s="20"/>
      <c r="R945" s="20"/>
      <c r="S945" s="20"/>
      <c r="T945" s="20"/>
      <c r="U945" s="20"/>
      <c r="V945" s="20"/>
      <c r="W945" s="20"/>
      <c r="X945" s="20"/>
      <c r="Y945" s="20"/>
      <c r="Z945" s="20"/>
    </row>
    <row r="946" spans="3:26" ht="17.25" customHeight="1">
      <c r="C946" s="15"/>
      <c r="G946" s="47"/>
      <c r="H946" s="20"/>
      <c r="I946" s="20"/>
      <c r="J946" s="20"/>
      <c r="K946" s="20"/>
      <c r="L946" s="20"/>
      <c r="M946" s="20"/>
      <c r="N946" s="20"/>
      <c r="O946" s="20"/>
      <c r="P946" s="20"/>
      <c r="Q946" s="20"/>
      <c r="R946" s="20"/>
      <c r="S946" s="20"/>
      <c r="T946" s="20"/>
      <c r="U946" s="20"/>
      <c r="V946" s="20"/>
      <c r="W946" s="20"/>
      <c r="X946" s="20"/>
      <c r="Y946" s="20"/>
      <c r="Z946" s="20"/>
    </row>
    <row r="947" spans="3:26" ht="17.25" customHeight="1">
      <c r="C947" s="15"/>
      <c r="G947" s="47"/>
      <c r="H947" s="20"/>
      <c r="I947" s="20"/>
      <c r="J947" s="20"/>
      <c r="K947" s="20"/>
      <c r="L947" s="20"/>
      <c r="M947" s="20"/>
      <c r="N947" s="20"/>
      <c r="O947" s="20"/>
      <c r="P947" s="20"/>
      <c r="Q947" s="20"/>
      <c r="R947" s="20"/>
      <c r="S947" s="20"/>
      <c r="T947" s="20"/>
      <c r="U947" s="20"/>
      <c r="V947" s="20"/>
      <c r="W947" s="20"/>
      <c r="X947" s="20"/>
      <c r="Y947" s="20"/>
      <c r="Z947" s="20"/>
    </row>
    <row r="948" spans="3:26" ht="17.25" customHeight="1">
      <c r="C948" s="15"/>
      <c r="G948" s="47"/>
      <c r="H948" s="20"/>
      <c r="I948" s="20"/>
      <c r="J948" s="20"/>
      <c r="K948" s="20"/>
      <c r="L948" s="20"/>
      <c r="M948" s="20"/>
      <c r="N948" s="20"/>
      <c r="O948" s="20"/>
      <c r="P948" s="20"/>
      <c r="Q948" s="20"/>
      <c r="R948" s="20"/>
      <c r="S948" s="20"/>
      <c r="T948" s="20"/>
      <c r="U948" s="20"/>
      <c r="V948" s="20"/>
      <c r="W948" s="20"/>
      <c r="X948" s="20"/>
      <c r="Y948" s="20"/>
      <c r="Z948" s="20"/>
    </row>
    <row r="949" spans="3:26" ht="17.25" customHeight="1">
      <c r="C949" s="15"/>
      <c r="G949" s="47"/>
      <c r="H949" s="20"/>
      <c r="I949" s="20"/>
      <c r="J949" s="20"/>
      <c r="K949" s="20"/>
      <c r="L949" s="20"/>
      <c r="M949" s="20"/>
      <c r="N949" s="20"/>
      <c r="O949" s="20"/>
      <c r="P949" s="20"/>
      <c r="Q949" s="20"/>
      <c r="R949" s="20"/>
      <c r="S949" s="20"/>
      <c r="T949" s="20"/>
      <c r="U949" s="20"/>
      <c r="V949" s="20"/>
      <c r="W949" s="20"/>
      <c r="X949" s="20"/>
      <c r="Y949" s="20"/>
      <c r="Z949" s="20"/>
    </row>
    <row r="950" spans="3:26" ht="17.25" customHeight="1">
      <c r="C950" s="15"/>
      <c r="G950" s="47"/>
      <c r="H950" s="20"/>
      <c r="I950" s="20"/>
      <c r="J950" s="20"/>
      <c r="K950" s="20"/>
      <c r="L950" s="20"/>
      <c r="M950" s="20"/>
      <c r="N950" s="20"/>
      <c r="O950" s="20"/>
      <c r="P950" s="20"/>
      <c r="Q950" s="20"/>
      <c r="R950" s="20"/>
      <c r="S950" s="20"/>
      <c r="T950" s="20"/>
      <c r="U950" s="20"/>
      <c r="V950" s="20"/>
      <c r="W950" s="20"/>
      <c r="X950" s="20"/>
      <c r="Y950" s="20"/>
      <c r="Z950" s="20"/>
    </row>
    <row r="951" spans="3:26" ht="17.25" customHeight="1">
      <c r="C951" s="15"/>
      <c r="G951" s="47"/>
      <c r="H951" s="20"/>
      <c r="I951" s="20"/>
      <c r="J951" s="20"/>
      <c r="K951" s="20"/>
      <c r="L951" s="20"/>
      <c r="M951" s="20"/>
      <c r="N951" s="20"/>
      <c r="O951" s="20"/>
      <c r="P951" s="20"/>
      <c r="Q951" s="20"/>
      <c r="R951" s="20"/>
      <c r="S951" s="20"/>
      <c r="T951" s="20"/>
      <c r="U951" s="20"/>
      <c r="V951" s="20"/>
      <c r="W951" s="20"/>
      <c r="X951" s="20"/>
      <c r="Y951" s="20"/>
      <c r="Z951" s="20"/>
    </row>
    <row r="952" spans="3:26" ht="17.25" customHeight="1">
      <c r="C952" s="15"/>
      <c r="G952" s="47"/>
      <c r="H952" s="20"/>
      <c r="I952" s="20"/>
      <c r="J952" s="20"/>
      <c r="K952" s="20"/>
      <c r="L952" s="20"/>
      <c r="M952" s="20"/>
      <c r="N952" s="20"/>
      <c r="O952" s="20"/>
      <c r="P952" s="20"/>
      <c r="Q952" s="20"/>
      <c r="R952" s="20"/>
      <c r="S952" s="20"/>
      <c r="T952" s="20"/>
      <c r="U952" s="20"/>
      <c r="V952" s="20"/>
      <c r="W952" s="20"/>
      <c r="X952" s="20"/>
      <c r="Y952" s="20"/>
      <c r="Z952" s="20"/>
    </row>
    <row r="953" spans="3:26" ht="17.25" customHeight="1">
      <c r="C953" s="15"/>
      <c r="G953" s="47"/>
      <c r="H953" s="20"/>
      <c r="I953" s="20"/>
      <c r="J953" s="20"/>
      <c r="K953" s="20"/>
      <c r="L953" s="20"/>
      <c r="M953" s="20"/>
      <c r="N953" s="20"/>
      <c r="O953" s="20"/>
      <c r="P953" s="20"/>
      <c r="Q953" s="20"/>
      <c r="R953" s="20"/>
      <c r="S953" s="20"/>
      <c r="T953" s="20"/>
      <c r="U953" s="20"/>
      <c r="V953" s="20"/>
      <c r="W953" s="20"/>
      <c r="X953" s="20"/>
      <c r="Y953" s="20"/>
      <c r="Z953" s="20"/>
    </row>
    <row r="954" spans="3:26" ht="17.25" customHeight="1">
      <c r="C954" s="15"/>
      <c r="G954" s="47"/>
      <c r="H954" s="20"/>
      <c r="I954" s="20"/>
      <c r="J954" s="20"/>
      <c r="K954" s="20"/>
      <c r="L954" s="20"/>
      <c r="M954" s="20"/>
      <c r="N954" s="20"/>
      <c r="O954" s="20"/>
      <c r="P954" s="20"/>
      <c r="Q954" s="20"/>
      <c r="R954" s="20"/>
      <c r="S954" s="20"/>
      <c r="T954" s="20"/>
      <c r="U954" s="20"/>
      <c r="V954" s="20"/>
      <c r="W954" s="20"/>
      <c r="X954" s="20"/>
      <c r="Y954" s="20"/>
      <c r="Z954" s="20"/>
    </row>
    <row r="955" spans="3:26" ht="17.25" customHeight="1">
      <c r="C955" s="15"/>
      <c r="G955" s="47"/>
      <c r="H955" s="20"/>
      <c r="I955" s="20"/>
      <c r="J955" s="20"/>
      <c r="K955" s="20"/>
      <c r="L955" s="20"/>
      <c r="M955" s="20"/>
      <c r="N955" s="20"/>
      <c r="O955" s="20"/>
      <c r="P955" s="20"/>
      <c r="Q955" s="20"/>
      <c r="R955" s="20"/>
      <c r="S955" s="20"/>
      <c r="T955" s="20"/>
      <c r="U955" s="20"/>
      <c r="V955" s="20"/>
      <c r="W955" s="20"/>
      <c r="X955" s="20"/>
      <c r="Y955" s="20"/>
      <c r="Z955" s="20"/>
    </row>
    <row r="956" spans="3:26" ht="17.25" customHeight="1">
      <c r="C956" s="15"/>
      <c r="G956" s="47"/>
      <c r="H956" s="20"/>
      <c r="I956" s="20"/>
      <c r="J956" s="20"/>
      <c r="K956" s="20"/>
      <c r="L956" s="20"/>
      <c r="M956" s="20"/>
      <c r="N956" s="20"/>
      <c r="O956" s="20"/>
      <c r="P956" s="20"/>
      <c r="Q956" s="20"/>
      <c r="R956" s="20"/>
      <c r="S956" s="20"/>
      <c r="T956" s="20"/>
      <c r="U956" s="20"/>
      <c r="V956" s="20"/>
      <c r="W956" s="20"/>
      <c r="X956" s="20"/>
      <c r="Y956" s="20"/>
      <c r="Z956" s="20"/>
    </row>
    <row r="957" spans="3:26" ht="17.25" customHeight="1">
      <c r="C957" s="15"/>
      <c r="G957" s="47"/>
      <c r="H957" s="20"/>
      <c r="I957" s="20"/>
      <c r="J957" s="20"/>
      <c r="K957" s="20"/>
      <c r="L957" s="20"/>
      <c r="M957" s="20"/>
      <c r="N957" s="20"/>
      <c r="O957" s="20"/>
      <c r="P957" s="20"/>
      <c r="Q957" s="20"/>
      <c r="R957" s="20"/>
      <c r="S957" s="20"/>
      <c r="T957" s="20"/>
      <c r="U957" s="20"/>
      <c r="V957" s="20"/>
      <c r="W957" s="20"/>
      <c r="X957" s="20"/>
      <c r="Y957" s="20"/>
      <c r="Z957" s="20"/>
    </row>
    <row r="958" spans="3:26" ht="17.25" customHeight="1">
      <c r="C958" s="15"/>
      <c r="G958" s="47"/>
      <c r="H958" s="20"/>
      <c r="I958" s="20"/>
      <c r="J958" s="20"/>
      <c r="K958" s="20"/>
      <c r="L958" s="20"/>
      <c r="M958" s="20"/>
      <c r="N958" s="20"/>
      <c r="O958" s="20"/>
      <c r="P958" s="20"/>
      <c r="Q958" s="20"/>
      <c r="R958" s="20"/>
      <c r="S958" s="20"/>
      <c r="T958" s="20"/>
      <c r="U958" s="20"/>
      <c r="V958" s="20"/>
      <c r="W958" s="20"/>
      <c r="X958" s="20"/>
      <c r="Y958" s="20"/>
      <c r="Z958" s="20"/>
    </row>
    <row r="959" spans="3:26" ht="17.25" customHeight="1">
      <c r="C959" s="15"/>
      <c r="G959" s="47"/>
      <c r="H959" s="20"/>
      <c r="I959" s="20"/>
      <c r="J959" s="20"/>
      <c r="K959" s="20"/>
      <c r="L959" s="20"/>
      <c r="M959" s="20"/>
      <c r="N959" s="20"/>
      <c r="O959" s="20"/>
      <c r="P959" s="20"/>
      <c r="Q959" s="20"/>
      <c r="R959" s="20"/>
      <c r="S959" s="20"/>
      <c r="T959" s="20"/>
      <c r="U959" s="20"/>
      <c r="V959" s="20"/>
      <c r="W959" s="20"/>
      <c r="X959" s="20"/>
      <c r="Y959" s="20"/>
      <c r="Z959" s="20"/>
    </row>
    <row r="960" spans="3:26" ht="17.25" customHeight="1">
      <c r="C960" s="15"/>
      <c r="G960" s="47"/>
      <c r="H960" s="20"/>
      <c r="I960" s="20"/>
      <c r="J960" s="20"/>
      <c r="K960" s="20"/>
      <c r="L960" s="20"/>
      <c r="M960" s="20"/>
      <c r="N960" s="20"/>
      <c r="O960" s="20"/>
      <c r="P960" s="20"/>
      <c r="Q960" s="20"/>
      <c r="R960" s="20"/>
      <c r="S960" s="20"/>
      <c r="T960" s="20"/>
      <c r="U960" s="20"/>
      <c r="V960" s="20"/>
      <c r="W960" s="20"/>
      <c r="X960" s="20"/>
      <c r="Y960" s="20"/>
      <c r="Z960" s="20"/>
    </row>
    <row r="961" spans="3:26" ht="17.25" customHeight="1">
      <c r="C961" s="15"/>
      <c r="G961" s="47"/>
      <c r="H961" s="20"/>
      <c r="I961" s="20"/>
      <c r="J961" s="20"/>
      <c r="K961" s="20"/>
      <c r="L961" s="20"/>
      <c r="M961" s="20"/>
      <c r="N961" s="20"/>
      <c r="O961" s="20"/>
      <c r="P961" s="20"/>
      <c r="Q961" s="20"/>
      <c r="R961" s="20"/>
      <c r="S961" s="20"/>
      <c r="T961" s="20"/>
      <c r="U961" s="20"/>
      <c r="V961" s="20"/>
      <c r="W961" s="20"/>
      <c r="X961" s="20"/>
      <c r="Y961" s="20"/>
      <c r="Z961" s="20"/>
    </row>
    <row r="962" spans="3:26" ht="17.25" customHeight="1">
      <c r="C962" s="15"/>
      <c r="G962" s="47"/>
      <c r="H962" s="20"/>
      <c r="I962" s="20"/>
      <c r="J962" s="20"/>
      <c r="K962" s="20"/>
      <c r="L962" s="20"/>
      <c r="M962" s="20"/>
      <c r="N962" s="20"/>
      <c r="O962" s="20"/>
      <c r="P962" s="20"/>
      <c r="Q962" s="20"/>
      <c r="R962" s="20"/>
      <c r="S962" s="20"/>
      <c r="T962" s="20"/>
      <c r="U962" s="20"/>
      <c r="V962" s="20"/>
      <c r="W962" s="20"/>
      <c r="X962" s="20"/>
      <c r="Y962" s="20"/>
      <c r="Z962" s="20"/>
    </row>
    <row r="963" spans="3:26" ht="17.25" customHeight="1">
      <c r="C963" s="15"/>
      <c r="G963" s="47"/>
      <c r="H963" s="20"/>
      <c r="I963" s="20"/>
      <c r="J963" s="20"/>
      <c r="K963" s="20"/>
      <c r="L963" s="20"/>
      <c r="M963" s="20"/>
      <c r="N963" s="20"/>
      <c r="O963" s="20"/>
      <c r="P963" s="20"/>
      <c r="Q963" s="20"/>
      <c r="R963" s="20"/>
      <c r="S963" s="20"/>
      <c r="T963" s="20"/>
      <c r="U963" s="20"/>
      <c r="V963" s="20"/>
      <c r="W963" s="20"/>
      <c r="X963" s="20"/>
      <c r="Y963" s="20"/>
      <c r="Z963" s="20"/>
    </row>
    <row r="964" spans="3:26" ht="17.25" customHeight="1">
      <c r="C964" s="15"/>
      <c r="G964" s="47"/>
      <c r="H964" s="20"/>
      <c r="I964" s="20"/>
      <c r="J964" s="20"/>
      <c r="K964" s="20"/>
      <c r="L964" s="20"/>
      <c r="M964" s="20"/>
      <c r="N964" s="20"/>
      <c r="O964" s="20"/>
      <c r="P964" s="20"/>
      <c r="Q964" s="20"/>
      <c r="R964" s="20"/>
      <c r="S964" s="20"/>
      <c r="T964" s="20"/>
      <c r="U964" s="20"/>
      <c r="V964" s="20"/>
      <c r="W964" s="20"/>
      <c r="X964" s="20"/>
      <c r="Y964" s="20"/>
      <c r="Z964" s="20"/>
    </row>
    <row r="965" spans="3:26" ht="17.25" customHeight="1">
      <c r="C965" s="15"/>
      <c r="G965" s="47"/>
      <c r="H965" s="20"/>
      <c r="I965" s="20"/>
      <c r="J965" s="20"/>
      <c r="K965" s="20"/>
      <c r="L965" s="20"/>
      <c r="M965" s="20"/>
      <c r="N965" s="20"/>
      <c r="O965" s="20"/>
      <c r="P965" s="20"/>
      <c r="Q965" s="20"/>
      <c r="R965" s="20"/>
      <c r="S965" s="20"/>
      <c r="T965" s="20"/>
      <c r="U965" s="20"/>
      <c r="V965" s="20"/>
      <c r="W965" s="20"/>
      <c r="X965" s="20"/>
      <c r="Y965" s="20"/>
      <c r="Z965" s="20"/>
    </row>
    <row r="966" spans="3:26" ht="17.25" customHeight="1">
      <c r="C966" s="15"/>
      <c r="G966" s="47"/>
      <c r="H966" s="20"/>
      <c r="I966" s="20"/>
      <c r="J966" s="20"/>
      <c r="K966" s="20"/>
      <c r="L966" s="20"/>
      <c r="M966" s="20"/>
      <c r="N966" s="20"/>
      <c r="O966" s="20"/>
      <c r="P966" s="20"/>
      <c r="Q966" s="20"/>
      <c r="R966" s="20"/>
      <c r="S966" s="20"/>
      <c r="T966" s="20"/>
      <c r="U966" s="20"/>
      <c r="V966" s="20"/>
      <c r="W966" s="20"/>
      <c r="X966" s="20"/>
      <c r="Y966" s="20"/>
      <c r="Z966" s="20"/>
    </row>
    <row r="967" spans="3:26" ht="17.25" customHeight="1">
      <c r="C967" s="15"/>
      <c r="G967" s="47"/>
      <c r="H967" s="20"/>
      <c r="I967" s="20"/>
      <c r="J967" s="20"/>
      <c r="K967" s="20"/>
      <c r="L967" s="20"/>
      <c r="M967" s="20"/>
      <c r="N967" s="20"/>
      <c r="O967" s="20"/>
      <c r="P967" s="20"/>
      <c r="Q967" s="20"/>
      <c r="R967" s="20"/>
      <c r="S967" s="20"/>
      <c r="T967" s="20"/>
      <c r="U967" s="20"/>
      <c r="V967" s="20"/>
      <c r="W967" s="20"/>
      <c r="X967" s="20"/>
      <c r="Y967" s="20"/>
      <c r="Z967" s="20"/>
    </row>
    <row r="968" spans="3:26" ht="17.25" customHeight="1">
      <c r="C968" s="15"/>
      <c r="G968" s="47"/>
      <c r="H968" s="20"/>
      <c r="I968" s="20"/>
      <c r="J968" s="20"/>
      <c r="K968" s="20"/>
      <c r="L968" s="20"/>
      <c r="M968" s="20"/>
      <c r="N968" s="20"/>
      <c r="O968" s="20"/>
      <c r="P968" s="20"/>
      <c r="Q968" s="20"/>
      <c r="R968" s="20"/>
      <c r="S968" s="20"/>
      <c r="T968" s="20"/>
      <c r="U968" s="20"/>
      <c r="V968" s="20"/>
      <c r="W968" s="20"/>
      <c r="X968" s="20"/>
      <c r="Y968" s="20"/>
      <c r="Z968" s="20"/>
    </row>
    <row r="969" spans="3:26" ht="17.25" customHeight="1">
      <c r="C969" s="15"/>
      <c r="G969" s="47"/>
      <c r="H969" s="20"/>
      <c r="I969" s="20"/>
      <c r="J969" s="20"/>
      <c r="K969" s="20"/>
      <c r="L969" s="20"/>
      <c r="M969" s="20"/>
      <c r="N969" s="20"/>
      <c r="O969" s="20"/>
      <c r="P969" s="20"/>
      <c r="Q969" s="20"/>
      <c r="R969" s="20"/>
      <c r="S969" s="20"/>
      <c r="T969" s="20"/>
      <c r="U969" s="20"/>
      <c r="V969" s="20"/>
      <c r="W969" s="20"/>
      <c r="X969" s="20"/>
      <c r="Y969" s="20"/>
      <c r="Z969" s="20"/>
    </row>
    <row r="970" spans="3:26" ht="17.25" customHeight="1">
      <c r="C970" s="15"/>
      <c r="G970" s="47"/>
      <c r="H970" s="20"/>
      <c r="I970" s="20"/>
      <c r="J970" s="20"/>
      <c r="K970" s="20"/>
      <c r="L970" s="20"/>
      <c r="M970" s="20"/>
      <c r="N970" s="20"/>
      <c r="O970" s="20"/>
      <c r="P970" s="20"/>
      <c r="Q970" s="20"/>
      <c r="R970" s="20"/>
      <c r="S970" s="20"/>
      <c r="T970" s="20"/>
      <c r="U970" s="20"/>
      <c r="V970" s="20"/>
      <c r="W970" s="20"/>
      <c r="X970" s="20"/>
      <c r="Y970" s="20"/>
      <c r="Z970" s="20"/>
    </row>
    <row r="971" spans="3:26" ht="17.25" customHeight="1">
      <c r="C971" s="15"/>
      <c r="G971" s="47"/>
      <c r="H971" s="20"/>
      <c r="I971" s="20"/>
      <c r="J971" s="20"/>
      <c r="K971" s="20"/>
      <c r="L971" s="20"/>
      <c r="M971" s="20"/>
      <c r="N971" s="20"/>
      <c r="O971" s="20"/>
      <c r="P971" s="20"/>
      <c r="Q971" s="20"/>
      <c r="R971" s="20"/>
      <c r="S971" s="20"/>
      <c r="T971" s="20"/>
      <c r="U971" s="20"/>
      <c r="V971" s="20"/>
      <c r="W971" s="20"/>
      <c r="X971" s="20"/>
      <c r="Y971" s="20"/>
      <c r="Z971" s="20"/>
    </row>
    <row r="972" spans="3:26" ht="17.25" customHeight="1">
      <c r="C972" s="15"/>
      <c r="G972" s="47"/>
      <c r="H972" s="20"/>
      <c r="I972" s="20"/>
      <c r="J972" s="20"/>
      <c r="K972" s="20"/>
      <c r="L972" s="20"/>
      <c r="M972" s="20"/>
      <c r="N972" s="20"/>
      <c r="O972" s="20"/>
      <c r="P972" s="20"/>
      <c r="Q972" s="20"/>
      <c r="R972" s="20"/>
      <c r="S972" s="20"/>
      <c r="T972" s="20"/>
      <c r="U972" s="20"/>
      <c r="V972" s="20"/>
      <c r="W972" s="20"/>
      <c r="X972" s="20"/>
      <c r="Y972" s="20"/>
      <c r="Z972" s="20"/>
    </row>
    <row r="973" spans="3:26" ht="17.25" customHeight="1">
      <c r="C973" s="15"/>
      <c r="G973" s="47"/>
      <c r="H973" s="20"/>
      <c r="I973" s="20"/>
      <c r="J973" s="20"/>
      <c r="K973" s="20"/>
      <c r="L973" s="20"/>
      <c r="M973" s="20"/>
      <c r="N973" s="20"/>
      <c r="O973" s="20"/>
      <c r="P973" s="20"/>
      <c r="Q973" s="20"/>
      <c r="R973" s="20"/>
      <c r="S973" s="20"/>
      <c r="T973" s="20"/>
      <c r="U973" s="20"/>
      <c r="V973" s="20"/>
      <c r="W973" s="20"/>
      <c r="X973" s="20"/>
      <c r="Y973" s="20"/>
      <c r="Z973" s="20"/>
    </row>
    <row r="974" spans="3:26" ht="17.25" customHeight="1">
      <c r="C974" s="15"/>
      <c r="G974" s="47"/>
      <c r="H974" s="20"/>
      <c r="I974" s="20"/>
      <c r="J974" s="20"/>
      <c r="K974" s="20"/>
      <c r="L974" s="20"/>
      <c r="M974" s="20"/>
      <c r="N974" s="20"/>
      <c r="O974" s="20"/>
      <c r="P974" s="20"/>
      <c r="Q974" s="20"/>
      <c r="R974" s="20"/>
      <c r="S974" s="20"/>
      <c r="T974" s="20"/>
      <c r="U974" s="20"/>
      <c r="V974" s="20"/>
      <c r="W974" s="20"/>
      <c r="X974" s="20"/>
      <c r="Y974" s="20"/>
      <c r="Z974" s="20"/>
    </row>
    <row r="975" spans="3:26" ht="17.25" customHeight="1">
      <c r="C975" s="15"/>
      <c r="G975" s="47"/>
      <c r="H975" s="20"/>
      <c r="I975" s="20"/>
      <c r="J975" s="20"/>
      <c r="K975" s="20"/>
      <c r="L975" s="20"/>
      <c r="M975" s="20"/>
      <c r="N975" s="20"/>
      <c r="O975" s="20"/>
      <c r="P975" s="20"/>
      <c r="Q975" s="20"/>
      <c r="R975" s="20"/>
      <c r="S975" s="20"/>
      <c r="T975" s="20"/>
      <c r="U975" s="20"/>
      <c r="V975" s="20"/>
      <c r="W975" s="20"/>
      <c r="X975" s="20"/>
      <c r="Y975" s="20"/>
      <c r="Z975" s="20"/>
    </row>
    <row r="976" spans="3:26" ht="17.25" customHeight="1">
      <c r="C976" s="15"/>
      <c r="G976" s="47"/>
      <c r="H976" s="20"/>
      <c r="I976" s="20"/>
      <c r="J976" s="20"/>
      <c r="K976" s="20"/>
      <c r="L976" s="20"/>
      <c r="M976" s="20"/>
      <c r="N976" s="20"/>
      <c r="O976" s="20"/>
      <c r="P976" s="20"/>
      <c r="Q976" s="20"/>
      <c r="R976" s="20"/>
      <c r="S976" s="20"/>
      <c r="T976" s="20"/>
      <c r="U976" s="20"/>
      <c r="V976" s="20"/>
      <c r="W976" s="20"/>
      <c r="X976" s="20"/>
      <c r="Y976" s="20"/>
      <c r="Z976" s="20"/>
    </row>
    <row r="977" spans="3:26" ht="17.25" customHeight="1">
      <c r="C977" s="15"/>
      <c r="G977" s="47"/>
      <c r="H977" s="20"/>
      <c r="I977" s="20"/>
      <c r="J977" s="20"/>
      <c r="K977" s="20"/>
      <c r="L977" s="20"/>
      <c r="M977" s="20"/>
      <c r="N977" s="20"/>
      <c r="O977" s="20"/>
      <c r="P977" s="20"/>
      <c r="Q977" s="20"/>
      <c r="R977" s="20"/>
      <c r="S977" s="20"/>
      <c r="T977" s="20"/>
      <c r="U977" s="20"/>
      <c r="V977" s="20"/>
      <c r="W977" s="20"/>
      <c r="X977" s="20"/>
      <c r="Y977" s="20"/>
      <c r="Z977" s="20"/>
    </row>
    <row r="978" spans="3:26" ht="17.25" customHeight="1">
      <c r="C978" s="15"/>
      <c r="G978" s="47"/>
      <c r="H978" s="20"/>
      <c r="I978" s="20"/>
      <c r="J978" s="20"/>
      <c r="K978" s="20"/>
      <c r="L978" s="20"/>
      <c r="M978" s="20"/>
      <c r="N978" s="20"/>
      <c r="O978" s="20"/>
      <c r="P978" s="20"/>
      <c r="Q978" s="20"/>
      <c r="R978" s="20"/>
      <c r="S978" s="20"/>
      <c r="T978" s="20"/>
      <c r="U978" s="20"/>
      <c r="V978" s="20"/>
      <c r="W978" s="20"/>
      <c r="X978" s="20"/>
      <c r="Y978" s="20"/>
      <c r="Z978" s="20"/>
    </row>
    <row r="979" spans="3:26" ht="17.25" customHeight="1">
      <c r="C979" s="15"/>
      <c r="G979" s="47"/>
      <c r="H979" s="20"/>
      <c r="I979" s="20"/>
      <c r="J979" s="20"/>
      <c r="K979" s="20"/>
      <c r="L979" s="20"/>
      <c r="M979" s="20"/>
      <c r="N979" s="20"/>
      <c r="O979" s="20"/>
      <c r="P979" s="20"/>
      <c r="Q979" s="20"/>
      <c r="R979" s="20"/>
      <c r="S979" s="20"/>
      <c r="T979" s="20"/>
      <c r="U979" s="20"/>
      <c r="V979" s="20"/>
      <c r="W979" s="20"/>
      <c r="X979" s="20"/>
      <c r="Y979" s="20"/>
      <c r="Z979" s="20"/>
    </row>
    <row r="980" spans="3:26" ht="17.25" customHeight="1">
      <c r="C980" s="15"/>
      <c r="G980" s="47"/>
      <c r="H980" s="20"/>
      <c r="I980" s="20"/>
      <c r="J980" s="20"/>
      <c r="K980" s="20"/>
      <c r="L980" s="20"/>
      <c r="M980" s="20"/>
      <c r="N980" s="20"/>
      <c r="O980" s="20"/>
      <c r="P980" s="20"/>
      <c r="Q980" s="20"/>
      <c r="R980" s="20"/>
      <c r="S980" s="20"/>
      <c r="T980" s="20"/>
      <c r="U980" s="20"/>
      <c r="V980" s="20"/>
      <c r="W980" s="20"/>
      <c r="X980" s="20"/>
      <c r="Y980" s="20"/>
      <c r="Z980" s="20"/>
    </row>
    <row r="981" spans="3:26" ht="17.25" customHeight="1">
      <c r="C981" s="15"/>
      <c r="G981" s="47"/>
      <c r="H981" s="20"/>
      <c r="I981" s="20"/>
      <c r="J981" s="20"/>
      <c r="K981" s="20"/>
      <c r="L981" s="20"/>
      <c r="M981" s="20"/>
      <c r="N981" s="20"/>
      <c r="O981" s="20"/>
      <c r="P981" s="20"/>
      <c r="Q981" s="20"/>
      <c r="R981" s="20"/>
      <c r="S981" s="20"/>
      <c r="T981" s="20"/>
      <c r="U981" s="20"/>
      <c r="V981" s="20"/>
      <c r="W981" s="20"/>
      <c r="X981" s="20"/>
      <c r="Y981" s="20"/>
      <c r="Z981" s="20"/>
    </row>
    <row r="982" spans="3:26" ht="17.25" customHeight="1">
      <c r="C982" s="15"/>
      <c r="G982" s="47"/>
      <c r="H982" s="20"/>
      <c r="I982" s="20"/>
      <c r="J982" s="20"/>
      <c r="K982" s="20"/>
      <c r="L982" s="20"/>
      <c r="M982" s="20"/>
      <c r="N982" s="20"/>
      <c r="O982" s="20"/>
      <c r="P982" s="20"/>
      <c r="Q982" s="20"/>
      <c r="R982" s="20"/>
      <c r="S982" s="20"/>
      <c r="T982" s="20"/>
      <c r="U982" s="20"/>
      <c r="V982" s="20"/>
      <c r="W982" s="20"/>
      <c r="X982" s="20"/>
      <c r="Y982" s="20"/>
      <c r="Z982" s="20"/>
    </row>
    <row r="983" spans="3:26" ht="17.25" customHeight="1">
      <c r="C983" s="15"/>
      <c r="G983" s="47"/>
      <c r="H983" s="20"/>
      <c r="I983" s="20"/>
      <c r="J983" s="20"/>
      <c r="K983" s="20"/>
      <c r="L983" s="20"/>
      <c r="M983" s="20"/>
      <c r="N983" s="20"/>
      <c r="O983" s="20"/>
      <c r="P983" s="20"/>
      <c r="Q983" s="20"/>
      <c r="R983" s="20"/>
      <c r="S983" s="20"/>
      <c r="T983" s="20"/>
      <c r="U983" s="20"/>
      <c r="V983" s="20"/>
      <c r="W983" s="20"/>
      <c r="X983" s="20"/>
      <c r="Y983" s="20"/>
      <c r="Z983" s="20"/>
    </row>
    <row r="984" spans="3:26" ht="17.25" customHeight="1">
      <c r="C984" s="15"/>
      <c r="G984" s="47"/>
      <c r="H984" s="20"/>
      <c r="I984" s="20"/>
      <c r="J984" s="20"/>
      <c r="K984" s="20"/>
      <c r="L984" s="20"/>
      <c r="M984" s="20"/>
      <c r="N984" s="20"/>
      <c r="O984" s="20"/>
      <c r="P984" s="20"/>
      <c r="Q984" s="20"/>
      <c r="R984" s="20"/>
      <c r="S984" s="20"/>
      <c r="T984" s="20"/>
      <c r="U984" s="20"/>
      <c r="V984" s="20"/>
      <c r="W984" s="20"/>
      <c r="X984" s="20"/>
      <c r="Y984" s="20"/>
      <c r="Z984" s="20"/>
    </row>
    <row r="985" spans="3:26" ht="17.25" customHeight="1">
      <c r="C985" s="15"/>
      <c r="G985" s="47"/>
      <c r="H985" s="20"/>
      <c r="I985" s="20"/>
      <c r="J985" s="20"/>
      <c r="K985" s="20"/>
      <c r="L985" s="20"/>
      <c r="M985" s="20"/>
      <c r="N985" s="20"/>
      <c r="O985" s="20"/>
      <c r="P985" s="20"/>
      <c r="Q985" s="20"/>
      <c r="R985" s="20"/>
      <c r="S985" s="20"/>
      <c r="T985" s="20"/>
      <c r="U985" s="20"/>
      <c r="V985" s="20"/>
      <c r="W985" s="20"/>
      <c r="X985" s="20"/>
      <c r="Y985" s="20"/>
      <c r="Z985" s="20"/>
    </row>
    <row r="986" spans="3:26" ht="17.25" customHeight="1">
      <c r="C986" s="15"/>
      <c r="G986" s="47"/>
      <c r="H986" s="20"/>
      <c r="I986" s="20"/>
      <c r="J986" s="20"/>
      <c r="K986" s="20"/>
      <c r="L986" s="20"/>
      <c r="M986" s="20"/>
      <c r="N986" s="20"/>
      <c r="O986" s="20"/>
      <c r="P986" s="20"/>
      <c r="Q986" s="20"/>
      <c r="R986" s="20"/>
      <c r="S986" s="20"/>
      <c r="T986" s="20"/>
      <c r="U986" s="20"/>
      <c r="V986" s="20"/>
      <c r="W986" s="20"/>
      <c r="X986" s="20"/>
      <c r="Y986" s="20"/>
      <c r="Z986" s="20"/>
    </row>
    <row r="987" spans="3:26" ht="17.25" customHeight="1">
      <c r="C987" s="15"/>
      <c r="G987" s="47"/>
      <c r="H987" s="20"/>
      <c r="I987" s="20"/>
      <c r="J987" s="20"/>
      <c r="K987" s="20"/>
      <c r="L987" s="20"/>
      <c r="M987" s="20"/>
      <c r="N987" s="20"/>
      <c r="O987" s="20"/>
      <c r="P987" s="20"/>
      <c r="Q987" s="20"/>
      <c r="R987" s="20"/>
      <c r="S987" s="20"/>
      <c r="T987" s="20"/>
      <c r="U987" s="20"/>
      <c r="V987" s="20"/>
      <c r="W987" s="20"/>
      <c r="X987" s="20"/>
      <c r="Y987" s="20"/>
      <c r="Z987" s="20"/>
    </row>
    <row r="988" spans="3:26" ht="17.25" customHeight="1">
      <c r="C988" s="15"/>
      <c r="G988" s="47"/>
      <c r="H988" s="20"/>
      <c r="I988" s="20"/>
      <c r="J988" s="20"/>
      <c r="K988" s="20"/>
      <c r="L988" s="20"/>
      <c r="M988" s="20"/>
      <c r="N988" s="20"/>
      <c r="O988" s="20"/>
      <c r="P988" s="20"/>
      <c r="Q988" s="20"/>
      <c r="R988" s="20"/>
      <c r="S988" s="20"/>
      <c r="T988" s="20"/>
      <c r="U988" s="20"/>
      <c r="V988" s="20"/>
      <c r="W988" s="20"/>
      <c r="X988" s="20"/>
      <c r="Y988" s="20"/>
      <c r="Z988" s="20"/>
    </row>
    <row r="989" spans="3:26" ht="17.25" customHeight="1">
      <c r="C989" s="15"/>
      <c r="G989" s="47"/>
      <c r="H989" s="20"/>
      <c r="I989" s="20"/>
      <c r="J989" s="20"/>
      <c r="K989" s="20"/>
      <c r="L989" s="20"/>
      <c r="M989" s="20"/>
      <c r="N989" s="20"/>
      <c r="O989" s="20"/>
      <c r="P989" s="20"/>
      <c r="Q989" s="20"/>
      <c r="R989" s="20"/>
      <c r="S989" s="20"/>
      <c r="T989" s="20"/>
      <c r="U989" s="20"/>
      <c r="V989" s="20"/>
      <c r="W989" s="20"/>
      <c r="X989" s="20"/>
      <c r="Y989" s="20"/>
      <c r="Z989" s="20"/>
    </row>
    <row r="990" spans="3:26" ht="17.25" customHeight="1">
      <c r="C990" s="15"/>
      <c r="G990" s="47"/>
      <c r="H990" s="20"/>
      <c r="I990" s="20"/>
      <c r="J990" s="20"/>
      <c r="K990" s="20"/>
      <c r="L990" s="20"/>
      <c r="M990" s="20"/>
      <c r="N990" s="20"/>
      <c r="O990" s="20"/>
      <c r="P990" s="20"/>
      <c r="Q990" s="20"/>
      <c r="R990" s="20"/>
      <c r="S990" s="20"/>
      <c r="T990" s="20"/>
      <c r="U990" s="20"/>
      <c r="V990" s="20"/>
      <c r="W990" s="20"/>
      <c r="X990" s="20"/>
      <c r="Y990" s="20"/>
      <c r="Z990" s="20"/>
    </row>
    <row r="991" spans="3:26" ht="17.25" customHeight="1">
      <c r="C991" s="15"/>
      <c r="G991" s="47"/>
      <c r="H991" s="20"/>
      <c r="I991" s="20"/>
      <c r="J991" s="20"/>
      <c r="K991" s="20"/>
      <c r="L991" s="20"/>
      <c r="M991" s="20"/>
      <c r="N991" s="20"/>
      <c r="O991" s="20"/>
      <c r="P991" s="20"/>
      <c r="Q991" s="20"/>
      <c r="R991" s="20"/>
      <c r="S991" s="20"/>
      <c r="T991" s="20"/>
      <c r="U991" s="20"/>
      <c r="V991" s="20"/>
      <c r="W991" s="20"/>
      <c r="X991" s="20"/>
      <c r="Y991" s="20"/>
      <c r="Z991" s="20"/>
    </row>
    <row r="992" spans="3:26" ht="17.25" customHeight="1">
      <c r="C992" s="15"/>
      <c r="G992" s="47"/>
      <c r="H992" s="20"/>
      <c r="I992" s="20"/>
      <c r="J992" s="20"/>
      <c r="K992" s="20"/>
      <c r="L992" s="20"/>
      <c r="M992" s="20"/>
      <c r="N992" s="20"/>
      <c r="O992" s="20"/>
      <c r="P992" s="20"/>
      <c r="Q992" s="20"/>
      <c r="R992" s="20"/>
      <c r="S992" s="20"/>
      <c r="T992" s="20"/>
      <c r="U992" s="20"/>
      <c r="V992" s="20"/>
      <c r="W992" s="20"/>
      <c r="X992" s="20"/>
      <c r="Y992" s="20"/>
      <c r="Z992" s="20"/>
    </row>
    <row r="993" spans="3:26" ht="17.25" customHeight="1">
      <c r="C993" s="15"/>
      <c r="G993" s="47"/>
      <c r="H993" s="20"/>
      <c r="I993" s="20"/>
      <c r="J993" s="20"/>
      <c r="K993" s="20"/>
      <c r="L993" s="20"/>
      <c r="M993" s="20"/>
      <c r="N993" s="20"/>
      <c r="O993" s="20"/>
      <c r="P993" s="20"/>
      <c r="Q993" s="20"/>
      <c r="R993" s="20"/>
      <c r="S993" s="20"/>
      <c r="T993" s="20"/>
      <c r="U993" s="20"/>
      <c r="V993" s="20"/>
      <c r="W993" s="20"/>
      <c r="X993" s="20"/>
      <c r="Y993" s="20"/>
      <c r="Z993" s="20"/>
    </row>
    <row r="994" spans="3:26" ht="17.25" customHeight="1">
      <c r="C994" s="15"/>
      <c r="G994" s="47"/>
      <c r="H994" s="20"/>
      <c r="I994" s="20"/>
      <c r="J994" s="20"/>
      <c r="K994" s="20"/>
      <c r="L994" s="20"/>
      <c r="M994" s="20"/>
      <c r="N994" s="20"/>
      <c r="O994" s="20"/>
      <c r="P994" s="20"/>
      <c r="Q994" s="20"/>
      <c r="R994" s="20"/>
      <c r="S994" s="20"/>
      <c r="T994" s="20"/>
      <c r="U994" s="20"/>
      <c r="V994" s="20"/>
      <c r="W994" s="20"/>
      <c r="X994" s="20"/>
      <c r="Y994" s="20"/>
      <c r="Z994" s="20"/>
    </row>
    <row r="995" spans="3:26" ht="17.25" customHeight="1">
      <c r="C995" s="15"/>
      <c r="G995" s="47"/>
      <c r="H995" s="20"/>
      <c r="I995" s="20"/>
      <c r="J995" s="20"/>
      <c r="K995" s="20"/>
      <c r="L995" s="20"/>
      <c r="M995" s="20"/>
      <c r="N995" s="20"/>
      <c r="O995" s="20"/>
      <c r="P995" s="20"/>
      <c r="Q995" s="20"/>
      <c r="R995" s="20"/>
      <c r="S995" s="20"/>
      <c r="T995" s="20"/>
      <c r="U995" s="20"/>
      <c r="V995" s="20"/>
      <c r="W995" s="20"/>
      <c r="X995" s="20"/>
      <c r="Y995" s="20"/>
      <c r="Z995" s="20"/>
    </row>
    <row r="996" spans="3:26" ht="17.25" customHeight="1">
      <c r="C996" s="15"/>
      <c r="G996" s="47"/>
      <c r="H996" s="20"/>
      <c r="I996" s="20"/>
      <c r="J996" s="20"/>
      <c r="K996" s="20"/>
      <c r="L996" s="20"/>
      <c r="M996" s="20"/>
      <c r="N996" s="20"/>
      <c r="O996" s="20"/>
      <c r="P996" s="20"/>
      <c r="Q996" s="20"/>
      <c r="R996" s="20"/>
      <c r="S996" s="20"/>
      <c r="T996" s="20"/>
      <c r="U996" s="20"/>
      <c r="V996" s="20"/>
      <c r="W996" s="20"/>
      <c r="X996" s="20"/>
      <c r="Y996" s="20"/>
      <c r="Z996" s="20"/>
    </row>
    <row r="997" spans="3:26" ht="17.25" customHeight="1">
      <c r="C997" s="15"/>
      <c r="G997" s="47"/>
      <c r="H997" s="20"/>
      <c r="I997" s="20"/>
      <c r="J997" s="20"/>
      <c r="K997" s="20"/>
      <c r="L997" s="20"/>
      <c r="M997" s="20"/>
      <c r="N997" s="20"/>
      <c r="O997" s="20"/>
      <c r="P997" s="20"/>
      <c r="Q997" s="20"/>
      <c r="R997" s="20"/>
      <c r="S997" s="20"/>
      <c r="T997" s="20"/>
      <c r="U997" s="20"/>
      <c r="V997" s="20"/>
      <c r="W997" s="20"/>
      <c r="X997" s="20"/>
      <c r="Y997" s="20"/>
      <c r="Z997" s="20"/>
    </row>
    <row r="998" spans="3:26" ht="17.25" customHeight="1">
      <c r="C998" s="15"/>
      <c r="G998" s="47"/>
      <c r="H998" s="20"/>
      <c r="I998" s="20"/>
      <c r="J998" s="20"/>
      <c r="K998" s="20"/>
      <c r="L998" s="20"/>
      <c r="M998" s="20"/>
      <c r="N998" s="20"/>
      <c r="O998" s="20"/>
      <c r="P998" s="20"/>
      <c r="Q998" s="20"/>
      <c r="R998" s="20"/>
      <c r="S998" s="20"/>
      <c r="T998" s="20"/>
      <c r="U998" s="20"/>
      <c r="V998" s="20"/>
      <c r="W998" s="20"/>
      <c r="X998" s="20"/>
      <c r="Y998" s="20"/>
      <c r="Z998" s="20"/>
    </row>
    <row r="999" spans="3:26" ht="17.25" customHeight="1">
      <c r="C999" s="15"/>
      <c r="G999" s="47"/>
      <c r="H999" s="20"/>
      <c r="I999" s="20"/>
      <c r="J999" s="20"/>
      <c r="K999" s="20"/>
      <c r="L999" s="20"/>
      <c r="M999" s="20"/>
      <c r="N999" s="20"/>
      <c r="O999" s="20"/>
      <c r="P999" s="20"/>
      <c r="Q999" s="20"/>
      <c r="R999" s="20"/>
      <c r="S999" s="20"/>
      <c r="T999" s="20"/>
      <c r="U999" s="20"/>
      <c r="V999" s="20"/>
      <c r="W999" s="20"/>
      <c r="X999" s="20"/>
      <c r="Y999" s="20"/>
      <c r="Z999" s="20"/>
    </row>
  </sheetData>
  <dataValidations count="2">
    <dataValidation type="list" allowBlank="1" showErrorMessage="1" sqref="C3:C18 C35 C37 C39 C41 C45:C999" xr:uid="{00000000-0002-0000-1200-000000000000}">
      <formula1>"Electricity,NaturalGas,District"</formula1>
    </dataValidation>
    <dataValidation type="list" allowBlank="1" showErrorMessage="1" sqref="D3:D67" xr:uid="{00000000-0002-0000-1200-000001000000}">
      <formula1>"Water,Air,Steam"</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1200-000002000000}">
          <x14:formula1>
            <xm:f>HVAC_options!$H$3:$H$7</xm:f>
          </x14:formula1>
          <xm:sqref>B3:B67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sheetPr>
  <dimension ref="A1:Z956"/>
  <sheetViews>
    <sheetView tabSelected="1" topLeftCell="F1" workbookViewId="0">
      <selection activeCell="J23" sqref="J23"/>
    </sheetView>
  </sheetViews>
  <sheetFormatPr baseColWidth="10" defaultColWidth="11.28515625" defaultRowHeight="15" customHeight="1"/>
  <cols>
    <col min="1" max="1" width="48.140625" customWidth="1"/>
    <col min="2" max="2" width="17.7109375" customWidth="1"/>
    <col min="3" max="3" width="21.85546875" customWidth="1"/>
    <col min="4" max="4" width="32.85546875" customWidth="1"/>
    <col min="5" max="5" width="16.85546875" customWidth="1"/>
    <col min="6" max="10" width="38.28515625" customWidth="1"/>
    <col min="11" max="11" width="88.7109375" customWidth="1"/>
    <col min="12" max="12" width="17" customWidth="1"/>
    <col min="13" max="26" width="8.85546875" customWidth="1"/>
  </cols>
  <sheetData>
    <row r="1" spans="1:26" ht="54.75" customHeight="1">
      <c r="A1" s="40" t="s">
        <v>4814</v>
      </c>
      <c r="B1" s="38"/>
      <c r="C1" s="229"/>
      <c r="D1" s="230"/>
      <c r="E1" s="226"/>
      <c r="F1" s="226"/>
      <c r="G1" s="226"/>
      <c r="H1" s="226"/>
      <c r="I1" s="226"/>
      <c r="J1" s="227"/>
      <c r="K1" s="63"/>
      <c r="L1" s="58"/>
      <c r="M1" s="58"/>
      <c r="N1" s="58"/>
      <c r="O1" s="31"/>
      <c r="P1" s="20"/>
      <c r="Q1" s="20"/>
      <c r="R1" s="20"/>
      <c r="S1" s="20"/>
      <c r="T1" s="20"/>
      <c r="U1" s="20"/>
      <c r="V1" s="20"/>
      <c r="W1" s="20"/>
      <c r="X1" s="20"/>
      <c r="Y1" s="20"/>
      <c r="Z1" s="20"/>
    </row>
    <row r="2" spans="1:26" ht="17.25" customHeight="1">
      <c r="A2" s="41" t="s">
        <v>4832</v>
      </c>
      <c r="B2" s="41" t="s">
        <v>5089</v>
      </c>
      <c r="C2" s="41" t="s">
        <v>5090</v>
      </c>
      <c r="D2" s="204" t="s">
        <v>6223</v>
      </c>
      <c r="E2" s="41" t="s">
        <v>5091</v>
      </c>
      <c r="F2" s="41" t="s">
        <v>5092</v>
      </c>
      <c r="G2" s="41" t="s">
        <v>5093</v>
      </c>
      <c r="H2" s="41" t="s">
        <v>5094</v>
      </c>
      <c r="I2" s="41" t="s">
        <v>5095</v>
      </c>
      <c r="J2" s="95" t="s">
        <v>5096</v>
      </c>
      <c r="K2" s="65" t="s">
        <v>4836</v>
      </c>
      <c r="O2" s="31"/>
      <c r="P2" s="20"/>
      <c r="Q2" s="20"/>
      <c r="R2" s="20"/>
      <c r="S2" s="20"/>
      <c r="T2" s="20"/>
      <c r="U2" s="20"/>
      <c r="V2" s="20"/>
      <c r="W2" s="20"/>
      <c r="X2" s="20"/>
      <c r="Y2" s="20"/>
      <c r="Z2" s="20"/>
    </row>
    <row r="3" spans="1:26" ht="17.25" customHeight="1">
      <c r="A3" s="96" t="s">
        <v>5097</v>
      </c>
      <c r="B3" s="97">
        <v>3.1E-4</v>
      </c>
      <c r="C3" s="96" t="s">
        <v>5098</v>
      </c>
      <c r="D3">
        <v>7.1999999999999998E-3</v>
      </c>
      <c r="E3" s="98" t="s">
        <v>5099</v>
      </c>
      <c r="F3" s="98" t="s">
        <v>5100</v>
      </c>
      <c r="G3" s="96" t="s">
        <v>163</v>
      </c>
      <c r="H3" s="96" t="s">
        <v>5101</v>
      </c>
      <c r="I3" s="96" t="s">
        <v>5102</v>
      </c>
      <c r="J3" s="98" t="s">
        <v>5103</v>
      </c>
      <c r="K3" s="96" t="s">
        <v>5104</v>
      </c>
      <c r="O3" s="31"/>
      <c r="P3" s="20"/>
      <c r="Q3" s="20"/>
      <c r="R3" s="20"/>
      <c r="S3" s="20"/>
      <c r="T3" s="20"/>
      <c r="U3" s="20"/>
      <c r="V3" s="20"/>
      <c r="W3" s="20"/>
      <c r="X3" s="20"/>
      <c r="Y3" s="20"/>
      <c r="Z3" s="20"/>
    </row>
    <row r="4" spans="1:26" ht="17.25" customHeight="1">
      <c r="A4" s="96" t="s">
        <v>5105</v>
      </c>
      <c r="B4" s="97">
        <v>3.1E-4</v>
      </c>
      <c r="C4" s="96" t="s">
        <v>5098</v>
      </c>
      <c r="D4">
        <v>7.1999999999999998E-3</v>
      </c>
      <c r="E4" s="98" t="s">
        <v>5099</v>
      </c>
      <c r="F4" s="98" t="s">
        <v>5100</v>
      </c>
      <c r="G4" s="96" t="s">
        <v>163</v>
      </c>
      <c r="H4" s="96" t="s">
        <v>5101</v>
      </c>
      <c r="I4" s="96" t="s">
        <v>5102</v>
      </c>
      <c r="J4" s="98" t="s">
        <v>5103</v>
      </c>
      <c r="K4" s="96" t="s">
        <v>5104</v>
      </c>
      <c r="O4" s="31"/>
      <c r="P4" s="20"/>
      <c r="Q4" s="20"/>
      <c r="R4" s="20"/>
      <c r="S4" s="20"/>
      <c r="T4" s="20"/>
      <c r="U4" s="20"/>
      <c r="V4" s="20"/>
      <c r="W4" s="20"/>
      <c r="X4" s="20"/>
      <c r="Y4" s="20"/>
      <c r="Z4" s="20"/>
    </row>
    <row r="5" spans="1:26" ht="17.25" customHeight="1">
      <c r="A5" s="96" t="s">
        <v>5106</v>
      </c>
      <c r="B5" s="97">
        <v>3.1E-4</v>
      </c>
      <c r="C5" s="96" t="s">
        <v>5098</v>
      </c>
      <c r="D5">
        <v>7.1999999999999998E-3</v>
      </c>
      <c r="E5" s="98" t="s">
        <v>5099</v>
      </c>
      <c r="F5" s="98" t="s">
        <v>5100</v>
      </c>
      <c r="G5" s="96" t="s">
        <v>163</v>
      </c>
      <c r="H5" s="96" t="s">
        <v>5101</v>
      </c>
      <c r="I5" s="98" t="s">
        <v>5102</v>
      </c>
      <c r="J5" s="98" t="s">
        <v>5103</v>
      </c>
      <c r="K5" s="98" t="s">
        <v>5104</v>
      </c>
      <c r="L5" s="58"/>
      <c r="M5" s="58"/>
      <c r="O5" s="31"/>
      <c r="P5" s="20"/>
      <c r="Q5" s="20"/>
      <c r="R5" s="20"/>
      <c r="S5" s="20"/>
      <c r="T5" s="20"/>
      <c r="U5" s="20"/>
      <c r="V5" s="20"/>
      <c r="W5" s="20"/>
      <c r="X5" s="20"/>
      <c r="Y5" s="20"/>
      <c r="Z5" s="20"/>
    </row>
    <row r="6" spans="1:26" ht="17.25" customHeight="1">
      <c r="A6" s="96" t="s">
        <v>5107</v>
      </c>
      <c r="B6" s="97">
        <v>3.1E-4</v>
      </c>
      <c r="C6" s="96" t="s">
        <v>5098</v>
      </c>
      <c r="D6">
        <v>7.1999999999999998E-3</v>
      </c>
      <c r="E6" s="98" t="s">
        <v>5108</v>
      </c>
      <c r="F6" s="98" t="s">
        <v>5095</v>
      </c>
      <c r="G6" s="96" t="s">
        <v>163</v>
      </c>
      <c r="H6" s="96" t="s">
        <v>5101</v>
      </c>
      <c r="I6" s="96" t="s">
        <v>5109</v>
      </c>
      <c r="J6" s="96" t="s">
        <v>5103</v>
      </c>
      <c r="K6" s="98" t="s">
        <v>5104</v>
      </c>
      <c r="O6" s="31"/>
      <c r="P6" s="20"/>
      <c r="Q6" s="20"/>
      <c r="R6" s="20"/>
      <c r="S6" s="20"/>
      <c r="T6" s="20"/>
      <c r="U6" s="20"/>
      <c r="V6" s="20"/>
      <c r="W6" s="20"/>
      <c r="X6" s="20"/>
      <c r="Y6" s="20"/>
      <c r="Z6" s="20"/>
    </row>
    <row r="7" spans="1:26" ht="17.25" customHeight="1">
      <c r="A7" s="96" t="s">
        <v>5110</v>
      </c>
      <c r="B7" s="97">
        <v>1.3900000000000002E-3</v>
      </c>
      <c r="C7" s="96" t="s">
        <v>5098</v>
      </c>
      <c r="D7">
        <v>7.1999999999999998E-3</v>
      </c>
      <c r="E7" s="98" t="s">
        <v>5108</v>
      </c>
      <c r="F7" s="98" t="s">
        <v>5100</v>
      </c>
      <c r="G7" s="96" t="s">
        <v>163</v>
      </c>
      <c r="H7" s="58" t="s">
        <v>6224</v>
      </c>
      <c r="I7" s="98" t="s">
        <v>5102</v>
      </c>
      <c r="J7" s="98" t="s">
        <v>5103</v>
      </c>
      <c r="K7" s="98" t="s">
        <v>5112</v>
      </c>
      <c r="O7" s="31"/>
      <c r="P7" s="20"/>
      <c r="Q7" s="20"/>
      <c r="R7" s="20"/>
      <c r="S7" s="20"/>
      <c r="T7" s="20"/>
      <c r="U7" s="20"/>
      <c r="V7" s="20"/>
      <c r="W7" s="20"/>
      <c r="X7" s="20"/>
      <c r="Y7" s="20"/>
      <c r="Z7" s="20"/>
    </row>
    <row r="8" spans="1:26" ht="17.25" customHeight="1">
      <c r="A8" s="96" t="s">
        <v>5113</v>
      </c>
      <c r="B8" s="97">
        <v>1.3900000000000002E-3</v>
      </c>
      <c r="C8" s="96" t="s">
        <v>5098</v>
      </c>
      <c r="D8">
        <v>7.1999999999999998E-3</v>
      </c>
      <c r="E8" s="98" t="s">
        <v>5108</v>
      </c>
      <c r="F8" s="98" t="s">
        <v>5100</v>
      </c>
      <c r="G8" s="96" t="s">
        <v>163</v>
      </c>
      <c r="H8" s="58" t="s">
        <v>6224</v>
      </c>
      <c r="I8" s="98" t="s">
        <v>5102</v>
      </c>
      <c r="J8" s="98" t="s">
        <v>5103</v>
      </c>
      <c r="K8" s="98" t="s">
        <v>5112</v>
      </c>
      <c r="L8" s="58"/>
      <c r="M8" s="58"/>
      <c r="N8" s="58"/>
      <c r="O8" s="31"/>
      <c r="P8" s="20"/>
      <c r="Q8" s="20"/>
      <c r="R8" s="20"/>
      <c r="S8" s="20"/>
      <c r="T8" s="20"/>
      <c r="U8" s="20"/>
      <c r="V8" s="20"/>
      <c r="W8" s="20"/>
      <c r="X8" s="20"/>
      <c r="Y8" s="20"/>
      <c r="Z8" s="20"/>
    </row>
    <row r="9" spans="1:26" ht="17.25" customHeight="1">
      <c r="A9" s="96" t="s">
        <v>5114</v>
      </c>
      <c r="B9" s="97">
        <v>1.3900000000000002E-3</v>
      </c>
      <c r="C9" s="96" t="s">
        <v>5098</v>
      </c>
      <c r="D9">
        <v>7.1999999999999998E-3</v>
      </c>
      <c r="E9" s="98" t="s">
        <v>5108</v>
      </c>
      <c r="F9" s="98" t="s">
        <v>5100</v>
      </c>
      <c r="G9" s="96" t="s">
        <v>163</v>
      </c>
      <c r="H9" s="58" t="s">
        <v>6224</v>
      </c>
      <c r="I9" s="98" t="s">
        <v>5102</v>
      </c>
      <c r="J9" s="98" t="s">
        <v>5103</v>
      </c>
      <c r="K9" s="98" t="s">
        <v>5112</v>
      </c>
      <c r="L9" s="58"/>
      <c r="M9" s="58"/>
      <c r="N9" s="58"/>
      <c r="O9" s="31"/>
      <c r="P9" s="20"/>
      <c r="Q9" s="20"/>
      <c r="R9" s="20"/>
      <c r="S9" s="20"/>
      <c r="T9" s="20"/>
      <c r="U9" s="20"/>
      <c r="V9" s="20"/>
      <c r="W9" s="20"/>
      <c r="X9" s="20"/>
      <c r="Y9" s="20"/>
      <c r="Z9" s="20"/>
    </row>
    <row r="10" spans="1:26" ht="17.25" customHeight="1">
      <c r="A10" s="96" t="s">
        <v>5115</v>
      </c>
      <c r="B10" s="97">
        <v>1.3900000000000002E-3</v>
      </c>
      <c r="C10" s="96" t="s">
        <v>5098</v>
      </c>
      <c r="D10">
        <v>7.1999999999999998E-3</v>
      </c>
      <c r="E10" s="98" t="s">
        <v>5108</v>
      </c>
      <c r="F10" s="98" t="s">
        <v>5096</v>
      </c>
      <c r="G10" s="96" t="s">
        <v>163</v>
      </c>
      <c r="H10" s="58" t="s">
        <v>6224</v>
      </c>
      <c r="I10" s="98" t="s">
        <v>5102</v>
      </c>
      <c r="J10" s="98" t="s">
        <v>5103</v>
      </c>
      <c r="K10" s="98" t="s">
        <v>5112</v>
      </c>
      <c r="L10" s="58"/>
      <c r="M10" s="58"/>
      <c r="N10" s="58"/>
      <c r="O10" s="31"/>
      <c r="P10" s="20"/>
      <c r="Q10" s="20"/>
      <c r="R10" s="20"/>
      <c r="S10" s="20"/>
      <c r="T10" s="20"/>
      <c r="U10" s="20"/>
      <c r="V10" s="20"/>
      <c r="W10" s="20"/>
      <c r="X10" s="20"/>
      <c r="Y10" s="20"/>
      <c r="Z10" s="20"/>
    </row>
    <row r="11" spans="1:26" ht="17.25" customHeight="1">
      <c r="A11" s="96" t="s">
        <v>5117</v>
      </c>
      <c r="B11" s="97">
        <v>1.1100000000000001E-3</v>
      </c>
      <c r="C11" s="96" t="s">
        <v>5098</v>
      </c>
      <c r="D11">
        <v>7.1999999999999998E-3</v>
      </c>
      <c r="E11" s="98" t="s">
        <v>5108</v>
      </c>
      <c r="F11" s="98" t="s">
        <v>5100</v>
      </c>
      <c r="G11" s="96" t="s">
        <v>163</v>
      </c>
      <c r="H11" s="58" t="s">
        <v>6224</v>
      </c>
      <c r="I11" s="98" t="s">
        <v>5102</v>
      </c>
      <c r="J11" s="98" t="s">
        <v>5103</v>
      </c>
      <c r="K11" s="98" t="s">
        <v>5112</v>
      </c>
      <c r="L11" s="58"/>
      <c r="M11" s="58"/>
      <c r="N11" s="58"/>
      <c r="O11" s="31"/>
      <c r="P11" s="20"/>
      <c r="Q11" s="20"/>
      <c r="R11" s="20"/>
      <c r="S11" s="20"/>
      <c r="T11" s="20"/>
      <c r="U11" s="20"/>
      <c r="V11" s="20"/>
      <c r="W11" s="20"/>
      <c r="X11" s="20"/>
      <c r="Y11" s="20"/>
      <c r="Z11" s="20"/>
    </row>
    <row r="12" spans="1:26" ht="17.25" customHeight="1">
      <c r="A12" s="96" t="s">
        <v>5118</v>
      </c>
      <c r="B12" s="97">
        <v>1.1100000000000001E-3</v>
      </c>
      <c r="C12" s="96" t="s">
        <v>5098</v>
      </c>
      <c r="D12">
        <v>7.1999999999999998E-3</v>
      </c>
      <c r="E12" s="98" t="s">
        <v>5108</v>
      </c>
      <c r="F12" s="98" t="s">
        <v>5100</v>
      </c>
      <c r="G12" s="96" t="s">
        <v>163</v>
      </c>
      <c r="H12" s="58" t="s">
        <v>6224</v>
      </c>
      <c r="I12" s="98" t="s">
        <v>5102</v>
      </c>
      <c r="J12" s="98" t="s">
        <v>5103</v>
      </c>
      <c r="K12" s="98" t="s">
        <v>5112</v>
      </c>
      <c r="L12" s="58"/>
      <c r="M12" s="58"/>
      <c r="N12" s="58"/>
      <c r="O12" s="31"/>
      <c r="P12" s="20"/>
      <c r="Q12" s="20"/>
      <c r="R12" s="20"/>
      <c r="S12" s="20"/>
      <c r="T12" s="20"/>
      <c r="U12" s="20"/>
      <c r="V12" s="20"/>
      <c r="W12" s="20"/>
      <c r="X12" s="20"/>
      <c r="Y12" s="20"/>
      <c r="Z12" s="20"/>
    </row>
    <row r="13" spans="1:26" ht="17.25" customHeight="1">
      <c r="A13" s="96" t="s">
        <v>5119</v>
      </c>
      <c r="B13" s="97">
        <v>1.1100000000000001E-3</v>
      </c>
      <c r="C13" s="96" t="s">
        <v>5098</v>
      </c>
      <c r="D13">
        <v>7.1999999999999998E-3</v>
      </c>
      <c r="E13" s="98" t="s">
        <v>5108</v>
      </c>
      <c r="F13" s="98" t="s">
        <v>5100</v>
      </c>
      <c r="G13" s="96" t="s">
        <v>163</v>
      </c>
      <c r="H13" s="58" t="s">
        <v>6224</v>
      </c>
      <c r="I13" s="98" t="s">
        <v>5102</v>
      </c>
      <c r="J13" s="98" t="s">
        <v>5103</v>
      </c>
      <c r="K13" s="98" t="s">
        <v>5112</v>
      </c>
      <c r="L13" s="58"/>
      <c r="M13" s="58"/>
      <c r="N13" s="58"/>
      <c r="O13" s="31"/>
      <c r="P13" s="20"/>
      <c r="Q13" s="20"/>
      <c r="R13" s="20"/>
      <c r="S13" s="20"/>
      <c r="T13" s="20"/>
      <c r="U13" s="20"/>
      <c r="V13" s="20"/>
      <c r="W13" s="20"/>
      <c r="X13" s="20"/>
      <c r="Y13" s="20"/>
      <c r="Z13" s="20"/>
    </row>
    <row r="14" spans="1:26" ht="17.25" customHeight="1">
      <c r="A14" s="96" t="s">
        <v>5120</v>
      </c>
      <c r="B14" s="97">
        <v>1.1100000000000001E-3</v>
      </c>
      <c r="C14" s="96" t="s">
        <v>5098</v>
      </c>
      <c r="D14">
        <v>7.1999999999999998E-3</v>
      </c>
      <c r="E14" s="98" t="s">
        <v>5108</v>
      </c>
      <c r="F14" s="98" t="s">
        <v>5096</v>
      </c>
      <c r="G14" s="96" t="s">
        <v>163</v>
      </c>
      <c r="H14" s="58" t="s">
        <v>6224</v>
      </c>
      <c r="I14" s="98" t="s">
        <v>5102</v>
      </c>
      <c r="J14" s="98" t="s">
        <v>5103</v>
      </c>
      <c r="K14" s="98" t="s">
        <v>5112</v>
      </c>
      <c r="L14" s="58"/>
      <c r="M14" s="58"/>
      <c r="N14" s="58"/>
      <c r="O14" s="31"/>
      <c r="P14" s="20"/>
      <c r="Q14" s="20"/>
      <c r="R14" s="20"/>
      <c r="S14" s="20"/>
      <c r="T14" s="20"/>
      <c r="U14" s="20"/>
      <c r="V14" s="20"/>
      <c r="W14" s="20"/>
      <c r="X14" s="20"/>
      <c r="Y14" s="20"/>
      <c r="Z14" s="20"/>
    </row>
    <row r="15" spans="1:26" ht="17.25" customHeight="1">
      <c r="A15" s="96" t="s">
        <v>5121</v>
      </c>
      <c r="B15" s="97">
        <v>5.5599999999999998E-3</v>
      </c>
      <c r="C15" s="96" t="s">
        <v>5098</v>
      </c>
      <c r="D15">
        <v>7.1999999999999998E-3</v>
      </c>
      <c r="E15" s="98" t="s">
        <v>5108</v>
      </c>
      <c r="F15" s="98" t="s">
        <v>5100</v>
      </c>
      <c r="G15" s="96" t="s">
        <v>163</v>
      </c>
      <c r="H15" s="58" t="s">
        <v>6224</v>
      </c>
      <c r="I15" s="98" t="s">
        <v>5102</v>
      </c>
      <c r="J15" s="98" t="s">
        <v>5103</v>
      </c>
      <c r="K15" s="98" t="s">
        <v>5112</v>
      </c>
      <c r="L15" s="58"/>
      <c r="M15" s="58"/>
      <c r="N15" s="58"/>
      <c r="O15" s="31"/>
      <c r="P15" s="20"/>
      <c r="Q15" s="20"/>
      <c r="R15" s="20"/>
      <c r="S15" s="20"/>
      <c r="T15" s="20"/>
      <c r="U15" s="20"/>
      <c r="V15" s="20"/>
      <c r="W15" s="20"/>
      <c r="X15" s="20"/>
      <c r="Y15" s="20"/>
      <c r="Z15" s="20"/>
    </row>
    <row r="16" spans="1:26" ht="17.25" customHeight="1">
      <c r="A16" s="96" t="s">
        <v>5122</v>
      </c>
      <c r="B16" s="97">
        <v>5.5599999999999998E-3</v>
      </c>
      <c r="C16" s="96" t="s">
        <v>5098</v>
      </c>
      <c r="D16">
        <v>7.1999999999999998E-3</v>
      </c>
      <c r="E16" s="98" t="s">
        <v>5108</v>
      </c>
      <c r="F16" s="98" t="s">
        <v>5100</v>
      </c>
      <c r="G16" s="96" t="s">
        <v>163</v>
      </c>
      <c r="H16" s="58" t="s">
        <v>6224</v>
      </c>
      <c r="I16" s="98" t="s">
        <v>5102</v>
      </c>
      <c r="J16" s="98" t="s">
        <v>5103</v>
      </c>
      <c r="K16" s="98" t="s">
        <v>5112</v>
      </c>
      <c r="L16" s="58"/>
      <c r="M16" s="58"/>
      <c r="N16" s="58"/>
      <c r="O16" s="31"/>
      <c r="P16" s="20"/>
      <c r="Q16" s="20"/>
      <c r="R16" s="20"/>
      <c r="S16" s="20"/>
      <c r="T16" s="20"/>
      <c r="U16" s="20"/>
      <c r="V16" s="20"/>
      <c r="W16" s="20"/>
      <c r="X16" s="20"/>
      <c r="Y16" s="20"/>
      <c r="Z16" s="20"/>
    </row>
    <row r="17" spans="1:26" ht="17.25" customHeight="1">
      <c r="A17" s="96" t="s">
        <v>5123</v>
      </c>
      <c r="B17" s="97">
        <v>5.5599999999999998E-3</v>
      </c>
      <c r="C17" s="96" t="s">
        <v>5098</v>
      </c>
      <c r="D17">
        <v>7.1999999999999998E-3</v>
      </c>
      <c r="E17" s="98" t="s">
        <v>5108</v>
      </c>
      <c r="F17" s="98" t="s">
        <v>5100</v>
      </c>
      <c r="G17" s="96" t="s">
        <v>163</v>
      </c>
      <c r="H17" s="58" t="s">
        <v>6224</v>
      </c>
      <c r="I17" s="98" t="s">
        <v>5102</v>
      </c>
      <c r="J17" s="98" t="s">
        <v>5103</v>
      </c>
      <c r="K17" s="98" t="s">
        <v>5112</v>
      </c>
      <c r="L17" s="58"/>
      <c r="M17" s="58"/>
      <c r="N17" s="58"/>
      <c r="O17" s="31"/>
      <c r="P17" s="20"/>
      <c r="Q17" s="20"/>
      <c r="R17" s="20"/>
      <c r="S17" s="20"/>
      <c r="T17" s="20"/>
      <c r="U17" s="20"/>
      <c r="V17" s="20"/>
      <c r="W17" s="20"/>
      <c r="X17" s="20"/>
      <c r="Y17" s="20"/>
      <c r="Z17" s="20"/>
    </row>
    <row r="18" spans="1:26" ht="17.25" customHeight="1">
      <c r="A18" s="96" t="s">
        <v>5124</v>
      </c>
      <c r="B18" s="97">
        <v>5.5599999999999998E-3</v>
      </c>
      <c r="C18" s="96" t="s">
        <v>5098</v>
      </c>
      <c r="D18">
        <v>7.1999999999999998E-3</v>
      </c>
      <c r="E18" s="98" t="s">
        <v>5108</v>
      </c>
      <c r="F18" s="98" t="s">
        <v>5096</v>
      </c>
      <c r="G18" s="96" t="s">
        <v>163</v>
      </c>
      <c r="H18" s="58" t="s">
        <v>6224</v>
      </c>
      <c r="I18" s="98" t="s">
        <v>5102</v>
      </c>
      <c r="J18" s="98" t="s">
        <v>5103</v>
      </c>
      <c r="K18" s="98" t="s">
        <v>5112</v>
      </c>
      <c r="L18" s="58"/>
      <c r="M18" s="58"/>
      <c r="N18" s="58"/>
      <c r="O18" s="31"/>
      <c r="P18" s="20"/>
      <c r="Q18" s="20"/>
      <c r="R18" s="20"/>
      <c r="S18" s="20"/>
      <c r="T18" s="20"/>
      <c r="U18" s="20"/>
      <c r="V18" s="20"/>
      <c r="W18" s="20"/>
      <c r="X18" s="20"/>
      <c r="Y18" s="20"/>
      <c r="Z18" s="20"/>
    </row>
    <row r="19" spans="1:26" ht="17.25" customHeight="1">
      <c r="A19" s="96" t="s">
        <v>5125</v>
      </c>
      <c r="B19" s="97">
        <v>1.1100000000000001E-3</v>
      </c>
      <c r="C19" s="96" t="s">
        <v>5098</v>
      </c>
      <c r="D19">
        <v>7.1999999999999998E-3</v>
      </c>
      <c r="E19" s="98" t="s">
        <v>5099</v>
      </c>
      <c r="F19" s="98" t="s">
        <v>5100</v>
      </c>
      <c r="G19" s="96" t="s">
        <v>163</v>
      </c>
      <c r="H19" s="96" t="s">
        <v>5101</v>
      </c>
      <c r="I19" s="98" t="s">
        <v>5102</v>
      </c>
      <c r="J19" s="98" t="s">
        <v>5103</v>
      </c>
      <c r="K19" s="98" t="s">
        <v>5126</v>
      </c>
      <c r="L19" s="58"/>
      <c r="M19" s="58"/>
      <c r="N19" s="58"/>
      <c r="O19" s="31"/>
      <c r="P19" s="20"/>
      <c r="Q19" s="20"/>
      <c r="R19" s="20"/>
      <c r="S19" s="20"/>
      <c r="T19" s="20"/>
      <c r="U19" s="20"/>
      <c r="V19" s="20"/>
      <c r="W19" s="20"/>
      <c r="X19" s="20"/>
      <c r="Y19" s="20"/>
      <c r="Z19" s="20"/>
    </row>
    <row r="20" spans="1:26" ht="17.25" customHeight="1">
      <c r="A20" s="96" t="s">
        <v>5127</v>
      </c>
      <c r="B20" s="97">
        <v>1.1100000000000001E-3</v>
      </c>
      <c r="C20" s="96" t="s">
        <v>5098</v>
      </c>
      <c r="D20">
        <v>7.1999999999999998E-3</v>
      </c>
      <c r="E20" s="98" t="s">
        <v>5099</v>
      </c>
      <c r="F20" s="98" t="s">
        <v>5100</v>
      </c>
      <c r="G20" s="96" t="s">
        <v>163</v>
      </c>
      <c r="H20" s="96" t="s">
        <v>5101</v>
      </c>
      <c r="I20" s="98" t="s">
        <v>5102</v>
      </c>
      <c r="J20" s="98" t="s">
        <v>5103</v>
      </c>
      <c r="K20" s="98" t="s">
        <v>5126</v>
      </c>
      <c r="L20" s="58"/>
      <c r="M20" s="58"/>
      <c r="N20" s="58"/>
      <c r="O20" s="31"/>
      <c r="P20" s="20"/>
      <c r="Q20" s="20"/>
      <c r="R20" s="20"/>
      <c r="S20" s="20"/>
      <c r="T20" s="20"/>
      <c r="U20" s="20"/>
      <c r="V20" s="20"/>
      <c r="W20" s="20"/>
      <c r="X20" s="20"/>
      <c r="Y20" s="20"/>
      <c r="Z20" s="20"/>
    </row>
    <row r="21" spans="1:26" ht="17.25" customHeight="1">
      <c r="A21" s="96" t="s">
        <v>5128</v>
      </c>
      <c r="B21" s="97">
        <v>1.1100000000000001E-3</v>
      </c>
      <c r="C21" s="96" t="s">
        <v>5098</v>
      </c>
      <c r="D21">
        <v>7.1999999999999998E-3</v>
      </c>
      <c r="E21" s="98" t="s">
        <v>5099</v>
      </c>
      <c r="F21" s="98" t="s">
        <v>5100</v>
      </c>
      <c r="G21" s="96" t="s">
        <v>163</v>
      </c>
      <c r="H21" s="96" t="s">
        <v>5101</v>
      </c>
      <c r="I21" s="98" t="s">
        <v>5102</v>
      </c>
      <c r="J21" s="98" t="s">
        <v>5103</v>
      </c>
      <c r="K21" s="98" t="s">
        <v>5126</v>
      </c>
      <c r="L21" s="58"/>
      <c r="M21" s="58"/>
      <c r="N21" s="58"/>
      <c r="O21" s="31"/>
      <c r="P21" s="20"/>
      <c r="Q21" s="20"/>
      <c r="R21" s="20"/>
      <c r="S21" s="20"/>
      <c r="T21" s="20"/>
      <c r="U21" s="20"/>
      <c r="V21" s="20"/>
      <c r="W21" s="20"/>
      <c r="X21" s="20"/>
      <c r="Y21" s="20"/>
      <c r="Z21" s="20"/>
    </row>
    <row r="22" spans="1:26" ht="17.25" customHeight="1">
      <c r="A22" s="96" t="s">
        <v>5129</v>
      </c>
      <c r="B22" s="97">
        <v>1.1100000000000001E-3</v>
      </c>
      <c r="C22" s="96" t="s">
        <v>5098</v>
      </c>
      <c r="D22">
        <v>7.1999999999999998E-3</v>
      </c>
      <c r="E22" s="98" t="s">
        <v>5108</v>
      </c>
      <c r="F22" s="98" t="s">
        <v>5095</v>
      </c>
      <c r="G22" s="96" t="s">
        <v>163</v>
      </c>
      <c r="H22" s="96" t="s">
        <v>5101</v>
      </c>
      <c r="I22" s="98" t="s">
        <v>5109</v>
      </c>
      <c r="J22" s="98" t="s">
        <v>5103</v>
      </c>
      <c r="K22" s="98" t="s">
        <v>5126</v>
      </c>
      <c r="L22" s="58"/>
      <c r="M22" s="58"/>
      <c r="N22" s="58"/>
      <c r="O22" s="31"/>
      <c r="P22" s="20"/>
      <c r="Q22" s="20"/>
      <c r="R22" s="20"/>
      <c r="S22" s="20"/>
      <c r="T22" s="20"/>
      <c r="U22" s="20"/>
      <c r="V22" s="20"/>
      <c r="W22" s="20"/>
      <c r="X22" s="20"/>
      <c r="Y22" s="20"/>
      <c r="Z22" s="20"/>
    </row>
    <row r="23" spans="1:26" ht="17.25" customHeight="1">
      <c r="A23" s="96" t="s">
        <v>5130</v>
      </c>
      <c r="B23" s="97">
        <v>1.1100000000000001E-3</v>
      </c>
      <c r="C23" s="96" t="s">
        <v>5098</v>
      </c>
      <c r="D23">
        <v>7.1999999999999998E-3</v>
      </c>
      <c r="E23" s="98" t="s">
        <v>5108</v>
      </c>
      <c r="F23" s="98" t="s">
        <v>5096</v>
      </c>
      <c r="G23" s="96" t="s">
        <v>163</v>
      </c>
      <c r="H23" s="96" t="s">
        <v>5101</v>
      </c>
      <c r="I23" s="98" t="s">
        <v>5102</v>
      </c>
      <c r="J23" s="98" t="s">
        <v>5103</v>
      </c>
      <c r="K23" s="98" t="s">
        <v>5126</v>
      </c>
      <c r="L23" s="58"/>
      <c r="M23" s="58"/>
      <c r="N23" s="58"/>
      <c r="O23" s="31"/>
      <c r="P23" s="20"/>
      <c r="Q23" s="20"/>
      <c r="R23" s="20"/>
      <c r="S23" s="20"/>
      <c r="T23" s="20"/>
      <c r="U23" s="20"/>
      <c r="V23" s="20"/>
      <c r="W23" s="20"/>
      <c r="X23" s="20"/>
      <c r="Y23" s="20"/>
      <c r="Z23" s="20"/>
    </row>
    <row r="24" spans="1:26" ht="17.25" customHeight="1">
      <c r="A24" s="96" t="s">
        <v>5131</v>
      </c>
      <c r="B24" s="97">
        <v>1E-4</v>
      </c>
      <c r="C24" s="96" t="s">
        <v>5098</v>
      </c>
      <c r="D24">
        <v>7.1999999999999998E-3</v>
      </c>
      <c r="E24" s="98" t="s">
        <v>5099</v>
      </c>
      <c r="F24" s="98" t="s">
        <v>5100</v>
      </c>
      <c r="G24" s="96" t="s">
        <v>163</v>
      </c>
      <c r="H24" s="96" t="s">
        <v>5101</v>
      </c>
      <c r="I24" s="98" t="s">
        <v>5102</v>
      </c>
      <c r="J24" s="98" t="s">
        <v>5103</v>
      </c>
      <c r="K24" s="98" t="s">
        <v>5132</v>
      </c>
      <c r="L24" s="58"/>
      <c r="M24" s="58"/>
      <c r="N24" s="58"/>
      <c r="O24" s="31"/>
      <c r="P24" s="20"/>
      <c r="Q24" s="20"/>
      <c r="R24" s="20"/>
      <c r="S24" s="20"/>
      <c r="T24" s="20"/>
      <c r="U24" s="20"/>
      <c r="V24" s="20"/>
      <c r="W24" s="20"/>
      <c r="X24" s="20"/>
      <c r="Y24" s="20"/>
      <c r="Z24" s="20"/>
    </row>
    <row r="25" spans="1:26" ht="17.25" customHeight="1">
      <c r="A25" s="96" t="s">
        <v>5133</v>
      </c>
      <c r="B25" s="97">
        <v>1E-4</v>
      </c>
      <c r="C25" s="96" t="s">
        <v>5098</v>
      </c>
      <c r="D25">
        <v>7.1999999999999998E-3</v>
      </c>
      <c r="E25" s="98" t="s">
        <v>5099</v>
      </c>
      <c r="F25" s="98" t="s">
        <v>5100</v>
      </c>
      <c r="G25" s="96" t="s">
        <v>163</v>
      </c>
      <c r="H25" s="96" t="s">
        <v>5101</v>
      </c>
      <c r="I25" s="98" t="s">
        <v>5102</v>
      </c>
      <c r="J25" s="98" t="s">
        <v>5103</v>
      </c>
      <c r="K25" s="98" t="s">
        <v>5132</v>
      </c>
      <c r="L25" s="58"/>
      <c r="M25" s="58"/>
      <c r="N25" s="58"/>
      <c r="O25" s="31"/>
      <c r="P25" s="20"/>
      <c r="Q25" s="20"/>
      <c r="R25" s="20"/>
      <c r="S25" s="20"/>
      <c r="T25" s="20"/>
      <c r="U25" s="20"/>
      <c r="V25" s="20"/>
      <c r="W25" s="20"/>
      <c r="X25" s="20"/>
      <c r="Y25" s="20"/>
      <c r="Z25" s="20"/>
    </row>
    <row r="26" spans="1:26" ht="17.25" customHeight="1">
      <c r="A26" s="96" t="s">
        <v>5134</v>
      </c>
      <c r="B26" s="97">
        <v>1E-4</v>
      </c>
      <c r="C26" s="96" t="s">
        <v>5098</v>
      </c>
      <c r="D26">
        <v>7.1999999999999998E-3</v>
      </c>
      <c r="E26" s="98" t="s">
        <v>5099</v>
      </c>
      <c r="F26" s="98" t="s">
        <v>5100</v>
      </c>
      <c r="G26" s="96" t="s">
        <v>163</v>
      </c>
      <c r="H26" s="96" t="s">
        <v>5101</v>
      </c>
      <c r="I26" s="98" t="s">
        <v>5102</v>
      </c>
      <c r="J26" s="98" t="s">
        <v>5103</v>
      </c>
      <c r="K26" s="98" t="s">
        <v>5132</v>
      </c>
      <c r="L26" s="58"/>
      <c r="M26" s="58"/>
      <c r="N26" s="58"/>
      <c r="O26" s="31"/>
      <c r="P26" s="20"/>
      <c r="Q26" s="20"/>
      <c r="R26" s="20"/>
      <c r="S26" s="20"/>
      <c r="T26" s="20"/>
      <c r="U26" s="20"/>
      <c r="V26" s="20"/>
      <c r="W26" s="20"/>
      <c r="X26" s="20"/>
      <c r="Y26" s="20"/>
      <c r="Z26" s="20"/>
    </row>
    <row r="27" spans="1:26" ht="17.25" customHeight="1">
      <c r="A27" s="98" t="s">
        <v>5135</v>
      </c>
      <c r="B27" s="97">
        <v>4.0000000000000003E-5</v>
      </c>
      <c r="C27" s="96" t="s">
        <v>5098</v>
      </c>
      <c r="D27">
        <v>7.1999999999999998E-3</v>
      </c>
      <c r="E27" s="98" t="s">
        <v>5099</v>
      </c>
      <c r="F27" s="98" t="s">
        <v>5100</v>
      </c>
      <c r="G27" s="96" t="s">
        <v>163</v>
      </c>
      <c r="H27" s="96" t="s">
        <v>5101</v>
      </c>
      <c r="I27" s="98" t="s">
        <v>5102</v>
      </c>
      <c r="J27" s="98" t="s">
        <v>5103</v>
      </c>
      <c r="K27" s="98" t="s">
        <v>5132</v>
      </c>
      <c r="L27" s="58"/>
      <c r="M27" s="58"/>
      <c r="N27" s="58"/>
      <c r="O27" s="31"/>
      <c r="P27" s="20"/>
      <c r="Q27" s="20"/>
      <c r="R27" s="20"/>
      <c r="S27" s="20"/>
      <c r="T27" s="20"/>
      <c r="U27" s="20"/>
      <c r="V27" s="20"/>
      <c r="W27" s="20"/>
      <c r="X27" s="20"/>
      <c r="Y27" s="20"/>
      <c r="Z27" s="20"/>
    </row>
    <row r="28" spans="1:26" ht="17.25" customHeight="1">
      <c r="A28" s="98" t="s">
        <v>5136</v>
      </c>
      <c r="B28" s="97">
        <v>4.0000000000000003E-5</v>
      </c>
      <c r="C28" s="96" t="s">
        <v>5098</v>
      </c>
      <c r="D28">
        <v>7.1999999999999998E-3</v>
      </c>
      <c r="E28" s="98" t="s">
        <v>5099</v>
      </c>
      <c r="F28" s="98" t="s">
        <v>5100</v>
      </c>
      <c r="G28" s="96" t="s">
        <v>163</v>
      </c>
      <c r="H28" s="96" t="s">
        <v>5101</v>
      </c>
      <c r="I28" s="98" t="s">
        <v>5102</v>
      </c>
      <c r="J28" s="98" t="s">
        <v>5103</v>
      </c>
      <c r="K28" s="98" t="s">
        <v>5132</v>
      </c>
      <c r="L28" s="58"/>
      <c r="M28" s="58"/>
      <c r="N28" s="58"/>
      <c r="O28" s="31"/>
      <c r="P28" s="20"/>
      <c r="Q28" s="20"/>
      <c r="R28" s="20"/>
      <c r="S28" s="20"/>
      <c r="T28" s="20"/>
      <c r="U28" s="20"/>
      <c r="V28" s="20"/>
      <c r="W28" s="20"/>
      <c r="X28" s="20"/>
      <c r="Y28" s="20"/>
      <c r="Z28" s="20"/>
    </row>
    <row r="29" spans="1:26" ht="17.25" customHeight="1">
      <c r="A29" s="98" t="s">
        <v>5137</v>
      </c>
      <c r="B29" s="97">
        <v>4.0000000000000003E-5</v>
      </c>
      <c r="C29" s="96" t="s">
        <v>5098</v>
      </c>
      <c r="D29">
        <v>7.1999999999999998E-3</v>
      </c>
      <c r="E29" s="98" t="s">
        <v>5099</v>
      </c>
      <c r="F29" s="98" t="s">
        <v>5100</v>
      </c>
      <c r="G29" s="96" t="s">
        <v>163</v>
      </c>
      <c r="H29" s="96" t="s">
        <v>5101</v>
      </c>
      <c r="I29" s="98" t="s">
        <v>5102</v>
      </c>
      <c r="J29" s="98" t="s">
        <v>5103</v>
      </c>
      <c r="K29" s="98" t="s">
        <v>5132</v>
      </c>
      <c r="L29" s="58"/>
      <c r="M29" s="58"/>
      <c r="N29" s="58"/>
      <c r="O29" s="31"/>
      <c r="P29" s="20"/>
      <c r="Q29" s="20"/>
      <c r="R29" s="20"/>
      <c r="S29" s="20"/>
      <c r="T29" s="20"/>
      <c r="U29" s="20"/>
      <c r="V29" s="20"/>
      <c r="W29" s="20"/>
      <c r="X29" s="20"/>
      <c r="Y29" s="20"/>
      <c r="Z29" s="20"/>
    </row>
    <row r="30" spans="1:26" ht="17.25" customHeight="1">
      <c r="A30" s="98" t="s">
        <v>5138</v>
      </c>
      <c r="B30" s="97">
        <v>8.3000000000000001E-4</v>
      </c>
      <c r="C30" s="96" t="s">
        <v>5098</v>
      </c>
      <c r="D30">
        <v>7.1999999999999998E-3</v>
      </c>
      <c r="E30" s="98" t="s">
        <v>5099</v>
      </c>
      <c r="F30" s="98" t="s">
        <v>5100</v>
      </c>
      <c r="G30" s="96" t="s">
        <v>163</v>
      </c>
      <c r="H30" s="96" t="s">
        <v>5101</v>
      </c>
      <c r="I30" s="98" t="s">
        <v>5102</v>
      </c>
      <c r="J30" s="98" t="s">
        <v>5103</v>
      </c>
      <c r="K30" s="98" t="s">
        <v>5104</v>
      </c>
      <c r="L30" s="58"/>
      <c r="M30" s="58"/>
      <c r="N30" s="58"/>
      <c r="O30" s="31"/>
      <c r="P30" s="20"/>
      <c r="Q30" s="20"/>
      <c r="R30" s="20"/>
      <c r="S30" s="20"/>
      <c r="T30" s="20"/>
      <c r="U30" s="20"/>
      <c r="V30" s="20"/>
      <c r="W30" s="20"/>
      <c r="X30" s="20"/>
      <c r="Y30" s="20"/>
      <c r="Z30" s="20"/>
    </row>
    <row r="31" spans="1:26" ht="17.25" customHeight="1">
      <c r="A31" s="98" t="s">
        <v>5139</v>
      </c>
      <c r="B31" s="97">
        <v>8.3000000000000001E-4</v>
      </c>
      <c r="C31" s="96" t="s">
        <v>5098</v>
      </c>
      <c r="D31">
        <v>7.1999999999999998E-3</v>
      </c>
      <c r="E31" s="98" t="s">
        <v>5099</v>
      </c>
      <c r="F31" s="98" t="s">
        <v>5100</v>
      </c>
      <c r="G31" s="96" t="s">
        <v>163</v>
      </c>
      <c r="H31" s="96" t="s">
        <v>5101</v>
      </c>
      <c r="I31" s="98" t="s">
        <v>5102</v>
      </c>
      <c r="J31" s="98" t="s">
        <v>5103</v>
      </c>
      <c r="K31" s="98" t="s">
        <v>5104</v>
      </c>
      <c r="L31" s="58"/>
      <c r="M31" s="58"/>
      <c r="N31" s="58"/>
      <c r="O31" s="31"/>
      <c r="P31" s="20"/>
      <c r="Q31" s="20"/>
      <c r="R31" s="20"/>
      <c r="S31" s="20"/>
      <c r="T31" s="20"/>
      <c r="U31" s="20"/>
      <c r="V31" s="20"/>
      <c r="W31" s="20"/>
      <c r="X31" s="20"/>
      <c r="Y31" s="20"/>
      <c r="Z31" s="20"/>
    </row>
    <row r="32" spans="1:26" ht="17.25" customHeight="1">
      <c r="A32" s="98" t="s">
        <v>5140</v>
      </c>
      <c r="B32" s="97">
        <v>8.3000000000000001E-4</v>
      </c>
      <c r="C32" s="96" t="s">
        <v>5098</v>
      </c>
      <c r="D32">
        <v>7.1999999999999998E-3</v>
      </c>
      <c r="E32" s="98" t="s">
        <v>5099</v>
      </c>
      <c r="F32" s="98" t="s">
        <v>5100</v>
      </c>
      <c r="G32" s="96" t="s">
        <v>163</v>
      </c>
      <c r="H32" s="96" t="s">
        <v>5101</v>
      </c>
      <c r="I32" s="98" t="s">
        <v>5102</v>
      </c>
      <c r="J32" s="98" t="s">
        <v>5103</v>
      </c>
      <c r="K32" s="98" t="s">
        <v>5104</v>
      </c>
      <c r="L32" s="58"/>
      <c r="M32" s="58"/>
      <c r="N32" s="58"/>
      <c r="O32" s="31"/>
      <c r="P32" s="20"/>
      <c r="Q32" s="20"/>
      <c r="R32" s="20"/>
      <c r="S32" s="20"/>
      <c r="T32" s="20"/>
      <c r="U32" s="20"/>
      <c r="V32" s="20"/>
      <c r="W32" s="20"/>
      <c r="X32" s="20"/>
      <c r="Y32" s="20"/>
      <c r="Z32" s="20"/>
    </row>
    <row r="33" spans="1:26" ht="17.25" customHeight="1">
      <c r="A33" s="98" t="s">
        <v>5141</v>
      </c>
      <c r="B33" s="97">
        <v>8.3000000000000001E-4</v>
      </c>
      <c r="C33" s="96" t="s">
        <v>5098</v>
      </c>
      <c r="D33">
        <v>7.1999999999999998E-3</v>
      </c>
      <c r="E33" s="98" t="s">
        <v>5108</v>
      </c>
      <c r="F33" s="98" t="s">
        <v>5095</v>
      </c>
      <c r="G33" s="96" t="s">
        <v>163</v>
      </c>
      <c r="H33" s="96" t="s">
        <v>5101</v>
      </c>
      <c r="I33" s="58" t="s">
        <v>6178</v>
      </c>
      <c r="J33" s="98" t="s">
        <v>5103</v>
      </c>
      <c r="K33" s="96" t="s">
        <v>5104</v>
      </c>
      <c r="L33" s="58"/>
      <c r="M33" s="58"/>
      <c r="N33" s="58"/>
      <c r="O33" s="31"/>
      <c r="P33" s="20"/>
      <c r="Q33" s="20"/>
      <c r="R33" s="20"/>
      <c r="S33" s="20"/>
      <c r="T33" s="20"/>
      <c r="U33" s="20"/>
      <c r="V33" s="20"/>
      <c r="W33" s="20"/>
      <c r="X33" s="20"/>
      <c r="Y33" s="20"/>
      <c r="Z33" s="20"/>
    </row>
    <row r="34" spans="1:26" ht="17.25" customHeight="1">
      <c r="A34" s="98"/>
      <c r="B34" s="99"/>
      <c r="C34" s="98"/>
      <c r="E34" s="98"/>
      <c r="F34" s="98"/>
      <c r="G34" s="98"/>
      <c r="H34" s="98"/>
      <c r="I34" s="98"/>
      <c r="J34" s="98"/>
      <c r="K34" s="58"/>
      <c r="L34" s="58"/>
      <c r="M34" s="58"/>
      <c r="N34" s="58"/>
      <c r="O34" s="31"/>
      <c r="P34" s="20"/>
      <c r="Q34" s="20"/>
      <c r="R34" s="20"/>
      <c r="S34" s="20"/>
      <c r="T34" s="20"/>
      <c r="U34" s="20"/>
      <c r="V34" s="20"/>
      <c r="W34" s="20"/>
      <c r="X34" s="20"/>
      <c r="Y34" s="20"/>
      <c r="Z34" s="20"/>
    </row>
    <row r="35" spans="1:26" ht="17.25" customHeight="1">
      <c r="A35" s="98"/>
      <c r="B35" s="99"/>
      <c r="C35" s="98"/>
      <c r="E35" s="98"/>
      <c r="F35" s="98"/>
      <c r="G35" s="98"/>
      <c r="H35" s="98"/>
      <c r="I35" s="98"/>
      <c r="J35" s="98"/>
      <c r="K35" s="58"/>
      <c r="L35" s="57"/>
      <c r="M35" s="57"/>
      <c r="N35" s="57"/>
      <c r="O35" s="31"/>
      <c r="P35" s="20"/>
      <c r="Q35" s="20"/>
      <c r="R35" s="20"/>
      <c r="S35" s="20"/>
      <c r="T35" s="20"/>
      <c r="U35" s="20"/>
      <c r="V35" s="20"/>
      <c r="W35" s="20"/>
      <c r="X35" s="20"/>
      <c r="Y35" s="20"/>
      <c r="Z35" s="20"/>
    </row>
    <row r="36" spans="1:26" ht="17.25" customHeight="1">
      <c r="A36" s="98"/>
      <c r="B36" s="99"/>
      <c r="C36" s="98"/>
      <c r="E36" s="98"/>
      <c r="F36" s="98"/>
      <c r="G36" s="98"/>
      <c r="H36" s="98"/>
      <c r="I36" s="98"/>
      <c r="J36" s="98"/>
      <c r="K36" s="58"/>
      <c r="L36" s="57"/>
      <c r="M36" s="57"/>
      <c r="N36" s="57"/>
      <c r="O36" s="31"/>
      <c r="P36" s="20"/>
      <c r="Q36" s="20"/>
      <c r="R36" s="20"/>
      <c r="S36" s="20"/>
      <c r="T36" s="20"/>
      <c r="U36" s="20"/>
      <c r="V36" s="20"/>
      <c r="W36" s="20"/>
      <c r="X36" s="20"/>
      <c r="Y36" s="20"/>
      <c r="Z36" s="20"/>
    </row>
    <row r="37" spans="1:26" ht="17.25" customHeight="1">
      <c r="A37" s="98"/>
      <c r="B37" s="99"/>
      <c r="C37" s="98"/>
      <c r="E37" s="98"/>
      <c r="F37" s="98"/>
      <c r="G37" s="98"/>
      <c r="H37" s="98"/>
      <c r="I37" s="98"/>
      <c r="J37" s="98"/>
      <c r="K37" s="58"/>
      <c r="L37" s="57"/>
      <c r="M37" s="57"/>
      <c r="N37" s="57"/>
      <c r="O37" s="31"/>
      <c r="P37" s="20"/>
      <c r="Q37" s="20"/>
      <c r="R37" s="20"/>
      <c r="S37" s="20"/>
      <c r="T37" s="20"/>
      <c r="U37" s="20"/>
      <c r="V37" s="20"/>
      <c r="W37" s="20"/>
      <c r="X37" s="20"/>
      <c r="Y37" s="20"/>
      <c r="Z37" s="20"/>
    </row>
    <row r="38" spans="1:26" ht="17.25" customHeight="1">
      <c r="A38" s="98"/>
      <c r="B38" s="99"/>
      <c r="C38" s="98"/>
      <c r="E38" s="98"/>
      <c r="F38" s="98"/>
      <c r="G38" s="98"/>
      <c r="H38" s="98"/>
      <c r="I38" s="98"/>
      <c r="J38" s="98"/>
      <c r="K38" s="58"/>
      <c r="L38" s="57"/>
      <c r="M38" s="57"/>
      <c r="N38" s="57"/>
      <c r="O38" s="31"/>
      <c r="P38" s="20"/>
      <c r="Q38" s="20"/>
      <c r="R38" s="20"/>
      <c r="S38" s="20"/>
      <c r="T38" s="20"/>
      <c r="U38" s="20"/>
      <c r="V38" s="20"/>
      <c r="W38" s="20"/>
      <c r="X38" s="20"/>
      <c r="Y38" s="20"/>
      <c r="Z38" s="20"/>
    </row>
    <row r="39" spans="1:26" ht="17.25" customHeight="1">
      <c r="A39" s="98"/>
      <c r="B39" s="99"/>
      <c r="C39" s="98"/>
      <c r="E39" s="98"/>
      <c r="F39" s="98"/>
      <c r="G39" s="98"/>
      <c r="H39" s="98"/>
      <c r="I39" s="98"/>
      <c r="J39" s="98"/>
      <c r="K39" s="58"/>
      <c r="L39" s="57"/>
      <c r="M39" s="57"/>
      <c r="N39" s="57"/>
      <c r="O39" s="31"/>
      <c r="P39" s="20"/>
      <c r="Q39" s="20"/>
      <c r="R39" s="20"/>
      <c r="S39" s="20"/>
      <c r="T39" s="20"/>
      <c r="U39" s="20"/>
      <c r="V39" s="20"/>
      <c r="W39" s="20"/>
      <c r="X39" s="20"/>
      <c r="Y39" s="20"/>
      <c r="Z39" s="20"/>
    </row>
    <row r="40" spans="1:26" ht="17.25" customHeight="1">
      <c r="A40" s="98"/>
      <c r="B40" s="99"/>
      <c r="C40" s="98"/>
      <c r="E40" s="98"/>
      <c r="F40" s="98"/>
      <c r="G40" s="98"/>
      <c r="H40" s="98"/>
      <c r="I40" s="98"/>
      <c r="J40" s="98"/>
      <c r="K40" s="58"/>
      <c r="L40" s="57"/>
      <c r="M40" s="57"/>
      <c r="N40" s="57"/>
      <c r="O40" s="31"/>
      <c r="P40" s="20"/>
      <c r="Q40" s="20"/>
      <c r="R40" s="20"/>
      <c r="S40" s="20"/>
      <c r="T40" s="20"/>
      <c r="U40" s="20"/>
      <c r="V40" s="20"/>
      <c r="W40" s="20"/>
      <c r="X40" s="20"/>
      <c r="Y40" s="20"/>
      <c r="Z40" s="20"/>
    </row>
    <row r="41" spans="1:26" ht="17.25" customHeight="1">
      <c r="A41" s="98"/>
      <c r="B41" s="99"/>
      <c r="C41" s="98"/>
      <c r="E41" s="98"/>
      <c r="F41" s="98"/>
      <c r="G41" s="98"/>
      <c r="H41" s="98"/>
      <c r="I41" s="98"/>
      <c r="J41" s="98"/>
      <c r="K41" s="58"/>
      <c r="L41" s="57"/>
      <c r="M41" s="57"/>
      <c r="N41" s="57"/>
      <c r="O41" s="31"/>
      <c r="P41" s="20"/>
      <c r="Q41" s="20"/>
      <c r="R41" s="20"/>
      <c r="S41" s="20"/>
      <c r="T41" s="20"/>
      <c r="U41" s="20"/>
      <c r="V41" s="20"/>
      <c r="W41" s="20"/>
      <c r="X41" s="20"/>
      <c r="Y41" s="20"/>
      <c r="Z41" s="20"/>
    </row>
    <row r="42" spans="1:26" ht="17.25" customHeight="1">
      <c r="A42" s="98"/>
      <c r="B42" s="99"/>
      <c r="C42" s="98"/>
      <c r="E42" s="98"/>
      <c r="F42" s="98"/>
      <c r="G42" s="98"/>
      <c r="H42" s="98"/>
      <c r="I42" s="98"/>
      <c r="J42" s="98"/>
      <c r="K42" s="58"/>
      <c r="L42" s="57"/>
      <c r="M42" s="57"/>
      <c r="N42" s="57"/>
      <c r="O42" s="31"/>
      <c r="P42" s="20"/>
      <c r="Q42" s="20"/>
      <c r="R42" s="20"/>
      <c r="S42" s="20"/>
      <c r="T42" s="20"/>
      <c r="U42" s="20"/>
      <c r="V42" s="20"/>
      <c r="W42" s="20"/>
      <c r="X42" s="20"/>
      <c r="Y42" s="20"/>
      <c r="Z42" s="20"/>
    </row>
    <row r="43" spans="1:26" ht="17.25" customHeight="1">
      <c r="A43" s="98"/>
      <c r="B43" s="99"/>
      <c r="C43" s="98"/>
      <c r="E43" s="98"/>
      <c r="F43" s="98"/>
      <c r="G43" s="98"/>
      <c r="H43" s="98"/>
      <c r="I43" s="98"/>
      <c r="J43" s="98"/>
      <c r="K43" s="58"/>
      <c r="L43" s="57"/>
      <c r="M43" s="57"/>
      <c r="N43" s="57"/>
      <c r="O43" s="31"/>
      <c r="P43" s="20"/>
      <c r="Q43" s="20"/>
      <c r="R43" s="20"/>
      <c r="S43" s="20"/>
      <c r="T43" s="20"/>
      <c r="U43" s="20"/>
      <c r="V43" s="20"/>
      <c r="W43" s="20"/>
      <c r="X43" s="20"/>
      <c r="Y43" s="20"/>
      <c r="Z43" s="20"/>
    </row>
    <row r="44" spans="1:26" ht="17.25" customHeight="1">
      <c r="A44" s="98"/>
      <c r="B44" s="99"/>
      <c r="C44" s="98"/>
      <c r="E44" s="98"/>
      <c r="F44" s="98"/>
      <c r="G44" s="98"/>
      <c r="H44" s="98"/>
      <c r="I44" s="98"/>
      <c r="J44" s="98"/>
      <c r="K44" s="58"/>
      <c r="L44" s="57"/>
      <c r="M44" s="57"/>
      <c r="N44" s="57"/>
      <c r="O44" s="31"/>
      <c r="P44" s="20"/>
      <c r="Q44" s="20"/>
      <c r="R44" s="20"/>
      <c r="S44" s="20"/>
      <c r="T44" s="20"/>
      <c r="U44" s="20"/>
      <c r="V44" s="20"/>
      <c r="W44" s="20"/>
      <c r="X44" s="20"/>
      <c r="Y44" s="20"/>
      <c r="Z44" s="20"/>
    </row>
    <row r="45" spans="1:26" ht="17.25" customHeight="1">
      <c r="A45" s="98"/>
      <c r="B45" s="99"/>
      <c r="C45" s="98"/>
      <c r="E45" s="98"/>
      <c r="F45" s="98"/>
      <c r="G45" s="98"/>
      <c r="H45" s="98"/>
      <c r="I45" s="98"/>
      <c r="J45" s="98"/>
      <c r="K45" s="58"/>
      <c r="L45" s="57"/>
      <c r="M45" s="57"/>
      <c r="N45" s="57"/>
      <c r="O45" s="31"/>
      <c r="P45" s="20"/>
      <c r="Q45" s="20"/>
      <c r="R45" s="20"/>
      <c r="S45" s="20"/>
      <c r="T45" s="20"/>
      <c r="U45" s="20"/>
      <c r="V45" s="20"/>
      <c r="W45" s="20"/>
      <c r="X45" s="20"/>
      <c r="Y45" s="20"/>
      <c r="Z45" s="20"/>
    </row>
    <row r="46" spans="1:26" ht="17.25" customHeight="1">
      <c r="A46" s="98"/>
      <c r="B46" s="99"/>
      <c r="C46" s="98"/>
      <c r="E46" s="98"/>
      <c r="F46" s="98"/>
      <c r="G46" s="98"/>
      <c r="H46" s="98"/>
      <c r="I46" s="98"/>
      <c r="J46" s="98"/>
      <c r="K46" s="58"/>
      <c r="L46" s="57"/>
      <c r="M46" s="57"/>
      <c r="N46" s="57"/>
      <c r="O46" s="31"/>
      <c r="P46" s="20"/>
      <c r="Q46" s="20"/>
      <c r="R46" s="20"/>
      <c r="S46" s="20"/>
      <c r="T46" s="20"/>
      <c r="U46" s="20"/>
      <c r="V46" s="20"/>
      <c r="W46" s="20"/>
      <c r="X46" s="20"/>
      <c r="Y46" s="20"/>
      <c r="Z46" s="20"/>
    </row>
    <row r="47" spans="1:26" ht="17.25" customHeight="1">
      <c r="A47" s="98"/>
      <c r="B47" s="99"/>
      <c r="C47" s="98"/>
      <c r="E47" s="98"/>
      <c r="F47" s="98"/>
      <c r="G47" s="98"/>
      <c r="H47" s="98"/>
      <c r="I47" s="98"/>
      <c r="J47" s="98"/>
      <c r="K47" s="58"/>
      <c r="L47" s="57"/>
      <c r="M47" s="57"/>
      <c r="N47" s="57"/>
      <c r="O47" s="31"/>
      <c r="P47" s="20"/>
      <c r="Q47" s="20"/>
      <c r="R47" s="20"/>
      <c r="S47" s="20"/>
      <c r="T47" s="20"/>
      <c r="U47" s="20"/>
      <c r="V47" s="20"/>
      <c r="W47" s="20"/>
      <c r="X47" s="20"/>
      <c r="Y47" s="20"/>
      <c r="Z47" s="20"/>
    </row>
    <row r="48" spans="1:26" ht="17.25" customHeight="1">
      <c r="A48" s="98"/>
      <c r="B48" s="99"/>
      <c r="C48" s="98"/>
      <c r="E48" s="98"/>
      <c r="F48" s="98"/>
      <c r="G48" s="98"/>
      <c r="H48" s="98"/>
      <c r="I48" s="98"/>
      <c r="J48" s="98"/>
      <c r="K48" s="58"/>
      <c r="L48" s="57"/>
      <c r="M48" s="57"/>
      <c r="N48" s="57"/>
      <c r="O48" s="31"/>
      <c r="P48" s="20"/>
      <c r="Q48" s="20"/>
      <c r="R48" s="20"/>
      <c r="S48" s="20"/>
      <c r="T48" s="20"/>
      <c r="U48" s="20"/>
      <c r="V48" s="20"/>
      <c r="W48" s="20"/>
      <c r="X48" s="20"/>
      <c r="Y48" s="20"/>
      <c r="Z48" s="20"/>
    </row>
    <row r="49" spans="1:26" ht="17.25" customHeight="1">
      <c r="A49" s="98"/>
      <c r="B49" s="99"/>
      <c r="C49" s="98"/>
      <c r="E49" s="98"/>
      <c r="F49" s="98"/>
      <c r="G49" s="98"/>
      <c r="H49" s="98"/>
      <c r="I49" s="98"/>
      <c r="J49" s="98"/>
      <c r="K49" s="58"/>
      <c r="L49" s="57"/>
      <c r="M49" s="57"/>
      <c r="N49" s="57"/>
      <c r="O49" s="31"/>
      <c r="P49" s="20"/>
      <c r="Q49" s="20"/>
      <c r="R49" s="20"/>
      <c r="S49" s="20"/>
      <c r="T49" s="20"/>
      <c r="U49" s="20"/>
      <c r="V49" s="20"/>
      <c r="W49" s="20"/>
      <c r="X49" s="20"/>
      <c r="Y49" s="20"/>
      <c r="Z49" s="20"/>
    </row>
    <row r="50" spans="1:26" ht="17.25" customHeight="1">
      <c r="A50" s="98"/>
      <c r="B50" s="99"/>
      <c r="C50" s="98"/>
      <c r="E50" s="98"/>
      <c r="F50" s="98"/>
      <c r="G50" s="98"/>
      <c r="H50" s="98"/>
      <c r="I50" s="98"/>
      <c r="J50" s="98"/>
      <c r="K50" s="58"/>
      <c r="L50" s="58"/>
      <c r="M50" s="58"/>
      <c r="N50" s="58"/>
      <c r="O50" s="31"/>
      <c r="P50" s="20"/>
      <c r="Q50" s="20"/>
      <c r="R50" s="20"/>
      <c r="S50" s="20"/>
      <c r="T50" s="20"/>
      <c r="U50" s="20"/>
      <c r="V50" s="20"/>
      <c r="W50" s="20"/>
      <c r="X50" s="20"/>
      <c r="Y50" s="20"/>
      <c r="Z50" s="20"/>
    </row>
    <row r="51" spans="1:26" ht="17.25" customHeight="1">
      <c r="A51" s="98"/>
      <c r="B51" s="99"/>
      <c r="C51" s="98"/>
      <c r="E51" s="98"/>
      <c r="F51" s="98"/>
      <c r="G51" s="98"/>
      <c r="H51" s="98"/>
      <c r="I51" s="98"/>
      <c r="J51" s="98"/>
      <c r="K51" s="58"/>
      <c r="L51" s="15"/>
      <c r="M51" s="58"/>
      <c r="N51" s="58"/>
      <c r="O51" s="31"/>
      <c r="P51" s="20"/>
      <c r="Q51" s="20"/>
      <c r="R51" s="20"/>
      <c r="S51" s="20"/>
      <c r="T51" s="20"/>
      <c r="U51" s="20"/>
      <c r="V51" s="20"/>
      <c r="W51" s="20"/>
      <c r="X51" s="20"/>
      <c r="Y51" s="20"/>
      <c r="Z51" s="20"/>
    </row>
    <row r="52" spans="1:26" ht="17.25" customHeight="1">
      <c r="A52" s="98"/>
      <c r="B52" s="99"/>
      <c r="C52" s="98"/>
      <c r="E52" s="98"/>
      <c r="F52" s="98"/>
      <c r="G52" s="98"/>
      <c r="H52" s="98"/>
      <c r="I52" s="98"/>
      <c r="J52" s="98"/>
      <c r="K52" s="58"/>
      <c r="L52" s="15"/>
      <c r="M52" s="58"/>
      <c r="N52" s="58"/>
      <c r="O52" s="31"/>
      <c r="P52" s="20"/>
      <c r="Q52" s="20"/>
      <c r="R52" s="20"/>
      <c r="S52" s="20"/>
      <c r="T52" s="20"/>
      <c r="U52" s="20"/>
      <c r="V52" s="20"/>
      <c r="W52" s="20"/>
      <c r="X52" s="20"/>
      <c r="Y52" s="20"/>
      <c r="Z52" s="20"/>
    </row>
    <row r="53" spans="1:26" ht="17.25" customHeight="1">
      <c r="A53" s="98"/>
      <c r="B53" s="99"/>
      <c r="C53" s="98"/>
      <c r="E53" s="98"/>
      <c r="F53" s="98"/>
      <c r="G53" s="98"/>
      <c r="H53" s="98"/>
      <c r="I53" s="98"/>
      <c r="J53" s="98"/>
      <c r="K53" s="58"/>
      <c r="L53" s="15"/>
      <c r="M53" s="58"/>
      <c r="N53" s="58"/>
      <c r="O53" s="31"/>
      <c r="P53" s="20"/>
      <c r="Q53" s="20"/>
      <c r="R53" s="20"/>
      <c r="S53" s="20"/>
      <c r="T53" s="20"/>
      <c r="U53" s="20"/>
      <c r="V53" s="20"/>
      <c r="W53" s="20"/>
      <c r="X53" s="20"/>
      <c r="Y53" s="20"/>
      <c r="Z53" s="20"/>
    </row>
    <row r="54" spans="1:26" ht="17.25" customHeight="1">
      <c r="A54" s="98"/>
      <c r="B54" s="99"/>
      <c r="C54" s="98"/>
      <c r="E54" s="98"/>
      <c r="F54" s="98"/>
      <c r="G54" s="98"/>
      <c r="H54" s="98"/>
      <c r="I54" s="98"/>
      <c r="J54" s="98"/>
      <c r="K54" s="58"/>
      <c r="L54" s="15"/>
      <c r="M54" s="58"/>
      <c r="N54" s="58"/>
      <c r="O54" s="31"/>
      <c r="P54" s="20"/>
      <c r="Q54" s="20"/>
      <c r="R54" s="20"/>
      <c r="S54" s="20"/>
      <c r="T54" s="20"/>
      <c r="U54" s="20"/>
      <c r="V54" s="20"/>
      <c r="W54" s="20"/>
      <c r="X54" s="20"/>
      <c r="Y54" s="20"/>
      <c r="Z54" s="20"/>
    </row>
    <row r="55" spans="1:26" ht="17.25" customHeight="1">
      <c r="A55" s="98"/>
      <c r="B55" s="99"/>
      <c r="C55" s="98"/>
      <c r="E55" s="98"/>
      <c r="F55" s="98"/>
      <c r="G55" s="98"/>
      <c r="H55" s="98"/>
      <c r="I55" s="98"/>
      <c r="J55" s="98"/>
      <c r="K55" s="58"/>
      <c r="L55" s="15"/>
      <c r="M55" s="58"/>
      <c r="N55" s="58"/>
      <c r="O55" s="31"/>
      <c r="P55" s="20"/>
      <c r="Q55" s="20"/>
      <c r="R55" s="20"/>
      <c r="S55" s="20"/>
      <c r="T55" s="20"/>
      <c r="U55" s="20"/>
      <c r="V55" s="20"/>
      <c r="W55" s="20"/>
      <c r="X55" s="20"/>
      <c r="Y55" s="20"/>
      <c r="Z55" s="20"/>
    </row>
    <row r="56" spans="1:26" ht="17.25" customHeight="1">
      <c r="A56" s="98"/>
      <c r="B56" s="99"/>
      <c r="C56" s="98"/>
      <c r="E56" s="98"/>
      <c r="F56" s="98"/>
      <c r="G56" s="98"/>
      <c r="H56" s="98"/>
      <c r="I56" s="98"/>
      <c r="J56" s="98"/>
      <c r="K56" s="58"/>
      <c r="L56" s="15"/>
      <c r="M56" s="58"/>
      <c r="N56" s="58"/>
      <c r="O56" s="31"/>
      <c r="P56" s="20"/>
      <c r="Q56" s="20"/>
      <c r="R56" s="20"/>
      <c r="S56" s="20"/>
      <c r="T56" s="20"/>
      <c r="U56" s="20"/>
      <c r="V56" s="20"/>
      <c r="W56" s="20"/>
      <c r="X56" s="20"/>
      <c r="Y56" s="20"/>
      <c r="Z56" s="20"/>
    </row>
    <row r="57" spans="1:26" ht="17.25" customHeight="1">
      <c r="A57" s="98"/>
      <c r="B57" s="99"/>
      <c r="C57" s="98"/>
      <c r="E57" s="98"/>
      <c r="F57" s="98"/>
      <c r="G57" s="98"/>
      <c r="H57" s="98"/>
      <c r="I57" s="98"/>
      <c r="J57" s="98"/>
      <c r="K57" s="58"/>
      <c r="L57" s="15"/>
      <c r="M57" s="58"/>
      <c r="N57" s="58"/>
      <c r="O57" s="31"/>
      <c r="P57" s="20"/>
      <c r="Q57" s="20"/>
      <c r="R57" s="20"/>
      <c r="S57" s="20"/>
      <c r="T57" s="20"/>
      <c r="U57" s="20"/>
      <c r="V57" s="20"/>
      <c r="W57" s="20"/>
      <c r="X57" s="20"/>
      <c r="Y57" s="20"/>
      <c r="Z57" s="20"/>
    </row>
    <row r="58" spans="1:26" ht="17.25" customHeight="1">
      <c r="A58" s="98"/>
      <c r="B58" s="99"/>
      <c r="C58" s="98"/>
      <c r="E58" s="98"/>
      <c r="F58" s="98"/>
      <c r="G58" s="98"/>
      <c r="H58" s="98"/>
      <c r="I58" s="98"/>
      <c r="J58" s="98"/>
      <c r="K58" s="58"/>
      <c r="L58" s="15"/>
      <c r="M58" s="58"/>
      <c r="N58" s="58"/>
      <c r="O58" s="31"/>
      <c r="P58" s="20"/>
      <c r="Q58" s="20"/>
      <c r="R58" s="20"/>
      <c r="S58" s="20"/>
      <c r="T58" s="20"/>
      <c r="U58" s="20"/>
      <c r="V58" s="20"/>
      <c r="W58" s="20"/>
      <c r="X58" s="20"/>
      <c r="Y58" s="20"/>
      <c r="Z58" s="20"/>
    </row>
    <row r="59" spans="1:26" ht="17.25" customHeight="1">
      <c r="A59" s="98"/>
      <c r="B59" s="99"/>
      <c r="C59" s="98"/>
      <c r="E59" s="98"/>
      <c r="F59" s="98"/>
      <c r="G59" s="98"/>
      <c r="H59" s="98"/>
      <c r="I59" s="98"/>
      <c r="J59" s="98"/>
      <c r="K59" s="58"/>
      <c r="L59" s="15"/>
      <c r="M59" s="58"/>
      <c r="N59" s="58"/>
      <c r="O59" s="31"/>
      <c r="P59" s="20"/>
      <c r="Q59" s="20"/>
      <c r="R59" s="20"/>
      <c r="S59" s="20"/>
      <c r="T59" s="20"/>
      <c r="U59" s="20"/>
      <c r="V59" s="20"/>
      <c r="W59" s="20"/>
      <c r="X59" s="20"/>
      <c r="Y59" s="20"/>
      <c r="Z59" s="20"/>
    </row>
    <row r="60" spans="1:26" ht="17.25" customHeight="1">
      <c r="A60" s="98"/>
      <c r="B60" s="99"/>
      <c r="C60" s="98"/>
      <c r="E60" s="98"/>
      <c r="F60" s="98"/>
      <c r="G60" s="98"/>
      <c r="H60" s="98"/>
      <c r="I60" s="98"/>
      <c r="J60" s="98"/>
      <c r="K60" s="58"/>
      <c r="L60" s="15"/>
      <c r="M60" s="58"/>
      <c r="N60" s="58"/>
      <c r="O60" s="31"/>
      <c r="P60" s="20"/>
      <c r="Q60" s="20"/>
      <c r="R60" s="20"/>
      <c r="S60" s="20"/>
      <c r="T60" s="20"/>
      <c r="U60" s="20"/>
      <c r="V60" s="20"/>
      <c r="W60" s="20"/>
      <c r="X60" s="20"/>
      <c r="Y60" s="20"/>
      <c r="Z60" s="20"/>
    </row>
    <row r="61" spans="1:26" ht="17.25" customHeight="1">
      <c r="A61" s="98"/>
      <c r="B61" s="99"/>
      <c r="C61" s="98"/>
      <c r="E61" s="98"/>
      <c r="F61" s="98"/>
      <c r="G61" s="98"/>
      <c r="H61" s="98"/>
      <c r="I61" s="98"/>
      <c r="J61" s="98"/>
      <c r="K61" s="58"/>
      <c r="L61" s="15"/>
      <c r="M61" s="58"/>
      <c r="N61" s="58"/>
      <c r="O61" s="31"/>
      <c r="P61" s="20"/>
      <c r="Q61" s="20"/>
      <c r="R61" s="20"/>
      <c r="S61" s="20"/>
      <c r="T61" s="20"/>
      <c r="U61" s="20"/>
      <c r="V61" s="20"/>
      <c r="W61" s="20"/>
      <c r="X61" s="20"/>
      <c r="Y61" s="20"/>
      <c r="Z61" s="20"/>
    </row>
    <row r="62" spans="1:26" ht="17.25" customHeight="1">
      <c r="A62" s="98"/>
      <c r="B62" s="99"/>
      <c r="C62" s="98"/>
      <c r="E62" s="98"/>
      <c r="F62" s="98"/>
      <c r="G62" s="98"/>
      <c r="H62" s="98"/>
      <c r="I62" s="98"/>
      <c r="J62" s="98"/>
      <c r="K62" s="58"/>
      <c r="L62" s="15"/>
      <c r="M62" s="58"/>
      <c r="N62" s="58"/>
      <c r="O62" s="31"/>
      <c r="P62" s="20"/>
      <c r="Q62" s="20"/>
      <c r="R62" s="20"/>
      <c r="S62" s="20"/>
      <c r="T62" s="20"/>
      <c r="U62" s="20"/>
      <c r="V62" s="20"/>
      <c r="W62" s="20"/>
      <c r="X62" s="20"/>
      <c r="Y62" s="20"/>
      <c r="Z62" s="20"/>
    </row>
    <row r="63" spans="1:26" ht="17.25" customHeight="1">
      <c r="A63" s="98"/>
      <c r="B63" s="99"/>
      <c r="C63" s="98"/>
      <c r="E63" s="98"/>
      <c r="F63" s="98"/>
      <c r="G63" s="98"/>
      <c r="H63" s="98"/>
      <c r="I63" s="98"/>
      <c r="J63" s="98"/>
      <c r="K63" s="58"/>
      <c r="L63" s="100"/>
      <c r="M63" s="58"/>
      <c r="N63" s="58"/>
      <c r="O63" s="31"/>
      <c r="P63" s="20"/>
      <c r="Q63" s="20"/>
      <c r="R63" s="20"/>
      <c r="S63" s="20"/>
      <c r="T63" s="20"/>
      <c r="U63" s="20"/>
      <c r="V63" s="20"/>
      <c r="W63" s="20"/>
      <c r="X63" s="20"/>
      <c r="Y63" s="20"/>
      <c r="Z63" s="20"/>
    </row>
    <row r="64" spans="1:26" ht="17.25" customHeight="1">
      <c r="A64" s="98"/>
      <c r="B64" s="99"/>
      <c r="C64" s="98"/>
      <c r="E64" s="98"/>
      <c r="F64" s="98"/>
      <c r="G64" s="98"/>
      <c r="H64" s="98"/>
      <c r="I64" s="98"/>
      <c r="J64" s="98"/>
      <c r="K64" s="58"/>
      <c r="L64" s="100"/>
      <c r="M64" s="58"/>
      <c r="N64" s="58"/>
      <c r="O64" s="31"/>
      <c r="P64" s="20"/>
      <c r="Q64" s="20"/>
      <c r="R64" s="20"/>
      <c r="S64" s="20"/>
      <c r="T64" s="20"/>
      <c r="U64" s="20"/>
      <c r="V64" s="20"/>
      <c r="W64" s="20"/>
      <c r="X64" s="20"/>
      <c r="Y64" s="20"/>
      <c r="Z64" s="20"/>
    </row>
    <row r="65" spans="1:26" ht="17.25" customHeight="1">
      <c r="A65" s="98"/>
      <c r="B65" s="99"/>
      <c r="C65" s="98"/>
      <c r="E65" s="98"/>
      <c r="F65" s="98"/>
      <c r="G65" s="98"/>
      <c r="H65" s="98"/>
      <c r="I65" s="98"/>
      <c r="J65" s="98"/>
      <c r="K65" s="58"/>
      <c r="L65" s="100"/>
      <c r="M65" s="58"/>
      <c r="N65" s="58"/>
      <c r="O65" s="31"/>
      <c r="P65" s="20"/>
      <c r="Q65" s="20"/>
      <c r="R65" s="20"/>
      <c r="S65" s="20"/>
      <c r="T65" s="20"/>
      <c r="U65" s="20"/>
      <c r="V65" s="20"/>
      <c r="W65" s="20"/>
      <c r="X65" s="20"/>
      <c r="Y65" s="20"/>
      <c r="Z65" s="20"/>
    </row>
    <row r="66" spans="1:26" ht="17.25" customHeight="1">
      <c r="A66" s="98"/>
      <c r="B66" s="99"/>
      <c r="C66" s="98"/>
      <c r="E66" s="98"/>
      <c r="F66" s="98"/>
      <c r="G66" s="98"/>
      <c r="H66" s="98"/>
      <c r="I66" s="98"/>
      <c r="J66" s="98"/>
      <c r="K66" s="58"/>
      <c r="L66" s="15"/>
      <c r="M66" s="58"/>
      <c r="N66" s="58"/>
      <c r="O66" s="31"/>
      <c r="P66" s="20"/>
      <c r="Q66" s="20"/>
      <c r="R66" s="20"/>
      <c r="S66" s="20"/>
      <c r="T66" s="20"/>
      <c r="U66" s="20"/>
      <c r="V66" s="20"/>
      <c r="W66" s="20"/>
      <c r="X66" s="20"/>
      <c r="Y66" s="20"/>
      <c r="Z66" s="20"/>
    </row>
    <row r="67" spans="1:26" ht="17.25" customHeight="1">
      <c r="A67" s="98"/>
      <c r="B67" s="99"/>
      <c r="C67" s="98"/>
      <c r="E67" s="98"/>
      <c r="F67" s="98"/>
      <c r="G67" s="98"/>
      <c r="H67" s="98"/>
      <c r="I67" s="98"/>
      <c r="J67" s="98"/>
      <c r="K67" s="58"/>
      <c r="L67" s="15"/>
      <c r="M67" s="58"/>
      <c r="N67" s="58"/>
      <c r="O67" s="31"/>
      <c r="P67" s="20"/>
      <c r="Q67" s="20"/>
      <c r="R67" s="20"/>
      <c r="S67" s="20"/>
      <c r="T67" s="20"/>
      <c r="U67" s="20"/>
      <c r="V67" s="20"/>
      <c r="W67" s="20"/>
      <c r="X67" s="20"/>
      <c r="Y67" s="20"/>
      <c r="Z67" s="20"/>
    </row>
    <row r="68" spans="1:26" ht="17.25" customHeight="1">
      <c r="A68" s="98"/>
      <c r="B68" s="99"/>
      <c r="C68" s="98"/>
      <c r="E68" s="98"/>
      <c r="F68" s="98"/>
      <c r="G68" s="98"/>
      <c r="H68" s="98"/>
      <c r="I68" s="98"/>
      <c r="J68" s="98"/>
      <c r="K68" s="58"/>
      <c r="L68" s="100"/>
      <c r="M68" s="58"/>
      <c r="N68" s="58"/>
      <c r="O68" s="31"/>
      <c r="P68" s="20"/>
      <c r="Q68" s="20"/>
      <c r="R68" s="20"/>
      <c r="S68" s="20"/>
      <c r="T68" s="20"/>
      <c r="U68" s="20"/>
      <c r="V68" s="20"/>
      <c r="W68" s="20"/>
      <c r="X68" s="20"/>
      <c r="Y68" s="20"/>
      <c r="Z68" s="20"/>
    </row>
    <row r="69" spans="1:26" ht="17.25" customHeight="1">
      <c r="A69" s="98"/>
      <c r="B69" s="99"/>
      <c r="C69" s="98"/>
      <c r="E69" s="98"/>
      <c r="F69" s="98"/>
      <c r="G69" s="98"/>
      <c r="H69" s="98"/>
      <c r="I69" s="98"/>
      <c r="J69" s="98"/>
      <c r="K69" s="58"/>
      <c r="L69" s="100"/>
      <c r="M69" s="58"/>
      <c r="N69" s="58"/>
      <c r="O69" s="31"/>
      <c r="P69" s="20"/>
      <c r="Q69" s="20"/>
      <c r="R69" s="20"/>
      <c r="S69" s="20"/>
      <c r="T69" s="20"/>
      <c r="U69" s="20"/>
      <c r="V69" s="20"/>
      <c r="W69" s="20"/>
      <c r="X69" s="20"/>
      <c r="Y69" s="20"/>
      <c r="Z69" s="20"/>
    </row>
    <row r="70" spans="1:26" ht="17.25" customHeight="1">
      <c r="A70" s="98"/>
      <c r="B70" s="99"/>
      <c r="C70" s="98"/>
      <c r="E70" s="98"/>
      <c r="F70" s="98"/>
      <c r="G70" s="98"/>
      <c r="H70" s="98"/>
      <c r="I70" s="98"/>
      <c r="J70" s="98"/>
      <c r="K70" s="58"/>
      <c r="L70" s="58"/>
      <c r="M70" s="58"/>
      <c r="N70" s="58"/>
      <c r="O70" s="31"/>
      <c r="P70" s="20"/>
      <c r="Q70" s="20"/>
      <c r="R70" s="20"/>
      <c r="S70" s="20"/>
      <c r="T70" s="20"/>
      <c r="U70" s="20"/>
      <c r="V70" s="20"/>
      <c r="W70" s="20"/>
      <c r="X70" s="20"/>
      <c r="Y70" s="20"/>
      <c r="Z70" s="20"/>
    </row>
    <row r="71" spans="1:26" ht="17.25" customHeight="1">
      <c r="A71" s="98"/>
      <c r="B71" s="98"/>
      <c r="C71" s="98"/>
      <c r="E71" s="98"/>
      <c r="F71" s="98"/>
      <c r="G71" s="98"/>
      <c r="H71" s="98"/>
      <c r="I71" s="98"/>
      <c r="J71" s="98"/>
      <c r="K71" s="58"/>
      <c r="L71" s="58"/>
      <c r="M71" s="58"/>
      <c r="N71" s="58"/>
      <c r="O71" s="31"/>
      <c r="P71" s="20"/>
      <c r="Q71" s="20"/>
      <c r="R71" s="20"/>
      <c r="S71" s="20"/>
      <c r="T71" s="20"/>
      <c r="U71" s="20"/>
      <c r="V71" s="20"/>
      <c r="W71" s="20"/>
      <c r="X71" s="20"/>
      <c r="Y71" s="20"/>
      <c r="Z71" s="20"/>
    </row>
    <row r="72" spans="1:26" ht="17.25" customHeight="1">
      <c r="A72" s="98"/>
      <c r="B72" s="98"/>
      <c r="C72" s="98"/>
      <c r="E72" s="98"/>
      <c r="F72" s="98"/>
      <c r="G72" s="98"/>
      <c r="H72" s="98"/>
      <c r="I72" s="98"/>
      <c r="J72" s="98"/>
      <c r="K72" s="58"/>
      <c r="L72" s="58"/>
      <c r="M72" s="58"/>
      <c r="N72" s="58"/>
      <c r="O72" s="31"/>
      <c r="P72" s="20"/>
      <c r="Q72" s="20"/>
      <c r="R72" s="20"/>
      <c r="S72" s="20"/>
      <c r="T72" s="20"/>
      <c r="U72" s="20"/>
      <c r="V72" s="20"/>
      <c r="W72" s="20"/>
      <c r="X72" s="20"/>
      <c r="Y72" s="20"/>
      <c r="Z72" s="20"/>
    </row>
    <row r="73" spans="1:26" ht="17.25" customHeight="1">
      <c r="A73" s="15"/>
      <c r="B73" s="15"/>
      <c r="C73" s="15" t="s">
        <v>5143</v>
      </c>
      <c r="E73" s="15"/>
      <c r="F73" s="15"/>
      <c r="G73" s="15"/>
      <c r="H73" s="15"/>
      <c r="I73" s="15"/>
      <c r="J73" s="37"/>
      <c r="K73" s="58"/>
      <c r="L73" s="58"/>
      <c r="M73" s="58"/>
      <c r="N73" s="58"/>
      <c r="O73" s="31"/>
      <c r="P73" s="20"/>
      <c r="Q73" s="20"/>
      <c r="R73" s="20"/>
      <c r="S73" s="20"/>
      <c r="T73" s="20"/>
      <c r="U73" s="20"/>
      <c r="V73" s="20"/>
      <c r="W73" s="20"/>
      <c r="X73" s="20"/>
      <c r="Y73" s="20"/>
      <c r="Z73" s="20"/>
    </row>
    <row r="74" spans="1:26" ht="17.25" customHeight="1">
      <c r="A74" s="15"/>
      <c r="B74" s="15"/>
      <c r="C74" s="15" t="s">
        <v>5143</v>
      </c>
      <c r="E74" s="15"/>
      <c r="F74" s="15"/>
      <c r="G74" s="15"/>
      <c r="H74" s="15"/>
      <c r="I74" s="15"/>
      <c r="J74" s="37"/>
      <c r="K74" s="58"/>
      <c r="L74" s="58"/>
      <c r="M74" s="58"/>
      <c r="N74" s="58"/>
      <c r="O74" s="31"/>
      <c r="P74" s="20"/>
      <c r="Q74" s="20"/>
      <c r="R74" s="20"/>
      <c r="S74" s="20"/>
      <c r="T74" s="20"/>
      <c r="U74" s="20"/>
      <c r="V74" s="20"/>
      <c r="W74" s="20"/>
      <c r="X74" s="20"/>
      <c r="Y74" s="20"/>
      <c r="Z74" s="20"/>
    </row>
    <row r="75" spans="1:26" ht="17.25" customHeight="1">
      <c r="A75" s="15"/>
      <c r="B75" s="15"/>
      <c r="C75" s="15" t="s">
        <v>5143</v>
      </c>
      <c r="E75" s="15"/>
      <c r="F75" s="15"/>
      <c r="G75" s="15"/>
      <c r="H75" s="15"/>
      <c r="I75" s="15"/>
      <c r="J75" s="37"/>
      <c r="K75" s="58"/>
      <c r="L75" s="58"/>
      <c r="M75" s="58"/>
      <c r="N75" s="58"/>
      <c r="O75" s="31"/>
      <c r="P75" s="20"/>
      <c r="Q75" s="20"/>
      <c r="R75" s="20"/>
      <c r="S75" s="20"/>
      <c r="T75" s="20"/>
      <c r="U75" s="20"/>
      <c r="V75" s="20"/>
      <c r="W75" s="20"/>
      <c r="X75" s="20"/>
      <c r="Y75" s="20"/>
      <c r="Z75" s="20"/>
    </row>
    <row r="76" spans="1:26" ht="17.25" customHeight="1">
      <c r="A76" s="15"/>
      <c r="B76" s="15"/>
      <c r="C76" s="15" t="s">
        <v>5143</v>
      </c>
      <c r="E76" s="15"/>
      <c r="F76" s="15"/>
      <c r="G76" s="15"/>
      <c r="H76" s="15"/>
      <c r="I76" s="15"/>
      <c r="J76" s="37"/>
      <c r="K76" s="58"/>
      <c r="L76" s="58"/>
      <c r="M76" s="58"/>
      <c r="N76" s="58"/>
      <c r="O76" s="31"/>
      <c r="P76" s="20"/>
      <c r="Q76" s="20"/>
      <c r="R76" s="20"/>
      <c r="S76" s="20"/>
      <c r="T76" s="20"/>
      <c r="U76" s="20"/>
      <c r="V76" s="20"/>
      <c r="W76" s="20"/>
      <c r="X76" s="20"/>
      <c r="Y76" s="20"/>
      <c r="Z76" s="20"/>
    </row>
    <row r="77" spans="1:26" ht="17.25" customHeight="1">
      <c r="A77" s="15"/>
      <c r="B77" s="15"/>
      <c r="C77" s="15" t="s">
        <v>5143</v>
      </c>
      <c r="E77" s="15"/>
      <c r="F77" s="15"/>
      <c r="G77" s="15"/>
      <c r="H77" s="15"/>
      <c r="I77" s="15"/>
      <c r="J77" s="37"/>
      <c r="K77" s="58"/>
      <c r="L77" s="58"/>
      <c r="M77" s="58"/>
      <c r="N77" s="58"/>
      <c r="O77" s="31"/>
      <c r="P77" s="20"/>
      <c r="Q77" s="20"/>
      <c r="R77" s="20"/>
      <c r="S77" s="20"/>
      <c r="T77" s="20"/>
      <c r="U77" s="20"/>
      <c r="V77" s="20"/>
      <c r="W77" s="20"/>
      <c r="X77" s="20"/>
      <c r="Y77" s="20"/>
      <c r="Z77" s="20"/>
    </row>
    <row r="78" spans="1:26" ht="17.25" customHeight="1">
      <c r="C78" s="15" t="s">
        <v>5143</v>
      </c>
      <c r="E78" s="15"/>
      <c r="F78" s="15"/>
      <c r="G78" s="15"/>
      <c r="H78" s="15"/>
      <c r="I78" s="15"/>
      <c r="J78" s="37"/>
      <c r="K78" s="58"/>
      <c r="L78" s="58"/>
      <c r="M78" s="58"/>
      <c r="N78" s="58"/>
      <c r="O78" s="31"/>
      <c r="P78" s="20"/>
      <c r="Q78" s="20"/>
      <c r="R78" s="20"/>
      <c r="S78" s="20"/>
      <c r="T78" s="20"/>
      <c r="U78" s="20"/>
      <c r="V78" s="20"/>
      <c r="W78" s="20"/>
      <c r="X78" s="20"/>
      <c r="Y78" s="20"/>
      <c r="Z78" s="20"/>
    </row>
    <row r="79" spans="1:26" ht="17.25" customHeight="1">
      <c r="C79" s="15" t="s">
        <v>5143</v>
      </c>
      <c r="E79" s="15"/>
      <c r="F79" s="15"/>
      <c r="G79" s="15"/>
      <c r="H79" s="15"/>
      <c r="I79" s="15"/>
      <c r="J79" s="37"/>
      <c r="K79" s="58"/>
      <c r="L79" s="58"/>
      <c r="M79" s="58"/>
      <c r="N79" s="58"/>
      <c r="O79" s="31"/>
      <c r="P79" s="20"/>
      <c r="Q79" s="20"/>
      <c r="R79" s="20"/>
      <c r="S79" s="20"/>
      <c r="T79" s="20"/>
      <c r="U79" s="20"/>
      <c r="V79" s="20"/>
      <c r="W79" s="20"/>
      <c r="X79" s="20"/>
      <c r="Y79" s="20"/>
      <c r="Z79" s="20"/>
    </row>
    <row r="80" spans="1:26" ht="17.25" customHeight="1">
      <c r="C80" s="15" t="s">
        <v>5143</v>
      </c>
      <c r="E80" s="15"/>
      <c r="F80" s="15"/>
      <c r="G80" s="15"/>
      <c r="H80" s="15"/>
      <c r="I80" s="15"/>
      <c r="J80" s="37"/>
      <c r="K80" s="58"/>
      <c r="L80" s="58"/>
      <c r="M80" s="58"/>
      <c r="N80" s="58"/>
      <c r="O80" s="31"/>
      <c r="P80" s="20"/>
      <c r="Q80" s="20"/>
      <c r="R80" s="20"/>
      <c r="S80" s="20"/>
      <c r="T80" s="20"/>
      <c r="U80" s="20"/>
      <c r="V80" s="20"/>
      <c r="W80" s="20"/>
      <c r="X80" s="20"/>
      <c r="Y80" s="20"/>
      <c r="Z80" s="20"/>
    </row>
    <row r="81" spans="3:26" ht="17.25" customHeight="1">
      <c r="C81" s="15" t="s">
        <v>5143</v>
      </c>
      <c r="J81" s="37"/>
      <c r="K81" s="58"/>
      <c r="L81" s="58"/>
      <c r="M81" s="58"/>
      <c r="N81" s="58"/>
      <c r="O81" s="31"/>
      <c r="P81" s="20"/>
      <c r="Q81" s="20"/>
      <c r="R81" s="20"/>
      <c r="S81" s="20"/>
      <c r="T81" s="20"/>
      <c r="U81" s="20"/>
      <c r="V81" s="20"/>
      <c r="W81" s="20"/>
      <c r="X81" s="20"/>
      <c r="Y81" s="20"/>
      <c r="Z81" s="20"/>
    </row>
    <row r="82" spans="3:26" ht="17.25" customHeight="1">
      <c r="C82" s="15" t="s">
        <v>5143</v>
      </c>
      <c r="J82" s="37"/>
      <c r="K82" s="58"/>
      <c r="L82" s="58"/>
      <c r="M82" s="58"/>
      <c r="N82" s="58"/>
      <c r="O82" s="31"/>
      <c r="P82" s="20"/>
      <c r="Q82" s="20"/>
      <c r="R82" s="20"/>
      <c r="S82" s="20"/>
      <c r="T82" s="20"/>
      <c r="U82" s="20"/>
      <c r="V82" s="20"/>
      <c r="W82" s="20"/>
      <c r="X82" s="20"/>
      <c r="Y82" s="20"/>
      <c r="Z82" s="20"/>
    </row>
    <row r="83" spans="3:26" ht="17.25" customHeight="1">
      <c r="C83" s="15" t="s">
        <v>5143</v>
      </c>
      <c r="J83" s="37"/>
      <c r="K83" s="58"/>
      <c r="L83" s="58"/>
      <c r="M83" s="58"/>
      <c r="N83" s="58"/>
      <c r="O83" s="31"/>
      <c r="P83" s="20"/>
      <c r="Q83" s="20"/>
      <c r="R83" s="20"/>
      <c r="S83" s="20"/>
      <c r="T83" s="20"/>
      <c r="U83" s="20"/>
      <c r="V83" s="20"/>
      <c r="W83" s="20"/>
      <c r="X83" s="20"/>
      <c r="Y83" s="20"/>
      <c r="Z83" s="20"/>
    </row>
    <row r="84" spans="3:26" ht="17.25" customHeight="1">
      <c r="C84" s="15" t="s">
        <v>5143</v>
      </c>
      <c r="J84" s="37"/>
      <c r="K84" s="58"/>
      <c r="L84" s="58"/>
      <c r="M84" s="58"/>
      <c r="N84" s="58"/>
      <c r="O84" s="31"/>
      <c r="P84" s="20"/>
      <c r="Q84" s="20"/>
      <c r="R84" s="20"/>
      <c r="S84" s="20"/>
      <c r="T84" s="20"/>
      <c r="U84" s="20"/>
      <c r="V84" s="20"/>
      <c r="W84" s="20"/>
      <c r="X84" s="20"/>
      <c r="Y84" s="20"/>
      <c r="Z84" s="20"/>
    </row>
    <row r="85" spans="3:26" ht="17.25" customHeight="1">
      <c r="C85" s="15" t="s">
        <v>5143</v>
      </c>
      <c r="J85" s="37"/>
      <c r="K85" s="58"/>
      <c r="L85" s="58"/>
      <c r="M85" s="58"/>
      <c r="N85" s="58"/>
      <c r="O85" s="31"/>
      <c r="P85" s="20"/>
      <c r="Q85" s="20"/>
      <c r="R85" s="20"/>
      <c r="S85" s="20"/>
      <c r="T85" s="20"/>
      <c r="U85" s="20"/>
      <c r="V85" s="20"/>
      <c r="W85" s="20"/>
      <c r="X85" s="20"/>
      <c r="Y85" s="20"/>
      <c r="Z85" s="20"/>
    </row>
    <row r="86" spans="3:26" ht="17.25" customHeight="1">
      <c r="C86" s="15" t="s">
        <v>5143</v>
      </c>
      <c r="J86" s="37"/>
      <c r="K86" s="58"/>
      <c r="L86" s="58"/>
      <c r="M86" s="58"/>
      <c r="N86" s="58"/>
      <c r="O86" s="31"/>
      <c r="P86" s="20"/>
      <c r="Q86" s="20"/>
      <c r="R86" s="20"/>
      <c r="S86" s="20"/>
      <c r="T86" s="20"/>
      <c r="U86" s="20"/>
      <c r="V86" s="20"/>
      <c r="W86" s="20"/>
      <c r="X86" s="20"/>
      <c r="Y86" s="20"/>
      <c r="Z86" s="20"/>
    </row>
    <row r="87" spans="3:26" ht="17.25" customHeight="1">
      <c r="C87" s="15" t="s">
        <v>5143</v>
      </c>
      <c r="J87" s="37"/>
      <c r="K87" s="58"/>
      <c r="L87" s="58"/>
      <c r="M87" s="58"/>
      <c r="N87" s="58"/>
      <c r="O87" s="31"/>
      <c r="P87" s="20"/>
      <c r="Q87" s="20"/>
      <c r="R87" s="20"/>
      <c r="S87" s="20"/>
      <c r="T87" s="20"/>
      <c r="U87" s="20"/>
      <c r="V87" s="20"/>
      <c r="W87" s="20"/>
      <c r="X87" s="20"/>
      <c r="Y87" s="20"/>
      <c r="Z87" s="20"/>
    </row>
    <row r="88" spans="3:26" ht="17.25" customHeight="1">
      <c r="C88" s="15" t="s">
        <v>5143</v>
      </c>
      <c r="J88" s="37"/>
      <c r="K88" s="58"/>
      <c r="L88" s="58"/>
      <c r="M88" s="58"/>
      <c r="N88" s="58"/>
      <c r="O88" s="31"/>
      <c r="P88" s="20"/>
      <c r="Q88" s="20"/>
      <c r="R88" s="20"/>
      <c r="S88" s="20"/>
      <c r="T88" s="20"/>
      <c r="U88" s="20"/>
      <c r="V88" s="20"/>
      <c r="W88" s="20"/>
      <c r="X88" s="20"/>
      <c r="Y88" s="20"/>
      <c r="Z88" s="20"/>
    </row>
    <row r="89" spans="3:26" ht="17.25" customHeight="1">
      <c r="C89" s="15" t="s">
        <v>5143</v>
      </c>
      <c r="J89" s="37"/>
      <c r="K89" s="58"/>
      <c r="L89" s="58"/>
      <c r="M89" s="58"/>
      <c r="N89" s="58"/>
      <c r="O89" s="31"/>
      <c r="P89" s="20"/>
      <c r="Q89" s="20"/>
      <c r="R89" s="20"/>
      <c r="S89" s="20"/>
      <c r="T89" s="20"/>
      <c r="U89" s="20"/>
      <c r="V89" s="20"/>
      <c r="W89" s="20"/>
      <c r="X89" s="20"/>
      <c r="Y89" s="20"/>
      <c r="Z89" s="20"/>
    </row>
    <row r="90" spans="3:26" ht="17.25" customHeight="1">
      <c r="C90" s="15" t="s">
        <v>5143</v>
      </c>
      <c r="J90" s="37"/>
      <c r="K90" s="58"/>
      <c r="L90" s="58"/>
      <c r="M90" s="58"/>
      <c r="N90" s="58"/>
      <c r="O90" s="31"/>
      <c r="P90" s="20"/>
      <c r="Q90" s="20"/>
      <c r="R90" s="20"/>
      <c r="S90" s="20"/>
      <c r="T90" s="20"/>
      <c r="U90" s="20"/>
      <c r="V90" s="20"/>
      <c r="W90" s="20"/>
      <c r="X90" s="20"/>
      <c r="Y90" s="20"/>
      <c r="Z90" s="20"/>
    </row>
    <row r="91" spans="3:26" ht="17.25" customHeight="1">
      <c r="C91" s="15" t="s">
        <v>5143</v>
      </c>
      <c r="J91" s="37"/>
      <c r="K91" s="58"/>
      <c r="L91" s="58"/>
      <c r="M91" s="58"/>
      <c r="N91" s="58"/>
      <c r="O91" s="31"/>
      <c r="P91" s="20"/>
      <c r="Q91" s="20"/>
      <c r="R91" s="20"/>
      <c r="S91" s="20"/>
      <c r="T91" s="20"/>
      <c r="U91" s="20"/>
      <c r="V91" s="20"/>
      <c r="W91" s="20"/>
      <c r="X91" s="20"/>
      <c r="Y91" s="20"/>
      <c r="Z91" s="20"/>
    </row>
    <row r="92" spans="3:26" ht="17.25" customHeight="1">
      <c r="C92" s="15" t="s">
        <v>5143</v>
      </c>
      <c r="J92" s="37"/>
      <c r="K92" s="58"/>
      <c r="L92" s="58"/>
      <c r="M92" s="58"/>
      <c r="N92" s="58"/>
      <c r="O92" s="31"/>
      <c r="P92" s="20"/>
      <c r="Q92" s="20"/>
      <c r="R92" s="20"/>
      <c r="S92" s="20"/>
      <c r="T92" s="20"/>
      <c r="U92" s="20"/>
      <c r="V92" s="20"/>
      <c r="W92" s="20"/>
      <c r="X92" s="20"/>
      <c r="Y92" s="20"/>
      <c r="Z92" s="20"/>
    </row>
    <row r="93" spans="3:26" ht="17.25" customHeight="1">
      <c r="C93" s="15" t="s">
        <v>5143</v>
      </c>
      <c r="J93" s="37"/>
      <c r="K93" s="58"/>
      <c r="L93" s="58"/>
      <c r="M93" s="58"/>
      <c r="N93" s="58"/>
      <c r="O93" s="31"/>
      <c r="P93" s="20"/>
      <c r="Q93" s="20"/>
      <c r="R93" s="20"/>
      <c r="S93" s="20"/>
      <c r="T93" s="20"/>
      <c r="U93" s="20"/>
      <c r="V93" s="20"/>
      <c r="W93" s="20"/>
      <c r="X93" s="20"/>
      <c r="Y93" s="20"/>
      <c r="Z93" s="20"/>
    </row>
    <row r="94" spans="3:26" ht="17.25" customHeight="1">
      <c r="C94" s="15" t="s">
        <v>5143</v>
      </c>
      <c r="J94" s="37"/>
      <c r="K94" s="58"/>
      <c r="L94" s="58"/>
      <c r="M94" s="58"/>
      <c r="N94" s="58"/>
      <c r="O94" s="31"/>
      <c r="P94" s="20"/>
      <c r="Q94" s="20"/>
      <c r="R94" s="20"/>
      <c r="S94" s="20"/>
      <c r="T94" s="20"/>
      <c r="U94" s="20"/>
      <c r="V94" s="20"/>
      <c r="W94" s="20"/>
      <c r="X94" s="20"/>
      <c r="Y94" s="20"/>
      <c r="Z94" s="20"/>
    </row>
    <row r="95" spans="3:26" ht="17.25" customHeight="1">
      <c r="C95" s="15" t="s">
        <v>5143</v>
      </c>
      <c r="J95" s="37"/>
      <c r="K95" s="58"/>
      <c r="L95" s="58"/>
      <c r="M95" s="58"/>
      <c r="N95" s="58"/>
      <c r="O95" s="31"/>
      <c r="P95" s="20"/>
      <c r="Q95" s="20"/>
      <c r="R95" s="20"/>
      <c r="S95" s="20"/>
      <c r="T95" s="20"/>
      <c r="U95" s="20"/>
      <c r="V95" s="20"/>
      <c r="W95" s="20"/>
      <c r="X95" s="20"/>
      <c r="Y95" s="20"/>
      <c r="Z95" s="20"/>
    </row>
    <row r="96" spans="3:26" ht="17.25" customHeight="1">
      <c r="C96" s="15" t="s">
        <v>5143</v>
      </c>
      <c r="J96" s="37"/>
      <c r="K96" s="58"/>
      <c r="L96" s="58"/>
      <c r="M96" s="58"/>
      <c r="N96" s="58"/>
      <c r="O96" s="31"/>
      <c r="P96" s="20"/>
      <c r="Q96" s="20"/>
      <c r="R96" s="20"/>
      <c r="S96" s="20"/>
      <c r="T96" s="20"/>
      <c r="U96" s="20"/>
      <c r="V96" s="20"/>
      <c r="W96" s="20"/>
      <c r="X96" s="20"/>
      <c r="Y96" s="20"/>
      <c r="Z96" s="20"/>
    </row>
    <row r="97" spans="3:26" ht="17.25" customHeight="1">
      <c r="C97" s="15" t="s">
        <v>5143</v>
      </c>
      <c r="J97" s="37"/>
      <c r="K97" s="58"/>
      <c r="L97" s="58"/>
      <c r="M97" s="58"/>
      <c r="N97" s="58"/>
      <c r="O97" s="31"/>
      <c r="P97" s="20"/>
      <c r="Q97" s="20"/>
      <c r="R97" s="20"/>
      <c r="S97" s="20"/>
      <c r="T97" s="20"/>
      <c r="U97" s="20"/>
      <c r="V97" s="20"/>
      <c r="W97" s="20"/>
      <c r="X97" s="20"/>
      <c r="Y97" s="20"/>
      <c r="Z97" s="20"/>
    </row>
    <row r="98" spans="3:26" ht="17.25" customHeight="1">
      <c r="C98" s="15" t="s">
        <v>5143</v>
      </c>
      <c r="J98" s="37"/>
      <c r="K98" s="58"/>
      <c r="L98" s="58"/>
      <c r="M98" s="58"/>
      <c r="N98" s="58"/>
      <c r="O98" s="31"/>
      <c r="P98" s="20"/>
      <c r="Q98" s="20"/>
      <c r="R98" s="20"/>
      <c r="S98" s="20"/>
      <c r="T98" s="20"/>
      <c r="U98" s="20"/>
      <c r="V98" s="20"/>
      <c r="W98" s="20"/>
      <c r="X98" s="20"/>
      <c r="Y98" s="20"/>
      <c r="Z98" s="20"/>
    </row>
    <row r="99" spans="3:26" ht="17.25" customHeight="1">
      <c r="C99" s="15" t="s">
        <v>5143</v>
      </c>
      <c r="J99" s="37"/>
      <c r="K99" s="58"/>
      <c r="L99" s="58"/>
      <c r="M99" s="58"/>
      <c r="N99" s="58"/>
      <c r="O99" s="31"/>
      <c r="P99" s="20"/>
      <c r="Q99" s="20"/>
      <c r="R99" s="20"/>
      <c r="S99" s="20"/>
      <c r="T99" s="20"/>
      <c r="U99" s="20"/>
      <c r="V99" s="20"/>
      <c r="W99" s="20"/>
      <c r="X99" s="20"/>
      <c r="Y99" s="20"/>
      <c r="Z99" s="20"/>
    </row>
    <row r="100" spans="3:26" ht="17.25" customHeight="1">
      <c r="C100" s="15" t="s">
        <v>5143</v>
      </c>
      <c r="J100" s="37"/>
      <c r="K100" s="58"/>
      <c r="L100" s="58"/>
      <c r="M100" s="58"/>
      <c r="N100" s="58"/>
      <c r="O100" s="31"/>
      <c r="P100" s="20"/>
      <c r="Q100" s="20"/>
      <c r="R100" s="20"/>
      <c r="S100" s="20"/>
      <c r="T100" s="20"/>
      <c r="U100" s="20"/>
      <c r="V100" s="20"/>
      <c r="W100" s="20"/>
      <c r="X100" s="20"/>
      <c r="Y100" s="20"/>
      <c r="Z100" s="20"/>
    </row>
    <row r="101" spans="3:26" ht="17.25" customHeight="1">
      <c r="C101" s="15" t="s">
        <v>5143</v>
      </c>
      <c r="J101" s="37"/>
      <c r="K101" s="58"/>
      <c r="L101" s="58"/>
      <c r="M101" s="58"/>
      <c r="N101" s="58"/>
      <c r="O101" s="31"/>
      <c r="P101" s="20"/>
      <c r="Q101" s="20"/>
      <c r="R101" s="20"/>
      <c r="S101" s="20"/>
      <c r="T101" s="20"/>
      <c r="U101" s="20"/>
      <c r="V101" s="20"/>
      <c r="W101" s="20"/>
      <c r="X101" s="20"/>
      <c r="Y101" s="20"/>
      <c r="Z101" s="20"/>
    </row>
    <row r="102" spans="3:26" ht="17.25" customHeight="1">
      <c r="C102" s="15" t="s">
        <v>5143</v>
      </c>
      <c r="J102" s="37"/>
      <c r="K102" s="58"/>
      <c r="L102" s="58"/>
      <c r="M102" s="58"/>
      <c r="N102" s="58"/>
      <c r="O102" s="31"/>
      <c r="P102" s="20"/>
      <c r="Q102" s="20"/>
      <c r="R102" s="20"/>
      <c r="S102" s="20"/>
      <c r="T102" s="20"/>
      <c r="U102" s="20"/>
      <c r="V102" s="20"/>
      <c r="W102" s="20"/>
      <c r="X102" s="20"/>
      <c r="Y102" s="20"/>
      <c r="Z102" s="20"/>
    </row>
    <row r="103" spans="3:26" ht="17.25" customHeight="1">
      <c r="C103" s="15" t="s">
        <v>5143</v>
      </c>
      <c r="J103" s="37"/>
      <c r="K103" s="58"/>
      <c r="L103" s="58"/>
      <c r="M103" s="58"/>
      <c r="N103" s="58"/>
      <c r="O103" s="31"/>
      <c r="P103" s="20"/>
      <c r="Q103" s="20"/>
      <c r="R103" s="20"/>
      <c r="S103" s="20"/>
      <c r="T103" s="20"/>
      <c r="U103" s="20"/>
      <c r="V103" s="20"/>
      <c r="W103" s="20"/>
      <c r="X103" s="20"/>
      <c r="Y103" s="20"/>
      <c r="Z103" s="20"/>
    </row>
    <row r="104" spans="3:26" ht="17.25" customHeight="1">
      <c r="C104" s="15" t="s">
        <v>5143</v>
      </c>
      <c r="J104" s="37"/>
      <c r="K104" s="58"/>
      <c r="L104" s="58"/>
      <c r="M104" s="58"/>
      <c r="N104" s="58"/>
      <c r="O104" s="31"/>
      <c r="P104" s="20"/>
      <c r="Q104" s="20"/>
      <c r="R104" s="20"/>
      <c r="S104" s="20"/>
      <c r="T104" s="20"/>
      <c r="U104" s="20"/>
      <c r="V104" s="20"/>
      <c r="W104" s="20"/>
      <c r="X104" s="20"/>
      <c r="Y104" s="20"/>
      <c r="Z104" s="20"/>
    </row>
    <row r="105" spans="3:26" ht="17.25" customHeight="1">
      <c r="C105" s="15" t="s">
        <v>5143</v>
      </c>
      <c r="J105" s="37"/>
      <c r="K105" s="58"/>
      <c r="L105" s="58"/>
      <c r="M105" s="58"/>
      <c r="N105" s="58"/>
      <c r="O105" s="31"/>
      <c r="P105" s="20"/>
      <c r="Q105" s="20"/>
      <c r="R105" s="20"/>
      <c r="S105" s="20"/>
      <c r="T105" s="20"/>
      <c r="U105" s="20"/>
      <c r="V105" s="20"/>
      <c r="W105" s="20"/>
      <c r="X105" s="20"/>
      <c r="Y105" s="20"/>
      <c r="Z105" s="20"/>
    </row>
    <row r="106" spans="3:26" ht="17.25" customHeight="1">
      <c r="C106" s="15" t="s">
        <v>5143</v>
      </c>
      <c r="J106" s="37"/>
      <c r="K106" s="58"/>
      <c r="L106" s="58"/>
      <c r="M106" s="58"/>
      <c r="N106" s="58"/>
      <c r="O106" s="31"/>
      <c r="P106" s="20"/>
      <c r="Q106" s="20"/>
      <c r="R106" s="20"/>
      <c r="S106" s="20"/>
      <c r="T106" s="20"/>
      <c r="U106" s="20"/>
      <c r="V106" s="20"/>
      <c r="W106" s="20"/>
      <c r="X106" s="20"/>
      <c r="Y106" s="20"/>
      <c r="Z106" s="20"/>
    </row>
    <row r="107" spans="3:26" ht="17.25" customHeight="1">
      <c r="C107" s="15" t="s">
        <v>5143</v>
      </c>
      <c r="J107" s="37"/>
      <c r="K107" s="58"/>
      <c r="L107" s="58"/>
      <c r="M107" s="58"/>
      <c r="N107" s="58"/>
      <c r="O107" s="31"/>
      <c r="P107" s="20"/>
      <c r="Q107" s="20"/>
      <c r="R107" s="20"/>
      <c r="S107" s="20"/>
      <c r="T107" s="20"/>
      <c r="U107" s="20"/>
      <c r="V107" s="20"/>
      <c r="W107" s="20"/>
      <c r="X107" s="20"/>
      <c r="Y107" s="20"/>
      <c r="Z107" s="20"/>
    </row>
    <row r="108" spans="3:26" ht="17.25" customHeight="1">
      <c r="C108" s="15" t="s">
        <v>5143</v>
      </c>
      <c r="J108" s="37"/>
      <c r="K108" s="58"/>
      <c r="L108" s="58"/>
      <c r="M108" s="58"/>
      <c r="N108" s="58"/>
      <c r="O108" s="31"/>
      <c r="P108" s="20"/>
      <c r="Q108" s="20"/>
      <c r="R108" s="20"/>
      <c r="S108" s="20"/>
      <c r="T108" s="20"/>
      <c r="U108" s="20"/>
      <c r="V108" s="20"/>
      <c r="W108" s="20"/>
      <c r="X108" s="20"/>
      <c r="Y108" s="20"/>
      <c r="Z108" s="20"/>
    </row>
    <row r="109" spans="3:26" ht="17.25" customHeight="1">
      <c r="C109" s="15" t="s">
        <v>5143</v>
      </c>
      <c r="J109" s="37"/>
      <c r="K109" s="58"/>
      <c r="L109" s="58"/>
      <c r="M109" s="58"/>
      <c r="N109" s="58"/>
      <c r="O109" s="31"/>
      <c r="P109" s="20"/>
      <c r="Q109" s="20"/>
      <c r="R109" s="20"/>
      <c r="S109" s="20"/>
      <c r="T109" s="20"/>
      <c r="U109" s="20"/>
      <c r="V109" s="20"/>
      <c r="W109" s="20"/>
      <c r="X109" s="20"/>
      <c r="Y109" s="20"/>
      <c r="Z109" s="20"/>
    </row>
    <row r="110" spans="3:26" ht="17.25" customHeight="1">
      <c r="C110" s="15" t="s">
        <v>5143</v>
      </c>
      <c r="J110" s="37"/>
      <c r="K110" s="58"/>
      <c r="L110" s="58"/>
      <c r="M110" s="58"/>
      <c r="N110" s="58"/>
      <c r="O110" s="31"/>
      <c r="P110" s="20"/>
      <c r="Q110" s="20"/>
      <c r="R110" s="20"/>
      <c r="S110" s="20"/>
      <c r="T110" s="20"/>
      <c r="U110" s="20"/>
      <c r="V110" s="20"/>
      <c r="W110" s="20"/>
      <c r="X110" s="20"/>
      <c r="Y110" s="20"/>
      <c r="Z110" s="20"/>
    </row>
    <row r="111" spans="3:26" ht="17.25" customHeight="1">
      <c r="C111" s="15" t="s">
        <v>5143</v>
      </c>
      <c r="J111" s="37"/>
      <c r="K111" s="58"/>
      <c r="L111" s="58"/>
      <c r="M111" s="58"/>
      <c r="N111" s="58"/>
      <c r="O111" s="31"/>
      <c r="P111" s="20"/>
      <c r="Q111" s="20"/>
      <c r="R111" s="20"/>
      <c r="S111" s="20"/>
      <c r="T111" s="20"/>
      <c r="U111" s="20"/>
      <c r="V111" s="20"/>
      <c r="W111" s="20"/>
      <c r="X111" s="20"/>
      <c r="Y111" s="20"/>
      <c r="Z111" s="20"/>
    </row>
    <row r="112" spans="3:26" ht="17.25" customHeight="1">
      <c r="C112" s="15" t="s">
        <v>5143</v>
      </c>
      <c r="J112" s="37"/>
      <c r="K112" s="58"/>
      <c r="L112" s="58"/>
      <c r="M112" s="58"/>
      <c r="N112" s="58"/>
      <c r="O112" s="31"/>
      <c r="P112" s="20"/>
      <c r="Q112" s="20"/>
      <c r="R112" s="20"/>
      <c r="S112" s="20"/>
      <c r="T112" s="20"/>
      <c r="U112" s="20"/>
      <c r="V112" s="20"/>
      <c r="W112" s="20"/>
      <c r="X112" s="20"/>
      <c r="Y112" s="20"/>
      <c r="Z112" s="20"/>
    </row>
    <row r="113" spans="3:26" ht="17.25" customHeight="1">
      <c r="C113" s="15" t="s">
        <v>5143</v>
      </c>
      <c r="J113" s="37"/>
      <c r="K113" s="58"/>
      <c r="L113" s="58"/>
      <c r="M113" s="58"/>
      <c r="N113" s="58"/>
      <c r="O113" s="31"/>
      <c r="P113" s="20"/>
      <c r="Q113" s="20"/>
      <c r="R113" s="20"/>
      <c r="S113" s="20"/>
      <c r="T113" s="20"/>
      <c r="U113" s="20"/>
      <c r="V113" s="20"/>
      <c r="W113" s="20"/>
      <c r="X113" s="20"/>
      <c r="Y113" s="20"/>
      <c r="Z113" s="20"/>
    </row>
    <row r="114" spans="3:26" ht="17.25" customHeight="1">
      <c r="C114" s="15" t="s">
        <v>5143</v>
      </c>
      <c r="J114" s="37"/>
      <c r="K114" s="58"/>
      <c r="L114" s="58"/>
      <c r="M114" s="58"/>
      <c r="N114" s="58"/>
      <c r="O114" s="31"/>
      <c r="P114" s="20"/>
      <c r="Q114" s="20"/>
      <c r="R114" s="20"/>
      <c r="S114" s="20"/>
      <c r="T114" s="20"/>
      <c r="U114" s="20"/>
      <c r="V114" s="20"/>
      <c r="W114" s="20"/>
      <c r="X114" s="20"/>
      <c r="Y114" s="20"/>
      <c r="Z114" s="20"/>
    </row>
    <row r="115" spans="3:26" ht="17.25" customHeight="1">
      <c r="C115" s="15" t="s">
        <v>5143</v>
      </c>
      <c r="J115" s="37"/>
      <c r="K115" s="58"/>
      <c r="L115" s="58"/>
      <c r="M115" s="58"/>
      <c r="N115" s="58"/>
      <c r="O115" s="31"/>
      <c r="P115" s="20"/>
      <c r="Q115" s="20"/>
      <c r="R115" s="20"/>
      <c r="S115" s="20"/>
      <c r="T115" s="20"/>
      <c r="U115" s="20"/>
      <c r="V115" s="20"/>
      <c r="W115" s="20"/>
      <c r="X115" s="20"/>
      <c r="Y115" s="20"/>
      <c r="Z115" s="20"/>
    </row>
    <row r="116" spans="3:26" ht="17.25" customHeight="1">
      <c r="C116" s="15" t="s">
        <v>5143</v>
      </c>
      <c r="J116" s="37"/>
      <c r="K116" s="58"/>
      <c r="L116" s="58"/>
      <c r="M116" s="58"/>
      <c r="N116" s="58"/>
      <c r="O116" s="31"/>
      <c r="P116" s="20"/>
      <c r="Q116" s="20"/>
      <c r="R116" s="20"/>
      <c r="S116" s="20"/>
      <c r="T116" s="20"/>
      <c r="U116" s="20"/>
      <c r="V116" s="20"/>
      <c r="W116" s="20"/>
      <c r="X116" s="20"/>
      <c r="Y116" s="20"/>
      <c r="Z116" s="20"/>
    </row>
    <row r="117" spans="3:26" ht="17.25" customHeight="1">
      <c r="C117" s="15" t="s">
        <v>5143</v>
      </c>
      <c r="J117" s="37"/>
      <c r="K117" s="58"/>
      <c r="L117" s="58"/>
      <c r="M117" s="58"/>
      <c r="N117" s="58"/>
      <c r="O117" s="31"/>
      <c r="P117" s="20"/>
      <c r="Q117" s="20"/>
      <c r="R117" s="20"/>
      <c r="S117" s="20"/>
      <c r="T117" s="20"/>
      <c r="U117" s="20"/>
      <c r="V117" s="20"/>
      <c r="W117" s="20"/>
      <c r="X117" s="20"/>
      <c r="Y117" s="20"/>
      <c r="Z117" s="20"/>
    </row>
    <row r="118" spans="3:26" ht="17.25" customHeight="1">
      <c r="C118" s="15" t="s">
        <v>5143</v>
      </c>
      <c r="J118" s="37"/>
      <c r="K118" s="58"/>
      <c r="L118" s="58"/>
      <c r="M118" s="58"/>
      <c r="N118" s="58"/>
      <c r="O118" s="31"/>
      <c r="P118" s="20"/>
      <c r="Q118" s="20"/>
      <c r="R118" s="20"/>
      <c r="S118" s="20"/>
      <c r="T118" s="20"/>
      <c r="U118" s="20"/>
      <c r="V118" s="20"/>
      <c r="W118" s="20"/>
      <c r="X118" s="20"/>
      <c r="Y118" s="20"/>
      <c r="Z118" s="20"/>
    </row>
    <row r="119" spans="3:26" ht="17.25" customHeight="1">
      <c r="C119" s="15" t="s">
        <v>5143</v>
      </c>
      <c r="J119" s="37"/>
      <c r="K119" s="58"/>
      <c r="L119" s="58"/>
      <c r="M119" s="58"/>
      <c r="N119" s="58"/>
      <c r="O119" s="31"/>
      <c r="P119" s="20"/>
      <c r="Q119" s="20"/>
      <c r="R119" s="20"/>
      <c r="S119" s="20"/>
      <c r="T119" s="20"/>
      <c r="U119" s="20"/>
      <c r="V119" s="20"/>
      <c r="W119" s="20"/>
      <c r="X119" s="20"/>
      <c r="Y119" s="20"/>
      <c r="Z119" s="20"/>
    </row>
    <row r="120" spans="3:26" ht="17.25" customHeight="1">
      <c r="C120" s="15" t="s">
        <v>5143</v>
      </c>
      <c r="J120" s="37"/>
      <c r="K120" s="58"/>
      <c r="L120" s="58"/>
      <c r="M120" s="58"/>
      <c r="N120" s="58"/>
      <c r="O120" s="31"/>
      <c r="P120" s="20"/>
      <c r="Q120" s="20"/>
      <c r="R120" s="20"/>
      <c r="S120" s="20"/>
      <c r="T120" s="20"/>
      <c r="U120" s="20"/>
      <c r="V120" s="20"/>
      <c r="W120" s="20"/>
      <c r="X120" s="20"/>
      <c r="Y120" s="20"/>
      <c r="Z120" s="20"/>
    </row>
    <row r="121" spans="3:26" ht="17.25" customHeight="1">
      <c r="C121" s="15" t="s">
        <v>5143</v>
      </c>
      <c r="J121" s="37"/>
      <c r="K121" s="58"/>
      <c r="L121" s="58"/>
      <c r="M121" s="58"/>
      <c r="N121" s="58"/>
      <c r="O121" s="31"/>
      <c r="P121" s="20"/>
      <c r="Q121" s="20"/>
      <c r="R121" s="20"/>
      <c r="S121" s="20"/>
      <c r="T121" s="20"/>
      <c r="U121" s="20"/>
      <c r="V121" s="20"/>
      <c r="W121" s="20"/>
      <c r="X121" s="20"/>
      <c r="Y121" s="20"/>
      <c r="Z121" s="20"/>
    </row>
    <row r="122" spans="3:26" ht="17.25" customHeight="1">
      <c r="C122" s="15" t="s">
        <v>5143</v>
      </c>
      <c r="J122" s="37"/>
      <c r="K122" s="58"/>
      <c r="L122" s="58"/>
      <c r="M122" s="58"/>
      <c r="N122" s="58"/>
      <c r="O122" s="31"/>
      <c r="P122" s="20"/>
      <c r="Q122" s="20"/>
      <c r="R122" s="20"/>
      <c r="S122" s="20"/>
      <c r="T122" s="20"/>
      <c r="U122" s="20"/>
      <c r="V122" s="20"/>
      <c r="W122" s="20"/>
      <c r="X122" s="20"/>
      <c r="Y122" s="20"/>
      <c r="Z122" s="20"/>
    </row>
    <row r="123" spans="3:26" ht="17.25" customHeight="1">
      <c r="C123" s="15" t="s">
        <v>5143</v>
      </c>
      <c r="J123" s="37"/>
      <c r="K123" s="58"/>
      <c r="L123" s="58"/>
      <c r="M123" s="58"/>
      <c r="N123" s="58"/>
      <c r="O123" s="31"/>
      <c r="P123" s="20"/>
      <c r="Q123" s="20"/>
      <c r="R123" s="20"/>
      <c r="S123" s="20"/>
      <c r="T123" s="20"/>
      <c r="U123" s="20"/>
      <c r="V123" s="20"/>
      <c r="W123" s="20"/>
      <c r="X123" s="20"/>
      <c r="Y123" s="20"/>
      <c r="Z123" s="20"/>
    </row>
    <row r="124" spans="3:26" ht="17.25" customHeight="1">
      <c r="C124" s="15" t="s">
        <v>5143</v>
      </c>
      <c r="J124" s="37"/>
      <c r="K124" s="58"/>
      <c r="L124" s="58"/>
      <c r="M124" s="58"/>
      <c r="N124" s="58"/>
      <c r="O124" s="31"/>
      <c r="P124" s="20"/>
      <c r="Q124" s="20"/>
      <c r="R124" s="20"/>
      <c r="S124" s="20"/>
      <c r="T124" s="20"/>
      <c r="U124" s="20"/>
      <c r="V124" s="20"/>
      <c r="W124" s="20"/>
      <c r="X124" s="20"/>
      <c r="Y124" s="20"/>
      <c r="Z124" s="20"/>
    </row>
    <row r="125" spans="3:26" ht="17.25" customHeight="1">
      <c r="C125" s="15" t="s">
        <v>5143</v>
      </c>
      <c r="J125" s="37"/>
      <c r="K125" s="58"/>
      <c r="L125" s="58"/>
      <c r="M125" s="58"/>
      <c r="N125" s="58"/>
      <c r="O125" s="31"/>
      <c r="P125" s="20"/>
      <c r="Q125" s="20"/>
      <c r="R125" s="20"/>
      <c r="S125" s="20"/>
      <c r="T125" s="20"/>
      <c r="U125" s="20"/>
      <c r="V125" s="20"/>
      <c r="W125" s="20"/>
      <c r="X125" s="20"/>
      <c r="Y125" s="20"/>
      <c r="Z125" s="20"/>
    </row>
    <row r="126" spans="3:26" ht="17.25" customHeight="1">
      <c r="C126" s="15" t="s">
        <v>5143</v>
      </c>
      <c r="J126" s="37"/>
      <c r="K126" s="58"/>
      <c r="L126" s="58"/>
      <c r="M126" s="58"/>
      <c r="N126" s="58"/>
      <c r="O126" s="31"/>
      <c r="P126" s="20"/>
      <c r="Q126" s="20"/>
      <c r="R126" s="20"/>
      <c r="S126" s="20"/>
      <c r="T126" s="20"/>
      <c r="U126" s="20"/>
      <c r="V126" s="20"/>
      <c r="W126" s="20"/>
      <c r="X126" s="20"/>
      <c r="Y126" s="20"/>
      <c r="Z126" s="20"/>
    </row>
    <row r="127" spans="3:26" ht="17.25" customHeight="1">
      <c r="C127" s="15" t="s">
        <v>5143</v>
      </c>
      <c r="J127" s="37"/>
      <c r="K127" s="58"/>
      <c r="L127" s="58"/>
      <c r="M127" s="58"/>
      <c r="N127" s="58"/>
      <c r="O127" s="31"/>
      <c r="P127" s="20"/>
      <c r="Q127" s="20"/>
      <c r="R127" s="20"/>
      <c r="S127" s="20"/>
      <c r="T127" s="20"/>
      <c r="U127" s="20"/>
      <c r="V127" s="20"/>
      <c r="W127" s="20"/>
      <c r="X127" s="20"/>
      <c r="Y127" s="20"/>
      <c r="Z127" s="20"/>
    </row>
    <row r="128" spans="3:26" ht="17.25" customHeight="1">
      <c r="C128" s="15" t="s">
        <v>5143</v>
      </c>
      <c r="J128" s="37"/>
      <c r="K128" s="58"/>
      <c r="L128" s="58"/>
      <c r="M128" s="58"/>
      <c r="N128" s="58"/>
      <c r="O128" s="31"/>
      <c r="P128" s="20"/>
      <c r="Q128" s="20"/>
      <c r="R128" s="20"/>
      <c r="S128" s="20"/>
      <c r="T128" s="20"/>
      <c r="U128" s="20"/>
      <c r="V128" s="20"/>
      <c r="W128" s="20"/>
      <c r="X128" s="20"/>
      <c r="Y128" s="20"/>
      <c r="Z128" s="20"/>
    </row>
    <row r="129" spans="3:26" ht="17.25" customHeight="1">
      <c r="C129" s="15" t="s">
        <v>5143</v>
      </c>
      <c r="J129" s="37"/>
      <c r="K129" s="58"/>
      <c r="L129" s="58"/>
      <c r="M129" s="58"/>
      <c r="N129" s="58"/>
      <c r="O129" s="31"/>
      <c r="P129" s="20"/>
      <c r="Q129" s="20"/>
      <c r="R129" s="20"/>
      <c r="S129" s="20"/>
      <c r="T129" s="20"/>
      <c r="U129" s="20"/>
      <c r="V129" s="20"/>
      <c r="W129" s="20"/>
      <c r="X129" s="20"/>
      <c r="Y129" s="20"/>
      <c r="Z129" s="20"/>
    </row>
    <row r="130" spans="3:26" ht="17.25" customHeight="1">
      <c r="C130" s="15" t="s">
        <v>5143</v>
      </c>
      <c r="J130" s="37"/>
      <c r="K130" s="58"/>
      <c r="L130" s="58"/>
      <c r="M130" s="58"/>
      <c r="N130" s="58"/>
      <c r="O130" s="31"/>
      <c r="P130" s="20"/>
      <c r="Q130" s="20"/>
      <c r="R130" s="20"/>
      <c r="S130" s="20"/>
      <c r="T130" s="20"/>
      <c r="U130" s="20"/>
      <c r="V130" s="20"/>
      <c r="W130" s="20"/>
      <c r="X130" s="20"/>
      <c r="Y130" s="20"/>
      <c r="Z130" s="20"/>
    </row>
    <row r="131" spans="3:26" ht="17.25" customHeight="1">
      <c r="C131" s="15" t="s">
        <v>5143</v>
      </c>
      <c r="J131" s="37"/>
      <c r="K131" s="58"/>
      <c r="L131" s="58"/>
      <c r="M131" s="58"/>
      <c r="N131" s="58"/>
      <c r="O131" s="31"/>
      <c r="P131" s="20"/>
      <c r="Q131" s="20"/>
      <c r="R131" s="20"/>
      <c r="S131" s="20"/>
      <c r="T131" s="20"/>
      <c r="U131" s="20"/>
      <c r="V131" s="20"/>
      <c r="W131" s="20"/>
      <c r="X131" s="20"/>
      <c r="Y131" s="20"/>
      <c r="Z131" s="20"/>
    </row>
    <row r="132" spans="3:26" ht="17.25" customHeight="1">
      <c r="C132" s="15" t="s">
        <v>5143</v>
      </c>
      <c r="J132" s="37"/>
      <c r="K132" s="58"/>
      <c r="L132" s="58"/>
      <c r="M132" s="58"/>
      <c r="N132" s="58"/>
      <c r="O132" s="31"/>
      <c r="P132" s="20"/>
      <c r="Q132" s="20"/>
      <c r="R132" s="20"/>
      <c r="S132" s="20"/>
      <c r="T132" s="20"/>
      <c r="U132" s="20"/>
      <c r="V132" s="20"/>
      <c r="W132" s="20"/>
      <c r="X132" s="20"/>
      <c r="Y132" s="20"/>
      <c r="Z132" s="20"/>
    </row>
    <row r="133" spans="3:26" ht="17.25" customHeight="1">
      <c r="C133" s="15" t="s">
        <v>5143</v>
      </c>
      <c r="J133" s="37"/>
      <c r="K133" s="58"/>
      <c r="L133" s="58"/>
      <c r="M133" s="58"/>
      <c r="N133" s="58"/>
      <c r="O133" s="31"/>
      <c r="P133" s="20"/>
      <c r="Q133" s="20"/>
      <c r="R133" s="20"/>
      <c r="S133" s="20"/>
      <c r="T133" s="20"/>
      <c r="U133" s="20"/>
      <c r="V133" s="20"/>
      <c r="W133" s="20"/>
      <c r="X133" s="20"/>
      <c r="Y133" s="20"/>
      <c r="Z133" s="20"/>
    </row>
    <row r="134" spans="3:26" ht="17.25" customHeight="1">
      <c r="C134" s="15" t="s">
        <v>5143</v>
      </c>
      <c r="J134" s="37"/>
      <c r="K134" s="58"/>
      <c r="L134" s="58"/>
      <c r="M134" s="58"/>
      <c r="N134" s="58"/>
      <c r="O134" s="31"/>
      <c r="P134" s="20"/>
      <c r="Q134" s="20"/>
      <c r="R134" s="20"/>
      <c r="S134" s="20"/>
      <c r="T134" s="20"/>
      <c r="U134" s="20"/>
      <c r="V134" s="20"/>
      <c r="W134" s="20"/>
      <c r="X134" s="20"/>
      <c r="Y134" s="20"/>
      <c r="Z134" s="20"/>
    </row>
    <row r="135" spans="3:26" ht="17.25" customHeight="1">
      <c r="C135" s="15" t="s">
        <v>5143</v>
      </c>
      <c r="J135" s="37"/>
      <c r="K135" s="58"/>
      <c r="L135" s="58"/>
      <c r="M135" s="58"/>
      <c r="N135" s="58"/>
      <c r="O135" s="31"/>
      <c r="P135" s="20"/>
      <c r="Q135" s="20"/>
      <c r="R135" s="20"/>
      <c r="S135" s="20"/>
      <c r="T135" s="20"/>
      <c r="U135" s="20"/>
      <c r="V135" s="20"/>
      <c r="W135" s="20"/>
      <c r="X135" s="20"/>
      <c r="Y135" s="20"/>
      <c r="Z135" s="20"/>
    </row>
    <row r="136" spans="3:26" ht="17.25" customHeight="1">
      <c r="C136" s="15" t="s">
        <v>5143</v>
      </c>
      <c r="J136" s="37"/>
      <c r="K136" s="58"/>
      <c r="L136" s="58"/>
      <c r="M136" s="58"/>
      <c r="N136" s="58"/>
      <c r="O136" s="31"/>
      <c r="P136" s="20"/>
      <c r="Q136" s="20"/>
      <c r="R136" s="20"/>
      <c r="S136" s="20"/>
      <c r="T136" s="20"/>
      <c r="U136" s="20"/>
      <c r="V136" s="20"/>
      <c r="W136" s="20"/>
      <c r="X136" s="20"/>
      <c r="Y136" s="20"/>
      <c r="Z136" s="20"/>
    </row>
    <row r="137" spans="3:26" ht="17.25" customHeight="1">
      <c r="C137" s="15" t="s">
        <v>5143</v>
      </c>
      <c r="J137" s="37"/>
      <c r="K137" s="58"/>
      <c r="L137" s="58"/>
      <c r="M137" s="58"/>
      <c r="N137" s="58"/>
      <c r="O137" s="31"/>
      <c r="P137" s="20"/>
      <c r="Q137" s="20"/>
      <c r="R137" s="20"/>
      <c r="S137" s="20"/>
      <c r="T137" s="20"/>
      <c r="U137" s="20"/>
      <c r="V137" s="20"/>
      <c r="W137" s="20"/>
      <c r="X137" s="20"/>
      <c r="Y137" s="20"/>
      <c r="Z137" s="20"/>
    </row>
    <row r="138" spans="3:26" ht="17.25" customHeight="1">
      <c r="C138" s="15" t="s">
        <v>5143</v>
      </c>
      <c r="J138" s="37"/>
      <c r="K138" s="58"/>
      <c r="L138" s="58"/>
      <c r="M138" s="58"/>
      <c r="N138" s="58"/>
      <c r="O138" s="31"/>
      <c r="P138" s="20"/>
      <c r="Q138" s="20"/>
      <c r="R138" s="20"/>
      <c r="S138" s="20"/>
      <c r="T138" s="20"/>
      <c r="U138" s="20"/>
      <c r="V138" s="20"/>
      <c r="W138" s="20"/>
      <c r="X138" s="20"/>
      <c r="Y138" s="20"/>
      <c r="Z138" s="20"/>
    </row>
    <row r="139" spans="3:26" ht="17.25" customHeight="1">
      <c r="C139" s="15" t="s">
        <v>5143</v>
      </c>
      <c r="J139" s="37"/>
      <c r="K139" s="58"/>
      <c r="L139" s="58"/>
      <c r="M139" s="58"/>
      <c r="N139" s="58"/>
      <c r="O139" s="31"/>
      <c r="P139" s="20"/>
      <c r="Q139" s="20"/>
      <c r="R139" s="20"/>
      <c r="S139" s="20"/>
      <c r="T139" s="20"/>
      <c r="U139" s="20"/>
      <c r="V139" s="20"/>
      <c r="W139" s="20"/>
      <c r="X139" s="20"/>
      <c r="Y139" s="20"/>
      <c r="Z139" s="20"/>
    </row>
    <row r="140" spans="3:26" ht="17.25" customHeight="1">
      <c r="C140" s="15" t="s">
        <v>5143</v>
      </c>
      <c r="J140" s="37"/>
      <c r="K140" s="58"/>
      <c r="L140" s="58"/>
      <c r="M140" s="58"/>
      <c r="N140" s="58"/>
      <c r="O140" s="31"/>
      <c r="P140" s="20"/>
      <c r="Q140" s="20"/>
      <c r="R140" s="20"/>
      <c r="S140" s="20"/>
      <c r="T140" s="20"/>
      <c r="U140" s="20"/>
      <c r="V140" s="20"/>
      <c r="W140" s="20"/>
      <c r="X140" s="20"/>
      <c r="Y140" s="20"/>
      <c r="Z140" s="20"/>
    </row>
    <row r="141" spans="3:26" ht="17.25" customHeight="1">
      <c r="C141" s="15" t="s">
        <v>5143</v>
      </c>
      <c r="J141" s="37"/>
      <c r="K141" s="58"/>
      <c r="L141" s="58"/>
      <c r="M141" s="58"/>
      <c r="N141" s="58"/>
      <c r="O141" s="31"/>
      <c r="P141" s="20"/>
      <c r="Q141" s="20"/>
      <c r="R141" s="20"/>
      <c r="S141" s="20"/>
      <c r="T141" s="20"/>
      <c r="U141" s="20"/>
      <c r="V141" s="20"/>
      <c r="W141" s="20"/>
      <c r="X141" s="20"/>
      <c r="Y141" s="20"/>
      <c r="Z141" s="20"/>
    </row>
    <row r="142" spans="3:26" ht="17.25" customHeight="1">
      <c r="C142" s="15" t="s">
        <v>5143</v>
      </c>
      <c r="J142" s="37"/>
      <c r="K142" s="58"/>
      <c r="L142" s="58"/>
      <c r="M142" s="58"/>
      <c r="N142" s="58"/>
      <c r="O142" s="31"/>
      <c r="P142" s="20"/>
      <c r="Q142" s="20"/>
      <c r="R142" s="20"/>
      <c r="S142" s="20"/>
      <c r="T142" s="20"/>
      <c r="U142" s="20"/>
      <c r="V142" s="20"/>
      <c r="W142" s="20"/>
      <c r="X142" s="20"/>
      <c r="Y142" s="20"/>
      <c r="Z142" s="20"/>
    </row>
    <row r="143" spans="3:26" ht="17.25" customHeight="1">
      <c r="C143" s="15" t="s">
        <v>5143</v>
      </c>
      <c r="J143" s="37"/>
      <c r="K143" s="58"/>
      <c r="L143" s="58"/>
      <c r="M143" s="58"/>
      <c r="N143" s="58"/>
      <c r="O143" s="31"/>
      <c r="P143" s="20"/>
      <c r="Q143" s="20"/>
      <c r="R143" s="20"/>
      <c r="S143" s="20"/>
      <c r="T143" s="20"/>
      <c r="U143" s="20"/>
      <c r="V143" s="20"/>
      <c r="W143" s="20"/>
      <c r="X143" s="20"/>
      <c r="Y143" s="20"/>
      <c r="Z143" s="20"/>
    </row>
    <row r="144" spans="3:26" ht="17.25" customHeight="1">
      <c r="C144" s="15" t="s">
        <v>5143</v>
      </c>
      <c r="J144" s="37"/>
      <c r="K144" s="58"/>
      <c r="L144" s="58"/>
      <c r="M144" s="58"/>
      <c r="N144" s="58"/>
      <c r="O144" s="31"/>
      <c r="P144" s="20"/>
      <c r="Q144" s="20"/>
      <c r="R144" s="20"/>
      <c r="S144" s="20"/>
      <c r="T144" s="20"/>
      <c r="U144" s="20"/>
      <c r="V144" s="20"/>
      <c r="W144" s="20"/>
      <c r="X144" s="20"/>
      <c r="Y144" s="20"/>
      <c r="Z144" s="20"/>
    </row>
    <row r="145" spans="3:26" ht="17.25" customHeight="1">
      <c r="C145" s="15" t="s">
        <v>5143</v>
      </c>
      <c r="J145" s="37"/>
      <c r="K145" s="58"/>
      <c r="L145" s="58"/>
      <c r="M145" s="58"/>
      <c r="N145" s="58"/>
      <c r="O145" s="31"/>
      <c r="P145" s="20"/>
      <c r="Q145" s="20"/>
      <c r="R145" s="20"/>
      <c r="S145" s="20"/>
      <c r="T145" s="20"/>
      <c r="U145" s="20"/>
      <c r="V145" s="20"/>
      <c r="W145" s="20"/>
      <c r="X145" s="20"/>
      <c r="Y145" s="20"/>
      <c r="Z145" s="20"/>
    </row>
    <row r="146" spans="3:26" ht="17.25" customHeight="1">
      <c r="C146" s="15" t="s">
        <v>5143</v>
      </c>
      <c r="J146" s="37"/>
      <c r="K146" s="58"/>
      <c r="L146" s="58"/>
      <c r="M146" s="58"/>
      <c r="N146" s="58"/>
      <c r="O146" s="31"/>
      <c r="P146" s="20"/>
      <c r="Q146" s="20"/>
      <c r="R146" s="20"/>
      <c r="S146" s="20"/>
      <c r="T146" s="20"/>
      <c r="U146" s="20"/>
      <c r="V146" s="20"/>
      <c r="W146" s="20"/>
      <c r="X146" s="20"/>
      <c r="Y146" s="20"/>
      <c r="Z146" s="20"/>
    </row>
    <row r="147" spans="3:26" ht="17.25" customHeight="1">
      <c r="C147" s="15" t="s">
        <v>5143</v>
      </c>
      <c r="J147" s="37"/>
      <c r="K147" s="58"/>
      <c r="L147" s="58"/>
      <c r="M147" s="58"/>
      <c r="N147" s="58"/>
      <c r="O147" s="31"/>
      <c r="P147" s="20"/>
      <c r="Q147" s="20"/>
      <c r="R147" s="20"/>
      <c r="S147" s="20"/>
      <c r="T147" s="20"/>
      <c r="U147" s="20"/>
      <c r="V147" s="20"/>
      <c r="W147" s="20"/>
      <c r="X147" s="20"/>
      <c r="Y147" s="20"/>
      <c r="Z147" s="20"/>
    </row>
    <row r="148" spans="3:26" ht="17.25" customHeight="1">
      <c r="C148" s="15" t="s">
        <v>5143</v>
      </c>
      <c r="J148" s="37"/>
      <c r="K148" s="58"/>
      <c r="L148" s="58"/>
      <c r="M148" s="58"/>
      <c r="N148" s="58"/>
      <c r="O148" s="31"/>
      <c r="P148" s="20"/>
      <c r="Q148" s="20"/>
      <c r="R148" s="20"/>
      <c r="S148" s="20"/>
      <c r="T148" s="20"/>
      <c r="U148" s="20"/>
      <c r="V148" s="20"/>
      <c r="W148" s="20"/>
      <c r="X148" s="20"/>
      <c r="Y148" s="20"/>
      <c r="Z148" s="20"/>
    </row>
    <row r="149" spans="3:26" ht="17.25" customHeight="1">
      <c r="C149" s="15" t="s">
        <v>5143</v>
      </c>
      <c r="J149" s="37"/>
      <c r="K149" s="58"/>
      <c r="L149" s="58"/>
      <c r="M149" s="58"/>
      <c r="N149" s="58"/>
      <c r="O149" s="31"/>
      <c r="P149" s="20"/>
      <c r="Q149" s="20"/>
      <c r="R149" s="20"/>
      <c r="S149" s="20"/>
      <c r="T149" s="20"/>
      <c r="U149" s="20"/>
      <c r="V149" s="20"/>
      <c r="W149" s="20"/>
      <c r="X149" s="20"/>
      <c r="Y149" s="20"/>
      <c r="Z149" s="20"/>
    </row>
    <row r="150" spans="3:26" ht="17.25" customHeight="1">
      <c r="C150" s="15" t="s">
        <v>5143</v>
      </c>
      <c r="J150" s="37"/>
      <c r="K150" s="58"/>
      <c r="L150" s="58"/>
      <c r="M150" s="58"/>
      <c r="N150" s="58"/>
      <c r="O150" s="31"/>
      <c r="P150" s="20"/>
      <c r="Q150" s="20"/>
      <c r="R150" s="20"/>
      <c r="S150" s="20"/>
      <c r="T150" s="20"/>
      <c r="U150" s="20"/>
      <c r="V150" s="20"/>
      <c r="W150" s="20"/>
      <c r="X150" s="20"/>
      <c r="Y150" s="20"/>
      <c r="Z150" s="20"/>
    </row>
    <row r="151" spans="3:26" ht="17.25" customHeight="1">
      <c r="C151" s="15" t="s">
        <v>5143</v>
      </c>
      <c r="J151" s="37"/>
      <c r="K151" s="58"/>
      <c r="L151" s="58"/>
      <c r="M151" s="58"/>
      <c r="N151" s="58"/>
      <c r="O151" s="31"/>
      <c r="P151" s="20"/>
      <c r="Q151" s="20"/>
      <c r="R151" s="20"/>
      <c r="S151" s="20"/>
      <c r="T151" s="20"/>
      <c r="U151" s="20"/>
      <c r="V151" s="20"/>
      <c r="W151" s="20"/>
      <c r="X151" s="20"/>
      <c r="Y151" s="20"/>
      <c r="Z151" s="20"/>
    </row>
    <row r="152" spans="3:26" ht="17.25" customHeight="1">
      <c r="C152" s="15" t="s">
        <v>5143</v>
      </c>
      <c r="J152" s="37"/>
      <c r="K152" s="58"/>
      <c r="L152" s="58"/>
      <c r="M152" s="58"/>
      <c r="N152" s="58"/>
      <c r="O152" s="31"/>
      <c r="P152" s="20"/>
      <c r="Q152" s="20"/>
      <c r="R152" s="20"/>
      <c r="S152" s="20"/>
      <c r="T152" s="20"/>
      <c r="U152" s="20"/>
      <c r="V152" s="20"/>
      <c r="W152" s="20"/>
      <c r="X152" s="20"/>
      <c r="Y152" s="20"/>
      <c r="Z152" s="20"/>
    </row>
    <row r="153" spans="3:26" ht="17.25" customHeight="1">
      <c r="C153" s="15" t="s">
        <v>5143</v>
      </c>
      <c r="J153" s="37"/>
      <c r="K153" s="58"/>
      <c r="L153" s="58"/>
      <c r="M153" s="58"/>
      <c r="N153" s="58"/>
      <c r="O153" s="31"/>
      <c r="P153" s="20"/>
      <c r="Q153" s="20"/>
      <c r="R153" s="20"/>
      <c r="S153" s="20"/>
      <c r="T153" s="20"/>
      <c r="U153" s="20"/>
      <c r="V153" s="20"/>
      <c r="W153" s="20"/>
      <c r="X153" s="20"/>
      <c r="Y153" s="20"/>
      <c r="Z153" s="20"/>
    </row>
    <row r="154" spans="3:26" ht="17.25" customHeight="1">
      <c r="C154" s="15" t="s">
        <v>5143</v>
      </c>
      <c r="J154" s="37"/>
      <c r="K154" s="58"/>
      <c r="L154" s="58"/>
      <c r="M154" s="58"/>
      <c r="N154" s="58"/>
      <c r="O154" s="31"/>
      <c r="P154" s="20"/>
      <c r="Q154" s="20"/>
      <c r="R154" s="20"/>
      <c r="S154" s="20"/>
      <c r="T154" s="20"/>
      <c r="U154" s="20"/>
      <c r="V154" s="20"/>
      <c r="W154" s="20"/>
      <c r="X154" s="20"/>
      <c r="Y154" s="20"/>
      <c r="Z154" s="20"/>
    </row>
    <row r="155" spans="3:26" ht="17.25" customHeight="1">
      <c r="C155" s="15" t="s">
        <v>5143</v>
      </c>
      <c r="J155" s="37"/>
      <c r="K155" s="58"/>
      <c r="L155" s="58"/>
      <c r="M155" s="58"/>
      <c r="N155" s="58"/>
      <c r="O155" s="31"/>
      <c r="P155" s="20"/>
      <c r="Q155" s="20"/>
      <c r="R155" s="20"/>
      <c r="S155" s="20"/>
      <c r="T155" s="20"/>
      <c r="U155" s="20"/>
      <c r="V155" s="20"/>
      <c r="W155" s="20"/>
      <c r="X155" s="20"/>
      <c r="Y155" s="20"/>
      <c r="Z155" s="20"/>
    </row>
    <row r="156" spans="3:26" ht="17.25" customHeight="1">
      <c r="C156" s="15" t="s">
        <v>5143</v>
      </c>
      <c r="J156" s="37"/>
      <c r="K156" s="58"/>
      <c r="L156" s="58"/>
      <c r="M156" s="58"/>
      <c r="N156" s="58"/>
      <c r="O156" s="31"/>
      <c r="P156" s="20"/>
      <c r="Q156" s="20"/>
      <c r="R156" s="20"/>
      <c r="S156" s="20"/>
      <c r="T156" s="20"/>
      <c r="U156" s="20"/>
      <c r="V156" s="20"/>
      <c r="W156" s="20"/>
      <c r="X156" s="20"/>
      <c r="Y156" s="20"/>
      <c r="Z156" s="20"/>
    </row>
    <row r="157" spans="3:26" ht="17.25" customHeight="1">
      <c r="C157" s="15" t="s">
        <v>5143</v>
      </c>
      <c r="J157" s="37"/>
      <c r="K157" s="58"/>
      <c r="L157" s="58"/>
      <c r="M157" s="58"/>
      <c r="N157" s="58"/>
      <c r="O157" s="31"/>
      <c r="P157" s="20"/>
      <c r="Q157" s="20"/>
      <c r="R157" s="20"/>
      <c r="S157" s="20"/>
      <c r="T157" s="20"/>
      <c r="U157" s="20"/>
      <c r="V157" s="20"/>
      <c r="W157" s="20"/>
      <c r="X157" s="20"/>
      <c r="Y157" s="20"/>
      <c r="Z157" s="20"/>
    </row>
    <row r="158" spans="3:26" ht="17.25" customHeight="1">
      <c r="C158" s="15" t="s">
        <v>5143</v>
      </c>
      <c r="J158" s="37"/>
      <c r="K158" s="58"/>
      <c r="L158" s="58"/>
      <c r="M158" s="58"/>
      <c r="N158" s="58"/>
      <c r="O158" s="31"/>
      <c r="P158" s="20"/>
      <c r="Q158" s="20"/>
      <c r="R158" s="20"/>
      <c r="S158" s="20"/>
      <c r="T158" s="20"/>
      <c r="U158" s="20"/>
      <c r="V158" s="20"/>
      <c r="W158" s="20"/>
      <c r="X158" s="20"/>
      <c r="Y158" s="20"/>
      <c r="Z158" s="20"/>
    </row>
    <row r="159" spans="3:26" ht="17.25" customHeight="1">
      <c r="C159" s="15" t="s">
        <v>5143</v>
      </c>
      <c r="J159" s="37"/>
      <c r="K159" s="58"/>
      <c r="L159" s="58"/>
      <c r="M159" s="58"/>
      <c r="N159" s="58"/>
      <c r="O159" s="31"/>
      <c r="P159" s="20"/>
      <c r="Q159" s="20"/>
      <c r="R159" s="20"/>
      <c r="S159" s="20"/>
      <c r="T159" s="20"/>
      <c r="U159" s="20"/>
      <c r="V159" s="20"/>
      <c r="W159" s="20"/>
      <c r="X159" s="20"/>
      <c r="Y159" s="20"/>
      <c r="Z159" s="20"/>
    </row>
    <row r="160" spans="3:26" ht="17.25" customHeight="1">
      <c r="C160" s="15" t="s">
        <v>5143</v>
      </c>
      <c r="J160" s="37"/>
      <c r="K160" s="58"/>
      <c r="L160" s="58"/>
      <c r="M160" s="58"/>
      <c r="N160" s="58"/>
      <c r="O160" s="31"/>
      <c r="P160" s="20"/>
      <c r="Q160" s="20"/>
      <c r="R160" s="20"/>
      <c r="S160" s="20"/>
      <c r="T160" s="20"/>
      <c r="U160" s="20"/>
      <c r="V160" s="20"/>
      <c r="W160" s="20"/>
      <c r="X160" s="20"/>
      <c r="Y160" s="20"/>
      <c r="Z160" s="20"/>
    </row>
    <row r="161" spans="3:26" ht="17.25" customHeight="1">
      <c r="C161" s="15" t="s">
        <v>5143</v>
      </c>
      <c r="J161" s="37"/>
      <c r="K161" s="58"/>
      <c r="L161" s="58"/>
      <c r="M161" s="58"/>
      <c r="N161" s="58"/>
      <c r="O161" s="31"/>
      <c r="P161" s="20"/>
      <c r="Q161" s="20"/>
      <c r="R161" s="20"/>
      <c r="S161" s="20"/>
      <c r="T161" s="20"/>
      <c r="U161" s="20"/>
      <c r="V161" s="20"/>
      <c r="W161" s="20"/>
      <c r="X161" s="20"/>
      <c r="Y161" s="20"/>
      <c r="Z161" s="20"/>
    </row>
    <row r="162" spans="3:26" ht="17.25" customHeight="1">
      <c r="C162" s="15" t="s">
        <v>5143</v>
      </c>
      <c r="J162" s="37"/>
      <c r="K162" s="58"/>
      <c r="L162" s="58"/>
      <c r="M162" s="58"/>
      <c r="N162" s="58"/>
      <c r="O162" s="31"/>
      <c r="P162" s="20"/>
      <c r="Q162" s="20"/>
      <c r="R162" s="20"/>
      <c r="S162" s="20"/>
      <c r="T162" s="20"/>
      <c r="U162" s="20"/>
      <c r="V162" s="20"/>
      <c r="W162" s="20"/>
      <c r="X162" s="20"/>
      <c r="Y162" s="20"/>
      <c r="Z162" s="20"/>
    </row>
    <row r="163" spans="3:26" ht="17.25" customHeight="1">
      <c r="C163" s="15" t="s">
        <v>5143</v>
      </c>
      <c r="J163" s="37"/>
      <c r="K163" s="58"/>
      <c r="L163" s="58"/>
      <c r="M163" s="58"/>
      <c r="N163" s="58"/>
      <c r="O163" s="31"/>
      <c r="P163" s="20"/>
      <c r="Q163" s="20"/>
      <c r="R163" s="20"/>
      <c r="S163" s="20"/>
      <c r="T163" s="20"/>
      <c r="U163" s="20"/>
      <c r="V163" s="20"/>
      <c r="W163" s="20"/>
      <c r="X163" s="20"/>
      <c r="Y163" s="20"/>
      <c r="Z163" s="20"/>
    </row>
    <row r="164" spans="3:26" ht="17.25" customHeight="1">
      <c r="C164" s="15" t="s">
        <v>5143</v>
      </c>
      <c r="J164" s="37"/>
      <c r="K164" s="58"/>
      <c r="L164" s="58"/>
      <c r="M164" s="58"/>
      <c r="N164" s="58"/>
      <c r="O164" s="31"/>
      <c r="P164" s="20"/>
      <c r="Q164" s="20"/>
      <c r="R164" s="20"/>
      <c r="S164" s="20"/>
      <c r="T164" s="20"/>
      <c r="U164" s="20"/>
      <c r="V164" s="20"/>
      <c r="W164" s="20"/>
      <c r="X164" s="20"/>
      <c r="Y164" s="20"/>
      <c r="Z164" s="20"/>
    </row>
    <row r="165" spans="3:26" ht="17.25" customHeight="1">
      <c r="J165" s="37"/>
      <c r="K165" s="58"/>
      <c r="L165" s="58"/>
      <c r="M165" s="58"/>
      <c r="N165" s="58"/>
      <c r="O165" s="31"/>
      <c r="P165" s="20"/>
      <c r="Q165" s="20"/>
      <c r="R165" s="20"/>
      <c r="S165" s="20"/>
      <c r="T165" s="20"/>
      <c r="U165" s="20"/>
      <c r="V165" s="20"/>
      <c r="W165" s="20"/>
      <c r="X165" s="20"/>
      <c r="Y165" s="20"/>
      <c r="Z165" s="20"/>
    </row>
    <row r="166" spans="3:26" ht="17.25" customHeight="1">
      <c r="J166" s="37"/>
      <c r="K166" s="58"/>
      <c r="L166" s="58"/>
      <c r="M166" s="58"/>
      <c r="N166" s="58"/>
      <c r="O166" s="31"/>
      <c r="P166" s="20"/>
      <c r="Q166" s="20"/>
      <c r="R166" s="20"/>
      <c r="S166" s="20"/>
      <c r="T166" s="20"/>
      <c r="U166" s="20"/>
      <c r="V166" s="20"/>
      <c r="W166" s="20"/>
      <c r="X166" s="20"/>
      <c r="Y166" s="20"/>
      <c r="Z166" s="20"/>
    </row>
    <row r="167" spans="3:26" ht="17.25" customHeight="1">
      <c r="J167" s="37"/>
      <c r="K167" s="58"/>
      <c r="L167" s="58"/>
      <c r="M167" s="58"/>
      <c r="N167" s="58"/>
      <c r="O167" s="31"/>
      <c r="P167" s="20"/>
      <c r="Q167" s="20"/>
      <c r="R167" s="20"/>
      <c r="S167" s="20"/>
      <c r="T167" s="20"/>
      <c r="U167" s="20"/>
      <c r="V167" s="20"/>
      <c r="W167" s="20"/>
      <c r="X167" s="20"/>
      <c r="Y167" s="20"/>
      <c r="Z167" s="20"/>
    </row>
    <row r="168" spans="3:26" ht="17.25" customHeight="1">
      <c r="J168" s="37"/>
      <c r="K168" s="58"/>
      <c r="L168" s="58"/>
      <c r="M168" s="58"/>
      <c r="N168" s="58"/>
      <c r="O168" s="31"/>
      <c r="P168" s="20"/>
      <c r="Q168" s="20"/>
      <c r="R168" s="20"/>
      <c r="S168" s="20"/>
      <c r="T168" s="20"/>
      <c r="U168" s="20"/>
      <c r="V168" s="20"/>
      <c r="W168" s="20"/>
      <c r="X168" s="20"/>
      <c r="Y168" s="20"/>
      <c r="Z168" s="20"/>
    </row>
    <row r="169" spans="3:26" ht="17.25" customHeight="1">
      <c r="J169" s="37"/>
      <c r="K169" s="58"/>
      <c r="L169" s="58"/>
      <c r="M169" s="58"/>
      <c r="N169" s="58"/>
      <c r="O169" s="31"/>
      <c r="P169" s="20"/>
      <c r="Q169" s="20"/>
      <c r="R169" s="20"/>
      <c r="S169" s="20"/>
      <c r="T169" s="20"/>
      <c r="U169" s="20"/>
      <c r="V169" s="20"/>
      <c r="W169" s="20"/>
      <c r="X169" s="20"/>
      <c r="Y169" s="20"/>
      <c r="Z169" s="20"/>
    </row>
    <row r="170" spans="3:26" ht="17.25" customHeight="1">
      <c r="J170" s="37"/>
      <c r="K170" s="58"/>
      <c r="L170" s="58"/>
      <c r="M170" s="58"/>
      <c r="N170" s="58"/>
      <c r="O170" s="31"/>
      <c r="P170" s="20"/>
      <c r="Q170" s="20"/>
      <c r="R170" s="20"/>
      <c r="S170" s="20"/>
      <c r="T170" s="20"/>
      <c r="U170" s="20"/>
      <c r="V170" s="20"/>
      <c r="W170" s="20"/>
      <c r="X170" s="20"/>
      <c r="Y170" s="20"/>
      <c r="Z170" s="20"/>
    </row>
    <row r="171" spans="3:26" ht="17.25" customHeight="1">
      <c r="J171" s="37"/>
      <c r="K171" s="58"/>
      <c r="L171" s="58"/>
      <c r="M171" s="58"/>
      <c r="N171" s="58"/>
      <c r="O171" s="31"/>
      <c r="P171" s="20"/>
      <c r="Q171" s="20"/>
      <c r="R171" s="20"/>
      <c r="S171" s="20"/>
      <c r="T171" s="20"/>
      <c r="U171" s="20"/>
      <c r="V171" s="20"/>
      <c r="W171" s="20"/>
      <c r="X171" s="20"/>
      <c r="Y171" s="20"/>
      <c r="Z171" s="20"/>
    </row>
    <row r="172" spans="3:26" ht="17.25" customHeight="1">
      <c r="J172" s="37"/>
      <c r="K172" s="58"/>
      <c r="L172" s="58"/>
      <c r="M172" s="58"/>
      <c r="N172" s="58"/>
      <c r="O172" s="31"/>
      <c r="P172" s="20"/>
      <c r="Q172" s="20"/>
      <c r="R172" s="20"/>
      <c r="S172" s="20"/>
      <c r="T172" s="20"/>
      <c r="U172" s="20"/>
      <c r="V172" s="20"/>
      <c r="W172" s="20"/>
      <c r="X172" s="20"/>
      <c r="Y172" s="20"/>
      <c r="Z172" s="20"/>
    </row>
    <row r="173" spans="3:26" ht="17.25" customHeight="1">
      <c r="J173" s="37"/>
      <c r="K173" s="58"/>
      <c r="L173" s="58"/>
      <c r="M173" s="58"/>
      <c r="N173" s="58"/>
      <c r="O173" s="31"/>
      <c r="P173" s="20"/>
      <c r="Q173" s="20"/>
      <c r="R173" s="20"/>
      <c r="S173" s="20"/>
      <c r="T173" s="20"/>
      <c r="U173" s="20"/>
      <c r="V173" s="20"/>
      <c r="W173" s="20"/>
      <c r="X173" s="20"/>
      <c r="Y173" s="20"/>
      <c r="Z173" s="20"/>
    </row>
    <row r="174" spans="3:26" ht="17.25" customHeight="1">
      <c r="J174" s="37"/>
      <c r="K174" s="58"/>
      <c r="L174" s="58"/>
      <c r="M174" s="58"/>
      <c r="N174" s="58"/>
      <c r="O174" s="31"/>
      <c r="P174" s="20"/>
      <c r="Q174" s="20"/>
      <c r="R174" s="20"/>
      <c r="S174" s="20"/>
      <c r="T174" s="20"/>
      <c r="U174" s="20"/>
      <c r="V174" s="20"/>
      <c r="W174" s="20"/>
      <c r="X174" s="20"/>
      <c r="Y174" s="20"/>
      <c r="Z174" s="20"/>
    </row>
    <row r="175" spans="3:26" ht="17.25" customHeight="1">
      <c r="J175" s="37"/>
      <c r="K175" s="58"/>
      <c r="L175" s="58"/>
      <c r="M175" s="58"/>
      <c r="N175" s="58"/>
      <c r="O175" s="31"/>
      <c r="P175" s="20"/>
      <c r="Q175" s="20"/>
      <c r="R175" s="20"/>
      <c r="S175" s="20"/>
      <c r="T175" s="20"/>
      <c r="U175" s="20"/>
      <c r="V175" s="20"/>
      <c r="W175" s="20"/>
      <c r="X175" s="20"/>
      <c r="Y175" s="20"/>
      <c r="Z175" s="20"/>
    </row>
    <row r="176" spans="3:26" ht="17.25" customHeight="1">
      <c r="J176" s="37"/>
      <c r="K176" s="58"/>
      <c r="L176" s="58"/>
      <c r="M176" s="58"/>
      <c r="N176" s="58"/>
      <c r="O176" s="31"/>
      <c r="P176" s="20"/>
      <c r="Q176" s="20"/>
      <c r="R176" s="20"/>
      <c r="S176" s="20"/>
      <c r="T176" s="20"/>
      <c r="U176" s="20"/>
      <c r="V176" s="20"/>
      <c r="W176" s="20"/>
      <c r="X176" s="20"/>
      <c r="Y176" s="20"/>
      <c r="Z176" s="20"/>
    </row>
    <row r="177" spans="10:26" ht="17.25" customHeight="1">
      <c r="J177" s="37"/>
      <c r="K177" s="58"/>
      <c r="L177" s="58"/>
      <c r="M177" s="58"/>
      <c r="N177" s="58"/>
      <c r="O177" s="31"/>
      <c r="P177" s="20"/>
      <c r="Q177" s="20"/>
      <c r="R177" s="20"/>
      <c r="S177" s="20"/>
      <c r="T177" s="20"/>
      <c r="U177" s="20"/>
      <c r="V177" s="20"/>
      <c r="W177" s="20"/>
      <c r="X177" s="20"/>
      <c r="Y177" s="20"/>
      <c r="Z177" s="20"/>
    </row>
    <row r="178" spans="10:26" ht="17.25" customHeight="1">
      <c r="J178" s="37"/>
      <c r="K178" s="58"/>
      <c r="L178" s="58"/>
      <c r="M178" s="58"/>
      <c r="N178" s="58"/>
      <c r="O178" s="31"/>
      <c r="P178" s="20"/>
      <c r="Q178" s="20"/>
      <c r="R178" s="20"/>
      <c r="S178" s="20"/>
      <c r="T178" s="20"/>
      <c r="U178" s="20"/>
      <c r="V178" s="20"/>
      <c r="W178" s="20"/>
      <c r="X178" s="20"/>
      <c r="Y178" s="20"/>
      <c r="Z178" s="20"/>
    </row>
    <row r="179" spans="10:26" ht="17.25" customHeight="1">
      <c r="J179" s="37"/>
      <c r="K179" s="58"/>
      <c r="L179" s="58"/>
      <c r="M179" s="58"/>
      <c r="N179" s="58"/>
      <c r="O179" s="31"/>
      <c r="P179" s="20"/>
      <c r="Q179" s="20"/>
      <c r="R179" s="20"/>
      <c r="S179" s="20"/>
      <c r="T179" s="20"/>
      <c r="U179" s="20"/>
      <c r="V179" s="20"/>
      <c r="W179" s="20"/>
      <c r="X179" s="20"/>
      <c r="Y179" s="20"/>
      <c r="Z179" s="20"/>
    </row>
    <row r="180" spans="10:26" ht="17.25" customHeight="1">
      <c r="J180" s="37"/>
      <c r="K180" s="58"/>
      <c r="L180" s="58"/>
      <c r="M180" s="58"/>
      <c r="N180" s="58"/>
      <c r="O180" s="31"/>
      <c r="P180" s="20"/>
      <c r="Q180" s="20"/>
      <c r="R180" s="20"/>
      <c r="S180" s="20"/>
      <c r="T180" s="20"/>
      <c r="U180" s="20"/>
      <c r="V180" s="20"/>
      <c r="W180" s="20"/>
      <c r="X180" s="20"/>
      <c r="Y180" s="20"/>
      <c r="Z180" s="20"/>
    </row>
    <row r="181" spans="10:26" ht="17.25" customHeight="1">
      <c r="J181" s="37"/>
      <c r="K181" s="58"/>
      <c r="L181" s="58"/>
      <c r="M181" s="58"/>
      <c r="N181" s="58"/>
      <c r="O181" s="31"/>
      <c r="P181" s="20"/>
      <c r="Q181" s="20"/>
      <c r="R181" s="20"/>
      <c r="S181" s="20"/>
      <c r="T181" s="20"/>
      <c r="U181" s="20"/>
      <c r="V181" s="20"/>
      <c r="W181" s="20"/>
      <c r="X181" s="20"/>
      <c r="Y181" s="20"/>
      <c r="Z181" s="20"/>
    </row>
    <row r="182" spans="10:26" ht="17.25" customHeight="1">
      <c r="J182" s="37"/>
      <c r="K182" s="58"/>
      <c r="L182" s="58"/>
      <c r="M182" s="58"/>
      <c r="N182" s="58"/>
      <c r="O182" s="31"/>
      <c r="P182" s="20"/>
      <c r="Q182" s="20"/>
      <c r="R182" s="20"/>
      <c r="S182" s="20"/>
      <c r="T182" s="20"/>
      <c r="U182" s="20"/>
      <c r="V182" s="20"/>
      <c r="W182" s="20"/>
      <c r="X182" s="20"/>
      <c r="Y182" s="20"/>
      <c r="Z182" s="20"/>
    </row>
    <row r="183" spans="10:26" ht="17.25" customHeight="1">
      <c r="J183" s="37"/>
      <c r="K183" s="58"/>
      <c r="L183" s="58"/>
      <c r="M183" s="58"/>
      <c r="N183" s="58"/>
      <c r="O183" s="31"/>
      <c r="P183" s="20"/>
      <c r="Q183" s="20"/>
      <c r="R183" s="20"/>
      <c r="S183" s="20"/>
      <c r="T183" s="20"/>
      <c r="U183" s="20"/>
      <c r="V183" s="20"/>
      <c r="W183" s="20"/>
      <c r="X183" s="20"/>
      <c r="Y183" s="20"/>
      <c r="Z183" s="20"/>
    </row>
    <row r="184" spans="10:26" ht="17.25" customHeight="1">
      <c r="J184" s="37"/>
      <c r="K184" s="58"/>
      <c r="L184" s="58"/>
      <c r="M184" s="58"/>
      <c r="N184" s="58"/>
      <c r="O184" s="31"/>
      <c r="P184" s="20"/>
      <c r="Q184" s="20"/>
      <c r="R184" s="20"/>
      <c r="S184" s="20"/>
      <c r="T184" s="20"/>
      <c r="U184" s="20"/>
      <c r="V184" s="20"/>
      <c r="W184" s="20"/>
      <c r="X184" s="20"/>
      <c r="Y184" s="20"/>
      <c r="Z184" s="20"/>
    </row>
    <row r="185" spans="10:26" ht="17.25" customHeight="1">
      <c r="J185" s="37"/>
      <c r="K185" s="58"/>
      <c r="L185" s="58"/>
      <c r="M185" s="58"/>
      <c r="N185" s="58"/>
      <c r="O185" s="31"/>
      <c r="P185" s="20"/>
      <c r="Q185" s="20"/>
      <c r="R185" s="20"/>
      <c r="S185" s="20"/>
      <c r="T185" s="20"/>
      <c r="U185" s="20"/>
      <c r="V185" s="20"/>
      <c r="W185" s="20"/>
      <c r="X185" s="20"/>
      <c r="Y185" s="20"/>
      <c r="Z185" s="20"/>
    </row>
    <row r="186" spans="10:26" ht="17.25" customHeight="1">
      <c r="J186" s="37"/>
      <c r="K186" s="58"/>
      <c r="L186" s="58"/>
      <c r="M186" s="58"/>
      <c r="N186" s="58"/>
      <c r="O186" s="31"/>
      <c r="P186" s="20"/>
      <c r="Q186" s="20"/>
      <c r="R186" s="20"/>
      <c r="S186" s="20"/>
      <c r="T186" s="20"/>
      <c r="U186" s="20"/>
      <c r="V186" s="20"/>
      <c r="W186" s="20"/>
      <c r="X186" s="20"/>
      <c r="Y186" s="20"/>
      <c r="Z186" s="20"/>
    </row>
    <row r="187" spans="10:26" ht="17.25" customHeight="1">
      <c r="J187" s="37"/>
      <c r="K187" s="58"/>
      <c r="L187" s="58"/>
      <c r="M187" s="58"/>
      <c r="N187" s="58"/>
      <c r="O187" s="31"/>
      <c r="P187" s="20"/>
      <c r="Q187" s="20"/>
      <c r="R187" s="20"/>
      <c r="S187" s="20"/>
      <c r="T187" s="20"/>
      <c r="U187" s="20"/>
      <c r="V187" s="20"/>
      <c r="W187" s="20"/>
      <c r="X187" s="20"/>
      <c r="Y187" s="20"/>
      <c r="Z187" s="20"/>
    </row>
    <row r="188" spans="10:26" ht="17.25" customHeight="1">
      <c r="J188" s="37"/>
      <c r="K188" s="58"/>
      <c r="L188" s="58"/>
      <c r="M188" s="58"/>
      <c r="N188" s="58"/>
      <c r="O188" s="31"/>
      <c r="P188" s="20"/>
      <c r="Q188" s="20"/>
      <c r="R188" s="20"/>
      <c r="S188" s="20"/>
      <c r="T188" s="20"/>
      <c r="U188" s="20"/>
      <c r="V188" s="20"/>
      <c r="W188" s="20"/>
      <c r="X188" s="20"/>
      <c r="Y188" s="20"/>
      <c r="Z188" s="20"/>
    </row>
    <row r="189" spans="10:26" ht="17.25" customHeight="1">
      <c r="J189" s="37"/>
      <c r="K189" s="58"/>
      <c r="L189" s="58"/>
      <c r="M189" s="58"/>
      <c r="N189" s="58"/>
      <c r="O189" s="31"/>
      <c r="P189" s="20"/>
      <c r="Q189" s="20"/>
      <c r="R189" s="20"/>
      <c r="S189" s="20"/>
      <c r="T189" s="20"/>
      <c r="U189" s="20"/>
      <c r="V189" s="20"/>
      <c r="W189" s="20"/>
      <c r="X189" s="20"/>
      <c r="Y189" s="20"/>
      <c r="Z189" s="20"/>
    </row>
    <row r="190" spans="10:26" ht="17.25" customHeight="1">
      <c r="J190" s="37"/>
      <c r="K190" s="58"/>
      <c r="L190" s="58"/>
      <c r="M190" s="58"/>
      <c r="N190" s="58"/>
      <c r="O190" s="31"/>
      <c r="P190" s="20"/>
      <c r="Q190" s="20"/>
      <c r="R190" s="20"/>
      <c r="S190" s="20"/>
      <c r="T190" s="20"/>
      <c r="U190" s="20"/>
      <c r="V190" s="20"/>
      <c r="W190" s="20"/>
      <c r="X190" s="20"/>
      <c r="Y190" s="20"/>
      <c r="Z190" s="20"/>
    </row>
    <row r="191" spans="10:26" ht="17.25" customHeight="1">
      <c r="J191" s="37"/>
      <c r="K191" s="58"/>
      <c r="L191" s="58"/>
      <c r="M191" s="58"/>
      <c r="N191" s="58"/>
      <c r="O191" s="31"/>
      <c r="P191" s="20"/>
      <c r="Q191" s="20"/>
      <c r="R191" s="20"/>
      <c r="S191" s="20"/>
      <c r="T191" s="20"/>
      <c r="U191" s="20"/>
      <c r="V191" s="20"/>
      <c r="W191" s="20"/>
      <c r="X191" s="20"/>
      <c r="Y191" s="20"/>
      <c r="Z191" s="20"/>
    </row>
    <row r="192" spans="10:26" ht="17.25" customHeight="1">
      <c r="J192" s="37"/>
      <c r="K192" s="58"/>
      <c r="L192" s="58"/>
      <c r="M192" s="58"/>
      <c r="N192" s="58"/>
      <c r="O192" s="31"/>
      <c r="P192" s="20"/>
      <c r="Q192" s="20"/>
      <c r="R192" s="20"/>
      <c r="S192" s="20"/>
      <c r="T192" s="20"/>
      <c r="U192" s="20"/>
      <c r="V192" s="20"/>
      <c r="W192" s="20"/>
      <c r="X192" s="20"/>
      <c r="Y192" s="20"/>
      <c r="Z192" s="20"/>
    </row>
    <row r="193" spans="10:26" ht="17.25" customHeight="1">
      <c r="J193" s="37"/>
      <c r="K193" s="58"/>
      <c r="L193" s="58"/>
      <c r="M193" s="58"/>
      <c r="N193" s="58"/>
      <c r="O193" s="31"/>
      <c r="P193" s="20"/>
      <c r="Q193" s="20"/>
      <c r="R193" s="20"/>
      <c r="S193" s="20"/>
      <c r="T193" s="20"/>
      <c r="U193" s="20"/>
      <c r="V193" s="20"/>
      <c r="W193" s="20"/>
      <c r="X193" s="20"/>
      <c r="Y193" s="20"/>
      <c r="Z193" s="20"/>
    </row>
    <row r="194" spans="10:26" ht="17.25" customHeight="1">
      <c r="J194" s="37"/>
      <c r="K194" s="58"/>
      <c r="L194" s="58"/>
      <c r="M194" s="58"/>
      <c r="N194" s="58"/>
      <c r="O194" s="31"/>
      <c r="P194" s="20"/>
      <c r="Q194" s="20"/>
      <c r="R194" s="20"/>
      <c r="S194" s="20"/>
      <c r="T194" s="20"/>
      <c r="U194" s="20"/>
      <c r="V194" s="20"/>
      <c r="W194" s="20"/>
      <c r="X194" s="20"/>
      <c r="Y194" s="20"/>
      <c r="Z194" s="20"/>
    </row>
    <row r="195" spans="10:26" ht="17.25" customHeight="1">
      <c r="J195" s="37"/>
      <c r="K195" s="58"/>
      <c r="L195" s="58"/>
      <c r="M195" s="58"/>
      <c r="N195" s="58"/>
      <c r="O195" s="31"/>
      <c r="P195" s="20"/>
      <c r="Q195" s="20"/>
      <c r="R195" s="20"/>
      <c r="S195" s="20"/>
      <c r="T195" s="20"/>
      <c r="U195" s="20"/>
      <c r="V195" s="20"/>
      <c r="W195" s="20"/>
      <c r="X195" s="20"/>
      <c r="Y195" s="20"/>
      <c r="Z195" s="20"/>
    </row>
    <row r="196" spans="10:26" ht="17.25" customHeight="1">
      <c r="J196" s="37"/>
      <c r="K196" s="58"/>
      <c r="L196" s="58"/>
      <c r="M196" s="58"/>
      <c r="N196" s="58"/>
      <c r="O196" s="31"/>
      <c r="P196" s="20"/>
      <c r="Q196" s="20"/>
      <c r="R196" s="20"/>
      <c r="S196" s="20"/>
      <c r="T196" s="20"/>
      <c r="U196" s="20"/>
      <c r="V196" s="20"/>
      <c r="W196" s="20"/>
      <c r="X196" s="20"/>
      <c r="Y196" s="20"/>
      <c r="Z196" s="20"/>
    </row>
    <row r="197" spans="10:26" ht="17.25" customHeight="1">
      <c r="J197" s="37"/>
      <c r="K197" s="58"/>
      <c r="L197" s="58"/>
      <c r="M197" s="58"/>
      <c r="N197" s="58"/>
      <c r="O197" s="31"/>
      <c r="P197" s="20"/>
      <c r="Q197" s="20"/>
      <c r="R197" s="20"/>
      <c r="S197" s="20"/>
      <c r="T197" s="20"/>
      <c r="U197" s="20"/>
      <c r="V197" s="20"/>
      <c r="W197" s="20"/>
      <c r="X197" s="20"/>
      <c r="Y197" s="20"/>
      <c r="Z197" s="20"/>
    </row>
    <row r="198" spans="10:26" ht="17.25" customHeight="1">
      <c r="J198" s="37"/>
      <c r="K198" s="58"/>
      <c r="L198" s="58"/>
      <c r="M198" s="58"/>
      <c r="N198" s="58"/>
      <c r="O198" s="31"/>
      <c r="P198" s="20"/>
      <c r="Q198" s="20"/>
      <c r="R198" s="20"/>
      <c r="S198" s="20"/>
      <c r="T198" s="20"/>
      <c r="U198" s="20"/>
      <c r="V198" s="20"/>
      <c r="W198" s="20"/>
      <c r="X198" s="20"/>
      <c r="Y198" s="20"/>
      <c r="Z198" s="20"/>
    </row>
    <row r="199" spans="10:26" ht="17.25" customHeight="1">
      <c r="J199" s="37"/>
      <c r="K199" s="58"/>
      <c r="L199" s="58"/>
      <c r="M199" s="58"/>
      <c r="N199" s="58"/>
      <c r="O199" s="31"/>
      <c r="P199" s="20"/>
      <c r="Q199" s="20"/>
      <c r="R199" s="20"/>
      <c r="S199" s="20"/>
      <c r="T199" s="20"/>
      <c r="U199" s="20"/>
      <c r="V199" s="20"/>
      <c r="W199" s="20"/>
      <c r="X199" s="20"/>
      <c r="Y199" s="20"/>
      <c r="Z199" s="20"/>
    </row>
    <row r="200" spans="10:26" ht="17.25" customHeight="1">
      <c r="J200" s="37"/>
      <c r="K200" s="58"/>
      <c r="L200" s="58"/>
      <c r="M200" s="58"/>
      <c r="N200" s="58"/>
      <c r="O200" s="31"/>
      <c r="P200" s="20"/>
      <c r="Q200" s="20"/>
      <c r="R200" s="20"/>
      <c r="S200" s="20"/>
      <c r="T200" s="20"/>
      <c r="U200" s="20"/>
      <c r="V200" s="20"/>
      <c r="W200" s="20"/>
      <c r="X200" s="20"/>
      <c r="Y200" s="20"/>
      <c r="Z200" s="20"/>
    </row>
    <row r="201" spans="10:26" ht="17.25" customHeight="1">
      <c r="J201" s="37"/>
      <c r="K201" s="58"/>
      <c r="L201" s="58"/>
      <c r="M201" s="58"/>
      <c r="N201" s="58"/>
      <c r="O201" s="31"/>
      <c r="P201" s="20"/>
      <c r="Q201" s="20"/>
      <c r="R201" s="20"/>
      <c r="S201" s="20"/>
      <c r="T201" s="20"/>
      <c r="U201" s="20"/>
      <c r="V201" s="20"/>
      <c r="W201" s="20"/>
      <c r="X201" s="20"/>
      <c r="Y201" s="20"/>
      <c r="Z201" s="20"/>
    </row>
    <row r="202" spans="10:26" ht="17.25" customHeight="1">
      <c r="J202" s="37"/>
      <c r="K202" s="58"/>
      <c r="L202" s="58"/>
      <c r="M202" s="58"/>
      <c r="N202" s="58"/>
      <c r="O202" s="31"/>
      <c r="P202" s="20"/>
      <c r="Q202" s="20"/>
      <c r="R202" s="20"/>
      <c r="S202" s="20"/>
      <c r="T202" s="20"/>
      <c r="U202" s="20"/>
      <c r="V202" s="20"/>
      <c r="W202" s="20"/>
      <c r="X202" s="20"/>
      <c r="Y202" s="20"/>
      <c r="Z202" s="20"/>
    </row>
    <row r="203" spans="10:26" ht="17.25" customHeight="1">
      <c r="J203" s="37"/>
      <c r="K203" s="58"/>
      <c r="L203" s="58"/>
      <c r="M203" s="58"/>
      <c r="N203" s="58"/>
      <c r="O203" s="31"/>
      <c r="P203" s="20"/>
      <c r="Q203" s="20"/>
      <c r="R203" s="20"/>
      <c r="S203" s="20"/>
      <c r="T203" s="20"/>
      <c r="U203" s="20"/>
      <c r="V203" s="20"/>
      <c r="W203" s="20"/>
      <c r="X203" s="20"/>
      <c r="Y203" s="20"/>
      <c r="Z203" s="20"/>
    </row>
    <row r="204" spans="10:26" ht="17.25" customHeight="1">
      <c r="J204" s="37"/>
      <c r="K204" s="58"/>
      <c r="L204" s="58"/>
      <c r="M204" s="58"/>
      <c r="N204" s="58"/>
      <c r="O204" s="31"/>
      <c r="P204" s="20"/>
      <c r="Q204" s="20"/>
      <c r="R204" s="20"/>
      <c r="S204" s="20"/>
      <c r="T204" s="20"/>
      <c r="U204" s="20"/>
      <c r="V204" s="20"/>
      <c r="W204" s="20"/>
      <c r="X204" s="20"/>
      <c r="Y204" s="20"/>
      <c r="Z204" s="20"/>
    </row>
    <row r="205" spans="10:26" ht="17.25" customHeight="1">
      <c r="J205" s="37"/>
      <c r="K205" s="58"/>
      <c r="L205" s="58"/>
      <c r="M205" s="58"/>
      <c r="N205" s="58"/>
      <c r="O205" s="31"/>
      <c r="P205" s="20"/>
      <c r="Q205" s="20"/>
      <c r="R205" s="20"/>
      <c r="S205" s="20"/>
      <c r="T205" s="20"/>
      <c r="U205" s="20"/>
      <c r="V205" s="20"/>
      <c r="W205" s="20"/>
      <c r="X205" s="20"/>
      <c r="Y205" s="20"/>
      <c r="Z205" s="20"/>
    </row>
    <row r="206" spans="10:26" ht="17.25" customHeight="1">
      <c r="J206" s="37"/>
      <c r="K206" s="58"/>
      <c r="L206" s="58"/>
      <c r="M206" s="58"/>
      <c r="N206" s="58"/>
      <c r="O206" s="31"/>
      <c r="P206" s="20"/>
      <c r="Q206" s="20"/>
      <c r="R206" s="20"/>
      <c r="S206" s="20"/>
      <c r="T206" s="20"/>
      <c r="U206" s="20"/>
      <c r="V206" s="20"/>
      <c r="W206" s="20"/>
      <c r="X206" s="20"/>
      <c r="Y206" s="20"/>
      <c r="Z206" s="20"/>
    </row>
    <row r="207" spans="10:26" ht="17.25" customHeight="1">
      <c r="J207" s="37"/>
      <c r="K207" s="58"/>
      <c r="L207" s="58"/>
      <c r="M207" s="58"/>
      <c r="N207" s="58"/>
      <c r="O207" s="31"/>
      <c r="P207" s="20"/>
      <c r="Q207" s="20"/>
      <c r="R207" s="20"/>
      <c r="S207" s="20"/>
      <c r="T207" s="20"/>
      <c r="U207" s="20"/>
      <c r="V207" s="20"/>
      <c r="W207" s="20"/>
      <c r="X207" s="20"/>
      <c r="Y207" s="20"/>
      <c r="Z207" s="20"/>
    </row>
    <row r="208" spans="10:26" ht="17.25" customHeight="1">
      <c r="J208" s="37"/>
      <c r="K208" s="58"/>
      <c r="L208" s="58"/>
      <c r="M208" s="58"/>
      <c r="N208" s="58"/>
      <c r="O208" s="31"/>
      <c r="P208" s="20"/>
      <c r="Q208" s="20"/>
      <c r="R208" s="20"/>
      <c r="S208" s="20"/>
      <c r="T208" s="20"/>
      <c r="U208" s="20"/>
      <c r="V208" s="20"/>
      <c r="W208" s="20"/>
      <c r="X208" s="20"/>
      <c r="Y208" s="20"/>
      <c r="Z208" s="20"/>
    </row>
    <row r="209" spans="10:26" ht="17.25" customHeight="1">
      <c r="J209" s="37"/>
      <c r="K209" s="58"/>
      <c r="L209" s="58"/>
      <c r="M209" s="58"/>
      <c r="N209" s="58"/>
      <c r="O209" s="31"/>
      <c r="P209" s="20"/>
      <c r="Q209" s="20"/>
      <c r="R209" s="20"/>
      <c r="S209" s="20"/>
      <c r="T209" s="20"/>
      <c r="U209" s="20"/>
      <c r="V209" s="20"/>
      <c r="W209" s="20"/>
      <c r="X209" s="20"/>
      <c r="Y209" s="20"/>
      <c r="Z209" s="20"/>
    </row>
    <row r="210" spans="10:26" ht="17.25" customHeight="1">
      <c r="J210" s="37"/>
      <c r="K210" s="58"/>
      <c r="L210" s="58"/>
      <c r="M210" s="58"/>
      <c r="N210" s="58"/>
      <c r="O210" s="31"/>
      <c r="P210" s="20"/>
      <c r="Q210" s="20"/>
      <c r="R210" s="20"/>
      <c r="S210" s="20"/>
      <c r="T210" s="20"/>
      <c r="U210" s="20"/>
      <c r="V210" s="20"/>
      <c r="W210" s="20"/>
      <c r="X210" s="20"/>
      <c r="Y210" s="20"/>
      <c r="Z210" s="20"/>
    </row>
    <row r="211" spans="10:26" ht="17.25" customHeight="1">
      <c r="J211" s="37"/>
      <c r="K211" s="58"/>
      <c r="L211" s="58"/>
      <c r="M211" s="58"/>
      <c r="N211" s="58"/>
      <c r="O211" s="31"/>
      <c r="P211" s="20"/>
      <c r="Q211" s="20"/>
      <c r="R211" s="20"/>
      <c r="S211" s="20"/>
      <c r="T211" s="20"/>
      <c r="U211" s="20"/>
      <c r="V211" s="20"/>
      <c r="W211" s="20"/>
      <c r="X211" s="20"/>
      <c r="Y211" s="20"/>
      <c r="Z211" s="20"/>
    </row>
    <row r="212" spans="10:26" ht="17.25" customHeight="1">
      <c r="J212" s="37"/>
      <c r="K212" s="58"/>
      <c r="L212" s="58"/>
      <c r="M212" s="58"/>
      <c r="N212" s="58"/>
      <c r="O212" s="31"/>
      <c r="P212" s="20"/>
      <c r="Q212" s="20"/>
      <c r="R212" s="20"/>
      <c r="S212" s="20"/>
      <c r="T212" s="20"/>
      <c r="U212" s="20"/>
      <c r="V212" s="20"/>
      <c r="W212" s="20"/>
      <c r="X212" s="20"/>
      <c r="Y212" s="20"/>
      <c r="Z212" s="20"/>
    </row>
    <row r="213" spans="10:26" ht="17.25" customHeight="1">
      <c r="J213" s="37"/>
      <c r="K213" s="58"/>
      <c r="L213" s="58"/>
      <c r="M213" s="58"/>
      <c r="N213" s="58"/>
      <c r="O213" s="31"/>
      <c r="P213" s="20"/>
      <c r="Q213" s="20"/>
      <c r="R213" s="20"/>
      <c r="S213" s="20"/>
      <c r="T213" s="20"/>
      <c r="U213" s="20"/>
      <c r="V213" s="20"/>
      <c r="W213" s="20"/>
      <c r="X213" s="20"/>
      <c r="Y213" s="20"/>
      <c r="Z213" s="20"/>
    </row>
    <row r="214" spans="10:26" ht="17.25" customHeight="1">
      <c r="J214" s="37"/>
      <c r="K214" s="58"/>
      <c r="L214" s="58"/>
      <c r="M214" s="58"/>
      <c r="N214" s="58"/>
      <c r="O214" s="31"/>
      <c r="P214" s="20"/>
      <c r="Q214" s="20"/>
      <c r="R214" s="20"/>
      <c r="S214" s="20"/>
      <c r="T214" s="20"/>
      <c r="U214" s="20"/>
      <c r="V214" s="20"/>
      <c r="W214" s="20"/>
      <c r="X214" s="20"/>
      <c r="Y214" s="20"/>
      <c r="Z214" s="20"/>
    </row>
    <row r="215" spans="10:26" ht="17.25" customHeight="1">
      <c r="J215" s="37"/>
      <c r="K215" s="58"/>
      <c r="L215" s="58"/>
      <c r="M215" s="58"/>
      <c r="N215" s="58"/>
      <c r="O215" s="31"/>
      <c r="P215" s="20"/>
      <c r="Q215" s="20"/>
      <c r="R215" s="20"/>
      <c r="S215" s="20"/>
      <c r="T215" s="20"/>
      <c r="U215" s="20"/>
      <c r="V215" s="20"/>
      <c r="W215" s="20"/>
      <c r="X215" s="20"/>
      <c r="Y215" s="20"/>
      <c r="Z215" s="20"/>
    </row>
    <row r="216" spans="10:26" ht="17.25" customHeight="1">
      <c r="J216" s="37"/>
      <c r="K216" s="58"/>
      <c r="L216" s="58"/>
      <c r="M216" s="58"/>
      <c r="N216" s="58"/>
      <c r="O216" s="31"/>
      <c r="P216" s="20"/>
      <c r="Q216" s="20"/>
      <c r="R216" s="20"/>
      <c r="S216" s="20"/>
      <c r="T216" s="20"/>
      <c r="U216" s="20"/>
      <c r="V216" s="20"/>
      <c r="W216" s="20"/>
      <c r="X216" s="20"/>
      <c r="Y216" s="20"/>
      <c r="Z216" s="20"/>
    </row>
    <row r="217" spans="10:26" ht="17.25" customHeight="1">
      <c r="J217" s="37"/>
      <c r="K217" s="58"/>
      <c r="L217" s="58"/>
      <c r="M217" s="58"/>
      <c r="N217" s="58"/>
      <c r="O217" s="31"/>
      <c r="P217" s="20"/>
      <c r="Q217" s="20"/>
      <c r="R217" s="20"/>
      <c r="S217" s="20"/>
      <c r="T217" s="20"/>
      <c r="U217" s="20"/>
      <c r="V217" s="20"/>
      <c r="W217" s="20"/>
      <c r="X217" s="20"/>
      <c r="Y217" s="20"/>
      <c r="Z217" s="20"/>
    </row>
    <row r="218" spans="10:26" ht="17.25" customHeight="1">
      <c r="J218" s="37"/>
      <c r="K218" s="58"/>
      <c r="L218" s="58"/>
      <c r="M218" s="58"/>
      <c r="N218" s="58"/>
      <c r="O218" s="31"/>
      <c r="P218" s="20"/>
      <c r="Q218" s="20"/>
      <c r="R218" s="20"/>
      <c r="S218" s="20"/>
      <c r="T218" s="20"/>
      <c r="U218" s="20"/>
      <c r="V218" s="20"/>
      <c r="W218" s="20"/>
      <c r="X218" s="20"/>
      <c r="Y218" s="20"/>
      <c r="Z218" s="20"/>
    </row>
    <row r="219" spans="10:26" ht="17.25" customHeight="1">
      <c r="J219" s="37"/>
      <c r="K219" s="58"/>
      <c r="L219" s="58"/>
      <c r="M219" s="58"/>
      <c r="N219" s="58"/>
      <c r="O219" s="31"/>
      <c r="P219" s="20"/>
      <c r="Q219" s="20"/>
      <c r="R219" s="20"/>
      <c r="S219" s="20"/>
      <c r="T219" s="20"/>
      <c r="U219" s="20"/>
      <c r="V219" s="20"/>
      <c r="W219" s="20"/>
      <c r="X219" s="20"/>
      <c r="Y219" s="20"/>
      <c r="Z219" s="20"/>
    </row>
    <row r="220" spans="10:26" ht="17.25" customHeight="1">
      <c r="J220" s="37"/>
      <c r="K220" s="58"/>
      <c r="L220" s="58"/>
      <c r="M220" s="58"/>
      <c r="N220" s="58"/>
      <c r="O220" s="31"/>
      <c r="P220" s="20"/>
      <c r="Q220" s="20"/>
      <c r="R220" s="20"/>
      <c r="S220" s="20"/>
      <c r="T220" s="20"/>
      <c r="U220" s="20"/>
      <c r="V220" s="20"/>
      <c r="W220" s="20"/>
      <c r="X220" s="20"/>
      <c r="Y220" s="20"/>
      <c r="Z220" s="20"/>
    </row>
    <row r="221" spans="10:26" ht="17.25" customHeight="1">
      <c r="J221" s="37"/>
      <c r="K221" s="58"/>
      <c r="L221" s="58"/>
      <c r="M221" s="58"/>
      <c r="N221" s="58"/>
      <c r="O221" s="31"/>
      <c r="P221" s="20"/>
      <c r="Q221" s="20"/>
      <c r="R221" s="20"/>
      <c r="S221" s="20"/>
      <c r="T221" s="20"/>
      <c r="U221" s="20"/>
      <c r="V221" s="20"/>
      <c r="W221" s="20"/>
      <c r="X221" s="20"/>
      <c r="Y221" s="20"/>
      <c r="Z221" s="20"/>
    </row>
    <row r="222" spans="10:26" ht="17.25" customHeight="1">
      <c r="J222" s="37"/>
      <c r="K222" s="58"/>
      <c r="L222" s="58"/>
      <c r="M222" s="58"/>
      <c r="N222" s="58"/>
      <c r="O222" s="31"/>
      <c r="P222" s="20"/>
      <c r="Q222" s="20"/>
      <c r="R222" s="20"/>
      <c r="S222" s="20"/>
      <c r="T222" s="20"/>
      <c r="U222" s="20"/>
      <c r="V222" s="20"/>
      <c r="W222" s="20"/>
      <c r="X222" s="20"/>
      <c r="Y222" s="20"/>
      <c r="Z222" s="20"/>
    </row>
    <row r="223" spans="10:26" ht="17.25" customHeight="1">
      <c r="J223" s="37"/>
      <c r="K223" s="58"/>
      <c r="L223" s="58"/>
      <c r="M223" s="58"/>
      <c r="N223" s="58"/>
      <c r="O223" s="31"/>
      <c r="P223" s="20"/>
      <c r="Q223" s="20"/>
      <c r="R223" s="20"/>
      <c r="S223" s="20"/>
      <c r="T223" s="20"/>
      <c r="U223" s="20"/>
      <c r="V223" s="20"/>
      <c r="W223" s="20"/>
      <c r="X223" s="20"/>
      <c r="Y223" s="20"/>
      <c r="Z223" s="20"/>
    </row>
    <row r="224" spans="10:26" ht="17.25" customHeight="1">
      <c r="J224" s="37"/>
      <c r="K224" s="58"/>
      <c r="L224" s="58"/>
      <c r="M224" s="58"/>
      <c r="N224" s="58"/>
      <c r="O224" s="31"/>
      <c r="P224" s="20"/>
      <c r="Q224" s="20"/>
      <c r="R224" s="20"/>
      <c r="S224" s="20"/>
      <c r="T224" s="20"/>
      <c r="U224" s="20"/>
      <c r="V224" s="20"/>
      <c r="W224" s="20"/>
      <c r="X224" s="20"/>
      <c r="Y224" s="20"/>
      <c r="Z224" s="20"/>
    </row>
    <row r="225" spans="10:26" ht="17.25" customHeight="1">
      <c r="J225" s="37"/>
      <c r="K225" s="58"/>
      <c r="L225" s="58"/>
      <c r="M225" s="58"/>
      <c r="N225" s="58"/>
      <c r="O225" s="31"/>
      <c r="P225" s="20"/>
      <c r="Q225" s="20"/>
      <c r="R225" s="20"/>
      <c r="S225" s="20"/>
      <c r="T225" s="20"/>
      <c r="U225" s="20"/>
      <c r="V225" s="20"/>
      <c r="W225" s="20"/>
      <c r="X225" s="20"/>
      <c r="Y225" s="20"/>
      <c r="Z225" s="20"/>
    </row>
    <row r="226" spans="10:26" ht="17.25" customHeight="1">
      <c r="J226" s="37"/>
      <c r="K226" s="58"/>
      <c r="L226" s="58"/>
      <c r="M226" s="58"/>
      <c r="N226" s="58"/>
      <c r="O226" s="31"/>
      <c r="P226" s="20"/>
      <c r="Q226" s="20"/>
      <c r="R226" s="20"/>
      <c r="S226" s="20"/>
      <c r="T226" s="20"/>
      <c r="U226" s="20"/>
      <c r="V226" s="20"/>
      <c r="W226" s="20"/>
      <c r="X226" s="20"/>
      <c r="Y226" s="20"/>
      <c r="Z226" s="20"/>
    </row>
    <row r="227" spans="10:26" ht="17.25" customHeight="1">
      <c r="J227" s="37"/>
      <c r="K227" s="58"/>
      <c r="L227" s="58"/>
      <c r="M227" s="58"/>
      <c r="N227" s="58"/>
      <c r="O227" s="31"/>
      <c r="P227" s="20"/>
      <c r="Q227" s="20"/>
      <c r="R227" s="20"/>
      <c r="S227" s="20"/>
      <c r="T227" s="20"/>
      <c r="U227" s="20"/>
      <c r="V227" s="20"/>
      <c r="W227" s="20"/>
      <c r="X227" s="20"/>
      <c r="Y227" s="20"/>
      <c r="Z227" s="20"/>
    </row>
    <row r="228" spans="10:26" ht="17.25" customHeight="1">
      <c r="J228" s="37"/>
      <c r="K228" s="58"/>
      <c r="L228" s="58"/>
      <c r="M228" s="58"/>
      <c r="N228" s="58"/>
      <c r="O228" s="31"/>
      <c r="P228" s="20"/>
      <c r="Q228" s="20"/>
      <c r="R228" s="20"/>
      <c r="S228" s="20"/>
      <c r="T228" s="20"/>
      <c r="U228" s="20"/>
      <c r="V228" s="20"/>
      <c r="W228" s="20"/>
      <c r="X228" s="20"/>
      <c r="Y228" s="20"/>
      <c r="Z228" s="20"/>
    </row>
    <row r="229" spans="10:26" ht="17.25" customHeight="1">
      <c r="J229" s="37"/>
      <c r="K229" s="58"/>
      <c r="L229" s="58"/>
      <c r="M229" s="58"/>
      <c r="N229" s="58"/>
      <c r="O229" s="31"/>
      <c r="P229" s="20"/>
      <c r="Q229" s="20"/>
      <c r="R229" s="20"/>
      <c r="S229" s="20"/>
      <c r="T229" s="20"/>
      <c r="U229" s="20"/>
      <c r="V229" s="20"/>
      <c r="W229" s="20"/>
      <c r="X229" s="20"/>
      <c r="Y229" s="20"/>
      <c r="Z229" s="20"/>
    </row>
    <row r="230" spans="10:26" ht="17.25" customHeight="1">
      <c r="J230" s="37"/>
      <c r="K230" s="58"/>
      <c r="L230" s="58"/>
      <c r="M230" s="58"/>
      <c r="N230" s="58"/>
      <c r="O230" s="31"/>
      <c r="P230" s="20"/>
      <c r="Q230" s="20"/>
      <c r="R230" s="20"/>
      <c r="S230" s="20"/>
      <c r="T230" s="20"/>
      <c r="U230" s="20"/>
      <c r="V230" s="20"/>
      <c r="W230" s="20"/>
      <c r="X230" s="20"/>
      <c r="Y230" s="20"/>
      <c r="Z230" s="20"/>
    </row>
    <row r="231" spans="10:26" ht="17.25" customHeight="1">
      <c r="J231" s="37"/>
      <c r="K231" s="58"/>
      <c r="L231" s="58"/>
      <c r="M231" s="58"/>
      <c r="N231" s="58"/>
      <c r="O231" s="31"/>
      <c r="P231" s="20"/>
      <c r="Q231" s="20"/>
      <c r="R231" s="20"/>
      <c r="S231" s="20"/>
      <c r="T231" s="20"/>
      <c r="U231" s="20"/>
      <c r="V231" s="20"/>
      <c r="W231" s="20"/>
      <c r="X231" s="20"/>
      <c r="Y231" s="20"/>
      <c r="Z231" s="20"/>
    </row>
    <row r="232" spans="10:26" ht="17.25" customHeight="1">
      <c r="J232" s="37"/>
      <c r="K232" s="58"/>
      <c r="L232" s="58"/>
      <c r="M232" s="58"/>
      <c r="N232" s="58"/>
      <c r="O232" s="31"/>
      <c r="P232" s="20"/>
      <c r="Q232" s="20"/>
      <c r="R232" s="20"/>
      <c r="S232" s="20"/>
      <c r="T232" s="20"/>
      <c r="U232" s="20"/>
      <c r="V232" s="20"/>
      <c r="W232" s="20"/>
      <c r="X232" s="20"/>
      <c r="Y232" s="20"/>
      <c r="Z232" s="20"/>
    </row>
    <row r="233" spans="10:26" ht="17.25" customHeight="1">
      <c r="J233" s="37"/>
      <c r="K233" s="58"/>
      <c r="L233" s="58"/>
      <c r="M233" s="58"/>
      <c r="N233" s="58"/>
      <c r="O233" s="31"/>
      <c r="P233" s="20"/>
      <c r="Q233" s="20"/>
      <c r="R233" s="20"/>
      <c r="S233" s="20"/>
      <c r="T233" s="20"/>
      <c r="U233" s="20"/>
      <c r="V233" s="20"/>
      <c r="W233" s="20"/>
      <c r="X233" s="20"/>
      <c r="Y233" s="20"/>
      <c r="Z233" s="20"/>
    </row>
    <row r="234" spans="10:26" ht="17.25" customHeight="1">
      <c r="J234" s="37"/>
      <c r="K234" s="58"/>
      <c r="L234" s="58"/>
      <c r="M234" s="58"/>
      <c r="N234" s="58"/>
      <c r="O234" s="31"/>
      <c r="P234" s="20"/>
      <c r="Q234" s="20"/>
      <c r="R234" s="20"/>
      <c r="S234" s="20"/>
      <c r="T234" s="20"/>
      <c r="U234" s="20"/>
      <c r="V234" s="20"/>
      <c r="W234" s="20"/>
      <c r="X234" s="20"/>
      <c r="Y234" s="20"/>
      <c r="Z234" s="20"/>
    </row>
    <row r="235" spans="10:26" ht="17.25" customHeight="1">
      <c r="J235" s="37"/>
      <c r="K235" s="58"/>
      <c r="L235" s="58"/>
      <c r="M235" s="58"/>
      <c r="N235" s="58"/>
      <c r="O235" s="31"/>
      <c r="P235" s="20"/>
      <c r="Q235" s="20"/>
      <c r="R235" s="20"/>
      <c r="S235" s="20"/>
      <c r="T235" s="20"/>
      <c r="U235" s="20"/>
      <c r="V235" s="20"/>
      <c r="W235" s="20"/>
      <c r="X235" s="20"/>
      <c r="Y235" s="20"/>
      <c r="Z235" s="20"/>
    </row>
    <row r="236" spans="10:26" ht="17.25" customHeight="1">
      <c r="J236" s="37"/>
      <c r="K236" s="58"/>
      <c r="L236" s="58"/>
      <c r="M236" s="58"/>
      <c r="N236" s="58"/>
      <c r="O236" s="31"/>
      <c r="P236" s="20"/>
      <c r="Q236" s="20"/>
      <c r="R236" s="20"/>
      <c r="S236" s="20"/>
      <c r="T236" s="20"/>
      <c r="U236" s="20"/>
      <c r="V236" s="20"/>
      <c r="W236" s="20"/>
      <c r="X236" s="20"/>
      <c r="Y236" s="20"/>
      <c r="Z236" s="20"/>
    </row>
    <row r="237" spans="10:26" ht="17.25" customHeight="1">
      <c r="J237" s="37"/>
      <c r="K237" s="58"/>
      <c r="L237" s="58"/>
      <c r="M237" s="58"/>
      <c r="N237" s="58"/>
      <c r="O237" s="31"/>
      <c r="P237" s="20"/>
      <c r="Q237" s="20"/>
      <c r="R237" s="20"/>
      <c r="S237" s="20"/>
      <c r="T237" s="20"/>
      <c r="U237" s="20"/>
      <c r="V237" s="20"/>
      <c r="W237" s="20"/>
      <c r="X237" s="20"/>
      <c r="Y237" s="20"/>
      <c r="Z237" s="20"/>
    </row>
    <row r="238" spans="10:26" ht="17.25" customHeight="1">
      <c r="J238" s="37"/>
      <c r="K238" s="58"/>
      <c r="L238" s="58"/>
      <c r="M238" s="58"/>
      <c r="N238" s="58"/>
      <c r="O238" s="31"/>
      <c r="P238" s="20"/>
      <c r="Q238" s="20"/>
      <c r="R238" s="20"/>
      <c r="S238" s="20"/>
      <c r="T238" s="20"/>
      <c r="U238" s="20"/>
      <c r="V238" s="20"/>
      <c r="W238" s="20"/>
      <c r="X238" s="20"/>
      <c r="Y238" s="20"/>
      <c r="Z238" s="20"/>
    </row>
    <row r="239" spans="10:26" ht="17.25" customHeight="1">
      <c r="J239" s="37"/>
      <c r="K239" s="58"/>
      <c r="L239" s="58"/>
      <c r="M239" s="58"/>
      <c r="N239" s="58"/>
      <c r="O239" s="31"/>
      <c r="P239" s="20"/>
      <c r="Q239" s="20"/>
      <c r="R239" s="20"/>
      <c r="S239" s="20"/>
      <c r="T239" s="20"/>
      <c r="U239" s="20"/>
      <c r="V239" s="20"/>
      <c r="W239" s="20"/>
      <c r="X239" s="20"/>
      <c r="Y239" s="20"/>
      <c r="Z239" s="20"/>
    </row>
    <row r="240" spans="10:26" ht="17.25" customHeight="1">
      <c r="J240" s="37"/>
      <c r="K240" s="58"/>
      <c r="L240" s="58"/>
      <c r="M240" s="58"/>
      <c r="N240" s="58"/>
      <c r="O240" s="31"/>
      <c r="P240" s="20"/>
      <c r="Q240" s="20"/>
      <c r="R240" s="20"/>
      <c r="S240" s="20"/>
      <c r="T240" s="20"/>
      <c r="U240" s="20"/>
      <c r="V240" s="20"/>
      <c r="W240" s="20"/>
      <c r="X240" s="20"/>
      <c r="Y240" s="20"/>
      <c r="Z240" s="20"/>
    </row>
    <row r="241" spans="10:26" ht="17.25" customHeight="1">
      <c r="J241" s="37"/>
      <c r="K241" s="58"/>
      <c r="L241" s="58"/>
      <c r="M241" s="58"/>
      <c r="N241" s="58"/>
      <c r="O241" s="31"/>
      <c r="P241" s="20"/>
      <c r="Q241" s="20"/>
      <c r="R241" s="20"/>
      <c r="S241" s="20"/>
      <c r="T241" s="20"/>
      <c r="U241" s="20"/>
      <c r="V241" s="20"/>
      <c r="W241" s="20"/>
      <c r="X241" s="20"/>
      <c r="Y241" s="20"/>
      <c r="Z241" s="20"/>
    </row>
    <row r="242" spans="10:26" ht="17.25" customHeight="1">
      <c r="J242" s="37"/>
      <c r="K242" s="58"/>
      <c r="L242" s="58"/>
      <c r="M242" s="58"/>
      <c r="N242" s="58"/>
      <c r="O242" s="31"/>
      <c r="P242" s="20"/>
      <c r="Q242" s="20"/>
      <c r="R242" s="20"/>
      <c r="S242" s="20"/>
      <c r="T242" s="20"/>
      <c r="U242" s="20"/>
      <c r="V242" s="20"/>
      <c r="W242" s="20"/>
      <c r="X242" s="20"/>
      <c r="Y242" s="20"/>
      <c r="Z242" s="20"/>
    </row>
    <row r="243" spans="10:26" ht="17.25" customHeight="1">
      <c r="J243" s="37"/>
      <c r="K243" s="58"/>
      <c r="L243" s="58"/>
      <c r="M243" s="58"/>
      <c r="N243" s="58"/>
      <c r="O243" s="31"/>
      <c r="P243" s="20"/>
      <c r="Q243" s="20"/>
      <c r="R243" s="20"/>
      <c r="S243" s="20"/>
      <c r="T243" s="20"/>
      <c r="U243" s="20"/>
      <c r="V243" s="20"/>
      <c r="W243" s="20"/>
      <c r="X243" s="20"/>
      <c r="Y243" s="20"/>
      <c r="Z243" s="20"/>
    </row>
    <row r="244" spans="10:26" ht="17.25" customHeight="1">
      <c r="J244" s="37"/>
      <c r="K244" s="58"/>
      <c r="L244" s="58"/>
      <c r="M244" s="58"/>
      <c r="N244" s="58"/>
      <c r="O244" s="31"/>
      <c r="P244" s="20"/>
      <c r="Q244" s="20"/>
      <c r="R244" s="20"/>
      <c r="S244" s="20"/>
      <c r="T244" s="20"/>
      <c r="U244" s="20"/>
      <c r="V244" s="20"/>
      <c r="W244" s="20"/>
      <c r="X244" s="20"/>
      <c r="Y244" s="20"/>
      <c r="Z244" s="20"/>
    </row>
    <row r="245" spans="10:26" ht="17.25" customHeight="1">
      <c r="J245" s="37"/>
      <c r="K245" s="58"/>
      <c r="L245" s="58"/>
      <c r="M245" s="58"/>
      <c r="N245" s="58"/>
      <c r="O245" s="31"/>
      <c r="P245" s="20"/>
      <c r="Q245" s="20"/>
      <c r="R245" s="20"/>
      <c r="S245" s="20"/>
      <c r="T245" s="20"/>
      <c r="U245" s="20"/>
      <c r="V245" s="20"/>
      <c r="W245" s="20"/>
      <c r="X245" s="20"/>
      <c r="Y245" s="20"/>
      <c r="Z245" s="20"/>
    </row>
    <row r="246" spans="10:26" ht="17.25" customHeight="1">
      <c r="J246" s="37"/>
      <c r="K246" s="58"/>
      <c r="L246" s="58"/>
      <c r="M246" s="58"/>
      <c r="N246" s="58"/>
      <c r="O246" s="31"/>
      <c r="P246" s="20"/>
      <c r="Q246" s="20"/>
      <c r="R246" s="20"/>
      <c r="S246" s="20"/>
      <c r="T246" s="20"/>
      <c r="U246" s="20"/>
      <c r="V246" s="20"/>
      <c r="W246" s="20"/>
      <c r="X246" s="20"/>
      <c r="Y246" s="20"/>
      <c r="Z246" s="20"/>
    </row>
    <row r="247" spans="10:26" ht="17.25" customHeight="1">
      <c r="J247" s="37"/>
      <c r="K247" s="58"/>
      <c r="L247" s="58"/>
      <c r="M247" s="58"/>
      <c r="N247" s="58"/>
      <c r="O247" s="31"/>
      <c r="P247" s="20"/>
      <c r="Q247" s="20"/>
      <c r="R247" s="20"/>
      <c r="S247" s="20"/>
      <c r="T247" s="20"/>
      <c r="U247" s="20"/>
      <c r="V247" s="20"/>
      <c r="W247" s="20"/>
      <c r="X247" s="20"/>
      <c r="Y247" s="20"/>
      <c r="Z247" s="20"/>
    </row>
    <row r="248" spans="10:26" ht="17.25" customHeight="1">
      <c r="J248" s="37"/>
      <c r="K248" s="58"/>
      <c r="L248" s="58"/>
      <c r="M248" s="58"/>
      <c r="N248" s="58"/>
      <c r="O248" s="31"/>
      <c r="P248" s="20"/>
      <c r="Q248" s="20"/>
      <c r="R248" s="20"/>
      <c r="S248" s="20"/>
      <c r="T248" s="20"/>
      <c r="U248" s="20"/>
      <c r="V248" s="20"/>
      <c r="W248" s="20"/>
      <c r="X248" s="20"/>
      <c r="Y248" s="20"/>
      <c r="Z248" s="20"/>
    </row>
    <row r="249" spans="10:26" ht="17.25" customHeight="1">
      <c r="J249" s="37"/>
      <c r="K249" s="58"/>
      <c r="L249" s="58"/>
      <c r="M249" s="58"/>
      <c r="N249" s="58"/>
      <c r="O249" s="31"/>
      <c r="P249" s="20"/>
      <c r="Q249" s="20"/>
      <c r="R249" s="20"/>
      <c r="S249" s="20"/>
      <c r="T249" s="20"/>
      <c r="U249" s="20"/>
      <c r="V249" s="20"/>
      <c r="W249" s="20"/>
      <c r="X249" s="20"/>
      <c r="Y249" s="20"/>
      <c r="Z249" s="20"/>
    </row>
    <row r="250" spans="10:26" ht="17.25" customHeight="1">
      <c r="J250" s="37"/>
      <c r="K250" s="58"/>
      <c r="L250" s="58"/>
      <c r="M250" s="58"/>
      <c r="N250" s="58"/>
      <c r="O250" s="31"/>
      <c r="P250" s="20"/>
      <c r="Q250" s="20"/>
      <c r="R250" s="20"/>
      <c r="S250" s="20"/>
      <c r="T250" s="20"/>
      <c r="U250" s="20"/>
      <c r="V250" s="20"/>
      <c r="W250" s="20"/>
      <c r="X250" s="20"/>
      <c r="Y250" s="20"/>
      <c r="Z250" s="20"/>
    </row>
    <row r="251" spans="10:26" ht="17.25" customHeight="1">
      <c r="J251" s="37"/>
      <c r="K251" s="58"/>
      <c r="L251" s="58"/>
      <c r="M251" s="58"/>
      <c r="N251" s="58"/>
      <c r="O251" s="31"/>
      <c r="P251" s="20"/>
      <c r="Q251" s="20"/>
      <c r="R251" s="20"/>
      <c r="S251" s="20"/>
      <c r="T251" s="20"/>
      <c r="U251" s="20"/>
      <c r="V251" s="20"/>
      <c r="W251" s="20"/>
      <c r="X251" s="20"/>
      <c r="Y251" s="20"/>
      <c r="Z251" s="20"/>
    </row>
    <row r="252" spans="10:26" ht="17.25" customHeight="1">
      <c r="J252" s="37"/>
      <c r="K252" s="58"/>
      <c r="L252" s="58"/>
      <c r="M252" s="58"/>
      <c r="N252" s="58"/>
      <c r="O252" s="31"/>
      <c r="P252" s="20"/>
      <c r="Q252" s="20"/>
      <c r="R252" s="20"/>
      <c r="S252" s="20"/>
      <c r="T252" s="20"/>
      <c r="U252" s="20"/>
      <c r="V252" s="20"/>
      <c r="W252" s="20"/>
      <c r="X252" s="20"/>
      <c r="Y252" s="20"/>
      <c r="Z252" s="20"/>
    </row>
    <row r="253" spans="10:26" ht="17.25" customHeight="1">
      <c r="J253" s="37"/>
      <c r="K253" s="58"/>
      <c r="L253" s="58"/>
      <c r="M253" s="58"/>
      <c r="N253" s="58"/>
      <c r="O253" s="31"/>
      <c r="P253" s="20"/>
      <c r="Q253" s="20"/>
      <c r="R253" s="20"/>
      <c r="S253" s="20"/>
      <c r="T253" s="20"/>
      <c r="U253" s="20"/>
      <c r="V253" s="20"/>
      <c r="W253" s="20"/>
      <c r="X253" s="20"/>
      <c r="Y253" s="20"/>
      <c r="Z253" s="20"/>
    </row>
    <row r="254" spans="10:26" ht="17.25" customHeight="1">
      <c r="J254" s="37"/>
      <c r="K254" s="58"/>
      <c r="L254" s="58"/>
      <c r="M254" s="58"/>
      <c r="N254" s="58"/>
      <c r="O254" s="31"/>
      <c r="P254" s="20"/>
      <c r="Q254" s="20"/>
      <c r="R254" s="20"/>
      <c r="S254" s="20"/>
      <c r="T254" s="20"/>
      <c r="U254" s="20"/>
      <c r="V254" s="20"/>
      <c r="W254" s="20"/>
      <c r="X254" s="20"/>
      <c r="Y254" s="20"/>
      <c r="Z254" s="20"/>
    </row>
    <row r="255" spans="10:26" ht="17.25" customHeight="1">
      <c r="J255" s="37"/>
      <c r="K255" s="58"/>
      <c r="L255" s="58"/>
      <c r="M255" s="58"/>
      <c r="N255" s="58"/>
      <c r="O255" s="31"/>
      <c r="P255" s="20"/>
      <c r="Q255" s="20"/>
      <c r="R255" s="20"/>
      <c r="S255" s="20"/>
      <c r="T255" s="20"/>
      <c r="U255" s="20"/>
      <c r="V255" s="20"/>
      <c r="W255" s="20"/>
      <c r="X255" s="20"/>
      <c r="Y255" s="20"/>
      <c r="Z255" s="20"/>
    </row>
    <row r="256" spans="10:26" ht="17.25" customHeight="1">
      <c r="J256" s="37"/>
      <c r="K256" s="58"/>
      <c r="L256" s="58"/>
      <c r="M256" s="58"/>
      <c r="N256" s="58"/>
      <c r="O256" s="31"/>
      <c r="P256" s="20"/>
      <c r="Q256" s="20"/>
      <c r="R256" s="20"/>
      <c r="S256" s="20"/>
      <c r="T256" s="20"/>
      <c r="U256" s="20"/>
      <c r="V256" s="20"/>
      <c r="W256" s="20"/>
      <c r="X256" s="20"/>
      <c r="Y256" s="20"/>
      <c r="Z256" s="20"/>
    </row>
    <row r="257" spans="10:26" ht="17.25" customHeight="1">
      <c r="J257" s="37"/>
      <c r="K257" s="58"/>
      <c r="L257" s="58"/>
      <c r="M257" s="58"/>
      <c r="N257" s="58"/>
      <c r="O257" s="31"/>
      <c r="P257" s="20"/>
      <c r="Q257" s="20"/>
      <c r="R257" s="20"/>
      <c r="S257" s="20"/>
      <c r="T257" s="20"/>
      <c r="U257" s="20"/>
      <c r="V257" s="20"/>
      <c r="W257" s="20"/>
      <c r="X257" s="20"/>
      <c r="Y257" s="20"/>
      <c r="Z257" s="20"/>
    </row>
    <row r="258" spans="10:26" ht="17.25" customHeight="1">
      <c r="J258" s="37"/>
      <c r="K258" s="58"/>
      <c r="L258" s="58"/>
      <c r="M258" s="58"/>
      <c r="N258" s="58"/>
      <c r="O258" s="31"/>
      <c r="P258" s="20"/>
      <c r="Q258" s="20"/>
      <c r="R258" s="20"/>
      <c r="S258" s="20"/>
      <c r="T258" s="20"/>
      <c r="U258" s="20"/>
      <c r="V258" s="20"/>
      <c r="W258" s="20"/>
      <c r="X258" s="20"/>
      <c r="Y258" s="20"/>
      <c r="Z258" s="20"/>
    </row>
    <row r="259" spans="10:26" ht="17.25" customHeight="1">
      <c r="J259" s="37"/>
      <c r="K259" s="58"/>
      <c r="L259" s="58"/>
      <c r="M259" s="58"/>
      <c r="N259" s="58"/>
      <c r="O259" s="31"/>
      <c r="P259" s="20"/>
      <c r="Q259" s="20"/>
      <c r="R259" s="20"/>
      <c r="S259" s="20"/>
      <c r="T259" s="20"/>
      <c r="U259" s="20"/>
      <c r="V259" s="20"/>
      <c r="W259" s="20"/>
      <c r="X259" s="20"/>
      <c r="Y259" s="20"/>
      <c r="Z259" s="20"/>
    </row>
    <row r="260" spans="10:26" ht="17.25" customHeight="1">
      <c r="J260" s="37"/>
      <c r="K260" s="58"/>
      <c r="L260" s="58"/>
      <c r="M260" s="58"/>
      <c r="N260" s="58"/>
      <c r="O260" s="31"/>
      <c r="P260" s="20"/>
      <c r="Q260" s="20"/>
      <c r="R260" s="20"/>
      <c r="S260" s="20"/>
      <c r="T260" s="20"/>
      <c r="U260" s="20"/>
      <c r="V260" s="20"/>
      <c r="W260" s="20"/>
      <c r="X260" s="20"/>
      <c r="Y260" s="20"/>
      <c r="Z260" s="20"/>
    </row>
    <row r="261" spans="10:26" ht="17.25" customHeight="1">
      <c r="J261" s="37"/>
      <c r="K261" s="58"/>
      <c r="L261" s="58"/>
      <c r="M261" s="58"/>
      <c r="N261" s="58"/>
      <c r="O261" s="31"/>
      <c r="P261" s="20"/>
      <c r="Q261" s="20"/>
      <c r="R261" s="20"/>
      <c r="S261" s="20"/>
      <c r="T261" s="20"/>
      <c r="U261" s="20"/>
      <c r="V261" s="20"/>
      <c r="W261" s="20"/>
      <c r="X261" s="20"/>
      <c r="Y261" s="20"/>
      <c r="Z261" s="20"/>
    </row>
    <row r="262" spans="10:26" ht="17.25" customHeight="1">
      <c r="J262" s="37"/>
      <c r="K262" s="58"/>
      <c r="L262" s="58"/>
      <c r="M262" s="58"/>
      <c r="N262" s="58"/>
      <c r="O262" s="31"/>
      <c r="P262" s="20"/>
      <c r="Q262" s="20"/>
      <c r="R262" s="20"/>
      <c r="S262" s="20"/>
      <c r="T262" s="20"/>
      <c r="U262" s="20"/>
      <c r="V262" s="20"/>
      <c r="W262" s="20"/>
      <c r="X262" s="20"/>
      <c r="Y262" s="20"/>
      <c r="Z262" s="20"/>
    </row>
    <row r="263" spans="10:26" ht="17.25" customHeight="1">
      <c r="J263" s="37"/>
      <c r="K263" s="58"/>
      <c r="L263" s="58"/>
      <c r="M263" s="58"/>
      <c r="N263" s="58"/>
      <c r="O263" s="31"/>
      <c r="P263" s="20"/>
      <c r="Q263" s="20"/>
      <c r="R263" s="20"/>
      <c r="S263" s="20"/>
      <c r="T263" s="20"/>
      <c r="U263" s="20"/>
      <c r="V263" s="20"/>
      <c r="W263" s="20"/>
      <c r="X263" s="20"/>
      <c r="Y263" s="20"/>
      <c r="Z263" s="20"/>
    </row>
    <row r="264" spans="10:26" ht="17.25" customHeight="1">
      <c r="J264" s="37"/>
      <c r="K264" s="58"/>
      <c r="L264" s="58"/>
      <c r="M264" s="58"/>
      <c r="N264" s="58"/>
      <c r="O264" s="31"/>
      <c r="P264" s="20"/>
      <c r="Q264" s="20"/>
      <c r="R264" s="20"/>
      <c r="S264" s="20"/>
      <c r="T264" s="20"/>
      <c r="U264" s="20"/>
      <c r="V264" s="20"/>
      <c r="W264" s="20"/>
      <c r="X264" s="20"/>
      <c r="Y264" s="20"/>
      <c r="Z264" s="20"/>
    </row>
    <row r="265" spans="10:26" ht="17.25" customHeight="1">
      <c r="J265" s="37"/>
      <c r="K265" s="58"/>
      <c r="L265" s="58"/>
      <c r="M265" s="58"/>
      <c r="N265" s="58"/>
      <c r="O265" s="31"/>
      <c r="P265" s="20"/>
      <c r="Q265" s="20"/>
      <c r="R265" s="20"/>
      <c r="S265" s="20"/>
      <c r="T265" s="20"/>
      <c r="U265" s="20"/>
      <c r="V265" s="20"/>
      <c r="W265" s="20"/>
      <c r="X265" s="20"/>
      <c r="Y265" s="20"/>
      <c r="Z265" s="20"/>
    </row>
    <row r="266" spans="10:26" ht="17.25" customHeight="1">
      <c r="J266" s="37"/>
      <c r="K266" s="58"/>
      <c r="L266" s="58"/>
      <c r="M266" s="58"/>
      <c r="N266" s="58"/>
      <c r="O266" s="31"/>
      <c r="P266" s="20"/>
      <c r="Q266" s="20"/>
      <c r="R266" s="20"/>
      <c r="S266" s="20"/>
      <c r="T266" s="20"/>
      <c r="U266" s="20"/>
      <c r="V266" s="20"/>
      <c r="W266" s="20"/>
      <c r="X266" s="20"/>
      <c r="Y266" s="20"/>
      <c r="Z266" s="20"/>
    </row>
    <row r="267" spans="10:26" ht="17.25" customHeight="1">
      <c r="J267" s="37"/>
      <c r="K267" s="58"/>
      <c r="L267" s="58"/>
      <c r="M267" s="58"/>
      <c r="N267" s="58"/>
      <c r="O267" s="31"/>
      <c r="P267" s="20"/>
      <c r="Q267" s="20"/>
      <c r="R267" s="20"/>
      <c r="S267" s="20"/>
      <c r="T267" s="20"/>
      <c r="U267" s="20"/>
      <c r="V267" s="20"/>
      <c r="W267" s="20"/>
      <c r="X267" s="20"/>
      <c r="Y267" s="20"/>
      <c r="Z267" s="20"/>
    </row>
    <row r="268" spans="10:26" ht="17.25" customHeight="1">
      <c r="J268" s="37"/>
      <c r="K268" s="58"/>
      <c r="L268" s="58"/>
      <c r="M268" s="58"/>
      <c r="N268" s="58"/>
      <c r="O268" s="31"/>
      <c r="P268" s="20"/>
      <c r="Q268" s="20"/>
      <c r="R268" s="20"/>
      <c r="S268" s="20"/>
      <c r="T268" s="20"/>
      <c r="U268" s="20"/>
      <c r="V268" s="20"/>
      <c r="W268" s="20"/>
      <c r="X268" s="20"/>
      <c r="Y268" s="20"/>
      <c r="Z268" s="20"/>
    </row>
    <row r="269" spans="10:26" ht="17.25" customHeight="1">
      <c r="J269" s="37"/>
      <c r="K269" s="58"/>
      <c r="L269" s="58"/>
      <c r="M269" s="58"/>
      <c r="N269" s="58"/>
      <c r="O269" s="31"/>
      <c r="P269" s="20"/>
      <c r="Q269" s="20"/>
      <c r="R269" s="20"/>
      <c r="S269" s="20"/>
      <c r="T269" s="20"/>
      <c r="U269" s="20"/>
      <c r="V269" s="20"/>
      <c r="W269" s="20"/>
      <c r="X269" s="20"/>
      <c r="Y269" s="20"/>
      <c r="Z269" s="20"/>
    </row>
    <row r="270" spans="10:26" ht="17.25" customHeight="1">
      <c r="J270" s="37"/>
      <c r="K270" s="58"/>
      <c r="L270" s="58"/>
      <c r="M270" s="58"/>
      <c r="N270" s="58"/>
      <c r="O270" s="31"/>
      <c r="P270" s="20"/>
      <c r="Q270" s="20"/>
      <c r="R270" s="20"/>
      <c r="S270" s="20"/>
      <c r="T270" s="20"/>
      <c r="U270" s="20"/>
      <c r="V270" s="20"/>
      <c r="W270" s="20"/>
      <c r="X270" s="20"/>
      <c r="Y270" s="20"/>
      <c r="Z270" s="20"/>
    </row>
    <row r="271" spans="10:26" ht="17.25" customHeight="1">
      <c r="J271" s="37"/>
      <c r="K271" s="58"/>
      <c r="L271" s="58"/>
      <c r="M271" s="58"/>
      <c r="N271" s="58"/>
      <c r="O271" s="31"/>
      <c r="P271" s="20"/>
      <c r="Q271" s="20"/>
      <c r="R271" s="20"/>
      <c r="S271" s="20"/>
      <c r="T271" s="20"/>
      <c r="U271" s="20"/>
      <c r="V271" s="20"/>
      <c r="W271" s="20"/>
      <c r="X271" s="20"/>
      <c r="Y271" s="20"/>
      <c r="Z271" s="20"/>
    </row>
    <row r="272" spans="10:26" ht="17.25" customHeight="1">
      <c r="J272" s="37"/>
      <c r="K272" s="58"/>
      <c r="L272" s="58"/>
      <c r="M272" s="58"/>
      <c r="N272" s="58"/>
      <c r="O272" s="31"/>
      <c r="P272" s="20"/>
      <c r="Q272" s="20"/>
      <c r="R272" s="20"/>
      <c r="S272" s="20"/>
      <c r="T272" s="20"/>
      <c r="U272" s="20"/>
      <c r="V272" s="20"/>
      <c r="W272" s="20"/>
      <c r="X272" s="20"/>
      <c r="Y272" s="20"/>
      <c r="Z272" s="20"/>
    </row>
    <row r="273" spans="10:26" ht="17.25" customHeight="1">
      <c r="J273" s="37"/>
      <c r="K273" s="58"/>
      <c r="L273" s="58"/>
      <c r="M273" s="58"/>
      <c r="N273" s="58"/>
      <c r="O273" s="31"/>
      <c r="P273" s="20"/>
      <c r="Q273" s="20"/>
      <c r="R273" s="20"/>
      <c r="S273" s="20"/>
      <c r="T273" s="20"/>
      <c r="U273" s="20"/>
      <c r="V273" s="20"/>
      <c r="W273" s="20"/>
      <c r="X273" s="20"/>
      <c r="Y273" s="20"/>
      <c r="Z273" s="20"/>
    </row>
    <row r="274" spans="10:26" ht="17.25" customHeight="1">
      <c r="J274" s="37"/>
      <c r="K274" s="58"/>
      <c r="L274" s="58"/>
      <c r="M274" s="58"/>
      <c r="N274" s="58"/>
      <c r="O274" s="31"/>
      <c r="P274" s="20"/>
      <c r="Q274" s="20"/>
      <c r="R274" s="20"/>
      <c r="S274" s="20"/>
      <c r="T274" s="20"/>
      <c r="U274" s="20"/>
      <c r="V274" s="20"/>
      <c r="W274" s="20"/>
      <c r="X274" s="20"/>
      <c r="Y274" s="20"/>
      <c r="Z274" s="20"/>
    </row>
    <row r="275" spans="10:26" ht="17.25" customHeight="1">
      <c r="J275" s="37"/>
      <c r="K275" s="58"/>
      <c r="L275" s="58"/>
      <c r="M275" s="58"/>
      <c r="N275" s="58"/>
      <c r="O275" s="31"/>
      <c r="P275" s="20"/>
      <c r="Q275" s="20"/>
      <c r="R275" s="20"/>
      <c r="S275" s="20"/>
      <c r="T275" s="20"/>
      <c r="U275" s="20"/>
      <c r="V275" s="20"/>
      <c r="W275" s="20"/>
      <c r="X275" s="20"/>
      <c r="Y275" s="20"/>
      <c r="Z275" s="20"/>
    </row>
    <row r="276" spans="10:26" ht="17.25" customHeight="1">
      <c r="J276" s="37"/>
      <c r="K276" s="58"/>
      <c r="L276" s="58"/>
      <c r="M276" s="58"/>
      <c r="N276" s="58"/>
      <c r="O276" s="31"/>
      <c r="P276" s="20"/>
      <c r="Q276" s="20"/>
      <c r="R276" s="20"/>
      <c r="S276" s="20"/>
      <c r="T276" s="20"/>
      <c r="U276" s="20"/>
      <c r="V276" s="20"/>
      <c r="W276" s="20"/>
      <c r="X276" s="20"/>
      <c r="Y276" s="20"/>
      <c r="Z276" s="20"/>
    </row>
    <row r="277" spans="10:26" ht="17.25" customHeight="1">
      <c r="J277" s="37"/>
      <c r="K277" s="58"/>
      <c r="L277" s="58"/>
      <c r="M277" s="58"/>
      <c r="N277" s="58"/>
      <c r="O277" s="31"/>
      <c r="P277" s="20"/>
      <c r="Q277" s="20"/>
      <c r="R277" s="20"/>
      <c r="S277" s="20"/>
      <c r="T277" s="20"/>
      <c r="U277" s="20"/>
      <c r="V277" s="20"/>
      <c r="W277" s="20"/>
      <c r="X277" s="20"/>
      <c r="Y277" s="20"/>
      <c r="Z277" s="20"/>
    </row>
    <row r="278" spans="10:26" ht="17.25" customHeight="1">
      <c r="J278" s="37"/>
      <c r="K278" s="58"/>
      <c r="L278" s="58"/>
      <c r="M278" s="58"/>
      <c r="N278" s="58"/>
      <c r="O278" s="31"/>
      <c r="P278" s="20"/>
      <c r="Q278" s="20"/>
      <c r="R278" s="20"/>
      <c r="S278" s="20"/>
      <c r="T278" s="20"/>
      <c r="U278" s="20"/>
      <c r="V278" s="20"/>
      <c r="W278" s="20"/>
      <c r="X278" s="20"/>
      <c r="Y278" s="20"/>
      <c r="Z278" s="20"/>
    </row>
    <row r="279" spans="10:26" ht="17.25" customHeight="1">
      <c r="J279" s="37"/>
      <c r="K279" s="58"/>
      <c r="L279" s="58"/>
      <c r="M279" s="58"/>
      <c r="N279" s="58"/>
      <c r="O279" s="31"/>
      <c r="P279" s="20"/>
      <c r="Q279" s="20"/>
      <c r="R279" s="20"/>
      <c r="S279" s="20"/>
      <c r="T279" s="20"/>
      <c r="U279" s="20"/>
      <c r="V279" s="20"/>
      <c r="W279" s="20"/>
      <c r="X279" s="20"/>
      <c r="Y279" s="20"/>
      <c r="Z279" s="20"/>
    </row>
    <row r="280" spans="10:26" ht="17.25" customHeight="1">
      <c r="J280" s="37"/>
      <c r="K280" s="58"/>
      <c r="L280" s="58"/>
      <c r="M280" s="58"/>
      <c r="N280" s="58"/>
      <c r="O280" s="31"/>
      <c r="P280" s="20"/>
      <c r="Q280" s="20"/>
      <c r="R280" s="20"/>
      <c r="S280" s="20"/>
      <c r="T280" s="20"/>
      <c r="U280" s="20"/>
      <c r="V280" s="20"/>
      <c r="W280" s="20"/>
      <c r="X280" s="20"/>
      <c r="Y280" s="20"/>
      <c r="Z280" s="20"/>
    </row>
    <row r="281" spans="10:26" ht="17.25" customHeight="1">
      <c r="J281" s="37"/>
      <c r="K281" s="58"/>
      <c r="L281" s="58"/>
      <c r="M281" s="58"/>
      <c r="N281" s="58"/>
      <c r="O281" s="31"/>
      <c r="P281" s="20"/>
      <c r="Q281" s="20"/>
      <c r="R281" s="20"/>
      <c r="S281" s="20"/>
      <c r="T281" s="20"/>
      <c r="U281" s="20"/>
      <c r="V281" s="20"/>
      <c r="W281" s="20"/>
      <c r="X281" s="20"/>
      <c r="Y281" s="20"/>
      <c r="Z281" s="20"/>
    </row>
    <row r="282" spans="10:26" ht="17.25" customHeight="1">
      <c r="J282" s="37"/>
      <c r="K282" s="58"/>
      <c r="L282" s="58"/>
      <c r="M282" s="58"/>
      <c r="N282" s="58"/>
      <c r="O282" s="31"/>
      <c r="P282" s="20"/>
      <c r="Q282" s="20"/>
      <c r="R282" s="20"/>
      <c r="S282" s="20"/>
      <c r="T282" s="20"/>
      <c r="U282" s="20"/>
      <c r="V282" s="20"/>
      <c r="W282" s="20"/>
      <c r="X282" s="20"/>
      <c r="Y282" s="20"/>
      <c r="Z282" s="20"/>
    </row>
    <row r="283" spans="10:26" ht="17.25" customHeight="1">
      <c r="J283" s="37"/>
      <c r="K283" s="58"/>
      <c r="L283" s="58"/>
      <c r="M283" s="58"/>
      <c r="N283" s="58"/>
      <c r="O283" s="31"/>
      <c r="P283" s="20"/>
      <c r="Q283" s="20"/>
      <c r="R283" s="20"/>
      <c r="S283" s="20"/>
      <c r="T283" s="20"/>
      <c r="U283" s="20"/>
      <c r="V283" s="20"/>
      <c r="W283" s="20"/>
      <c r="X283" s="20"/>
      <c r="Y283" s="20"/>
      <c r="Z283" s="20"/>
    </row>
    <row r="284" spans="10:26" ht="17.25" customHeight="1">
      <c r="J284" s="37"/>
      <c r="K284" s="58"/>
      <c r="L284" s="58"/>
      <c r="M284" s="58"/>
      <c r="N284" s="58"/>
      <c r="O284" s="31"/>
      <c r="P284" s="20"/>
      <c r="Q284" s="20"/>
      <c r="R284" s="20"/>
      <c r="S284" s="20"/>
      <c r="T284" s="20"/>
      <c r="U284" s="20"/>
      <c r="V284" s="20"/>
      <c r="W284" s="20"/>
      <c r="X284" s="20"/>
      <c r="Y284" s="20"/>
      <c r="Z284" s="20"/>
    </row>
    <row r="285" spans="10:26" ht="17.25" customHeight="1">
      <c r="J285" s="37"/>
      <c r="K285" s="58"/>
      <c r="L285" s="58"/>
      <c r="M285" s="58"/>
      <c r="N285" s="58"/>
      <c r="O285" s="31"/>
      <c r="P285" s="20"/>
      <c r="Q285" s="20"/>
      <c r="R285" s="20"/>
      <c r="S285" s="20"/>
      <c r="T285" s="20"/>
      <c r="U285" s="20"/>
      <c r="V285" s="20"/>
      <c r="W285" s="20"/>
      <c r="X285" s="20"/>
      <c r="Y285" s="20"/>
      <c r="Z285" s="20"/>
    </row>
    <row r="286" spans="10:26" ht="17.25" customHeight="1">
      <c r="J286" s="37"/>
      <c r="K286" s="58"/>
      <c r="L286" s="58"/>
      <c r="M286" s="58"/>
      <c r="N286" s="58"/>
      <c r="O286" s="31"/>
      <c r="P286" s="20"/>
      <c r="Q286" s="20"/>
      <c r="R286" s="20"/>
      <c r="S286" s="20"/>
      <c r="T286" s="20"/>
      <c r="U286" s="20"/>
      <c r="V286" s="20"/>
      <c r="W286" s="20"/>
      <c r="X286" s="20"/>
      <c r="Y286" s="20"/>
      <c r="Z286" s="20"/>
    </row>
    <row r="287" spans="10:26" ht="17.25" customHeight="1">
      <c r="J287" s="37"/>
      <c r="K287" s="58"/>
      <c r="L287" s="58"/>
      <c r="M287" s="58"/>
      <c r="N287" s="58"/>
      <c r="O287" s="31"/>
      <c r="P287" s="20"/>
      <c r="Q287" s="20"/>
      <c r="R287" s="20"/>
      <c r="S287" s="20"/>
      <c r="T287" s="20"/>
      <c r="U287" s="20"/>
      <c r="V287" s="20"/>
      <c r="W287" s="20"/>
      <c r="X287" s="20"/>
      <c r="Y287" s="20"/>
      <c r="Z287" s="20"/>
    </row>
    <row r="288" spans="10:26" ht="17.25" customHeight="1">
      <c r="J288" s="37"/>
      <c r="K288" s="58"/>
      <c r="L288" s="58"/>
      <c r="M288" s="58"/>
      <c r="N288" s="58"/>
      <c r="O288" s="31"/>
      <c r="P288" s="20"/>
      <c r="Q288" s="20"/>
      <c r="R288" s="20"/>
      <c r="S288" s="20"/>
      <c r="T288" s="20"/>
      <c r="U288" s="20"/>
      <c r="V288" s="20"/>
      <c r="W288" s="20"/>
      <c r="X288" s="20"/>
      <c r="Y288" s="20"/>
      <c r="Z288" s="20"/>
    </row>
    <row r="289" spans="10:26" ht="17.25" customHeight="1">
      <c r="J289" s="37"/>
      <c r="K289" s="58"/>
      <c r="L289" s="58"/>
      <c r="M289" s="58"/>
      <c r="N289" s="58"/>
      <c r="O289" s="31"/>
      <c r="P289" s="20"/>
      <c r="Q289" s="20"/>
      <c r="R289" s="20"/>
      <c r="S289" s="20"/>
      <c r="T289" s="20"/>
      <c r="U289" s="20"/>
      <c r="V289" s="20"/>
      <c r="W289" s="20"/>
      <c r="X289" s="20"/>
      <c r="Y289" s="20"/>
      <c r="Z289" s="20"/>
    </row>
    <row r="290" spans="10:26" ht="17.25" customHeight="1">
      <c r="J290" s="37"/>
      <c r="K290" s="58"/>
      <c r="L290" s="58"/>
      <c r="M290" s="58"/>
      <c r="N290" s="58"/>
      <c r="O290" s="31"/>
      <c r="P290" s="20"/>
      <c r="Q290" s="20"/>
      <c r="R290" s="20"/>
      <c r="S290" s="20"/>
      <c r="T290" s="20"/>
      <c r="U290" s="20"/>
      <c r="V290" s="20"/>
      <c r="W290" s="20"/>
      <c r="X290" s="20"/>
      <c r="Y290" s="20"/>
      <c r="Z290" s="20"/>
    </row>
    <row r="291" spans="10:26" ht="17.25" customHeight="1">
      <c r="J291" s="37"/>
      <c r="K291" s="58"/>
      <c r="L291" s="58"/>
      <c r="M291" s="58"/>
      <c r="N291" s="58"/>
      <c r="O291" s="31"/>
      <c r="P291" s="20"/>
      <c r="Q291" s="20"/>
      <c r="R291" s="20"/>
      <c r="S291" s="20"/>
      <c r="T291" s="20"/>
      <c r="U291" s="20"/>
      <c r="V291" s="20"/>
      <c r="W291" s="20"/>
      <c r="X291" s="20"/>
      <c r="Y291" s="20"/>
      <c r="Z291" s="20"/>
    </row>
    <row r="292" spans="10:26" ht="17.25" customHeight="1">
      <c r="J292" s="37"/>
      <c r="K292" s="58"/>
      <c r="L292" s="58"/>
      <c r="M292" s="58"/>
      <c r="N292" s="58"/>
      <c r="O292" s="31"/>
      <c r="P292" s="20"/>
      <c r="Q292" s="20"/>
      <c r="R292" s="20"/>
      <c r="S292" s="20"/>
      <c r="T292" s="20"/>
      <c r="U292" s="20"/>
      <c r="V292" s="20"/>
      <c r="W292" s="20"/>
      <c r="X292" s="20"/>
      <c r="Y292" s="20"/>
      <c r="Z292" s="20"/>
    </row>
    <row r="293" spans="10:26" ht="17.25" customHeight="1">
      <c r="J293" s="37"/>
      <c r="K293" s="58"/>
      <c r="L293" s="58"/>
      <c r="M293" s="58"/>
      <c r="N293" s="58"/>
      <c r="O293" s="31"/>
      <c r="P293" s="20"/>
      <c r="Q293" s="20"/>
      <c r="R293" s="20"/>
      <c r="S293" s="20"/>
      <c r="T293" s="20"/>
      <c r="U293" s="20"/>
      <c r="V293" s="20"/>
      <c r="W293" s="20"/>
      <c r="X293" s="20"/>
      <c r="Y293" s="20"/>
      <c r="Z293" s="20"/>
    </row>
    <row r="294" spans="10:26" ht="17.25" customHeight="1">
      <c r="J294" s="37"/>
      <c r="K294" s="58"/>
      <c r="L294" s="58"/>
      <c r="M294" s="58"/>
      <c r="N294" s="58"/>
      <c r="O294" s="31"/>
      <c r="P294" s="20"/>
      <c r="Q294" s="20"/>
      <c r="R294" s="20"/>
      <c r="S294" s="20"/>
      <c r="T294" s="20"/>
      <c r="U294" s="20"/>
      <c r="V294" s="20"/>
      <c r="W294" s="20"/>
      <c r="X294" s="20"/>
      <c r="Y294" s="20"/>
      <c r="Z294" s="20"/>
    </row>
    <row r="295" spans="10:26" ht="17.25" customHeight="1">
      <c r="J295" s="37"/>
      <c r="K295" s="58"/>
      <c r="L295" s="58"/>
      <c r="M295" s="58"/>
      <c r="N295" s="58"/>
      <c r="O295" s="31"/>
      <c r="P295" s="20"/>
      <c r="Q295" s="20"/>
      <c r="R295" s="20"/>
      <c r="S295" s="20"/>
      <c r="T295" s="20"/>
      <c r="U295" s="20"/>
      <c r="V295" s="20"/>
      <c r="W295" s="20"/>
      <c r="X295" s="20"/>
      <c r="Y295" s="20"/>
      <c r="Z295" s="20"/>
    </row>
    <row r="296" spans="10:26" ht="17.25" customHeight="1">
      <c r="J296" s="37"/>
      <c r="K296" s="58"/>
      <c r="L296" s="58"/>
      <c r="M296" s="58"/>
      <c r="N296" s="58"/>
      <c r="O296" s="31"/>
      <c r="P296" s="20"/>
      <c r="Q296" s="20"/>
      <c r="R296" s="20"/>
      <c r="S296" s="20"/>
      <c r="T296" s="20"/>
      <c r="U296" s="20"/>
      <c r="V296" s="20"/>
      <c r="W296" s="20"/>
      <c r="X296" s="20"/>
      <c r="Y296" s="20"/>
      <c r="Z296" s="20"/>
    </row>
    <row r="297" spans="10:26" ht="17.25" customHeight="1">
      <c r="J297" s="37"/>
      <c r="K297" s="58"/>
      <c r="L297" s="58"/>
      <c r="M297" s="58"/>
      <c r="N297" s="58"/>
      <c r="O297" s="31"/>
      <c r="P297" s="20"/>
      <c r="Q297" s="20"/>
      <c r="R297" s="20"/>
      <c r="S297" s="20"/>
      <c r="T297" s="20"/>
      <c r="U297" s="20"/>
      <c r="V297" s="20"/>
      <c r="W297" s="20"/>
      <c r="X297" s="20"/>
      <c r="Y297" s="20"/>
      <c r="Z297" s="20"/>
    </row>
    <row r="298" spans="10:26" ht="17.25" customHeight="1">
      <c r="J298" s="37"/>
      <c r="K298" s="58"/>
      <c r="L298" s="58"/>
      <c r="M298" s="58"/>
      <c r="N298" s="58"/>
      <c r="O298" s="31"/>
      <c r="P298" s="20"/>
      <c r="Q298" s="20"/>
      <c r="R298" s="20"/>
      <c r="S298" s="20"/>
      <c r="T298" s="20"/>
      <c r="U298" s="20"/>
      <c r="V298" s="20"/>
      <c r="W298" s="20"/>
      <c r="X298" s="20"/>
      <c r="Y298" s="20"/>
      <c r="Z298" s="20"/>
    </row>
    <row r="299" spans="10:26" ht="17.25" customHeight="1">
      <c r="J299" s="37"/>
      <c r="K299" s="58"/>
      <c r="L299" s="58"/>
      <c r="M299" s="58"/>
      <c r="N299" s="58"/>
      <c r="O299" s="31"/>
      <c r="P299" s="20"/>
      <c r="Q299" s="20"/>
      <c r="R299" s="20"/>
      <c r="S299" s="20"/>
      <c r="T299" s="20"/>
      <c r="U299" s="20"/>
      <c r="V299" s="20"/>
      <c r="W299" s="20"/>
      <c r="X299" s="20"/>
      <c r="Y299" s="20"/>
      <c r="Z299" s="20"/>
    </row>
    <row r="300" spans="10:26" ht="17.25" customHeight="1">
      <c r="J300" s="37"/>
      <c r="K300" s="58"/>
      <c r="L300" s="58"/>
      <c r="M300" s="58"/>
      <c r="N300" s="58"/>
      <c r="O300" s="31"/>
      <c r="P300" s="20"/>
      <c r="Q300" s="20"/>
      <c r="R300" s="20"/>
      <c r="S300" s="20"/>
      <c r="T300" s="20"/>
      <c r="U300" s="20"/>
      <c r="V300" s="20"/>
      <c r="W300" s="20"/>
      <c r="X300" s="20"/>
      <c r="Y300" s="20"/>
      <c r="Z300" s="20"/>
    </row>
    <row r="301" spans="10:26" ht="17.25" customHeight="1">
      <c r="J301" s="37"/>
      <c r="K301" s="58"/>
      <c r="L301" s="58"/>
      <c r="M301" s="58"/>
      <c r="N301" s="58"/>
      <c r="O301" s="31"/>
      <c r="P301" s="20"/>
      <c r="Q301" s="20"/>
      <c r="R301" s="20"/>
      <c r="S301" s="20"/>
      <c r="T301" s="20"/>
      <c r="U301" s="20"/>
      <c r="V301" s="20"/>
      <c r="W301" s="20"/>
      <c r="X301" s="20"/>
      <c r="Y301" s="20"/>
      <c r="Z301" s="20"/>
    </row>
    <row r="302" spans="10:26" ht="17.25" customHeight="1">
      <c r="J302" s="37"/>
      <c r="K302" s="58"/>
      <c r="L302" s="58"/>
      <c r="M302" s="58"/>
      <c r="N302" s="58"/>
      <c r="O302" s="31"/>
      <c r="P302" s="20"/>
      <c r="Q302" s="20"/>
      <c r="R302" s="20"/>
      <c r="S302" s="20"/>
      <c r="T302" s="20"/>
      <c r="U302" s="20"/>
      <c r="V302" s="20"/>
      <c r="W302" s="20"/>
      <c r="X302" s="20"/>
      <c r="Y302" s="20"/>
      <c r="Z302" s="20"/>
    </row>
    <row r="303" spans="10:26" ht="17.25" customHeight="1">
      <c r="J303" s="37"/>
      <c r="K303" s="58"/>
      <c r="L303" s="58"/>
      <c r="M303" s="58"/>
      <c r="N303" s="58"/>
      <c r="O303" s="31"/>
      <c r="P303" s="20"/>
      <c r="Q303" s="20"/>
      <c r="R303" s="20"/>
      <c r="S303" s="20"/>
      <c r="T303" s="20"/>
      <c r="U303" s="20"/>
      <c r="V303" s="20"/>
      <c r="W303" s="20"/>
      <c r="X303" s="20"/>
      <c r="Y303" s="20"/>
      <c r="Z303" s="20"/>
    </row>
    <row r="304" spans="10:26" ht="17.25" customHeight="1">
      <c r="J304" s="37"/>
      <c r="K304" s="58"/>
      <c r="L304" s="58"/>
      <c r="M304" s="58"/>
      <c r="N304" s="58"/>
      <c r="O304" s="31"/>
      <c r="P304" s="20"/>
      <c r="Q304" s="20"/>
      <c r="R304" s="20"/>
      <c r="S304" s="20"/>
      <c r="T304" s="20"/>
      <c r="U304" s="20"/>
      <c r="V304" s="20"/>
      <c r="W304" s="20"/>
      <c r="X304" s="20"/>
      <c r="Y304" s="20"/>
      <c r="Z304" s="20"/>
    </row>
    <row r="305" spans="10:26" ht="17.25" customHeight="1">
      <c r="J305" s="37"/>
      <c r="K305" s="58"/>
      <c r="L305" s="58"/>
      <c r="M305" s="58"/>
      <c r="N305" s="58"/>
      <c r="O305" s="31"/>
      <c r="P305" s="20"/>
      <c r="Q305" s="20"/>
      <c r="R305" s="20"/>
      <c r="S305" s="20"/>
      <c r="T305" s="20"/>
      <c r="U305" s="20"/>
      <c r="V305" s="20"/>
      <c r="W305" s="20"/>
      <c r="X305" s="20"/>
      <c r="Y305" s="20"/>
      <c r="Z305" s="20"/>
    </row>
    <row r="306" spans="10:26" ht="17.25" customHeight="1">
      <c r="J306" s="37"/>
      <c r="K306" s="58"/>
      <c r="L306" s="58"/>
      <c r="M306" s="58"/>
      <c r="N306" s="58"/>
      <c r="O306" s="31"/>
      <c r="P306" s="20"/>
      <c r="Q306" s="20"/>
      <c r="R306" s="20"/>
      <c r="S306" s="20"/>
      <c r="T306" s="20"/>
      <c r="U306" s="20"/>
      <c r="V306" s="20"/>
      <c r="W306" s="20"/>
      <c r="X306" s="20"/>
      <c r="Y306" s="20"/>
      <c r="Z306" s="20"/>
    </row>
    <row r="307" spans="10:26" ht="17.25" customHeight="1">
      <c r="J307" s="37"/>
      <c r="K307" s="58"/>
      <c r="L307" s="58"/>
      <c r="M307" s="58"/>
      <c r="N307" s="58"/>
      <c r="O307" s="31"/>
      <c r="P307" s="20"/>
      <c r="Q307" s="20"/>
      <c r="R307" s="20"/>
      <c r="S307" s="20"/>
      <c r="T307" s="20"/>
      <c r="U307" s="20"/>
      <c r="V307" s="20"/>
      <c r="W307" s="20"/>
      <c r="X307" s="20"/>
      <c r="Y307" s="20"/>
      <c r="Z307" s="20"/>
    </row>
    <row r="308" spans="10:26" ht="17.25" customHeight="1">
      <c r="J308" s="37"/>
      <c r="K308" s="58"/>
      <c r="L308" s="58"/>
      <c r="M308" s="58"/>
      <c r="N308" s="58"/>
      <c r="O308" s="31"/>
      <c r="P308" s="20"/>
      <c r="Q308" s="20"/>
      <c r="R308" s="20"/>
      <c r="S308" s="20"/>
      <c r="T308" s="20"/>
      <c r="U308" s="20"/>
      <c r="V308" s="20"/>
      <c r="W308" s="20"/>
      <c r="X308" s="20"/>
      <c r="Y308" s="20"/>
      <c r="Z308" s="20"/>
    </row>
    <row r="309" spans="10:26" ht="17.25" customHeight="1">
      <c r="J309" s="37"/>
      <c r="K309" s="58"/>
      <c r="L309" s="58"/>
      <c r="M309" s="58"/>
      <c r="N309" s="58"/>
      <c r="O309" s="31"/>
      <c r="P309" s="20"/>
      <c r="Q309" s="20"/>
      <c r="R309" s="20"/>
      <c r="S309" s="20"/>
      <c r="T309" s="20"/>
      <c r="U309" s="20"/>
      <c r="V309" s="20"/>
      <c r="W309" s="20"/>
      <c r="X309" s="20"/>
      <c r="Y309" s="20"/>
      <c r="Z309" s="20"/>
    </row>
    <row r="310" spans="10:26" ht="17.25" customHeight="1">
      <c r="J310" s="37"/>
      <c r="K310" s="58"/>
      <c r="L310" s="58"/>
      <c r="M310" s="58"/>
      <c r="N310" s="58"/>
      <c r="O310" s="31"/>
      <c r="P310" s="20"/>
      <c r="Q310" s="20"/>
      <c r="R310" s="20"/>
      <c r="S310" s="20"/>
      <c r="T310" s="20"/>
      <c r="U310" s="20"/>
      <c r="V310" s="20"/>
      <c r="W310" s="20"/>
      <c r="X310" s="20"/>
      <c r="Y310" s="20"/>
      <c r="Z310" s="20"/>
    </row>
    <row r="311" spans="10:26" ht="17.25" customHeight="1">
      <c r="J311" s="37"/>
      <c r="K311" s="58"/>
      <c r="L311" s="58"/>
      <c r="M311" s="58"/>
      <c r="N311" s="58"/>
      <c r="O311" s="31"/>
      <c r="P311" s="20"/>
      <c r="Q311" s="20"/>
      <c r="R311" s="20"/>
      <c r="S311" s="20"/>
      <c r="T311" s="20"/>
      <c r="U311" s="20"/>
      <c r="V311" s="20"/>
      <c r="W311" s="20"/>
      <c r="X311" s="20"/>
      <c r="Y311" s="20"/>
      <c r="Z311" s="20"/>
    </row>
    <row r="312" spans="10:26" ht="17.25" customHeight="1">
      <c r="J312" s="37"/>
      <c r="K312" s="58"/>
      <c r="L312" s="58"/>
      <c r="M312" s="58"/>
      <c r="N312" s="58"/>
      <c r="O312" s="31"/>
      <c r="P312" s="20"/>
      <c r="Q312" s="20"/>
      <c r="R312" s="20"/>
      <c r="S312" s="20"/>
      <c r="T312" s="20"/>
      <c r="U312" s="20"/>
      <c r="V312" s="20"/>
      <c r="W312" s="20"/>
      <c r="X312" s="20"/>
      <c r="Y312" s="20"/>
      <c r="Z312" s="20"/>
    </row>
    <row r="313" spans="10:26" ht="17.25" customHeight="1">
      <c r="J313" s="37"/>
      <c r="K313" s="58"/>
      <c r="L313" s="58"/>
      <c r="M313" s="58"/>
      <c r="N313" s="58"/>
      <c r="O313" s="31"/>
      <c r="P313" s="20"/>
      <c r="Q313" s="20"/>
      <c r="R313" s="20"/>
      <c r="S313" s="20"/>
      <c r="T313" s="20"/>
      <c r="U313" s="20"/>
      <c r="V313" s="20"/>
      <c r="W313" s="20"/>
      <c r="X313" s="20"/>
      <c r="Y313" s="20"/>
      <c r="Z313" s="20"/>
    </row>
    <row r="314" spans="10:26" ht="17.25" customHeight="1">
      <c r="J314" s="37"/>
      <c r="K314" s="58"/>
      <c r="L314" s="58"/>
      <c r="M314" s="58"/>
      <c r="N314" s="58"/>
      <c r="O314" s="31"/>
      <c r="P314" s="20"/>
      <c r="Q314" s="20"/>
      <c r="R314" s="20"/>
      <c r="S314" s="20"/>
      <c r="T314" s="20"/>
      <c r="U314" s="20"/>
      <c r="V314" s="20"/>
      <c r="W314" s="20"/>
      <c r="X314" s="20"/>
      <c r="Y314" s="20"/>
      <c r="Z314" s="20"/>
    </row>
    <row r="315" spans="10:26" ht="17.25" customHeight="1">
      <c r="J315" s="37"/>
      <c r="K315" s="58"/>
      <c r="L315" s="58"/>
      <c r="M315" s="58"/>
      <c r="N315" s="58"/>
      <c r="O315" s="31"/>
      <c r="P315" s="20"/>
      <c r="Q315" s="20"/>
      <c r="R315" s="20"/>
      <c r="S315" s="20"/>
      <c r="T315" s="20"/>
      <c r="U315" s="20"/>
      <c r="V315" s="20"/>
      <c r="W315" s="20"/>
      <c r="X315" s="20"/>
      <c r="Y315" s="20"/>
      <c r="Z315" s="20"/>
    </row>
    <row r="316" spans="10:26" ht="17.25" customHeight="1">
      <c r="J316" s="37"/>
      <c r="K316" s="58"/>
      <c r="L316" s="58"/>
      <c r="M316" s="58"/>
      <c r="N316" s="58"/>
      <c r="O316" s="31"/>
      <c r="P316" s="20"/>
      <c r="Q316" s="20"/>
      <c r="R316" s="20"/>
      <c r="S316" s="20"/>
      <c r="T316" s="20"/>
      <c r="U316" s="20"/>
      <c r="V316" s="20"/>
      <c r="W316" s="20"/>
      <c r="X316" s="20"/>
      <c r="Y316" s="20"/>
      <c r="Z316" s="20"/>
    </row>
    <row r="317" spans="10:26" ht="17.25" customHeight="1">
      <c r="J317" s="37"/>
      <c r="K317" s="58"/>
      <c r="L317" s="58"/>
      <c r="M317" s="58"/>
      <c r="N317" s="58"/>
      <c r="O317" s="31"/>
      <c r="P317" s="20"/>
      <c r="Q317" s="20"/>
      <c r="R317" s="20"/>
      <c r="S317" s="20"/>
      <c r="T317" s="20"/>
      <c r="U317" s="20"/>
      <c r="V317" s="20"/>
      <c r="W317" s="20"/>
      <c r="X317" s="20"/>
      <c r="Y317" s="20"/>
      <c r="Z317" s="20"/>
    </row>
    <row r="318" spans="10:26" ht="17.25" customHeight="1">
      <c r="J318" s="37"/>
      <c r="K318" s="58"/>
      <c r="L318" s="58"/>
      <c r="M318" s="58"/>
      <c r="N318" s="58"/>
      <c r="O318" s="31"/>
      <c r="P318" s="20"/>
      <c r="Q318" s="20"/>
      <c r="R318" s="20"/>
      <c r="S318" s="20"/>
      <c r="T318" s="20"/>
      <c r="U318" s="20"/>
      <c r="V318" s="20"/>
      <c r="W318" s="20"/>
      <c r="X318" s="20"/>
      <c r="Y318" s="20"/>
      <c r="Z318" s="20"/>
    </row>
    <row r="319" spans="10:26" ht="17.25" customHeight="1">
      <c r="J319" s="37"/>
      <c r="K319" s="58"/>
      <c r="L319" s="58"/>
      <c r="M319" s="58"/>
      <c r="N319" s="58"/>
      <c r="O319" s="31"/>
      <c r="P319" s="20"/>
      <c r="Q319" s="20"/>
      <c r="R319" s="20"/>
      <c r="S319" s="20"/>
      <c r="T319" s="20"/>
      <c r="U319" s="20"/>
      <c r="V319" s="20"/>
      <c r="W319" s="20"/>
      <c r="X319" s="20"/>
      <c r="Y319" s="20"/>
      <c r="Z319" s="20"/>
    </row>
    <row r="320" spans="10:26" ht="17.25" customHeight="1">
      <c r="J320" s="37"/>
      <c r="K320" s="58"/>
      <c r="L320" s="58"/>
      <c r="M320" s="58"/>
      <c r="N320" s="58"/>
      <c r="O320" s="31"/>
      <c r="P320" s="20"/>
      <c r="Q320" s="20"/>
      <c r="R320" s="20"/>
      <c r="S320" s="20"/>
      <c r="T320" s="20"/>
      <c r="U320" s="20"/>
      <c r="V320" s="20"/>
      <c r="W320" s="20"/>
      <c r="X320" s="20"/>
      <c r="Y320" s="20"/>
      <c r="Z320" s="20"/>
    </row>
    <row r="321" spans="10:26" ht="17.25" customHeight="1">
      <c r="J321" s="37"/>
      <c r="K321" s="58"/>
      <c r="L321" s="58"/>
      <c r="M321" s="58"/>
      <c r="N321" s="58"/>
      <c r="O321" s="31"/>
      <c r="P321" s="20"/>
      <c r="Q321" s="20"/>
      <c r="R321" s="20"/>
      <c r="S321" s="20"/>
      <c r="T321" s="20"/>
      <c r="U321" s="20"/>
      <c r="V321" s="20"/>
      <c r="W321" s="20"/>
      <c r="X321" s="20"/>
      <c r="Y321" s="20"/>
      <c r="Z321" s="20"/>
    </row>
    <row r="322" spans="10:26" ht="17.25" customHeight="1">
      <c r="J322" s="37"/>
      <c r="K322" s="58"/>
      <c r="L322" s="58"/>
      <c r="M322" s="58"/>
      <c r="N322" s="58"/>
      <c r="O322" s="31"/>
      <c r="P322" s="20"/>
      <c r="Q322" s="20"/>
      <c r="R322" s="20"/>
      <c r="S322" s="20"/>
      <c r="T322" s="20"/>
      <c r="U322" s="20"/>
      <c r="V322" s="20"/>
      <c r="W322" s="20"/>
      <c r="X322" s="20"/>
      <c r="Y322" s="20"/>
      <c r="Z322" s="20"/>
    </row>
    <row r="323" spans="10:26" ht="17.25" customHeight="1">
      <c r="J323" s="37"/>
      <c r="K323" s="58"/>
      <c r="L323" s="58"/>
      <c r="M323" s="58"/>
      <c r="N323" s="58"/>
      <c r="O323" s="31"/>
      <c r="P323" s="20"/>
      <c r="Q323" s="20"/>
      <c r="R323" s="20"/>
      <c r="S323" s="20"/>
      <c r="T323" s="20"/>
      <c r="U323" s="20"/>
      <c r="V323" s="20"/>
      <c r="W323" s="20"/>
      <c r="X323" s="20"/>
      <c r="Y323" s="20"/>
      <c r="Z323" s="20"/>
    </row>
    <row r="324" spans="10:26" ht="17.25" customHeight="1">
      <c r="J324" s="37"/>
      <c r="K324" s="58"/>
      <c r="L324" s="58"/>
      <c r="M324" s="58"/>
      <c r="N324" s="58"/>
      <c r="O324" s="31"/>
      <c r="P324" s="20"/>
      <c r="Q324" s="20"/>
      <c r="R324" s="20"/>
      <c r="S324" s="20"/>
      <c r="T324" s="20"/>
      <c r="U324" s="20"/>
      <c r="V324" s="20"/>
      <c r="W324" s="20"/>
      <c r="X324" s="20"/>
      <c r="Y324" s="20"/>
      <c r="Z324" s="20"/>
    </row>
    <row r="325" spans="10:26" ht="17.25" customHeight="1">
      <c r="J325" s="37"/>
      <c r="K325" s="58"/>
      <c r="L325" s="58"/>
      <c r="M325" s="58"/>
      <c r="N325" s="58"/>
      <c r="O325" s="31"/>
      <c r="P325" s="20"/>
      <c r="Q325" s="20"/>
      <c r="R325" s="20"/>
      <c r="S325" s="20"/>
      <c r="T325" s="20"/>
      <c r="U325" s="20"/>
      <c r="V325" s="20"/>
      <c r="W325" s="20"/>
      <c r="X325" s="20"/>
      <c r="Y325" s="20"/>
      <c r="Z325" s="20"/>
    </row>
    <row r="326" spans="10:26" ht="17.25" customHeight="1">
      <c r="J326" s="37"/>
      <c r="K326" s="58"/>
      <c r="L326" s="58"/>
      <c r="M326" s="58"/>
      <c r="N326" s="58"/>
      <c r="O326" s="31"/>
      <c r="P326" s="20"/>
      <c r="Q326" s="20"/>
      <c r="R326" s="20"/>
      <c r="S326" s="20"/>
      <c r="T326" s="20"/>
      <c r="U326" s="20"/>
      <c r="V326" s="20"/>
      <c r="W326" s="20"/>
      <c r="X326" s="20"/>
      <c r="Y326" s="20"/>
      <c r="Z326" s="20"/>
    </row>
    <row r="327" spans="10:26" ht="17.25" customHeight="1">
      <c r="J327" s="37"/>
      <c r="K327" s="58"/>
      <c r="L327" s="58"/>
      <c r="M327" s="58"/>
      <c r="N327" s="58"/>
      <c r="O327" s="31"/>
      <c r="P327" s="20"/>
      <c r="Q327" s="20"/>
      <c r="R327" s="20"/>
      <c r="S327" s="20"/>
      <c r="T327" s="20"/>
      <c r="U327" s="20"/>
      <c r="V327" s="20"/>
      <c r="W327" s="20"/>
      <c r="X327" s="20"/>
      <c r="Y327" s="20"/>
      <c r="Z327" s="20"/>
    </row>
    <row r="328" spans="10:26" ht="17.25" customHeight="1">
      <c r="J328" s="37"/>
      <c r="K328" s="58"/>
      <c r="L328" s="58"/>
      <c r="M328" s="58"/>
      <c r="N328" s="58"/>
      <c r="O328" s="31"/>
      <c r="P328" s="20"/>
      <c r="Q328" s="20"/>
      <c r="R328" s="20"/>
      <c r="S328" s="20"/>
      <c r="T328" s="20"/>
      <c r="U328" s="20"/>
      <c r="V328" s="20"/>
      <c r="W328" s="20"/>
      <c r="X328" s="20"/>
      <c r="Y328" s="20"/>
      <c r="Z328" s="20"/>
    </row>
    <row r="329" spans="10:26" ht="17.25" customHeight="1">
      <c r="J329" s="37"/>
      <c r="K329" s="58"/>
      <c r="L329" s="58"/>
      <c r="M329" s="58"/>
      <c r="N329" s="58"/>
      <c r="O329" s="31"/>
      <c r="P329" s="20"/>
      <c r="Q329" s="20"/>
      <c r="R329" s="20"/>
      <c r="S329" s="20"/>
      <c r="T329" s="20"/>
      <c r="U329" s="20"/>
      <c r="V329" s="20"/>
      <c r="W329" s="20"/>
      <c r="X329" s="20"/>
      <c r="Y329" s="20"/>
      <c r="Z329" s="20"/>
    </row>
    <row r="330" spans="10:26" ht="17.25" customHeight="1">
      <c r="J330" s="37"/>
      <c r="K330" s="58"/>
      <c r="L330" s="58"/>
      <c r="M330" s="58"/>
      <c r="N330" s="58"/>
      <c r="O330" s="31"/>
      <c r="P330" s="20"/>
      <c r="Q330" s="20"/>
      <c r="R330" s="20"/>
      <c r="S330" s="20"/>
      <c r="T330" s="20"/>
      <c r="U330" s="20"/>
      <c r="V330" s="20"/>
      <c r="W330" s="20"/>
      <c r="X330" s="20"/>
      <c r="Y330" s="20"/>
      <c r="Z330" s="20"/>
    </row>
    <row r="331" spans="10:26" ht="17.25" customHeight="1">
      <c r="J331" s="37"/>
      <c r="K331" s="58"/>
      <c r="L331" s="58"/>
      <c r="M331" s="58"/>
      <c r="N331" s="58"/>
      <c r="O331" s="31"/>
      <c r="P331" s="20"/>
      <c r="Q331" s="20"/>
      <c r="R331" s="20"/>
      <c r="S331" s="20"/>
      <c r="T331" s="20"/>
      <c r="U331" s="20"/>
      <c r="V331" s="20"/>
      <c r="W331" s="20"/>
      <c r="X331" s="20"/>
      <c r="Y331" s="20"/>
      <c r="Z331" s="20"/>
    </row>
    <row r="332" spans="10:26" ht="17.25" customHeight="1">
      <c r="J332" s="37"/>
      <c r="K332" s="58"/>
      <c r="L332" s="58"/>
      <c r="M332" s="58"/>
      <c r="N332" s="58"/>
      <c r="O332" s="31"/>
      <c r="P332" s="20"/>
      <c r="Q332" s="20"/>
      <c r="R332" s="20"/>
      <c r="S332" s="20"/>
      <c r="T332" s="20"/>
      <c r="U332" s="20"/>
      <c r="V332" s="20"/>
      <c r="W332" s="20"/>
      <c r="X332" s="20"/>
      <c r="Y332" s="20"/>
      <c r="Z332" s="20"/>
    </row>
    <row r="333" spans="10:26" ht="17.25" customHeight="1">
      <c r="J333" s="37"/>
      <c r="K333" s="58"/>
      <c r="L333" s="58"/>
      <c r="M333" s="58"/>
      <c r="N333" s="58"/>
      <c r="O333" s="31"/>
      <c r="P333" s="20"/>
      <c r="Q333" s="20"/>
      <c r="R333" s="20"/>
      <c r="S333" s="20"/>
      <c r="T333" s="20"/>
      <c r="U333" s="20"/>
      <c r="V333" s="20"/>
      <c r="W333" s="20"/>
      <c r="X333" s="20"/>
      <c r="Y333" s="20"/>
      <c r="Z333" s="20"/>
    </row>
    <row r="334" spans="10:26" ht="17.25" customHeight="1">
      <c r="J334" s="37"/>
      <c r="K334" s="58"/>
      <c r="L334" s="58"/>
      <c r="M334" s="58"/>
      <c r="N334" s="58"/>
      <c r="O334" s="31"/>
      <c r="P334" s="20"/>
      <c r="Q334" s="20"/>
      <c r="R334" s="20"/>
      <c r="S334" s="20"/>
      <c r="T334" s="20"/>
      <c r="U334" s="20"/>
      <c r="V334" s="20"/>
      <c r="W334" s="20"/>
      <c r="X334" s="20"/>
      <c r="Y334" s="20"/>
      <c r="Z334" s="20"/>
    </row>
    <row r="335" spans="10:26" ht="17.25" customHeight="1">
      <c r="J335" s="37"/>
      <c r="K335" s="58"/>
      <c r="L335" s="58"/>
      <c r="M335" s="58"/>
      <c r="N335" s="58"/>
      <c r="O335" s="31"/>
      <c r="P335" s="20"/>
      <c r="Q335" s="20"/>
      <c r="R335" s="20"/>
      <c r="S335" s="20"/>
      <c r="T335" s="20"/>
      <c r="U335" s="20"/>
      <c r="V335" s="20"/>
      <c r="W335" s="20"/>
      <c r="X335" s="20"/>
      <c r="Y335" s="20"/>
      <c r="Z335" s="20"/>
    </row>
    <row r="336" spans="10:26" ht="17.25" customHeight="1">
      <c r="J336" s="37"/>
      <c r="K336" s="58"/>
      <c r="L336" s="58"/>
      <c r="M336" s="58"/>
      <c r="N336" s="58"/>
      <c r="O336" s="31"/>
      <c r="P336" s="20"/>
      <c r="Q336" s="20"/>
      <c r="R336" s="20"/>
      <c r="S336" s="20"/>
      <c r="T336" s="20"/>
      <c r="U336" s="20"/>
      <c r="V336" s="20"/>
      <c r="W336" s="20"/>
      <c r="X336" s="20"/>
      <c r="Y336" s="20"/>
      <c r="Z336" s="20"/>
    </row>
    <row r="337" spans="10:26" ht="17.25" customHeight="1">
      <c r="J337" s="37"/>
      <c r="K337" s="58"/>
      <c r="L337" s="58"/>
      <c r="M337" s="58"/>
      <c r="N337" s="58"/>
      <c r="O337" s="31"/>
      <c r="P337" s="20"/>
      <c r="Q337" s="20"/>
      <c r="R337" s="20"/>
      <c r="S337" s="20"/>
      <c r="T337" s="20"/>
      <c r="U337" s="20"/>
      <c r="V337" s="20"/>
      <c r="W337" s="20"/>
      <c r="X337" s="20"/>
      <c r="Y337" s="20"/>
      <c r="Z337" s="20"/>
    </row>
    <row r="338" spans="10:26" ht="17.25" customHeight="1">
      <c r="J338" s="37"/>
      <c r="K338" s="58"/>
      <c r="L338" s="58"/>
      <c r="M338" s="58"/>
      <c r="N338" s="58"/>
      <c r="O338" s="31"/>
      <c r="P338" s="20"/>
      <c r="Q338" s="20"/>
      <c r="R338" s="20"/>
      <c r="S338" s="20"/>
      <c r="T338" s="20"/>
      <c r="U338" s="20"/>
      <c r="V338" s="20"/>
      <c r="W338" s="20"/>
      <c r="X338" s="20"/>
      <c r="Y338" s="20"/>
      <c r="Z338" s="20"/>
    </row>
    <row r="339" spans="10:26" ht="17.25" customHeight="1">
      <c r="J339" s="37"/>
      <c r="K339" s="58"/>
      <c r="L339" s="58"/>
      <c r="M339" s="58"/>
      <c r="N339" s="58"/>
      <c r="O339" s="31"/>
      <c r="P339" s="20"/>
      <c r="Q339" s="20"/>
      <c r="R339" s="20"/>
      <c r="S339" s="20"/>
      <c r="T339" s="20"/>
      <c r="U339" s="20"/>
      <c r="V339" s="20"/>
      <c r="W339" s="20"/>
      <c r="X339" s="20"/>
      <c r="Y339" s="20"/>
      <c r="Z339" s="20"/>
    </row>
    <row r="340" spans="10:26" ht="17.25" customHeight="1">
      <c r="J340" s="37"/>
      <c r="K340" s="58"/>
      <c r="L340" s="58"/>
      <c r="M340" s="58"/>
      <c r="N340" s="58"/>
      <c r="O340" s="31"/>
      <c r="P340" s="20"/>
      <c r="Q340" s="20"/>
      <c r="R340" s="20"/>
      <c r="S340" s="20"/>
      <c r="T340" s="20"/>
      <c r="U340" s="20"/>
      <c r="V340" s="20"/>
      <c r="W340" s="20"/>
      <c r="X340" s="20"/>
      <c r="Y340" s="20"/>
      <c r="Z340" s="20"/>
    </row>
    <row r="341" spans="10:26" ht="17.25" customHeight="1">
      <c r="J341" s="37"/>
      <c r="K341" s="58"/>
      <c r="L341" s="58"/>
      <c r="M341" s="58"/>
      <c r="N341" s="58"/>
      <c r="O341" s="31"/>
      <c r="P341" s="20"/>
      <c r="Q341" s="20"/>
      <c r="R341" s="20"/>
      <c r="S341" s="20"/>
      <c r="T341" s="20"/>
      <c r="U341" s="20"/>
      <c r="V341" s="20"/>
      <c r="W341" s="20"/>
      <c r="X341" s="20"/>
      <c r="Y341" s="20"/>
      <c r="Z341" s="20"/>
    </row>
    <row r="342" spans="10:26" ht="17.25" customHeight="1">
      <c r="J342" s="37"/>
      <c r="K342" s="58"/>
      <c r="L342" s="58"/>
      <c r="M342" s="58"/>
      <c r="N342" s="58"/>
      <c r="O342" s="31"/>
      <c r="P342" s="20"/>
      <c r="Q342" s="20"/>
      <c r="R342" s="20"/>
      <c r="S342" s="20"/>
      <c r="T342" s="20"/>
      <c r="U342" s="20"/>
      <c r="V342" s="20"/>
      <c r="W342" s="20"/>
      <c r="X342" s="20"/>
      <c r="Y342" s="20"/>
      <c r="Z342" s="20"/>
    </row>
    <row r="343" spans="10:26" ht="17.25" customHeight="1">
      <c r="J343" s="37"/>
      <c r="K343" s="58"/>
      <c r="L343" s="58"/>
      <c r="M343" s="58"/>
      <c r="N343" s="58"/>
      <c r="O343" s="31"/>
      <c r="P343" s="20"/>
      <c r="Q343" s="20"/>
      <c r="R343" s="20"/>
      <c r="S343" s="20"/>
      <c r="T343" s="20"/>
      <c r="U343" s="20"/>
      <c r="V343" s="20"/>
      <c r="W343" s="20"/>
      <c r="X343" s="20"/>
      <c r="Y343" s="20"/>
      <c r="Z343" s="20"/>
    </row>
    <row r="344" spans="10:26" ht="17.25" customHeight="1">
      <c r="J344" s="37"/>
      <c r="K344" s="58"/>
      <c r="L344" s="58"/>
      <c r="M344" s="58"/>
      <c r="N344" s="58"/>
      <c r="O344" s="31"/>
      <c r="P344" s="20"/>
      <c r="Q344" s="20"/>
      <c r="R344" s="20"/>
      <c r="S344" s="20"/>
      <c r="T344" s="20"/>
      <c r="U344" s="20"/>
      <c r="V344" s="20"/>
      <c r="W344" s="20"/>
      <c r="X344" s="20"/>
      <c r="Y344" s="20"/>
      <c r="Z344" s="20"/>
    </row>
    <row r="345" spans="10:26" ht="17.25" customHeight="1">
      <c r="J345" s="37"/>
      <c r="K345" s="58"/>
      <c r="L345" s="58"/>
      <c r="M345" s="58"/>
      <c r="N345" s="58"/>
      <c r="O345" s="31"/>
      <c r="P345" s="20"/>
      <c r="Q345" s="20"/>
      <c r="R345" s="20"/>
      <c r="S345" s="20"/>
      <c r="T345" s="20"/>
      <c r="U345" s="20"/>
      <c r="V345" s="20"/>
      <c r="W345" s="20"/>
      <c r="X345" s="20"/>
      <c r="Y345" s="20"/>
      <c r="Z345" s="20"/>
    </row>
    <row r="346" spans="10:26" ht="17.25" customHeight="1">
      <c r="J346" s="37"/>
      <c r="K346" s="58"/>
      <c r="L346" s="58"/>
      <c r="M346" s="58"/>
      <c r="N346" s="58"/>
      <c r="O346" s="31"/>
      <c r="P346" s="20"/>
      <c r="Q346" s="20"/>
      <c r="R346" s="20"/>
      <c r="S346" s="20"/>
      <c r="T346" s="20"/>
      <c r="U346" s="20"/>
      <c r="V346" s="20"/>
      <c r="W346" s="20"/>
      <c r="X346" s="20"/>
      <c r="Y346" s="20"/>
      <c r="Z346" s="20"/>
    </row>
    <row r="347" spans="10:26" ht="17.25" customHeight="1">
      <c r="J347" s="37"/>
      <c r="K347" s="58"/>
      <c r="L347" s="58"/>
      <c r="M347" s="58"/>
      <c r="N347" s="58"/>
      <c r="O347" s="31"/>
      <c r="P347" s="20"/>
      <c r="Q347" s="20"/>
      <c r="R347" s="20"/>
      <c r="S347" s="20"/>
      <c r="T347" s="20"/>
      <c r="U347" s="20"/>
      <c r="V347" s="20"/>
      <c r="W347" s="20"/>
      <c r="X347" s="20"/>
      <c r="Y347" s="20"/>
      <c r="Z347" s="20"/>
    </row>
    <row r="348" spans="10:26" ht="17.25" customHeight="1">
      <c r="J348" s="37"/>
      <c r="K348" s="58"/>
      <c r="L348" s="58"/>
      <c r="M348" s="58"/>
      <c r="N348" s="58"/>
      <c r="O348" s="31"/>
      <c r="P348" s="20"/>
      <c r="Q348" s="20"/>
      <c r="R348" s="20"/>
      <c r="S348" s="20"/>
      <c r="T348" s="20"/>
      <c r="U348" s="20"/>
      <c r="V348" s="20"/>
      <c r="W348" s="20"/>
      <c r="X348" s="20"/>
      <c r="Y348" s="20"/>
      <c r="Z348" s="20"/>
    </row>
    <row r="349" spans="10:26" ht="17.25" customHeight="1">
      <c r="J349" s="37"/>
      <c r="K349" s="58"/>
      <c r="L349" s="58"/>
      <c r="M349" s="58"/>
      <c r="N349" s="58"/>
      <c r="O349" s="31"/>
      <c r="P349" s="20"/>
      <c r="Q349" s="20"/>
      <c r="R349" s="20"/>
      <c r="S349" s="20"/>
      <c r="T349" s="20"/>
      <c r="U349" s="20"/>
      <c r="V349" s="20"/>
      <c r="W349" s="20"/>
      <c r="X349" s="20"/>
      <c r="Y349" s="20"/>
      <c r="Z349" s="20"/>
    </row>
    <row r="350" spans="10:26" ht="17.25" customHeight="1">
      <c r="J350" s="37"/>
      <c r="K350" s="58"/>
      <c r="L350" s="58"/>
      <c r="M350" s="58"/>
      <c r="N350" s="58"/>
      <c r="O350" s="31"/>
      <c r="P350" s="20"/>
      <c r="Q350" s="20"/>
      <c r="R350" s="20"/>
      <c r="S350" s="20"/>
      <c r="T350" s="20"/>
      <c r="U350" s="20"/>
      <c r="V350" s="20"/>
      <c r="W350" s="20"/>
      <c r="X350" s="20"/>
      <c r="Y350" s="20"/>
      <c r="Z350" s="20"/>
    </row>
    <row r="351" spans="10:26" ht="17.25" customHeight="1">
      <c r="J351" s="37"/>
      <c r="K351" s="58"/>
      <c r="L351" s="58"/>
      <c r="M351" s="58"/>
      <c r="N351" s="58"/>
      <c r="O351" s="31"/>
      <c r="P351" s="20"/>
      <c r="Q351" s="20"/>
      <c r="R351" s="20"/>
      <c r="S351" s="20"/>
      <c r="T351" s="20"/>
      <c r="U351" s="20"/>
      <c r="V351" s="20"/>
      <c r="W351" s="20"/>
      <c r="X351" s="20"/>
      <c r="Y351" s="20"/>
      <c r="Z351" s="20"/>
    </row>
    <row r="352" spans="10:26" ht="17.25" customHeight="1">
      <c r="J352" s="37"/>
      <c r="K352" s="58"/>
      <c r="L352" s="58"/>
      <c r="M352" s="58"/>
      <c r="N352" s="58"/>
      <c r="O352" s="31"/>
      <c r="P352" s="20"/>
      <c r="Q352" s="20"/>
      <c r="R352" s="20"/>
      <c r="S352" s="20"/>
      <c r="T352" s="20"/>
      <c r="U352" s="20"/>
      <c r="V352" s="20"/>
      <c r="W352" s="20"/>
      <c r="X352" s="20"/>
      <c r="Y352" s="20"/>
      <c r="Z352" s="20"/>
    </row>
    <row r="353" spans="10:26" ht="17.25" customHeight="1">
      <c r="J353" s="37"/>
      <c r="K353" s="58"/>
      <c r="L353" s="58"/>
      <c r="M353" s="58"/>
      <c r="N353" s="58"/>
      <c r="O353" s="31"/>
      <c r="P353" s="20"/>
      <c r="Q353" s="20"/>
      <c r="R353" s="20"/>
      <c r="S353" s="20"/>
      <c r="T353" s="20"/>
      <c r="U353" s="20"/>
      <c r="V353" s="20"/>
      <c r="W353" s="20"/>
      <c r="X353" s="20"/>
      <c r="Y353" s="20"/>
      <c r="Z353" s="20"/>
    </row>
    <row r="354" spans="10:26" ht="17.25" customHeight="1">
      <c r="J354" s="37"/>
      <c r="K354" s="58"/>
      <c r="L354" s="58"/>
      <c r="M354" s="58"/>
      <c r="N354" s="58"/>
      <c r="O354" s="31"/>
      <c r="P354" s="20"/>
      <c r="Q354" s="20"/>
      <c r="R354" s="20"/>
      <c r="S354" s="20"/>
      <c r="T354" s="20"/>
      <c r="U354" s="20"/>
      <c r="V354" s="20"/>
      <c r="W354" s="20"/>
      <c r="X354" s="20"/>
      <c r="Y354" s="20"/>
      <c r="Z354" s="20"/>
    </row>
    <row r="355" spans="10:26" ht="17.25" customHeight="1">
      <c r="J355" s="37"/>
      <c r="K355" s="58"/>
      <c r="L355" s="58"/>
      <c r="M355" s="58"/>
      <c r="N355" s="58"/>
      <c r="O355" s="31"/>
      <c r="P355" s="20"/>
      <c r="Q355" s="20"/>
      <c r="R355" s="20"/>
      <c r="S355" s="20"/>
      <c r="T355" s="20"/>
      <c r="U355" s="20"/>
      <c r="V355" s="20"/>
      <c r="W355" s="20"/>
      <c r="X355" s="20"/>
      <c r="Y355" s="20"/>
      <c r="Z355" s="20"/>
    </row>
    <row r="356" spans="10:26" ht="17.25" customHeight="1">
      <c r="J356" s="37"/>
      <c r="K356" s="58"/>
      <c r="L356" s="58"/>
      <c r="M356" s="58"/>
      <c r="N356" s="58"/>
      <c r="O356" s="31"/>
      <c r="P356" s="20"/>
      <c r="Q356" s="20"/>
      <c r="R356" s="20"/>
      <c r="S356" s="20"/>
      <c r="T356" s="20"/>
      <c r="U356" s="20"/>
      <c r="V356" s="20"/>
      <c r="W356" s="20"/>
      <c r="X356" s="20"/>
      <c r="Y356" s="20"/>
      <c r="Z356" s="20"/>
    </row>
    <row r="357" spans="10:26" ht="17.25" customHeight="1">
      <c r="J357" s="37"/>
      <c r="K357" s="58"/>
      <c r="L357" s="58"/>
      <c r="M357" s="58"/>
      <c r="N357" s="58"/>
      <c r="O357" s="31"/>
      <c r="P357" s="20"/>
      <c r="Q357" s="20"/>
      <c r="R357" s="20"/>
      <c r="S357" s="20"/>
      <c r="T357" s="20"/>
      <c r="U357" s="20"/>
      <c r="V357" s="20"/>
      <c r="W357" s="20"/>
      <c r="X357" s="20"/>
      <c r="Y357" s="20"/>
      <c r="Z357" s="20"/>
    </row>
    <row r="358" spans="10:26" ht="17.25" customHeight="1">
      <c r="J358" s="37"/>
      <c r="K358" s="58"/>
      <c r="L358" s="58"/>
      <c r="M358" s="58"/>
      <c r="N358" s="58"/>
      <c r="O358" s="31"/>
      <c r="P358" s="20"/>
      <c r="Q358" s="20"/>
      <c r="R358" s="20"/>
      <c r="S358" s="20"/>
      <c r="T358" s="20"/>
      <c r="U358" s="20"/>
      <c r="V358" s="20"/>
      <c r="W358" s="20"/>
      <c r="X358" s="20"/>
      <c r="Y358" s="20"/>
      <c r="Z358" s="20"/>
    </row>
    <row r="359" spans="10:26" ht="17.25" customHeight="1">
      <c r="J359" s="37"/>
      <c r="K359" s="58"/>
      <c r="L359" s="58"/>
      <c r="M359" s="58"/>
      <c r="N359" s="58"/>
      <c r="O359" s="31"/>
      <c r="P359" s="20"/>
      <c r="Q359" s="20"/>
      <c r="R359" s="20"/>
      <c r="S359" s="20"/>
      <c r="T359" s="20"/>
      <c r="U359" s="20"/>
      <c r="V359" s="20"/>
      <c r="W359" s="20"/>
      <c r="X359" s="20"/>
      <c r="Y359" s="20"/>
      <c r="Z359" s="20"/>
    </row>
    <row r="360" spans="10:26" ht="17.25" customHeight="1">
      <c r="J360" s="37"/>
      <c r="K360" s="58"/>
      <c r="L360" s="58"/>
      <c r="M360" s="58"/>
      <c r="N360" s="58"/>
      <c r="O360" s="31"/>
      <c r="P360" s="20"/>
      <c r="Q360" s="20"/>
      <c r="R360" s="20"/>
      <c r="S360" s="20"/>
      <c r="T360" s="20"/>
      <c r="U360" s="20"/>
      <c r="V360" s="20"/>
      <c r="W360" s="20"/>
      <c r="X360" s="20"/>
      <c r="Y360" s="20"/>
      <c r="Z360" s="20"/>
    </row>
    <row r="361" spans="10:26" ht="17.25" customHeight="1">
      <c r="J361" s="37"/>
      <c r="K361" s="58"/>
      <c r="L361" s="58"/>
      <c r="M361" s="58"/>
      <c r="N361" s="58"/>
      <c r="O361" s="31"/>
      <c r="P361" s="20"/>
      <c r="Q361" s="20"/>
      <c r="R361" s="20"/>
      <c r="S361" s="20"/>
      <c r="T361" s="20"/>
      <c r="U361" s="20"/>
      <c r="V361" s="20"/>
      <c r="W361" s="20"/>
      <c r="X361" s="20"/>
      <c r="Y361" s="20"/>
      <c r="Z361" s="20"/>
    </row>
    <row r="362" spans="10:26" ht="17.25" customHeight="1">
      <c r="J362" s="37"/>
      <c r="K362" s="58"/>
      <c r="L362" s="58"/>
      <c r="M362" s="58"/>
      <c r="N362" s="58"/>
      <c r="O362" s="31"/>
      <c r="P362" s="20"/>
      <c r="Q362" s="20"/>
      <c r="R362" s="20"/>
      <c r="S362" s="20"/>
      <c r="T362" s="20"/>
      <c r="U362" s="20"/>
      <c r="V362" s="20"/>
      <c r="W362" s="20"/>
      <c r="X362" s="20"/>
      <c r="Y362" s="20"/>
      <c r="Z362" s="20"/>
    </row>
    <row r="363" spans="10:26" ht="17.25" customHeight="1">
      <c r="J363" s="37"/>
      <c r="K363" s="58"/>
      <c r="L363" s="58"/>
      <c r="M363" s="58"/>
      <c r="N363" s="58"/>
      <c r="O363" s="31"/>
      <c r="P363" s="20"/>
      <c r="Q363" s="20"/>
      <c r="R363" s="20"/>
      <c r="S363" s="20"/>
      <c r="T363" s="20"/>
      <c r="U363" s="20"/>
      <c r="V363" s="20"/>
      <c r="W363" s="20"/>
      <c r="X363" s="20"/>
      <c r="Y363" s="20"/>
      <c r="Z363" s="20"/>
    </row>
    <row r="364" spans="10:26" ht="17.25" customHeight="1">
      <c r="J364" s="37"/>
      <c r="K364" s="58"/>
      <c r="L364" s="58"/>
      <c r="M364" s="58"/>
      <c r="N364" s="58"/>
      <c r="O364" s="31"/>
      <c r="P364" s="20"/>
      <c r="Q364" s="20"/>
      <c r="R364" s="20"/>
      <c r="S364" s="20"/>
      <c r="T364" s="20"/>
      <c r="U364" s="20"/>
      <c r="V364" s="20"/>
      <c r="W364" s="20"/>
      <c r="X364" s="20"/>
      <c r="Y364" s="20"/>
      <c r="Z364" s="20"/>
    </row>
    <row r="365" spans="10:26" ht="17.25" customHeight="1">
      <c r="J365" s="37"/>
      <c r="K365" s="58"/>
      <c r="L365" s="58"/>
      <c r="M365" s="58"/>
      <c r="N365" s="58"/>
      <c r="O365" s="31"/>
      <c r="P365" s="20"/>
      <c r="Q365" s="20"/>
      <c r="R365" s="20"/>
      <c r="S365" s="20"/>
      <c r="T365" s="20"/>
      <c r="U365" s="20"/>
      <c r="V365" s="20"/>
      <c r="W365" s="20"/>
      <c r="X365" s="20"/>
      <c r="Y365" s="20"/>
      <c r="Z365" s="20"/>
    </row>
    <row r="366" spans="10:26" ht="17.25" customHeight="1">
      <c r="J366" s="37"/>
      <c r="K366" s="58"/>
      <c r="L366" s="58"/>
      <c r="M366" s="58"/>
      <c r="N366" s="58"/>
      <c r="O366" s="31"/>
      <c r="P366" s="20"/>
      <c r="Q366" s="20"/>
      <c r="R366" s="20"/>
      <c r="S366" s="20"/>
      <c r="T366" s="20"/>
      <c r="U366" s="20"/>
      <c r="V366" s="20"/>
      <c r="W366" s="20"/>
      <c r="X366" s="20"/>
      <c r="Y366" s="20"/>
      <c r="Z366" s="20"/>
    </row>
    <row r="367" spans="10:26" ht="17.25" customHeight="1">
      <c r="J367" s="37"/>
      <c r="K367" s="58"/>
      <c r="L367" s="58"/>
      <c r="M367" s="58"/>
      <c r="N367" s="58"/>
      <c r="O367" s="31"/>
      <c r="P367" s="20"/>
      <c r="Q367" s="20"/>
      <c r="R367" s="20"/>
      <c r="S367" s="20"/>
      <c r="T367" s="20"/>
      <c r="U367" s="20"/>
      <c r="V367" s="20"/>
      <c r="W367" s="20"/>
      <c r="X367" s="20"/>
      <c r="Y367" s="20"/>
      <c r="Z367" s="20"/>
    </row>
    <row r="368" spans="10:26" ht="17.25" customHeight="1">
      <c r="J368" s="37"/>
      <c r="K368" s="58"/>
      <c r="L368" s="58"/>
      <c r="M368" s="58"/>
      <c r="N368" s="58"/>
      <c r="O368" s="31"/>
      <c r="P368" s="20"/>
      <c r="Q368" s="20"/>
      <c r="R368" s="20"/>
      <c r="S368" s="20"/>
      <c r="T368" s="20"/>
      <c r="U368" s="20"/>
      <c r="V368" s="20"/>
      <c r="W368" s="20"/>
      <c r="X368" s="20"/>
      <c r="Y368" s="20"/>
      <c r="Z368" s="20"/>
    </row>
    <row r="369" spans="10:26" ht="17.25" customHeight="1">
      <c r="J369" s="37"/>
      <c r="K369" s="58"/>
      <c r="L369" s="58"/>
      <c r="M369" s="58"/>
      <c r="N369" s="58"/>
      <c r="O369" s="31"/>
      <c r="P369" s="20"/>
      <c r="Q369" s="20"/>
      <c r="R369" s="20"/>
      <c r="S369" s="20"/>
      <c r="T369" s="20"/>
      <c r="U369" s="20"/>
      <c r="V369" s="20"/>
      <c r="W369" s="20"/>
      <c r="X369" s="20"/>
      <c r="Y369" s="20"/>
      <c r="Z369" s="20"/>
    </row>
    <row r="370" spans="10:26" ht="17.25" customHeight="1">
      <c r="J370" s="37"/>
      <c r="K370" s="58"/>
      <c r="L370" s="58"/>
      <c r="M370" s="58"/>
      <c r="N370" s="58"/>
      <c r="O370" s="31"/>
      <c r="P370" s="20"/>
      <c r="Q370" s="20"/>
      <c r="R370" s="20"/>
      <c r="S370" s="20"/>
      <c r="T370" s="20"/>
      <c r="U370" s="20"/>
      <c r="V370" s="20"/>
      <c r="W370" s="20"/>
      <c r="X370" s="20"/>
      <c r="Y370" s="20"/>
      <c r="Z370" s="20"/>
    </row>
    <row r="371" spans="10:26" ht="17.25" customHeight="1">
      <c r="J371" s="37"/>
      <c r="K371" s="58"/>
      <c r="L371" s="58"/>
      <c r="M371" s="58"/>
      <c r="N371" s="58"/>
      <c r="O371" s="31"/>
      <c r="P371" s="20"/>
      <c r="Q371" s="20"/>
      <c r="R371" s="20"/>
      <c r="S371" s="20"/>
      <c r="T371" s="20"/>
      <c r="U371" s="20"/>
      <c r="V371" s="20"/>
      <c r="W371" s="20"/>
      <c r="X371" s="20"/>
      <c r="Y371" s="20"/>
      <c r="Z371" s="20"/>
    </row>
    <row r="372" spans="10:26" ht="17.25" customHeight="1">
      <c r="J372" s="37"/>
      <c r="K372" s="58"/>
      <c r="L372" s="58"/>
      <c r="M372" s="58"/>
      <c r="N372" s="58"/>
      <c r="O372" s="31"/>
      <c r="P372" s="20"/>
      <c r="Q372" s="20"/>
      <c r="R372" s="20"/>
      <c r="S372" s="20"/>
      <c r="T372" s="20"/>
      <c r="U372" s="20"/>
      <c r="V372" s="20"/>
      <c r="W372" s="20"/>
      <c r="X372" s="20"/>
      <c r="Y372" s="20"/>
      <c r="Z372" s="20"/>
    </row>
    <row r="373" spans="10:26" ht="17.25" customHeight="1">
      <c r="J373" s="37"/>
      <c r="K373" s="58"/>
      <c r="L373" s="58"/>
      <c r="M373" s="58"/>
      <c r="N373" s="58"/>
      <c r="O373" s="31"/>
      <c r="P373" s="20"/>
      <c r="Q373" s="20"/>
      <c r="R373" s="20"/>
      <c r="S373" s="20"/>
      <c r="T373" s="20"/>
      <c r="U373" s="20"/>
      <c r="V373" s="20"/>
      <c r="W373" s="20"/>
      <c r="X373" s="20"/>
      <c r="Y373" s="20"/>
      <c r="Z373" s="20"/>
    </row>
    <row r="374" spans="10:26" ht="17.25" customHeight="1">
      <c r="J374" s="37"/>
      <c r="K374" s="58"/>
      <c r="L374" s="58"/>
      <c r="M374" s="58"/>
      <c r="N374" s="58"/>
      <c r="O374" s="31"/>
      <c r="P374" s="20"/>
      <c r="Q374" s="20"/>
      <c r="R374" s="20"/>
      <c r="S374" s="20"/>
      <c r="T374" s="20"/>
      <c r="U374" s="20"/>
      <c r="V374" s="20"/>
      <c r="W374" s="20"/>
      <c r="X374" s="20"/>
      <c r="Y374" s="20"/>
      <c r="Z374" s="20"/>
    </row>
    <row r="375" spans="10:26" ht="17.25" customHeight="1">
      <c r="J375" s="37"/>
      <c r="K375" s="58"/>
      <c r="L375" s="58"/>
      <c r="M375" s="58"/>
      <c r="N375" s="58"/>
      <c r="O375" s="31"/>
      <c r="P375" s="20"/>
      <c r="Q375" s="20"/>
      <c r="R375" s="20"/>
      <c r="S375" s="20"/>
      <c r="T375" s="20"/>
      <c r="U375" s="20"/>
      <c r="V375" s="20"/>
      <c r="W375" s="20"/>
      <c r="X375" s="20"/>
      <c r="Y375" s="20"/>
      <c r="Z375" s="20"/>
    </row>
    <row r="376" spans="10:26" ht="17.25" customHeight="1">
      <c r="J376" s="37"/>
      <c r="K376" s="58"/>
      <c r="L376" s="58"/>
      <c r="M376" s="58"/>
      <c r="N376" s="58"/>
      <c r="O376" s="31"/>
      <c r="P376" s="20"/>
      <c r="Q376" s="20"/>
      <c r="R376" s="20"/>
      <c r="S376" s="20"/>
      <c r="T376" s="20"/>
      <c r="U376" s="20"/>
      <c r="V376" s="20"/>
      <c r="W376" s="20"/>
      <c r="X376" s="20"/>
      <c r="Y376" s="20"/>
      <c r="Z376" s="20"/>
    </row>
    <row r="377" spans="10:26" ht="17.25" customHeight="1">
      <c r="J377" s="37"/>
      <c r="K377" s="58"/>
      <c r="L377" s="58"/>
      <c r="M377" s="58"/>
      <c r="N377" s="58"/>
      <c r="O377" s="31"/>
      <c r="P377" s="20"/>
      <c r="Q377" s="20"/>
      <c r="R377" s="20"/>
      <c r="S377" s="20"/>
      <c r="T377" s="20"/>
      <c r="U377" s="20"/>
      <c r="V377" s="20"/>
      <c r="W377" s="20"/>
      <c r="X377" s="20"/>
      <c r="Y377" s="20"/>
      <c r="Z377" s="20"/>
    </row>
    <row r="378" spans="10:26" ht="17.25" customHeight="1">
      <c r="J378" s="37"/>
      <c r="K378" s="58"/>
      <c r="L378" s="58"/>
      <c r="M378" s="58"/>
      <c r="N378" s="58"/>
      <c r="O378" s="31"/>
      <c r="P378" s="20"/>
      <c r="Q378" s="20"/>
      <c r="R378" s="20"/>
      <c r="S378" s="20"/>
      <c r="T378" s="20"/>
      <c r="U378" s="20"/>
      <c r="V378" s="20"/>
      <c r="W378" s="20"/>
      <c r="X378" s="20"/>
      <c r="Y378" s="20"/>
      <c r="Z378" s="20"/>
    </row>
    <row r="379" spans="10:26" ht="17.25" customHeight="1">
      <c r="J379" s="37"/>
      <c r="K379" s="58"/>
      <c r="L379" s="58"/>
      <c r="M379" s="58"/>
      <c r="N379" s="58"/>
      <c r="O379" s="31"/>
      <c r="P379" s="20"/>
      <c r="Q379" s="20"/>
      <c r="R379" s="20"/>
      <c r="S379" s="20"/>
      <c r="T379" s="20"/>
      <c r="U379" s="20"/>
      <c r="V379" s="20"/>
      <c r="W379" s="20"/>
      <c r="X379" s="20"/>
      <c r="Y379" s="20"/>
      <c r="Z379" s="20"/>
    </row>
    <row r="380" spans="10:26" ht="17.25" customHeight="1">
      <c r="J380" s="37"/>
      <c r="K380" s="58"/>
      <c r="L380" s="58"/>
      <c r="M380" s="58"/>
      <c r="N380" s="58"/>
      <c r="O380" s="31"/>
      <c r="P380" s="20"/>
      <c r="Q380" s="20"/>
      <c r="R380" s="20"/>
      <c r="S380" s="20"/>
      <c r="T380" s="20"/>
      <c r="U380" s="20"/>
      <c r="V380" s="20"/>
      <c r="W380" s="20"/>
      <c r="X380" s="20"/>
      <c r="Y380" s="20"/>
      <c r="Z380" s="20"/>
    </row>
    <row r="381" spans="10:26" ht="17.25" customHeight="1">
      <c r="J381" s="37"/>
      <c r="K381" s="58"/>
      <c r="L381" s="58"/>
      <c r="M381" s="58"/>
      <c r="N381" s="58"/>
      <c r="O381" s="31"/>
      <c r="P381" s="20"/>
      <c r="Q381" s="20"/>
      <c r="R381" s="20"/>
      <c r="S381" s="20"/>
      <c r="T381" s="20"/>
      <c r="U381" s="20"/>
      <c r="V381" s="20"/>
      <c r="W381" s="20"/>
      <c r="X381" s="20"/>
      <c r="Y381" s="20"/>
      <c r="Z381" s="20"/>
    </row>
    <row r="382" spans="10:26" ht="17.25" customHeight="1">
      <c r="J382" s="37"/>
      <c r="K382" s="58"/>
      <c r="L382" s="58"/>
      <c r="M382" s="58"/>
      <c r="N382" s="58"/>
      <c r="O382" s="31"/>
      <c r="P382" s="20"/>
      <c r="Q382" s="20"/>
      <c r="R382" s="20"/>
      <c r="S382" s="20"/>
      <c r="T382" s="20"/>
      <c r="U382" s="20"/>
      <c r="V382" s="20"/>
      <c r="W382" s="20"/>
      <c r="X382" s="20"/>
      <c r="Y382" s="20"/>
      <c r="Z382" s="20"/>
    </row>
    <row r="383" spans="10:26" ht="17.25" customHeight="1">
      <c r="J383" s="37"/>
      <c r="K383" s="58"/>
      <c r="L383" s="58"/>
      <c r="M383" s="58"/>
      <c r="N383" s="58"/>
      <c r="O383" s="31"/>
      <c r="P383" s="20"/>
      <c r="Q383" s="20"/>
      <c r="R383" s="20"/>
      <c r="S383" s="20"/>
      <c r="T383" s="20"/>
      <c r="U383" s="20"/>
      <c r="V383" s="20"/>
      <c r="W383" s="20"/>
      <c r="X383" s="20"/>
      <c r="Y383" s="20"/>
      <c r="Z383" s="20"/>
    </row>
    <row r="384" spans="10:26" ht="17.25" customHeight="1">
      <c r="J384" s="37"/>
      <c r="K384" s="58"/>
      <c r="L384" s="58"/>
      <c r="M384" s="58"/>
      <c r="N384" s="58"/>
      <c r="O384" s="31"/>
      <c r="P384" s="20"/>
      <c r="Q384" s="20"/>
      <c r="R384" s="20"/>
      <c r="S384" s="20"/>
      <c r="T384" s="20"/>
      <c r="U384" s="20"/>
      <c r="V384" s="20"/>
      <c r="W384" s="20"/>
      <c r="X384" s="20"/>
      <c r="Y384" s="20"/>
      <c r="Z384" s="20"/>
    </row>
    <row r="385" spans="10:26" ht="17.25" customHeight="1">
      <c r="J385" s="37"/>
      <c r="K385" s="58"/>
      <c r="L385" s="58"/>
      <c r="M385" s="58"/>
      <c r="N385" s="58"/>
      <c r="O385" s="31"/>
      <c r="P385" s="20"/>
      <c r="Q385" s="20"/>
      <c r="R385" s="20"/>
      <c r="S385" s="20"/>
      <c r="T385" s="20"/>
      <c r="U385" s="20"/>
      <c r="V385" s="20"/>
      <c r="W385" s="20"/>
      <c r="X385" s="20"/>
      <c r="Y385" s="20"/>
      <c r="Z385" s="20"/>
    </row>
    <row r="386" spans="10:26" ht="17.25" customHeight="1">
      <c r="J386" s="37"/>
      <c r="K386" s="58"/>
      <c r="L386" s="58"/>
      <c r="M386" s="58"/>
      <c r="N386" s="58"/>
      <c r="O386" s="31"/>
      <c r="P386" s="20"/>
      <c r="Q386" s="20"/>
      <c r="R386" s="20"/>
      <c r="S386" s="20"/>
      <c r="T386" s="20"/>
      <c r="U386" s="20"/>
      <c r="V386" s="20"/>
      <c r="W386" s="20"/>
      <c r="X386" s="20"/>
      <c r="Y386" s="20"/>
      <c r="Z386" s="20"/>
    </row>
    <row r="387" spans="10:26" ht="17.25" customHeight="1">
      <c r="J387" s="37"/>
      <c r="K387" s="58"/>
      <c r="L387" s="58"/>
      <c r="M387" s="58"/>
      <c r="N387" s="58"/>
      <c r="O387" s="31"/>
      <c r="P387" s="20"/>
      <c r="Q387" s="20"/>
      <c r="R387" s="20"/>
      <c r="S387" s="20"/>
      <c r="T387" s="20"/>
      <c r="U387" s="20"/>
      <c r="V387" s="20"/>
      <c r="W387" s="20"/>
      <c r="X387" s="20"/>
      <c r="Y387" s="20"/>
      <c r="Z387" s="20"/>
    </row>
    <row r="388" spans="10:26" ht="17.25" customHeight="1">
      <c r="J388" s="37"/>
      <c r="K388" s="58"/>
      <c r="L388" s="58"/>
      <c r="M388" s="58"/>
      <c r="N388" s="58"/>
      <c r="O388" s="31"/>
      <c r="P388" s="20"/>
      <c r="Q388" s="20"/>
      <c r="R388" s="20"/>
      <c r="S388" s="20"/>
      <c r="T388" s="20"/>
      <c r="U388" s="20"/>
      <c r="V388" s="20"/>
      <c r="W388" s="20"/>
      <c r="X388" s="20"/>
      <c r="Y388" s="20"/>
      <c r="Z388" s="20"/>
    </row>
    <row r="389" spans="10:26" ht="17.25" customHeight="1">
      <c r="J389" s="37"/>
      <c r="K389" s="58"/>
      <c r="L389" s="58"/>
      <c r="M389" s="58"/>
      <c r="N389" s="58"/>
      <c r="O389" s="31"/>
      <c r="P389" s="20"/>
      <c r="Q389" s="20"/>
      <c r="R389" s="20"/>
      <c r="S389" s="20"/>
      <c r="T389" s="20"/>
      <c r="U389" s="20"/>
      <c r="V389" s="20"/>
      <c r="W389" s="20"/>
      <c r="X389" s="20"/>
      <c r="Y389" s="20"/>
      <c r="Z389" s="20"/>
    </row>
    <row r="390" spans="10:26" ht="17.25" customHeight="1">
      <c r="J390" s="37"/>
      <c r="K390" s="58"/>
      <c r="L390" s="58"/>
      <c r="M390" s="58"/>
      <c r="N390" s="58"/>
      <c r="O390" s="31"/>
      <c r="P390" s="20"/>
      <c r="Q390" s="20"/>
      <c r="R390" s="20"/>
      <c r="S390" s="20"/>
      <c r="T390" s="20"/>
      <c r="U390" s="20"/>
      <c r="V390" s="20"/>
      <c r="W390" s="20"/>
      <c r="X390" s="20"/>
      <c r="Y390" s="20"/>
      <c r="Z390" s="20"/>
    </row>
    <row r="391" spans="10:26" ht="17.25" customHeight="1">
      <c r="J391" s="37"/>
      <c r="K391" s="58"/>
      <c r="L391" s="58"/>
      <c r="M391" s="58"/>
      <c r="N391" s="58"/>
      <c r="O391" s="31"/>
      <c r="P391" s="20"/>
      <c r="Q391" s="20"/>
      <c r="R391" s="20"/>
      <c r="S391" s="20"/>
      <c r="T391" s="20"/>
      <c r="U391" s="20"/>
      <c r="V391" s="20"/>
      <c r="W391" s="20"/>
      <c r="X391" s="20"/>
      <c r="Y391" s="20"/>
      <c r="Z391" s="20"/>
    </row>
    <row r="392" spans="10:26" ht="17.25" customHeight="1">
      <c r="J392" s="37"/>
      <c r="K392" s="58"/>
      <c r="L392" s="58"/>
      <c r="M392" s="58"/>
      <c r="N392" s="58"/>
      <c r="O392" s="31"/>
      <c r="P392" s="20"/>
      <c r="Q392" s="20"/>
      <c r="R392" s="20"/>
      <c r="S392" s="20"/>
      <c r="T392" s="20"/>
      <c r="U392" s="20"/>
      <c r="V392" s="20"/>
      <c r="W392" s="20"/>
      <c r="X392" s="20"/>
      <c r="Y392" s="20"/>
      <c r="Z392" s="20"/>
    </row>
    <row r="393" spans="10:26" ht="17.25" customHeight="1">
      <c r="J393" s="37"/>
      <c r="K393" s="58"/>
      <c r="L393" s="58"/>
      <c r="M393" s="58"/>
      <c r="N393" s="58"/>
      <c r="O393" s="31"/>
      <c r="P393" s="20"/>
      <c r="Q393" s="20"/>
      <c r="R393" s="20"/>
      <c r="S393" s="20"/>
      <c r="T393" s="20"/>
      <c r="U393" s="20"/>
      <c r="V393" s="20"/>
      <c r="W393" s="20"/>
      <c r="X393" s="20"/>
      <c r="Y393" s="20"/>
      <c r="Z393" s="20"/>
    </row>
    <row r="394" spans="10:26" ht="17.25" customHeight="1">
      <c r="J394" s="37"/>
      <c r="K394" s="58"/>
      <c r="L394" s="58"/>
      <c r="M394" s="58"/>
      <c r="N394" s="58"/>
      <c r="O394" s="31"/>
      <c r="P394" s="20"/>
      <c r="Q394" s="20"/>
      <c r="R394" s="20"/>
      <c r="S394" s="20"/>
      <c r="T394" s="20"/>
      <c r="U394" s="20"/>
      <c r="V394" s="20"/>
      <c r="W394" s="20"/>
      <c r="X394" s="20"/>
      <c r="Y394" s="20"/>
      <c r="Z394" s="20"/>
    </row>
    <row r="395" spans="10:26" ht="17.25" customHeight="1">
      <c r="J395" s="37"/>
      <c r="K395" s="58"/>
      <c r="L395" s="58"/>
      <c r="M395" s="58"/>
      <c r="N395" s="58"/>
      <c r="O395" s="31"/>
      <c r="P395" s="20"/>
      <c r="Q395" s="20"/>
      <c r="R395" s="20"/>
      <c r="S395" s="20"/>
      <c r="T395" s="20"/>
      <c r="U395" s="20"/>
      <c r="V395" s="20"/>
      <c r="W395" s="20"/>
      <c r="X395" s="20"/>
      <c r="Y395" s="20"/>
      <c r="Z395" s="20"/>
    </row>
    <row r="396" spans="10:26" ht="17.25" customHeight="1">
      <c r="J396" s="37"/>
      <c r="K396" s="58"/>
      <c r="L396" s="58"/>
      <c r="M396" s="58"/>
      <c r="N396" s="58"/>
      <c r="O396" s="31"/>
      <c r="P396" s="20"/>
      <c r="Q396" s="20"/>
      <c r="R396" s="20"/>
      <c r="S396" s="20"/>
      <c r="T396" s="20"/>
      <c r="U396" s="20"/>
      <c r="V396" s="20"/>
      <c r="W396" s="20"/>
      <c r="X396" s="20"/>
      <c r="Y396" s="20"/>
      <c r="Z396" s="20"/>
    </row>
    <row r="397" spans="10:26" ht="17.25" customHeight="1">
      <c r="J397" s="37"/>
      <c r="K397" s="58"/>
      <c r="L397" s="58"/>
      <c r="M397" s="58"/>
      <c r="N397" s="58"/>
      <c r="O397" s="31"/>
      <c r="P397" s="20"/>
      <c r="Q397" s="20"/>
      <c r="R397" s="20"/>
      <c r="S397" s="20"/>
      <c r="T397" s="20"/>
      <c r="U397" s="20"/>
      <c r="V397" s="20"/>
      <c r="W397" s="20"/>
      <c r="X397" s="20"/>
      <c r="Y397" s="20"/>
      <c r="Z397" s="20"/>
    </row>
    <row r="398" spans="10:26" ht="17.25" customHeight="1">
      <c r="J398" s="37"/>
      <c r="K398" s="58"/>
      <c r="L398" s="58"/>
      <c r="M398" s="58"/>
      <c r="N398" s="58"/>
      <c r="O398" s="31"/>
      <c r="P398" s="20"/>
      <c r="Q398" s="20"/>
      <c r="R398" s="20"/>
      <c r="S398" s="20"/>
      <c r="T398" s="20"/>
      <c r="U398" s="20"/>
      <c r="V398" s="20"/>
      <c r="W398" s="20"/>
      <c r="X398" s="20"/>
      <c r="Y398" s="20"/>
      <c r="Z398" s="20"/>
    </row>
    <row r="399" spans="10:26" ht="17.25" customHeight="1">
      <c r="J399" s="37"/>
      <c r="K399" s="58"/>
      <c r="L399" s="58"/>
      <c r="M399" s="58"/>
      <c r="N399" s="58"/>
      <c r="O399" s="31"/>
      <c r="P399" s="20"/>
      <c r="Q399" s="20"/>
      <c r="R399" s="20"/>
      <c r="S399" s="20"/>
      <c r="T399" s="20"/>
      <c r="U399" s="20"/>
      <c r="V399" s="20"/>
      <c r="W399" s="20"/>
      <c r="X399" s="20"/>
      <c r="Y399" s="20"/>
      <c r="Z399" s="20"/>
    </row>
    <row r="400" spans="10:26" ht="17.25" customHeight="1">
      <c r="J400" s="37"/>
      <c r="K400" s="58"/>
      <c r="L400" s="58"/>
      <c r="M400" s="58"/>
      <c r="N400" s="58"/>
      <c r="O400" s="31"/>
      <c r="P400" s="20"/>
      <c r="Q400" s="20"/>
      <c r="R400" s="20"/>
      <c r="S400" s="20"/>
      <c r="T400" s="20"/>
      <c r="U400" s="20"/>
      <c r="V400" s="20"/>
      <c r="W400" s="20"/>
      <c r="X400" s="20"/>
      <c r="Y400" s="20"/>
      <c r="Z400" s="20"/>
    </row>
    <row r="401" spans="10:26" ht="17.25" customHeight="1">
      <c r="J401" s="37"/>
      <c r="K401" s="58"/>
      <c r="L401" s="58"/>
      <c r="M401" s="58"/>
      <c r="N401" s="58"/>
      <c r="O401" s="31"/>
      <c r="P401" s="20"/>
      <c r="Q401" s="20"/>
      <c r="R401" s="20"/>
      <c r="S401" s="20"/>
      <c r="T401" s="20"/>
      <c r="U401" s="20"/>
      <c r="V401" s="20"/>
      <c r="W401" s="20"/>
      <c r="X401" s="20"/>
      <c r="Y401" s="20"/>
      <c r="Z401" s="20"/>
    </row>
    <row r="402" spans="10:26" ht="17.25" customHeight="1">
      <c r="J402" s="37"/>
      <c r="K402" s="58"/>
      <c r="L402" s="58"/>
      <c r="M402" s="58"/>
      <c r="N402" s="58"/>
      <c r="O402" s="31"/>
      <c r="P402" s="20"/>
      <c r="Q402" s="20"/>
      <c r="R402" s="20"/>
      <c r="S402" s="20"/>
      <c r="T402" s="20"/>
      <c r="U402" s="20"/>
      <c r="V402" s="20"/>
      <c r="W402" s="20"/>
      <c r="X402" s="20"/>
      <c r="Y402" s="20"/>
      <c r="Z402" s="20"/>
    </row>
    <row r="403" spans="10:26" ht="17.25" customHeight="1">
      <c r="J403" s="37"/>
      <c r="K403" s="58"/>
      <c r="L403" s="58"/>
      <c r="M403" s="58"/>
      <c r="N403" s="58"/>
      <c r="O403" s="31"/>
      <c r="P403" s="20"/>
      <c r="Q403" s="20"/>
      <c r="R403" s="20"/>
      <c r="S403" s="20"/>
      <c r="T403" s="20"/>
      <c r="U403" s="20"/>
      <c r="V403" s="20"/>
      <c r="W403" s="20"/>
      <c r="X403" s="20"/>
      <c r="Y403" s="20"/>
      <c r="Z403" s="20"/>
    </row>
    <row r="404" spans="10:26" ht="17.25" customHeight="1">
      <c r="J404" s="37"/>
      <c r="K404" s="58"/>
      <c r="L404" s="58"/>
      <c r="M404" s="58"/>
      <c r="N404" s="58"/>
      <c r="O404" s="31"/>
      <c r="P404" s="20"/>
      <c r="Q404" s="20"/>
      <c r="R404" s="20"/>
      <c r="S404" s="20"/>
      <c r="T404" s="20"/>
      <c r="U404" s="20"/>
      <c r="V404" s="20"/>
      <c r="W404" s="20"/>
      <c r="X404" s="20"/>
      <c r="Y404" s="20"/>
      <c r="Z404" s="20"/>
    </row>
    <row r="405" spans="10:26" ht="17.25" customHeight="1">
      <c r="J405" s="37"/>
      <c r="K405" s="58"/>
      <c r="L405" s="58"/>
      <c r="M405" s="58"/>
      <c r="N405" s="58"/>
      <c r="O405" s="31"/>
      <c r="P405" s="20"/>
      <c r="Q405" s="20"/>
      <c r="R405" s="20"/>
      <c r="S405" s="20"/>
      <c r="T405" s="20"/>
      <c r="U405" s="20"/>
      <c r="V405" s="20"/>
      <c r="W405" s="20"/>
      <c r="X405" s="20"/>
      <c r="Y405" s="20"/>
      <c r="Z405" s="20"/>
    </row>
    <row r="406" spans="10:26" ht="17.25" customHeight="1">
      <c r="J406" s="37"/>
      <c r="K406" s="58"/>
      <c r="L406" s="58"/>
      <c r="M406" s="58"/>
      <c r="N406" s="58"/>
      <c r="O406" s="31"/>
      <c r="P406" s="20"/>
      <c r="Q406" s="20"/>
      <c r="R406" s="20"/>
      <c r="S406" s="20"/>
      <c r="T406" s="20"/>
      <c r="U406" s="20"/>
      <c r="V406" s="20"/>
      <c r="W406" s="20"/>
      <c r="X406" s="20"/>
      <c r="Y406" s="20"/>
      <c r="Z406" s="20"/>
    </row>
    <row r="407" spans="10:26" ht="17.25" customHeight="1">
      <c r="J407" s="37"/>
      <c r="K407" s="58"/>
      <c r="L407" s="58"/>
      <c r="M407" s="58"/>
      <c r="N407" s="58"/>
      <c r="O407" s="31"/>
      <c r="P407" s="20"/>
      <c r="Q407" s="20"/>
      <c r="R407" s="20"/>
      <c r="S407" s="20"/>
      <c r="T407" s="20"/>
      <c r="U407" s="20"/>
      <c r="V407" s="20"/>
      <c r="W407" s="20"/>
      <c r="X407" s="20"/>
      <c r="Y407" s="20"/>
      <c r="Z407" s="20"/>
    </row>
    <row r="408" spans="10:26" ht="17.25" customHeight="1">
      <c r="J408" s="37"/>
      <c r="K408" s="58"/>
      <c r="L408" s="58"/>
      <c r="M408" s="58"/>
      <c r="N408" s="58"/>
      <c r="O408" s="31"/>
      <c r="P408" s="20"/>
      <c r="Q408" s="20"/>
      <c r="R408" s="20"/>
      <c r="S408" s="20"/>
      <c r="T408" s="20"/>
      <c r="U408" s="20"/>
      <c r="V408" s="20"/>
      <c r="W408" s="20"/>
      <c r="X408" s="20"/>
      <c r="Y408" s="20"/>
      <c r="Z408" s="20"/>
    </row>
    <row r="409" spans="10:26" ht="17.25" customHeight="1">
      <c r="J409" s="37"/>
      <c r="K409" s="58"/>
      <c r="L409" s="58"/>
      <c r="M409" s="58"/>
      <c r="N409" s="58"/>
      <c r="O409" s="31"/>
      <c r="P409" s="20"/>
      <c r="Q409" s="20"/>
      <c r="R409" s="20"/>
      <c r="S409" s="20"/>
      <c r="T409" s="20"/>
      <c r="U409" s="20"/>
      <c r="V409" s="20"/>
      <c r="W409" s="20"/>
      <c r="X409" s="20"/>
      <c r="Y409" s="20"/>
      <c r="Z409" s="20"/>
    </row>
    <row r="410" spans="10:26" ht="17.25" customHeight="1">
      <c r="J410" s="37"/>
      <c r="K410" s="58"/>
      <c r="L410" s="58"/>
      <c r="M410" s="58"/>
      <c r="N410" s="58"/>
      <c r="O410" s="31"/>
      <c r="P410" s="20"/>
      <c r="Q410" s="20"/>
      <c r="R410" s="20"/>
      <c r="S410" s="20"/>
      <c r="T410" s="20"/>
      <c r="U410" s="20"/>
      <c r="V410" s="20"/>
      <c r="W410" s="20"/>
      <c r="X410" s="20"/>
      <c r="Y410" s="20"/>
      <c r="Z410" s="20"/>
    </row>
    <row r="411" spans="10:26" ht="17.25" customHeight="1">
      <c r="J411" s="37"/>
      <c r="K411" s="58"/>
      <c r="L411" s="58"/>
      <c r="M411" s="58"/>
      <c r="N411" s="58"/>
      <c r="O411" s="31"/>
      <c r="P411" s="20"/>
      <c r="Q411" s="20"/>
      <c r="R411" s="20"/>
      <c r="S411" s="20"/>
      <c r="T411" s="20"/>
      <c r="U411" s="20"/>
      <c r="V411" s="20"/>
      <c r="W411" s="20"/>
      <c r="X411" s="20"/>
      <c r="Y411" s="20"/>
      <c r="Z411" s="20"/>
    </row>
    <row r="412" spans="10:26" ht="17.25" customHeight="1">
      <c r="J412" s="37"/>
      <c r="K412" s="58"/>
      <c r="L412" s="58"/>
      <c r="M412" s="58"/>
      <c r="N412" s="58"/>
      <c r="O412" s="31"/>
      <c r="P412" s="20"/>
      <c r="Q412" s="20"/>
      <c r="R412" s="20"/>
      <c r="S412" s="20"/>
      <c r="T412" s="20"/>
      <c r="U412" s="20"/>
      <c r="V412" s="20"/>
      <c r="W412" s="20"/>
      <c r="X412" s="20"/>
      <c r="Y412" s="20"/>
      <c r="Z412" s="20"/>
    </row>
    <row r="413" spans="10:26" ht="17.25" customHeight="1">
      <c r="J413" s="37"/>
      <c r="K413" s="58"/>
      <c r="L413" s="58"/>
      <c r="M413" s="58"/>
      <c r="N413" s="58"/>
      <c r="O413" s="31"/>
      <c r="P413" s="20"/>
      <c r="Q413" s="20"/>
      <c r="R413" s="20"/>
      <c r="S413" s="20"/>
      <c r="T413" s="20"/>
      <c r="U413" s="20"/>
      <c r="V413" s="20"/>
      <c r="W413" s="20"/>
      <c r="X413" s="20"/>
      <c r="Y413" s="20"/>
      <c r="Z413" s="20"/>
    </row>
    <row r="414" spans="10:26" ht="17.25" customHeight="1">
      <c r="J414" s="37"/>
      <c r="K414" s="58"/>
      <c r="L414" s="58"/>
      <c r="M414" s="58"/>
      <c r="N414" s="58"/>
      <c r="O414" s="31"/>
      <c r="P414" s="20"/>
      <c r="Q414" s="20"/>
      <c r="R414" s="20"/>
      <c r="S414" s="20"/>
      <c r="T414" s="20"/>
      <c r="U414" s="20"/>
      <c r="V414" s="20"/>
      <c r="W414" s="20"/>
      <c r="X414" s="20"/>
      <c r="Y414" s="20"/>
      <c r="Z414" s="20"/>
    </row>
    <row r="415" spans="10:26" ht="17.25" customHeight="1">
      <c r="J415" s="37"/>
      <c r="K415" s="58"/>
      <c r="L415" s="58"/>
      <c r="M415" s="58"/>
      <c r="N415" s="58"/>
      <c r="O415" s="31"/>
      <c r="P415" s="20"/>
      <c r="Q415" s="20"/>
      <c r="R415" s="20"/>
      <c r="S415" s="20"/>
      <c r="T415" s="20"/>
      <c r="U415" s="20"/>
      <c r="V415" s="20"/>
      <c r="W415" s="20"/>
      <c r="X415" s="20"/>
      <c r="Y415" s="20"/>
      <c r="Z415" s="20"/>
    </row>
    <row r="416" spans="10:26" ht="17.25" customHeight="1">
      <c r="J416" s="37"/>
      <c r="K416" s="58"/>
      <c r="L416" s="58"/>
      <c r="M416" s="58"/>
      <c r="N416" s="58"/>
      <c r="O416" s="31"/>
      <c r="P416" s="20"/>
      <c r="Q416" s="20"/>
      <c r="R416" s="20"/>
      <c r="S416" s="20"/>
      <c r="T416" s="20"/>
      <c r="U416" s="20"/>
      <c r="V416" s="20"/>
      <c r="W416" s="20"/>
      <c r="X416" s="20"/>
      <c r="Y416" s="20"/>
      <c r="Z416" s="20"/>
    </row>
    <row r="417" spans="10:26" ht="17.25" customHeight="1">
      <c r="J417" s="37"/>
      <c r="K417" s="58"/>
      <c r="L417" s="58"/>
      <c r="M417" s="58"/>
      <c r="N417" s="58"/>
      <c r="O417" s="31"/>
      <c r="P417" s="20"/>
      <c r="Q417" s="20"/>
      <c r="R417" s="20"/>
      <c r="S417" s="20"/>
      <c r="T417" s="20"/>
      <c r="U417" s="20"/>
      <c r="V417" s="20"/>
      <c r="W417" s="20"/>
      <c r="X417" s="20"/>
      <c r="Y417" s="20"/>
      <c r="Z417" s="20"/>
    </row>
    <row r="418" spans="10:26" ht="17.25" customHeight="1">
      <c r="J418" s="37"/>
      <c r="K418" s="58"/>
      <c r="L418" s="58"/>
      <c r="M418" s="58"/>
      <c r="N418" s="58"/>
      <c r="O418" s="31"/>
      <c r="P418" s="20"/>
      <c r="Q418" s="20"/>
      <c r="R418" s="20"/>
      <c r="S418" s="20"/>
      <c r="T418" s="20"/>
      <c r="U418" s="20"/>
      <c r="V418" s="20"/>
      <c r="W418" s="20"/>
      <c r="X418" s="20"/>
      <c r="Y418" s="20"/>
      <c r="Z418" s="20"/>
    </row>
    <row r="419" spans="10:26" ht="17.25" customHeight="1">
      <c r="J419" s="37"/>
      <c r="K419" s="58"/>
      <c r="L419" s="58"/>
      <c r="M419" s="58"/>
      <c r="N419" s="58"/>
      <c r="O419" s="31"/>
      <c r="P419" s="20"/>
      <c r="Q419" s="20"/>
      <c r="R419" s="20"/>
      <c r="S419" s="20"/>
      <c r="T419" s="20"/>
      <c r="U419" s="20"/>
      <c r="V419" s="20"/>
      <c r="W419" s="20"/>
      <c r="X419" s="20"/>
      <c r="Y419" s="20"/>
      <c r="Z419" s="20"/>
    </row>
    <row r="420" spans="10:26" ht="17.25" customHeight="1">
      <c r="J420" s="37"/>
      <c r="K420" s="58"/>
      <c r="L420" s="58"/>
      <c r="M420" s="58"/>
      <c r="N420" s="58"/>
      <c r="O420" s="31"/>
      <c r="P420" s="20"/>
      <c r="Q420" s="20"/>
      <c r="R420" s="20"/>
      <c r="S420" s="20"/>
      <c r="T420" s="20"/>
      <c r="U420" s="20"/>
      <c r="V420" s="20"/>
      <c r="W420" s="20"/>
      <c r="X420" s="20"/>
      <c r="Y420" s="20"/>
      <c r="Z420" s="20"/>
    </row>
    <row r="421" spans="10:26" ht="17.25" customHeight="1">
      <c r="J421" s="37"/>
      <c r="K421" s="58"/>
      <c r="L421" s="58"/>
      <c r="M421" s="58"/>
      <c r="N421" s="58"/>
      <c r="O421" s="31"/>
      <c r="P421" s="20"/>
      <c r="Q421" s="20"/>
      <c r="R421" s="20"/>
      <c r="S421" s="20"/>
      <c r="T421" s="20"/>
      <c r="U421" s="20"/>
      <c r="V421" s="20"/>
      <c r="W421" s="20"/>
      <c r="X421" s="20"/>
      <c r="Y421" s="20"/>
      <c r="Z421" s="20"/>
    </row>
    <row r="422" spans="10:26" ht="17.25" customHeight="1">
      <c r="J422" s="37"/>
      <c r="K422" s="58"/>
      <c r="L422" s="58"/>
      <c r="M422" s="58"/>
      <c r="N422" s="58"/>
      <c r="O422" s="31"/>
      <c r="P422" s="20"/>
      <c r="Q422" s="20"/>
      <c r="R422" s="20"/>
      <c r="S422" s="20"/>
      <c r="T422" s="20"/>
      <c r="U422" s="20"/>
      <c r="V422" s="20"/>
      <c r="W422" s="20"/>
      <c r="X422" s="20"/>
      <c r="Y422" s="20"/>
      <c r="Z422" s="20"/>
    </row>
    <row r="423" spans="10:26" ht="17.25" customHeight="1">
      <c r="J423" s="37"/>
      <c r="K423" s="58"/>
      <c r="L423" s="58"/>
      <c r="M423" s="58"/>
      <c r="N423" s="58"/>
      <c r="O423" s="31"/>
      <c r="P423" s="20"/>
      <c r="Q423" s="20"/>
      <c r="R423" s="20"/>
      <c r="S423" s="20"/>
      <c r="T423" s="20"/>
      <c r="U423" s="20"/>
      <c r="V423" s="20"/>
      <c r="W423" s="20"/>
      <c r="X423" s="20"/>
      <c r="Y423" s="20"/>
      <c r="Z423" s="20"/>
    </row>
    <row r="424" spans="10:26" ht="17.25" customHeight="1">
      <c r="J424" s="37"/>
      <c r="K424" s="58"/>
      <c r="L424" s="58"/>
      <c r="M424" s="58"/>
      <c r="N424" s="58"/>
      <c r="O424" s="31"/>
      <c r="P424" s="20"/>
      <c r="Q424" s="20"/>
      <c r="R424" s="20"/>
      <c r="S424" s="20"/>
      <c r="T424" s="20"/>
      <c r="U424" s="20"/>
      <c r="V424" s="20"/>
      <c r="W424" s="20"/>
      <c r="X424" s="20"/>
      <c r="Y424" s="20"/>
      <c r="Z424" s="20"/>
    </row>
    <row r="425" spans="10:26" ht="17.25" customHeight="1">
      <c r="J425" s="37"/>
      <c r="K425" s="58"/>
      <c r="L425" s="58"/>
      <c r="M425" s="58"/>
      <c r="N425" s="58"/>
      <c r="O425" s="31"/>
      <c r="P425" s="20"/>
      <c r="Q425" s="20"/>
      <c r="R425" s="20"/>
      <c r="S425" s="20"/>
      <c r="T425" s="20"/>
      <c r="U425" s="20"/>
      <c r="V425" s="20"/>
      <c r="W425" s="20"/>
      <c r="X425" s="20"/>
      <c r="Y425" s="20"/>
      <c r="Z425" s="20"/>
    </row>
    <row r="426" spans="10:26" ht="17.25" customHeight="1">
      <c r="J426" s="37"/>
      <c r="K426" s="58"/>
      <c r="L426" s="58"/>
      <c r="M426" s="58"/>
      <c r="N426" s="58"/>
      <c r="O426" s="31"/>
      <c r="P426" s="20"/>
      <c r="Q426" s="20"/>
      <c r="R426" s="20"/>
      <c r="S426" s="20"/>
      <c r="T426" s="20"/>
      <c r="U426" s="20"/>
      <c r="V426" s="20"/>
      <c r="W426" s="20"/>
      <c r="X426" s="20"/>
      <c r="Y426" s="20"/>
      <c r="Z426" s="20"/>
    </row>
    <row r="427" spans="10:26" ht="17.25" customHeight="1">
      <c r="J427" s="37"/>
      <c r="K427" s="58"/>
      <c r="L427" s="58"/>
      <c r="M427" s="58"/>
      <c r="N427" s="58"/>
      <c r="O427" s="31"/>
      <c r="P427" s="20"/>
      <c r="Q427" s="20"/>
      <c r="R427" s="20"/>
      <c r="S427" s="20"/>
      <c r="T427" s="20"/>
      <c r="U427" s="20"/>
      <c r="V427" s="20"/>
      <c r="W427" s="20"/>
      <c r="X427" s="20"/>
      <c r="Y427" s="20"/>
      <c r="Z427" s="20"/>
    </row>
    <row r="428" spans="10:26" ht="17.25" customHeight="1">
      <c r="J428" s="37"/>
      <c r="K428" s="58"/>
      <c r="L428" s="58"/>
      <c r="M428" s="58"/>
      <c r="N428" s="58"/>
      <c r="O428" s="31"/>
      <c r="P428" s="20"/>
      <c r="Q428" s="20"/>
      <c r="R428" s="20"/>
      <c r="S428" s="20"/>
      <c r="T428" s="20"/>
      <c r="U428" s="20"/>
      <c r="V428" s="20"/>
      <c r="W428" s="20"/>
      <c r="X428" s="20"/>
      <c r="Y428" s="20"/>
      <c r="Z428" s="20"/>
    </row>
    <row r="429" spans="10:26" ht="17.25" customHeight="1">
      <c r="J429" s="37"/>
      <c r="K429" s="58"/>
      <c r="L429" s="58"/>
      <c r="M429" s="58"/>
      <c r="N429" s="58"/>
      <c r="O429" s="31"/>
      <c r="P429" s="20"/>
      <c r="Q429" s="20"/>
      <c r="R429" s="20"/>
      <c r="S429" s="20"/>
      <c r="T429" s="20"/>
      <c r="U429" s="20"/>
      <c r="V429" s="20"/>
      <c r="W429" s="20"/>
      <c r="X429" s="20"/>
      <c r="Y429" s="20"/>
      <c r="Z429" s="20"/>
    </row>
    <row r="430" spans="10:26" ht="17.25" customHeight="1">
      <c r="J430" s="37"/>
      <c r="K430" s="58"/>
      <c r="L430" s="58"/>
      <c r="M430" s="58"/>
      <c r="N430" s="58"/>
      <c r="O430" s="31"/>
      <c r="P430" s="20"/>
      <c r="Q430" s="20"/>
      <c r="R430" s="20"/>
      <c r="S430" s="20"/>
      <c r="T430" s="20"/>
      <c r="U430" s="20"/>
      <c r="V430" s="20"/>
      <c r="W430" s="20"/>
      <c r="X430" s="20"/>
      <c r="Y430" s="20"/>
      <c r="Z430" s="20"/>
    </row>
    <row r="431" spans="10:26" ht="17.25" customHeight="1">
      <c r="J431" s="37"/>
      <c r="K431" s="58"/>
      <c r="L431" s="58"/>
      <c r="M431" s="58"/>
      <c r="N431" s="58"/>
      <c r="O431" s="31"/>
      <c r="P431" s="20"/>
      <c r="Q431" s="20"/>
      <c r="R431" s="20"/>
      <c r="S431" s="20"/>
      <c r="T431" s="20"/>
      <c r="U431" s="20"/>
      <c r="V431" s="20"/>
      <c r="W431" s="20"/>
      <c r="X431" s="20"/>
      <c r="Y431" s="20"/>
      <c r="Z431" s="20"/>
    </row>
    <row r="432" spans="10:26" ht="17.25" customHeight="1">
      <c r="J432" s="37"/>
      <c r="K432" s="58"/>
      <c r="L432" s="58"/>
      <c r="M432" s="58"/>
      <c r="N432" s="58"/>
      <c r="O432" s="31"/>
      <c r="P432" s="20"/>
      <c r="Q432" s="20"/>
      <c r="R432" s="20"/>
      <c r="S432" s="20"/>
      <c r="T432" s="20"/>
      <c r="U432" s="20"/>
      <c r="V432" s="20"/>
      <c r="W432" s="20"/>
      <c r="X432" s="20"/>
      <c r="Y432" s="20"/>
      <c r="Z432" s="20"/>
    </row>
    <row r="433" spans="10:26" ht="17.25" customHeight="1">
      <c r="J433" s="37"/>
      <c r="K433" s="58"/>
      <c r="L433" s="58"/>
      <c r="M433" s="58"/>
      <c r="N433" s="58"/>
      <c r="O433" s="31"/>
      <c r="P433" s="20"/>
      <c r="Q433" s="20"/>
      <c r="R433" s="20"/>
      <c r="S433" s="20"/>
      <c r="T433" s="20"/>
      <c r="U433" s="20"/>
      <c r="V433" s="20"/>
      <c r="W433" s="20"/>
      <c r="X433" s="20"/>
      <c r="Y433" s="20"/>
      <c r="Z433" s="20"/>
    </row>
    <row r="434" spans="10:26" ht="17.25" customHeight="1">
      <c r="J434" s="37"/>
      <c r="K434" s="58"/>
      <c r="L434" s="58"/>
      <c r="M434" s="58"/>
      <c r="N434" s="58"/>
      <c r="O434" s="31"/>
      <c r="P434" s="20"/>
      <c r="Q434" s="20"/>
      <c r="R434" s="20"/>
      <c r="S434" s="20"/>
      <c r="T434" s="20"/>
      <c r="U434" s="20"/>
      <c r="V434" s="20"/>
      <c r="W434" s="20"/>
      <c r="X434" s="20"/>
      <c r="Y434" s="20"/>
      <c r="Z434" s="20"/>
    </row>
    <row r="435" spans="10:26" ht="17.25" customHeight="1">
      <c r="J435" s="37"/>
      <c r="K435" s="58"/>
      <c r="L435" s="58"/>
      <c r="M435" s="58"/>
      <c r="N435" s="58"/>
      <c r="O435" s="31"/>
      <c r="P435" s="20"/>
      <c r="Q435" s="20"/>
      <c r="R435" s="20"/>
      <c r="S435" s="20"/>
      <c r="T435" s="20"/>
      <c r="U435" s="20"/>
      <c r="V435" s="20"/>
      <c r="W435" s="20"/>
      <c r="X435" s="20"/>
      <c r="Y435" s="20"/>
      <c r="Z435" s="20"/>
    </row>
    <row r="436" spans="10:26" ht="17.25" customHeight="1">
      <c r="J436" s="37"/>
      <c r="K436" s="58"/>
      <c r="L436" s="58"/>
      <c r="M436" s="58"/>
      <c r="N436" s="58"/>
      <c r="O436" s="31"/>
      <c r="P436" s="20"/>
      <c r="Q436" s="20"/>
      <c r="R436" s="20"/>
      <c r="S436" s="20"/>
      <c r="T436" s="20"/>
      <c r="U436" s="20"/>
      <c r="V436" s="20"/>
      <c r="W436" s="20"/>
      <c r="X436" s="20"/>
      <c r="Y436" s="20"/>
      <c r="Z436" s="20"/>
    </row>
    <row r="437" spans="10:26" ht="17.25" customHeight="1">
      <c r="J437" s="37"/>
      <c r="K437" s="58"/>
      <c r="L437" s="58"/>
      <c r="M437" s="58"/>
      <c r="N437" s="58"/>
      <c r="O437" s="31"/>
      <c r="P437" s="20"/>
      <c r="Q437" s="20"/>
      <c r="R437" s="20"/>
      <c r="S437" s="20"/>
      <c r="T437" s="20"/>
      <c r="U437" s="20"/>
      <c r="V437" s="20"/>
      <c r="W437" s="20"/>
      <c r="X437" s="20"/>
      <c r="Y437" s="20"/>
      <c r="Z437" s="20"/>
    </row>
    <row r="438" spans="10:26" ht="17.25" customHeight="1">
      <c r="J438" s="37"/>
      <c r="K438" s="58"/>
      <c r="L438" s="58"/>
      <c r="M438" s="58"/>
      <c r="N438" s="58"/>
      <c r="O438" s="31"/>
      <c r="P438" s="20"/>
      <c r="Q438" s="20"/>
      <c r="R438" s="20"/>
      <c r="S438" s="20"/>
      <c r="T438" s="20"/>
      <c r="U438" s="20"/>
      <c r="V438" s="20"/>
      <c r="W438" s="20"/>
      <c r="X438" s="20"/>
      <c r="Y438" s="20"/>
      <c r="Z438" s="20"/>
    </row>
    <row r="439" spans="10:26" ht="17.25" customHeight="1">
      <c r="J439" s="37"/>
      <c r="K439" s="58"/>
      <c r="L439" s="58"/>
      <c r="M439" s="58"/>
      <c r="N439" s="58"/>
      <c r="O439" s="31"/>
      <c r="P439" s="20"/>
      <c r="Q439" s="20"/>
      <c r="R439" s="20"/>
      <c r="S439" s="20"/>
      <c r="T439" s="20"/>
      <c r="U439" s="20"/>
      <c r="V439" s="20"/>
      <c r="W439" s="20"/>
      <c r="X439" s="20"/>
      <c r="Y439" s="20"/>
      <c r="Z439" s="20"/>
    </row>
    <row r="440" spans="10:26" ht="17.25" customHeight="1">
      <c r="J440" s="37"/>
      <c r="K440" s="58"/>
      <c r="L440" s="58"/>
      <c r="M440" s="58"/>
      <c r="N440" s="58"/>
      <c r="O440" s="31"/>
      <c r="P440" s="20"/>
      <c r="Q440" s="20"/>
      <c r="R440" s="20"/>
      <c r="S440" s="20"/>
      <c r="T440" s="20"/>
      <c r="U440" s="20"/>
      <c r="V440" s="20"/>
      <c r="W440" s="20"/>
      <c r="X440" s="20"/>
      <c r="Y440" s="20"/>
      <c r="Z440" s="20"/>
    </row>
    <row r="441" spans="10:26" ht="17.25" customHeight="1">
      <c r="J441" s="37"/>
      <c r="K441" s="58"/>
      <c r="L441" s="58"/>
      <c r="M441" s="58"/>
      <c r="N441" s="58"/>
      <c r="O441" s="31"/>
      <c r="P441" s="20"/>
      <c r="Q441" s="20"/>
      <c r="R441" s="20"/>
      <c r="S441" s="20"/>
      <c r="T441" s="20"/>
      <c r="U441" s="20"/>
      <c r="V441" s="20"/>
      <c r="W441" s="20"/>
      <c r="X441" s="20"/>
      <c r="Y441" s="20"/>
      <c r="Z441" s="20"/>
    </row>
    <row r="442" spans="10:26" ht="17.25" customHeight="1">
      <c r="J442" s="37"/>
      <c r="K442" s="58"/>
      <c r="L442" s="58"/>
      <c r="M442" s="58"/>
      <c r="N442" s="58"/>
      <c r="O442" s="31"/>
      <c r="P442" s="20"/>
      <c r="Q442" s="20"/>
      <c r="R442" s="20"/>
      <c r="S442" s="20"/>
      <c r="T442" s="20"/>
      <c r="U442" s="20"/>
      <c r="V442" s="20"/>
      <c r="W442" s="20"/>
      <c r="X442" s="20"/>
      <c r="Y442" s="20"/>
      <c r="Z442" s="20"/>
    </row>
    <row r="443" spans="10:26" ht="17.25" customHeight="1">
      <c r="J443" s="37"/>
      <c r="K443" s="58"/>
      <c r="L443" s="58"/>
      <c r="M443" s="58"/>
      <c r="N443" s="58"/>
      <c r="O443" s="31"/>
      <c r="P443" s="20"/>
      <c r="Q443" s="20"/>
      <c r="R443" s="20"/>
      <c r="S443" s="20"/>
      <c r="T443" s="20"/>
      <c r="U443" s="20"/>
      <c r="V443" s="20"/>
      <c r="W443" s="20"/>
      <c r="X443" s="20"/>
      <c r="Y443" s="20"/>
      <c r="Z443" s="20"/>
    </row>
    <row r="444" spans="10:26" ht="17.25" customHeight="1">
      <c r="J444" s="37"/>
      <c r="K444" s="58"/>
      <c r="L444" s="58"/>
      <c r="M444" s="58"/>
      <c r="N444" s="58"/>
      <c r="O444" s="31"/>
      <c r="P444" s="20"/>
      <c r="Q444" s="20"/>
      <c r="R444" s="20"/>
      <c r="S444" s="20"/>
      <c r="T444" s="20"/>
      <c r="U444" s="20"/>
      <c r="V444" s="20"/>
      <c r="W444" s="20"/>
      <c r="X444" s="20"/>
      <c r="Y444" s="20"/>
      <c r="Z444" s="20"/>
    </row>
    <row r="445" spans="10:26" ht="17.25" customHeight="1">
      <c r="J445" s="37"/>
      <c r="K445" s="58"/>
      <c r="L445" s="58"/>
      <c r="M445" s="58"/>
      <c r="N445" s="58"/>
      <c r="O445" s="31"/>
      <c r="P445" s="20"/>
      <c r="Q445" s="20"/>
      <c r="R445" s="20"/>
      <c r="S445" s="20"/>
      <c r="T445" s="20"/>
      <c r="U445" s="20"/>
      <c r="V445" s="20"/>
      <c r="W445" s="20"/>
      <c r="X445" s="20"/>
      <c r="Y445" s="20"/>
      <c r="Z445" s="20"/>
    </row>
    <row r="446" spans="10:26" ht="17.25" customHeight="1">
      <c r="J446" s="37"/>
      <c r="K446" s="58"/>
      <c r="L446" s="58"/>
      <c r="M446" s="58"/>
      <c r="N446" s="58"/>
      <c r="O446" s="31"/>
      <c r="P446" s="20"/>
      <c r="Q446" s="20"/>
      <c r="R446" s="20"/>
      <c r="S446" s="20"/>
      <c r="T446" s="20"/>
      <c r="U446" s="20"/>
      <c r="V446" s="20"/>
      <c r="W446" s="20"/>
      <c r="X446" s="20"/>
      <c r="Y446" s="20"/>
      <c r="Z446" s="20"/>
    </row>
    <row r="447" spans="10:26" ht="17.25" customHeight="1">
      <c r="J447" s="37"/>
      <c r="K447" s="58"/>
      <c r="L447" s="58"/>
      <c r="M447" s="58"/>
      <c r="N447" s="58"/>
      <c r="O447" s="31"/>
      <c r="P447" s="20"/>
      <c r="Q447" s="20"/>
      <c r="R447" s="20"/>
      <c r="S447" s="20"/>
      <c r="T447" s="20"/>
      <c r="U447" s="20"/>
      <c r="V447" s="20"/>
      <c r="W447" s="20"/>
      <c r="X447" s="20"/>
      <c r="Y447" s="20"/>
      <c r="Z447" s="20"/>
    </row>
    <row r="448" spans="10:26" ht="17.25" customHeight="1">
      <c r="J448" s="37"/>
      <c r="K448" s="58"/>
      <c r="L448" s="58"/>
      <c r="M448" s="58"/>
      <c r="N448" s="58"/>
      <c r="O448" s="31"/>
      <c r="P448" s="20"/>
      <c r="Q448" s="20"/>
      <c r="R448" s="20"/>
      <c r="S448" s="20"/>
      <c r="T448" s="20"/>
      <c r="U448" s="20"/>
      <c r="V448" s="20"/>
      <c r="W448" s="20"/>
      <c r="X448" s="20"/>
      <c r="Y448" s="20"/>
      <c r="Z448" s="20"/>
    </row>
    <row r="449" spans="10:26" ht="17.25" customHeight="1">
      <c r="J449" s="37"/>
      <c r="K449" s="58"/>
      <c r="L449" s="58"/>
      <c r="M449" s="58"/>
      <c r="N449" s="58"/>
      <c r="O449" s="31"/>
      <c r="P449" s="20"/>
      <c r="Q449" s="20"/>
      <c r="R449" s="20"/>
      <c r="S449" s="20"/>
      <c r="T449" s="20"/>
      <c r="U449" s="20"/>
      <c r="V449" s="20"/>
      <c r="W449" s="20"/>
      <c r="X449" s="20"/>
      <c r="Y449" s="20"/>
      <c r="Z449" s="20"/>
    </row>
    <row r="450" spans="10:26" ht="17.25" customHeight="1">
      <c r="J450" s="37"/>
      <c r="K450" s="58"/>
      <c r="L450" s="58"/>
      <c r="M450" s="58"/>
      <c r="N450" s="58"/>
      <c r="O450" s="31"/>
      <c r="P450" s="20"/>
      <c r="Q450" s="20"/>
      <c r="R450" s="20"/>
      <c r="S450" s="20"/>
      <c r="T450" s="20"/>
      <c r="U450" s="20"/>
      <c r="V450" s="20"/>
      <c r="W450" s="20"/>
      <c r="X450" s="20"/>
      <c r="Y450" s="20"/>
      <c r="Z450" s="20"/>
    </row>
    <row r="451" spans="10:26" ht="17.25" customHeight="1">
      <c r="J451" s="37"/>
      <c r="K451" s="58"/>
      <c r="L451" s="58"/>
      <c r="M451" s="58"/>
      <c r="N451" s="58"/>
      <c r="O451" s="31"/>
      <c r="P451" s="20"/>
      <c r="Q451" s="20"/>
      <c r="R451" s="20"/>
      <c r="S451" s="20"/>
      <c r="T451" s="20"/>
      <c r="U451" s="20"/>
      <c r="V451" s="20"/>
      <c r="W451" s="20"/>
      <c r="X451" s="20"/>
      <c r="Y451" s="20"/>
      <c r="Z451" s="20"/>
    </row>
    <row r="452" spans="10:26" ht="17.25" customHeight="1">
      <c r="J452" s="37"/>
      <c r="K452" s="58"/>
      <c r="L452" s="58"/>
      <c r="M452" s="58"/>
      <c r="N452" s="58"/>
      <c r="O452" s="31"/>
      <c r="P452" s="20"/>
      <c r="Q452" s="20"/>
      <c r="R452" s="20"/>
      <c r="S452" s="20"/>
      <c r="T452" s="20"/>
      <c r="U452" s="20"/>
      <c r="V452" s="20"/>
      <c r="W452" s="20"/>
      <c r="X452" s="20"/>
      <c r="Y452" s="20"/>
      <c r="Z452" s="20"/>
    </row>
    <row r="453" spans="10:26" ht="17.25" customHeight="1">
      <c r="J453" s="37"/>
      <c r="K453" s="58"/>
      <c r="L453" s="58"/>
      <c r="M453" s="58"/>
      <c r="N453" s="58"/>
      <c r="O453" s="31"/>
      <c r="P453" s="20"/>
      <c r="Q453" s="20"/>
      <c r="R453" s="20"/>
      <c r="S453" s="20"/>
      <c r="T453" s="20"/>
      <c r="U453" s="20"/>
      <c r="V453" s="20"/>
      <c r="W453" s="20"/>
      <c r="X453" s="20"/>
      <c r="Y453" s="20"/>
      <c r="Z453" s="20"/>
    </row>
    <row r="454" spans="10:26" ht="17.25" customHeight="1">
      <c r="J454" s="37"/>
      <c r="K454" s="58"/>
      <c r="L454" s="58"/>
      <c r="M454" s="58"/>
      <c r="N454" s="58"/>
      <c r="O454" s="31"/>
      <c r="P454" s="20"/>
      <c r="Q454" s="20"/>
      <c r="R454" s="20"/>
      <c r="S454" s="20"/>
      <c r="T454" s="20"/>
      <c r="U454" s="20"/>
      <c r="V454" s="20"/>
      <c r="W454" s="20"/>
      <c r="X454" s="20"/>
      <c r="Y454" s="20"/>
      <c r="Z454" s="20"/>
    </row>
    <row r="455" spans="10:26" ht="17.25" customHeight="1">
      <c r="J455" s="37"/>
      <c r="K455" s="58"/>
      <c r="L455" s="58"/>
      <c r="M455" s="58"/>
      <c r="N455" s="58"/>
      <c r="O455" s="31"/>
      <c r="P455" s="20"/>
      <c r="Q455" s="20"/>
      <c r="R455" s="20"/>
      <c r="S455" s="20"/>
      <c r="T455" s="20"/>
      <c r="U455" s="20"/>
      <c r="V455" s="20"/>
      <c r="W455" s="20"/>
      <c r="X455" s="20"/>
      <c r="Y455" s="20"/>
      <c r="Z455" s="20"/>
    </row>
    <row r="456" spans="10:26" ht="17.25" customHeight="1">
      <c r="J456" s="37"/>
      <c r="K456" s="58"/>
      <c r="L456" s="58"/>
      <c r="M456" s="58"/>
      <c r="N456" s="58"/>
      <c r="O456" s="31"/>
      <c r="P456" s="20"/>
      <c r="Q456" s="20"/>
      <c r="R456" s="20"/>
      <c r="S456" s="20"/>
      <c r="T456" s="20"/>
      <c r="U456" s="20"/>
      <c r="V456" s="20"/>
      <c r="W456" s="20"/>
      <c r="X456" s="20"/>
      <c r="Y456" s="20"/>
      <c r="Z456" s="20"/>
    </row>
    <row r="457" spans="10:26" ht="17.25" customHeight="1">
      <c r="J457" s="37"/>
      <c r="K457" s="58"/>
      <c r="L457" s="58"/>
      <c r="M457" s="58"/>
      <c r="N457" s="58"/>
      <c r="O457" s="31"/>
      <c r="P457" s="20"/>
      <c r="Q457" s="20"/>
      <c r="R457" s="20"/>
      <c r="S457" s="20"/>
      <c r="T457" s="20"/>
      <c r="U457" s="20"/>
      <c r="V457" s="20"/>
      <c r="W457" s="20"/>
      <c r="X457" s="20"/>
      <c r="Y457" s="20"/>
      <c r="Z457" s="20"/>
    </row>
    <row r="458" spans="10:26" ht="17.25" customHeight="1">
      <c r="J458" s="37"/>
      <c r="K458" s="58"/>
      <c r="L458" s="58"/>
      <c r="M458" s="58"/>
      <c r="N458" s="58"/>
      <c r="O458" s="31"/>
      <c r="P458" s="20"/>
      <c r="Q458" s="20"/>
      <c r="R458" s="20"/>
      <c r="S458" s="20"/>
      <c r="T458" s="20"/>
      <c r="U458" s="20"/>
      <c r="V458" s="20"/>
      <c r="W458" s="20"/>
      <c r="X458" s="20"/>
      <c r="Y458" s="20"/>
      <c r="Z458" s="20"/>
    </row>
    <row r="459" spans="10:26" ht="17.25" customHeight="1">
      <c r="J459" s="37"/>
      <c r="K459" s="58"/>
      <c r="L459" s="58"/>
      <c r="M459" s="58"/>
      <c r="N459" s="58"/>
      <c r="O459" s="31"/>
      <c r="P459" s="20"/>
      <c r="Q459" s="20"/>
      <c r="R459" s="20"/>
      <c r="S459" s="20"/>
      <c r="T459" s="20"/>
      <c r="U459" s="20"/>
      <c r="V459" s="20"/>
      <c r="W459" s="20"/>
      <c r="X459" s="20"/>
      <c r="Y459" s="20"/>
      <c r="Z459" s="20"/>
    </row>
    <row r="460" spans="10:26" ht="17.25" customHeight="1">
      <c r="J460" s="37"/>
      <c r="K460" s="58"/>
      <c r="L460" s="58"/>
      <c r="M460" s="58"/>
      <c r="N460" s="58"/>
      <c r="O460" s="31"/>
      <c r="P460" s="20"/>
      <c r="Q460" s="20"/>
      <c r="R460" s="20"/>
      <c r="S460" s="20"/>
      <c r="T460" s="20"/>
      <c r="U460" s="20"/>
      <c r="V460" s="20"/>
      <c r="W460" s="20"/>
      <c r="X460" s="20"/>
      <c r="Y460" s="20"/>
      <c r="Z460" s="20"/>
    </row>
    <row r="461" spans="10:26" ht="17.25" customHeight="1">
      <c r="J461" s="37"/>
      <c r="K461" s="58"/>
      <c r="L461" s="58"/>
      <c r="M461" s="58"/>
      <c r="N461" s="58"/>
      <c r="O461" s="31"/>
      <c r="P461" s="20"/>
      <c r="Q461" s="20"/>
      <c r="R461" s="20"/>
      <c r="S461" s="20"/>
      <c r="T461" s="20"/>
      <c r="U461" s="20"/>
      <c r="V461" s="20"/>
      <c r="W461" s="20"/>
      <c r="X461" s="20"/>
      <c r="Y461" s="20"/>
      <c r="Z461" s="20"/>
    </row>
    <row r="462" spans="10:26" ht="17.25" customHeight="1">
      <c r="J462" s="37"/>
      <c r="K462" s="58"/>
      <c r="L462" s="58"/>
      <c r="M462" s="58"/>
      <c r="N462" s="58"/>
      <c r="O462" s="31"/>
      <c r="P462" s="20"/>
      <c r="Q462" s="20"/>
      <c r="R462" s="20"/>
      <c r="S462" s="20"/>
      <c r="T462" s="20"/>
      <c r="U462" s="20"/>
      <c r="V462" s="20"/>
      <c r="W462" s="20"/>
      <c r="X462" s="20"/>
      <c r="Y462" s="20"/>
      <c r="Z462" s="20"/>
    </row>
    <row r="463" spans="10:26" ht="17.25" customHeight="1">
      <c r="J463" s="37"/>
      <c r="K463" s="58"/>
      <c r="L463" s="58"/>
      <c r="M463" s="58"/>
      <c r="N463" s="58"/>
      <c r="O463" s="31"/>
      <c r="P463" s="20"/>
      <c r="Q463" s="20"/>
      <c r="R463" s="20"/>
      <c r="S463" s="20"/>
      <c r="T463" s="20"/>
      <c r="U463" s="20"/>
      <c r="V463" s="20"/>
      <c r="W463" s="20"/>
      <c r="X463" s="20"/>
      <c r="Y463" s="20"/>
      <c r="Z463" s="20"/>
    </row>
    <row r="464" spans="10:26" ht="17.25" customHeight="1">
      <c r="J464" s="37"/>
      <c r="K464" s="58"/>
      <c r="L464" s="58"/>
      <c r="M464" s="58"/>
      <c r="N464" s="58"/>
      <c r="O464" s="31"/>
      <c r="P464" s="20"/>
      <c r="Q464" s="20"/>
      <c r="R464" s="20"/>
      <c r="S464" s="20"/>
      <c r="T464" s="20"/>
      <c r="U464" s="20"/>
      <c r="V464" s="20"/>
      <c r="W464" s="20"/>
      <c r="X464" s="20"/>
      <c r="Y464" s="20"/>
      <c r="Z464" s="20"/>
    </row>
    <row r="465" spans="10:26" ht="17.25" customHeight="1">
      <c r="J465" s="37"/>
      <c r="K465" s="58"/>
      <c r="L465" s="58"/>
      <c r="M465" s="58"/>
      <c r="N465" s="58"/>
      <c r="O465" s="31"/>
      <c r="P465" s="20"/>
      <c r="Q465" s="20"/>
      <c r="R465" s="20"/>
      <c r="S465" s="20"/>
      <c r="T465" s="20"/>
      <c r="U465" s="20"/>
      <c r="V465" s="20"/>
      <c r="W465" s="20"/>
      <c r="X465" s="20"/>
      <c r="Y465" s="20"/>
      <c r="Z465" s="20"/>
    </row>
    <row r="466" spans="10:26" ht="17.25" customHeight="1">
      <c r="J466" s="37"/>
      <c r="K466" s="58"/>
      <c r="L466" s="58"/>
      <c r="M466" s="58"/>
      <c r="N466" s="58"/>
      <c r="O466" s="31"/>
      <c r="P466" s="20"/>
      <c r="Q466" s="20"/>
      <c r="R466" s="20"/>
      <c r="S466" s="20"/>
      <c r="T466" s="20"/>
      <c r="U466" s="20"/>
      <c r="V466" s="20"/>
      <c r="W466" s="20"/>
      <c r="X466" s="20"/>
      <c r="Y466" s="20"/>
      <c r="Z466" s="20"/>
    </row>
    <row r="467" spans="10:26" ht="17.25" customHeight="1">
      <c r="J467" s="37"/>
      <c r="K467" s="58"/>
      <c r="L467" s="58"/>
      <c r="M467" s="58"/>
      <c r="N467" s="58"/>
      <c r="O467" s="31"/>
      <c r="P467" s="20"/>
      <c r="Q467" s="20"/>
      <c r="R467" s="20"/>
      <c r="S467" s="20"/>
      <c r="T467" s="20"/>
      <c r="U467" s="20"/>
      <c r="V467" s="20"/>
      <c r="W467" s="20"/>
      <c r="X467" s="20"/>
      <c r="Y467" s="20"/>
      <c r="Z467" s="20"/>
    </row>
    <row r="468" spans="10:26" ht="17.25" customHeight="1">
      <c r="J468" s="37"/>
      <c r="K468" s="58"/>
      <c r="L468" s="58"/>
      <c r="M468" s="58"/>
      <c r="N468" s="58"/>
      <c r="O468" s="31"/>
      <c r="P468" s="20"/>
      <c r="Q468" s="20"/>
      <c r="R468" s="20"/>
      <c r="S468" s="20"/>
      <c r="T468" s="20"/>
      <c r="U468" s="20"/>
      <c r="V468" s="20"/>
      <c r="W468" s="20"/>
      <c r="X468" s="20"/>
      <c r="Y468" s="20"/>
      <c r="Z468" s="20"/>
    </row>
    <row r="469" spans="10:26" ht="17.25" customHeight="1">
      <c r="J469" s="37"/>
      <c r="K469" s="58"/>
      <c r="L469" s="58"/>
      <c r="M469" s="58"/>
      <c r="N469" s="58"/>
      <c r="O469" s="31"/>
      <c r="P469" s="20"/>
      <c r="Q469" s="20"/>
      <c r="R469" s="20"/>
      <c r="S469" s="20"/>
      <c r="T469" s="20"/>
      <c r="U469" s="20"/>
      <c r="V469" s="20"/>
      <c r="W469" s="20"/>
      <c r="X469" s="20"/>
      <c r="Y469" s="20"/>
      <c r="Z469" s="20"/>
    </row>
    <row r="470" spans="10:26" ht="17.25" customHeight="1">
      <c r="J470" s="37"/>
      <c r="K470" s="58"/>
      <c r="L470" s="58"/>
      <c r="M470" s="58"/>
      <c r="N470" s="58"/>
      <c r="O470" s="31"/>
      <c r="P470" s="20"/>
      <c r="Q470" s="20"/>
      <c r="R470" s="20"/>
      <c r="S470" s="20"/>
      <c r="T470" s="20"/>
      <c r="U470" s="20"/>
      <c r="V470" s="20"/>
      <c r="W470" s="20"/>
      <c r="X470" s="20"/>
      <c r="Y470" s="20"/>
      <c r="Z470" s="20"/>
    </row>
    <row r="471" spans="10:26" ht="17.25" customHeight="1">
      <c r="J471" s="37"/>
      <c r="K471" s="58"/>
      <c r="L471" s="58"/>
      <c r="M471" s="58"/>
      <c r="N471" s="58"/>
      <c r="O471" s="31"/>
      <c r="P471" s="20"/>
      <c r="Q471" s="20"/>
      <c r="R471" s="20"/>
      <c r="S471" s="20"/>
      <c r="T471" s="20"/>
      <c r="U471" s="20"/>
      <c r="V471" s="20"/>
      <c r="W471" s="20"/>
      <c r="X471" s="20"/>
      <c r="Y471" s="20"/>
      <c r="Z471" s="20"/>
    </row>
    <row r="472" spans="10:26" ht="17.25" customHeight="1">
      <c r="J472" s="37"/>
      <c r="K472" s="58"/>
      <c r="L472" s="58"/>
      <c r="M472" s="58"/>
      <c r="N472" s="58"/>
      <c r="O472" s="31"/>
      <c r="P472" s="20"/>
      <c r="Q472" s="20"/>
      <c r="R472" s="20"/>
      <c r="S472" s="20"/>
      <c r="T472" s="20"/>
      <c r="U472" s="20"/>
      <c r="V472" s="20"/>
      <c r="W472" s="20"/>
      <c r="X472" s="20"/>
      <c r="Y472" s="20"/>
      <c r="Z472" s="20"/>
    </row>
    <row r="473" spans="10:26" ht="17.25" customHeight="1">
      <c r="J473" s="37"/>
      <c r="K473" s="58"/>
      <c r="L473" s="58"/>
      <c r="M473" s="58"/>
      <c r="N473" s="58"/>
      <c r="O473" s="31"/>
      <c r="P473" s="20"/>
      <c r="Q473" s="20"/>
      <c r="R473" s="20"/>
      <c r="S473" s="20"/>
      <c r="T473" s="20"/>
      <c r="U473" s="20"/>
      <c r="V473" s="20"/>
      <c r="W473" s="20"/>
      <c r="X473" s="20"/>
      <c r="Y473" s="20"/>
      <c r="Z473" s="20"/>
    </row>
    <row r="474" spans="10:26" ht="17.25" customHeight="1">
      <c r="J474" s="37"/>
      <c r="K474" s="58"/>
      <c r="L474" s="58"/>
      <c r="M474" s="58"/>
      <c r="N474" s="58"/>
      <c r="O474" s="31"/>
      <c r="P474" s="20"/>
      <c r="Q474" s="20"/>
      <c r="R474" s="20"/>
      <c r="S474" s="20"/>
      <c r="T474" s="20"/>
      <c r="U474" s="20"/>
      <c r="V474" s="20"/>
      <c r="W474" s="20"/>
      <c r="X474" s="20"/>
      <c r="Y474" s="20"/>
      <c r="Z474" s="20"/>
    </row>
    <row r="475" spans="10:26" ht="17.25" customHeight="1">
      <c r="J475" s="37"/>
      <c r="K475" s="58"/>
      <c r="L475" s="58"/>
      <c r="M475" s="58"/>
      <c r="N475" s="58"/>
      <c r="O475" s="31"/>
      <c r="P475" s="20"/>
      <c r="Q475" s="20"/>
      <c r="R475" s="20"/>
      <c r="S475" s="20"/>
      <c r="T475" s="20"/>
      <c r="U475" s="20"/>
      <c r="V475" s="20"/>
      <c r="W475" s="20"/>
      <c r="X475" s="20"/>
      <c r="Y475" s="20"/>
      <c r="Z475" s="20"/>
    </row>
    <row r="476" spans="10:26" ht="17.25" customHeight="1">
      <c r="J476" s="37"/>
      <c r="K476" s="58"/>
      <c r="L476" s="58"/>
      <c r="M476" s="58"/>
      <c r="N476" s="58"/>
      <c r="O476" s="31"/>
      <c r="P476" s="20"/>
      <c r="Q476" s="20"/>
      <c r="R476" s="20"/>
      <c r="S476" s="20"/>
      <c r="T476" s="20"/>
      <c r="U476" s="20"/>
      <c r="V476" s="20"/>
      <c r="W476" s="20"/>
      <c r="X476" s="20"/>
      <c r="Y476" s="20"/>
      <c r="Z476" s="20"/>
    </row>
    <row r="477" spans="10:26" ht="17.25" customHeight="1">
      <c r="J477" s="37"/>
      <c r="K477" s="58"/>
      <c r="L477" s="58"/>
      <c r="M477" s="58"/>
      <c r="N477" s="58"/>
      <c r="O477" s="31"/>
      <c r="P477" s="20"/>
      <c r="Q477" s="20"/>
      <c r="R477" s="20"/>
      <c r="S477" s="20"/>
      <c r="T477" s="20"/>
      <c r="U477" s="20"/>
      <c r="V477" s="20"/>
      <c r="W477" s="20"/>
      <c r="X477" s="20"/>
      <c r="Y477" s="20"/>
      <c r="Z477" s="20"/>
    </row>
    <row r="478" spans="10:26" ht="17.25" customHeight="1">
      <c r="J478" s="37"/>
      <c r="K478" s="58"/>
      <c r="L478" s="58"/>
      <c r="M478" s="58"/>
      <c r="N478" s="58"/>
      <c r="O478" s="31"/>
      <c r="P478" s="20"/>
      <c r="Q478" s="20"/>
      <c r="R478" s="20"/>
      <c r="S478" s="20"/>
      <c r="T478" s="20"/>
      <c r="U478" s="20"/>
      <c r="V478" s="20"/>
      <c r="W478" s="20"/>
      <c r="X478" s="20"/>
      <c r="Y478" s="20"/>
      <c r="Z478" s="20"/>
    </row>
    <row r="479" spans="10:26" ht="17.25" customHeight="1">
      <c r="J479" s="37"/>
      <c r="K479" s="58"/>
      <c r="L479" s="58"/>
      <c r="M479" s="58"/>
      <c r="N479" s="58"/>
      <c r="O479" s="31"/>
      <c r="P479" s="20"/>
      <c r="Q479" s="20"/>
      <c r="R479" s="20"/>
      <c r="S479" s="20"/>
      <c r="T479" s="20"/>
      <c r="U479" s="20"/>
      <c r="V479" s="20"/>
      <c r="W479" s="20"/>
      <c r="X479" s="20"/>
      <c r="Y479" s="20"/>
      <c r="Z479" s="20"/>
    </row>
    <row r="480" spans="10:26" ht="17.25" customHeight="1">
      <c r="J480" s="37"/>
      <c r="K480" s="58"/>
      <c r="L480" s="58"/>
      <c r="M480" s="58"/>
      <c r="N480" s="58"/>
      <c r="O480" s="31"/>
      <c r="P480" s="20"/>
      <c r="Q480" s="20"/>
      <c r="R480" s="20"/>
      <c r="S480" s="20"/>
      <c r="T480" s="20"/>
      <c r="U480" s="20"/>
      <c r="V480" s="20"/>
      <c r="W480" s="20"/>
      <c r="X480" s="20"/>
      <c r="Y480" s="20"/>
      <c r="Z480" s="20"/>
    </row>
    <row r="481" spans="10:26" ht="17.25" customHeight="1">
      <c r="J481" s="37"/>
      <c r="K481" s="58"/>
      <c r="L481" s="58"/>
      <c r="M481" s="58"/>
      <c r="N481" s="58"/>
      <c r="O481" s="31"/>
      <c r="P481" s="20"/>
      <c r="Q481" s="20"/>
      <c r="R481" s="20"/>
      <c r="S481" s="20"/>
      <c r="T481" s="20"/>
      <c r="U481" s="20"/>
      <c r="V481" s="20"/>
      <c r="W481" s="20"/>
      <c r="X481" s="20"/>
      <c r="Y481" s="20"/>
      <c r="Z481" s="20"/>
    </row>
    <row r="482" spans="10:26" ht="17.25" customHeight="1">
      <c r="J482" s="37"/>
      <c r="K482" s="58"/>
      <c r="L482" s="58"/>
      <c r="M482" s="58"/>
      <c r="N482" s="58"/>
      <c r="O482" s="31"/>
      <c r="P482" s="20"/>
      <c r="Q482" s="20"/>
      <c r="R482" s="20"/>
      <c r="S482" s="20"/>
      <c r="T482" s="20"/>
      <c r="U482" s="20"/>
      <c r="V482" s="20"/>
      <c r="W482" s="20"/>
      <c r="X482" s="20"/>
      <c r="Y482" s="20"/>
      <c r="Z482" s="20"/>
    </row>
    <row r="483" spans="10:26" ht="17.25" customHeight="1">
      <c r="J483" s="37"/>
      <c r="K483" s="58"/>
      <c r="L483" s="58"/>
      <c r="M483" s="58"/>
      <c r="N483" s="58"/>
      <c r="O483" s="31"/>
      <c r="P483" s="20"/>
      <c r="Q483" s="20"/>
      <c r="R483" s="20"/>
      <c r="S483" s="20"/>
      <c r="T483" s="20"/>
      <c r="U483" s="20"/>
      <c r="V483" s="20"/>
      <c r="W483" s="20"/>
      <c r="X483" s="20"/>
      <c r="Y483" s="20"/>
      <c r="Z483" s="20"/>
    </row>
    <row r="484" spans="10:26" ht="17.25" customHeight="1">
      <c r="J484" s="37"/>
      <c r="K484" s="58"/>
      <c r="L484" s="58"/>
      <c r="M484" s="58"/>
      <c r="N484" s="58"/>
      <c r="O484" s="31"/>
      <c r="P484" s="20"/>
      <c r="Q484" s="20"/>
      <c r="R484" s="20"/>
      <c r="S484" s="20"/>
      <c r="T484" s="20"/>
      <c r="U484" s="20"/>
      <c r="V484" s="20"/>
      <c r="W484" s="20"/>
      <c r="X484" s="20"/>
      <c r="Y484" s="20"/>
      <c r="Z484" s="20"/>
    </row>
    <row r="485" spans="10:26" ht="17.25" customHeight="1">
      <c r="J485" s="37"/>
      <c r="K485" s="58"/>
      <c r="L485" s="58"/>
      <c r="M485" s="58"/>
      <c r="N485" s="58"/>
      <c r="O485" s="31"/>
      <c r="P485" s="20"/>
      <c r="Q485" s="20"/>
      <c r="R485" s="20"/>
      <c r="S485" s="20"/>
      <c r="T485" s="20"/>
      <c r="U485" s="20"/>
      <c r="V485" s="20"/>
      <c r="W485" s="20"/>
      <c r="X485" s="20"/>
      <c r="Y485" s="20"/>
      <c r="Z485" s="20"/>
    </row>
    <row r="486" spans="10:26" ht="17.25" customHeight="1">
      <c r="J486" s="37"/>
      <c r="K486" s="58"/>
      <c r="L486" s="58"/>
      <c r="M486" s="58"/>
      <c r="N486" s="58"/>
      <c r="O486" s="31"/>
      <c r="P486" s="20"/>
      <c r="Q486" s="20"/>
      <c r="R486" s="20"/>
      <c r="S486" s="20"/>
      <c r="T486" s="20"/>
      <c r="U486" s="20"/>
      <c r="V486" s="20"/>
      <c r="W486" s="20"/>
      <c r="X486" s="20"/>
      <c r="Y486" s="20"/>
      <c r="Z486" s="20"/>
    </row>
    <row r="487" spans="10:26" ht="17.25" customHeight="1">
      <c r="J487" s="37"/>
      <c r="K487" s="58"/>
      <c r="L487" s="58"/>
      <c r="M487" s="58"/>
      <c r="N487" s="58"/>
      <c r="O487" s="31"/>
      <c r="P487" s="20"/>
      <c r="Q487" s="20"/>
      <c r="R487" s="20"/>
      <c r="S487" s="20"/>
      <c r="T487" s="20"/>
      <c r="U487" s="20"/>
      <c r="V487" s="20"/>
      <c r="W487" s="20"/>
      <c r="X487" s="20"/>
      <c r="Y487" s="20"/>
      <c r="Z487" s="20"/>
    </row>
    <row r="488" spans="10:26" ht="17.25" customHeight="1">
      <c r="J488" s="37"/>
      <c r="K488" s="58"/>
      <c r="L488" s="58"/>
      <c r="M488" s="58"/>
      <c r="N488" s="58"/>
      <c r="O488" s="31"/>
      <c r="P488" s="20"/>
      <c r="Q488" s="20"/>
      <c r="R488" s="20"/>
      <c r="S488" s="20"/>
      <c r="T488" s="20"/>
      <c r="U488" s="20"/>
      <c r="V488" s="20"/>
      <c r="W488" s="20"/>
      <c r="X488" s="20"/>
      <c r="Y488" s="20"/>
      <c r="Z488" s="20"/>
    </row>
    <row r="489" spans="10:26" ht="17.25" customHeight="1">
      <c r="J489" s="37"/>
      <c r="K489" s="58"/>
      <c r="L489" s="58"/>
      <c r="M489" s="58"/>
      <c r="N489" s="58"/>
      <c r="O489" s="31"/>
      <c r="P489" s="20"/>
      <c r="Q489" s="20"/>
      <c r="R489" s="20"/>
      <c r="S489" s="20"/>
      <c r="T489" s="20"/>
      <c r="U489" s="20"/>
      <c r="V489" s="20"/>
      <c r="W489" s="20"/>
      <c r="X489" s="20"/>
      <c r="Y489" s="20"/>
      <c r="Z489" s="20"/>
    </row>
    <row r="490" spans="10:26" ht="17.25" customHeight="1">
      <c r="J490" s="37"/>
      <c r="K490" s="58"/>
      <c r="L490" s="58"/>
      <c r="M490" s="58"/>
      <c r="N490" s="58"/>
      <c r="O490" s="31"/>
      <c r="P490" s="20"/>
      <c r="Q490" s="20"/>
      <c r="R490" s="20"/>
      <c r="S490" s="20"/>
      <c r="T490" s="20"/>
      <c r="U490" s="20"/>
      <c r="V490" s="20"/>
      <c r="W490" s="20"/>
      <c r="X490" s="20"/>
      <c r="Y490" s="20"/>
      <c r="Z490" s="20"/>
    </row>
    <row r="491" spans="10:26" ht="17.25" customHeight="1">
      <c r="J491" s="37"/>
      <c r="K491" s="58"/>
      <c r="L491" s="58"/>
      <c r="M491" s="58"/>
      <c r="N491" s="58"/>
      <c r="O491" s="31"/>
      <c r="P491" s="20"/>
      <c r="Q491" s="20"/>
      <c r="R491" s="20"/>
      <c r="S491" s="20"/>
      <c r="T491" s="20"/>
      <c r="U491" s="20"/>
      <c r="V491" s="20"/>
      <c r="W491" s="20"/>
      <c r="X491" s="20"/>
      <c r="Y491" s="20"/>
      <c r="Z491" s="20"/>
    </row>
    <row r="492" spans="10:26" ht="17.25" customHeight="1">
      <c r="J492" s="37"/>
      <c r="K492" s="58"/>
      <c r="L492" s="58"/>
      <c r="M492" s="58"/>
      <c r="N492" s="58"/>
      <c r="O492" s="31"/>
      <c r="P492" s="20"/>
      <c r="Q492" s="20"/>
      <c r="R492" s="20"/>
      <c r="S492" s="20"/>
      <c r="T492" s="20"/>
      <c r="U492" s="20"/>
      <c r="V492" s="20"/>
      <c r="W492" s="20"/>
      <c r="X492" s="20"/>
      <c r="Y492" s="20"/>
      <c r="Z492" s="20"/>
    </row>
    <row r="493" spans="10:26" ht="17.25" customHeight="1">
      <c r="J493" s="37"/>
      <c r="K493" s="58"/>
      <c r="L493" s="58"/>
      <c r="M493" s="58"/>
      <c r="N493" s="58"/>
      <c r="O493" s="31"/>
      <c r="P493" s="20"/>
      <c r="Q493" s="20"/>
      <c r="R493" s="20"/>
      <c r="S493" s="20"/>
      <c r="T493" s="20"/>
      <c r="U493" s="20"/>
      <c r="V493" s="20"/>
      <c r="W493" s="20"/>
      <c r="X493" s="20"/>
      <c r="Y493" s="20"/>
      <c r="Z493" s="20"/>
    </row>
    <row r="494" spans="10:26" ht="17.25" customHeight="1">
      <c r="J494" s="37"/>
      <c r="K494" s="58"/>
      <c r="L494" s="58"/>
      <c r="M494" s="58"/>
      <c r="N494" s="58"/>
      <c r="O494" s="31"/>
      <c r="P494" s="20"/>
      <c r="Q494" s="20"/>
      <c r="R494" s="20"/>
      <c r="S494" s="20"/>
      <c r="T494" s="20"/>
      <c r="U494" s="20"/>
      <c r="V494" s="20"/>
      <c r="W494" s="20"/>
      <c r="X494" s="20"/>
      <c r="Y494" s="20"/>
      <c r="Z494" s="20"/>
    </row>
    <row r="495" spans="10:26" ht="17.25" customHeight="1">
      <c r="J495" s="37"/>
      <c r="K495" s="58"/>
      <c r="L495" s="58"/>
      <c r="M495" s="58"/>
      <c r="N495" s="58"/>
      <c r="O495" s="31"/>
      <c r="P495" s="20"/>
      <c r="Q495" s="20"/>
      <c r="R495" s="20"/>
      <c r="S495" s="20"/>
      <c r="T495" s="20"/>
      <c r="U495" s="20"/>
      <c r="V495" s="20"/>
      <c r="W495" s="20"/>
      <c r="X495" s="20"/>
      <c r="Y495" s="20"/>
      <c r="Z495" s="20"/>
    </row>
    <row r="496" spans="10:26" ht="17.25" customHeight="1">
      <c r="J496" s="37"/>
      <c r="K496" s="58"/>
      <c r="L496" s="58"/>
      <c r="M496" s="58"/>
      <c r="N496" s="58"/>
      <c r="O496" s="31"/>
      <c r="P496" s="20"/>
      <c r="Q496" s="20"/>
      <c r="R496" s="20"/>
      <c r="S496" s="20"/>
      <c r="T496" s="20"/>
      <c r="U496" s="20"/>
      <c r="V496" s="20"/>
      <c r="W496" s="20"/>
      <c r="X496" s="20"/>
      <c r="Y496" s="20"/>
      <c r="Z496" s="20"/>
    </row>
    <row r="497" spans="10:26" ht="17.25" customHeight="1">
      <c r="J497" s="37"/>
      <c r="K497" s="58"/>
      <c r="L497" s="58"/>
      <c r="M497" s="58"/>
      <c r="N497" s="58"/>
      <c r="O497" s="31"/>
      <c r="P497" s="20"/>
      <c r="Q497" s="20"/>
      <c r="R497" s="20"/>
      <c r="S497" s="20"/>
      <c r="T497" s="20"/>
      <c r="U497" s="20"/>
      <c r="V497" s="20"/>
      <c r="W497" s="20"/>
      <c r="X497" s="20"/>
      <c r="Y497" s="20"/>
      <c r="Z497" s="20"/>
    </row>
    <row r="498" spans="10:26" ht="17.25" customHeight="1">
      <c r="J498" s="37"/>
      <c r="K498" s="58"/>
      <c r="L498" s="58"/>
      <c r="M498" s="58"/>
      <c r="N498" s="58"/>
      <c r="O498" s="31"/>
      <c r="P498" s="20"/>
      <c r="Q498" s="20"/>
      <c r="R498" s="20"/>
      <c r="S498" s="20"/>
      <c r="T498" s="20"/>
      <c r="U498" s="20"/>
      <c r="V498" s="20"/>
      <c r="W498" s="20"/>
      <c r="X498" s="20"/>
      <c r="Y498" s="20"/>
      <c r="Z498" s="20"/>
    </row>
    <row r="499" spans="10:26" ht="17.25" customHeight="1">
      <c r="J499" s="37"/>
      <c r="K499" s="58"/>
      <c r="L499" s="58"/>
      <c r="M499" s="58"/>
      <c r="N499" s="58"/>
      <c r="O499" s="31"/>
      <c r="P499" s="20"/>
      <c r="Q499" s="20"/>
      <c r="R499" s="20"/>
      <c r="S499" s="20"/>
      <c r="T499" s="20"/>
      <c r="U499" s="20"/>
      <c r="V499" s="20"/>
      <c r="W499" s="20"/>
      <c r="X499" s="20"/>
      <c r="Y499" s="20"/>
      <c r="Z499" s="20"/>
    </row>
    <row r="500" spans="10:26" ht="17.25" customHeight="1">
      <c r="J500" s="37"/>
      <c r="K500" s="58"/>
      <c r="L500" s="58"/>
      <c r="M500" s="58"/>
      <c r="N500" s="58"/>
      <c r="O500" s="31"/>
      <c r="P500" s="20"/>
      <c r="Q500" s="20"/>
      <c r="R500" s="20"/>
      <c r="S500" s="20"/>
      <c r="T500" s="20"/>
      <c r="U500" s="20"/>
      <c r="V500" s="20"/>
      <c r="W500" s="20"/>
      <c r="X500" s="20"/>
      <c r="Y500" s="20"/>
      <c r="Z500" s="20"/>
    </row>
    <row r="501" spans="10:26" ht="17.25" customHeight="1">
      <c r="J501" s="37"/>
      <c r="K501" s="58"/>
      <c r="L501" s="58"/>
      <c r="M501" s="58"/>
      <c r="N501" s="58"/>
      <c r="O501" s="31"/>
      <c r="P501" s="20"/>
      <c r="Q501" s="20"/>
      <c r="R501" s="20"/>
      <c r="S501" s="20"/>
      <c r="T501" s="20"/>
      <c r="U501" s="20"/>
      <c r="V501" s="20"/>
      <c r="W501" s="20"/>
      <c r="X501" s="20"/>
      <c r="Y501" s="20"/>
      <c r="Z501" s="20"/>
    </row>
    <row r="502" spans="10:26" ht="17.25" customHeight="1">
      <c r="J502" s="37"/>
      <c r="K502" s="58"/>
      <c r="L502" s="58"/>
      <c r="M502" s="58"/>
      <c r="N502" s="58"/>
      <c r="O502" s="31"/>
      <c r="P502" s="20"/>
      <c r="Q502" s="20"/>
      <c r="R502" s="20"/>
      <c r="S502" s="20"/>
      <c r="T502" s="20"/>
      <c r="U502" s="20"/>
      <c r="V502" s="20"/>
      <c r="W502" s="20"/>
      <c r="X502" s="20"/>
      <c r="Y502" s="20"/>
      <c r="Z502" s="20"/>
    </row>
    <row r="503" spans="10:26" ht="17.25" customHeight="1">
      <c r="J503" s="37"/>
      <c r="K503" s="58"/>
      <c r="L503" s="58"/>
      <c r="M503" s="58"/>
      <c r="N503" s="58"/>
      <c r="O503" s="31"/>
      <c r="P503" s="20"/>
      <c r="Q503" s="20"/>
      <c r="R503" s="20"/>
      <c r="S503" s="20"/>
      <c r="T503" s="20"/>
      <c r="U503" s="20"/>
      <c r="V503" s="20"/>
      <c r="W503" s="20"/>
      <c r="X503" s="20"/>
      <c r="Y503" s="20"/>
      <c r="Z503" s="20"/>
    </row>
    <row r="504" spans="10:26" ht="17.25" customHeight="1">
      <c r="J504" s="37"/>
      <c r="K504" s="58"/>
      <c r="L504" s="58"/>
      <c r="M504" s="58"/>
      <c r="N504" s="58"/>
      <c r="O504" s="31"/>
      <c r="P504" s="20"/>
      <c r="Q504" s="20"/>
      <c r="R504" s="20"/>
      <c r="S504" s="20"/>
      <c r="T504" s="20"/>
      <c r="U504" s="20"/>
      <c r="V504" s="20"/>
      <c r="W504" s="20"/>
      <c r="X504" s="20"/>
      <c r="Y504" s="20"/>
      <c r="Z504" s="20"/>
    </row>
    <row r="505" spans="10:26" ht="17.25" customHeight="1">
      <c r="J505" s="37"/>
      <c r="K505" s="58"/>
      <c r="L505" s="58"/>
      <c r="M505" s="58"/>
      <c r="N505" s="58"/>
      <c r="O505" s="31"/>
      <c r="P505" s="20"/>
      <c r="Q505" s="20"/>
      <c r="R505" s="20"/>
      <c r="S505" s="20"/>
      <c r="T505" s="20"/>
      <c r="U505" s="20"/>
      <c r="V505" s="20"/>
      <c r="W505" s="20"/>
      <c r="X505" s="20"/>
      <c r="Y505" s="20"/>
      <c r="Z505" s="20"/>
    </row>
    <row r="506" spans="10:26" ht="17.25" customHeight="1">
      <c r="J506" s="37"/>
      <c r="K506" s="58"/>
      <c r="L506" s="58"/>
      <c r="M506" s="58"/>
      <c r="N506" s="58"/>
      <c r="O506" s="31"/>
      <c r="P506" s="20"/>
      <c r="Q506" s="20"/>
      <c r="R506" s="20"/>
      <c r="S506" s="20"/>
      <c r="T506" s="20"/>
      <c r="U506" s="20"/>
      <c r="V506" s="20"/>
      <c r="W506" s="20"/>
      <c r="X506" s="20"/>
      <c r="Y506" s="20"/>
      <c r="Z506" s="20"/>
    </row>
    <row r="507" spans="10:26" ht="17.25" customHeight="1">
      <c r="J507" s="37"/>
      <c r="K507" s="58"/>
      <c r="L507" s="58"/>
      <c r="M507" s="58"/>
      <c r="N507" s="58"/>
      <c r="O507" s="31"/>
      <c r="P507" s="20"/>
      <c r="Q507" s="20"/>
      <c r="R507" s="20"/>
      <c r="S507" s="20"/>
      <c r="T507" s="20"/>
      <c r="U507" s="20"/>
      <c r="V507" s="20"/>
      <c r="W507" s="20"/>
      <c r="X507" s="20"/>
      <c r="Y507" s="20"/>
      <c r="Z507" s="20"/>
    </row>
    <row r="508" spans="10:26" ht="17.25" customHeight="1">
      <c r="J508" s="37"/>
      <c r="K508" s="58"/>
      <c r="L508" s="58"/>
      <c r="M508" s="58"/>
      <c r="N508" s="58"/>
      <c r="O508" s="31"/>
      <c r="P508" s="20"/>
      <c r="Q508" s="20"/>
      <c r="R508" s="20"/>
      <c r="S508" s="20"/>
      <c r="T508" s="20"/>
      <c r="U508" s="20"/>
      <c r="V508" s="20"/>
      <c r="W508" s="20"/>
      <c r="X508" s="20"/>
      <c r="Y508" s="20"/>
      <c r="Z508" s="20"/>
    </row>
    <row r="509" spans="10:26" ht="17.25" customHeight="1">
      <c r="J509" s="37"/>
      <c r="K509" s="58"/>
      <c r="L509" s="58"/>
      <c r="M509" s="58"/>
      <c r="N509" s="58"/>
      <c r="O509" s="31"/>
      <c r="P509" s="20"/>
      <c r="Q509" s="20"/>
      <c r="R509" s="20"/>
      <c r="S509" s="20"/>
      <c r="T509" s="20"/>
      <c r="U509" s="20"/>
      <c r="V509" s="20"/>
      <c r="W509" s="20"/>
      <c r="X509" s="20"/>
      <c r="Y509" s="20"/>
      <c r="Z509" s="20"/>
    </row>
    <row r="510" spans="10:26" ht="17.25" customHeight="1">
      <c r="J510" s="37"/>
      <c r="K510" s="58"/>
      <c r="L510" s="58"/>
      <c r="M510" s="58"/>
      <c r="N510" s="58"/>
      <c r="O510" s="31"/>
      <c r="P510" s="20"/>
      <c r="Q510" s="20"/>
      <c r="R510" s="20"/>
      <c r="S510" s="20"/>
      <c r="T510" s="20"/>
      <c r="U510" s="20"/>
      <c r="V510" s="20"/>
      <c r="W510" s="20"/>
      <c r="X510" s="20"/>
      <c r="Y510" s="20"/>
      <c r="Z510" s="20"/>
    </row>
    <row r="511" spans="10:26" ht="17.25" customHeight="1">
      <c r="J511" s="37"/>
      <c r="K511" s="58"/>
      <c r="L511" s="58"/>
      <c r="M511" s="58"/>
      <c r="N511" s="58"/>
      <c r="O511" s="31"/>
      <c r="P511" s="20"/>
      <c r="Q511" s="20"/>
      <c r="R511" s="20"/>
      <c r="S511" s="20"/>
      <c r="T511" s="20"/>
      <c r="U511" s="20"/>
      <c r="V511" s="20"/>
      <c r="W511" s="20"/>
      <c r="X511" s="20"/>
      <c r="Y511" s="20"/>
      <c r="Z511" s="20"/>
    </row>
    <row r="512" spans="10:26" ht="17.25" customHeight="1">
      <c r="J512" s="37"/>
      <c r="K512" s="58"/>
      <c r="L512" s="58"/>
      <c r="M512" s="58"/>
      <c r="N512" s="58"/>
      <c r="O512" s="31"/>
      <c r="P512" s="20"/>
      <c r="Q512" s="20"/>
      <c r="R512" s="20"/>
      <c r="S512" s="20"/>
      <c r="T512" s="20"/>
      <c r="U512" s="20"/>
      <c r="V512" s="20"/>
      <c r="W512" s="20"/>
      <c r="X512" s="20"/>
      <c r="Y512" s="20"/>
      <c r="Z512" s="20"/>
    </row>
    <row r="513" spans="10:26" ht="17.25" customHeight="1">
      <c r="J513" s="37"/>
      <c r="K513" s="58"/>
      <c r="L513" s="58"/>
      <c r="M513" s="58"/>
      <c r="N513" s="58"/>
      <c r="O513" s="31"/>
      <c r="P513" s="20"/>
      <c r="Q513" s="20"/>
      <c r="R513" s="20"/>
      <c r="S513" s="20"/>
      <c r="T513" s="20"/>
      <c r="U513" s="20"/>
      <c r="V513" s="20"/>
      <c r="W513" s="20"/>
      <c r="X513" s="20"/>
      <c r="Y513" s="20"/>
      <c r="Z513" s="20"/>
    </row>
    <row r="514" spans="10:26" ht="17.25" customHeight="1">
      <c r="J514" s="37"/>
      <c r="K514" s="58"/>
      <c r="L514" s="58"/>
      <c r="M514" s="58"/>
      <c r="N514" s="58"/>
      <c r="O514" s="31"/>
      <c r="P514" s="20"/>
      <c r="Q514" s="20"/>
      <c r="R514" s="20"/>
      <c r="S514" s="20"/>
      <c r="T514" s="20"/>
      <c r="U514" s="20"/>
      <c r="V514" s="20"/>
      <c r="W514" s="20"/>
      <c r="X514" s="20"/>
      <c r="Y514" s="20"/>
      <c r="Z514" s="20"/>
    </row>
    <row r="515" spans="10:26" ht="17.25" customHeight="1">
      <c r="J515" s="37"/>
      <c r="K515" s="58"/>
      <c r="L515" s="58"/>
      <c r="M515" s="58"/>
      <c r="N515" s="58"/>
      <c r="O515" s="31"/>
      <c r="P515" s="20"/>
      <c r="Q515" s="20"/>
      <c r="R515" s="20"/>
      <c r="S515" s="20"/>
      <c r="T515" s="20"/>
      <c r="U515" s="20"/>
      <c r="V515" s="20"/>
      <c r="W515" s="20"/>
      <c r="X515" s="20"/>
      <c r="Y515" s="20"/>
      <c r="Z515" s="20"/>
    </row>
    <row r="516" spans="10:26" ht="17.25" customHeight="1">
      <c r="J516" s="37"/>
      <c r="K516" s="58"/>
      <c r="L516" s="58"/>
      <c r="M516" s="58"/>
      <c r="N516" s="58"/>
      <c r="O516" s="31"/>
      <c r="P516" s="20"/>
      <c r="Q516" s="20"/>
      <c r="R516" s="20"/>
      <c r="S516" s="20"/>
      <c r="T516" s="20"/>
      <c r="U516" s="20"/>
      <c r="V516" s="20"/>
      <c r="W516" s="20"/>
      <c r="X516" s="20"/>
      <c r="Y516" s="20"/>
      <c r="Z516" s="20"/>
    </row>
    <row r="517" spans="10:26" ht="17.25" customHeight="1">
      <c r="J517" s="37"/>
      <c r="K517" s="58"/>
      <c r="L517" s="58"/>
      <c r="M517" s="58"/>
      <c r="N517" s="58"/>
      <c r="O517" s="31"/>
      <c r="P517" s="20"/>
      <c r="Q517" s="20"/>
      <c r="R517" s="20"/>
      <c r="S517" s="20"/>
      <c r="T517" s="20"/>
      <c r="U517" s="20"/>
      <c r="V517" s="20"/>
      <c r="W517" s="20"/>
      <c r="X517" s="20"/>
      <c r="Y517" s="20"/>
      <c r="Z517" s="20"/>
    </row>
    <row r="518" spans="10:26" ht="17.25" customHeight="1">
      <c r="J518" s="37"/>
      <c r="K518" s="58"/>
      <c r="L518" s="58"/>
      <c r="M518" s="58"/>
      <c r="N518" s="58"/>
      <c r="O518" s="31"/>
      <c r="P518" s="20"/>
      <c r="Q518" s="20"/>
      <c r="R518" s="20"/>
      <c r="S518" s="20"/>
      <c r="T518" s="20"/>
      <c r="U518" s="20"/>
      <c r="V518" s="20"/>
      <c r="W518" s="20"/>
      <c r="X518" s="20"/>
      <c r="Y518" s="20"/>
      <c r="Z518" s="20"/>
    </row>
    <row r="519" spans="10:26" ht="17.25" customHeight="1">
      <c r="J519" s="37"/>
      <c r="K519" s="58"/>
      <c r="L519" s="58"/>
      <c r="M519" s="58"/>
      <c r="N519" s="58"/>
      <c r="O519" s="31"/>
      <c r="P519" s="20"/>
      <c r="Q519" s="20"/>
      <c r="R519" s="20"/>
      <c r="S519" s="20"/>
      <c r="T519" s="20"/>
      <c r="U519" s="20"/>
      <c r="V519" s="20"/>
      <c r="W519" s="20"/>
      <c r="X519" s="20"/>
      <c r="Y519" s="20"/>
      <c r="Z519" s="20"/>
    </row>
    <row r="520" spans="10:26" ht="17.25" customHeight="1">
      <c r="J520" s="37"/>
      <c r="K520" s="58"/>
      <c r="L520" s="58"/>
      <c r="M520" s="58"/>
      <c r="N520" s="58"/>
      <c r="O520" s="31"/>
      <c r="P520" s="20"/>
      <c r="Q520" s="20"/>
      <c r="R520" s="20"/>
      <c r="S520" s="20"/>
      <c r="T520" s="20"/>
      <c r="U520" s="20"/>
      <c r="V520" s="20"/>
      <c r="W520" s="20"/>
      <c r="X520" s="20"/>
      <c r="Y520" s="20"/>
      <c r="Z520" s="20"/>
    </row>
    <row r="521" spans="10:26" ht="17.25" customHeight="1">
      <c r="J521" s="37"/>
      <c r="K521" s="58"/>
      <c r="L521" s="58"/>
      <c r="M521" s="58"/>
      <c r="N521" s="58"/>
      <c r="O521" s="31"/>
      <c r="P521" s="20"/>
      <c r="Q521" s="20"/>
      <c r="R521" s="20"/>
      <c r="S521" s="20"/>
      <c r="T521" s="20"/>
      <c r="U521" s="20"/>
      <c r="V521" s="20"/>
      <c r="W521" s="20"/>
      <c r="X521" s="20"/>
      <c r="Y521" s="20"/>
      <c r="Z521" s="20"/>
    </row>
    <row r="522" spans="10:26" ht="17.25" customHeight="1">
      <c r="J522" s="37"/>
      <c r="K522" s="58"/>
      <c r="L522" s="58"/>
      <c r="M522" s="58"/>
      <c r="N522" s="58"/>
      <c r="O522" s="31"/>
      <c r="P522" s="20"/>
      <c r="Q522" s="20"/>
      <c r="R522" s="20"/>
      <c r="S522" s="20"/>
      <c r="T522" s="20"/>
      <c r="U522" s="20"/>
      <c r="V522" s="20"/>
      <c r="W522" s="20"/>
      <c r="X522" s="20"/>
      <c r="Y522" s="20"/>
      <c r="Z522" s="20"/>
    </row>
    <row r="523" spans="10:26" ht="17.25" customHeight="1">
      <c r="J523" s="37"/>
      <c r="K523" s="58"/>
      <c r="L523" s="58"/>
      <c r="M523" s="58"/>
      <c r="N523" s="58"/>
      <c r="O523" s="31"/>
      <c r="P523" s="20"/>
      <c r="Q523" s="20"/>
      <c r="R523" s="20"/>
      <c r="S523" s="20"/>
      <c r="T523" s="20"/>
      <c r="U523" s="20"/>
      <c r="V523" s="20"/>
      <c r="W523" s="20"/>
      <c r="X523" s="20"/>
      <c r="Y523" s="20"/>
      <c r="Z523" s="20"/>
    </row>
    <row r="524" spans="10:26" ht="17.25" customHeight="1">
      <c r="J524" s="37"/>
      <c r="K524" s="58"/>
      <c r="L524" s="58"/>
      <c r="M524" s="58"/>
      <c r="N524" s="58"/>
      <c r="O524" s="31"/>
      <c r="P524" s="20"/>
      <c r="Q524" s="20"/>
      <c r="R524" s="20"/>
      <c r="S524" s="20"/>
      <c r="T524" s="20"/>
      <c r="U524" s="20"/>
      <c r="V524" s="20"/>
      <c r="W524" s="20"/>
      <c r="X524" s="20"/>
      <c r="Y524" s="20"/>
      <c r="Z524" s="20"/>
    </row>
    <row r="525" spans="10:26" ht="17.25" customHeight="1">
      <c r="J525" s="37"/>
      <c r="K525" s="58"/>
      <c r="L525" s="58"/>
      <c r="M525" s="58"/>
      <c r="N525" s="58"/>
      <c r="O525" s="31"/>
      <c r="P525" s="20"/>
      <c r="Q525" s="20"/>
      <c r="R525" s="20"/>
      <c r="S525" s="20"/>
      <c r="T525" s="20"/>
      <c r="U525" s="20"/>
      <c r="V525" s="20"/>
      <c r="W525" s="20"/>
      <c r="X525" s="20"/>
      <c r="Y525" s="20"/>
      <c r="Z525" s="20"/>
    </row>
    <row r="526" spans="10:26" ht="17.25" customHeight="1">
      <c r="J526" s="37"/>
      <c r="K526" s="58"/>
      <c r="L526" s="58"/>
      <c r="M526" s="58"/>
      <c r="N526" s="58"/>
      <c r="O526" s="31"/>
      <c r="P526" s="20"/>
      <c r="Q526" s="20"/>
      <c r="R526" s="20"/>
      <c r="S526" s="20"/>
      <c r="T526" s="20"/>
      <c r="U526" s="20"/>
      <c r="V526" s="20"/>
      <c r="W526" s="20"/>
      <c r="X526" s="20"/>
      <c r="Y526" s="20"/>
      <c r="Z526" s="20"/>
    </row>
    <row r="527" spans="10:26" ht="17.25" customHeight="1">
      <c r="J527" s="37"/>
      <c r="K527" s="58"/>
      <c r="L527" s="58"/>
      <c r="M527" s="58"/>
      <c r="N527" s="58"/>
      <c r="O527" s="31"/>
      <c r="P527" s="20"/>
      <c r="Q527" s="20"/>
      <c r="R527" s="20"/>
      <c r="S527" s="20"/>
      <c r="T527" s="20"/>
      <c r="U527" s="20"/>
      <c r="V527" s="20"/>
      <c r="W527" s="20"/>
      <c r="X527" s="20"/>
      <c r="Y527" s="20"/>
      <c r="Z527" s="20"/>
    </row>
    <row r="528" spans="10:26" ht="17.25" customHeight="1">
      <c r="J528" s="37"/>
      <c r="K528" s="58"/>
      <c r="L528" s="58"/>
      <c r="M528" s="58"/>
      <c r="N528" s="58"/>
      <c r="O528" s="31"/>
      <c r="P528" s="20"/>
      <c r="Q528" s="20"/>
      <c r="R528" s="20"/>
      <c r="S528" s="20"/>
      <c r="T528" s="20"/>
      <c r="U528" s="20"/>
      <c r="V528" s="20"/>
      <c r="W528" s="20"/>
      <c r="X528" s="20"/>
      <c r="Y528" s="20"/>
      <c r="Z528" s="20"/>
    </row>
    <row r="529" spans="10:26" ht="17.25" customHeight="1">
      <c r="J529" s="37"/>
      <c r="K529" s="58"/>
      <c r="L529" s="58"/>
      <c r="M529" s="58"/>
      <c r="N529" s="58"/>
      <c r="O529" s="31"/>
      <c r="P529" s="20"/>
      <c r="Q529" s="20"/>
      <c r="R529" s="20"/>
      <c r="S529" s="20"/>
      <c r="T529" s="20"/>
      <c r="U529" s="20"/>
      <c r="V529" s="20"/>
      <c r="W529" s="20"/>
      <c r="X529" s="20"/>
      <c r="Y529" s="20"/>
      <c r="Z529" s="20"/>
    </row>
    <row r="530" spans="10:26" ht="17.25" customHeight="1">
      <c r="J530" s="37"/>
      <c r="K530" s="58"/>
      <c r="L530" s="58"/>
      <c r="M530" s="58"/>
      <c r="N530" s="58"/>
      <c r="O530" s="31"/>
      <c r="P530" s="20"/>
      <c r="Q530" s="20"/>
      <c r="R530" s="20"/>
      <c r="S530" s="20"/>
      <c r="T530" s="20"/>
      <c r="U530" s="20"/>
      <c r="V530" s="20"/>
      <c r="W530" s="20"/>
      <c r="X530" s="20"/>
      <c r="Y530" s="20"/>
      <c r="Z530" s="20"/>
    </row>
    <row r="531" spans="10:26" ht="17.25" customHeight="1">
      <c r="J531" s="37"/>
      <c r="K531" s="58"/>
      <c r="L531" s="58"/>
      <c r="M531" s="58"/>
      <c r="N531" s="58"/>
      <c r="O531" s="31"/>
      <c r="P531" s="20"/>
      <c r="Q531" s="20"/>
      <c r="R531" s="20"/>
      <c r="S531" s="20"/>
      <c r="T531" s="20"/>
      <c r="U531" s="20"/>
      <c r="V531" s="20"/>
      <c r="W531" s="20"/>
      <c r="X531" s="20"/>
      <c r="Y531" s="20"/>
      <c r="Z531" s="20"/>
    </row>
    <row r="532" spans="10:26" ht="17.25" customHeight="1">
      <c r="J532" s="37"/>
      <c r="K532" s="58"/>
      <c r="L532" s="58"/>
      <c r="M532" s="58"/>
      <c r="N532" s="58"/>
      <c r="O532" s="31"/>
      <c r="P532" s="20"/>
      <c r="Q532" s="20"/>
      <c r="R532" s="20"/>
      <c r="S532" s="20"/>
      <c r="T532" s="20"/>
      <c r="U532" s="20"/>
      <c r="V532" s="20"/>
      <c r="W532" s="20"/>
      <c r="X532" s="20"/>
      <c r="Y532" s="20"/>
      <c r="Z532" s="20"/>
    </row>
    <row r="533" spans="10:26" ht="17.25" customHeight="1">
      <c r="J533" s="37"/>
      <c r="K533" s="58"/>
      <c r="L533" s="58"/>
      <c r="M533" s="58"/>
      <c r="N533" s="58"/>
      <c r="O533" s="31"/>
      <c r="P533" s="20"/>
      <c r="Q533" s="20"/>
      <c r="R533" s="20"/>
      <c r="S533" s="20"/>
      <c r="T533" s="20"/>
      <c r="U533" s="20"/>
      <c r="V533" s="20"/>
      <c r="W533" s="20"/>
      <c r="X533" s="20"/>
      <c r="Y533" s="20"/>
      <c r="Z533" s="20"/>
    </row>
    <row r="534" spans="10:26" ht="17.25" customHeight="1">
      <c r="J534" s="37"/>
      <c r="K534" s="58"/>
      <c r="L534" s="58"/>
      <c r="M534" s="58"/>
      <c r="N534" s="58"/>
      <c r="O534" s="31"/>
      <c r="P534" s="20"/>
      <c r="Q534" s="20"/>
      <c r="R534" s="20"/>
      <c r="S534" s="20"/>
      <c r="T534" s="20"/>
      <c r="U534" s="20"/>
      <c r="V534" s="20"/>
      <c r="W534" s="20"/>
      <c r="X534" s="20"/>
      <c r="Y534" s="20"/>
      <c r="Z534" s="20"/>
    </row>
    <row r="535" spans="10:26" ht="17.25" customHeight="1">
      <c r="J535" s="37"/>
      <c r="K535" s="58"/>
      <c r="L535" s="58"/>
      <c r="M535" s="58"/>
      <c r="N535" s="58"/>
      <c r="O535" s="31"/>
      <c r="P535" s="20"/>
      <c r="Q535" s="20"/>
      <c r="R535" s="20"/>
      <c r="S535" s="20"/>
      <c r="T535" s="20"/>
      <c r="U535" s="20"/>
      <c r="V535" s="20"/>
      <c r="W535" s="20"/>
      <c r="X535" s="20"/>
      <c r="Y535" s="20"/>
      <c r="Z535" s="20"/>
    </row>
    <row r="536" spans="10:26" ht="17.25" customHeight="1">
      <c r="J536" s="37"/>
      <c r="K536" s="58"/>
      <c r="L536" s="58"/>
      <c r="M536" s="58"/>
      <c r="N536" s="58"/>
      <c r="O536" s="31"/>
      <c r="P536" s="20"/>
      <c r="Q536" s="20"/>
      <c r="R536" s="20"/>
      <c r="S536" s="20"/>
      <c r="T536" s="20"/>
      <c r="U536" s="20"/>
      <c r="V536" s="20"/>
      <c r="W536" s="20"/>
      <c r="X536" s="20"/>
      <c r="Y536" s="20"/>
      <c r="Z536" s="20"/>
    </row>
    <row r="537" spans="10:26" ht="17.25" customHeight="1">
      <c r="J537" s="37"/>
      <c r="K537" s="58"/>
      <c r="L537" s="58"/>
      <c r="M537" s="58"/>
      <c r="N537" s="58"/>
      <c r="O537" s="31"/>
      <c r="P537" s="20"/>
      <c r="Q537" s="20"/>
      <c r="R537" s="20"/>
      <c r="S537" s="20"/>
      <c r="T537" s="20"/>
      <c r="U537" s="20"/>
      <c r="V537" s="20"/>
      <c r="W537" s="20"/>
      <c r="X537" s="20"/>
      <c r="Y537" s="20"/>
      <c r="Z537" s="20"/>
    </row>
    <row r="538" spans="10:26" ht="17.25" customHeight="1">
      <c r="J538" s="37"/>
      <c r="K538" s="58"/>
      <c r="L538" s="58"/>
      <c r="M538" s="58"/>
      <c r="N538" s="58"/>
      <c r="O538" s="31"/>
      <c r="P538" s="20"/>
      <c r="Q538" s="20"/>
      <c r="R538" s="20"/>
      <c r="S538" s="20"/>
      <c r="T538" s="20"/>
      <c r="U538" s="20"/>
      <c r="V538" s="20"/>
      <c r="W538" s="20"/>
      <c r="X538" s="20"/>
      <c r="Y538" s="20"/>
      <c r="Z538" s="20"/>
    </row>
    <row r="539" spans="10:26" ht="17.25" customHeight="1">
      <c r="J539" s="37"/>
      <c r="K539" s="58"/>
      <c r="L539" s="58"/>
      <c r="M539" s="58"/>
      <c r="N539" s="58"/>
      <c r="O539" s="31"/>
      <c r="P539" s="20"/>
      <c r="Q539" s="20"/>
      <c r="R539" s="20"/>
      <c r="S539" s="20"/>
      <c r="T539" s="20"/>
      <c r="U539" s="20"/>
      <c r="V539" s="20"/>
      <c r="W539" s="20"/>
      <c r="X539" s="20"/>
      <c r="Y539" s="20"/>
      <c r="Z539" s="20"/>
    </row>
    <row r="540" spans="10:26" ht="17.25" customHeight="1">
      <c r="J540" s="37"/>
      <c r="K540" s="58"/>
      <c r="L540" s="58"/>
      <c r="M540" s="58"/>
      <c r="N540" s="58"/>
      <c r="O540" s="31"/>
      <c r="P540" s="20"/>
      <c r="Q540" s="20"/>
      <c r="R540" s="20"/>
      <c r="S540" s="20"/>
      <c r="T540" s="20"/>
      <c r="U540" s="20"/>
      <c r="V540" s="20"/>
      <c r="W540" s="20"/>
      <c r="X540" s="20"/>
      <c r="Y540" s="20"/>
      <c r="Z540" s="20"/>
    </row>
    <row r="541" spans="10:26" ht="17.25" customHeight="1">
      <c r="J541" s="37"/>
      <c r="K541" s="58"/>
      <c r="L541" s="58"/>
      <c r="M541" s="58"/>
      <c r="N541" s="58"/>
      <c r="O541" s="31"/>
      <c r="P541" s="20"/>
      <c r="Q541" s="20"/>
      <c r="R541" s="20"/>
      <c r="S541" s="20"/>
      <c r="T541" s="20"/>
      <c r="U541" s="20"/>
      <c r="V541" s="20"/>
      <c r="W541" s="20"/>
      <c r="X541" s="20"/>
      <c r="Y541" s="20"/>
      <c r="Z541" s="20"/>
    </row>
    <row r="542" spans="10:26" ht="17.25" customHeight="1">
      <c r="J542" s="37"/>
      <c r="K542" s="58"/>
      <c r="L542" s="58"/>
      <c r="M542" s="58"/>
      <c r="N542" s="58"/>
      <c r="O542" s="31"/>
      <c r="P542" s="20"/>
      <c r="Q542" s="20"/>
      <c r="R542" s="20"/>
      <c r="S542" s="20"/>
      <c r="T542" s="20"/>
      <c r="U542" s="20"/>
      <c r="V542" s="20"/>
      <c r="W542" s="20"/>
      <c r="X542" s="20"/>
      <c r="Y542" s="20"/>
      <c r="Z542" s="20"/>
    </row>
    <row r="543" spans="10:26" ht="17.25" customHeight="1">
      <c r="J543" s="37"/>
      <c r="K543" s="58"/>
      <c r="L543" s="58"/>
      <c r="M543" s="58"/>
      <c r="N543" s="58"/>
      <c r="O543" s="31"/>
      <c r="P543" s="20"/>
      <c r="Q543" s="20"/>
      <c r="R543" s="20"/>
      <c r="S543" s="20"/>
      <c r="T543" s="20"/>
      <c r="U543" s="20"/>
      <c r="V543" s="20"/>
      <c r="W543" s="20"/>
      <c r="X543" s="20"/>
      <c r="Y543" s="20"/>
      <c r="Z543" s="20"/>
    </row>
    <row r="544" spans="10:26" ht="17.25" customHeight="1">
      <c r="J544" s="37"/>
      <c r="K544" s="58"/>
      <c r="L544" s="58"/>
      <c r="M544" s="58"/>
      <c r="N544" s="58"/>
      <c r="O544" s="31"/>
      <c r="P544" s="20"/>
      <c r="Q544" s="20"/>
      <c r="R544" s="20"/>
      <c r="S544" s="20"/>
      <c r="T544" s="20"/>
      <c r="U544" s="20"/>
      <c r="V544" s="20"/>
      <c r="W544" s="20"/>
      <c r="X544" s="20"/>
      <c r="Y544" s="20"/>
      <c r="Z544" s="20"/>
    </row>
    <row r="545" spans="10:26" ht="17.25" customHeight="1">
      <c r="J545" s="37"/>
      <c r="K545" s="58"/>
      <c r="L545" s="58"/>
      <c r="M545" s="58"/>
      <c r="N545" s="58"/>
      <c r="O545" s="31"/>
      <c r="P545" s="20"/>
      <c r="Q545" s="20"/>
      <c r="R545" s="20"/>
      <c r="S545" s="20"/>
      <c r="T545" s="20"/>
      <c r="U545" s="20"/>
      <c r="V545" s="20"/>
      <c r="W545" s="20"/>
      <c r="X545" s="20"/>
      <c r="Y545" s="20"/>
      <c r="Z545" s="20"/>
    </row>
    <row r="546" spans="10:26" ht="17.25" customHeight="1">
      <c r="J546" s="37"/>
      <c r="K546" s="58"/>
      <c r="L546" s="58"/>
      <c r="M546" s="58"/>
      <c r="N546" s="58"/>
      <c r="O546" s="31"/>
      <c r="P546" s="20"/>
      <c r="Q546" s="20"/>
      <c r="R546" s="20"/>
      <c r="S546" s="20"/>
      <c r="T546" s="20"/>
      <c r="U546" s="20"/>
      <c r="V546" s="20"/>
      <c r="W546" s="20"/>
      <c r="X546" s="20"/>
      <c r="Y546" s="20"/>
      <c r="Z546" s="20"/>
    </row>
    <row r="547" spans="10:26" ht="17.25" customHeight="1">
      <c r="J547" s="37"/>
      <c r="K547" s="58"/>
      <c r="L547" s="58"/>
      <c r="M547" s="58"/>
      <c r="N547" s="58"/>
      <c r="O547" s="31"/>
      <c r="P547" s="20"/>
      <c r="Q547" s="20"/>
      <c r="R547" s="20"/>
      <c r="S547" s="20"/>
      <c r="T547" s="20"/>
      <c r="U547" s="20"/>
      <c r="V547" s="20"/>
      <c r="W547" s="20"/>
      <c r="X547" s="20"/>
      <c r="Y547" s="20"/>
      <c r="Z547" s="20"/>
    </row>
    <row r="548" spans="10:26" ht="17.25" customHeight="1">
      <c r="J548" s="37"/>
      <c r="K548" s="58"/>
      <c r="L548" s="58"/>
      <c r="M548" s="58"/>
      <c r="N548" s="58"/>
      <c r="O548" s="31"/>
      <c r="P548" s="20"/>
      <c r="Q548" s="20"/>
      <c r="R548" s="20"/>
      <c r="S548" s="20"/>
      <c r="T548" s="20"/>
      <c r="U548" s="20"/>
      <c r="V548" s="20"/>
      <c r="W548" s="20"/>
      <c r="X548" s="20"/>
      <c r="Y548" s="20"/>
      <c r="Z548" s="20"/>
    </row>
    <row r="549" spans="10:26" ht="17.25" customHeight="1">
      <c r="J549" s="37"/>
      <c r="K549" s="58"/>
      <c r="L549" s="58"/>
      <c r="M549" s="58"/>
      <c r="N549" s="58"/>
      <c r="O549" s="31"/>
      <c r="P549" s="20"/>
      <c r="Q549" s="20"/>
      <c r="R549" s="20"/>
      <c r="S549" s="20"/>
      <c r="T549" s="20"/>
      <c r="U549" s="20"/>
      <c r="V549" s="20"/>
      <c r="W549" s="20"/>
      <c r="X549" s="20"/>
      <c r="Y549" s="20"/>
      <c r="Z549" s="20"/>
    </row>
    <row r="550" spans="10:26" ht="17.25" customHeight="1">
      <c r="J550" s="37"/>
      <c r="K550" s="58"/>
      <c r="L550" s="58"/>
      <c r="M550" s="58"/>
      <c r="N550" s="58"/>
      <c r="O550" s="31"/>
      <c r="P550" s="20"/>
      <c r="Q550" s="20"/>
      <c r="R550" s="20"/>
      <c r="S550" s="20"/>
      <c r="T550" s="20"/>
      <c r="U550" s="20"/>
      <c r="V550" s="20"/>
      <c r="W550" s="20"/>
      <c r="X550" s="20"/>
      <c r="Y550" s="20"/>
      <c r="Z550" s="20"/>
    </row>
    <row r="551" spans="10:26" ht="17.25" customHeight="1">
      <c r="J551" s="37"/>
      <c r="K551" s="58"/>
      <c r="L551" s="58"/>
      <c r="M551" s="58"/>
      <c r="N551" s="58"/>
      <c r="O551" s="31"/>
      <c r="P551" s="20"/>
      <c r="Q551" s="20"/>
      <c r="R551" s="20"/>
      <c r="S551" s="20"/>
      <c r="T551" s="20"/>
      <c r="U551" s="20"/>
      <c r="V551" s="20"/>
      <c r="W551" s="20"/>
      <c r="X551" s="20"/>
      <c r="Y551" s="20"/>
      <c r="Z551" s="20"/>
    </row>
    <row r="552" spans="10:26" ht="17.25" customHeight="1">
      <c r="J552" s="37"/>
      <c r="K552" s="58"/>
      <c r="L552" s="58"/>
      <c r="M552" s="58"/>
      <c r="N552" s="58"/>
      <c r="O552" s="31"/>
      <c r="P552" s="20"/>
      <c r="Q552" s="20"/>
      <c r="R552" s="20"/>
      <c r="S552" s="20"/>
      <c r="T552" s="20"/>
      <c r="U552" s="20"/>
      <c r="V552" s="20"/>
      <c r="W552" s="20"/>
      <c r="X552" s="20"/>
      <c r="Y552" s="20"/>
      <c r="Z552" s="20"/>
    </row>
    <row r="553" spans="10:26" ht="17.25" customHeight="1">
      <c r="J553" s="37"/>
      <c r="K553" s="58"/>
      <c r="L553" s="58"/>
      <c r="M553" s="58"/>
      <c r="N553" s="58"/>
      <c r="O553" s="31"/>
      <c r="P553" s="20"/>
      <c r="Q553" s="20"/>
      <c r="R553" s="20"/>
      <c r="S553" s="20"/>
      <c r="T553" s="20"/>
      <c r="U553" s="20"/>
      <c r="V553" s="20"/>
      <c r="W553" s="20"/>
      <c r="X553" s="20"/>
      <c r="Y553" s="20"/>
      <c r="Z553" s="20"/>
    </row>
    <row r="554" spans="10:26" ht="17.25" customHeight="1">
      <c r="J554" s="37"/>
      <c r="K554" s="58"/>
      <c r="L554" s="58"/>
      <c r="M554" s="58"/>
      <c r="N554" s="58"/>
      <c r="O554" s="31"/>
      <c r="P554" s="20"/>
      <c r="Q554" s="20"/>
      <c r="R554" s="20"/>
      <c r="S554" s="20"/>
      <c r="T554" s="20"/>
      <c r="U554" s="20"/>
      <c r="V554" s="20"/>
      <c r="W554" s="20"/>
      <c r="X554" s="20"/>
      <c r="Y554" s="20"/>
      <c r="Z554" s="20"/>
    </row>
    <row r="555" spans="10:26" ht="17.25" customHeight="1">
      <c r="J555" s="37"/>
      <c r="K555" s="58"/>
      <c r="L555" s="58"/>
      <c r="M555" s="58"/>
      <c r="N555" s="58"/>
      <c r="O555" s="31"/>
      <c r="P555" s="20"/>
      <c r="Q555" s="20"/>
      <c r="R555" s="20"/>
      <c r="S555" s="20"/>
      <c r="T555" s="20"/>
      <c r="U555" s="20"/>
      <c r="V555" s="20"/>
      <c r="W555" s="20"/>
      <c r="X555" s="20"/>
      <c r="Y555" s="20"/>
      <c r="Z555" s="20"/>
    </row>
    <row r="556" spans="10:26" ht="17.25" customHeight="1">
      <c r="J556" s="37"/>
      <c r="K556" s="58"/>
      <c r="L556" s="58"/>
      <c r="M556" s="58"/>
      <c r="N556" s="58"/>
      <c r="O556" s="31"/>
      <c r="P556" s="20"/>
      <c r="Q556" s="20"/>
      <c r="R556" s="20"/>
      <c r="S556" s="20"/>
      <c r="T556" s="20"/>
      <c r="U556" s="20"/>
      <c r="V556" s="20"/>
      <c r="W556" s="20"/>
      <c r="X556" s="20"/>
      <c r="Y556" s="20"/>
      <c r="Z556" s="20"/>
    </row>
    <row r="557" spans="10:26" ht="17.25" customHeight="1">
      <c r="J557" s="37"/>
      <c r="K557" s="58"/>
      <c r="L557" s="58"/>
      <c r="M557" s="58"/>
      <c r="N557" s="58"/>
      <c r="O557" s="31"/>
      <c r="P557" s="20"/>
      <c r="Q557" s="20"/>
      <c r="R557" s="20"/>
      <c r="S557" s="20"/>
      <c r="T557" s="20"/>
      <c r="U557" s="20"/>
      <c r="V557" s="20"/>
      <c r="W557" s="20"/>
      <c r="X557" s="20"/>
      <c r="Y557" s="20"/>
      <c r="Z557" s="20"/>
    </row>
    <row r="558" spans="10:26" ht="17.25" customHeight="1">
      <c r="J558" s="37"/>
      <c r="K558" s="58"/>
      <c r="L558" s="58"/>
      <c r="M558" s="58"/>
      <c r="N558" s="58"/>
      <c r="O558" s="31"/>
      <c r="P558" s="20"/>
      <c r="Q558" s="20"/>
      <c r="R558" s="20"/>
      <c r="S558" s="20"/>
      <c r="T558" s="20"/>
      <c r="U558" s="20"/>
      <c r="V558" s="20"/>
      <c r="W558" s="20"/>
      <c r="X558" s="20"/>
      <c r="Y558" s="20"/>
      <c r="Z558" s="20"/>
    </row>
    <row r="559" spans="10:26" ht="17.25" customHeight="1">
      <c r="J559" s="37"/>
      <c r="K559" s="58"/>
      <c r="L559" s="58"/>
      <c r="M559" s="58"/>
      <c r="N559" s="58"/>
      <c r="O559" s="31"/>
      <c r="P559" s="20"/>
      <c r="Q559" s="20"/>
      <c r="R559" s="20"/>
      <c r="S559" s="20"/>
      <c r="T559" s="20"/>
      <c r="U559" s="20"/>
      <c r="V559" s="20"/>
      <c r="W559" s="20"/>
      <c r="X559" s="20"/>
      <c r="Y559" s="20"/>
      <c r="Z559" s="20"/>
    </row>
    <row r="560" spans="10:26" ht="17.25" customHeight="1">
      <c r="J560" s="37"/>
      <c r="K560" s="58"/>
      <c r="L560" s="58"/>
      <c r="M560" s="58"/>
      <c r="N560" s="58"/>
      <c r="O560" s="31"/>
      <c r="P560" s="20"/>
      <c r="Q560" s="20"/>
      <c r="R560" s="20"/>
      <c r="S560" s="20"/>
      <c r="T560" s="20"/>
      <c r="U560" s="20"/>
      <c r="V560" s="20"/>
      <c r="W560" s="20"/>
      <c r="X560" s="20"/>
      <c r="Y560" s="20"/>
      <c r="Z560" s="20"/>
    </row>
    <row r="561" spans="10:26" ht="17.25" customHeight="1">
      <c r="J561" s="37"/>
      <c r="K561" s="58"/>
      <c r="L561" s="58"/>
      <c r="M561" s="58"/>
      <c r="N561" s="58"/>
      <c r="O561" s="31"/>
      <c r="P561" s="20"/>
      <c r="Q561" s="20"/>
      <c r="R561" s="20"/>
      <c r="S561" s="20"/>
      <c r="T561" s="20"/>
      <c r="U561" s="20"/>
      <c r="V561" s="20"/>
      <c r="W561" s="20"/>
      <c r="X561" s="20"/>
      <c r="Y561" s="20"/>
      <c r="Z561" s="20"/>
    </row>
    <row r="562" spans="10:26" ht="17.25" customHeight="1">
      <c r="J562" s="37"/>
      <c r="K562" s="58"/>
      <c r="L562" s="58"/>
      <c r="M562" s="58"/>
      <c r="N562" s="58"/>
      <c r="O562" s="31"/>
      <c r="P562" s="20"/>
      <c r="Q562" s="20"/>
      <c r="R562" s="20"/>
      <c r="S562" s="20"/>
      <c r="T562" s="20"/>
      <c r="U562" s="20"/>
      <c r="V562" s="20"/>
      <c r="W562" s="20"/>
      <c r="X562" s="20"/>
      <c r="Y562" s="20"/>
      <c r="Z562" s="20"/>
    </row>
    <row r="563" spans="10:26" ht="17.25" customHeight="1">
      <c r="J563" s="37"/>
      <c r="K563" s="58"/>
      <c r="L563" s="58"/>
      <c r="M563" s="58"/>
      <c r="N563" s="58"/>
      <c r="O563" s="31"/>
      <c r="P563" s="20"/>
      <c r="Q563" s="20"/>
      <c r="R563" s="20"/>
      <c r="S563" s="20"/>
      <c r="T563" s="20"/>
      <c r="U563" s="20"/>
      <c r="V563" s="20"/>
      <c r="W563" s="20"/>
      <c r="X563" s="20"/>
      <c r="Y563" s="20"/>
      <c r="Z563" s="20"/>
    </row>
    <row r="564" spans="10:26" ht="17.25" customHeight="1">
      <c r="J564" s="37"/>
      <c r="K564" s="58"/>
      <c r="L564" s="58"/>
      <c r="M564" s="58"/>
      <c r="N564" s="58"/>
      <c r="O564" s="31"/>
      <c r="P564" s="20"/>
      <c r="Q564" s="20"/>
      <c r="R564" s="20"/>
      <c r="S564" s="20"/>
      <c r="T564" s="20"/>
      <c r="U564" s="20"/>
      <c r="V564" s="20"/>
      <c r="W564" s="20"/>
      <c r="X564" s="20"/>
      <c r="Y564" s="20"/>
      <c r="Z564" s="20"/>
    </row>
    <row r="565" spans="10:26" ht="17.25" customHeight="1">
      <c r="J565" s="37"/>
      <c r="K565" s="58"/>
      <c r="L565" s="58"/>
      <c r="M565" s="58"/>
      <c r="N565" s="58"/>
      <c r="O565" s="31"/>
      <c r="P565" s="20"/>
      <c r="Q565" s="20"/>
      <c r="R565" s="20"/>
      <c r="S565" s="20"/>
      <c r="T565" s="20"/>
      <c r="U565" s="20"/>
      <c r="V565" s="20"/>
      <c r="W565" s="20"/>
      <c r="X565" s="20"/>
      <c r="Y565" s="20"/>
      <c r="Z565" s="20"/>
    </row>
    <row r="566" spans="10:26" ht="17.25" customHeight="1">
      <c r="J566" s="37"/>
      <c r="K566" s="58"/>
      <c r="L566" s="58"/>
      <c r="M566" s="58"/>
      <c r="N566" s="58"/>
      <c r="O566" s="31"/>
      <c r="P566" s="20"/>
      <c r="Q566" s="20"/>
      <c r="R566" s="20"/>
      <c r="S566" s="20"/>
      <c r="T566" s="20"/>
      <c r="U566" s="20"/>
      <c r="V566" s="20"/>
      <c r="W566" s="20"/>
      <c r="X566" s="20"/>
      <c r="Y566" s="20"/>
      <c r="Z566" s="20"/>
    </row>
    <row r="567" spans="10:26" ht="17.25" customHeight="1">
      <c r="J567" s="37"/>
      <c r="K567" s="58"/>
      <c r="L567" s="58"/>
      <c r="M567" s="58"/>
      <c r="N567" s="58"/>
      <c r="O567" s="31"/>
      <c r="P567" s="20"/>
      <c r="Q567" s="20"/>
      <c r="R567" s="20"/>
      <c r="S567" s="20"/>
      <c r="T567" s="20"/>
      <c r="U567" s="20"/>
      <c r="V567" s="20"/>
      <c r="W567" s="20"/>
      <c r="X567" s="20"/>
      <c r="Y567" s="20"/>
      <c r="Z567" s="20"/>
    </row>
    <row r="568" spans="10:26" ht="17.25" customHeight="1">
      <c r="J568" s="37"/>
      <c r="K568" s="58"/>
      <c r="L568" s="58"/>
      <c r="M568" s="58"/>
      <c r="N568" s="58"/>
      <c r="O568" s="31"/>
      <c r="P568" s="20"/>
      <c r="Q568" s="20"/>
      <c r="R568" s="20"/>
      <c r="S568" s="20"/>
      <c r="T568" s="20"/>
      <c r="U568" s="20"/>
      <c r="V568" s="20"/>
      <c r="W568" s="20"/>
      <c r="X568" s="20"/>
      <c r="Y568" s="20"/>
      <c r="Z568" s="20"/>
    </row>
    <row r="569" spans="10:26" ht="17.25" customHeight="1">
      <c r="J569" s="37"/>
      <c r="K569" s="58"/>
      <c r="L569" s="58"/>
      <c r="M569" s="58"/>
      <c r="N569" s="58"/>
      <c r="O569" s="31"/>
      <c r="P569" s="20"/>
      <c r="Q569" s="20"/>
      <c r="R569" s="20"/>
      <c r="S569" s="20"/>
      <c r="T569" s="20"/>
      <c r="U569" s="20"/>
      <c r="V569" s="20"/>
      <c r="W569" s="20"/>
      <c r="X569" s="20"/>
      <c r="Y569" s="20"/>
      <c r="Z569" s="20"/>
    </row>
    <row r="570" spans="10:26" ht="17.25" customHeight="1">
      <c r="J570" s="37"/>
      <c r="K570" s="58"/>
      <c r="L570" s="58"/>
      <c r="M570" s="58"/>
      <c r="N570" s="58"/>
      <c r="O570" s="31"/>
      <c r="P570" s="20"/>
      <c r="Q570" s="20"/>
      <c r="R570" s="20"/>
      <c r="S570" s="20"/>
      <c r="T570" s="20"/>
      <c r="U570" s="20"/>
      <c r="V570" s="20"/>
      <c r="W570" s="20"/>
      <c r="X570" s="20"/>
      <c r="Y570" s="20"/>
      <c r="Z570" s="20"/>
    </row>
    <row r="571" spans="10:26" ht="17.25" customHeight="1">
      <c r="J571" s="37"/>
      <c r="K571" s="58"/>
      <c r="L571" s="58"/>
      <c r="M571" s="58"/>
      <c r="N571" s="58"/>
      <c r="O571" s="31"/>
      <c r="P571" s="20"/>
      <c r="Q571" s="20"/>
      <c r="R571" s="20"/>
      <c r="S571" s="20"/>
      <c r="T571" s="20"/>
      <c r="U571" s="20"/>
      <c r="V571" s="20"/>
      <c r="W571" s="20"/>
      <c r="X571" s="20"/>
      <c r="Y571" s="20"/>
      <c r="Z571" s="20"/>
    </row>
    <row r="572" spans="10:26" ht="17.25" customHeight="1">
      <c r="J572" s="37"/>
      <c r="K572" s="58"/>
      <c r="L572" s="58"/>
      <c r="M572" s="58"/>
      <c r="N572" s="58"/>
      <c r="O572" s="31"/>
      <c r="P572" s="20"/>
      <c r="Q572" s="20"/>
      <c r="R572" s="20"/>
      <c r="S572" s="20"/>
      <c r="T572" s="20"/>
      <c r="U572" s="20"/>
      <c r="V572" s="20"/>
      <c r="W572" s="20"/>
      <c r="X572" s="20"/>
      <c r="Y572" s="20"/>
      <c r="Z572" s="20"/>
    </row>
    <row r="573" spans="10:26" ht="17.25" customHeight="1">
      <c r="J573" s="37"/>
      <c r="K573" s="58"/>
      <c r="L573" s="58"/>
      <c r="M573" s="58"/>
      <c r="N573" s="58"/>
      <c r="O573" s="31"/>
      <c r="P573" s="20"/>
      <c r="Q573" s="20"/>
      <c r="R573" s="20"/>
      <c r="S573" s="20"/>
      <c r="T573" s="20"/>
      <c r="U573" s="20"/>
      <c r="V573" s="20"/>
      <c r="W573" s="20"/>
      <c r="X573" s="20"/>
      <c r="Y573" s="20"/>
      <c r="Z573" s="20"/>
    </row>
    <row r="574" spans="10:26" ht="17.25" customHeight="1">
      <c r="J574" s="37"/>
      <c r="K574" s="58"/>
      <c r="L574" s="58"/>
      <c r="M574" s="58"/>
      <c r="N574" s="58"/>
      <c r="O574" s="31"/>
      <c r="P574" s="20"/>
      <c r="Q574" s="20"/>
      <c r="R574" s="20"/>
      <c r="S574" s="20"/>
      <c r="T574" s="20"/>
      <c r="U574" s="20"/>
      <c r="V574" s="20"/>
      <c r="W574" s="20"/>
      <c r="X574" s="20"/>
      <c r="Y574" s="20"/>
      <c r="Z574" s="20"/>
    </row>
    <row r="575" spans="10:26" ht="17.25" customHeight="1">
      <c r="J575" s="37"/>
      <c r="K575" s="58"/>
      <c r="L575" s="58"/>
      <c r="M575" s="58"/>
      <c r="N575" s="58"/>
      <c r="O575" s="31"/>
      <c r="P575" s="20"/>
      <c r="Q575" s="20"/>
      <c r="R575" s="20"/>
      <c r="S575" s="20"/>
      <c r="T575" s="20"/>
      <c r="U575" s="20"/>
      <c r="V575" s="20"/>
      <c r="W575" s="20"/>
      <c r="X575" s="20"/>
      <c r="Y575" s="20"/>
      <c r="Z575" s="20"/>
    </row>
    <row r="576" spans="10:26" ht="17.25" customHeight="1">
      <c r="J576" s="37"/>
      <c r="K576" s="58"/>
      <c r="L576" s="58"/>
      <c r="M576" s="58"/>
      <c r="N576" s="58"/>
      <c r="O576" s="31"/>
      <c r="P576" s="20"/>
      <c r="Q576" s="20"/>
      <c r="R576" s="20"/>
      <c r="S576" s="20"/>
      <c r="T576" s="20"/>
      <c r="U576" s="20"/>
      <c r="V576" s="20"/>
      <c r="W576" s="20"/>
      <c r="X576" s="20"/>
      <c r="Y576" s="20"/>
      <c r="Z576" s="20"/>
    </row>
    <row r="577" spans="10:26" ht="17.25" customHeight="1">
      <c r="J577" s="37"/>
      <c r="K577" s="58"/>
      <c r="L577" s="58"/>
      <c r="M577" s="58"/>
      <c r="N577" s="58"/>
      <c r="O577" s="31"/>
      <c r="P577" s="20"/>
      <c r="Q577" s="20"/>
      <c r="R577" s="20"/>
      <c r="S577" s="20"/>
      <c r="T577" s="20"/>
      <c r="U577" s="20"/>
      <c r="V577" s="20"/>
      <c r="W577" s="20"/>
      <c r="X577" s="20"/>
      <c r="Y577" s="20"/>
      <c r="Z577" s="20"/>
    </row>
    <row r="578" spans="10:26" ht="17.25" customHeight="1">
      <c r="J578" s="37"/>
      <c r="K578" s="58"/>
      <c r="L578" s="58"/>
      <c r="M578" s="58"/>
      <c r="N578" s="58"/>
      <c r="O578" s="31"/>
      <c r="P578" s="20"/>
      <c r="Q578" s="20"/>
      <c r="R578" s="20"/>
      <c r="S578" s="20"/>
      <c r="T578" s="20"/>
      <c r="U578" s="20"/>
      <c r="V578" s="20"/>
      <c r="W578" s="20"/>
      <c r="X578" s="20"/>
      <c r="Y578" s="20"/>
      <c r="Z578" s="20"/>
    </row>
    <row r="579" spans="10:26" ht="17.25" customHeight="1">
      <c r="J579" s="37"/>
      <c r="K579" s="58"/>
      <c r="L579" s="58"/>
      <c r="M579" s="58"/>
      <c r="N579" s="58"/>
      <c r="O579" s="31"/>
      <c r="P579" s="20"/>
      <c r="Q579" s="20"/>
      <c r="R579" s="20"/>
      <c r="S579" s="20"/>
      <c r="T579" s="20"/>
      <c r="U579" s="20"/>
      <c r="V579" s="20"/>
      <c r="W579" s="20"/>
      <c r="X579" s="20"/>
      <c r="Y579" s="20"/>
      <c r="Z579" s="20"/>
    </row>
    <row r="580" spans="10:26" ht="17.25" customHeight="1">
      <c r="J580" s="37"/>
      <c r="K580" s="58"/>
      <c r="L580" s="58"/>
      <c r="M580" s="58"/>
      <c r="N580" s="58"/>
      <c r="O580" s="31"/>
      <c r="P580" s="20"/>
      <c r="Q580" s="20"/>
      <c r="R580" s="20"/>
      <c r="S580" s="20"/>
      <c r="T580" s="20"/>
      <c r="U580" s="20"/>
      <c r="V580" s="20"/>
      <c r="W580" s="20"/>
      <c r="X580" s="20"/>
      <c r="Y580" s="20"/>
      <c r="Z580" s="20"/>
    </row>
    <row r="581" spans="10:26" ht="17.25" customHeight="1">
      <c r="J581" s="37"/>
      <c r="K581" s="58"/>
      <c r="L581" s="58"/>
      <c r="M581" s="58"/>
      <c r="N581" s="58"/>
      <c r="O581" s="31"/>
      <c r="P581" s="20"/>
      <c r="Q581" s="20"/>
      <c r="R581" s="20"/>
      <c r="S581" s="20"/>
      <c r="T581" s="20"/>
      <c r="U581" s="20"/>
      <c r="V581" s="20"/>
      <c r="W581" s="20"/>
      <c r="X581" s="20"/>
      <c r="Y581" s="20"/>
      <c r="Z581" s="20"/>
    </row>
    <row r="582" spans="10:26" ht="17.25" customHeight="1">
      <c r="J582" s="37"/>
      <c r="K582" s="58"/>
      <c r="L582" s="58"/>
      <c r="M582" s="58"/>
      <c r="N582" s="58"/>
      <c r="O582" s="31"/>
      <c r="P582" s="20"/>
      <c r="Q582" s="20"/>
      <c r="R582" s="20"/>
      <c r="S582" s="20"/>
      <c r="T582" s="20"/>
      <c r="U582" s="20"/>
      <c r="V582" s="20"/>
      <c r="W582" s="20"/>
      <c r="X582" s="20"/>
      <c r="Y582" s="20"/>
      <c r="Z582" s="20"/>
    </row>
    <row r="583" spans="10:26" ht="17.25" customHeight="1">
      <c r="J583" s="37"/>
      <c r="K583" s="58"/>
      <c r="L583" s="58"/>
      <c r="M583" s="58"/>
      <c r="N583" s="58"/>
      <c r="O583" s="31"/>
      <c r="P583" s="20"/>
      <c r="Q583" s="20"/>
      <c r="R583" s="20"/>
      <c r="S583" s="20"/>
      <c r="T583" s="20"/>
      <c r="U583" s="20"/>
      <c r="V583" s="20"/>
      <c r="W583" s="20"/>
      <c r="X583" s="20"/>
      <c r="Y583" s="20"/>
      <c r="Z583" s="20"/>
    </row>
    <row r="584" spans="10:26" ht="17.25" customHeight="1">
      <c r="J584" s="37"/>
      <c r="K584" s="58"/>
      <c r="L584" s="58"/>
      <c r="M584" s="58"/>
      <c r="N584" s="58"/>
      <c r="O584" s="31"/>
      <c r="P584" s="20"/>
      <c r="Q584" s="20"/>
      <c r="R584" s="20"/>
      <c r="S584" s="20"/>
      <c r="T584" s="20"/>
      <c r="U584" s="20"/>
      <c r="V584" s="20"/>
      <c r="W584" s="20"/>
      <c r="X584" s="20"/>
      <c r="Y584" s="20"/>
      <c r="Z584" s="20"/>
    </row>
    <row r="585" spans="10:26" ht="17.25" customHeight="1">
      <c r="J585" s="37"/>
      <c r="K585" s="58"/>
      <c r="L585" s="58"/>
      <c r="M585" s="58"/>
      <c r="N585" s="58"/>
      <c r="O585" s="31"/>
      <c r="P585" s="20"/>
      <c r="Q585" s="20"/>
      <c r="R585" s="20"/>
      <c r="S585" s="20"/>
      <c r="T585" s="20"/>
      <c r="U585" s="20"/>
      <c r="V585" s="20"/>
      <c r="W585" s="20"/>
      <c r="X585" s="20"/>
      <c r="Y585" s="20"/>
      <c r="Z585" s="20"/>
    </row>
    <row r="586" spans="10:26" ht="17.25" customHeight="1">
      <c r="J586" s="37"/>
      <c r="K586" s="58"/>
      <c r="L586" s="58"/>
      <c r="M586" s="58"/>
      <c r="N586" s="58"/>
      <c r="O586" s="31"/>
      <c r="P586" s="20"/>
      <c r="Q586" s="20"/>
      <c r="R586" s="20"/>
      <c r="S586" s="20"/>
      <c r="T586" s="20"/>
      <c r="U586" s="20"/>
      <c r="V586" s="20"/>
      <c r="W586" s="20"/>
      <c r="X586" s="20"/>
      <c r="Y586" s="20"/>
      <c r="Z586" s="20"/>
    </row>
    <row r="587" spans="10:26" ht="17.25" customHeight="1">
      <c r="J587" s="37"/>
      <c r="K587" s="58"/>
      <c r="L587" s="58"/>
      <c r="M587" s="58"/>
      <c r="N587" s="58"/>
      <c r="O587" s="31"/>
      <c r="P587" s="20"/>
      <c r="Q587" s="20"/>
      <c r="R587" s="20"/>
      <c r="S587" s="20"/>
      <c r="T587" s="20"/>
      <c r="U587" s="20"/>
      <c r="V587" s="20"/>
      <c r="W587" s="20"/>
      <c r="X587" s="20"/>
      <c r="Y587" s="20"/>
      <c r="Z587" s="20"/>
    </row>
    <row r="588" spans="10:26" ht="17.25" customHeight="1">
      <c r="J588" s="37"/>
      <c r="K588" s="58"/>
      <c r="L588" s="58"/>
      <c r="M588" s="58"/>
      <c r="N588" s="58"/>
      <c r="O588" s="31"/>
      <c r="P588" s="20"/>
      <c r="Q588" s="20"/>
      <c r="R588" s="20"/>
      <c r="S588" s="20"/>
      <c r="T588" s="20"/>
      <c r="U588" s="20"/>
      <c r="V588" s="20"/>
      <c r="W588" s="20"/>
      <c r="X588" s="20"/>
      <c r="Y588" s="20"/>
      <c r="Z588" s="20"/>
    </row>
    <row r="589" spans="10:26" ht="17.25" customHeight="1">
      <c r="J589" s="37"/>
      <c r="K589" s="58"/>
      <c r="L589" s="58"/>
      <c r="M589" s="58"/>
      <c r="N589" s="58"/>
      <c r="O589" s="31"/>
      <c r="P589" s="20"/>
      <c r="Q589" s="20"/>
      <c r="R589" s="20"/>
      <c r="S589" s="20"/>
      <c r="T589" s="20"/>
      <c r="U589" s="20"/>
      <c r="V589" s="20"/>
      <c r="W589" s="20"/>
      <c r="X589" s="20"/>
      <c r="Y589" s="20"/>
      <c r="Z589" s="20"/>
    </row>
    <row r="590" spans="10:26" ht="17.25" customHeight="1">
      <c r="J590" s="37"/>
      <c r="K590" s="58"/>
      <c r="L590" s="58"/>
      <c r="M590" s="58"/>
      <c r="N590" s="58"/>
      <c r="O590" s="31"/>
      <c r="P590" s="20"/>
      <c r="Q590" s="20"/>
      <c r="R590" s="20"/>
      <c r="S590" s="20"/>
      <c r="T590" s="20"/>
      <c r="U590" s="20"/>
      <c r="V590" s="20"/>
      <c r="W590" s="20"/>
      <c r="X590" s="20"/>
      <c r="Y590" s="20"/>
      <c r="Z590" s="20"/>
    </row>
    <row r="591" spans="10:26" ht="17.25" customHeight="1">
      <c r="J591" s="37"/>
      <c r="K591" s="58"/>
      <c r="L591" s="58"/>
      <c r="M591" s="58"/>
      <c r="N591" s="58"/>
      <c r="O591" s="31"/>
      <c r="P591" s="20"/>
      <c r="Q591" s="20"/>
      <c r="R591" s="20"/>
      <c r="S591" s="20"/>
      <c r="T591" s="20"/>
      <c r="U591" s="20"/>
      <c r="V591" s="20"/>
      <c r="W591" s="20"/>
      <c r="X591" s="20"/>
      <c r="Y591" s="20"/>
      <c r="Z591" s="20"/>
    </row>
    <row r="592" spans="10:26" ht="17.25" customHeight="1">
      <c r="J592" s="37"/>
      <c r="K592" s="58"/>
      <c r="L592" s="58"/>
      <c r="M592" s="58"/>
      <c r="N592" s="58"/>
      <c r="O592" s="31"/>
      <c r="P592" s="20"/>
      <c r="Q592" s="20"/>
      <c r="R592" s="20"/>
      <c r="S592" s="20"/>
      <c r="T592" s="20"/>
      <c r="U592" s="20"/>
      <c r="V592" s="20"/>
      <c r="W592" s="20"/>
      <c r="X592" s="20"/>
      <c r="Y592" s="20"/>
      <c r="Z592" s="20"/>
    </row>
    <row r="593" spans="10:26" ht="17.25" customHeight="1">
      <c r="J593" s="37"/>
      <c r="K593" s="58"/>
      <c r="L593" s="58"/>
      <c r="M593" s="58"/>
      <c r="N593" s="58"/>
      <c r="O593" s="31"/>
      <c r="P593" s="20"/>
      <c r="Q593" s="20"/>
      <c r="R593" s="20"/>
      <c r="S593" s="20"/>
      <c r="T593" s="20"/>
      <c r="U593" s="20"/>
      <c r="V593" s="20"/>
      <c r="W593" s="20"/>
      <c r="X593" s="20"/>
      <c r="Y593" s="20"/>
      <c r="Z593" s="20"/>
    </row>
    <row r="594" spans="10:26" ht="17.25" customHeight="1">
      <c r="J594" s="37"/>
      <c r="K594" s="58"/>
      <c r="L594" s="58"/>
      <c r="M594" s="58"/>
      <c r="N594" s="58"/>
      <c r="O594" s="31"/>
      <c r="P594" s="20"/>
      <c r="Q594" s="20"/>
      <c r="R594" s="20"/>
      <c r="S594" s="20"/>
      <c r="T594" s="20"/>
      <c r="U594" s="20"/>
      <c r="V594" s="20"/>
      <c r="W594" s="20"/>
      <c r="X594" s="20"/>
      <c r="Y594" s="20"/>
      <c r="Z594" s="20"/>
    </row>
    <row r="595" spans="10:26" ht="17.25" customHeight="1">
      <c r="J595" s="37"/>
      <c r="K595" s="58"/>
      <c r="L595" s="58"/>
      <c r="M595" s="58"/>
      <c r="N595" s="58"/>
      <c r="O595" s="31"/>
      <c r="P595" s="20"/>
      <c r="Q595" s="20"/>
      <c r="R595" s="20"/>
      <c r="S595" s="20"/>
      <c r="T595" s="20"/>
      <c r="U595" s="20"/>
      <c r="V595" s="20"/>
      <c r="W595" s="20"/>
      <c r="X595" s="20"/>
      <c r="Y595" s="20"/>
      <c r="Z595" s="20"/>
    </row>
    <row r="596" spans="10:26" ht="17.25" customHeight="1">
      <c r="J596" s="37"/>
      <c r="K596" s="58"/>
      <c r="L596" s="58"/>
      <c r="M596" s="58"/>
      <c r="N596" s="58"/>
      <c r="O596" s="31"/>
      <c r="P596" s="20"/>
      <c r="Q596" s="20"/>
      <c r="R596" s="20"/>
      <c r="S596" s="20"/>
      <c r="T596" s="20"/>
      <c r="U596" s="20"/>
      <c r="V596" s="20"/>
      <c r="W596" s="20"/>
      <c r="X596" s="20"/>
      <c r="Y596" s="20"/>
      <c r="Z596" s="20"/>
    </row>
    <row r="597" spans="10:26" ht="17.25" customHeight="1">
      <c r="J597" s="37"/>
      <c r="K597" s="58"/>
      <c r="L597" s="58"/>
      <c r="M597" s="58"/>
      <c r="N597" s="58"/>
      <c r="O597" s="31"/>
      <c r="P597" s="20"/>
      <c r="Q597" s="20"/>
      <c r="R597" s="20"/>
      <c r="S597" s="20"/>
      <c r="T597" s="20"/>
      <c r="U597" s="20"/>
      <c r="V597" s="20"/>
      <c r="W597" s="20"/>
      <c r="X597" s="20"/>
      <c r="Y597" s="20"/>
      <c r="Z597" s="20"/>
    </row>
    <row r="598" spans="10:26" ht="17.25" customHeight="1">
      <c r="J598" s="37"/>
      <c r="K598" s="58"/>
      <c r="L598" s="58"/>
      <c r="M598" s="58"/>
      <c r="N598" s="58"/>
      <c r="O598" s="31"/>
      <c r="P598" s="20"/>
      <c r="Q598" s="20"/>
      <c r="R598" s="20"/>
      <c r="S598" s="20"/>
      <c r="T598" s="20"/>
      <c r="U598" s="20"/>
      <c r="V598" s="20"/>
      <c r="W598" s="20"/>
      <c r="X598" s="20"/>
      <c r="Y598" s="20"/>
      <c r="Z598" s="20"/>
    </row>
    <row r="599" spans="10:26" ht="17.25" customHeight="1">
      <c r="J599" s="37"/>
      <c r="K599" s="58"/>
      <c r="L599" s="58"/>
      <c r="M599" s="58"/>
      <c r="N599" s="58"/>
      <c r="O599" s="31"/>
      <c r="P599" s="20"/>
      <c r="Q599" s="20"/>
      <c r="R599" s="20"/>
      <c r="S599" s="20"/>
      <c r="T599" s="20"/>
      <c r="U599" s="20"/>
      <c r="V599" s="20"/>
      <c r="W599" s="20"/>
      <c r="X599" s="20"/>
      <c r="Y599" s="20"/>
      <c r="Z599" s="20"/>
    </row>
    <row r="600" spans="10:26" ht="17.25" customHeight="1">
      <c r="J600" s="37"/>
      <c r="K600" s="58"/>
      <c r="L600" s="58"/>
      <c r="M600" s="58"/>
      <c r="N600" s="58"/>
      <c r="O600" s="31"/>
      <c r="P600" s="20"/>
      <c r="Q600" s="20"/>
      <c r="R600" s="20"/>
      <c r="S600" s="20"/>
      <c r="T600" s="20"/>
      <c r="U600" s="20"/>
      <c r="V600" s="20"/>
      <c r="W600" s="20"/>
      <c r="X600" s="20"/>
      <c r="Y600" s="20"/>
      <c r="Z600" s="20"/>
    </row>
    <row r="601" spans="10:26" ht="17.25" customHeight="1">
      <c r="J601" s="37"/>
      <c r="K601" s="58"/>
      <c r="L601" s="58"/>
      <c r="M601" s="58"/>
      <c r="N601" s="58"/>
      <c r="O601" s="31"/>
      <c r="P601" s="20"/>
      <c r="Q601" s="20"/>
      <c r="R601" s="20"/>
      <c r="S601" s="20"/>
      <c r="T601" s="20"/>
      <c r="U601" s="20"/>
      <c r="V601" s="20"/>
      <c r="W601" s="20"/>
      <c r="X601" s="20"/>
      <c r="Y601" s="20"/>
      <c r="Z601" s="20"/>
    </row>
    <row r="602" spans="10:26" ht="17.25" customHeight="1">
      <c r="J602" s="37"/>
      <c r="K602" s="58"/>
      <c r="L602" s="58"/>
      <c r="M602" s="58"/>
      <c r="N602" s="58"/>
      <c r="O602" s="31"/>
      <c r="P602" s="20"/>
      <c r="Q602" s="20"/>
      <c r="R602" s="20"/>
      <c r="S602" s="20"/>
      <c r="T602" s="20"/>
      <c r="U602" s="20"/>
      <c r="V602" s="20"/>
      <c r="W602" s="20"/>
      <c r="X602" s="20"/>
      <c r="Y602" s="20"/>
      <c r="Z602" s="20"/>
    </row>
    <row r="603" spans="10:26" ht="17.25" customHeight="1">
      <c r="J603" s="37"/>
      <c r="K603" s="58"/>
      <c r="L603" s="58"/>
      <c r="M603" s="58"/>
      <c r="N603" s="58"/>
      <c r="O603" s="31"/>
      <c r="P603" s="20"/>
      <c r="Q603" s="20"/>
      <c r="R603" s="20"/>
      <c r="S603" s="20"/>
      <c r="T603" s="20"/>
      <c r="U603" s="20"/>
      <c r="V603" s="20"/>
      <c r="W603" s="20"/>
      <c r="X603" s="20"/>
      <c r="Y603" s="20"/>
      <c r="Z603" s="20"/>
    </row>
    <row r="604" spans="10:26" ht="17.25" customHeight="1">
      <c r="J604" s="37"/>
      <c r="K604" s="58"/>
      <c r="L604" s="58"/>
      <c r="M604" s="58"/>
      <c r="N604" s="58"/>
      <c r="O604" s="31"/>
      <c r="P604" s="20"/>
      <c r="Q604" s="20"/>
      <c r="R604" s="20"/>
      <c r="S604" s="20"/>
      <c r="T604" s="20"/>
      <c r="U604" s="20"/>
      <c r="V604" s="20"/>
      <c r="W604" s="20"/>
      <c r="X604" s="20"/>
      <c r="Y604" s="20"/>
      <c r="Z604" s="20"/>
    </row>
    <row r="605" spans="10:26" ht="17.25" customHeight="1">
      <c r="J605" s="37"/>
      <c r="K605" s="58"/>
      <c r="L605" s="58"/>
      <c r="M605" s="58"/>
      <c r="N605" s="58"/>
      <c r="O605" s="31"/>
      <c r="P605" s="20"/>
      <c r="Q605" s="20"/>
      <c r="R605" s="20"/>
      <c r="S605" s="20"/>
      <c r="T605" s="20"/>
      <c r="U605" s="20"/>
      <c r="V605" s="20"/>
      <c r="W605" s="20"/>
      <c r="X605" s="20"/>
      <c r="Y605" s="20"/>
      <c r="Z605" s="20"/>
    </row>
    <row r="606" spans="10:26" ht="17.25" customHeight="1">
      <c r="J606" s="37"/>
      <c r="K606" s="58"/>
      <c r="L606" s="58"/>
      <c r="M606" s="58"/>
      <c r="N606" s="58"/>
      <c r="O606" s="31"/>
      <c r="P606" s="20"/>
      <c r="Q606" s="20"/>
      <c r="R606" s="20"/>
      <c r="S606" s="20"/>
      <c r="T606" s="20"/>
      <c r="U606" s="20"/>
      <c r="V606" s="20"/>
      <c r="W606" s="20"/>
      <c r="X606" s="20"/>
      <c r="Y606" s="20"/>
      <c r="Z606" s="20"/>
    </row>
    <row r="607" spans="10:26" ht="17.25" customHeight="1">
      <c r="J607" s="37"/>
      <c r="K607" s="58"/>
      <c r="L607" s="58"/>
      <c r="M607" s="58"/>
      <c r="N607" s="58"/>
      <c r="O607" s="31"/>
      <c r="P607" s="20"/>
      <c r="Q607" s="20"/>
      <c r="R607" s="20"/>
      <c r="S607" s="20"/>
      <c r="T607" s="20"/>
      <c r="U607" s="20"/>
      <c r="V607" s="20"/>
      <c r="W607" s="20"/>
      <c r="X607" s="20"/>
      <c r="Y607" s="20"/>
      <c r="Z607" s="20"/>
    </row>
    <row r="608" spans="10:26" ht="17.25" customHeight="1">
      <c r="J608" s="37"/>
      <c r="K608" s="58"/>
      <c r="L608" s="58"/>
      <c r="M608" s="58"/>
      <c r="N608" s="58"/>
      <c r="O608" s="31"/>
      <c r="P608" s="20"/>
      <c r="Q608" s="20"/>
      <c r="R608" s="20"/>
      <c r="S608" s="20"/>
      <c r="T608" s="20"/>
      <c r="U608" s="20"/>
      <c r="V608" s="20"/>
      <c r="W608" s="20"/>
      <c r="X608" s="20"/>
      <c r="Y608" s="20"/>
      <c r="Z608" s="20"/>
    </row>
    <row r="609" spans="10:26" ht="17.25" customHeight="1">
      <c r="J609" s="37"/>
      <c r="K609" s="58"/>
      <c r="L609" s="58"/>
      <c r="M609" s="58"/>
      <c r="N609" s="58"/>
      <c r="O609" s="31"/>
      <c r="P609" s="20"/>
      <c r="Q609" s="20"/>
      <c r="R609" s="20"/>
      <c r="S609" s="20"/>
      <c r="T609" s="20"/>
      <c r="U609" s="20"/>
      <c r="V609" s="20"/>
      <c r="W609" s="20"/>
      <c r="X609" s="20"/>
      <c r="Y609" s="20"/>
      <c r="Z609" s="20"/>
    </row>
    <row r="610" spans="10:26" ht="17.25" customHeight="1">
      <c r="J610" s="37"/>
      <c r="K610" s="58"/>
      <c r="L610" s="58"/>
      <c r="M610" s="58"/>
      <c r="N610" s="58"/>
      <c r="O610" s="31"/>
      <c r="P610" s="20"/>
      <c r="Q610" s="20"/>
      <c r="R610" s="20"/>
      <c r="S610" s="20"/>
      <c r="T610" s="20"/>
      <c r="U610" s="20"/>
      <c r="V610" s="20"/>
      <c r="W610" s="20"/>
      <c r="X610" s="20"/>
      <c r="Y610" s="20"/>
      <c r="Z610" s="20"/>
    </row>
    <row r="611" spans="10:26" ht="17.25" customHeight="1">
      <c r="J611" s="37"/>
      <c r="K611" s="58"/>
      <c r="L611" s="58"/>
      <c r="M611" s="58"/>
      <c r="N611" s="58"/>
      <c r="O611" s="31"/>
      <c r="P611" s="20"/>
      <c r="Q611" s="20"/>
      <c r="R611" s="20"/>
      <c r="S611" s="20"/>
      <c r="T611" s="20"/>
      <c r="U611" s="20"/>
      <c r="V611" s="20"/>
      <c r="W611" s="20"/>
      <c r="X611" s="20"/>
      <c r="Y611" s="20"/>
      <c r="Z611" s="20"/>
    </row>
    <row r="612" spans="10:26" ht="17.25" customHeight="1">
      <c r="J612" s="37"/>
      <c r="K612" s="58"/>
      <c r="L612" s="58"/>
      <c r="M612" s="58"/>
      <c r="N612" s="58"/>
      <c r="O612" s="31"/>
      <c r="P612" s="20"/>
      <c r="Q612" s="20"/>
      <c r="R612" s="20"/>
      <c r="S612" s="20"/>
      <c r="T612" s="20"/>
      <c r="U612" s="20"/>
      <c r="V612" s="20"/>
      <c r="W612" s="20"/>
      <c r="X612" s="20"/>
      <c r="Y612" s="20"/>
      <c r="Z612" s="20"/>
    </row>
    <row r="613" spans="10:26" ht="17.25" customHeight="1">
      <c r="J613" s="37"/>
      <c r="K613" s="58"/>
      <c r="L613" s="58"/>
      <c r="M613" s="58"/>
      <c r="N613" s="58"/>
      <c r="O613" s="31"/>
      <c r="P613" s="20"/>
      <c r="Q613" s="20"/>
      <c r="R613" s="20"/>
      <c r="S613" s="20"/>
      <c r="T613" s="20"/>
      <c r="U613" s="20"/>
      <c r="V613" s="20"/>
      <c r="W613" s="20"/>
      <c r="X613" s="20"/>
      <c r="Y613" s="20"/>
      <c r="Z613" s="20"/>
    </row>
    <row r="614" spans="10:26" ht="17.25" customHeight="1">
      <c r="J614" s="37"/>
      <c r="K614" s="58"/>
      <c r="L614" s="58"/>
      <c r="M614" s="58"/>
      <c r="N614" s="58"/>
      <c r="O614" s="31"/>
      <c r="P614" s="20"/>
      <c r="Q614" s="20"/>
      <c r="R614" s="20"/>
      <c r="S614" s="20"/>
      <c r="T614" s="20"/>
      <c r="U614" s="20"/>
      <c r="V614" s="20"/>
      <c r="W614" s="20"/>
      <c r="X614" s="20"/>
      <c r="Y614" s="20"/>
      <c r="Z614" s="20"/>
    </row>
    <row r="615" spans="10:26" ht="17.25" customHeight="1">
      <c r="J615" s="37"/>
      <c r="K615" s="58"/>
      <c r="L615" s="58"/>
      <c r="M615" s="58"/>
      <c r="N615" s="58"/>
      <c r="O615" s="31"/>
      <c r="P615" s="20"/>
      <c r="Q615" s="20"/>
      <c r="R615" s="20"/>
      <c r="S615" s="20"/>
      <c r="T615" s="20"/>
      <c r="U615" s="20"/>
      <c r="V615" s="20"/>
      <c r="W615" s="20"/>
      <c r="X615" s="20"/>
      <c r="Y615" s="20"/>
      <c r="Z615" s="20"/>
    </row>
    <row r="616" spans="10:26" ht="17.25" customHeight="1">
      <c r="J616" s="37"/>
      <c r="K616" s="58"/>
      <c r="L616" s="58"/>
      <c r="M616" s="58"/>
      <c r="N616" s="58"/>
      <c r="O616" s="31"/>
      <c r="P616" s="20"/>
      <c r="Q616" s="20"/>
      <c r="R616" s="20"/>
      <c r="S616" s="20"/>
      <c r="T616" s="20"/>
      <c r="U616" s="20"/>
      <c r="V616" s="20"/>
      <c r="W616" s="20"/>
      <c r="X616" s="20"/>
      <c r="Y616" s="20"/>
      <c r="Z616" s="20"/>
    </row>
    <row r="617" spans="10:26" ht="17.25" customHeight="1">
      <c r="J617" s="37"/>
      <c r="K617" s="58"/>
      <c r="L617" s="58"/>
      <c r="M617" s="58"/>
      <c r="N617" s="58"/>
      <c r="O617" s="31"/>
      <c r="P617" s="20"/>
      <c r="Q617" s="20"/>
      <c r="R617" s="20"/>
      <c r="S617" s="20"/>
      <c r="T617" s="20"/>
      <c r="U617" s="20"/>
      <c r="V617" s="20"/>
      <c r="W617" s="20"/>
      <c r="X617" s="20"/>
      <c r="Y617" s="20"/>
      <c r="Z617" s="20"/>
    </row>
    <row r="618" spans="10:26" ht="17.25" customHeight="1">
      <c r="J618" s="37"/>
      <c r="K618" s="58"/>
      <c r="L618" s="58"/>
      <c r="M618" s="58"/>
      <c r="N618" s="58"/>
      <c r="O618" s="31"/>
      <c r="P618" s="20"/>
      <c r="Q618" s="20"/>
      <c r="R618" s="20"/>
      <c r="S618" s="20"/>
      <c r="T618" s="20"/>
      <c r="U618" s="20"/>
      <c r="V618" s="20"/>
      <c r="W618" s="20"/>
      <c r="X618" s="20"/>
      <c r="Y618" s="20"/>
      <c r="Z618" s="20"/>
    </row>
    <row r="619" spans="10:26" ht="17.25" customHeight="1">
      <c r="J619" s="37"/>
      <c r="K619" s="58"/>
      <c r="L619" s="58"/>
      <c r="M619" s="58"/>
      <c r="N619" s="58"/>
      <c r="O619" s="31"/>
      <c r="P619" s="20"/>
      <c r="Q619" s="20"/>
      <c r="R619" s="20"/>
      <c r="S619" s="20"/>
      <c r="T619" s="20"/>
      <c r="U619" s="20"/>
      <c r="V619" s="20"/>
      <c r="W619" s="20"/>
      <c r="X619" s="20"/>
      <c r="Y619" s="20"/>
      <c r="Z619" s="20"/>
    </row>
    <row r="620" spans="10:26" ht="17.25" customHeight="1">
      <c r="J620" s="37"/>
      <c r="K620" s="58"/>
      <c r="L620" s="58"/>
      <c r="M620" s="58"/>
      <c r="N620" s="58"/>
      <c r="O620" s="31"/>
      <c r="P620" s="20"/>
      <c r="Q620" s="20"/>
      <c r="R620" s="20"/>
      <c r="S620" s="20"/>
      <c r="T620" s="20"/>
      <c r="U620" s="20"/>
      <c r="V620" s="20"/>
      <c r="W620" s="20"/>
      <c r="X620" s="20"/>
      <c r="Y620" s="20"/>
      <c r="Z620" s="20"/>
    </row>
    <row r="621" spans="10:26" ht="17.25" customHeight="1">
      <c r="J621" s="37"/>
      <c r="K621" s="58"/>
      <c r="L621" s="58"/>
      <c r="M621" s="58"/>
      <c r="N621" s="58"/>
      <c r="O621" s="31"/>
      <c r="P621" s="20"/>
      <c r="Q621" s="20"/>
      <c r="R621" s="20"/>
      <c r="S621" s="20"/>
      <c r="T621" s="20"/>
      <c r="U621" s="20"/>
      <c r="V621" s="20"/>
      <c r="W621" s="20"/>
      <c r="X621" s="20"/>
      <c r="Y621" s="20"/>
      <c r="Z621" s="20"/>
    </row>
    <row r="622" spans="10:26" ht="17.25" customHeight="1">
      <c r="J622" s="37"/>
      <c r="K622" s="58"/>
      <c r="L622" s="58"/>
      <c r="M622" s="58"/>
      <c r="N622" s="58"/>
      <c r="O622" s="31"/>
      <c r="P622" s="20"/>
      <c r="Q622" s="20"/>
      <c r="R622" s="20"/>
      <c r="S622" s="20"/>
      <c r="T622" s="20"/>
      <c r="U622" s="20"/>
      <c r="V622" s="20"/>
      <c r="W622" s="20"/>
      <c r="X622" s="20"/>
      <c r="Y622" s="20"/>
      <c r="Z622" s="20"/>
    </row>
    <row r="623" spans="10:26" ht="17.25" customHeight="1">
      <c r="J623" s="37"/>
      <c r="K623" s="58"/>
      <c r="L623" s="58"/>
      <c r="M623" s="58"/>
      <c r="N623" s="58"/>
      <c r="O623" s="31"/>
      <c r="P623" s="20"/>
      <c r="Q623" s="20"/>
      <c r="R623" s="20"/>
      <c r="S623" s="20"/>
      <c r="T623" s="20"/>
      <c r="U623" s="20"/>
      <c r="V623" s="20"/>
      <c r="W623" s="20"/>
      <c r="X623" s="20"/>
      <c r="Y623" s="20"/>
      <c r="Z623" s="20"/>
    </row>
    <row r="624" spans="10:26" ht="17.25" customHeight="1">
      <c r="J624" s="37"/>
      <c r="K624" s="58"/>
      <c r="L624" s="58"/>
      <c r="M624" s="58"/>
      <c r="N624" s="58"/>
      <c r="O624" s="31"/>
      <c r="P624" s="20"/>
      <c r="Q624" s="20"/>
      <c r="R624" s="20"/>
      <c r="S624" s="20"/>
      <c r="T624" s="20"/>
      <c r="U624" s="20"/>
      <c r="V624" s="20"/>
      <c r="W624" s="20"/>
      <c r="X624" s="20"/>
      <c r="Y624" s="20"/>
      <c r="Z624" s="20"/>
    </row>
    <row r="625" spans="10:26" ht="17.25" customHeight="1">
      <c r="J625" s="37"/>
      <c r="K625" s="58"/>
      <c r="L625" s="58"/>
      <c r="M625" s="58"/>
      <c r="N625" s="58"/>
      <c r="O625" s="31"/>
      <c r="P625" s="20"/>
      <c r="Q625" s="20"/>
      <c r="R625" s="20"/>
      <c r="S625" s="20"/>
      <c r="T625" s="20"/>
      <c r="U625" s="20"/>
      <c r="V625" s="20"/>
      <c r="W625" s="20"/>
      <c r="X625" s="20"/>
      <c r="Y625" s="20"/>
      <c r="Z625" s="20"/>
    </row>
    <row r="626" spans="10:26" ht="17.25" customHeight="1">
      <c r="J626" s="37"/>
      <c r="K626" s="58"/>
      <c r="L626" s="58"/>
      <c r="M626" s="58"/>
      <c r="N626" s="58"/>
      <c r="O626" s="31"/>
      <c r="P626" s="20"/>
      <c r="Q626" s="20"/>
      <c r="R626" s="20"/>
      <c r="S626" s="20"/>
      <c r="T626" s="20"/>
      <c r="U626" s="20"/>
      <c r="V626" s="20"/>
      <c r="W626" s="20"/>
      <c r="X626" s="20"/>
      <c r="Y626" s="20"/>
      <c r="Z626" s="20"/>
    </row>
    <row r="627" spans="10:26" ht="17.25" customHeight="1">
      <c r="J627" s="37"/>
      <c r="K627" s="58"/>
      <c r="L627" s="58"/>
      <c r="M627" s="58"/>
      <c r="N627" s="58"/>
      <c r="O627" s="31"/>
      <c r="P627" s="20"/>
      <c r="Q627" s="20"/>
      <c r="R627" s="20"/>
      <c r="S627" s="20"/>
      <c r="T627" s="20"/>
      <c r="U627" s="20"/>
      <c r="V627" s="20"/>
      <c r="W627" s="20"/>
      <c r="X627" s="20"/>
      <c r="Y627" s="20"/>
      <c r="Z627" s="20"/>
    </row>
    <row r="628" spans="10:26" ht="17.25" customHeight="1">
      <c r="J628" s="37"/>
      <c r="K628" s="58"/>
      <c r="L628" s="58"/>
      <c r="M628" s="58"/>
      <c r="N628" s="58"/>
      <c r="O628" s="31"/>
      <c r="P628" s="20"/>
      <c r="Q628" s="20"/>
      <c r="R628" s="20"/>
      <c r="S628" s="20"/>
      <c r="T628" s="20"/>
      <c r="U628" s="20"/>
      <c r="V628" s="20"/>
      <c r="W628" s="20"/>
      <c r="X628" s="20"/>
      <c r="Y628" s="20"/>
      <c r="Z628" s="20"/>
    </row>
    <row r="629" spans="10:26" ht="17.25" customHeight="1">
      <c r="J629" s="37"/>
      <c r="K629" s="58"/>
      <c r="L629" s="58"/>
      <c r="M629" s="58"/>
      <c r="N629" s="58"/>
      <c r="O629" s="31"/>
      <c r="P629" s="20"/>
      <c r="Q629" s="20"/>
      <c r="R629" s="20"/>
      <c r="S629" s="20"/>
      <c r="T629" s="20"/>
      <c r="U629" s="20"/>
      <c r="V629" s="20"/>
      <c r="W629" s="20"/>
      <c r="X629" s="20"/>
      <c r="Y629" s="20"/>
      <c r="Z629" s="20"/>
    </row>
    <row r="630" spans="10:26" ht="17.25" customHeight="1">
      <c r="J630" s="37"/>
      <c r="K630" s="58"/>
      <c r="L630" s="58"/>
      <c r="M630" s="58"/>
      <c r="N630" s="58"/>
      <c r="O630" s="31"/>
      <c r="P630" s="20"/>
      <c r="Q630" s="20"/>
      <c r="R630" s="20"/>
      <c r="S630" s="20"/>
      <c r="T630" s="20"/>
      <c r="U630" s="20"/>
      <c r="V630" s="20"/>
      <c r="W630" s="20"/>
      <c r="X630" s="20"/>
      <c r="Y630" s="20"/>
      <c r="Z630" s="20"/>
    </row>
    <row r="631" spans="10:26" ht="17.25" customHeight="1">
      <c r="J631" s="37"/>
      <c r="K631" s="58"/>
      <c r="L631" s="58"/>
      <c r="M631" s="58"/>
      <c r="N631" s="58"/>
      <c r="O631" s="31"/>
      <c r="P631" s="20"/>
      <c r="Q631" s="20"/>
      <c r="R631" s="20"/>
      <c r="S631" s="20"/>
      <c r="T631" s="20"/>
      <c r="U631" s="20"/>
      <c r="V631" s="20"/>
      <c r="W631" s="20"/>
      <c r="X631" s="20"/>
      <c r="Y631" s="20"/>
      <c r="Z631" s="20"/>
    </row>
    <row r="632" spans="10:26" ht="17.25" customHeight="1">
      <c r="J632" s="37"/>
      <c r="K632" s="58"/>
      <c r="L632" s="58"/>
      <c r="M632" s="58"/>
      <c r="N632" s="58"/>
      <c r="O632" s="31"/>
      <c r="P632" s="20"/>
      <c r="Q632" s="20"/>
      <c r="R632" s="20"/>
      <c r="S632" s="20"/>
      <c r="T632" s="20"/>
      <c r="U632" s="20"/>
      <c r="V632" s="20"/>
      <c r="W632" s="20"/>
      <c r="X632" s="20"/>
      <c r="Y632" s="20"/>
      <c r="Z632" s="20"/>
    </row>
    <row r="633" spans="10:26" ht="17.25" customHeight="1">
      <c r="J633" s="37"/>
      <c r="K633" s="58"/>
      <c r="L633" s="58"/>
      <c r="M633" s="58"/>
      <c r="N633" s="58"/>
      <c r="O633" s="31"/>
      <c r="P633" s="20"/>
      <c r="Q633" s="20"/>
      <c r="R633" s="20"/>
      <c r="S633" s="20"/>
      <c r="T633" s="20"/>
      <c r="U633" s="20"/>
      <c r="V633" s="20"/>
      <c r="W633" s="20"/>
      <c r="X633" s="20"/>
      <c r="Y633" s="20"/>
      <c r="Z633" s="20"/>
    </row>
    <row r="634" spans="10:26" ht="17.25" customHeight="1">
      <c r="J634" s="37"/>
      <c r="K634" s="58"/>
      <c r="L634" s="58"/>
      <c r="M634" s="58"/>
      <c r="N634" s="58"/>
      <c r="O634" s="31"/>
      <c r="P634" s="20"/>
      <c r="Q634" s="20"/>
      <c r="R634" s="20"/>
      <c r="S634" s="20"/>
      <c r="T634" s="20"/>
      <c r="U634" s="20"/>
      <c r="V634" s="20"/>
      <c r="W634" s="20"/>
      <c r="X634" s="20"/>
      <c r="Y634" s="20"/>
      <c r="Z634" s="20"/>
    </row>
    <row r="635" spans="10:26" ht="17.25" customHeight="1">
      <c r="J635" s="37"/>
      <c r="K635" s="58"/>
      <c r="L635" s="58"/>
      <c r="M635" s="58"/>
      <c r="N635" s="58"/>
      <c r="O635" s="31"/>
      <c r="P635" s="20"/>
      <c r="Q635" s="20"/>
      <c r="R635" s="20"/>
      <c r="S635" s="20"/>
      <c r="T635" s="20"/>
      <c r="U635" s="20"/>
      <c r="V635" s="20"/>
      <c r="W635" s="20"/>
      <c r="X635" s="20"/>
      <c r="Y635" s="20"/>
      <c r="Z635" s="20"/>
    </row>
    <row r="636" spans="10:26" ht="17.25" customHeight="1">
      <c r="J636" s="37"/>
      <c r="K636" s="58"/>
      <c r="L636" s="58"/>
      <c r="M636" s="58"/>
      <c r="N636" s="58"/>
      <c r="O636" s="31"/>
      <c r="P636" s="20"/>
      <c r="Q636" s="20"/>
      <c r="R636" s="20"/>
      <c r="S636" s="20"/>
      <c r="T636" s="20"/>
      <c r="U636" s="20"/>
      <c r="V636" s="20"/>
      <c r="W636" s="20"/>
      <c r="X636" s="20"/>
      <c r="Y636" s="20"/>
      <c r="Z636" s="20"/>
    </row>
    <row r="637" spans="10:26" ht="17.25" customHeight="1">
      <c r="J637" s="37"/>
      <c r="K637" s="58"/>
      <c r="L637" s="58"/>
      <c r="M637" s="58"/>
      <c r="N637" s="58"/>
      <c r="O637" s="31"/>
      <c r="P637" s="20"/>
      <c r="Q637" s="20"/>
      <c r="R637" s="20"/>
      <c r="S637" s="20"/>
      <c r="T637" s="20"/>
      <c r="U637" s="20"/>
      <c r="V637" s="20"/>
      <c r="W637" s="20"/>
      <c r="X637" s="20"/>
      <c r="Y637" s="20"/>
      <c r="Z637" s="20"/>
    </row>
    <row r="638" spans="10:26" ht="17.25" customHeight="1">
      <c r="J638" s="37"/>
      <c r="K638" s="58"/>
      <c r="L638" s="58"/>
      <c r="M638" s="58"/>
      <c r="N638" s="58"/>
      <c r="O638" s="31"/>
      <c r="P638" s="20"/>
      <c r="Q638" s="20"/>
      <c r="R638" s="20"/>
      <c r="S638" s="20"/>
      <c r="T638" s="20"/>
      <c r="U638" s="20"/>
      <c r="V638" s="20"/>
      <c r="W638" s="20"/>
      <c r="X638" s="20"/>
      <c r="Y638" s="20"/>
      <c r="Z638" s="20"/>
    </row>
    <row r="639" spans="10:26" ht="17.25" customHeight="1">
      <c r="J639" s="37"/>
      <c r="K639" s="58"/>
      <c r="L639" s="58"/>
      <c r="M639" s="58"/>
      <c r="N639" s="58"/>
      <c r="O639" s="31"/>
      <c r="P639" s="20"/>
      <c r="Q639" s="20"/>
      <c r="R639" s="20"/>
      <c r="S639" s="20"/>
      <c r="T639" s="20"/>
      <c r="U639" s="20"/>
      <c r="V639" s="20"/>
      <c r="W639" s="20"/>
      <c r="X639" s="20"/>
      <c r="Y639" s="20"/>
      <c r="Z639" s="20"/>
    </row>
    <row r="640" spans="10:26" ht="17.25" customHeight="1">
      <c r="J640" s="37"/>
      <c r="K640" s="58"/>
      <c r="L640" s="58"/>
      <c r="M640" s="58"/>
      <c r="N640" s="58"/>
      <c r="O640" s="31"/>
      <c r="P640" s="20"/>
      <c r="Q640" s="20"/>
      <c r="R640" s="20"/>
      <c r="S640" s="20"/>
      <c r="T640" s="20"/>
      <c r="U640" s="20"/>
      <c r="V640" s="20"/>
      <c r="W640" s="20"/>
      <c r="X640" s="20"/>
      <c r="Y640" s="20"/>
      <c r="Z640" s="20"/>
    </row>
    <row r="641" spans="10:26" ht="17.25" customHeight="1">
      <c r="J641" s="37"/>
      <c r="K641" s="58"/>
      <c r="L641" s="58"/>
      <c r="M641" s="58"/>
      <c r="N641" s="58"/>
      <c r="O641" s="31"/>
      <c r="P641" s="20"/>
      <c r="Q641" s="20"/>
      <c r="R641" s="20"/>
      <c r="S641" s="20"/>
      <c r="T641" s="20"/>
      <c r="U641" s="20"/>
      <c r="V641" s="20"/>
      <c r="W641" s="20"/>
      <c r="X641" s="20"/>
      <c r="Y641" s="20"/>
      <c r="Z641" s="20"/>
    </row>
    <row r="642" spans="10:26" ht="17.25" customHeight="1">
      <c r="J642" s="37"/>
      <c r="K642" s="58"/>
      <c r="L642" s="58"/>
      <c r="M642" s="58"/>
      <c r="N642" s="58"/>
      <c r="O642" s="31"/>
      <c r="P642" s="20"/>
      <c r="Q642" s="20"/>
      <c r="R642" s="20"/>
      <c r="S642" s="20"/>
      <c r="T642" s="20"/>
      <c r="U642" s="20"/>
      <c r="V642" s="20"/>
      <c r="W642" s="20"/>
      <c r="X642" s="20"/>
      <c r="Y642" s="20"/>
      <c r="Z642" s="20"/>
    </row>
    <row r="643" spans="10:26" ht="17.25" customHeight="1">
      <c r="J643" s="37"/>
      <c r="K643" s="58"/>
      <c r="L643" s="58"/>
      <c r="M643" s="58"/>
      <c r="N643" s="58"/>
      <c r="O643" s="31"/>
      <c r="P643" s="20"/>
      <c r="Q643" s="20"/>
      <c r="R643" s="20"/>
      <c r="S643" s="20"/>
      <c r="T643" s="20"/>
      <c r="U643" s="20"/>
      <c r="V643" s="20"/>
      <c r="W643" s="20"/>
      <c r="X643" s="20"/>
      <c r="Y643" s="20"/>
      <c r="Z643" s="20"/>
    </row>
    <row r="644" spans="10:26" ht="17.25" customHeight="1">
      <c r="J644" s="37"/>
      <c r="K644" s="58"/>
      <c r="L644" s="58"/>
      <c r="M644" s="58"/>
      <c r="N644" s="58"/>
      <c r="O644" s="31"/>
      <c r="P644" s="20"/>
      <c r="Q644" s="20"/>
      <c r="R644" s="20"/>
      <c r="S644" s="20"/>
      <c r="T644" s="20"/>
      <c r="U644" s="20"/>
      <c r="V644" s="20"/>
      <c r="W644" s="20"/>
      <c r="X644" s="20"/>
      <c r="Y644" s="20"/>
      <c r="Z644" s="20"/>
    </row>
    <row r="645" spans="10:26" ht="17.25" customHeight="1">
      <c r="J645" s="37"/>
      <c r="K645" s="58"/>
      <c r="L645" s="58"/>
      <c r="M645" s="58"/>
      <c r="N645" s="58"/>
      <c r="O645" s="31"/>
      <c r="P645" s="20"/>
      <c r="Q645" s="20"/>
      <c r="R645" s="20"/>
      <c r="S645" s="20"/>
      <c r="T645" s="20"/>
      <c r="U645" s="20"/>
      <c r="V645" s="20"/>
      <c r="W645" s="20"/>
      <c r="X645" s="20"/>
      <c r="Y645" s="20"/>
      <c r="Z645" s="20"/>
    </row>
    <row r="646" spans="10:26" ht="17.25" customHeight="1">
      <c r="J646" s="37"/>
      <c r="K646" s="58"/>
      <c r="L646" s="58"/>
      <c r="M646" s="58"/>
      <c r="N646" s="58"/>
      <c r="O646" s="31"/>
      <c r="P646" s="20"/>
      <c r="Q646" s="20"/>
      <c r="R646" s="20"/>
      <c r="S646" s="20"/>
      <c r="T646" s="20"/>
      <c r="U646" s="20"/>
      <c r="V646" s="20"/>
      <c r="W646" s="20"/>
      <c r="X646" s="20"/>
      <c r="Y646" s="20"/>
      <c r="Z646" s="20"/>
    </row>
    <row r="647" spans="10:26" ht="17.25" customHeight="1">
      <c r="J647" s="37"/>
      <c r="K647" s="58"/>
      <c r="L647" s="58"/>
      <c r="M647" s="58"/>
      <c r="N647" s="58"/>
      <c r="O647" s="31"/>
      <c r="P647" s="20"/>
      <c r="Q647" s="20"/>
      <c r="R647" s="20"/>
      <c r="S647" s="20"/>
      <c r="T647" s="20"/>
      <c r="U647" s="20"/>
      <c r="V647" s="20"/>
      <c r="W647" s="20"/>
      <c r="X647" s="20"/>
      <c r="Y647" s="20"/>
      <c r="Z647" s="20"/>
    </row>
    <row r="648" spans="10:26" ht="17.25" customHeight="1">
      <c r="J648" s="37"/>
      <c r="K648" s="58"/>
      <c r="L648" s="58"/>
      <c r="M648" s="58"/>
      <c r="N648" s="58"/>
      <c r="O648" s="31"/>
      <c r="P648" s="20"/>
      <c r="Q648" s="20"/>
      <c r="R648" s="20"/>
      <c r="S648" s="20"/>
      <c r="T648" s="20"/>
      <c r="U648" s="20"/>
      <c r="V648" s="20"/>
      <c r="W648" s="20"/>
      <c r="X648" s="20"/>
      <c r="Y648" s="20"/>
      <c r="Z648" s="20"/>
    </row>
    <row r="649" spans="10:26" ht="17.25" customHeight="1">
      <c r="J649" s="37"/>
      <c r="K649" s="58"/>
      <c r="L649" s="58"/>
      <c r="M649" s="58"/>
      <c r="N649" s="58"/>
      <c r="O649" s="31"/>
      <c r="P649" s="20"/>
      <c r="Q649" s="20"/>
      <c r="R649" s="20"/>
      <c r="S649" s="20"/>
      <c r="T649" s="20"/>
      <c r="U649" s="20"/>
      <c r="V649" s="20"/>
      <c r="W649" s="20"/>
      <c r="X649" s="20"/>
      <c r="Y649" s="20"/>
      <c r="Z649" s="20"/>
    </row>
    <row r="650" spans="10:26" ht="17.25" customHeight="1">
      <c r="J650" s="37"/>
      <c r="K650" s="58"/>
      <c r="L650" s="58"/>
      <c r="M650" s="58"/>
      <c r="N650" s="58"/>
      <c r="O650" s="31"/>
      <c r="P650" s="20"/>
      <c r="Q650" s="20"/>
      <c r="R650" s="20"/>
      <c r="S650" s="20"/>
      <c r="T650" s="20"/>
      <c r="U650" s="20"/>
      <c r="V650" s="20"/>
      <c r="W650" s="20"/>
      <c r="X650" s="20"/>
      <c r="Y650" s="20"/>
      <c r="Z650" s="20"/>
    </row>
    <row r="651" spans="10:26" ht="17.25" customHeight="1">
      <c r="J651" s="37"/>
      <c r="K651" s="58"/>
      <c r="L651" s="58"/>
      <c r="M651" s="58"/>
      <c r="N651" s="58"/>
      <c r="O651" s="31"/>
      <c r="P651" s="20"/>
      <c r="Q651" s="20"/>
      <c r="R651" s="20"/>
      <c r="S651" s="20"/>
      <c r="T651" s="20"/>
      <c r="U651" s="20"/>
      <c r="V651" s="20"/>
      <c r="W651" s="20"/>
      <c r="X651" s="20"/>
      <c r="Y651" s="20"/>
      <c r="Z651" s="20"/>
    </row>
    <row r="652" spans="10:26" ht="17.25" customHeight="1">
      <c r="J652" s="37"/>
      <c r="K652" s="58"/>
      <c r="L652" s="58"/>
      <c r="M652" s="58"/>
      <c r="N652" s="58"/>
      <c r="O652" s="31"/>
      <c r="P652" s="20"/>
      <c r="Q652" s="20"/>
      <c r="R652" s="20"/>
      <c r="S652" s="20"/>
      <c r="T652" s="20"/>
      <c r="U652" s="20"/>
      <c r="V652" s="20"/>
      <c r="W652" s="20"/>
      <c r="X652" s="20"/>
      <c r="Y652" s="20"/>
      <c r="Z652" s="20"/>
    </row>
    <row r="653" spans="10:26" ht="17.25" customHeight="1">
      <c r="J653" s="37"/>
      <c r="K653" s="58"/>
      <c r="L653" s="58"/>
      <c r="M653" s="58"/>
      <c r="N653" s="58"/>
      <c r="O653" s="31"/>
      <c r="P653" s="20"/>
      <c r="Q653" s="20"/>
      <c r="R653" s="20"/>
      <c r="S653" s="20"/>
      <c r="T653" s="20"/>
      <c r="U653" s="20"/>
      <c r="V653" s="20"/>
      <c r="W653" s="20"/>
      <c r="X653" s="20"/>
      <c r="Y653" s="20"/>
      <c r="Z653" s="20"/>
    </row>
    <row r="654" spans="10:26" ht="17.25" customHeight="1">
      <c r="J654" s="37"/>
      <c r="K654" s="58"/>
      <c r="L654" s="58"/>
      <c r="M654" s="58"/>
      <c r="N654" s="58"/>
      <c r="O654" s="31"/>
      <c r="P654" s="20"/>
      <c r="Q654" s="20"/>
      <c r="R654" s="20"/>
      <c r="S654" s="20"/>
      <c r="T654" s="20"/>
      <c r="U654" s="20"/>
      <c r="V654" s="20"/>
      <c r="W654" s="20"/>
      <c r="X654" s="20"/>
      <c r="Y654" s="20"/>
      <c r="Z654" s="20"/>
    </row>
    <row r="655" spans="10:26" ht="17.25" customHeight="1">
      <c r="J655" s="37"/>
      <c r="K655" s="58"/>
      <c r="L655" s="58"/>
      <c r="M655" s="58"/>
      <c r="N655" s="58"/>
      <c r="O655" s="31"/>
      <c r="P655" s="20"/>
      <c r="Q655" s="20"/>
      <c r="R655" s="20"/>
      <c r="S655" s="20"/>
      <c r="T655" s="20"/>
      <c r="U655" s="20"/>
      <c r="V655" s="20"/>
      <c r="W655" s="20"/>
      <c r="X655" s="20"/>
      <c r="Y655" s="20"/>
      <c r="Z655" s="20"/>
    </row>
    <row r="656" spans="10:26" ht="17.25" customHeight="1">
      <c r="J656" s="37"/>
      <c r="K656" s="58"/>
      <c r="L656" s="58"/>
      <c r="M656" s="58"/>
      <c r="N656" s="58"/>
      <c r="O656" s="31"/>
      <c r="P656" s="20"/>
      <c r="Q656" s="20"/>
      <c r="R656" s="20"/>
      <c r="S656" s="20"/>
      <c r="T656" s="20"/>
      <c r="U656" s="20"/>
      <c r="V656" s="20"/>
      <c r="W656" s="20"/>
      <c r="X656" s="20"/>
      <c r="Y656" s="20"/>
      <c r="Z656" s="20"/>
    </row>
    <row r="657" spans="10:26" ht="17.25" customHeight="1">
      <c r="J657" s="37"/>
      <c r="K657" s="58"/>
      <c r="L657" s="58"/>
      <c r="M657" s="58"/>
      <c r="N657" s="58"/>
      <c r="O657" s="31"/>
      <c r="P657" s="20"/>
      <c r="Q657" s="20"/>
      <c r="R657" s="20"/>
      <c r="S657" s="20"/>
      <c r="T657" s="20"/>
      <c r="U657" s="20"/>
      <c r="V657" s="20"/>
      <c r="W657" s="20"/>
      <c r="X657" s="20"/>
      <c r="Y657" s="20"/>
      <c r="Z657" s="20"/>
    </row>
    <row r="658" spans="10:26" ht="17.25" customHeight="1">
      <c r="J658" s="37"/>
      <c r="K658" s="58"/>
      <c r="L658" s="58"/>
      <c r="M658" s="58"/>
      <c r="N658" s="58"/>
      <c r="O658" s="31"/>
      <c r="P658" s="20"/>
      <c r="Q658" s="20"/>
      <c r="R658" s="20"/>
      <c r="S658" s="20"/>
      <c r="T658" s="20"/>
      <c r="U658" s="20"/>
      <c r="V658" s="20"/>
      <c r="W658" s="20"/>
      <c r="X658" s="20"/>
      <c r="Y658" s="20"/>
      <c r="Z658" s="20"/>
    </row>
    <row r="659" spans="10:26" ht="17.25" customHeight="1">
      <c r="J659" s="37"/>
      <c r="K659" s="58"/>
      <c r="L659" s="58"/>
      <c r="M659" s="58"/>
      <c r="N659" s="58"/>
      <c r="O659" s="31"/>
      <c r="P659" s="20"/>
      <c r="Q659" s="20"/>
      <c r="R659" s="20"/>
      <c r="S659" s="20"/>
      <c r="T659" s="20"/>
      <c r="U659" s="20"/>
      <c r="V659" s="20"/>
      <c r="W659" s="20"/>
      <c r="X659" s="20"/>
      <c r="Y659" s="20"/>
      <c r="Z659" s="20"/>
    </row>
    <row r="660" spans="10:26" ht="17.25" customHeight="1">
      <c r="J660" s="37"/>
      <c r="K660" s="58"/>
      <c r="L660" s="58"/>
      <c r="M660" s="58"/>
      <c r="N660" s="58"/>
      <c r="O660" s="31"/>
      <c r="P660" s="20"/>
      <c r="Q660" s="20"/>
      <c r="R660" s="20"/>
      <c r="S660" s="20"/>
      <c r="T660" s="20"/>
      <c r="U660" s="20"/>
      <c r="V660" s="20"/>
      <c r="W660" s="20"/>
      <c r="X660" s="20"/>
      <c r="Y660" s="20"/>
      <c r="Z660" s="20"/>
    </row>
    <row r="661" spans="10:26" ht="17.25" customHeight="1">
      <c r="J661" s="37"/>
      <c r="K661" s="58"/>
      <c r="L661" s="58"/>
      <c r="M661" s="58"/>
      <c r="N661" s="58"/>
      <c r="O661" s="31"/>
      <c r="P661" s="20"/>
      <c r="Q661" s="20"/>
      <c r="R661" s="20"/>
      <c r="S661" s="20"/>
      <c r="T661" s="20"/>
      <c r="U661" s="20"/>
      <c r="V661" s="20"/>
      <c r="W661" s="20"/>
      <c r="X661" s="20"/>
      <c r="Y661" s="20"/>
      <c r="Z661" s="20"/>
    </row>
    <row r="662" spans="10:26" ht="17.25" customHeight="1">
      <c r="J662" s="37"/>
      <c r="K662" s="58"/>
      <c r="L662" s="58"/>
      <c r="M662" s="58"/>
      <c r="N662" s="58"/>
      <c r="O662" s="31"/>
      <c r="P662" s="20"/>
      <c r="Q662" s="20"/>
      <c r="R662" s="20"/>
      <c r="S662" s="20"/>
      <c r="T662" s="20"/>
      <c r="U662" s="20"/>
      <c r="V662" s="20"/>
      <c r="W662" s="20"/>
      <c r="X662" s="20"/>
      <c r="Y662" s="20"/>
      <c r="Z662" s="20"/>
    </row>
    <row r="663" spans="10:26" ht="17.25" customHeight="1">
      <c r="J663" s="37"/>
      <c r="K663" s="58"/>
      <c r="L663" s="58"/>
      <c r="M663" s="58"/>
      <c r="N663" s="58"/>
      <c r="O663" s="31"/>
      <c r="P663" s="20"/>
      <c r="Q663" s="20"/>
      <c r="R663" s="20"/>
      <c r="S663" s="20"/>
      <c r="T663" s="20"/>
      <c r="U663" s="20"/>
      <c r="V663" s="20"/>
      <c r="W663" s="20"/>
      <c r="X663" s="20"/>
      <c r="Y663" s="20"/>
      <c r="Z663" s="20"/>
    </row>
    <row r="664" spans="10:26" ht="17.25" customHeight="1">
      <c r="J664" s="37"/>
      <c r="K664" s="58"/>
      <c r="L664" s="58"/>
      <c r="M664" s="58"/>
      <c r="N664" s="58"/>
      <c r="O664" s="31"/>
      <c r="P664" s="20"/>
      <c r="Q664" s="20"/>
      <c r="R664" s="20"/>
      <c r="S664" s="20"/>
      <c r="T664" s="20"/>
      <c r="U664" s="20"/>
      <c r="V664" s="20"/>
      <c r="W664" s="20"/>
      <c r="X664" s="20"/>
      <c r="Y664" s="20"/>
      <c r="Z664" s="20"/>
    </row>
    <row r="665" spans="10:26" ht="17.25" customHeight="1">
      <c r="J665" s="37"/>
      <c r="K665" s="58"/>
      <c r="L665" s="58"/>
      <c r="M665" s="58"/>
      <c r="N665" s="58"/>
      <c r="O665" s="31"/>
      <c r="P665" s="20"/>
      <c r="Q665" s="20"/>
      <c r="R665" s="20"/>
      <c r="S665" s="20"/>
      <c r="T665" s="20"/>
      <c r="U665" s="20"/>
      <c r="V665" s="20"/>
      <c r="W665" s="20"/>
      <c r="X665" s="20"/>
      <c r="Y665" s="20"/>
      <c r="Z665" s="20"/>
    </row>
    <row r="666" spans="10:26" ht="17.25" customHeight="1">
      <c r="J666" s="37"/>
      <c r="K666" s="58"/>
      <c r="L666" s="58"/>
      <c r="M666" s="58"/>
      <c r="N666" s="58"/>
      <c r="O666" s="31"/>
      <c r="P666" s="20"/>
      <c r="Q666" s="20"/>
      <c r="R666" s="20"/>
      <c r="S666" s="20"/>
      <c r="T666" s="20"/>
      <c r="U666" s="20"/>
      <c r="V666" s="20"/>
      <c r="W666" s="20"/>
      <c r="X666" s="20"/>
      <c r="Y666" s="20"/>
      <c r="Z666" s="20"/>
    </row>
    <row r="667" spans="10:26" ht="17.25" customHeight="1">
      <c r="J667" s="37"/>
      <c r="K667" s="58"/>
      <c r="L667" s="58"/>
      <c r="M667" s="58"/>
      <c r="N667" s="58"/>
      <c r="O667" s="31"/>
      <c r="P667" s="20"/>
      <c r="Q667" s="20"/>
      <c r="R667" s="20"/>
      <c r="S667" s="20"/>
      <c r="T667" s="20"/>
      <c r="U667" s="20"/>
      <c r="V667" s="20"/>
      <c r="W667" s="20"/>
      <c r="X667" s="20"/>
      <c r="Y667" s="20"/>
      <c r="Z667" s="20"/>
    </row>
    <row r="668" spans="10:26" ht="17.25" customHeight="1">
      <c r="J668" s="37"/>
      <c r="K668" s="58"/>
      <c r="L668" s="58"/>
      <c r="M668" s="58"/>
      <c r="N668" s="58"/>
      <c r="O668" s="31"/>
      <c r="P668" s="20"/>
      <c r="Q668" s="20"/>
      <c r="R668" s="20"/>
      <c r="S668" s="20"/>
      <c r="T668" s="20"/>
      <c r="U668" s="20"/>
      <c r="V668" s="20"/>
      <c r="W668" s="20"/>
      <c r="X668" s="20"/>
      <c r="Y668" s="20"/>
      <c r="Z668" s="20"/>
    </row>
    <row r="669" spans="10:26" ht="17.25" customHeight="1">
      <c r="J669" s="37"/>
      <c r="K669" s="58"/>
      <c r="L669" s="58"/>
      <c r="M669" s="58"/>
      <c r="N669" s="58"/>
      <c r="O669" s="31"/>
      <c r="P669" s="20"/>
      <c r="Q669" s="20"/>
      <c r="R669" s="20"/>
      <c r="S669" s="20"/>
      <c r="T669" s="20"/>
      <c r="U669" s="20"/>
      <c r="V669" s="20"/>
      <c r="W669" s="20"/>
      <c r="X669" s="20"/>
      <c r="Y669" s="20"/>
      <c r="Z669" s="20"/>
    </row>
    <row r="670" spans="10:26" ht="17.25" customHeight="1">
      <c r="J670" s="37"/>
      <c r="K670" s="58"/>
      <c r="L670" s="58"/>
      <c r="M670" s="58"/>
      <c r="N670" s="58"/>
      <c r="O670" s="31"/>
      <c r="P670" s="20"/>
      <c r="Q670" s="20"/>
      <c r="R670" s="20"/>
      <c r="S670" s="20"/>
      <c r="T670" s="20"/>
      <c r="U670" s="20"/>
      <c r="V670" s="20"/>
      <c r="W670" s="20"/>
      <c r="X670" s="20"/>
      <c r="Y670" s="20"/>
      <c r="Z670" s="20"/>
    </row>
    <row r="671" spans="10:26" ht="17.25" customHeight="1">
      <c r="J671" s="37"/>
      <c r="K671" s="58"/>
      <c r="L671" s="58"/>
      <c r="M671" s="58"/>
      <c r="N671" s="58"/>
      <c r="O671" s="31"/>
      <c r="P671" s="20"/>
      <c r="Q671" s="20"/>
      <c r="R671" s="20"/>
      <c r="S671" s="20"/>
      <c r="T671" s="20"/>
      <c r="U671" s="20"/>
      <c r="V671" s="20"/>
      <c r="W671" s="20"/>
      <c r="X671" s="20"/>
      <c r="Y671" s="20"/>
      <c r="Z671" s="20"/>
    </row>
    <row r="672" spans="10:26" ht="17.25" customHeight="1">
      <c r="J672" s="37"/>
      <c r="K672" s="58"/>
      <c r="L672" s="58"/>
      <c r="M672" s="58"/>
      <c r="N672" s="58"/>
      <c r="O672" s="31"/>
      <c r="P672" s="20"/>
      <c r="Q672" s="20"/>
      <c r="R672" s="20"/>
      <c r="S672" s="20"/>
      <c r="T672" s="20"/>
      <c r="U672" s="20"/>
      <c r="V672" s="20"/>
      <c r="W672" s="20"/>
      <c r="X672" s="20"/>
      <c r="Y672" s="20"/>
      <c r="Z672" s="20"/>
    </row>
    <row r="673" spans="10:26" ht="17.25" customHeight="1">
      <c r="J673" s="37"/>
      <c r="K673" s="58"/>
      <c r="L673" s="58"/>
      <c r="M673" s="58"/>
      <c r="N673" s="58"/>
      <c r="O673" s="31"/>
      <c r="P673" s="20"/>
      <c r="Q673" s="20"/>
      <c r="R673" s="20"/>
      <c r="S673" s="20"/>
      <c r="T673" s="20"/>
      <c r="U673" s="20"/>
      <c r="V673" s="20"/>
      <c r="W673" s="20"/>
      <c r="X673" s="20"/>
      <c r="Y673" s="20"/>
      <c r="Z673" s="20"/>
    </row>
    <row r="674" spans="10:26" ht="17.25" customHeight="1">
      <c r="J674" s="37"/>
      <c r="K674" s="58"/>
      <c r="L674" s="58"/>
      <c r="M674" s="58"/>
      <c r="N674" s="58"/>
      <c r="O674" s="31"/>
      <c r="P674" s="20"/>
      <c r="Q674" s="20"/>
      <c r="R674" s="20"/>
      <c r="S674" s="20"/>
      <c r="T674" s="20"/>
      <c r="U674" s="20"/>
      <c r="V674" s="20"/>
      <c r="W674" s="20"/>
      <c r="X674" s="20"/>
      <c r="Y674" s="20"/>
      <c r="Z674" s="20"/>
    </row>
    <row r="675" spans="10:26" ht="17.25" customHeight="1">
      <c r="J675" s="37"/>
      <c r="K675" s="58"/>
      <c r="L675" s="58"/>
      <c r="M675" s="58"/>
      <c r="N675" s="58"/>
      <c r="O675" s="31"/>
      <c r="P675" s="20"/>
      <c r="Q675" s="20"/>
      <c r="R675" s="20"/>
      <c r="S675" s="20"/>
      <c r="T675" s="20"/>
      <c r="U675" s="20"/>
      <c r="V675" s="20"/>
      <c r="W675" s="20"/>
      <c r="X675" s="20"/>
      <c r="Y675" s="20"/>
      <c r="Z675" s="20"/>
    </row>
    <row r="676" spans="10:26" ht="17.25" customHeight="1">
      <c r="J676" s="37"/>
      <c r="K676" s="58"/>
      <c r="L676" s="58"/>
      <c r="M676" s="58"/>
      <c r="N676" s="58"/>
      <c r="O676" s="31"/>
      <c r="P676" s="20"/>
      <c r="Q676" s="20"/>
      <c r="R676" s="20"/>
      <c r="S676" s="20"/>
      <c r="T676" s="20"/>
      <c r="U676" s="20"/>
      <c r="V676" s="20"/>
      <c r="W676" s="20"/>
      <c r="X676" s="20"/>
      <c r="Y676" s="20"/>
      <c r="Z676" s="20"/>
    </row>
    <row r="677" spans="10:26" ht="17.25" customHeight="1">
      <c r="J677" s="37"/>
      <c r="K677" s="58"/>
      <c r="L677" s="58"/>
      <c r="M677" s="58"/>
      <c r="N677" s="58"/>
      <c r="O677" s="31"/>
      <c r="P677" s="20"/>
      <c r="Q677" s="20"/>
      <c r="R677" s="20"/>
      <c r="S677" s="20"/>
      <c r="T677" s="20"/>
      <c r="U677" s="20"/>
      <c r="V677" s="20"/>
      <c r="W677" s="20"/>
      <c r="X677" s="20"/>
      <c r="Y677" s="20"/>
      <c r="Z677" s="20"/>
    </row>
    <row r="678" spans="10:26" ht="17.25" customHeight="1">
      <c r="J678" s="37"/>
      <c r="K678" s="58"/>
      <c r="L678" s="58"/>
      <c r="M678" s="58"/>
      <c r="N678" s="58"/>
      <c r="O678" s="31"/>
      <c r="P678" s="20"/>
      <c r="Q678" s="20"/>
      <c r="R678" s="20"/>
      <c r="S678" s="20"/>
      <c r="T678" s="20"/>
      <c r="U678" s="20"/>
      <c r="V678" s="20"/>
      <c r="W678" s="20"/>
      <c r="X678" s="20"/>
      <c r="Y678" s="20"/>
      <c r="Z678" s="20"/>
    </row>
    <row r="679" spans="10:26" ht="17.25" customHeight="1">
      <c r="J679" s="37"/>
      <c r="K679" s="58"/>
      <c r="L679" s="58"/>
      <c r="M679" s="58"/>
      <c r="N679" s="58"/>
      <c r="O679" s="31"/>
      <c r="P679" s="20"/>
      <c r="Q679" s="20"/>
      <c r="R679" s="20"/>
      <c r="S679" s="20"/>
      <c r="T679" s="20"/>
      <c r="U679" s="20"/>
      <c r="V679" s="20"/>
      <c r="W679" s="20"/>
      <c r="X679" s="20"/>
      <c r="Y679" s="20"/>
      <c r="Z679" s="20"/>
    </row>
    <row r="680" spans="10:26" ht="17.25" customHeight="1">
      <c r="J680" s="37"/>
      <c r="K680" s="58"/>
      <c r="L680" s="58"/>
      <c r="M680" s="58"/>
      <c r="N680" s="58"/>
      <c r="O680" s="31"/>
      <c r="P680" s="20"/>
      <c r="Q680" s="20"/>
      <c r="R680" s="20"/>
      <c r="S680" s="20"/>
      <c r="T680" s="20"/>
      <c r="U680" s="20"/>
      <c r="V680" s="20"/>
      <c r="W680" s="20"/>
      <c r="X680" s="20"/>
      <c r="Y680" s="20"/>
      <c r="Z680" s="20"/>
    </row>
    <row r="681" spans="10:26" ht="17.25" customHeight="1">
      <c r="J681" s="37"/>
      <c r="K681" s="58"/>
      <c r="L681" s="58"/>
      <c r="M681" s="58"/>
      <c r="N681" s="58"/>
      <c r="O681" s="31"/>
      <c r="P681" s="20"/>
      <c r="Q681" s="20"/>
      <c r="R681" s="20"/>
      <c r="S681" s="20"/>
      <c r="T681" s="20"/>
      <c r="U681" s="20"/>
      <c r="V681" s="20"/>
      <c r="W681" s="20"/>
      <c r="X681" s="20"/>
      <c r="Y681" s="20"/>
      <c r="Z681" s="20"/>
    </row>
    <row r="682" spans="10:26" ht="17.25" customHeight="1">
      <c r="J682" s="37"/>
      <c r="K682" s="58"/>
      <c r="L682" s="58"/>
      <c r="M682" s="58"/>
      <c r="N682" s="58"/>
      <c r="O682" s="31"/>
      <c r="P682" s="20"/>
      <c r="Q682" s="20"/>
      <c r="R682" s="20"/>
      <c r="S682" s="20"/>
      <c r="T682" s="20"/>
      <c r="U682" s="20"/>
      <c r="V682" s="20"/>
      <c r="W682" s="20"/>
      <c r="X682" s="20"/>
      <c r="Y682" s="20"/>
      <c r="Z682" s="20"/>
    </row>
    <row r="683" spans="10:26" ht="17.25" customHeight="1">
      <c r="J683" s="37"/>
      <c r="K683" s="58"/>
      <c r="L683" s="58"/>
      <c r="M683" s="58"/>
      <c r="N683" s="58"/>
      <c r="O683" s="31"/>
      <c r="P683" s="20"/>
      <c r="Q683" s="20"/>
      <c r="R683" s="20"/>
      <c r="S683" s="20"/>
      <c r="T683" s="20"/>
      <c r="U683" s="20"/>
      <c r="V683" s="20"/>
      <c r="W683" s="20"/>
      <c r="X683" s="20"/>
      <c r="Y683" s="20"/>
      <c r="Z683" s="20"/>
    </row>
    <row r="684" spans="10:26" ht="17.25" customHeight="1">
      <c r="J684" s="37"/>
      <c r="K684" s="58"/>
      <c r="L684" s="58"/>
      <c r="M684" s="58"/>
      <c r="N684" s="58"/>
      <c r="O684" s="31"/>
      <c r="P684" s="20"/>
      <c r="Q684" s="20"/>
      <c r="R684" s="20"/>
      <c r="S684" s="20"/>
      <c r="T684" s="20"/>
      <c r="U684" s="20"/>
      <c r="V684" s="20"/>
      <c r="W684" s="20"/>
      <c r="X684" s="20"/>
      <c r="Y684" s="20"/>
      <c r="Z684" s="20"/>
    </row>
    <row r="685" spans="10:26" ht="17.25" customHeight="1">
      <c r="J685" s="37"/>
      <c r="K685" s="58"/>
      <c r="L685" s="58"/>
      <c r="M685" s="58"/>
      <c r="N685" s="58"/>
      <c r="O685" s="31"/>
      <c r="P685" s="20"/>
      <c r="Q685" s="20"/>
      <c r="R685" s="20"/>
      <c r="S685" s="20"/>
      <c r="T685" s="20"/>
      <c r="U685" s="20"/>
      <c r="V685" s="20"/>
      <c r="W685" s="20"/>
      <c r="X685" s="20"/>
      <c r="Y685" s="20"/>
      <c r="Z685" s="20"/>
    </row>
    <row r="686" spans="10:26" ht="17.25" customHeight="1">
      <c r="J686" s="37"/>
      <c r="K686" s="58"/>
      <c r="L686" s="58"/>
      <c r="M686" s="58"/>
      <c r="N686" s="58"/>
      <c r="O686" s="31"/>
      <c r="P686" s="20"/>
      <c r="Q686" s="20"/>
      <c r="R686" s="20"/>
      <c r="S686" s="20"/>
      <c r="T686" s="20"/>
      <c r="U686" s="20"/>
      <c r="V686" s="20"/>
      <c r="W686" s="20"/>
      <c r="X686" s="20"/>
      <c r="Y686" s="20"/>
      <c r="Z686" s="20"/>
    </row>
    <row r="687" spans="10:26" ht="17.25" customHeight="1">
      <c r="J687" s="37"/>
      <c r="K687" s="58"/>
      <c r="L687" s="58"/>
      <c r="M687" s="58"/>
      <c r="N687" s="58"/>
      <c r="O687" s="31"/>
      <c r="P687" s="20"/>
      <c r="Q687" s="20"/>
      <c r="R687" s="20"/>
      <c r="S687" s="20"/>
      <c r="T687" s="20"/>
      <c r="U687" s="20"/>
      <c r="V687" s="20"/>
      <c r="W687" s="20"/>
      <c r="X687" s="20"/>
      <c r="Y687" s="20"/>
      <c r="Z687" s="20"/>
    </row>
    <row r="688" spans="10:26" ht="17.25" customHeight="1">
      <c r="J688" s="37"/>
      <c r="K688" s="58"/>
      <c r="L688" s="58"/>
      <c r="M688" s="58"/>
      <c r="N688" s="58"/>
      <c r="O688" s="31"/>
      <c r="P688" s="20"/>
      <c r="Q688" s="20"/>
      <c r="R688" s="20"/>
      <c r="S688" s="20"/>
      <c r="T688" s="20"/>
      <c r="U688" s="20"/>
      <c r="V688" s="20"/>
      <c r="W688" s="20"/>
      <c r="X688" s="20"/>
      <c r="Y688" s="20"/>
      <c r="Z688" s="20"/>
    </row>
    <row r="689" spans="10:26" ht="17.25" customHeight="1">
      <c r="J689" s="37"/>
      <c r="K689" s="58"/>
      <c r="L689" s="58"/>
      <c r="M689" s="58"/>
      <c r="N689" s="58"/>
      <c r="O689" s="31"/>
      <c r="P689" s="20"/>
      <c r="Q689" s="20"/>
      <c r="R689" s="20"/>
      <c r="S689" s="20"/>
      <c r="T689" s="20"/>
      <c r="U689" s="20"/>
      <c r="V689" s="20"/>
      <c r="W689" s="20"/>
      <c r="X689" s="20"/>
      <c r="Y689" s="20"/>
      <c r="Z689" s="20"/>
    </row>
    <row r="690" spans="10:26" ht="17.25" customHeight="1">
      <c r="J690" s="37"/>
      <c r="K690" s="58"/>
      <c r="L690" s="58"/>
      <c r="M690" s="58"/>
      <c r="N690" s="58"/>
      <c r="O690" s="31"/>
      <c r="P690" s="20"/>
      <c r="Q690" s="20"/>
      <c r="R690" s="20"/>
      <c r="S690" s="20"/>
      <c r="T690" s="20"/>
      <c r="U690" s="20"/>
      <c r="V690" s="20"/>
      <c r="W690" s="20"/>
      <c r="X690" s="20"/>
      <c r="Y690" s="20"/>
      <c r="Z690" s="20"/>
    </row>
    <row r="691" spans="10:26" ht="17.25" customHeight="1">
      <c r="J691" s="37"/>
      <c r="K691" s="58"/>
      <c r="L691" s="58"/>
      <c r="M691" s="58"/>
      <c r="N691" s="58"/>
      <c r="O691" s="31"/>
      <c r="P691" s="20"/>
      <c r="Q691" s="20"/>
      <c r="R691" s="20"/>
      <c r="S691" s="20"/>
      <c r="T691" s="20"/>
      <c r="U691" s="20"/>
      <c r="V691" s="20"/>
      <c r="W691" s="20"/>
      <c r="X691" s="20"/>
      <c r="Y691" s="20"/>
      <c r="Z691" s="20"/>
    </row>
    <row r="692" spans="10:26" ht="17.25" customHeight="1">
      <c r="J692" s="37"/>
      <c r="K692" s="58"/>
      <c r="L692" s="58"/>
      <c r="M692" s="58"/>
      <c r="N692" s="58"/>
      <c r="O692" s="31"/>
      <c r="P692" s="20"/>
      <c r="Q692" s="20"/>
      <c r="R692" s="20"/>
      <c r="S692" s="20"/>
      <c r="T692" s="20"/>
      <c r="U692" s="20"/>
      <c r="V692" s="20"/>
      <c r="W692" s="20"/>
      <c r="X692" s="20"/>
      <c r="Y692" s="20"/>
      <c r="Z692" s="20"/>
    </row>
    <row r="693" spans="10:26" ht="17.25" customHeight="1">
      <c r="J693" s="37"/>
      <c r="K693" s="58"/>
      <c r="L693" s="58"/>
      <c r="M693" s="58"/>
      <c r="N693" s="58"/>
      <c r="O693" s="31"/>
      <c r="P693" s="20"/>
      <c r="Q693" s="20"/>
      <c r="R693" s="20"/>
      <c r="S693" s="20"/>
      <c r="T693" s="20"/>
      <c r="U693" s="20"/>
      <c r="V693" s="20"/>
      <c r="W693" s="20"/>
      <c r="X693" s="20"/>
      <c r="Y693" s="20"/>
      <c r="Z693" s="20"/>
    </row>
    <row r="694" spans="10:26" ht="17.25" customHeight="1">
      <c r="J694" s="37"/>
      <c r="K694" s="58"/>
      <c r="L694" s="58"/>
      <c r="M694" s="58"/>
      <c r="N694" s="58"/>
      <c r="O694" s="31"/>
      <c r="P694" s="20"/>
      <c r="Q694" s="20"/>
      <c r="R694" s="20"/>
      <c r="S694" s="20"/>
      <c r="T694" s="20"/>
      <c r="U694" s="20"/>
      <c r="V694" s="20"/>
      <c r="W694" s="20"/>
      <c r="X694" s="20"/>
      <c r="Y694" s="20"/>
      <c r="Z694" s="20"/>
    </row>
    <row r="695" spans="10:26" ht="17.25" customHeight="1">
      <c r="J695" s="37"/>
      <c r="K695" s="58"/>
      <c r="L695" s="58"/>
      <c r="M695" s="58"/>
      <c r="N695" s="58"/>
      <c r="O695" s="31"/>
      <c r="P695" s="20"/>
      <c r="Q695" s="20"/>
      <c r="R695" s="20"/>
      <c r="S695" s="20"/>
      <c r="T695" s="20"/>
      <c r="U695" s="20"/>
      <c r="V695" s="20"/>
      <c r="W695" s="20"/>
      <c r="X695" s="20"/>
      <c r="Y695" s="20"/>
      <c r="Z695" s="20"/>
    </row>
    <row r="696" spans="10:26" ht="17.25" customHeight="1">
      <c r="J696" s="37"/>
      <c r="K696" s="58"/>
      <c r="L696" s="58"/>
      <c r="M696" s="58"/>
      <c r="N696" s="58"/>
      <c r="O696" s="31"/>
      <c r="P696" s="20"/>
      <c r="Q696" s="20"/>
      <c r="R696" s="20"/>
      <c r="S696" s="20"/>
      <c r="T696" s="20"/>
      <c r="U696" s="20"/>
      <c r="V696" s="20"/>
      <c r="W696" s="20"/>
      <c r="X696" s="20"/>
      <c r="Y696" s="20"/>
      <c r="Z696" s="20"/>
    </row>
    <row r="697" spans="10:26" ht="17.25" customHeight="1">
      <c r="J697" s="37"/>
      <c r="K697" s="58"/>
      <c r="L697" s="58"/>
      <c r="M697" s="58"/>
      <c r="N697" s="58"/>
      <c r="O697" s="31"/>
      <c r="P697" s="20"/>
      <c r="Q697" s="20"/>
      <c r="R697" s="20"/>
      <c r="S697" s="20"/>
      <c r="T697" s="20"/>
      <c r="U697" s="20"/>
      <c r="V697" s="20"/>
      <c r="W697" s="20"/>
      <c r="X697" s="20"/>
      <c r="Y697" s="20"/>
      <c r="Z697" s="20"/>
    </row>
    <row r="698" spans="10:26" ht="17.25" customHeight="1">
      <c r="J698" s="37"/>
      <c r="K698" s="58"/>
      <c r="L698" s="58"/>
      <c r="M698" s="58"/>
      <c r="N698" s="58"/>
      <c r="O698" s="31"/>
      <c r="P698" s="20"/>
      <c r="Q698" s="20"/>
      <c r="R698" s="20"/>
      <c r="S698" s="20"/>
      <c r="T698" s="20"/>
      <c r="U698" s="20"/>
      <c r="V698" s="20"/>
      <c r="W698" s="20"/>
      <c r="X698" s="20"/>
      <c r="Y698" s="20"/>
      <c r="Z698" s="20"/>
    </row>
    <row r="699" spans="10:26" ht="17.25" customHeight="1">
      <c r="J699" s="37"/>
      <c r="K699" s="58"/>
      <c r="L699" s="58"/>
      <c r="M699" s="58"/>
      <c r="N699" s="58"/>
      <c r="O699" s="31"/>
      <c r="P699" s="20"/>
      <c r="Q699" s="20"/>
      <c r="R699" s="20"/>
      <c r="S699" s="20"/>
      <c r="T699" s="20"/>
      <c r="U699" s="20"/>
      <c r="V699" s="20"/>
      <c r="W699" s="20"/>
      <c r="X699" s="20"/>
      <c r="Y699" s="20"/>
      <c r="Z699" s="20"/>
    </row>
    <row r="700" spans="10:26" ht="17.25" customHeight="1">
      <c r="J700" s="37"/>
      <c r="K700" s="58"/>
      <c r="L700" s="58"/>
      <c r="M700" s="58"/>
      <c r="N700" s="58"/>
      <c r="O700" s="31"/>
      <c r="P700" s="20"/>
      <c r="Q700" s="20"/>
      <c r="R700" s="20"/>
      <c r="S700" s="20"/>
      <c r="T700" s="20"/>
      <c r="U700" s="20"/>
      <c r="V700" s="20"/>
      <c r="W700" s="20"/>
      <c r="X700" s="20"/>
      <c r="Y700" s="20"/>
      <c r="Z700" s="20"/>
    </row>
    <row r="701" spans="10:26" ht="17.25" customHeight="1">
      <c r="J701" s="37"/>
      <c r="K701" s="58"/>
      <c r="L701" s="58"/>
      <c r="M701" s="58"/>
      <c r="N701" s="58"/>
      <c r="O701" s="31"/>
      <c r="P701" s="20"/>
      <c r="Q701" s="20"/>
      <c r="R701" s="20"/>
      <c r="S701" s="20"/>
      <c r="T701" s="20"/>
      <c r="U701" s="20"/>
      <c r="V701" s="20"/>
      <c r="W701" s="20"/>
      <c r="X701" s="20"/>
      <c r="Y701" s="20"/>
      <c r="Z701" s="20"/>
    </row>
    <row r="702" spans="10:26" ht="17.25" customHeight="1">
      <c r="J702" s="37"/>
      <c r="K702" s="58"/>
      <c r="L702" s="58"/>
      <c r="M702" s="58"/>
      <c r="N702" s="58"/>
      <c r="O702" s="31"/>
      <c r="P702" s="20"/>
      <c r="Q702" s="20"/>
      <c r="R702" s="20"/>
      <c r="S702" s="20"/>
      <c r="T702" s="20"/>
      <c r="U702" s="20"/>
      <c r="V702" s="20"/>
      <c r="W702" s="20"/>
      <c r="X702" s="20"/>
      <c r="Y702" s="20"/>
      <c r="Z702" s="20"/>
    </row>
    <row r="703" spans="10:26" ht="17.25" customHeight="1">
      <c r="J703" s="37"/>
      <c r="K703" s="58"/>
      <c r="L703" s="58"/>
      <c r="M703" s="58"/>
      <c r="N703" s="58"/>
      <c r="O703" s="31"/>
      <c r="P703" s="20"/>
      <c r="Q703" s="20"/>
      <c r="R703" s="20"/>
      <c r="S703" s="20"/>
      <c r="T703" s="20"/>
      <c r="U703" s="20"/>
      <c r="V703" s="20"/>
      <c r="W703" s="20"/>
      <c r="X703" s="20"/>
      <c r="Y703" s="20"/>
      <c r="Z703" s="20"/>
    </row>
    <row r="704" spans="10:26" ht="17.25" customHeight="1">
      <c r="J704" s="37"/>
      <c r="K704" s="58"/>
      <c r="L704" s="58"/>
      <c r="M704" s="58"/>
      <c r="N704" s="58"/>
      <c r="O704" s="31"/>
      <c r="P704" s="20"/>
      <c r="Q704" s="20"/>
      <c r="R704" s="20"/>
      <c r="S704" s="20"/>
      <c r="T704" s="20"/>
      <c r="U704" s="20"/>
      <c r="V704" s="20"/>
      <c r="W704" s="20"/>
      <c r="X704" s="20"/>
      <c r="Y704" s="20"/>
      <c r="Z704" s="20"/>
    </row>
    <row r="705" spans="10:26" ht="17.25" customHeight="1">
      <c r="J705" s="37"/>
      <c r="K705" s="58"/>
      <c r="L705" s="58"/>
      <c r="M705" s="58"/>
      <c r="N705" s="58"/>
      <c r="O705" s="31"/>
      <c r="P705" s="20"/>
      <c r="Q705" s="20"/>
      <c r="R705" s="20"/>
      <c r="S705" s="20"/>
      <c r="T705" s="20"/>
      <c r="U705" s="20"/>
      <c r="V705" s="20"/>
      <c r="W705" s="20"/>
      <c r="X705" s="20"/>
      <c r="Y705" s="20"/>
      <c r="Z705" s="20"/>
    </row>
    <row r="706" spans="10:26" ht="17.25" customHeight="1">
      <c r="J706" s="37"/>
      <c r="K706" s="58"/>
      <c r="L706" s="58"/>
      <c r="M706" s="58"/>
      <c r="N706" s="58"/>
      <c r="O706" s="31"/>
      <c r="P706" s="20"/>
      <c r="Q706" s="20"/>
      <c r="R706" s="20"/>
      <c r="S706" s="20"/>
      <c r="T706" s="20"/>
      <c r="U706" s="20"/>
      <c r="V706" s="20"/>
      <c r="W706" s="20"/>
      <c r="X706" s="20"/>
      <c r="Y706" s="20"/>
      <c r="Z706" s="20"/>
    </row>
    <row r="707" spans="10:26" ht="17.25" customHeight="1">
      <c r="J707" s="37"/>
      <c r="K707" s="58"/>
      <c r="L707" s="58"/>
      <c r="M707" s="58"/>
      <c r="N707" s="58"/>
      <c r="O707" s="31"/>
      <c r="P707" s="20"/>
      <c r="Q707" s="20"/>
      <c r="R707" s="20"/>
      <c r="S707" s="20"/>
      <c r="T707" s="20"/>
      <c r="U707" s="20"/>
      <c r="V707" s="20"/>
      <c r="W707" s="20"/>
      <c r="X707" s="20"/>
      <c r="Y707" s="20"/>
      <c r="Z707" s="20"/>
    </row>
    <row r="708" spans="10:26" ht="17.25" customHeight="1">
      <c r="J708" s="37"/>
      <c r="K708" s="58"/>
      <c r="L708" s="58"/>
      <c r="M708" s="58"/>
      <c r="N708" s="58"/>
      <c r="O708" s="31"/>
      <c r="P708" s="20"/>
      <c r="Q708" s="20"/>
      <c r="R708" s="20"/>
      <c r="S708" s="20"/>
      <c r="T708" s="20"/>
      <c r="U708" s="20"/>
      <c r="V708" s="20"/>
      <c r="W708" s="20"/>
      <c r="X708" s="20"/>
      <c r="Y708" s="20"/>
      <c r="Z708" s="20"/>
    </row>
    <row r="709" spans="10:26" ht="17.25" customHeight="1">
      <c r="J709" s="37"/>
      <c r="K709" s="58"/>
      <c r="L709" s="58"/>
      <c r="M709" s="58"/>
      <c r="N709" s="58"/>
      <c r="O709" s="31"/>
      <c r="P709" s="20"/>
      <c r="Q709" s="20"/>
      <c r="R709" s="20"/>
      <c r="S709" s="20"/>
      <c r="T709" s="20"/>
      <c r="U709" s="20"/>
      <c r="V709" s="20"/>
      <c r="W709" s="20"/>
      <c r="X709" s="20"/>
      <c r="Y709" s="20"/>
      <c r="Z709" s="20"/>
    </row>
    <row r="710" spans="10:26" ht="17.25" customHeight="1">
      <c r="J710" s="37"/>
      <c r="K710" s="58"/>
      <c r="L710" s="58"/>
      <c r="M710" s="58"/>
      <c r="N710" s="58"/>
      <c r="O710" s="31"/>
      <c r="P710" s="20"/>
      <c r="Q710" s="20"/>
      <c r="R710" s="20"/>
      <c r="S710" s="20"/>
      <c r="T710" s="20"/>
      <c r="U710" s="20"/>
      <c r="V710" s="20"/>
      <c r="W710" s="20"/>
      <c r="X710" s="20"/>
      <c r="Y710" s="20"/>
      <c r="Z710" s="20"/>
    </row>
    <row r="711" spans="10:26" ht="17.25" customHeight="1">
      <c r="J711" s="37"/>
      <c r="K711" s="58"/>
      <c r="L711" s="58"/>
      <c r="M711" s="58"/>
      <c r="N711" s="58"/>
      <c r="O711" s="31"/>
      <c r="P711" s="20"/>
      <c r="Q711" s="20"/>
      <c r="R711" s="20"/>
      <c r="S711" s="20"/>
      <c r="T711" s="20"/>
      <c r="U711" s="20"/>
      <c r="V711" s="20"/>
      <c r="W711" s="20"/>
      <c r="X711" s="20"/>
      <c r="Y711" s="20"/>
      <c r="Z711" s="20"/>
    </row>
    <row r="712" spans="10:26" ht="17.25" customHeight="1">
      <c r="J712" s="37"/>
      <c r="K712" s="58"/>
      <c r="L712" s="58"/>
      <c r="M712" s="58"/>
      <c r="N712" s="58"/>
      <c r="O712" s="31"/>
      <c r="P712" s="20"/>
      <c r="Q712" s="20"/>
      <c r="R712" s="20"/>
      <c r="S712" s="20"/>
      <c r="T712" s="20"/>
      <c r="U712" s="20"/>
      <c r="V712" s="20"/>
      <c r="W712" s="20"/>
      <c r="X712" s="20"/>
      <c r="Y712" s="20"/>
      <c r="Z712" s="20"/>
    </row>
    <row r="713" spans="10:26" ht="17.25" customHeight="1">
      <c r="J713" s="37"/>
      <c r="K713" s="58"/>
      <c r="L713" s="58"/>
      <c r="M713" s="58"/>
      <c r="N713" s="58"/>
      <c r="O713" s="31"/>
      <c r="P713" s="20"/>
      <c r="Q713" s="20"/>
      <c r="R713" s="20"/>
      <c r="S713" s="20"/>
      <c r="T713" s="20"/>
      <c r="U713" s="20"/>
      <c r="V713" s="20"/>
      <c r="W713" s="20"/>
      <c r="X713" s="20"/>
      <c r="Y713" s="20"/>
      <c r="Z713" s="20"/>
    </row>
    <row r="714" spans="10:26" ht="17.25" customHeight="1">
      <c r="J714" s="37"/>
      <c r="K714" s="58"/>
      <c r="L714" s="58"/>
      <c r="M714" s="58"/>
      <c r="N714" s="58"/>
      <c r="O714" s="31"/>
      <c r="P714" s="20"/>
      <c r="Q714" s="20"/>
      <c r="R714" s="20"/>
      <c r="S714" s="20"/>
      <c r="T714" s="20"/>
      <c r="U714" s="20"/>
      <c r="V714" s="20"/>
      <c r="W714" s="20"/>
      <c r="X714" s="20"/>
      <c r="Y714" s="20"/>
      <c r="Z714" s="20"/>
    </row>
    <row r="715" spans="10:26" ht="17.25" customHeight="1">
      <c r="J715" s="37"/>
      <c r="K715" s="58"/>
      <c r="L715" s="58"/>
      <c r="M715" s="58"/>
      <c r="N715" s="58"/>
      <c r="O715" s="31"/>
      <c r="P715" s="20"/>
      <c r="Q715" s="20"/>
      <c r="R715" s="20"/>
      <c r="S715" s="20"/>
      <c r="T715" s="20"/>
      <c r="U715" s="20"/>
      <c r="V715" s="20"/>
      <c r="W715" s="20"/>
      <c r="X715" s="20"/>
      <c r="Y715" s="20"/>
      <c r="Z715" s="20"/>
    </row>
    <row r="716" spans="10:26" ht="17.25" customHeight="1">
      <c r="J716" s="37"/>
      <c r="K716" s="58"/>
      <c r="L716" s="58"/>
      <c r="M716" s="58"/>
      <c r="N716" s="58"/>
      <c r="O716" s="31"/>
      <c r="P716" s="20"/>
      <c r="Q716" s="20"/>
      <c r="R716" s="20"/>
      <c r="S716" s="20"/>
      <c r="T716" s="20"/>
      <c r="U716" s="20"/>
      <c r="V716" s="20"/>
      <c r="W716" s="20"/>
      <c r="X716" s="20"/>
      <c r="Y716" s="20"/>
      <c r="Z716" s="20"/>
    </row>
    <row r="717" spans="10:26" ht="17.25" customHeight="1">
      <c r="J717" s="37"/>
      <c r="K717" s="58"/>
      <c r="L717" s="58"/>
      <c r="M717" s="58"/>
      <c r="N717" s="58"/>
      <c r="O717" s="31"/>
      <c r="P717" s="20"/>
      <c r="Q717" s="20"/>
      <c r="R717" s="20"/>
      <c r="S717" s="20"/>
      <c r="T717" s="20"/>
      <c r="U717" s="20"/>
      <c r="V717" s="20"/>
      <c r="W717" s="20"/>
      <c r="X717" s="20"/>
      <c r="Y717" s="20"/>
      <c r="Z717" s="20"/>
    </row>
    <row r="718" spans="10:26" ht="17.25" customHeight="1">
      <c r="J718" s="37"/>
      <c r="K718" s="58"/>
      <c r="L718" s="58"/>
      <c r="M718" s="58"/>
      <c r="N718" s="58"/>
      <c r="O718" s="31"/>
      <c r="P718" s="20"/>
      <c r="Q718" s="20"/>
      <c r="R718" s="20"/>
      <c r="S718" s="20"/>
      <c r="T718" s="20"/>
      <c r="U718" s="20"/>
      <c r="V718" s="20"/>
      <c r="W718" s="20"/>
      <c r="X718" s="20"/>
      <c r="Y718" s="20"/>
      <c r="Z718" s="20"/>
    </row>
    <row r="719" spans="10:26" ht="17.25" customHeight="1">
      <c r="J719" s="37"/>
      <c r="K719" s="58"/>
      <c r="L719" s="58"/>
      <c r="M719" s="58"/>
      <c r="N719" s="58"/>
      <c r="O719" s="31"/>
      <c r="P719" s="20"/>
      <c r="Q719" s="20"/>
      <c r="R719" s="20"/>
      <c r="S719" s="20"/>
      <c r="T719" s="20"/>
      <c r="U719" s="20"/>
      <c r="V719" s="20"/>
      <c r="W719" s="20"/>
      <c r="X719" s="20"/>
      <c r="Y719" s="20"/>
      <c r="Z719" s="20"/>
    </row>
    <row r="720" spans="10:26" ht="17.25" customHeight="1">
      <c r="J720" s="37"/>
      <c r="K720" s="58"/>
      <c r="L720" s="58"/>
      <c r="M720" s="58"/>
      <c r="N720" s="58"/>
      <c r="O720" s="31"/>
      <c r="P720" s="20"/>
      <c r="Q720" s="20"/>
      <c r="R720" s="20"/>
      <c r="S720" s="20"/>
      <c r="T720" s="20"/>
      <c r="U720" s="20"/>
      <c r="V720" s="20"/>
      <c r="W720" s="20"/>
      <c r="X720" s="20"/>
      <c r="Y720" s="20"/>
      <c r="Z720" s="20"/>
    </row>
    <row r="721" spans="10:26" ht="17.25" customHeight="1">
      <c r="J721" s="37"/>
      <c r="K721" s="58"/>
      <c r="L721" s="58"/>
      <c r="M721" s="58"/>
      <c r="N721" s="58"/>
      <c r="O721" s="31"/>
      <c r="P721" s="20"/>
      <c r="Q721" s="20"/>
      <c r="R721" s="20"/>
      <c r="S721" s="20"/>
      <c r="T721" s="20"/>
      <c r="U721" s="20"/>
      <c r="V721" s="20"/>
      <c r="W721" s="20"/>
      <c r="X721" s="20"/>
      <c r="Y721" s="20"/>
      <c r="Z721" s="20"/>
    </row>
    <row r="722" spans="10:26" ht="17.25" customHeight="1">
      <c r="J722" s="37"/>
      <c r="K722" s="58"/>
      <c r="L722" s="58"/>
      <c r="M722" s="58"/>
      <c r="N722" s="58"/>
      <c r="O722" s="31"/>
      <c r="P722" s="20"/>
      <c r="Q722" s="20"/>
      <c r="R722" s="20"/>
      <c r="S722" s="20"/>
      <c r="T722" s="20"/>
      <c r="U722" s="20"/>
      <c r="V722" s="20"/>
      <c r="W722" s="20"/>
      <c r="X722" s="20"/>
      <c r="Y722" s="20"/>
      <c r="Z722" s="20"/>
    </row>
    <row r="723" spans="10:26" ht="17.25" customHeight="1">
      <c r="J723" s="37"/>
      <c r="K723" s="58"/>
      <c r="L723" s="58"/>
      <c r="M723" s="58"/>
      <c r="N723" s="58"/>
      <c r="O723" s="31"/>
      <c r="P723" s="20"/>
      <c r="Q723" s="20"/>
      <c r="R723" s="20"/>
      <c r="S723" s="20"/>
      <c r="T723" s="20"/>
      <c r="U723" s="20"/>
      <c r="V723" s="20"/>
      <c r="W723" s="20"/>
      <c r="X723" s="20"/>
      <c r="Y723" s="20"/>
      <c r="Z723" s="20"/>
    </row>
    <row r="724" spans="10:26" ht="17.25" customHeight="1">
      <c r="J724" s="37"/>
      <c r="K724" s="58"/>
      <c r="L724" s="58"/>
      <c r="M724" s="58"/>
      <c r="N724" s="58"/>
      <c r="O724" s="31"/>
      <c r="P724" s="20"/>
      <c r="Q724" s="20"/>
      <c r="R724" s="20"/>
      <c r="S724" s="20"/>
      <c r="T724" s="20"/>
      <c r="U724" s="20"/>
      <c r="V724" s="20"/>
      <c r="W724" s="20"/>
      <c r="X724" s="20"/>
      <c r="Y724" s="20"/>
      <c r="Z724" s="20"/>
    </row>
    <row r="725" spans="10:26" ht="17.25" customHeight="1">
      <c r="J725" s="37"/>
      <c r="K725" s="58"/>
      <c r="L725" s="58"/>
      <c r="M725" s="58"/>
      <c r="N725" s="58"/>
      <c r="O725" s="31"/>
      <c r="P725" s="20"/>
      <c r="Q725" s="20"/>
      <c r="R725" s="20"/>
      <c r="S725" s="20"/>
      <c r="T725" s="20"/>
      <c r="U725" s="20"/>
      <c r="V725" s="20"/>
      <c r="W725" s="20"/>
      <c r="X725" s="20"/>
      <c r="Y725" s="20"/>
      <c r="Z725" s="20"/>
    </row>
    <row r="726" spans="10:26" ht="17.25" customHeight="1">
      <c r="J726" s="37"/>
      <c r="K726" s="58"/>
      <c r="L726" s="58"/>
      <c r="M726" s="58"/>
      <c r="N726" s="58"/>
      <c r="O726" s="31"/>
      <c r="P726" s="20"/>
      <c r="Q726" s="20"/>
      <c r="R726" s="20"/>
      <c r="S726" s="20"/>
      <c r="T726" s="20"/>
      <c r="U726" s="20"/>
      <c r="V726" s="20"/>
      <c r="W726" s="20"/>
      <c r="X726" s="20"/>
      <c r="Y726" s="20"/>
      <c r="Z726" s="20"/>
    </row>
    <row r="727" spans="10:26" ht="17.25" customHeight="1">
      <c r="J727" s="37"/>
      <c r="K727" s="58"/>
      <c r="L727" s="58"/>
      <c r="M727" s="58"/>
      <c r="N727" s="58"/>
      <c r="O727" s="31"/>
      <c r="P727" s="20"/>
      <c r="Q727" s="20"/>
      <c r="R727" s="20"/>
      <c r="S727" s="20"/>
      <c r="T727" s="20"/>
      <c r="U727" s="20"/>
      <c r="V727" s="20"/>
      <c r="W727" s="20"/>
      <c r="X727" s="20"/>
      <c r="Y727" s="20"/>
      <c r="Z727" s="20"/>
    </row>
    <row r="728" spans="10:26" ht="17.25" customHeight="1">
      <c r="J728" s="37"/>
      <c r="K728" s="58"/>
      <c r="L728" s="58"/>
      <c r="M728" s="58"/>
      <c r="N728" s="58"/>
      <c r="O728" s="31"/>
      <c r="P728" s="20"/>
      <c r="Q728" s="20"/>
      <c r="R728" s="20"/>
      <c r="S728" s="20"/>
      <c r="T728" s="20"/>
      <c r="U728" s="20"/>
      <c r="V728" s="20"/>
      <c r="W728" s="20"/>
      <c r="X728" s="20"/>
      <c r="Y728" s="20"/>
      <c r="Z728" s="20"/>
    </row>
    <row r="729" spans="10:26" ht="17.25" customHeight="1">
      <c r="J729" s="37"/>
      <c r="K729" s="58"/>
      <c r="L729" s="58"/>
      <c r="M729" s="58"/>
      <c r="N729" s="58"/>
      <c r="O729" s="31"/>
      <c r="P729" s="20"/>
      <c r="Q729" s="20"/>
      <c r="R729" s="20"/>
      <c r="S729" s="20"/>
      <c r="T729" s="20"/>
      <c r="U729" s="20"/>
      <c r="V729" s="20"/>
      <c r="W729" s="20"/>
      <c r="X729" s="20"/>
      <c r="Y729" s="20"/>
      <c r="Z729" s="20"/>
    </row>
    <row r="730" spans="10:26" ht="17.25" customHeight="1">
      <c r="J730" s="37"/>
      <c r="K730" s="58"/>
      <c r="L730" s="58"/>
      <c r="M730" s="58"/>
      <c r="N730" s="58"/>
      <c r="O730" s="31"/>
      <c r="P730" s="20"/>
      <c r="Q730" s="20"/>
      <c r="R730" s="20"/>
      <c r="S730" s="20"/>
      <c r="T730" s="20"/>
      <c r="U730" s="20"/>
      <c r="V730" s="20"/>
      <c r="W730" s="20"/>
      <c r="X730" s="20"/>
      <c r="Y730" s="20"/>
      <c r="Z730" s="20"/>
    </row>
    <row r="731" spans="10:26" ht="17.25" customHeight="1">
      <c r="J731" s="37"/>
      <c r="K731" s="58"/>
      <c r="L731" s="58"/>
      <c r="M731" s="58"/>
      <c r="N731" s="58"/>
      <c r="O731" s="31"/>
      <c r="P731" s="20"/>
      <c r="Q731" s="20"/>
      <c r="R731" s="20"/>
      <c r="S731" s="20"/>
      <c r="T731" s="20"/>
      <c r="U731" s="20"/>
      <c r="V731" s="20"/>
      <c r="W731" s="20"/>
      <c r="X731" s="20"/>
      <c r="Y731" s="20"/>
      <c r="Z731" s="20"/>
    </row>
    <row r="732" spans="10:26" ht="17.25" customHeight="1">
      <c r="J732" s="37"/>
      <c r="K732" s="58"/>
      <c r="L732" s="58"/>
      <c r="M732" s="58"/>
      <c r="N732" s="58"/>
      <c r="O732" s="31"/>
      <c r="P732" s="20"/>
      <c r="Q732" s="20"/>
      <c r="R732" s="20"/>
      <c r="S732" s="20"/>
      <c r="T732" s="20"/>
      <c r="U732" s="20"/>
      <c r="V732" s="20"/>
      <c r="W732" s="20"/>
      <c r="X732" s="20"/>
      <c r="Y732" s="20"/>
      <c r="Z732" s="20"/>
    </row>
    <row r="733" spans="10:26" ht="17.25" customHeight="1">
      <c r="J733" s="37"/>
      <c r="K733" s="58"/>
      <c r="L733" s="58"/>
      <c r="M733" s="58"/>
      <c r="N733" s="58"/>
      <c r="O733" s="31"/>
      <c r="P733" s="20"/>
      <c r="Q733" s="20"/>
      <c r="R733" s="20"/>
      <c r="S733" s="20"/>
      <c r="T733" s="20"/>
      <c r="U733" s="20"/>
      <c r="V733" s="20"/>
      <c r="W733" s="20"/>
      <c r="X733" s="20"/>
      <c r="Y733" s="20"/>
      <c r="Z733" s="20"/>
    </row>
    <row r="734" spans="10:26" ht="17.25" customHeight="1">
      <c r="J734" s="37"/>
      <c r="K734" s="58"/>
      <c r="L734" s="58"/>
      <c r="M734" s="58"/>
      <c r="N734" s="58"/>
      <c r="O734" s="31"/>
      <c r="P734" s="20"/>
      <c r="Q734" s="20"/>
      <c r="R734" s="20"/>
      <c r="S734" s="20"/>
      <c r="T734" s="20"/>
      <c r="U734" s="20"/>
      <c r="V734" s="20"/>
      <c r="W734" s="20"/>
      <c r="X734" s="20"/>
      <c r="Y734" s="20"/>
      <c r="Z734" s="20"/>
    </row>
    <row r="735" spans="10:26" ht="17.25" customHeight="1">
      <c r="J735" s="37"/>
      <c r="K735" s="58"/>
      <c r="L735" s="58"/>
      <c r="M735" s="58"/>
      <c r="N735" s="58"/>
      <c r="O735" s="31"/>
      <c r="P735" s="20"/>
      <c r="Q735" s="20"/>
      <c r="R735" s="20"/>
      <c r="S735" s="20"/>
      <c r="T735" s="20"/>
      <c r="U735" s="20"/>
      <c r="V735" s="20"/>
      <c r="W735" s="20"/>
      <c r="X735" s="20"/>
      <c r="Y735" s="20"/>
      <c r="Z735" s="20"/>
    </row>
    <row r="736" spans="10:26" ht="17.25" customHeight="1">
      <c r="J736" s="37"/>
      <c r="K736" s="58"/>
      <c r="L736" s="58"/>
      <c r="M736" s="58"/>
      <c r="N736" s="58"/>
      <c r="O736" s="31"/>
      <c r="P736" s="20"/>
      <c r="Q736" s="20"/>
      <c r="R736" s="20"/>
      <c r="S736" s="20"/>
      <c r="T736" s="20"/>
      <c r="U736" s="20"/>
      <c r="V736" s="20"/>
      <c r="W736" s="20"/>
      <c r="X736" s="20"/>
      <c r="Y736" s="20"/>
      <c r="Z736" s="20"/>
    </row>
    <row r="737" spans="10:26" ht="17.25" customHeight="1">
      <c r="J737" s="37"/>
      <c r="K737" s="58"/>
      <c r="L737" s="58"/>
      <c r="M737" s="58"/>
      <c r="N737" s="58"/>
      <c r="O737" s="31"/>
      <c r="P737" s="20"/>
      <c r="Q737" s="20"/>
      <c r="R737" s="20"/>
      <c r="S737" s="20"/>
      <c r="T737" s="20"/>
      <c r="U737" s="20"/>
      <c r="V737" s="20"/>
      <c r="W737" s="20"/>
      <c r="X737" s="20"/>
      <c r="Y737" s="20"/>
      <c r="Z737" s="20"/>
    </row>
    <row r="738" spans="10:26" ht="17.25" customHeight="1">
      <c r="J738" s="37"/>
      <c r="K738" s="58"/>
      <c r="L738" s="58"/>
      <c r="M738" s="58"/>
      <c r="N738" s="58"/>
      <c r="O738" s="31"/>
      <c r="P738" s="20"/>
      <c r="Q738" s="20"/>
      <c r="R738" s="20"/>
      <c r="S738" s="20"/>
      <c r="T738" s="20"/>
      <c r="U738" s="20"/>
      <c r="V738" s="20"/>
      <c r="W738" s="20"/>
      <c r="X738" s="20"/>
      <c r="Y738" s="20"/>
      <c r="Z738" s="20"/>
    </row>
    <row r="739" spans="10:26" ht="17.25" customHeight="1">
      <c r="J739" s="37"/>
      <c r="K739" s="58"/>
      <c r="L739" s="58"/>
      <c r="M739" s="58"/>
      <c r="N739" s="58"/>
      <c r="O739" s="31"/>
      <c r="P739" s="20"/>
      <c r="Q739" s="20"/>
      <c r="R739" s="20"/>
      <c r="S739" s="20"/>
      <c r="T739" s="20"/>
      <c r="U739" s="20"/>
      <c r="V739" s="20"/>
      <c r="W739" s="20"/>
      <c r="X739" s="20"/>
      <c r="Y739" s="20"/>
      <c r="Z739" s="20"/>
    </row>
    <row r="740" spans="10:26" ht="17.25" customHeight="1">
      <c r="J740" s="37"/>
      <c r="K740" s="58"/>
      <c r="L740" s="58"/>
      <c r="M740" s="58"/>
      <c r="N740" s="58"/>
      <c r="O740" s="31"/>
      <c r="P740" s="20"/>
      <c r="Q740" s="20"/>
      <c r="R740" s="20"/>
      <c r="S740" s="20"/>
      <c r="T740" s="20"/>
      <c r="U740" s="20"/>
      <c r="V740" s="20"/>
      <c r="W740" s="20"/>
      <c r="X740" s="20"/>
      <c r="Y740" s="20"/>
      <c r="Z740" s="20"/>
    </row>
    <row r="741" spans="10:26" ht="17.25" customHeight="1">
      <c r="J741" s="37"/>
      <c r="K741" s="58"/>
      <c r="L741" s="58"/>
      <c r="M741" s="58"/>
      <c r="N741" s="58"/>
      <c r="O741" s="31"/>
      <c r="P741" s="20"/>
      <c r="Q741" s="20"/>
      <c r="R741" s="20"/>
      <c r="S741" s="20"/>
      <c r="T741" s="20"/>
      <c r="U741" s="20"/>
      <c r="V741" s="20"/>
      <c r="W741" s="20"/>
      <c r="X741" s="20"/>
      <c r="Y741" s="20"/>
      <c r="Z741" s="20"/>
    </row>
    <row r="742" spans="10:26" ht="17.25" customHeight="1">
      <c r="J742" s="37"/>
      <c r="K742" s="58"/>
      <c r="L742" s="58"/>
      <c r="M742" s="58"/>
      <c r="N742" s="58"/>
      <c r="O742" s="31"/>
      <c r="P742" s="20"/>
      <c r="Q742" s="20"/>
      <c r="R742" s="20"/>
      <c r="S742" s="20"/>
      <c r="T742" s="20"/>
      <c r="U742" s="20"/>
      <c r="V742" s="20"/>
      <c r="W742" s="20"/>
      <c r="X742" s="20"/>
      <c r="Y742" s="20"/>
      <c r="Z742" s="20"/>
    </row>
    <row r="743" spans="10:26" ht="17.25" customHeight="1">
      <c r="J743" s="37"/>
      <c r="K743" s="58"/>
      <c r="L743" s="58"/>
      <c r="M743" s="58"/>
      <c r="N743" s="58"/>
      <c r="O743" s="31"/>
      <c r="P743" s="20"/>
      <c r="Q743" s="20"/>
      <c r="R743" s="20"/>
      <c r="S743" s="20"/>
      <c r="T743" s="20"/>
      <c r="U743" s="20"/>
      <c r="V743" s="20"/>
      <c r="W743" s="20"/>
      <c r="X743" s="20"/>
      <c r="Y743" s="20"/>
      <c r="Z743" s="20"/>
    </row>
    <row r="744" spans="10:26" ht="17.25" customHeight="1">
      <c r="J744" s="37"/>
      <c r="K744" s="58"/>
      <c r="L744" s="58"/>
      <c r="M744" s="58"/>
      <c r="N744" s="58"/>
      <c r="O744" s="31"/>
      <c r="P744" s="20"/>
      <c r="Q744" s="20"/>
      <c r="R744" s="20"/>
      <c r="S744" s="20"/>
      <c r="T744" s="20"/>
      <c r="U744" s="20"/>
      <c r="V744" s="20"/>
      <c r="W744" s="20"/>
      <c r="X744" s="20"/>
      <c r="Y744" s="20"/>
      <c r="Z744" s="20"/>
    </row>
    <row r="745" spans="10:26" ht="17.25" customHeight="1">
      <c r="J745" s="37"/>
      <c r="K745" s="58"/>
      <c r="L745" s="58"/>
      <c r="M745" s="58"/>
      <c r="N745" s="58"/>
      <c r="O745" s="31"/>
      <c r="P745" s="20"/>
      <c r="Q745" s="20"/>
      <c r="R745" s="20"/>
      <c r="S745" s="20"/>
      <c r="T745" s="20"/>
      <c r="U745" s="20"/>
      <c r="V745" s="20"/>
      <c r="W745" s="20"/>
      <c r="X745" s="20"/>
      <c r="Y745" s="20"/>
      <c r="Z745" s="20"/>
    </row>
    <row r="746" spans="10:26" ht="17.25" customHeight="1">
      <c r="J746" s="37"/>
      <c r="K746" s="58"/>
      <c r="L746" s="58"/>
      <c r="M746" s="58"/>
      <c r="N746" s="58"/>
      <c r="O746" s="31"/>
      <c r="P746" s="20"/>
      <c r="Q746" s="20"/>
      <c r="R746" s="20"/>
      <c r="S746" s="20"/>
      <c r="T746" s="20"/>
      <c r="U746" s="20"/>
      <c r="V746" s="20"/>
      <c r="W746" s="20"/>
      <c r="X746" s="20"/>
      <c r="Y746" s="20"/>
      <c r="Z746" s="20"/>
    </row>
    <row r="747" spans="10:26" ht="17.25" customHeight="1">
      <c r="J747" s="37"/>
      <c r="K747" s="58"/>
      <c r="L747" s="58"/>
      <c r="M747" s="58"/>
      <c r="N747" s="58"/>
      <c r="O747" s="31"/>
      <c r="P747" s="20"/>
      <c r="Q747" s="20"/>
      <c r="R747" s="20"/>
      <c r="S747" s="20"/>
      <c r="T747" s="20"/>
      <c r="U747" s="20"/>
      <c r="V747" s="20"/>
      <c r="W747" s="20"/>
      <c r="X747" s="20"/>
      <c r="Y747" s="20"/>
      <c r="Z747" s="20"/>
    </row>
    <row r="748" spans="10:26" ht="17.25" customHeight="1">
      <c r="J748" s="37"/>
      <c r="K748" s="58"/>
      <c r="L748" s="58"/>
      <c r="M748" s="58"/>
      <c r="N748" s="58"/>
      <c r="O748" s="31"/>
      <c r="P748" s="20"/>
      <c r="Q748" s="20"/>
      <c r="R748" s="20"/>
      <c r="S748" s="20"/>
      <c r="T748" s="20"/>
      <c r="U748" s="20"/>
      <c r="V748" s="20"/>
      <c r="W748" s="20"/>
      <c r="X748" s="20"/>
      <c r="Y748" s="20"/>
      <c r="Z748" s="20"/>
    </row>
    <row r="749" spans="10:26" ht="17.25" customHeight="1">
      <c r="J749" s="37"/>
      <c r="K749" s="58"/>
      <c r="L749" s="58"/>
      <c r="M749" s="58"/>
      <c r="N749" s="58"/>
      <c r="O749" s="31"/>
      <c r="P749" s="20"/>
      <c r="Q749" s="20"/>
      <c r="R749" s="20"/>
      <c r="S749" s="20"/>
      <c r="T749" s="20"/>
      <c r="U749" s="20"/>
      <c r="V749" s="20"/>
      <c r="W749" s="20"/>
      <c r="X749" s="20"/>
      <c r="Y749" s="20"/>
      <c r="Z749" s="20"/>
    </row>
    <row r="750" spans="10:26" ht="17.25" customHeight="1">
      <c r="J750" s="37"/>
      <c r="K750" s="58"/>
      <c r="L750" s="58"/>
      <c r="M750" s="58"/>
      <c r="N750" s="58"/>
      <c r="O750" s="31"/>
      <c r="P750" s="20"/>
      <c r="Q750" s="20"/>
      <c r="R750" s="20"/>
      <c r="S750" s="20"/>
      <c r="T750" s="20"/>
      <c r="U750" s="20"/>
      <c r="V750" s="20"/>
      <c r="W750" s="20"/>
      <c r="X750" s="20"/>
      <c r="Y750" s="20"/>
      <c r="Z750" s="20"/>
    </row>
    <row r="751" spans="10:26" ht="17.25" customHeight="1">
      <c r="J751" s="37"/>
      <c r="K751" s="58"/>
      <c r="L751" s="58"/>
      <c r="M751" s="58"/>
      <c r="N751" s="58"/>
      <c r="O751" s="31"/>
      <c r="P751" s="20"/>
      <c r="Q751" s="20"/>
      <c r="R751" s="20"/>
      <c r="S751" s="20"/>
      <c r="T751" s="20"/>
      <c r="U751" s="20"/>
      <c r="V751" s="20"/>
      <c r="W751" s="20"/>
      <c r="X751" s="20"/>
      <c r="Y751" s="20"/>
      <c r="Z751" s="20"/>
    </row>
    <row r="752" spans="10:26" ht="17.25" customHeight="1">
      <c r="J752" s="37"/>
      <c r="K752" s="58"/>
      <c r="L752" s="58"/>
      <c r="M752" s="58"/>
      <c r="N752" s="58"/>
      <c r="O752" s="31"/>
      <c r="P752" s="20"/>
      <c r="Q752" s="20"/>
      <c r="R752" s="20"/>
      <c r="S752" s="20"/>
      <c r="T752" s="20"/>
      <c r="U752" s="20"/>
      <c r="V752" s="20"/>
      <c r="W752" s="20"/>
      <c r="X752" s="20"/>
      <c r="Y752" s="20"/>
      <c r="Z752" s="20"/>
    </row>
    <row r="753" spans="10:26" ht="17.25" customHeight="1">
      <c r="J753" s="37"/>
      <c r="K753" s="58"/>
      <c r="L753" s="58"/>
      <c r="M753" s="58"/>
      <c r="N753" s="58"/>
      <c r="O753" s="31"/>
      <c r="P753" s="20"/>
      <c r="Q753" s="20"/>
      <c r="R753" s="20"/>
      <c r="S753" s="20"/>
      <c r="T753" s="20"/>
      <c r="U753" s="20"/>
      <c r="V753" s="20"/>
      <c r="W753" s="20"/>
      <c r="X753" s="20"/>
      <c r="Y753" s="20"/>
      <c r="Z753" s="20"/>
    </row>
    <row r="754" spans="10:26" ht="17.25" customHeight="1">
      <c r="J754" s="37"/>
      <c r="K754" s="58"/>
      <c r="L754" s="58"/>
      <c r="M754" s="58"/>
      <c r="N754" s="58"/>
      <c r="O754" s="31"/>
      <c r="P754" s="20"/>
      <c r="Q754" s="20"/>
      <c r="R754" s="20"/>
      <c r="S754" s="20"/>
      <c r="T754" s="20"/>
      <c r="U754" s="20"/>
      <c r="V754" s="20"/>
      <c r="W754" s="20"/>
      <c r="X754" s="20"/>
      <c r="Y754" s="20"/>
      <c r="Z754" s="20"/>
    </row>
    <row r="755" spans="10:26" ht="17.25" customHeight="1">
      <c r="J755" s="37"/>
      <c r="K755" s="58"/>
      <c r="L755" s="58"/>
      <c r="M755" s="58"/>
      <c r="N755" s="58"/>
      <c r="O755" s="31"/>
      <c r="P755" s="20"/>
      <c r="Q755" s="20"/>
      <c r="R755" s="20"/>
      <c r="S755" s="20"/>
      <c r="T755" s="20"/>
      <c r="U755" s="20"/>
      <c r="V755" s="20"/>
      <c r="W755" s="20"/>
      <c r="X755" s="20"/>
      <c r="Y755" s="20"/>
      <c r="Z755" s="20"/>
    </row>
    <row r="756" spans="10:26" ht="17.25" customHeight="1">
      <c r="J756" s="37"/>
      <c r="K756" s="58"/>
      <c r="L756" s="58"/>
      <c r="M756" s="58"/>
      <c r="N756" s="58"/>
      <c r="O756" s="31"/>
      <c r="P756" s="20"/>
      <c r="Q756" s="20"/>
      <c r="R756" s="20"/>
      <c r="S756" s="20"/>
      <c r="T756" s="20"/>
      <c r="U756" s="20"/>
      <c r="V756" s="20"/>
      <c r="W756" s="20"/>
      <c r="X756" s="20"/>
      <c r="Y756" s="20"/>
      <c r="Z756" s="20"/>
    </row>
    <row r="757" spans="10:26" ht="17.25" customHeight="1">
      <c r="J757" s="37"/>
      <c r="K757" s="58"/>
      <c r="L757" s="58"/>
      <c r="M757" s="58"/>
      <c r="N757" s="58"/>
      <c r="O757" s="31"/>
      <c r="P757" s="20"/>
      <c r="Q757" s="20"/>
      <c r="R757" s="20"/>
      <c r="S757" s="20"/>
      <c r="T757" s="20"/>
      <c r="U757" s="20"/>
      <c r="V757" s="20"/>
      <c r="W757" s="20"/>
      <c r="X757" s="20"/>
      <c r="Y757" s="20"/>
      <c r="Z757" s="20"/>
    </row>
    <row r="758" spans="10:26" ht="17.25" customHeight="1">
      <c r="J758" s="37"/>
      <c r="K758" s="58"/>
      <c r="L758" s="58"/>
      <c r="M758" s="58"/>
      <c r="N758" s="58"/>
      <c r="O758" s="31"/>
      <c r="P758" s="20"/>
      <c r="Q758" s="20"/>
      <c r="R758" s="20"/>
      <c r="S758" s="20"/>
      <c r="T758" s="20"/>
      <c r="U758" s="20"/>
      <c r="V758" s="20"/>
      <c r="W758" s="20"/>
      <c r="X758" s="20"/>
      <c r="Y758" s="20"/>
      <c r="Z758" s="20"/>
    </row>
    <row r="759" spans="10:26" ht="17.25" customHeight="1">
      <c r="J759" s="37"/>
      <c r="K759" s="58"/>
      <c r="L759" s="58"/>
      <c r="M759" s="58"/>
      <c r="N759" s="58"/>
      <c r="O759" s="31"/>
      <c r="P759" s="20"/>
      <c r="Q759" s="20"/>
      <c r="R759" s="20"/>
      <c r="S759" s="20"/>
      <c r="T759" s="20"/>
      <c r="U759" s="20"/>
      <c r="V759" s="20"/>
      <c r="W759" s="20"/>
      <c r="X759" s="20"/>
      <c r="Y759" s="20"/>
      <c r="Z759" s="20"/>
    </row>
    <row r="760" spans="10:26" ht="17.25" customHeight="1">
      <c r="J760" s="37"/>
      <c r="K760" s="58"/>
      <c r="L760" s="58"/>
      <c r="M760" s="58"/>
      <c r="N760" s="58"/>
      <c r="O760" s="31"/>
      <c r="P760" s="20"/>
      <c r="Q760" s="20"/>
      <c r="R760" s="20"/>
      <c r="S760" s="20"/>
      <c r="T760" s="20"/>
      <c r="U760" s="20"/>
      <c r="V760" s="20"/>
      <c r="W760" s="20"/>
      <c r="X760" s="20"/>
      <c r="Y760" s="20"/>
      <c r="Z760" s="20"/>
    </row>
    <row r="761" spans="10:26" ht="17.25" customHeight="1">
      <c r="J761" s="37"/>
      <c r="K761" s="58"/>
      <c r="L761" s="58"/>
      <c r="M761" s="58"/>
      <c r="N761" s="58"/>
      <c r="O761" s="31"/>
      <c r="P761" s="20"/>
      <c r="Q761" s="20"/>
      <c r="R761" s="20"/>
      <c r="S761" s="20"/>
      <c r="T761" s="20"/>
      <c r="U761" s="20"/>
      <c r="V761" s="20"/>
      <c r="W761" s="20"/>
      <c r="X761" s="20"/>
      <c r="Y761" s="20"/>
      <c r="Z761" s="20"/>
    </row>
    <row r="762" spans="10:26" ht="17.25" customHeight="1">
      <c r="J762" s="37"/>
      <c r="K762" s="58"/>
      <c r="L762" s="58"/>
      <c r="M762" s="58"/>
      <c r="N762" s="58"/>
      <c r="O762" s="31"/>
      <c r="P762" s="20"/>
      <c r="Q762" s="20"/>
      <c r="R762" s="20"/>
      <c r="S762" s="20"/>
      <c r="T762" s="20"/>
      <c r="U762" s="20"/>
      <c r="V762" s="20"/>
      <c r="W762" s="20"/>
      <c r="X762" s="20"/>
      <c r="Y762" s="20"/>
      <c r="Z762" s="20"/>
    </row>
    <row r="763" spans="10:26" ht="17.25" customHeight="1">
      <c r="J763" s="37"/>
      <c r="K763" s="58"/>
      <c r="L763" s="58"/>
      <c r="M763" s="58"/>
      <c r="N763" s="58"/>
      <c r="O763" s="31"/>
      <c r="P763" s="20"/>
      <c r="Q763" s="20"/>
      <c r="R763" s="20"/>
      <c r="S763" s="20"/>
      <c r="T763" s="20"/>
      <c r="U763" s="20"/>
      <c r="V763" s="20"/>
      <c r="W763" s="20"/>
      <c r="X763" s="20"/>
      <c r="Y763" s="20"/>
      <c r="Z763" s="20"/>
    </row>
    <row r="764" spans="10:26" ht="17.25" customHeight="1">
      <c r="J764" s="37"/>
      <c r="K764" s="58"/>
      <c r="L764" s="58"/>
      <c r="M764" s="58"/>
      <c r="N764" s="58"/>
      <c r="O764" s="31"/>
      <c r="P764" s="20"/>
      <c r="Q764" s="20"/>
      <c r="R764" s="20"/>
      <c r="S764" s="20"/>
      <c r="T764" s="20"/>
      <c r="U764" s="20"/>
      <c r="V764" s="20"/>
      <c r="W764" s="20"/>
      <c r="X764" s="20"/>
      <c r="Y764" s="20"/>
      <c r="Z764" s="20"/>
    </row>
    <row r="765" spans="10:26" ht="17.25" customHeight="1">
      <c r="J765" s="37"/>
      <c r="K765" s="58"/>
      <c r="L765" s="58"/>
      <c r="M765" s="58"/>
      <c r="N765" s="58"/>
      <c r="O765" s="31"/>
      <c r="P765" s="20"/>
      <c r="Q765" s="20"/>
      <c r="R765" s="20"/>
      <c r="S765" s="20"/>
      <c r="T765" s="20"/>
      <c r="U765" s="20"/>
      <c r="V765" s="20"/>
      <c r="W765" s="20"/>
      <c r="X765" s="20"/>
      <c r="Y765" s="20"/>
      <c r="Z765" s="20"/>
    </row>
    <row r="766" spans="10:26" ht="17.25" customHeight="1">
      <c r="J766" s="37"/>
      <c r="K766" s="58"/>
      <c r="L766" s="58"/>
      <c r="M766" s="58"/>
      <c r="N766" s="58"/>
      <c r="O766" s="31"/>
      <c r="P766" s="20"/>
      <c r="Q766" s="20"/>
      <c r="R766" s="20"/>
      <c r="S766" s="20"/>
      <c r="T766" s="20"/>
      <c r="U766" s="20"/>
      <c r="V766" s="20"/>
      <c r="W766" s="20"/>
      <c r="X766" s="20"/>
      <c r="Y766" s="20"/>
      <c r="Z766" s="20"/>
    </row>
    <row r="767" spans="10:26" ht="17.25" customHeight="1">
      <c r="J767" s="37"/>
      <c r="K767" s="58"/>
      <c r="L767" s="58"/>
      <c r="M767" s="58"/>
      <c r="N767" s="58"/>
      <c r="O767" s="31"/>
      <c r="P767" s="20"/>
      <c r="Q767" s="20"/>
      <c r="R767" s="20"/>
      <c r="S767" s="20"/>
      <c r="T767" s="20"/>
      <c r="U767" s="20"/>
      <c r="V767" s="20"/>
      <c r="W767" s="20"/>
      <c r="X767" s="20"/>
      <c r="Y767" s="20"/>
      <c r="Z767" s="20"/>
    </row>
    <row r="768" spans="10:26" ht="17.25" customHeight="1">
      <c r="J768" s="37"/>
      <c r="K768" s="58"/>
      <c r="L768" s="58"/>
      <c r="M768" s="58"/>
      <c r="N768" s="58"/>
      <c r="O768" s="31"/>
      <c r="P768" s="20"/>
      <c r="Q768" s="20"/>
      <c r="R768" s="20"/>
      <c r="S768" s="20"/>
      <c r="T768" s="20"/>
      <c r="U768" s="20"/>
      <c r="V768" s="20"/>
      <c r="W768" s="20"/>
      <c r="X768" s="20"/>
      <c r="Y768" s="20"/>
      <c r="Z768" s="20"/>
    </row>
    <row r="769" spans="10:26" ht="17.25" customHeight="1">
      <c r="J769" s="37"/>
      <c r="K769" s="58"/>
      <c r="L769" s="58"/>
      <c r="M769" s="58"/>
      <c r="N769" s="58"/>
      <c r="O769" s="31"/>
      <c r="P769" s="20"/>
      <c r="Q769" s="20"/>
      <c r="R769" s="20"/>
      <c r="S769" s="20"/>
      <c r="T769" s="20"/>
      <c r="U769" s="20"/>
      <c r="V769" s="20"/>
      <c r="W769" s="20"/>
      <c r="X769" s="20"/>
      <c r="Y769" s="20"/>
      <c r="Z769" s="20"/>
    </row>
    <row r="770" spans="10:26" ht="17.25" customHeight="1">
      <c r="J770" s="37"/>
      <c r="K770" s="58"/>
      <c r="L770" s="58"/>
      <c r="M770" s="58"/>
      <c r="N770" s="58"/>
      <c r="O770" s="31"/>
      <c r="P770" s="20"/>
      <c r="Q770" s="20"/>
      <c r="R770" s="20"/>
      <c r="S770" s="20"/>
      <c r="T770" s="20"/>
      <c r="U770" s="20"/>
      <c r="V770" s="20"/>
      <c r="W770" s="20"/>
      <c r="X770" s="20"/>
      <c r="Y770" s="20"/>
      <c r="Z770" s="20"/>
    </row>
    <row r="771" spans="10:26" ht="17.25" customHeight="1">
      <c r="J771" s="37"/>
      <c r="K771" s="58"/>
      <c r="L771" s="58"/>
      <c r="M771" s="58"/>
      <c r="N771" s="58"/>
      <c r="O771" s="31"/>
      <c r="P771" s="20"/>
      <c r="Q771" s="20"/>
      <c r="R771" s="20"/>
      <c r="S771" s="20"/>
      <c r="T771" s="20"/>
      <c r="U771" s="20"/>
      <c r="V771" s="20"/>
      <c r="W771" s="20"/>
      <c r="X771" s="20"/>
      <c r="Y771" s="20"/>
      <c r="Z771" s="20"/>
    </row>
    <row r="772" spans="10:26" ht="17.25" customHeight="1">
      <c r="J772" s="37"/>
      <c r="K772" s="58"/>
      <c r="L772" s="58"/>
      <c r="M772" s="58"/>
      <c r="N772" s="58"/>
      <c r="O772" s="31"/>
      <c r="P772" s="20"/>
      <c r="Q772" s="20"/>
      <c r="R772" s="20"/>
      <c r="S772" s="20"/>
      <c r="T772" s="20"/>
      <c r="U772" s="20"/>
      <c r="V772" s="20"/>
      <c r="W772" s="20"/>
      <c r="X772" s="20"/>
      <c r="Y772" s="20"/>
      <c r="Z772" s="20"/>
    </row>
    <row r="773" spans="10:26" ht="17.25" customHeight="1">
      <c r="J773" s="37"/>
      <c r="K773" s="58"/>
      <c r="L773" s="58"/>
      <c r="M773" s="58"/>
      <c r="N773" s="58"/>
      <c r="O773" s="31"/>
      <c r="P773" s="20"/>
      <c r="Q773" s="20"/>
      <c r="R773" s="20"/>
      <c r="S773" s="20"/>
      <c r="T773" s="20"/>
      <c r="U773" s="20"/>
      <c r="V773" s="20"/>
      <c r="W773" s="20"/>
      <c r="X773" s="20"/>
      <c r="Y773" s="20"/>
      <c r="Z773" s="20"/>
    </row>
    <row r="774" spans="10:26" ht="17.25" customHeight="1">
      <c r="J774" s="37"/>
      <c r="K774" s="58"/>
      <c r="L774" s="58"/>
      <c r="M774" s="58"/>
      <c r="N774" s="58"/>
      <c r="O774" s="31"/>
      <c r="P774" s="20"/>
      <c r="Q774" s="20"/>
      <c r="R774" s="20"/>
      <c r="S774" s="20"/>
      <c r="T774" s="20"/>
      <c r="U774" s="20"/>
      <c r="V774" s="20"/>
      <c r="W774" s="20"/>
      <c r="X774" s="20"/>
      <c r="Y774" s="20"/>
      <c r="Z774" s="20"/>
    </row>
    <row r="775" spans="10:26" ht="17.25" customHeight="1">
      <c r="J775" s="37"/>
      <c r="K775" s="58"/>
      <c r="L775" s="58"/>
      <c r="M775" s="58"/>
      <c r="N775" s="58"/>
      <c r="O775" s="31"/>
      <c r="P775" s="20"/>
      <c r="Q775" s="20"/>
      <c r="R775" s="20"/>
      <c r="S775" s="20"/>
      <c r="T775" s="20"/>
      <c r="U775" s="20"/>
      <c r="V775" s="20"/>
      <c r="W775" s="20"/>
      <c r="X775" s="20"/>
      <c r="Y775" s="20"/>
      <c r="Z775" s="20"/>
    </row>
    <row r="776" spans="10:26" ht="17.25" customHeight="1">
      <c r="J776" s="37"/>
      <c r="K776" s="58"/>
      <c r="L776" s="58"/>
      <c r="M776" s="58"/>
      <c r="N776" s="58"/>
      <c r="O776" s="31"/>
      <c r="P776" s="20"/>
      <c r="Q776" s="20"/>
      <c r="R776" s="20"/>
      <c r="S776" s="20"/>
      <c r="T776" s="20"/>
      <c r="U776" s="20"/>
      <c r="V776" s="20"/>
      <c r="W776" s="20"/>
      <c r="X776" s="20"/>
      <c r="Y776" s="20"/>
      <c r="Z776" s="20"/>
    </row>
    <row r="777" spans="10:26" ht="17.25" customHeight="1">
      <c r="J777" s="37"/>
      <c r="K777" s="58"/>
      <c r="L777" s="58"/>
      <c r="M777" s="58"/>
      <c r="N777" s="58"/>
      <c r="O777" s="31"/>
      <c r="P777" s="20"/>
      <c r="Q777" s="20"/>
      <c r="R777" s="20"/>
      <c r="S777" s="20"/>
      <c r="T777" s="20"/>
      <c r="U777" s="20"/>
      <c r="V777" s="20"/>
      <c r="W777" s="20"/>
      <c r="X777" s="20"/>
      <c r="Y777" s="20"/>
      <c r="Z777" s="20"/>
    </row>
    <row r="778" spans="10:26" ht="17.25" customHeight="1">
      <c r="J778" s="37"/>
      <c r="K778" s="58"/>
      <c r="L778" s="58"/>
      <c r="M778" s="58"/>
      <c r="N778" s="58"/>
      <c r="O778" s="31"/>
      <c r="P778" s="20"/>
      <c r="Q778" s="20"/>
      <c r="R778" s="20"/>
      <c r="S778" s="20"/>
      <c r="T778" s="20"/>
      <c r="U778" s="20"/>
      <c r="V778" s="20"/>
      <c r="W778" s="20"/>
      <c r="X778" s="20"/>
      <c r="Y778" s="20"/>
      <c r="Z778" s="20"/>
    </row>
    <row r="779" spans="10:26" ht="17.25" customHeight="1">
      <c r="J779" s="37"/>
      <c r="K779" s="58"/>
      <c r="L779" s="58"/>
      <c r="M779" s="58"/>
      <c r="N779" s="58"/>
      <c r="O779" s="31"/>
      <c r="P779" s="20"/>
      <c r="Q779" s="20"/>
      <c r="R779" s="20"/>
      <c r="S779" s="20"/>
      <c r="T779" s="20"/>
      <c r="U779" s="20"/>
      <c r="V779" s="20"/>
      <c r="W779" s="20"/>
      <c r="X779" s="20"/>
      <c r="Y779" s="20"/>
      <c r="Z779" s="20"/>
    </row>
    <row r="780" spans="10:26" ht="17.25" customHeight="1">
      <c r="J780" s="37"/>
      <c r="K780" s="58"/>
      <c r="L780" s="58"/>
      <c r="M780" s="58"/>
      <c r="N780" s="58"/>
      <c r="O780" s="31"/>
      <c r="P780" s="20"/>
      <c r="Q780" s="20"/>
      <c r="R780" s="20"/>
      <c r="S780" s="20"/>
      <c r="T780" s="20"/>
      <c r="U780" s="20"/>
      <c r="V780" s="20"/>
      <c r="W780" s="20"/>
      <c r="X780" s="20"/>
      <c r="Y780" s="20"/>
      <c r="Z780" s="20"/>
    </row>
    <row r="781" spans="10:26" ht="17.25" customHeight="1">
      <c r="J781" s="37"/>
      <c r="K781" s="58"/>
      <c r="L781" s="58"/>
      <c r="M781" s="58"/>
      <c r="N781" s="58"/>
      <c r="O781" s="31"/>
      <c r="P781" s="20"/>
      <c r="Q781" s="20"/>
      <c r="R781" s="20"/>
      <c r="S781" s="20"/>
      <c r="T781" s="20"/>
      <c r="U781" s="20"/>
      <c r="V781" s="20"/>
      <c r="W781" s="20"/>
      <c r="X781" s="20"/>
      <c r="Y781" s="20"/>
      <c r="Z781" s="20"/>
    </row>
    <row r="782" spans="10:26" ht="17.25" customHeight="1">
      <c r="J782" s="37"/>
      <c r="K782" s="58"/>
      <c r="L782" s="58"/>
      <c r="M782" s="58"/>
      <c r="N782" s="58"/>
      <c r="O782" s="31"/>
      <c r="P782" s="20"/>
      <c r="Q782" s="20"/>
      <c r="R782" s="20"/>
      <c r="S782" s="20"/>
      <c r="T782" s="20"/>
      <c r="U782" s="20"/>
      <c r="V782" s="20"/>
      <c r="W782" s="20"/>
      <c r="X782" s="20"/>
      <c r="Y782" s="20"/>
      <c r="Z782" s="20"/>
    </row>
    <row r="783" spans="10:26" ht="17.25" customHeight="1">
      <c r="J783" s="37"/>
      <c r="K783" s="58"/>
      <c r="L783" s="58"/>
      <c r="M783" s="58"/>
      <c r="N783" s="58"/>
      <c r="O783" s="31"/>
      <c r="P783" s="20"/>
      <c r="Q783" s="20"/>
      <c r="R783" s="20"/>
      <c r="S783" s="20"/>
      <c r="T783" s="20"/>
      <c r="U783" s="20"/>
      <c r="V783" s="20"/>
      <c r="W783" s="20"/>
      <c r="X783" s="20"/>
      <c r="Y783" s="20"/>
      <c r="Z783" s="20"/>
    </row>
    <row r="784" spans="10:26" ht="17.25" customHeight="1">
      <c r="J784" s="37"/>
      <c r="K784" s="58"/>
      <c r="L784" s="58"/>
      <c r="M784" s="58"/>
      <c r="N784" s="58"/>
      <c r="O784" s="31"/>
      <c r="P784" s="20"/>
      <c r="Q784" s="20"/>
      <c r="R784" s="20"/>
      <c r="S784" s="20"/>
      <c r="T784" s="20"/>
      <c r="U784" s="20"/>
      <c r="V784" s="20"/>
      <c r="W784" s="20"/>
      <c r="X784" s="20"/>
      <c r="Y784" s="20"/>
      <c r="Z784" s="20"/>
    </row>
    <row r="785" spans="10:26" ht="17.25" customHeight="1">
      <c r="J785" s="37"/>
      <c r="K785" s="58"/>
      <c r="L785" s="58"/>
      <c r="M785" s="58"/>
      <c r="N785" s="58"/>
      <c r="O785" s="31"/>
      <c r="P785" s="20"/>
      <c r="Q785" s="20"/>
      <c r="R785" s="20"/>
      <c r="S785" s="20"/>
      <c r="T785" s="20"/>
      <c r="U785" s="20"/>
      <c r="V785" s="20"/>
      <c r="W785" s="20"/>
      <c r="X785" s="20"/>
      <c r="Y785" s="20"/>
      <c r="Z785" s="20"/>
    </row>
    <row r="786" spans="10:26" ht="17.25" customHeight="1">
      <c r="J786" s="37"/>
      <c r="K786" s="58"/>
      <c r="L786" s="58"/>
      <c r="M786" s="58"/>
      <c r="N786" s="58"/>
      <c r="O786" s="31"/>
      <c r="P786" s="20"/>
      <c r="Q786" s="20"/>
      <c r="R786" s="20"/>
      <c r="S786" s="20"/>
      <c r="T786" s="20"/>
      <c r="U786" s="20"/>
      <c r="V786" s="20"/>
      <c r="W786" s="20"/>
      <c r="X786" s="20"/>
      <c r="Y786" s="20"/>
      <c r="Z786" s="20"/>
    </row>
    <row r="787" spans="10:26" ht="17.25" customHeight="1">
      <c r="J787" s="37"/>
      <c r="K787" s="58"/>
      <c r="L787" s="58"/>
      <c r="M787" s="58"/>
      <c r="N787" s="58"/>
      <c r="O787" s="31"/>
      <c r="P787" s="20"/>
      <c r="Q787" s="20"/>
      <c r="R787" s="20"/>
      <c r="S787" s="20"/>
      <c r="T787" s="20"/>
      <c r="U787" s="20"/>
      <c r="V787" s="20"/>
      <c r="W787" s="20"/>
      <c r="X787" s="20"/>
      <c r="Y787" s="20"/>
      <c r="Z787" s="20"/>
    </row>
    <row r="788" spans="10:26" ht="17.25" customHeight="1">
      <c r="J788" s="37"/>
      <c r="K788" s="58"/>
      <c r="L788" s="58"/>
      <c r="M788" s="58"/>
      <c r="N788" s="58"/>
      <c r="O788" s="31"/>
      <c r="P788" s="20"/>
      <c r="Q788" s="20"/>
      <c r="R788" s="20"/>
      <c r="S788" s="20"/>
      <c r="T788" s="20"/>
      <c r="U788" s="20"/>
      <c r="V788" s="20"/>
      <c r="W788" s="20"/>
      <c r="X788" s="20"/>
      <c r="Y788" s="20"/>
      <c r="Z788" s="20"/>
    </row>
    <row r="789" spans="10:26" ht="17.25" customHeight="1">
      <c r="J789" s="37"/>
      <c r="K789" s="58"/>
      <c r="L789" s="58"/>
      <c r="M789" s="58"/>
      <c r="N789" s="58"/>
      <c r="O789" s="31"/>
      <c r="P789" s="20"/>
      <c r="Q789" s="20"/>
      <c r="R789" s="20"/>
      <c r="S789" s="20"/>
      <c r="T789" s="20"/>
      <c r="U789" s="20"/>
      <c r="V789" s="20"/>
      <c r="W789" s="20"/>
      <c r="X789" s="20"/>
      <c r="Y789" s="20"/>
      <c r="Z789" s="20"/>
    </row>
    <row r="790" spans="10:26" ht="17.25" customHeight="1">
      <c r="J790" s="37"/>
      <c r="K790" s="58"/>
      <c r="L790" s="58"/>
      <c r="M790" s="58"/>
      <c r="N790" s="58"/>
      <c r="O790" s="31"/>
      <c r="P790" s="20"/>
      <c r="Q790" s="20"/>
      <c r="R790" s="20"/>
      <c r="S790" s="20"/>
      <c r="T790" s="20"/>
      <c r="U790" s="20"/>
      <c r="V790" s="20"/>
      <c r="W790" s="20"/>
      <c r="X790" s="20"/>
      <c r="Y790" s="20"/>
      <c r="Z790" s="20"/>
    </row>
    <row r="791" spans="10:26" ht="17.25" customHeight="1">
      <c r="J791" s="37"/>
      <c r="K791" s="58"/>
      <c r="L791" s="58"/>
      <c r="M791" s="58"/>
      <c r="N791" s="58"/>
      <c r="O791" s="31"/>
      <c r="P791" s="20"/>
      <c r="Q791" s="20"/>
      <c r="R791" s="20"/>
      <c r="S791" s="20"/>
      <c r="T791" s="20"/>
      <c r="U791" s="20"/>
      <c r="V791" s="20"/>
      <c r="W791" s="20"/>
      <c r="X791" s="20"/>
      <c r="Y791" s="20"/>
      <c r="Z791" s="20"/>
    </row>
    <row r="792" spans="10:26" ht="17.25" customHeight="1">
      <c r="J792" s="37"/>
      <c r="K792" s="58"/>
      <c r="L792" s="58"/>
      <c r="M792" s="58"/>
      <c r="N792" s="58"/>
      <c r="O792" s="31"/>
      <c r="P792" s="20"/>
      <c r="Q792" s="20"/>
      <c r="R792" s="20"/>
      <c r="S792" s="20"/>
      <c r="T792" s="20"/>
      <c r="U792" s="20"/>
      <c r="V792" s="20"/>
      <c r="W792" s="20"/>
      <c r="X792" s="20"/>
      <c r="Y792" s="20"/>
      <c r="Z792" s="20"/>
    </row>
    <row r="793" spans="10:26" ht="17.25" customHeight="1">
      <c r="J793" s="37"/>
      <c r="K793" s="58"/>
      <c r="L793" s="58"/>
      <c r="M793" s="58"/>
      <c r="N793" s="58"/>
      <c r="O793" s="31"/>
      <c r="P793" s="20"/>
      <c r="Q793" s="20"/>
      <c r="R793" s="20"/>
      <c r="S793" s="20"/>
      <c r="T793" s="20"/>
      <c r="U793" s="20"/>
      <c r="V793" s="20"/>
      <c r="W793" s="20"/>
      <c r="X793" s="20"/>
      <c r="Y793" s="20"/>
      <c r="Z793" s="20"/>
    </row>
    <row r="794" spans="10:26" ht="17.25" customHeight="1">
      <c r="J794" s="37"/>
      <c r="K794" s="58"/>
      <c r="L794" s="58"/>
      <c r="M794" s="58"/>
      <c r="N794" s="58"/>
      <c r="O794" s="31"/>
      <c r="P794" s="20"/>
      <c r="Q794" s="20"/>
      <c r="R794" s="20"/>
      <c r="S794" s="20"/>
      <c r="T794" s="20"/>
      <c r="U794" s="20"/>
      <c r="V794" s="20"/>
      <c r="W794" s="20"/>
      <c r="X794" s="20"/>
      <c r="Y794" s="20"/>
      <c r="Z794" s="20"/>
    </row>
    <row r="795" spans="10:26" ht="17.25" customHeight="1">
      <c r="J795" s="37"/>
      <c r="K795" s="58"/>
      <c r="L795" s="58"/>
      <c r="M795" s="58"/>
      <c r="N795" s="58"/>
      <c r="O795" s="31"/>
      <c r="P795" s="20"/>
      <c r="Q795" s="20"/>
      <c r="R795" s="20"/>
      <c r="S795" s="20"/>
      <c r="T795" s="20"/>
      <c r="U795" s="20"/>
      <c r="V795" s="20"/>
      <c r="W795" s="20"/>
      <c r="X795" s="20"/>
      <c r="Y795" s="20"/>
      <c r="Z795" s="20"/>
    </row>
    <row r="796" spans="10:26" ht="17.25" customHeight="1">
      <c r="J796" s="37"/>
      <c r="K796" s="58"/>
      <c r="L796" s="58"/>
      <c r="M796" s="58"/>
      <c r="N796" s="58"/>
      <c r="O796" s="31"/>
      <c r="P796" s="20"/>
      <c r="Q796" s="20"/>
      <c r="R796" s="20"/>
      <c r="S796" s="20"/>
      <c r="T796" s="20"/>
      <c r="U796" s="20"/>
      <c r="V796" s="20"/>
      <c r="W796" s="20"/>
      <c r="X796" s="20"/>
      <c r="Y796" s="20"/>
      <c r="Z796" s="20"/>
    </row>
    <row r="797" spans="10:26" ht="17.25" customHeight="1">
      <c r="J797" s="37"/>
      <c r="K797" s="58"/>
      <c r="L797" s="58"/>
      <c r="M797" s="58"/>
      <c r="N797" s="58"/>
      <c r="O797" s="31"/>
      <c r="P797" s="20"/>
      <c r="Q797" s="20"/>
      <c r="R797" s="20"/>
      <c r="S797" s="20"/>
      <c r="T797" s="20"/>
      <c r="U797" s="20"/>
      <c r="V797" s="20"/>
      <c r="W797" s="20"/>
      <c r="X797" s="20"/>
      <c r="Y797" s="20"/>
      <c r="Z797" s="20"/>
    </row>
    <row r="798" spans="10:26" ht="17.25" customHeight="1">
      <c r="J798" s="37"/>
      <c r="K798" s="58"/>
      <c r="L798" s="58"/>
      <c r="M798" s="58"/>
      <c r="N798" s="58"/>
      <c r="O798" s="31"/>
      <c r="P798" s="20"/>
      <c r="Q798" s="20"/>
      <c r="R798" s="20"/>
      <c r="S798" s="20"/>
      <c r="T798" s="20"/>
      <c r="U798" s="20"/>
      <c r="V798" s="20"/>
      <c r="W798" s="20"/>
      <c r="X798" s="20"/>
      <c r="Y798" s="20"/>
      <c r="Z798" s="20"/>
    </row>
    <row r="799" spans="10:26" ht="17.25" customHeight="1">
      <c r="J799" s="37"/>
      <c r="K799" s="58"/>
      <c r="L799" s="58"/>
      <c r="M799" s="58"/>
      <c r="N799" s="58"/>
      <c r="O799" s="31"/>
      <c r="P799" s="20"/>
      <c r="Q799" s="20"/>
      <c r="R799" s="20"/>
      <c r="S799" s="20"/>
      <c r="T799" s="20"/>
      <c r="U799" s="20"/>
      <c r="V799" s="20"/>
      <c r="W799" s="20"/>
      <c r="X799" s="20"/>
      <c r="Y799" s="20"/>
      <c r="Z799" s="20"/>
    </row>
    <row r="800" spans="10:26" ht="17.25" customHeight="1">
      <c r="J800" s="37"/>
      <c r="K800" s="58"/>
      <c r="L800" s="58"/>
      <c r="M800" s="58"/>
      <c r="N800" s="58"/>
      <c r="O800" s="31"/>
      <c r="P800" s="20"/>
      <c r="Q800" s="20"/>
      <c r="R800" s="20"/>
      <c r="S800" s="20"/>
      <c r="T800" s="20"/>
      <c r="U800" s="20"/>
      <c r="V800" s="20"/>
      <c r="W800" s="20"/>
      <c r="X800" s="20"/>
      <c r="Y800" s="20"/>
      <c r="Z800" s="20"/>
    </row>
    <row r="801" spans="10:26" ht="17.25" customHeight="1">
      <c r="J801" s="37"/>
      <c r="K801" s="58"/>
      <c r="L801" s="58"/>
      <c r="M801" s="58"/>
      <c r="N801" s="58"/>
      <c r="O801" s="31"/>
      <c r="P801" s="20"/>
      <c r="Q801" s="20"/>
      <c r="R801" s="20"/>
      <c r="S801" s="20"/>
      <c r="T801" s="20"/>
      <c r="U801" s="20"/>
      <c r="V801" s="20"/>
      <c r="W801" s="20"/>
      <c r="X801" s="20"/>
      <c r="Y801" s="20"/>
      <c r="Z801" s="20"/>
    </row>
    <row r="802" spans="10:26" ht="17.25" customHeight="1">
      <c r="J802" s="37"/>
      <c r="K802" s="58"/>
      <c r="L802" s="58"/>
      <c r="M802" s="58"/>
      <c r="N802" s="58"/>
      <c r="O802" s="31"/>
      <c r="P802" s="20"/>
      <c r="Q802" s="20"/>
      <c r="R802" s="20"/>
      <c r="S802" s="20"/>
      <c r="T802" s="20"/>
      <c r="U802" s="20"/>
      <c r="V802" s="20"/>
      <c r="W802" s="20"/>
      <c r="X802" s="20"/>
      <c r="Y802" s="20"/>
      <c r="Z802" s="20"/>
    </row>
    <row r="803" spans="10:26" ht="17.25" customHeight="1">
      <c r="J803" s="37"/>
      <c r="K803" s="58"/>
      <c r="L803" s="58"/>
      <c r="M803" s="58"/>
      <c r="N803" s="58"/>
      <c r="O803" s="31"/>
      <c r="P803" s="20"/>
      <c r="Q803" s="20"/>
      <c r="R803" s="20"/>
      <c r="S803" s="20"/>
      <c r="T803" s="20"/>
      <c r="U803" s="20"/>
      <c r="V803" s="20"/>
      <c r="W803" s="20"/>
      <c r="X803" s="20"/>
      <c r="Y803" s="20"/>
      <c r="Z803" s="20"/>
    </row>
    <row r="804" spans="10:26" ht="17.25" customHeight="1">
      <c r="J804" s="37"/>
      <c r="K804" s="58"/>
      <c r="L804" s="58"/>
      <c r="M804" s="58"/>
      <c r="N804" s="58"/>
      <c r="O804" s="31"/>
      <c r="P804" s="20"/>
      <c r="Q804" s="20"/>
      <c r="R804" s="20"/>
      <c r="S804" s="20"/>
      <c r="T804" s="20"/>
      <c r="U804" s="20"/>
      <c r="V804" s="20"/>
      <c r="W804" s="20"/>
      <c r="X804" s="20"/>
      <c r="Y804" s="20"/>
      <c r="Z804" s="20"/>
    </row>
    <row r="805" spans="10:26" ht="17.25" customHeight="1">
      <c r="J805" s="37"/>
      <c r="K805" s="58"/>
      <c r="L805" s="58"/>
      <c r="M805" s="58"/>
      <c r="N805" s="58"/>
      <c r="O805" s="31"/>
      <c r="P805" s="20"/>
      <c r="Q805" s="20"/>
      <c r="R805" s="20"/>
      <c r="S805" s="20"/>
      <c r="T805" s="20"/>
      <c r="U805" s="20"/>
      <c r="V805" s="20"/>
      <c r="W805" s="20"/>
      <c r="X805" s="20"/>
      <c r="Y805" s="20"/>
      <c r="Z805" s="20"/>
    </row>
    <row r="806" spans="10:26" ht="17.25" customHeight="1">
      <c r="J806" s="37"/>
      <c r="K806" s="58"/>
      <c r="L806" s="58"/>
      <c r="M806" s="58"/>
      <c r="N806" s="58"/>
      <c r="O806" s="31"/>
      <c r="P806" s="20"/>
      <c r="Q806" s="20"/>
      <c r="R806" s="20"/>
      <c r="S806" s="20"/>
      <c r="T806" s="20"/>
      <c r="U806" s="20"/>
      <c r="V806" s="20"/>
      <c r="W806" s="20"/>
      <c r="X806" s="20"/>
      <c r="Y806" s="20"/>
      <c r="Z806" s="20"/>
    </row>
    <row r="807" spans="10:26" ht="17.25" customHeight="1">
      <c r="J807" s="37"/>
      <c r="K807" s="58"/>
      <c r="L807" s="58"/>
      <c r="M807" s="58"/>
      <c r="N807" s="58"/>
      <c r="O807" s="31"/>
      <c r="P807" s="20"/>
      <c r="Q807" s="20"/>
      <c r="R807" s="20"/>
      <c r="S807" s="20"/>
      <c r="T807" s="20"/>
      <c r="U807" s="20"/>
      <c r="V807" s="20"/>
      <c r="W807" s="20"/>
      <c r="X807" s="20"/>
      <c r="Y807" s="20"/>
      <c r="Z807" s="20"/>
    </row>
    <row r="808" spans="10:26" ht="17.25" customHeight="1">
      <c r="J808" s="37"/>
      <c r="K808" s="58"/>
      <c r="L808" s="58"/>
      <c r="M808" s="58"/>
      <c r="N808" s="58"/>
      <c r="O808" s="31"/>
      <c r="P808" s="20"/>
      <c r="Q808" s="20"/>
      <c r="R808" s="20"/>
      <c r="S808" s="20"/>
      <c r="T808" s="20"/>
      <c r="U808" s="20"/>
      <c r="V808" s="20"/>
      <c r="W808" s="20"/>
      <c r="X808" s="20"/>
      <c r="Y808" s="20"/>
      <c r="Z808" s="20"/>
    </row>
    <row r="809" spans="10:26" ht="17.25" customHeight="1">
      <c r="J809" s="37"/>
      <c r="K809" s="58"/>
      <c r="L809" s="58"/>
      <c r="M809" s="58"/>
      <c r="N809" s="58"/>
      <c r="O809" s="31"/>
      <c r="P809" s="20"/>
      <c r="Q809" s="20"/>
      <c r="R809" s="20"/>
      <c r="S809" s="20"/>
      <c r="T809" s="20"/>
      <c r="U809" s="20"/>
      <c r="V809" s="20"/>
      <c r="W809" s="20"/>
      <c r="X809" s="20"/>
      <c r="Y809" s="20"/>
      <c r="Z809" s="20"/>
    </row>
    <row r="810" spans="10:26" ht="17.25" customHeight="1">
      <c r="J810" s="37"/>
      <c r="K810" s="58"/>
      <c r="L810" s="58"/>
      <c r="M810" s="58"/>
      <c r="N810" s="58"/>
      <c r="O810" s="31"/>
      <c r="P810" s="20"/>
      <c r="Q810" s="20"/>
      <c r="R810" s="20"/>
      <c r="S810" s="20"/>
      <c r="T810" s="20"/>
      <c r="U810" s="20"/>
      <c r="V810" s="20"/>
      <c r="W810" s="20"/>
      <c r="X810" s="20"/>
      <c r="Y810" s="20"/>
      <c r="Z810" s="20"/>
    </row>
    <row r="811" spans="10:26" ht="17.25" customHeight="1">
      <c r="J811" s="37"/>
      <c r="K811" s="58"/>
      <c r="L811" s="58"/>
      <c r="M811" s="58"/>
      <c r="N811" s="58"/>
      <c r="O811" s="31"/>
      <c r="P811" s="20"/>
      <c r="Q811" s="20"/>
      <c r="R811" s="20"/>
      <c r="S811" s="20"/>
      <c r="T811" s="20"/>
      <c r="U811" s="20"/>
      <c r="V811" s="20"/>
      <c r="W811" s="20"/>
      <c r="X811" s="20"/>
      <c r="Y811" s="20"/>
      <c r="Z811" s="20"/>
    </row>
    <row r="812" spans="10:26" ht="17.25" customHeight="1">
      <c r="J812" s="37"/>
      <c r="K812" s="58"/>
      <c r="L812" s="58"/>
      <c r="M812" s="58"/>
      <c r="N812" s="58"/>
      <c r="O812" s="31"/>
      <c r="P812" s="20"/>
      <c r="Q812" s="20"/>
      <c r="R812" s="20"/>
      <c r="S812" s="20"/>
      <c r="T812" s="20"/>
      <c r="U812" s="20"/>
      <c r="V812" s="20"/>
      <c r="W812" s="20"/>
      <c r="X812" s="20"/>
      <c r="Y812" s="20"/>
      <c r="Z812" s="20"/>
    </row>
    <row r="813" spans="10:26" ht="17.25" customHeight="1">
      <c r="J813" s="37"/>
      <c r="K813" s="58"/>
      <c r="L813" s="58"/>
      <c r="M813" s="58"/>
      <c r="N813" s="58"/>
      <c r="O813" s="31"/>
      <c r="P813" s="20"/>
      <c r="Q813" s="20"/>
      <c r="R813" s="20"/>
      <c r="S813" s="20"/>
      <c r="T813" s="20"/>
      <c r="U813" s="20"/>
      <c r="V813" s="20"/>
      <c r="W813" s="20"/>
      <c r="X813" s="20"/>
      <c r="Y813" s="20"/>
      <c r="Z813" s="20"/>
    </row>
    <row r="814" spans="10:26" ht="17.25" customHeight="1">
      <c r="J814" s="37"/>
      <c r="K814" s="58"/>
      <c r="L814" s="58"/>
      <c r="M814" s="58"/>
      <c r="N814" s="58"/>
      <c r="O814" s="31"/>
      <c r="P814" s="20"/>
      <c r="Q814" s="20"/>
      <c r="R814" s="20"/>
      <c r="S814" s="20"/>
      <c r="T814" s="20"/>
      <c r="U814" s="20"/>
      <c r="V814" s="20"/>
      <c r="W814" s="20"/>
      <c r="X814" s="20"/>
      <c r="Y814" s="20"/>
      <c r="Z814" s="20"/>
    </row>
    <row r="815" spans="10:26" ht="17.25" customHeight="1">
      <c r="J815" s="37"/>
      <c r="K815" s="58"/>
      <c r="L815" s="58"/>
      <c r="M815" s="58"/>
      <c r="N815" s="58"/>
      <c r="O815" s="31"/>
      <c r="P815" s="20"/>
      <c r="Q815" s="20"/>
      <c r="R815" s="20"/>
      <c r="S815" s="20"/>
      <c r="T815" s="20"/>
      <c r="U815" s="20"/>
      <c r="V815" s="20"/>
      <c r="W815" s="20"/>
      <c r="X815" s="20"/>
      <c r="Y815" s="20"/>
      <c r="Z815" s="20"/>
    </row>
    <row r="816" spans="10:26" ht="17.25" customHeight="1">
      <c r="J816" s="37"/>
      <c r="K816" s="58"/>
      <c r="L816" s="58"/>
      <c r="M816" s="58"/>
      <c r="N816" s="58"/>
      <c r="O816" s="31"/>
      <c r="P816" s="20"/>
      <c r="Q816" s="20"/>
      <c r="R816" s="20"/>
      <c r="S816" s="20"/>
      <c r="T816" s="20"/>
      <c r="U816" s="20"/>
      <c r="V816" s="20"/>
      <c r="W816" s="20"/>
      <c r="X816" s="20"/>
      <c r="Y816" s="20"/>
      <c r="Z816" s="20"/>
    </row>
    <row r="817" spans="10:26" ht="17.25" customHeight="1">
      <c r="J817" s="37"/>
      <c r="K817" s="58"/>
      <c r="L817" s="58"/>
      <c r="M817" s="58"/>
      <c r="N817" s="58"/>
      <c r="O817" s="31"/>
      <c r="P817" s="20"/>
      <c r="Q817" s="20"/>
      <c r="R817" s="20"/>
      <c r="S817" s="20"/>
      <c r="T817" s="20"/>
      <c r="U817" s="20"/>
      <c r="V817" s="20"/>
      <c r="W817" s="20"/>
      <c r="X817" s="20"/>
      <c r="Y817" s="20"/>
      <c r="Z817" s="20"/>
    </row>
    <row r="818" spans="10:26" ht="17.25" customHeight="1">
      <c r="J818" s="37"/>
      <c r="K818" s="58"/>
      <c r="L818" s="58"/>
      <c r="M818" s="58"/>
      <c r="N818" s="58"/>
      <c r="O818" s="31"/>
      <c r="P818" s="20"/>
      <c r="Q818" s="20"/>
      <c r="R818" s="20"/>
      <c r="S818" s="20"/>
      <c r="T818" s="20"/>
      <c r="U818" s="20"/>
      <c r="V818" s="20"/>
      <c r="W818" s="20"/>
      <c r="X818" s="20"/>
      <c r="Y818" s="20"/>
      <c r="Z818" s="20"/>
    </row>
    <row r="819" spans="10:26" ht="17.25" customHeight="1">
      <c r="J819" s="37"/>
      <c r="K819" s="58"/>
      <c r="L819" s="58"/>
      <c r="M819" s="58"/>
      <c r="N819" s="58"/>
      <c r="O819" s="31"/>
      <c r="P819" s="20"/>
      <c r="Q819" s="20"/>
      <c r="R819" s="20"/>
      <c r="S819" s="20"/>
      <c r="T819" s="20"/>
      <c r="U819" s="20"/>
      <c r="V819" s="20"/>
      <c r="W819" s="20"/>
      <c r="X819" s="20"/>
      <c r="Y819" s="20"/>
      <c r="Z819" s="20"/>
    </row>
    <row r="820" spans="10:26" ht="17.25" customHeight="1">
      <c r="J820" s="37"/>
      <c r="K820" s="58"/>
      <c r="L820" s="58"/>
      <c r="M820" s="58"/>
      <c r="N820" s="58"/>
      <c r="O820" s="31"/>
      <c r="P820" s="20"/>
      <c r="Q820" s="20"/>
      <c r="R820" s="20"/>
      <c r="S820" s="20"/>
      <c r="T820" s="20"/>
      <c r="U820" s="20"/>
      <c r="V820" s="20"/>
      <c r="W820" s="20"/>
      <c r="X820" s="20"/>
      <c r="Y820" s="20"/>
      <c r="Z820" s="20"/>
    </row>
    <row r="821" spans="10:26" ht="17.25" customHeight="1">
      <c r="J821" s="37"/>
      <c r="K821" s="58"/>
      <c r="L821" s="58"/>
      <c r="M821" s="58"/>
      <c r="N821" s="58"/>
      <c r="O821" s="31"/>
      <c r="P821" s="20"/>
      <c r="Q821" s="20"/>
      <c r="R821" s="20"/>
      <c r="S821" s="20"/>
      <c r="T821" s="20"/>
      <c r="U821" s="20"/>
      <c r="V821" s="20"/>
      <c r="W821" s="20"/>
      <c r="X821" s="20"/>
      <c r="Y821" s="20"/>
      <c r="Z821" s="20"/>
    </row>
    <row r="822" spans="10:26" ht="17.25" customHeight="1">
      <c r="J822" s="37"/>
      <c r="K822" s="58"/>
      <c r="L822" s="58"/>
      <c r="M822" s="58"/>
      <c r="N822" s="58"/>
      <c r="O822" s="31"/>
      <c r="P822" s="20"/>
      <c r="Q822" s="20"/>
      <c r="R822" s="20"/>
      <c r="S822" s="20"/>
      <c r="T822" s="20"/>
      <c r="U822" s="20"/>
      <c r="V822" s="20"/>
      <c r="W822" s="20"/>
      <c r="X822" s="20"/>
      <c r="Y822" s="20"/>
      <c r="Z822" s="20"/>
    </row>
    <row r="823" spans="10:26" ht="17.25" customHeight="1">
      <c r="J823" s="37"/>
      <c r="K823" s="58"/>
      <c r="L823" s="58"/>
      <c r="M823" s="58"/>
      <c r="N823" s="58"/>
      <c r="O823" s="31"/>
      <c r="P823" s="20"/>
      <c r="Q823" s="20"/>
      <c r="R823" s="20"/>
      <c r="S823" s="20"/>
      <c r="T823" s="20"/>
      <c r="U823" s="20"/>
      <c r="V823" s="20"/>
      <c r="W823" s="20"/>
      <c r="X823" s="20"/>
      <c r="Y823" s="20"/>
      <c r="Z823" s="20"/>
    </row>
    <row r="824" spans="10:26" ht="17.25" customHeight="1">
      <c r="J824" s="37"/>
      <c r="K824" s="58"/>
      <c r="L824" s="58"/>
      <c r="M824" s="58"/>
      <c r="N824" s="58"/>
      <c r="O824" s="31"/>
      <c r="P824" s="20"/>
      <c r="Q824" s="20"/>
      <c r="R824" s="20"/>
      <c r="S824" s="20"/>
      <c r="T824" s="20"/>
      <c r="U824" s="20"/>
      <c r="V824" s="20"/>
      <c r="W824" s="20"/>
      <c r="X824" s="20"/>
      <c r="Y824" s="20"/>
      <c r="Z824" s="20"/>
    </row>
    <row r="825" spans="10:26" ht="17.25" customHeight="1">
      <c r="J825" s="37"/>
      <c r="K825" s="58"/>
      <c r="L825" s="58"/>
      <c r="M825" s="58"/>
      <c r="N825" s="58"/>
      <c r="O825" s="31"/>
      <c r="P825" s="20"/>
      <c r="Q825" s="20"/>
      <c r="R825" s="20"/>
      <c r="S825" s="20"/>
      <c r="T825" s="20"/>
      <c r="U825" s="20"/>
      <c r="V825" s="20"/>
      <c r="W825" s="20"/>
      <c r="X825" s="20"/>
      <c r="Y825" s="20"/>
      <c r="Z825" s="20"/>
    </row>
    <row r="826" spans="10:26" ht="17.25" customHeight="1">
      <c r="J826" s="37"/>
      <c r="K826" s="58"/>
      <c r="L826" s="58"/>
      <c r="M826" s="58"/>
      <c r="N826" s="58"/>
      <c r="O826" s="31"/>
      <c r="P826" s="20"/>
      <c r="Q826" s="20"/>
      <c r="R826" s="20"/>
      <c r="S826" s="20"/>
      <c r="T826" s="20"/>
      <c r="U826" s="20"/>
      <c r="V826" s="20"/>
      <c r="W826" s="20"/>
      <c r="X826" s="20"/>
      <c r="Y826" s="20"/>
      <c r="Z826" s="20"/>
    </row>
    <row r="827" spans="10:26" ht="17.25" customHeight="1">
      <c r="J827" s="37"/>
      <c r="K827" s="58"/>
      <c r="L827" s="58"/>
      <c r="M827" s="58"/>
      <c r="N827" s="58"/>
      <c r="O827" s="31"/>
      <c r="P827" s="20"/>
      <c r="Q827" s="20"/>
      <c r="R827" s="20"/>
      <c r="S827" s="20"/>
      <c r="T827" s="20"/>
      <c r="U827" s="20"/>
      <c r="V827" s="20"/>
      <c r="W827" s="20"/>
      <c r="X827" s="20"/>
      <c r="Y827" s="20"/>
      <c r="Z827" s="20"/>
    </row>
    <row r="828" spans="10:26" ht="17.25" customHeight="1">
      <c r="J828" s="37"/>
      <c r="K828" s="58"/>
      <c r="L828" s="58"/>
      <c r="M828" s="58"/>
      <c r="N828" s="58"/>
      <c r="O828" s="31"/>
      <c r="P828" s="20"/>
      <c r="Q828" s="20"/>
      <c r="R828" s="20"/>
      <c r="S828" s="20"/>
      <c r="T828" s="20"/>
      <c r="U828" s="20"/>
      <c r="V828" s="20"/>
      <c r="W828" s="20"/>
      <c r="X828" s="20"/>
      <c r="Y828" s="20"/>
      <c r="Z828" s="20"/>
    </row>
    <row r="829" spans="10:26" ht="17.25" customHeight="1">
      <c r="J829" s="37"/>
      <c r="K829" s="58"/>
      <c r="L829" s="58"/>
      <c r="M829" s="58"/>
      <c r="N829" s="58"/>
      <c r="O829" s="31"/>
      <c r="P829" s="20"/>
      <c r="Q829" s="20"/>
      <c r="R829" s="20"/>
      <c r="S829" s="20"/>
      <c r="T829" s="20"/>
      <c r="U829" s="20"/>
      <c r="V829" s="20"/>
      <c r="W829" s="20"/>
      <c r="X829" s="20"/>
      <c r="Y829" s="20"/>
      <c r="Z829" s="20"/>
    </row>
    <row r="830" spans="10:26" ht="17.25" customHeight="1">
      <c r="J830" s="37"/>
      <c r="K830" s="58"/>
      <c r="L830" s="58"/>
      <c r="M830" s="58"/>
      <c r="N830" s="58"/>
      <c r="O830" s="31"/>
      <c r="P830" s="20"/>
      <c r="Q830" s="20"/>
      <c r="R830" s="20"/>
      <c r="S830" s="20"/>
      <c r="T830" s="20"/>
      <c r="U830" s="20"/>
      <c r="V830" s="20"/>
      <c r="W830" s="20"/>
      <c r="X830" s="20"/>
      <c r="Y830" s="20"/>
      <c r="Z830" s="20"/>
    </row>
    <row r="831" spans="10:26" ht="17.25" customHeight="1">
      <c r="J831" s="37"/>
      <c r="K831" s="58"/>
      <c r="L831" s="58"/>
      <c r="M831" s="58"/>
      <c r="N831" s="58"/>
      <c r="O831" s="31"/>
      <c r="P831" s="20"/>
      <c r="Q831" s="20"/>
      <c r="R831" s="20"/>
      <c r="S831" s="20"/>
      <c r="T831" s="20"/>
      <c r="U831" s="20"/>
      <c r="V831" s="20"/>
      <c r="W831" s="20"/>
      <c r="X831" s="20"/>
      <c r="Y831" s="20"/>
      <c r="Z831" s="20"/>
    </row>
    <row r="832" spans="10:26" ht="17.25" customHeight="1">
      <c r="J832" s="37"/>
      <c r="K832" s="58"/>
      <c r="L832" s="58"/>
      <c r="M832" s="58"/>
      <c r="N832" s="58"/>
      <c r="O832" s="31"/>
      <c r="P832" s="20"/>
      <c r="Q832" s="20"/>
      <c r="R832" s="20"/>
      <c r="S832" s="20"/>
      <c r="T832" s="20"/>
      <c r="U832" s="20"/>
      <c r="V832" s="20"/>
      <c r="W832" s="20"/>
      <c r="X832" s="20"/>
      <c r="Y832" s="20"/>
      <c r="Z832" s="20"/>
    </row>
    <row r="833" spans="10:26" ht="17.25" customHeight="1">
      <c r="J833" s="37"/>
      <c r="K833" s="58"/>
      <c r="L833" s="58"/>
      <c r="M833" s="58"/>
      <c r="N833" s="58"/>
      <c r="O833" s="31"/>
      <c r="P833" s="20"/>
      <c r="Q833" s="20"/>
      <c r="R833" s="20"/>
      <c r="S833" s="20"/>
      <c r="T833" s="20"/>
      <c r="U833" s="20"/>
      <c r="V833" s="20"/>
      <c r="W833" s="20"/>
      <c r="X833" s="20"/>
      <c r="Y833" s="20"/>
      <c r="Z833" s="20"/>
    </row>
    <row r="834" spans="10:26" ht="17.25" customHeight="1">
      <c r="J834" s="37"/>
      <c r="K834" s="58"/>
      <c r="L834" s="58"/>
      <c r="M834" s="58"/>
      <c r="N834" s="58"/>
      <c r="O834" s="31"/>
      <c r="P834" s="20"/>
      <c r="Q834" s="20"/>
      <c r="R834" s="20"/>
      <c r="S834" s="20"/>
      <c r="T834" s="20"/>
      <c r="U834" s="20"/>
      <c r="V834" s="20"/>
      <c r="W834" s="20"/>
      <c r="X834" s="20"/>
      <c r="Y834" s="20"/>
      <c r="Z834" s="20"/>
    </row>
    <row r="835" spans="10:26" ht="17.25" customHeight="1">
      <c r="J835" s="37"/>
      <c r="K835" s="58"/>
      <c r="L835" s="58"/>
      <c r="M835" s="58"/>
      <c r="N835" s="58"/>
      <c r="O835" s="31"/>
      <c r="P835" s="20"/>
      <c r="Q835" s="20"/>
      <c r="R835" s="20"/>
      <c r="S835" s="20"/>
      <c r="T835" s="20"/>
      <c r="U835" s="20"/>
      <c r="V835" s="20"/>
      <c r="W835" s="20"/>
      <c r="X835" s="20"/>
      <c r="Y835" s="20"/>
      <c r="Z835" s="20"/>
    </row>
    <row r="836" spans="10:26" ht="17.25" customHeight="1">
      <c r="J836" s="37"/>
      <c r="K836" s="58"/>
      <c r="L836" s="58"/>
      <c r="M836" s="58"/>
      <c r="N836" s="58"/>
      <c r="O836" s="31"/>
      <c r="P836" s="20"/>
      <c r="Q836" s="20"/>
      <c r="R836" s="20"/>
      <c r="S836" s="20"/>
      <c r="T836" s="20"/>
      <c r="U836" s="20"/>
      <c r="V836" s="20"/>
      <c r="W836" s="20"/>
      <c r="X836" s="20"/>
      <c r="Y836" s="20"/>
      <c r="Z836" s="20"/>
    </row>
    <row r="837" spans="10:26" ht="17.25" customHeight="1">
      <c r="J837" s="37"/>
      <c r="K837" s="58"/>
      <c r="L837" s="58"/>
      <c r="M837" s="58"/>
      <c r="N837" s="58"/>
      <c r="O837" s="31"/>
      <c r="P837" s="20"/>
      <c r="Q837" s="20"/>
      <c r="R837" s="20"/>
      <c r="S837" s="20"/>
      <c r="T837" s="20"/>
      <c r="U837" s="20"/>
      <c r="V837" s="20"/>
      <c r="W837" s="20"/>
      <c r="X837" s="20"/>
      <c r="Y837" s="20"/>
      <c r="Z837" s="20"/>
    </row>
    <row r="838" spans="10:26" ht="17.25" customHeight="1">
      <c r="J838" s="37"/>
      <c r="K838" s="58"/>
      <c r="L838" s="58"/>
      <c r="M838" s="58"/>
      <c r="N838" s="58"/>
      <c r="O838" s="31"/>
      <c r="P838" s="20"/>
      <c r="Q838" s="20"/>
      <c r="R838" s="20"/>
      <c r="S838" s="20"/>
      <c r="T838" s="20"/>
      <c r="U838" s="20"/>
      <c r="V838" s="20"/>
      <c r="W838" s="20"/>
      <c r="X838" s="20"/>
      <c r="Y838" s="20"/>
      <c r="Z838" s="20"/>
    </row>
    <row r="839" spans="10:26" ht="17.25" customHeight="1">
      <c r="J839" s="37"/>
      <c r="K839" s="58"/>
      <c r="L839" s="58"/>
      <c r="M839" s="58"/>
      <c r="N839" s="58"/>
      <c r="O839" s="31"/>
      <c r="P839" s="20"/>
      <c r="Q839" s="20"/>
      <c r="R839" s="20"/>
      <c r="S839" s="20"/>
      <c r="T839" s="20"/>
      <c r="U839" s="20"/>
      <c r="V839" s="20"/>
      <c r="W839" s="20"/>
      <c r="X839" s="20"/>
      <c r="Y839" s="20"/>
      <c r="Z839" s="20"/>
    </row>
    <row r="840" spans="10:26" ht="17.25" customHeight="1">
      <c r="J840" s="37"/>
      <c r="K840" s="58"/>
      <c r="L840" s="58"/>
      <c r="M840" s="58"/>
      <c r="N840" s="58"/>
      <c r="O840" s="31"/>
      <c r="P840" s="20"/>
      <c r="Q840" s="20"/>
      <c r="R840" s="20"/>
      <c r="S840" s="20"/>
      <c r="T840" s="20"/>
      <c r="U840" s="20"/>
      <c r="V840" s="20"/>
      <c r="W840" s="20"/>
      <c r="X840" s="20"/>
      <c r="Y840" s="20"/>
      <c r="Z840" s="20"/>
    </row>
    <row r="841" spans="10:26" ht="17.25" customHeight="1">
      <c r="J841" s="37"/>
      <c r="K841" s="58"/>
      <c r="L841" s="58"/>
      <c r="M841" s="58"/>
      <c r="N841" s="58"/>
      <c r="O841" s="31"/>
      <c r="P841" s="20"/>
      <c r="Q841" s="20"/>
      <c r="R841" s="20"/>
      <c r="S841" s="20"/>
      <c r="T841" s="20"/>
      <c r="U841" s="20"/>
      <c r="V841" s="20"/>
      <c r="W841" s="20"/>
      <c r="X841" s="20"/>
      <c r="Y841" s="20"/>
      <c r="Z841" s="20"/>
    </row>
    <row r="842" spans="10:26" ht="17.25" customHeight="1">
      <c r="J842" s="37"/>
      <c r="K842" s="58"/>
      <c r="L842" s="58"/>
      <c r="M842" s="58"/>
      <c r="N842" s="58"/>
      <c r="O842" s="31"/>
      <c r="P842" s="20"/>
      <c r="Q842" s="20"/>
      <c r="R842" s="20"/>
      <c r="S842" s="20"/>
      <c r="T842" s="20"/>
      <c r="U842" s="20"/>
      <c r="V842" s="20"/>
      <c r="W842" s="20"/>
      <c r="X842" s="20"/>
      <c r="Y842" s="20"/>
      <c r="Z842" s="20"/>
    </row>
    <row r="843" spans="10:26" ht="17.25" customHeight="1">
      <c r="J843" s="37"/>
      <c r="K843" s="58"/>
      <c r="L843" s="58"/>
      <c r="M843" s="58"/>
      <c r="N843" s="58"/>
      <c r="O843" s="31"/>
      <c r="P843" s="20"/>
      <c r="Q843" s="20"/>
      <c r="R843" s="20"/>
      <c r="S843" s="20"/>
      <c r="T843" s="20"/>
      <c r="U843" s="20"/>
      <c r="V843" s="20"/>
      <c r="W843" s="20"/>
      <c r="X843" s="20"/>
      <c r="Y843" s="20"/>
      <c r="Z843" s="20"/>
    </row>
    <row r="844" spans="10:26" ht="17.25" customHeight="1">
      <c r="J844" s="37"/>
      <c r="K844" s="58"/>
      <c r="L844" s="58"/>
      <c r="M844" s="58"/>
      <c r="N844" s="58"/>
      <c r="O844" s="31"/>
      <c r="P844" s="20"/>
      <c r="Q844" s="20"/>
      <c r="R844" s="20"/>
      <c r="S844" s="20"/>
      <c r="T844" s="20"/>
      <c r="U844" s="20"/>
      <c r="V844" s="20"/>
      <c r="W844" s="20"/>
      <c r="X844" s="20"/>
      <c r="Y844" s="20"/>
      <c r="Z844" s="20"/>
    </row>
    <row r="845" spans="10:26" ht="17.25" customHeight="1">
      <c r="J845" s="37"/>
      <c r="K845" s="58"/>
      <c r="L845" s="58"/>
      <c r="M845" s="58"/>
      <c r="N845" s="58"/>
      <c r="O845" s="31"/>
      <c r="P845" s="20"/>
      <c r="Q845" s="20"/>
      <c r="R845" s="20"/>
      <c r="S845" s="20"/>
      <c r="T845" s="20"/>
      <c r="U845" s="20"/>
      <c r="V845" s="20"/>
      <c r="W845" s="20"/>
      <c r="X845" s="20"/>
      <c r="Y845" s="20"/>
      <c r="Z845" s="20"/>
    </row>
    <row r="846" spans="10:26" ht="17.25" customHeight="1">
      <c r="J846" s="37"/>
      <c r="K846" s="58"/>
      <c r="L846" s="58"/>
      <c r="M846" s="58"/>
      <c r="N846" s="58"/>
      <c r="O846" s="31"/>
      <c r="P846" s="20"/>
      <c r="Q846" s="20"/>
      <c r="R846" s="20"/>
      <c r="S846" s="20"/>
      <c r="T846" s="20"/>
      <c r="U846" s="20"/>
      <c r="V846" s="20"/>
      <c r="W846" s="20"/>
      <c r="X846" s="20"/>
      <c r="Y846" s="20"/>
      <c r="Z846" s="20"/>
    </row>
    <row r="847" spans="10:26" ht="17.25" customHeight="1">
      <c r="J847" s="37"/>
      <c r="K847" s="58"/>
      <c r="L847" s="58"/>
      <c r="M847" s="58"/>
      <c r="N847" s="58"/>
      <c r="O847" s="31"/>
      <c r="P847" s="20"/>
      <c r="Q847" s="20"/>
      <c r="R847" s="20"/>
      <c r="S847" s="20"/>
      <c r="T847" s="20"/>
      <c r="U847" s="20"/>
      <c r="V847" s="20"/>
      <c r="W847" s="20"/>
      <c r="X847" s="20"/>
      <c r="Y847" s="20"/>
      <c r="Z847" s="20"/>
    </row>
    <row r="848" spans="10:26" ht="17.25" customHeight="1">
      <c r="J848" s="37"/>
      <c r="K848" s="58"/>
      <c r="L848" s="58"/>
      <c r="M848" s="58"/>
      <c r="N848" s="58"/>
      <c r="O848" s="31"/>
      <c r="P848" s="20"/>
      <c r="Q848" s="20"/>
      <c r="R848" s="20"/>
      <c r="S848" s="20"/>
      <c r="T848" s="20"/>
      <c r="U848" s="20"/>
      <c r="V848" s="20"/>
      <c r="W848" s="20"/>
      <c r="X848" s="20"/>
      <c r="Y848" s="20"/>
      <c r="Z848" s="20"/>
    </row>
    <row r="849" spans="10:26" ht="17.25" customHeight="1">
      <c r="J849" s="37"/>
      <c r="K849" s="58"/>
      <c r="L849" s="58"/>
      <c r="M849" s="58"/>
      <c r="N849" s="58"/>
      <c r="O849" s="31"/>
      <c r="P849" s="20"/>
      <c r="Q849" s="20"/>
      <c r="R849" s="20"/>
      <c r="S849" s="20"/>
      <c r="T849" s="20"/>
      <c r="U849" s="20"/>
      <c r="V849" s="20"/>
      <c r="W849" s="20"/>
      <c r="X849" s="20"/>
      <c r="Y849" s="20"/>
      <c r="Z849" s="20"/>
    </row>
    <row r="850" spans="10:26" ht="17.25" customHeight="1">
      <c r="J850" s="37"/>
      <c r="K850" s="58"/>
      <c r="L850" s="58"/>
      <c r="M850" s="58"/>
      <c r="N850" s="58"/>
      <c r="O850" s="31"/>
      <c r="P850" s="20"/>
      <c r="Q850" s="20"/>
      <c r="R850" s="20"/>
      <c r="S850" s="20"/>
      <c r="T850" s="20"/>
      <c r="U850" s="20"/>
      <c r="V850" s="20"/>
      <c r="W850" s="20"/>
      <c r="X850" s="20"/>
      <c r="Y850" s="20"/>
      <c r="Z850" s="20"/>
    </row>
    <row r="851" spans="10:26" ht="17.25" customHeight="1">
      <c r="J851" s="37"/>
      <c r="K851" s="58"/>
      <c r="L851" s="58"/>
      <c r="M851" s="58"/>
      <c r="N851" s="58"/>
      <c r="O851" s="31"/>
      <c r="P851" s="20"/>
      <c r="Q851" s="20"/>
      <c r="R851" s="20"/>
      <c r="S851" s="20"/>
      <c r="T851" s="20"/>
      <c r="U851" s="20"/>
      <c r="V851" s="20"/>
      <c r="W851" s="20"/>
      <c r="X851" s="20"/>
      <c r="Y851" s="20"/>
      <c r="Z851" s="20"/>
    </row>
    <row r="852" spans="10:26" ht="17.25" customHeight="1">
      <c r="J852" s="37"/>
      <c r="K852" s="58"/>
      <c r="L852" s="58"/>
      <c r="M852" s="58"/>
      <c r="N852" s="58"/>
      <c r="O852" s="31"/>
      <c r="P852" s="20"/>
      <c r="Q852" s="20"/>
      <c r="R852" s="20"/>
      <c r="S852" s="20"/>
      <c r="T852" s="20"/>
      <c r="U852" s="20"/>
      <c r="V852" s="20"/>
      <c r="W852" s="20"/>
      <c r="X852" s="20"/>
      <c r="Y852" s="20"/>
      <c r="Z852" s="20"/>
    </row>
    <row r="853" spans="10:26" ht="17.25" customHeight="1">
      <c r="J853" s="37"/>
      <c r="K853" s="58"/>
      <c r="L853" s="58"/>
      <c r="M853" s="58"/>
      <c r="N853" s="58"/>
      <c r="O853" s="31"/>
      <c r="P853" s="20"/>
      <c r="Q853" s="20"/>
      <c r="R853" s="20"/>
      <c r="S853" s="20"/>
      <c r="T853" s="20"/>
      <c r="U853" s="20"/>
      <c r="V853" s="20"/>
      <c r="W853" s="20"/>
      <c r="X853" s="20"/>
      <c r="Y853" s="20"/>
      <c r="Z853" s="20"/>
    </row>
    <row r="854" spans="10:26" ht="17.25" customHeight="1">
      <c r="J854" s="37"/>
      <c r="K854" s="58"/>
      <c r="L854" s="58"/>
      <c r="M854" s="58"/>
      <c r="N854" s="58"/>
      <c r="O854" s="31"/>
      <c r="P854" s="20"/>
      <c r="Q854" s="20"/>
      <c r="R854" s="20"/>
      <c r="S854" s="20"/>
      <c r="T854" s="20"/>
      <c r="U854" s="20"/>
      <c r="V854" s="20"/>
      <c r="W854" s="20"/>
      <c r="X854" s="20"/>
      <c r="Y854" s="20"/>
      <c r="Z854" s="20"/>
    </row>
    <row r="855" spans="10:26" ht="17.25" customHeight="1">
      <c r="J855" s="37"/>
      <c r="K855" s="58"/>
      <c r="L855" s="58"/>
      <c r="M855" s="58"/>
      <c r="N855" s="58"/>
      <c r="O855" s="31"/>
      <c r="P855" s="20"/>
      <c r="Q855" s="20"/>
      <c r="R855" s="20"/>
      <c r="S855" s="20"/>
      <c r="T855" s="20"/>
      <c r="U855" s="20"/>
      <c r="V855" s="20"/>
      <c r="W855" s="20"/>
      <c r="X855" s="20"/>
      <c r="Y855" s="20"/>
      <c r="Z855" s="20"/>
    </row>
    <row r="856" spans="10:26" ht="17.25" customHeight="1">
      <c r="J856" s="37"/>
      <c r="K856" s="58"/>
      <c r="L856" s="58"/>
      <c r="M856" s="58"/>
      <c r="N856" s="58"/>
      <c r="O856" s="31"/>
      <c r="P856" s="20"/>
      <c r="Q856" s="20"/>
      <c r="R856" s="20"/>
      <c r="S856" s="20"/>
      <c r="T856" s="20"/>
      <c r="U856" s="20"/>
      <c r="V856" s="20"/>
      <c r="W856" s="20"/>
      <c r="X856" s="20"/>
      <c r="Y856" s="20"/>
      <c r="Z856" s="20"/>
    </row>
    <row r="857" spans="10:26" ht="17.25" customHeight="1">
      <c r="J857" s="37"/>
      <c r="K857" s="58"/>
      <c r="L857" s="58"/>
      <c r="M857" s="58"/>
      <c r="N857" s="58"/>
      <c r="O857" s="31"/>
      <c r="P857" s="20"/>
      <c r="Q857" s="20"/>
      <c r="R857" s="20"/>
      <c r="S857" s="20"/>
      <c r="T857" s="20"/>
      <c r="U857" s="20"/>
      <c r="V857" s="20"/>
      <c r="W857" s="20"/>
      <c r="X857" s="20"/>
      <c r="Y857" s="20"/>
      <c r="Z857" s="20"/>
    </row>
    <row r="858" spans="10:26" ht="17.25" customHeight="1">
      <c r="J858" s="37"/>
      <c r="K858" s="58"/>
      <c r="L858" s="58"/>
      <c r="M858" s="58"/>
      <c r="N858" s="58"/>
      <c r="O858" s="31"/>
      <c r="P858" s="20"/>
      <c r="Q858" s="20"/>
      <c r="R858" s="20"/>
      <c r="S858" s="20"/>
      <c r="T858" s="20"/>
      <c r="U858" s="20"/>
      <c r="V858" s="20"/>
      <c r="W858" s="20"/>
      <c r="X858" s="20"/>
      <c r="Y858" s="20"/>
      <c r="Z858" s="20"/>
    </row>
    <row r="859" spans="10:26" ht="17.25" customHeight="1">
      <c r="J859" s="37"/>
      <c r="K859" s="58"/>
      <c r="L859" s="58"/>
      <c r="M859" s="58"/>
      <c r="N859" s="58"/>
      <c r="O859" s="31"/>
      <c r="P859" s="20"/>
      <c r="Q859" s="20"/>
      <c r="R859" s="20"/>
      <c r="S859" s="20"/>
      <c r="T859" s="20"/>
      <c r="U859" s="20"/>
      <c r="V859" s="20"/>
      <c r="W859" s="20"/>
      <c r="X859" s="20"/>
      <c r="Y859" s="20"/>
      <c r="Z859" s="20"/>
    </row>
    <row r="860" spans="10:26" ht="17.25" customHeight="1">
      <c r="J860" s="37"/>
      <c r="K860" s="58"/>
      <c r="L860" s="58"/>
      <c r="M860" s="58"/>
      <c r="N860" s="58"/>
      <c r="O860" s="31"/>
      <c r="P860" s="20"/>
      <c r="Q860" s="20"/>
      <c r="R860" s="20"/>
      <c r="S860" s="20"/>
      <c r="T860" s="20"/>
      <c r="U860" s="20"/>
      <c r="V860" s="20"/>
      <c r="W860" s="20"/>
      <c r="X860" s="20"/>
      <c r="Y860" s="20"/>
      <c r="Z860" s="20"/>
    </row>
    <row r="861" spans="10:26" ht="17.25" customHeight="1">
      <c r="J861" s="37"/>
      <c r="K861" s="58"/>
      <c r="L861" s="58"/>
      <c r="M861" s="58"/>
      <c r="N861" s="58"/>
      <c r="O861" s="31"/>
      <c r="P861" s="20"/>
      <c r="Q861" s="20"/>
      <c r="R861" s="20"/>
      <c r="S861" s="20"/>
      <c r="T861" s="20"/>
      <c r="U861" s="20"/>
      <c r="V861" s="20"/>
      <c r="W861" s="20"/>
      <c r="X861" s="20"/>
      <c r="Y861" s="20"/>
      <c r="Z861" s="20"/>
    </row>
    <row r="862" spans="10:26" ht="17.25" customHeight="1">
      <c r="J862" s="37"/>
      <c r="K862" s="58"/>
      <c r="L862" s="58"/>
      <c r="M862" s="58"/>
      <c r="N862" s="58"/>
      <c r="O862" s="31"/>
      <c r="P862" s="20"/>
      <c r="Q862" s="20"/>
      <c r="R862" s="20"/>
      <c r="S862" s="20"/>
      <c r="T862" s="20"/>
      <c r="U862" s="20"/>
      <c r="V862" s="20"/>
      <c r="W862" s="20"/>
      <c r="X862" s="20"/>
      <c r="Y862" s="20"/>
      <c r="Z862" s="20"/>
    </row>
    <row r="863" spans="10:26" ht="17.25" customHeight="1">
      <c r="J863" s="37"/>
      <c r="K863" s="58"/>
      <c r="L863" s="58"/>
      <c r="M863" s="58"/>
      <c r="N863" s="58"/>
      <c r="O863" s="31"/>
      <c r="P863" s="20"/>
      <c r="Q863" s="20"/>
      <c r="R863" s="20"/>
      <c r="S863" s="20"/>
      <c r="T863" s="20"/>
      <c r="U863" s="20"/>
      <c r="V863" s="20"/>
      <c r="W863" s="20"/>
      <c r="X863" s="20"/>
      <c r="Y863" s="20"/>
      <c r="Z863" s="20"/>
    </row>
    <row r="864" spans="10:26" ht="17.25" customHeight="1">
      <c r="J864" s="37"/>
      <c r="K864" s="58"/>
      <c r="L864" s="58"/>
      <c r="M864" s="58"/>
      <c r="N864" s="58"/>
      <c r="O864" s="31"/>
      <c r="P864" s="20"/>
      <c r="Q864" s="20"/>
      <c r="R864" s="20"/>
      <c r="S864" s="20"/>
      <c r="T864" s="20"/>
      <c r="U864" s="20"/>
      <c r="V864" s="20"/>
      <c r="W864" s="20"/>
      <c r="X864" s="20"/>
      <c r="Y864" s="20"/>
      <c r="Z864" s="20"/>
    </row>
    <row r="865" spans="10:26" ht="17.25" customHeight="1">
      <c r="J865" s="37"/>
      <c r="K865" s="58"/>
      <c r="L865" s="58"/>
      <c r="M865" s="58"/>
      <c r="N865" s="58"/>
      <c r="O865" s="31"/>
      <c r="P865" s="20"/>
      <c r="Q865" s="20"/>
      <c r="R865" s="20"/>
      <c r="S865" s="20"/>
      <c r="T865" s="20"/>
      <c r="U865" s="20"/>
      <c r="V865" s="20"/>
      <c r="W865" s="20"/>
      <c r="X865" s="20"/>
      <c r="Y865" s="20"/>
      <c r="Z865" s="20"/>
    </row>
    <row r="866" spans="10:26" ht="17.25" customHeight="1">
      <c r="J866" s="37"/>
      <c r="K866" s="58"/>
      <c r="L866" s="58"/>
      <c r="M866" s="58"/>
      <c r="N866" s="58"/>
      <c r="O866" s="31"/>
      <c r="P866" s="20"/>
      <c r="Q866" s="20"/>
      <c r="R866" s="20"/>
      <c r="S866" s="20"/>
      <c r="T866" s="20"/>
      <c r="U866" s="20"/>
      <c r="V866" s="20"/>
      <c r="W866" s="20"/>
      <c r="X866" s="20"/>
      <c r="Y866" s="20"/>
      <c r="Z866" s="20"/>
    </row>
    <row r="867" spans="10:26" ht="17.25" customHeight="1">
      <c r="J867" s="37"/>
      <c r="K867" s="58"/>
      <c r="L867" s="58"/>
      <c r="M867" s="58"/>
      <c r="N867" s="58"/>
      <c r="O867" s="31"/>
      <c r="P867" s="20"/>
      <c r="Q867" s="20"/>
      <c r="R867" s="20"/>
      <c r="S867" s="20"/>
      <c r="T867" s="20"/>
      <c r="U867" s="20"/>
      <c r="V867" s="20"/>
      <c r="W867" s="20"/>
      <c r="X867" s="20"/>
      <c r="Y867" s="20"/>
      <c r="Z867" s="20"/>
    </row>
    <row r="868" spans="10:26" ht="17.25" customHeight="1">
      <c r="J868" s="37"/>
      <c r="K868" s="58"/>
      <c r="L868" s="58"/>
      <c r="M868" s="58"/>
      <c r="N868" s="58"/>
      <c r="O868" s="31"/>
      <c r="P868" s="20"/>
      <c r="Q868" s="20"/>
      <c r="R868" s="20"/>
      <c r="S868" s="20"/>
      <c r="T868" s="20"/>
      <c r="U868" s="20"/>
      <c r="V868" s="20"/>
      <c r="W868" s="20"/>
      <c r="X868" s="20"/>
      <c r="Y868" s="20"/>
      <c r="Z868" s="20"/>
    </row>
    <row r="869" spans="10:26" ht="17.25" customHeight="1">
      <c r="J869" s="37"/>
      <c r="K869" s="58"/>
      <c r="L869" s="58"/>
      <c r="M869" s="58"/>
      <c r="N869" s="58"/>
      <c r="O869" s="31"/>
      <c r="P869" s="20"/>
      <c r="Q869" s="20"/>
      <c r="R869" s="20"/>
      <c r="S869" s="20"/>
      <c r="T869" s="20"/>
      <c r="U869" s="20"/>
      <c r="V869" s="20"/>
      <c r="W869" s="20"/>
      <c r="X869" s="20"/>
      <c r="Y869" s="20"/>
      <c r="Z869" s="20"/>
    </row>
    <row r="870" spans="10:26" ht="17.25" customHeight="1">
      <c r="J870" s="37"/>
      <c r="K870" s="58"/>
      <c r="L870" s="58"/>
      <c r="M870" s="58"/>
      <c r="N870" s="58"/>
      <c r="O870" s="31"/>
      <c r="P870" s="20"/>
      <c r="Q870" s="20"/>
      <c r="R870" s="20"/>
      <c r="S870" s="20"/>
      <c r="T870" s="20"/>
      <c r="U870" s="20"/>
      <c r="V870" s="20"/>
      <c r="W870" s="20"/>
      <c r="X870" s="20"/>
      <c r="Y870" s="20"/>
      <c r="Z870" s="20"/>
    </row>
    <row r="871" spans="10:26" ht="17.25" customHeight="1">
      <c r="J871" s="37"/>
      <c r="K871" s="58"/>
      <c r="L871" s="58"/>
      <c r="M871" s="58"/>
      <c r="N871" s="58"/>
      <c r="O871" s="31"/>
      <c r="P871" s="20"/>
      <c r="Q871" s="20"/>
      <c r="R871" s="20"/>
      <c r="S871" s="20"/>
      <c r="T871" s="20"/>
      <c r="U871" s="20"/>
      <c r="V871" s="20"/>
      <c r="W871" s="20"/>
      <c r="X871" s="20"/>
      <c r="Y871" s="20"/>
      <c r="Z871" s="20"/>
    </row>
    <row r="872" spans="10:26" ht="17.25" customHeight="1">
      <c r="J872" s="37"/>
      <c r="K872" s="58"/>
      <c r="L872" s="58"/>
      <c r="M872" s="58"/>
      <c r="N872" s="58"/>
      <c r="O872" s="31"/>
      <c r="P872" s="20"/>
      <c r="Q872" s="20"/>
      <c r="R872" s="20"/>
      <c r="S872" s="20"/>
      <c r="T872" s="20"/>
      <c r="U872" s="20"/>
      <c r="V872" s="20"/>
      <c r="W872" s="20"/>
      <c r="X872" s="20"/>
      <c r="Y872" s="20"/>
      <c r="Z872" s="20"/>
    </row>
    <row r="873" spans="10:26" ht="17.25" customHeight="1">
      <c r="J873" s="37"/>
      <c r="K873" s="58"/>
      <c r="L873" s="58"/>
      <c r="M873" s="58"/>
      <c r="N873" s="58"/>
      <c r="O873" s="31"/>
      <c r="P873" s="20"/>
      <c r="Q873" s="20"/>
      <c r="R873" s="20"/>
      <c r="S873" s="20"/>
      <c r="T873" s="20"/>
      <c r="U873" s="20"/>
      <c r="V873" s="20"/>
      <c r="W873" s="20"/>
      <c r="X873" s="20"/>
      <c r="Y873" s="20"/>
      <c r="Z873" s="20"/>
    </row>
    <row r="874" spans="10:26" ht="17.25" customHeight="1">
      <c r="J874" s="37"/>
      <c r="K874" s="58"/>
      <c r="L874" s="58"/>
      <c r="M874" s="58"/>
      <c r="N874" s="58"/>
      <c r="O874" s="31"/>
      <c r="P874" s="20"/>
      <c r="Q874" s="20"/>
      <c r="R874" s="20"/>
      <c r="S874" s="20"/>
      <c r="T874" s="20"/>
      <c r="U874" s="20"/>
      <c r="V874" s="20"/>
      <c r="W874" s="20"/>
      <c r="X874" s="20"/>
      <c r="Y874" s="20"/>
      <c r="Z874" s="20"/>
    </row>
    <row r="875" spans="10:26" ht="17.25" customHeight="1">
      <c r="J875" s="37"/>
      <c r="K875" s="58"/>
      <c r="L875" s="58"/>
      <c r="M875" s="58"/>
      <c r="N875" s="58"/>
      <c r="O875" s="31"/>
      <c r="P875" s="20"/>
      <c r="Q875" s="20"/>
      <c r="R875" s="20"/>
      <c r="S875" s="20"/>
      <c r="T875" s="20"/>
      <c r="U875" s="20"/>
      <c r="V875" s="20"/>
      <c r="W875" s="20"/>
      <c r="X875" s="20"/>
      <c r="Y875" s="20"/>
      <c r="Z875" s="20"/>
    </row>
    <row r="876" spans="10:26" ht="17.25" customHeight="1">
      <c r="J876" s="37"/>
      <c r="K876" s="58"/>
      <c r="L876" s="58"/>
      <c r="M876" s="58"/>
      <c r="N876" s="58"/>
      <c r="O876" s="31"/>
      <c r="P876" s="20"/>
      <c r="Q876" s="20"/>
      <c r="R876" s="20"/>
      <c r="S876" s="20"/>
      <c r="T876" s="20"/>
      <c r="U876" s="20"/>
      <c r="V876" s="20"/>
      <c r="W876" s="20"/>
      <c r="X876" s="20"/>
      <c r="Y876" s="20"/>
      <c r="Z876" s="20"/>
    </row>
    <row r="877" spans="10:26" ht="17.25" customHeight="1">
      <c r="J877" s="37"/>
      <c r="K877" s="58"/>
      <c r="L877" s="58"/>
      <c r="M877" s="58"/>
      <c r="N877" s="58"/>
      <c r="O877" s="31"/>
      <c r="P877" s="20"/>
      <c r="Q877" s="20"/>
      <c r="R877" s="20"/>
      <c r="S877" s="20"/>
      <c r="T877" s="20"/>
      <c r="U877" s="20"/>
      <c r="V877" s="20"/>
      <c r="W877" s="20"/>
      <c r="X877" s="20"/>
      <c r="Y877" s="20"/>
      <c r="Z877" s="20"/>
    </row>
    <row r="878" spans="10:26" ht="17.25" customHeight="1">
      <c r="J878" s="37"/>
      <c r="K878" s="58"/>
      <c r="L878" s="58"/>
      <c r="M878" s="58"/>
      <c r="N878" s="58"/>
      <c r="O878" s="31"/>
      <c r="P878" s="20"/>
      <c r="Q878" s="20"/>
      <c r="R878" s="20"/>
      <c r="S878" s="20"/>
      <c r="T878" s="20"/>
      <c r="U878" s="20"/>
      <c r="V878" s="20"/>
      <c r="W878" s="20"/>
      <c r="X878" s="20"/>
      <c r="Y878" s="20"/>
      <c r="Z878" s="20"/>
    </row>
    <row r="879" spans="10:26" ht="17.25" customHeight="1">
      <c r="J879" s="37"/>
      <c r="K879" s="58"/>
      <c r="L879" s="58"/>
      <c r="M879" s="58"/>
      <c r="N879" s="58"/>
      <c r="O879" s="31"/>
      <c r="P879" s="20"/>
      <c r="Q879" s="20"/>
      <c r="R879" s="20"/>
      <c r="S879" s="20"/>
      <c r="T879" s="20"/>
      <c r="U879" s="20"/>
      <c r="V879" s="20"/>
      <c r="W879" s="20"/>
      <c r="X879" s="20"/>
      <c r="Y879" s="20"/>
      <c r="Z879" s="20"/>
    </row>
    <row r="880" spans="10:26" ht="17.25" customHeight="1">
      <c r="J880" s="37"/>
      <c r="K880" s="58"/>
      <c r="L880" s="58"/>
      <c r="M880" s="58"/>
      <c r="N880" s="58"/>
      <c r="O880" s="31"/>
      <c r="P880" s="20"/>
      <c r="Q880" s="20"/>
      <c r="R880" s="20"/>
      <c r="S880" s="20"/>
      <c r="T880" s="20"/>
      <c r="U880" s="20"/>
      <c r="V880" s="20"/>
      <c r="W880" s="20"/>
      <c r="X880" s="20"/>
      <c r="Y880" s="20"/>
      <c r="Z880" s="20"/>
    </row>
    <row r="881" spans="10:26" ht="17.25" customHeight="1">
      <c r="J881" s="37"/>
      <c r="K881" s="58"/>
      <c r="L881" s="58"/>
      <c r="M881" s="58"/>
      <c r="N881" s="58"/>
      <c r="O881" s="31"/>
      <c r="P881" s="20"/>
      <c r="Q881" s="20"/>
      <c r="R881" s="20"/>
      <c r="S881" s="20"/>
      <c r="T881" s="20"/>
      <c r="U881" s="20"/>
      <c r="V881" s="20"/>
      <c r="W881" s="20"/>
      <c r="X881" s="20"/>
      <c r="Y881" s="20"/>
      <c r="Z881" s="20"/>
    </row>
    <row r="882" spans="10:26" ht="17.25" customHeight="1">
      <c r="J882" s="37"/>
      <c r="K882" s="58"/>
      <c r="L882" s="58"/>
      <c r="M882" s="58"/>
      <c r="N882" s="58"/>
      <c r="O882" s="31"/>
      <c r="P882" s="20"/>
      <c r="Q882" s="20"/>
      <c r="R882" s="20"/>
      <c r="S882" s="20"/>
      <c r="T882" s="20"/>
      <c r="U882" s="20"/>
      <c r="V882" s="20"/>
      <c r="W882" s="20"/>
      <c r="X882" s="20"/>
      <c r="Y882" s="20"/>
      <c r="Z882" s="20"/>
    </row>
    <row r="883" spans="10:26" ht="17.25" customHeight="1">
      <c r="J883" s="37"/>
      <c r="K883" s="58"/>
      <c r="L883" s="58"/>
      <c r="M883" s="58"/>
      <c r="N883" s="58"/>
      <c r="O883" s="31"/>
      <c r="P883" s="20"/>
      <c r="Q883" s="20"/>
      <c r="R883" s="20"/>
      <c r="S883" s="20"/>
      <c r="T883" s="20"/>
      <c r="U883" s="20"/>
      <c r="V883" s="20"/>
      <c r="W883" s="20"/>
      <c r="X883" s="20"/>
      <c r="Y883" s="20"/>
      <c r="Z883" s="20"/>
    </row>
    <row r="884" spans="10:26" ht="17.25" customHeight="1">
      <c r="J884" s="37"/>
      <c r="K884" s="58"/>
      <c r="L884" s="58"/>
      <c r="M884" s="58"/>
      <c r="N884" s="58"/>
      <c r="O884" s="31"/>
      <c r="P884" s="20"/>
      <c r="Q884" s="20"/>
      <c r="R884" s="20"/>
      <c r="S884" s="20"/>
      <c r="T884" s="20"/>
      <c r="U884" s="20"/>
      <c r="V884" s="20"/>
      <c r="W884" s="20"/>
      <c r="X884" s="20"/>
      <c r="Y884" s="20"/>
      <c r="Z884" s="20"/>
    </row>
    <row r="885" spans="10:26" ht="17.25" customHeight="1">
      <c r="J885" s="37"/>
      <c r="K885" s="58"/>
      <c r="L885" s="58"/>
      <c r="M885" s="58"/>
      <c r="N885" s="58"/>
      <c r="O885" s="31"/>
      <c r="P885" s="20"/>
      <c r="Q885" s="20"/>
      <c r="R885" s="20"/>
      <c r="S885" s="20"/>
      <c r="T885" s="20"/>
      <c r="U885" s="20"/>
      <c r="V885" s="20"/>
      <c r="W885" s="20"/>
      <c r="X885" s="20"/>
      <c r="Y885" s="20"/>
      <c r="Z885" s="20"/>
    </row>
    <row r="886" spans="10:26" ht="17.25" customHeight="1">
      <c r="J886" s="37"/>
      <c r="K886" s="58"/>
      <c r="L886" s="58"/>
      <c r="M886" s="58"/>
      <c r="N886" s="58"/>
      <c r="O886" s="31"/>
      <c r="P886" s="20"/>
      <c r="Q886" s="20"/>
      <c r="R886" s="20"/>
      <c r="S886" s="20"/>
      <c r="T886" s="20"/>
      <c r="U886" s="20"/>
      <c r="V886" s="20"/>
      <c r="W886" s="20"/>
      <c r="X886" s="20"/>
      <c r="Y886" s="20"/>
      <c r="Z886" s="20"/>
    </row>
    <row r="887" spans="10:26" ht="17.25" customHeight="1">
      <c r="J887" s="37"/>
      <c r="K887" s="58"/>
      <c r="L887" s="58"/>
      <c r="M887" s="58"/>
      <c r="N887" s="58"/>
      <c r="O887" s="31"/>
      <c r="P887" s="20"/>
      <c r="Q887" s="20"/>
      <c r="R887" s="20"/>
      <c r="S887" s="20"/>
      <c r="T887" s="20"/>
      <c r="U887" s="20"/>
      <c r="V887" s="20"/>
      <c r="W887" s="20"/>
      <c r="X887" s="20"/>
      <c r="Y887" s="20"/>
      <c r="Z887" s="20"/>
    </row>
    <row r="888" spans="10:26" ht="17.25" customHeight="1">
      <c r="J888" s="37"/>
      <c r="K888" s="58"/>
      <c r="L888" s="58"/>
      <c r="M888" s="58"/>
      <c r="N888" s="58"/>
      <c r="O888" s="31"/>
      <c r="P888" s="20"/>
      <c r="Q888" s="20"/>
      <c r="R888" s="20"/>
      <c r="S888" s="20"/>
      <c r="T888" s="20"/>
      <c r="U888" s="20"/>
      <c r="V888" s="20"/>
      <c r="W888" s="20"/>
      <c r="X888" s="20"/>
      <c r="Y888" s="20"/>
      <c r="Z888" s="20"/>
    </row>
    <row r="889" spans="10:26" ht="17.25" customHeight="1">
      <c r="J889" s="37"/>
      <c r="K889" s="58"/>
      <c r="L889" s="58"/>
      <c r="M889" s="58"/>
      <c r="N889" s="58"/>
      <c r="O889" s="31"/>
      <c r="P889" s="20"/>
      <c r="Q889" s="20"/>
      <c r="R889" s="20"/>
      <c r="S889" s="20"/>
      <c r="T889" s="20"/>
      <c r="U889" s="20"/>
      <c r="V889" s="20"/>
      <c r="W889" s="20"/>
      <c r="X889" s="20"/>
      <c r="Y889" s="20"/>
      <c r="Z889" s="20"/>
    </row>
    <row r="890" spans="10:26" ht="17.25" customHeight="1">
      <c r="J890" s="37"/>
      <c r="K890" s="58"/>
      <c r="L890" s="58"/>
      <c r="M890" s="58"/>
      <c r="N890" s="58"/>
      <c r="O890" s="31"/>
      <c r="P890" s="20"/>
      <c r="Q890" s="20"/>
      <c r="R890" s="20"/>
      <c r="S890" s="20"/>
      <c r="T890" s="20"/>
      <c r="U890" s="20"/>
      <c r="V890" s="20"/>
      <c r="W890" s="20"/>
      <c r="X890" s="20"/>
      <c r="Y890" s="20"/>
      <c r="Z890" s="20"/>
    </row>
    <row r="891" spans="10:26" ht="17.25" customHeight="1">
      <c r="J891" s="37"/>
      <c r="K891" s="58"/>
      <c r="L891" s="58"/>
      <c r="M891" s="58"/>
      <c r="N891" s="58"/>
      <c r="O891" s="31"/>
      <c r="P891" s="20"/>
      <c r="Q891" s="20"/>
      <c r="R891" s="20"/>
      <c r="S891" s="20"/>
      <c r="T891" s="20"/>
      <c r="U891" s="20"/>
      <c r="V891" s="20"/>
      <c r="W891" s="20"/>
      <c r="X891" s="20"/>
      <c r="Y891" s="20"/>
      <c r="Z891" s="20"/>
    </row>
    <row r="892" spans="10:26" ht="17.25" customHeight="1">
      <c r="J892" s="37"/>
      <c r="K892" s="58"/>
      <c r="L892" s="58"/>
      <c r="M892" s="58"/>
      <c r="N892" s="58"/>
      <c r="O892" s="31"/>
      <c r="P892" s="20"/>
      <c r="Q892" s="20"/>
      <c r="R892" s="20"/>
      <c r="S892" s="20"/>
      <c r="T892" s="20"/>
      <c r="U892" s="20"/>
      <c r="V892" s="20"/>
      <c r="W892" s="20"/>
      <c r="X892" s="20"/>
      <c r="Y892" s="20"/>
      <c r="Z892" s="20"/>
    </row>
    <row r="893" spans="10:26" ht="17.25" customHeight="1">
      <c r="J893" s="37"/>
      <c r="K893" s="58"/>
      <c r="L893" s="58"/>
      <c r="M893" s="58"/>
      <c r="N893" s="58"/>
      <c r="O893" s="31"/>
      <c r="P893" s="20"/>
      <c r="Q893" s="20"/>
      <c r="R893" s="20"/>
      <c r="S893" s="20"/>
      <c r="T893" s="20"/>
      <c r="U893" s="20"/>
      <c r="V893" s="20"/>
      <c r="W893" s="20"/>
      <c r="X893" s="20"/>
      <c r="Y893" s="20"/>
      <c r="Z893" s="20"/>
    </row>
    <row r="894" spans="10:26" ht="17.25" customHeight="1">
      <c r="J894" s="37"/>
      <c r="K894" s="58"/>
      <c r="L894" s="58"/>
      <c r="M894" s="58"/>
      <c r="N894" s="58"/>
      <c r="O894" s="31"/>
      <c r="P894" s="20"/>
      <c r="Q894" s="20"/>
      <c r="R894" s="20"/>
      <c r="S894" s="20"/>
      <c r="T894" s="20"/>
      <c r="U894" s="20"/>
      <c r="V894" s="20"/>
      <c r="W894" s="20"/>
      <c r="X894" s="20"/>
      <c r="Y894" s="20"/>
      <c r="Z894" s="20"/>
    </row>
    <row r="895" spans="10:26" ht="17.25" customHeight="1">
      <c r="J895" s="37"/>
      <c r="K895" s="58"/>
      <c r="L895" s="58"/>
      <c r="M895" s="58"/>
      <c r="N895" s="58"/>
      <c r="O895" s="31"/>
      <c r="P895" s="20"/>
      <c r="Q895" s="20"/>
      <c r="R895" s="20"/>
      <c r="S895" s="20"/>
      <c r="T895" s="20"/>
      <c r="U895" s="20"/>
      <c r="V895" s="20"/>
      <c r="W895" s="20"/>
      <c r="X895" s="20"/>
      <c r="Y895" s="20"/>
      <c r="Z895" s="20"/>
    </row>
    <row r="896" spans="10:26" ht="17.25" customHeight="1">
      <c r="J896" s="37"/>
      <c r="K896" s="58"/>
      <c r="L896" s="58"/>
      <c r="M896" s="58"/>
      <c r="N896" s="58"/>
      <c r="O896" s="31"/>
      <c r="P896" s="20"/>
      <c r="Q896" s="20"/>
      <c r="R896" s="20"/>
      <c r="S896" s="20"/>
      <c r="T896" s="20"/>
      <c r="U896" s="20"/>
      <c r="V896" s="20"/>
      <c r="W896" s="20"/>
      <c r="X896" s="20"/>
      <c r="Y896" s="20"/>
      <c r="Z896" s="20"/>
    </row>
    <row r="897" spans="10:26" ht="17.25" customHeight="1">
      <c r="J897" s="37"/>
      <c r="K897" s="58"/>
      <c r="L897" s="58"/>
      <c r="M897" s="58"/>
      <c r="N897" s="58"/>
      <c r="O897" s="31"/>
      <c r="P897" s="20"/>
      <c r="Q897" s="20"/>
      <c r="R897" s="20"/>
      <c r="S897" s="20"/>
      <c r="T897" s="20"/>
      <c r="U897" s="20"/>
      <c r="V897" s="20"/>
      <c r="W897" s="20"/>
      <c r="X897" s="20"/>
      <c r="Y897" s="20"/>
      <c r="Z897" s="20"/>
    </row>
    <row r="898" spans="10:26" ht="17.25" customHeight="1">
      <c r="J898" s="37"/>
      <c r="K898" s="58"/>
      <c r="L898" s="58"/>
      <c r="M898" s="58"/>
      <c r="N898" s="58"/>
      <c r="O898" s="31"/>
      <c r="P898" s="20"/>
      <c r="Q898" s="20"/>
      <c r="R898" s="20"/>
      <c r="S898" s="20"/>
      <c r="T898" s="20"/>
      <c r="U898" s="20"/>
      <c r="V898" s="20"/>
      <c r="W898" s="20"/>
      <c r="X898" s="20"/>
      <c r="Y898" s="20"/>
      <c r="Z898" s="20"/>
    </row>
    <row r="899" spans="10:26" ht="17.25" customHeight="1">
      <c r="J899" s="37"/>
      <c r="K899" s="58"/>
      <c r="L899" s="58"/>
      <c r="M899" s="58"/>
      <c r="N899" s="58"/>
      <c r="O899" s="31"/>
      <c r="P899" s="20"/>
      <c r="Q899" s="20"/>
      <c r="R899" s="20"/>
      <c r="S899" s="20"/>
      <c r="T899" s="20"/>
      <c r="U899" s="20"/>
      <c r="V899" s="20"/>
      <c r="W899" s="20"/>
      <c r="X899" s="20"/>
      <c r="Y899" s="20"/>
      <c r="Z899" s="20"/>
    </row>
    <row r="900" spans="10:26" ht="17.25" customHeight="1">
      <c r="J900" s="37"/>
      <c r="K900" s="58"/>
      <c r="L900" s="58"/>
      <c r="M900" s="58"/>
      <c r="N900" s="58"/>
      <c r="O900" s="31"/>
      <c r="P900" s="20"/>
      <c r="Q900" s="20"/>
      <c r="R900" s="20"/>
      <c r="S900" s="20"/>
      <c r="T900" s="20"/>
      <c r="U900" s="20"/>
      <c r="V900" s="20"/>
      <c r="W900" s="20"/>
      <c r="X900" s="20"/>
      <c r="Y900" s="20"/>
      <c r="Z900" s="20"/>
    </row>
    <row r="901" spans="10:26" ht="17.25" customHeight="1">
      <c r="J901" s="37"/>
      <c r="K901" s="58"/>
      <c r="L901" s="58"/>
      <c r="M901" s="58"/>
      <c r="N901" s="58"/>
      <c r="O901" s="31"/>
      <c r="P901" s="20"/>
      <c r="Q901" s="20"/>
      <c r="R901" s="20"/>
      <c r="S901" s="20"/>
      <c r="T901" s="20"/>
      <c r="U901" s="20"/>
      <c r="V901" s="20"/>
      <c r="W901" s="20"/>
      <c r="X901" s="20"/>
      <c r="Y901" s="20"/>
      <c r="Z901" s="20"/>
    </row>
    <row r="902" spans="10:26" ht="17.25" customHeight="1">
      <c r="J902" s="37"/>
      <c r="K902" s="58"/>
      <c r="L902" s="58"/>
      <c r="M902" s="58"/>
      <c r="N902" s="58"/>
      <c r="O902" s="31"/>
      <c r="P902" s="20"/>
      <c r="Q902" s="20"/>
      <c r="R902" s="20"/>
      <c r="S902" s="20"/>
      <c r="T902" s="20"/>
      <c r="U902" s="20"/>
      <c r="V902" s="20"/>
      <c r="W902" s="20"/>
      <c r="X902" s="20"/>
      <c r="Y902" s="20"/>
      <c r="Z902" s="20"/>
    </row>
    <row r="903" spans="10:26" ht="17.25" customHeight="1">
      <c r="J903" s="37"/>
      <c r="K903" s="58"/>
      <c r="L903" s="58"/>
      <c r="M903" s="58"/>
      <c r="N903" s="58"/>
      <c r="O903" s="31"/>
      <c r="P903" s="20"/>
      <c r="Q903" s="20"/>
      <c r="R903" s="20"/>
      <c r="S903" s="20"/>
      <c r="T903" s="20"/>
      <c r="U903" s="20"/>
      <c r="V903" s="20"/>
      <c r="W903" s="20"/>
      <c r="X903" s="20"/>
      <c r="Y903" s="20"/>
      <c r="Z903" s="20"/>
    </row>
    <row r="904" spans="10:26" ht="17.25" customHeight="1">
      <c r="J904" s="37"/>
      <c r="K904" s="58"/>
      <c r="L904" s="58"/>
      <c r="M904" s="58"/>
      <c r="N904" s="58"/>
      <c r="O904" s="31"/>
      <c r="P904" s="20"/>
      <c r="Q904" s="20"/>
      <c r="R904" s="20"/>
      <c r="S904" s="20"/>
      <c r="T904" s="20"/>
      <c r="U904" s="20"/>
      <c r="V904" s="20"/>
      <c r="W904" s="20"/>
      <c r="X904" s="20"/>
      <c r="Y904" s="20"/>
      <c r="Z904" s="20"/>
    </row>
    <row r="905" spans="10:26" ht="17.25" customHeight="1">
      <c r="J905" s="37"/>
      <c r="K905" s="58"/>
      <c r="L905" s="58"/>
      <c r="M905" s="58"/>
      <c r="N905" s="58"/>
      <c r="O905" s="31"/>
      <c r="P905" s="20"/>
      <c r="Q905" s="20"/>
      <c r="R905" s="20"/>
      <c r="S905" s="20"/>
      <c r="T905" s="20"/>
      <c r="U905" s="20"/>
      <c r="V905" s="20"/>
      <c r="W905" s="20"/>
      <c r="X905" s="20"/>
      <c r="Y905" s="20"/>
      <c r="Z905" s="20"/>
    </row>
    <row r="906" spans="10:26" ht="17.25" customHeight="1">
      <c r="J906" s="37"/>
      <c r="K906" s="58"/>
      <c r="L906" s="58"/>
      <c r="M906" s="58"/>
      <c r="N906" s="58"/>
      <c r="O906" s="31"/>
      <c r="P906" s="20"/>
      <c r="Q906" s="20"/>
      <c r="R906" s="20"/>
      <c r="S906" s="20"/>
      <c r="T906" s="20"/>
      <c r="U906" s="20"/>
      <c r="V906" s="20"/>
      <c r="W906" s="20"/>
      <c r="X906" s="20"/>
      <c r="Y906" s="20"/>
      <c r="Z906" s="20"/>
    </row>
    <row r="907" spans="10:26" ht="17.25" customHeight="1">
      <c r="J907" s="37"/>
      <c r="K907" s="58"/>
      <c r="L907" s="58"/>
      <c r="M907" s="58"/>
      <c r="N907" s="58"/>
      <c r="O907" s="31"/>
      <c r="P907" s="20"/>
      <c r="Q907" s="20"/>
      <c r="R907" s="20"/>
      <c r="S907" s="20"/>
      <c r="T907" s="20"/>
      <c r="U907" s="20"/>
      <c r="V907" s="20"/>
      <c r="W907" s="20"/>
      <c r="X907" s="20"/>
      <c r="Y907" s="20"/>
      <c r="Z907" s="20"/>
    </row>
    <row r="908" spans="10:26" ht="17.25" customHeight="1">
      <c r="J908" s="37"/>
      <c r="K908" s="58"/>
      <c r="L908" s="58"/>
      <c r="M908" s="58"/>
      <c r="N908" s="58"/>
      <c r="O908" s="31"/>
      <c r="P908" s="20"/>
      <c r="Q908" s="20"/>
      <c r="R908" s="20"/>
      <c r="S908" s="20"/>
      <c r="T908" s="20"/>
      <c r="U908" s="20"/>
      <c r="V908" s="20"/>
      <c r="W908" s="20"/>
      <c r="X908" s="20"/>
      <c r="Y908" s="20"/>
      <c r="Z908" s="20"/>
    </row>
    <row r="909" spans="10:26" ht="17.25" customHeight="1">
      <c r="J909" s="37"/>
      <c r="K909" s="58"/>
      <c r="L909" s="58"/>
      <c r="M909" s="58"/>
      <c r="N909" s="58"/>
      <c r="O909" s="31"/>
      <c r="P909" s="20"/>
      <c r="Q909" s="20"/>
      <c r="R909" s="20"/>
      <c r="S909" s="20"/>
      <c r="T909" s="20"/>
      <c r="U909" s="20"/>
      <c r="V909" s="20"/>
      <c r="W909" s="20"/>
      <c r="X909" s="20"/>
      <c r="Y909" s="20"/>
      <c r="Z909" s="20"/>
    </row>
    <row r="910" spans="10:26" ht="17.25" customHeight="1">
      <c r="J910" s="37"/>
      <c r="K910" s="58"/>
      <c r="L910" s="58"/>
      <c r="M910" s="58"/>
      <c r="N910" s="58"/>
      <c r="O910" s="31"/>
      <c r="P910" s="20"/>
      <c r="Q910" s="20"/>
      <c r="R910" s="20"/>
      <c r="S910" s="20"/>
      <c r="T910" s="20"/>
      <c r="U910" s="20"/>
      <c r="V910" s="20"/>
      <c r="W910" s="20"/>
      <c r="X910" s="20"/>
      <c r="Y910" s="20"/>
      <c r="Z910" s="20"/>
    </row>
    <row r="911" spans="10:26" ht="17.25" customHeight="1">
      <c r="J911" s="37"/>
      <c r="K911" s="58"/>
      <c r="L911" s="58"/>
      <c r="M911" s="58"/>
      <c r="N911" s="58"/>
      <c r="O911" s="31"/>
      <c r="P911" s="20"/>
      <c r="Q911" s="20"/>
      <c r="R911" s="20"/>
      <c r="S911" s="20"/>
      <c r="T911" s="20"/>
      <c r="U911" s="20"/>
      <c r="V911" s="20"/>
      <c r="W911" s="20"/>
      <c r="X911" s="20"/>
      <c r="Y911" s="20"/>
      <c r="Z911" s="20"/>
    </row>
    <row r="912" spans="10:26" ht="17.25" customHeight="1">
      <c r="J912" s="37"/>
      <c r="K912" s="58"/>
      <c r="L912" s="58"/>
      <c r="M912" s="58"/>
      <c r="N912" s="58"/>
      <c r="O912" s="31"/>
      <c r="P912" s="20"/>
      <c r="Q912" s="20"/>
      <c r="R912" s="20"/>
      <c r="S912" s="20"/>
      <c r="T912" s="20"/>
      <c r="U912" s="20"/>
      <c r="V912" s="20"/>
      <c r="W912" s="20"/>
      <c r="X912" s="20"/>
      <c r="Y912" s="20"/>
      <c r="Z912" s="20"/>
    </row>
    <row r="913" spans="10:26" ht="17.25" customHeight="1">
      <c r="J913" s="37"/>
      <c r="K913" s="58"/>
      <c r="L913" s="58"/>
      <c r="M913" s="58"/>
      <c r="N913" s="58"/>
      <c r="O913" s="31"/>
      <c r="P913" s="20"/>
      <c r="Q913" s="20"/>
      <c r="R913" s="20"/>
      <c r="S913" s="20"/>
      <c r="T913" s="20"/>
      <c r="U913" s="20"/>
      <c r="V913" s="20"/>
      <c r="W913" s="20"/>
      <c r="X913" s="20"/>
      <c r="Y913" s="20"/>
      <c r="Z913" s="20"/>
    </row>
    <row r="914" spans="10:26" ht="17.25" customHeight="1">
      <c r="J914" s="37"/>
      <c r="K914" s="58"/>
      <c r="L914" s="58"/>
      <c r="M914" s="58"/>
      <c r="N914" s="58"/>
      <c r="O914" s="31"/>
      <c r="P914" s="20"/>
      <c r="Q914" s="20"/>
      <c r="R914" s="20"/>
      <c r="S914" s="20"/>
      <c r="T914" s="20"/>
      <c r="U914" s="20"/>
      <c r="V914" s="20"/>
      <c r="W914" s="20"/>
      <c r="X914" s="20"/>
      <c r="Y914" s="20"/>
      <c r="Z914" s="20"/>
    </row>
    <row r="915" spans="10:26" ht="17.25" customHeight="1">
      <c r="J915" s="37"/>
      <c r="K915" s="58"/>
      <c r="L915" s="58"/>
      <c r="M915" s="58"/>
      <c r="N915" s="58"/>
      <c r="O915" s="31"/>
      <c r="P915" s="20"/>
      <c r="Q915" s="20"/>
      <c r="R915" s="20"/>
      <c r="S915" s="20"/>
      <c r="T915" s="20"/>
      <c r="U915" s="20"/>
      <c r="V915" s="20"/>
      <c r="W915" s="20"/>
      <c r="X915" s="20"/>
      <c r="Y915" s="20"/>
      <c r="Z915" s="20"/>
    </row>
    <row r="916" spans="10:26" ht="17.25" customHeight="1">
      <c r="J916" s="37"/>
      <c r="K916" s="58"/>
      <c r="L916" s="58"/>
      <c r="M916" s="58"/>
      <c r="N916" s="58"/>
      <c r="O916" s="31"/>
      <c r="P916" s="20"/>
      <c r="Q916" s="20"/>
      <c r="R916" s="20"/>
      <c r="S916" s="20"/>
      <c r="T916" s="20"/>
      <c r="U916" s="20"/>
      <c r="V916" s="20"/>
      <c r="W916" s="20"/>
      <c r="X916" s="20"/>
      <c r="Y916" s="20"/>
      <c r="Z916" s="20"/>
    </row>
    <row r="917" spans="10:26" ht="17.25" customHeight="1">
      <c r="J917" s="37"/>
      <c r="K917" s="58"/>
      <c r="L917" s="58"/>
      <c r="M917" s="58"/>
      <c r="N917" s="58"/>
      <c r="O917" s="31"/>
      <c r="P917" s="20"/>
      <c r="Q917" s="20"/>
      <c r="R917" s="20"/>
      <c r="S917" s="20"/>
      <c r="T917" s="20"/>
      <c r="U917" s="20"/>
      <c r="V917" s="20"/>
      <c r="W917" s="20"/>
      <c r="X917" s="20"/>
      <c r="Y917" s="20"/>
      <c r="Z917" s="20"/>
    </row>
    <row r="918" spans="10:26" ht="17.25" customHeight="1">
      <c r="J918" s="37"/>
      <c r="K918" s="58"/>
      <c r="L918" s="58"/>
      <c r="M918" s="58"/>
      <c r="N918" s="58"/>
      <c r="O918" s="31"/>
      <c r="P918" s="20"/>
      <c r="Q918" s="20"/>
      <c r="R918" s="20"/>
      <c r="S918" s="20"/>
      <c r="T918" s="20"/>
      <c r="U918" s="20"/>
      <c r="V918" s="20"/>
      <c r="W918" s="20"/>
      <c r="X918" s="20"/>
      <c r="Y918" s="20"/>
      <c r="Z918" s="20"/>
    </row>
    <row r="919" spans="10:26" ht="17.25" customHeight="1">
      <c r="J919" s="37"/>
      <c r="K919" s="58"/>
      <c r="L919" s="58"/>
      <c r="M919" s="58"/>
      <c r="N919" s="58"/>
      <c r="O919" s="31"/>
      <c r="P919" s="20"/>
      <c r="Q919" s="20"/>
      <c r="R919" s="20"/>
      <c r="S919" s="20"/>
      <c r="T919" s="20"/>
      <c r="U919" s="20"/>
      <c r="V919" s="20"/>
      <c r="W919" s="20"/>
      <c r="X919" s="20"/>
      <c r="Y919" s="20"/>
      <c r="Z919" s="20"/>
    </row>
    <row r="920" spans="10:26" ht="17.25" customHeight="1">
      <c r="J920" s="37"/>
      <c r="K920" s="58"/>
      <c r="L920" s="58"/>
      <c r="M920" s="58"/>
      <c r="N920" s="58"/>
      <c r="O920" s="31"/>
      <c r="P920" s="20"/>
      <c r="Q920" s="20"/>
      <c r="R920" s="20"/>
      <c r="S920" s="20"/>
      <c r="T920" s="20"/>
      <c r="U920" s="20"/>
      <c r="V920" s="20"/>
      <c r="W920" s="20"/>
      <c r="X920" s="20"/>
      <c r="Y920" s="20"/>
      <c r="Z920" s="20"/>
    </row>
    <row r="921" spans="10:26" ht="17.25" customHeight="1">
      <c r="J921" s="37"/>
      <c r="K921" s="58"/>
      <c r="L921" s="58"/>
      <c r="M921" s="58"/>
      <c r="N921" s="58"/>
      <c r="O921" s="31"/>
      <c r="P921" s="20"/>
      <c r="Q921" s="20"/>
      <c r="R921" s="20"/>
      <c r="S921" s="20"/>
      <c r="T921" s="20"/>
      <c r="U921" s="20"/>
      <c r="V921" s="20"/>
      <c r="W921" s="20"/>
      <c r="X921" s="20"/>
      <c r="Y921" s="20"/>
      <c r="Z921" s="20"/>
    </row>
    <row r="922" spans="10:26" ht="17.25" customHeight="1">
      <c r="J922" s="37"/>
      <c r="K922" s="58"/>
      <c r="L922" s="58"/>
      <c r="M922" s="58"/>
      <c r="N922" s="58"/>
      <c r="O922" s="31"/>
      <c r="P922" s="20"/>
      <c r="Q922" s="20"/>
      <c r="R922" s="20"/>
      <c r="S922" s="20"/>
      <c r="T922" s="20"/>
      <c r="U922" s="20"/>
      <c r="V922" s="20"/>
      <c r="W922" s="20"/>
      <c r="X922" s="20"/>
      <c r="Y922" s="20"/>
      <c r="Z922" s="20"/>
    </row>
    <row r="923" spans="10:26" ht="17.25" customHeight="1">
      <c r="J923" s="37"/>
      <c r="K923" s="58"/>
      <c r="L923" s="58"/>
      <c r="M923" s="58"/>
      <c r="N923" s="58"/>
      <c r="O923" s="31"/>
      <c r="P923" s="20"/>
      <c r="Q923" s="20"/>
      <c r="R923" s="20"/>
      <c r="S923" s="20"/>
      <c r="T923" s="20"/>
      <c r="U923" s="20"/>
      <c r="V923" s="20"/>
      <c r="W923" s="20"/>
      <c r="X923" s="20"/>
      <c r="Y923" s="20"/>
      <c r="Z923" s="20"/>
    </row>
    <row r="924" spans="10:26" ht="17.25" customHeight="1">
      <c r="J924" s="37"/>
      <c r="K924" s="58"/>
      <c r="L924" s="58"/>
      <c r="M924" s="58"/>
      <c r="N924" s="58"/>
      <c r="O924" s="31"/>
      <c r="P924" s="20"/>
      <c r="Q924" s="20"/>
      <c r="R924" s="20"/>
      <c r="S924" s="20"/>
      <c r="T924" s="20"/>
      <c r="U924" s="20"/>
      <c r="V924" s="20"/>
      <c r="W924" s="20"/>
      <c r="X924" s="20"/>
      <c r="Y924" s="20"/>
      <c r="Z924" s="20"/>
    </row>
    <row r="925" spans="10:26" ht="17.25" customHeight="1">
      <c r="J925" s="37"/>
      <c r="K925" s="58"/>
      <c r="L925" s="58"/>
      <c r="M925" s="58"/>
      <c r="N925" s="58"/>
      <c r="O925" s="31"/>
      <c r="P925" s="20"/>
      <c r="Q925" s="20"/>
      <c r="R925" s="20"/>
      <c r="S925" s="20"/>
      <c r="T925" s="20"/>
      <c r="U925" s="20"/>
      <c r="V925" s="20"/>
      <c r="W925" s="20"/>
      <c r="X925" s="20"/>
      <c r="Y925" s="20"/>
      <c r="Z925" s="20"/>
    </row>
    <row r="926" spans="10:26" ht="17.25" customHeight="1">
      <c r="J926" s="37"/>
      <c r="K926" s="58"/>
      <c r="L926" s="58"/>
      <c r="M926" s="58"/>
      <c r="N926" s="58"/>
      <c r="O926" s="31"/>
      <c r="P926" s="20"/>
      <c r="Q926" s="20"/>
      <c r="R926" s="20"/>
      <c r="S926" s="20"/>
      <c r="T926" s="20"/>
      <c r="U926" s="20"/>
      <c r="V926" s="20"/>
      <c r="W926" s="20"/>
      <c r="X926" s="20"/>
      <c r="Y926" s="20"/>
      <c r="Z926" s="20"/>
    </row>
    <row r="927" spans="10:26" ht="17.25" customHeight="1">
      <c r="J927" s="37"/>
      <c r="K927" s="58"/>
      <c r="L927" s="58"/>
      <c r="M927" s="58"/>
      <c r="N927" s="58"/>
      <c r="O927" s="31"/>
      <c r="P927" s="20"/>
      <c r="Q927" s="20"/>
      <c r="R927" s="20"/>
      <c r="S927" s="20"/>
      <c r="T927" s="20"/>
      <c r="U927" s="20"/>
      <c r="V927" s="20"/>
      <c r="W927" s="20"/>
      <c r="X927" s="20"/>
      <c r="Y927" s="20"/>
      <c r="Z927" s="20"/>
    </row>
    <row r="928" spans="10:26" ht="17.25" customHeight="1">
      <c r="J928" s="37"/>
      <c r="K928" s="58"/>
      <c r="L928" s="58"/>
      <c r="M928" s="58"/>
      <c r="N928" s="58"/>
      <c r="O928" s="31"/>
      <c r="P928" s="20"/>
      <c r="Q928" s="20"/>
      <c r="R928" s="20"/>
      <c r="S928" s="20"/>
      <c r="T928" s="20"/>
      <c r="U928" s="20"/>
      <c r="V928" s="20"/>
      <c r="W928" s="20"/>
      <c r="X928" s="20"/>
      <c r="Y928" s="20"/>
      <c r="Z928" s="20"/>
    </row>
    <row r="929" spans="10:26" ht="17.25" customHeight="1">
      <c r="J929" s="37"/>
      <c r="K929" s="58"/>
      <c r="L929" s="58"/>
      <c r="M929" s="58"/>
      <c r="N929" s="58"/>
      <c r="O929" s="31"/>
      <c r="P929" s="20"/>
      <c r="Q929" s="20"/>
      <c r="R929" s="20"/>
      <c r="S929" s="20"/>
      <c r="T929" s="20"/>
      <c r="U929" s="20"/>
      <c r="V929" s="20"/>
      <c r="W929" s="20"/>
      <c r="X929" s="20"/>
      <c r="Y929" s="20"/>
      <c r="Z929" s="20"/>
    </row>
    <row r="930" spans="10:26" ht="17.25" customHeight="1">
      <c r="J930" s="37"/>
      <c r="K930" s="58"/>
      <c r="L930" s="58"/>
      <c r="M930" s="58"/>
      <c r="N930" s="58"/>
      <c r="O930" s="31"/>
      <c r="P930" s="20"/>
      <c r="Q930" s="20"/>
      <c r="R930" s="20"/>
      <c r="S930" s="20"/>
      <c r="T930" s="20"/>
      <c r="U930" s="20"/>
      <c r="V930" s="20"/>
      <c r="W930" s="20"/>
      <c r="X930" s="20"/>
      <c r="Y930" s="20"/>
      <c r="Z930" s="20"/>
    </row>
    <row r="931" spans="10:26" ht="17.25" customHeight="1">
      <c r="J931" s="37"/>
      <c r="K931" s="58"/>
      <c r="L931" s="58"/>
      <c r="M931" s="58"/>
      <c r="N931" s="58"/>
      <c r="O931" s="31"/>
      <c r="P931" s="20"/>
      <c r="Q931" s="20"/>
      <c r="R931" s="20"/>
      <c r="S931" s="20"/>
      <c r="T931" s="20"/>
      <c r="U931" s="20"/>
      <c r="V931" s="20"/>
      <c r="W931" s="20"/>
      <c r="X931" s="20"/>
      <c r="Y931" s="20"/>
      <c r="Z931" s="20"/>
    </row>
    <row r="932" spans="10:26" ht="17.25" customHeight="1">
      <c r="J932" s="37"/>
      <c r="K932" s="58"/>
      <c r="L932" s="58"/>
      <c r="M932" s="58"/>
      <c r="N932" s="58"/>
      <c r="O932" s="31"/>
      <c r="P932" s="20"/>
      <c r="Q932" s="20"/>
      <c r="R932" s="20"/>
      <c r="S932" s="20"/>
      <c r="T932" s="20"/>
      <c r="U932" s="20"/>
      <c r="V932" s="20"/>
      <c r="W932" s="20"/>
      <c r="X932" s="20"/>
      <c r="Y932" s="20"/>
      <c r="Z932" s="20"/>
    </row>
    <row r="933" spans="10:26" ht="17.25" customHeight="1">
      <c r="J933" s="37"/>
      <c r="K933" s="58"/>
      <c r="L933" s="58"/>
      <c r="M933" s="58"/>
      <c r="N933" s="58"/>
      <c r="O933" s="31"/>
      <c r="P933" s="20"/>
      <c r="Q933" s="20"/>
      <c r="R933" s="20"/>
      <c r="S933" s="20"/>
      <c r="T933" s="20"/>
      <c r="U933" s="20"/>
      <c r="V933" s="20"/>
      <c r="W933" s="20"/>
      <c r="X933" s="20"/>
      <c r="Y933" s="20"/>
      <c r="Z933" s="20"/>
    </row>
    <row r="934" spans="10:26" ht="17.25" customHeight="1">
      <c r="J934" s="37"/>
      <c r="K934" s="58"/>
      <c r="L934" s="58"/>
      <c r="M934" s="58"/>
      <c r="N934" s="58"/>
      <c r="O934" s="31"/>
      <c r="P934" s="20"/>
      <c r="Q934" s="20"/>
      <c r="R934" s="20"/>
      <c r="S934" s="20"/>
      <c r="T934" s="20"/>
      <c r="U934" s="20"/>
      <c r="V934" s="20"/>
      <c r="W934" s="20"/>
      <c r="X934" s="20"/>
      <c r="Y934" s="20"/>
      <c r="Z934" s="20"/>
    </row>
    <row r="935" spans="10:26" ht="17.25" customHeight="1">
      <c r="J935" s="37"/>
      <c r="K935" s="58"/>
      <c r="L935" s="58"/>
      <c r="M935" s="58"/>
      <c r="N935" s="58"/>
      <c r="O935" s="31"/>
      <c r="P935" s="20"/>
      <c r="Q935" s="20"/>
      <c r="R935" s="20"/>
      <c r="S935" s="20"/>
      <c r="T935" s="20"/>
      <c r="U935" s="20"/>
      <c r="V935" s="20"/>
      <c r="W935" s="20"/>
      <c r="X935" s="20"/>
      <c r="Y935" s="20"/>
      <c r="Z935" s="20"/>
    </row>
    <row r="936" spans="10:26" ht="17.25" customHeight="1">
      <c r="J936" s="37"/>
      <c r="K936" s="58"/>
      <c r="L936" s="58"/>
      <c r="M936" s="58"/>
      <c r="N936" s="58"/>
      <c r="O936" s="31"/>
      <c r="P936" s="20"/>
      <c r="Q936" s="20"/>
      <c r="R936" s="20"/>
      <c r="S936" s="20"/>
      <c r="T936" s="20"/>
      <c r="U936" s="20"/>
      <c r="V936" s="20"/>
      <c r="W936" s="20"/>
      <c r="X936" s="20"/>
      <c r="Y936" s="20"/>
      <c r="Z936" s="20"/>
    </row>
    <row r="937" spans="10:26" ht="17.25" customHeight="1">
      <c r="J937" s="37"/>
      <c r="K937" s="58"/>
      <c r="L937" s="58"/>
      <c r="M937" s="58"/>
      <c r="N937" s="58"/>
      <c r="O937" s="31"/>
      <c r="P937" s="20"/>
      <c r="Q937" s="20"/>
      <c r="R937" s="20"/>
      <c r="S937" s="20"/>
      <c r="T937" s="20"/>
      <c r="U937" s="20"/>
      <c r="V937" s="20"/>
      <c r="W937" s="20"/>
      <c r="X937" s="20"/>
      <c r="Y937" s="20"/>
      <c r="Z937" s="20"/>
    </row>
    <row r="938" spans="10:26" ht="17.25" customHeight="1">
      <c r="J938" s="37"/>
      <c r="K938" s="58"/>
      <c r="L938" s="58"/>
      <c r="M938" s="58"/>
      <c r="N938" s="58"/>
      <c r="O938" s="31"/>
      <c r="P938" s="20"/>
      <c r="Q938" s="20"/>
      <c r="R938" s="20"/>
      <c r="S938" s="20"/>
      <c r="T938" s="20"/>
      <c r="U938" s="20"/>
      <c r="V938" s="20"/>
      <c r="W938" s="20"/>
      <c r="X938" s="20"/>
      <c r="Y938" s="20"/>
      <c r="Z938" s="20"/>
    </row>
    <row r="939" spans="10:26" ht="17.25" customHeight="1">
      <c r="J939" s="37"/>
      <c r="K939" s="58"/>
      <c r="L939" s="58"/>
      <c r="M939" s="58"/>
      <c r="N939" s="58"/>
      <c r="O939" s="31"/>
      <c r="P939" s="20"/>
      <c r="Q939" s="20"/>
      <c r="R939" s="20"/>
      <c r="S939" s="20"/>
      <c r="T939" s="20"/>
      <c r="U939" s="20"/>
      <c r="V939" s="20"/>
      <c r="W939" s="20"/>
      <c r="X939" s="20"/>
      <c r="Y939" s="20"/>
      <c r="Z939" s="20"/>
    </row>
    <row r="940" spans="10:26" ht="17.25" customHeight="1">
      <c r="J940" s="37"/>
      <c r="K940" s="58"/>
      <c r="L940" s="58"/>
      <c r="M940" s="58"/>
      <c r="N940" s="58"/>
      <c r="O940" s="31"/>
      <c r="P940" s="20"/>
      <c r="Q940" s="20"/>
      <c r="R940" s="20"/>
      <c r="S940" s="20"/>
      <c r="T940" s="20"/>
      <c r="U940" s="20"/>
      <c r="V940" s="20"/>
      <c r="W940" s="20"/>
      <c r="X940" s="20"/>
      <c r="Y940" s="20"/>
      <c r="Z940" s="20"/>
    </row>
    <row r="941" spans="10:26" ht="17.25" customHeight="1">
      <c r="J941" s="37"/>
      <c r="K941" s="58"/>
      <c r="L941" s="58"/>
      <c r="M941" s="58"/>
      <c r="N941" s="58"/>
      <c r="O941" s="31"/>
      <c r="P941" s="20"/>
      <c r="Q941" s="20"/>
      <c r="R941" s="20"/>
      <c r="S941" s="20"/>
      <c r="T941" s="20"/>
      <c r="U941" s="20"/>
      <c r="V941" s="20"/>
      <c r="W941" s="20"/>
      <c r="X941" s="20"/>
      <c r="Y941" s="20"/>
      <c r="Z941" s="20"/>
    </row>
    <row r="942" spans="10:26" ht="17.25" customHeight="1">
      <c r="J942" s="37"/>
      <c r="K942" s="58"/>
      <c r="L942" s="58"/>
      <c r="M942" s="58"/>
      <c r="N942" s="58"/>
      <c r="O942" s="31"/>
      <c r="P942" s="20"/>
      <c r="Q942" s="20"/>
      <c r="R942" s="20"/>
      <c r="S942" s="20"/>
      <c r="T942" s="20"/>
      <c r="U942" s="20"/>
      <c r="V942" s="20"/>
      <c r="W942" s="20"/>
      <c r="X942" s="20"/>
      <c r="Y942" s="20"/>
      <c r="Z942" s="20"/>
    </row>
    <row r="943" spans="10:26" ht="17.25" customHeight="1">
      <c r="J943" s="37"/>
      <c r="K943" s="58"/>
      <c r="L943" s="58"/>
      <c r="M943" s="58"/>
      <c r="N943" s="58"/>
      <c r="O943" s="31"/>
      <c r="P943" s="20"/>
      <c r="Q943" s="20"/>
      <c r="R943" s="20"/>
      <c r="S943" s="20"/>
      <c r="T943" s="20"/>
      <c r="U943" s="20"/>
      <c r="V943" s="20"/>
      <c r="W943" s="20"/>
      <c r="X943" s="20"/>
      <c r="Y943" s="20"/>
      <c r="Z943" s="20"/>
    </row>
    <row r="944" spans="10:26" ht="17.25" customHeight="1">
      <c r="J944" s="37"/>
      <c r="K944" s="58"/>
      <c r="L944" s="58"/>
      <c r="M944" s="58"/>
      <c r="N944" s="58"/>
      <c r="O944" s="31"/>
      <c r="P944" s="20"/>
      <c r="Q944" s="20"/>
      <c r="R944" s="20"/>
      <c r="S944" s="20"/>
      <c r="T944" s="20"/>
      <c r="U944" s="20"/>
      <c r="V944" s="20"/>
      <c r="W944" s="20"/>
      <c r="X944" s="20"/>
      <c r="Y944" s="20"/>
      <c r="Z944" s="20"/>
    </row>
    <row r="945" spans="10:26" ht="17.25" customHeight="1">
      <c r="J945" s="37"/>
      <c r="K945" s="58"/>
      <c r="L945" s="58"/>
      <c r="M945" s="58"/>
      <c r="N945" s="58"/>
      <c r="O945" s="31"/>
      <c r="P945" s="20"/>
      <c r="Q945" s="20"/>
      <c r="R945" s="20"/>
      <c r="S945" s="20"/>
      <c r="T945" s="20"/>
      <c r="U945" s="20"/>
      <c r="V945" s="20"/>
      <c r="W945" s="20"/>
      <c r="X945" s="20"/>
      <c r="Y945" s="20"/>
      <c r="Z945" s="20"/>
    </row>
    <row r="946" spans="10:26" ht="17.25" customHeight="1">
      <c r="J946" s="37"/>
      <c r="K946" s="58"/>
      <c r="L946" s="58"/>
      <c r="M946" s="58"/>
      <c r="N946" s="58"/>
      <c r="O946" s="31"/>
      <c r="P946" s="20"/>
      <c r="Q946" s="20"/>
      <c r="R946" s="20"/>
      <c r="S946" s="20"/>
      <c r="T946" s="20"/>
      <c r="U946" s="20"/>
      <c r="V946" s="20"/>
      <c r="W946" s="20"/>
      <c r="X946" s="20"/>
      <c r="Y946" s="20"/>
      <c r="Z946" s="20"/>
    </row>
    <row r="947" spans="10:26" ht="17.25" customHeight="1">
      <c r="J947" s="37"/>
      <c r="K947" s="58"/>
      <c r="L947" s="58"/>
      <c r="M947" s="58"/>
      <c r="N947" s="58"/>
      <c r="O947" s="31"/>
      <c r="P947" s="20"/>
      <c r="Q947" s="20"/>
      <c r="R947" s="20"/>
      <c r="S947" s="20"/>
      <c r="T947" s="20"/>
      <c r="U947" s="20"/>
      <c r="V947" s="20"/>
      <c r="W947" s="20"/>
      <c r="X947" s="20"/>
      <c r="Y947" s="20"/>
      <c r="Z947" s="20"/>
    </row>
    <row r="948" spans="10:26" ht="17.25" customHeight="1">
      <c r="J948" s="37"/>
      <c r="K948" s="58"/>
      <c r="L948" s="58"/>
      <c r="M948" s="58"/>
      <c r="N948" s="58"/>
      <c r="O948" s="31"/>
      <c r="P948" s="20"/>
      <c r="Q948" s="20"/>
      <c r="R948" s="20"/>
      <c r="S948" s="20"/>
      <c r="T948" s="20"/>
      <c r="U948" s="20"/>
      <c r="V948" s="20"/>
      <c r="W948" s="20"/>
      <c r="X948" s="20"/>
      <c r="Y948" s="20"/>
      <c r="Z948" s="20"/>
    </row>
    <row r="949" spans="10:26" ht="17.25" customHeight="1">
      <c r="J949" s="37"/>
      <c r="K949" s="58"/>
      <c r="L949" s="58"/>
      <c r="M949" s="58"/>
      <c r="N949" s="58"/>
      <c r="O949" s="31"/>
      <c r="P949" s="20"/>
      <c r="Q949" s="20"/>
      <c r="R949" s="20"/>
      <c r="S949" s="20"/>
      <c r="T949" s="20"/>
      <c r="U949" s="20"/>
      <c r="V949" s="20"/>
      <c r="W949" s="20"/>
      <c r="X949" s="20"/>
      <c r="Y949" s="20"/>
      <c r="Z949" s="20"/>
    </row>
    <row r="950" spans="10:26" ht="17.25" customHeight="1">
      <c r="J950" s="37"/>
      <c r="K950" s="58"/>
      <c r="L950" s="58"/>
      <c r="M950" s="58"/>
      <c r="N950" s="58"/>
      <c r="O950" s="31"/>
      <c r="P950" s="20"/>
      <c r="Q950" s="20"/>
      <c r="R950" s="20"/>
      <c r="S950" s="20"/>
      <c r="T950" s="20"/>
      <c r="U950" s="20"/>
      <c r="V950" s="20"/>
      <c r="W950" s="20"/>
      <c r="X950" s="20"/>
      <c r="Y950" s="20"/>
      <c r="Z950" s="20"/>
    </row>
    <row r="951" spans="10:26" ht="17.25" customHeight="1">
      <c r="J951" s="37"/>
      <c r="K951" s="58"/>
      <c r="L951" s="58"/>
      <c r="M951" s="58"/>
      <c r="N951" s="58"/>
      <c r="O951" s="31"/>
      <c r="P951" s="20"/>
      <c r="Q951" s="20"/>
      <c r="R951" s="20"/>
      <c r="S951" s="20"/>
      <c r="T951" s="20"/>
      <c r="U951" s="20"/>
      <c r="V951" s="20"/>
      <c r="W951" s="20"/>
      <c r="X951" s="20"/>
      <c r="Y951" s="20"/>
      <c r="Z951" s="20"/>
    </row>
    <row r="952" spans="10:26" ht="17.25" customHeight="1">
      <c r="J952" s="37"/>
      <c r="K952" s="58"/>
      <c r="L952" s="58"/>
      <c r="M952" s="58"/>
      <c r="N952" s="58"/>
      <c r="O952" s="31"/>
      <c r="P952" s="20"/>
      <c r="Q952" s="20"/>
      <c r="R952" s="20"/>
      <c r="S952" s="20"/>
      <c r="T952" s="20"/>
      <c r="U952" s="20"/>
      <c r="V952" s="20"/>
      <c r="W952" s="20"/>
      <c r="X952" s="20"/>
      <c r="Y952" s="20"/>
      <c r="Z952" s="20"/>
    </row>
    <row r="953" spans="10:26" ht="17.25" customHeight="1">
      <c r="J953" s="37"/>
      <c r="K953" s="58"/>
      <c r="L953" s="58"/>
      <c r="M953" s="58"/>
      <c r="N953" s="58"/>
      <c r="O953" s="31"/>
      <c r="P953" s="20"/>
      <c r="Q953" s="20"/>
      <c r="R953" s="20"/>
      <c r="S953" s="20"/>
      <c r="T953" s="20"/>
      <c r="U953" s="20"/>
      <c r="V953" s="20"/>
      <c r="W953" s="20"/>
      <c r="X953" s="20"/>
      <c r="Y953" s="20"/>
      <c r="Z953" s="20"/>
    </row>
    <row r="954" spans="10:26" ht="17.25" customHeight="1">
      <c r="J954" s="37"/>
      <c r="K954" s="58"/>
      <c r="L954" s="58"/>
      <c r="M954" s="58"/>
      <c r="N954" s="58"/>
      <c r="O954" s="31"/>
      <c r="P954" s="20"/>
      <c r="Q954" s="20"/>
      <c r="R954" s="20"/>
      <c r="S954" s="20"/>
      <c r="T954" s="20"/>
      <c r="U954" s="20"/>
      <c r="V954" s="20"/>
      <c r="W954" s="20"/>
      <c r="X954" s="20"/>
      <c r="Y954" s="20"/>
      <c r="Z954" s="20"/>
    </row>
    <row r="955" spans="10:26" ht="17.25" customHeight="1">
      <c r="J955" s="37"/>
      <c r="K955" s="58"/>
      <c r="L955" s="58"/>
      <c r="M955" s="58"/>
      <c r="N955" s="58"/>
      <c r="O955" s="31"/>
      <c r="P955" s="20"/>
      <c r="Q955" s="20"/>
      <c r="R955" s="20"/>
      <c r="S955" s="20"/>
      <c r="T955" s="20"/>
      <c r="U955" s="20"/>
      <c r="V955" s="20"/>
      <c r="W955" s="20"/>
      <c r="X955" s="20"/>
      <c r="Y955" s="20"/>
      <c r="Z955" s="20"/>
    </row>
    <row r="956" spans="10:26" ht="17.25" customHeight="1">
      <c r="J956" s="37"/>
      <c r="K956" s="58"/>
      <c r="L956" s="58"/>
      <c r="M956" s="58"/>
      <c r="N956" s="58"/>
      <c r="O956" s="31"/>
      <c r="P956" s="20"/>
      <c r="Q956" s="20"/>
      <c r="R956" s="20"/>
      <c r="S956" s="20"/>
      <c r="T956" s="20"/>
      <c r="U956" s="20"/>
      <c r="V956" s="20"/>
      <c r="W956" s="20"/>
      <c r="X956" s="20"/>
      <c r="Y956" s="20"/>
      <c r="Z956" s="20"/>
    </row>
  </sheetData>
  <autoFilter ref="A2:K33" xr:uid="{00000000-0001-0000-1300-000000000000}"/>
  <mergeCells count="1">
    <mergeCell ref="C1:J1"/>
  </mergeCells>
  <conditionalFormatting sqref="D3:D114">
    <cfRule type="containsBlanks" dxfId="41" priority="1">
      <formula>LEN(TRIM(D3))=0</formula>
    </cfRule>
  </conditionalFormatting>
  <conditionalFormatting sqref="E3:E6 H3:I6 G3:G33 F3:F72 E21:E23 J3:J72">
    <cfRule type="containsBlanks" dxfId="40" priority="4">
      <formula>LEN(TRIM(E3))=0</formula>
    </cfRule>
  </conditionalFormatting>
  <conditionalFormatting sqref="E3:F4 H3:I6 A3:B77 C3:C164 I7:I18 E7:G77 H19:I32 H33 H34:I80 J7:J77">
    <cfRule type="containsBlanks" dxfId="39" priority="2">
      <formula>LEN(TRIM(A3))=0</formula>
    </cfRule>
  </conditionalFormatting>
  <conditionalFormatting sqref="E3:J6 E7:G18 I7:J18 E33:H33 J33 E34:J80 E19:J32">
    <cfRule type="containsBlanks" dxfId="38" priority="3">
      <formula>LEN(TRIM(E3))=0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1300-000000000000}">
          <x14:formula1>
            <xm:f>HVAC_options!$M$3:$M$7</xm:f>
          </x14:formula1>
          <xm:sqref>H3:H6 H19:H80</xm:sqref>
        </x14:dataValidation>
        <x14:dataValidation type="list" allowBlank="1" showErrorMessage="1" xr:uid="{00000000-0002-0000-1300-000001000000}">
          <x14:formula1>
            <xm:f>HVAC_options!$N$3:$N$7</xm:f>
          </x14:formula1>
          <xm:sqref>I3:I32 I34:I80</xm:sqref>
        </x14:dataValidation>
        <x14:dataValidation type="list" allowBlank="1" showErrorMessage="1" xr:uid="{00000000-0002-0000-1300-000002000000}">
          <x14:formula1>
            <xm:f>HVAC_options!$O$3:$O$8</xm:f>
          </x14:formula1>
          <xm:sqref>J3:J72</xm:sqref>
        </x14:dataValidation>
        <x14:dataValidation type="list" allowBlank="1" showErrorMessage="1" xr:uid="{00000000-0002-0000-1300-000003000000}">
          <x14:formula1>
            <xm:f>HVAC_options!$E$3:$E$7</xm:f>
          </x14:formula1>
          <xm:sqref>F3:F72</xm:sqref>
        </x14:dataValidation>
        <x14:dataValidation type="list" allowBlank="1" showErrorMessage="1" xr:uid="{00000000-0002-0000-1300-000004000000}">
          <x14:formula1>
            <xm:f>Year_schedules!$A$3:$A$62</xm:f>
          </x14:formula1>
          <xm:sqref>G3:G33</xm:sqref>
        </x14:dataValidation>
        <x14:dataValidation type="list" allowBlank="1" showErrorMessage="1" xr:uid="{00000000-0002-0000-1300-000005000000}">
          <x14:formula1>
            <xm:f>HVAC_options!$F$3:$F$7</xm:f>
          </x14:formula1>
          <xm:sqref>E3:E72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sheetPr>
  <dimension ref="A1:Z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34.42578125" customWidth="1"/>
    <col min="2" max="2" width="61.140625" customWidth="1"/>
    <col min="3" max="3" width="32.140625" customWidth="1"/>
    <col min="4" max="4" width="30" customWidth="1"/>
    <col min="5" max="5" width="31.42578125" customWidth="1"/>
    <col min="6" max="26" width="11.42578125" customWidth="1"/>
  </cols>
  <sheetData>
    <row r="1" spans="1:26" ht="49.5" customHeight="1">
      <c r="A1" s="38" t="s">
        <v>4811</v>
      </c>
      <c r="B1" s="39" t="s">
        <v>4812</v>
      </c>
      <c r="C1" s="38" t="s">
        <v>4813</v>
      </c>
      <c r="D1" s="39" t="s">
        <v>4812</v>
      </c>
      <c r="E1" s="40" t="s">
        <v>4814</v>
      </c>
      <c r="F1" s="20"/>
      <c r="G1" s="20"/>
      <c r="H1" s="20"/>
      <c r="I1" s="20"/>
      <c r="J1" s="20"/>
      <c r="K1" s="20"/>
      <c r="L1" s="20"/>
      <c r="M1" s="20"/>
      <c r="N1" s="20"/>
      <c r="O1" s="20"/>
      <c r="P1" s="20"/>
      <c r="Q1" s="20"/>
      <c r="R1" s="20"/>
      <c r="S1" s="20"/>
      <c r="T1" s="20"/>
      <c r="U1" s="20"/>
      <c r="V1" s="20"/>
      <c r="W1" s="20"/>
      <c r="X1" s="20"/>
      <c r="Y1" s="20"/>
      <c r="Z1" s="20"/>
    </row>
    <row r="2" spans="1:26" ht="17.25" customHeight="1">
      <c r="A2" s="81" t="s">
        <v>4815</v>
      </c>
      <c r="B2" s="82" t="s">
        <v>4816</v>
      </c>
      <c r="C2" s="81" t="s">
        <v>42</v>
      </c>
      <c r="D2" s="81" t="s">
        <v>4817</v>
      </c>
      <c r="E2" s="83" t="s">
        <v>4818</v>
      </c>
      <c r="F2" s="20"/>
      <c r="G2" s="20"/>
      <c r="H2" s="20"/>
      <c r="I2" s="20"/>
      <c r="J2" s="20"/>
      <c r="K2" s="20"/>
      <c r="L2" s="20"/>
      <c r="M2" s="20"/>
      <c r="N2" s="20"/>
      <c r="O2" s="20"/>
      <c r="P2" s="20"/>
      <c r="Q2" s="20"/>
      <c r="R2" s="20"/>
      <c r="S2" s="20"/>
      <c r="T2" s="20"/>
      <c r="U2" s="20"/>
      <c r="V2" s="20"/>
      <c r="W2" s="20"/>
      <c r="X2" s="20"/>
      <c r="Y2" s="20"/>
      <c r="Z2" s="20"/>
    </row>
    <row r="3" spans="1:26" ht="17.25" customHeight="1">
      <c r="A3" s="15" t="s">
        <v>5144</v>
      </c>
      <c r="B3" s="45" t="e">
        <f t="array" aca="1" ref="B3" ca="1">_xludf.XLOOKUP(A3,Units!$A$2:$A$100,Units!$C$2:$C$100,"")</f>
        <v>#NAME?</v>
      </c>
      <c r="C3" s="15"/>
      <c r="D3" s="15" t="e">
        <f t="array" aca="1" ref="D3" ca="1">_xludf.XLOOKUP(A3,Units!$A$2:$A$100,Units!$B$2:$B$100,"")</f>
        <v>#NAME?</v>
      </c>
      <c r="E3" s="47"/>
      <c r="F3" s="20"/>
      <c r="G3" s="20"/>
      <c r="H3" s="20"/>
      <c r="I3" s="20"/>
      <c r="J3" s="20"/>
      <c r="K3" s="20"/>
      <c r="L3" s="20"/>
      <c r="M3" s="20"/>
      <c r="N3" s="20"/>
      <c r="O3" s="20"/>
      <c r="P3" s="20"/>
      <c r="Q3" s="20"/>
      <c r="R3" s="20"/>
      <c r="S3" s="20"/>
      <c r="T3" s="20"/>
      <c r="U3" s="20"/>
      <c r="V3" s="20"/>
      <c r="W3" s="20"/>
      <c r="X3" s="20"/>
      <c r="Y3" s="20"/>
      <c r="Z3" s="20"/>
    </row>
    <row r="4" spans="1:26" ht="17.25" customHeight="1">
      <c r="A4" s="15" t="s">
        <v>5145</v>
      </c>
      <c r="B4" s="45" t="e">
        <f t="array" aca="1" ref="B4" ca="1">_xludf.XLOOKUP(A4,Units!$A$2:$A$100,Units!$C$2:$C$100,"")</f>
        <v>#NAME?</v>
      </c>
      <c r="C4" s="15"/>
      <c r="D4" s="15" t="e">
        <f t="array" aca="1" ref="D4" ca="1">_xludf.XLOOKUP(A4,Units!$A$2:$A$100,Units!$B$2:$B$100,"")</f>
        <v>#NAME?</v>
      </c>
      <c r="E4" s="47"/>
      <c r="F4" s="20"/>
      <c r="G4" s="20"/>
      <c r="H4" s="20"/>
      <c r="I4" s="20"/>
      <c r="J4" s="20"/>
      <c r="K4" s="20"/>
      <c r="L4" s="20"/>
      <c r="M4" s="20"/>
      <c r="N4" s="20"/>
      <c r="O4" s="20"/>
      <c r="P4" s="20"/>
      <c r="Q4" s="20"/>
      <c r="R4" s="20"/>
      <c r="S4" s="20"/>
      <c r="T4" s="20"/>
      <c r="U4" s="20"/>
      <c r="V4" s="20"/>
      <c r="W4" s="20"/>
      <c r="X4" s="20"/>
      <c r="Y4" s="20"/>
      <c r="Z4" s="20"/>
    </row>
    <row r="5" spans="1:26" ht="17.25" customHeight="1">
      <c r="A5" s="15" t="s">
        <v>5146</v>
      </c>
      <c r="B5" s="45" t="e">
        <f t="array" aca="1" ref="B5" ca="1">_xludf.XLOOKUP(A5,Units!$A$2:$A$100,Units!$C$2:$C$100,"")</f>
        <v>#NAME?</v>
      </c>
      <c r="C5" s="15"/>
      <c r="D5" s="15" t="e">
        <f t="array" aca="1" ref="D5" ca="1">_xludf.XLOOKUP(A5,Units!$A$2:$A$100,Units!$B$2:$B$100,"")</f>
        <v>#NAME?</v>
      </c>
      <c r="E5" s="47"/>
      <c r="F5" s="20"/>
      <c r="G5" s="20"/>
      <c r="H5" s="20"/>
      <c r="I5" s="20"/>
      <c r="J5" s="20"/>
      <c r="K5" s="20"/>
      <c r="L5" s="20"/>
      <c r="M5" s="20"/>
      <c r="N5" s="20"/>
      <c r="O5" s="20"/>
      <c r="P5" s="20"/>
      <c r="Q5" s="20"/>
      <c r="R5" s="20"/>
      <c r="S5" s="20"/>
      <c r="T5" s="20"/>
      <c r="U5" s="20"/>
      <c r="V5" s="20"/>
      <c r="W5" s="20"/>
      <c r="X5" s="20"/>
      <c r="Y5" s="20"/>
      <c r="Z5" s="20"/>
    </row>
    <row r="6" spans="1:26" ht="17.25" customHeight="1">
      <c r="A6" s="15" t="s">
        <v>5147</v>
      </c>
      <c r="B6" s="45" t="e">
        <f t="array" aca="1" ref="B6" ca="1">_xludf.XLOOKUP(A6,Units!$A$2:$A$100,Units!$C$2:$C$100,"")</f>
        <v>#NAME?</v>
      </c>
      <c r="C6" s="15"/>
      <c r="D6" s="15" t="e">
        <f t="array" aca="1" ref="D6" ca="1">_xludf.XLOOKUP(A6,Units!$A$2:$A$100,Units!$B$2:$B$100,"")</f>
        <v>#NAME?</v>
      </c>
      <c r="E6" s="47"/>
      <c r="F6" s="20"/>
      <c r="G6" s="20"/>
      <c r="H6" s="20"/>
      <c r="I6" s="20"/>
      <c r="J6" s="20"/>
      <c r="K6" s="20"/>
      <c r="L6" s="20"/>
      <c r="M6" s="20"/>
      <c r="N6" s="20"/>
      <c r="O6" s="20"/>
      <c r="P6" s="20"/>
      <c r="Q6" s="20"/>
      <c r="R6" s="20"/>
      <c r="S6" s="20"/>
      <c r="T6" s="20"/>
      <c r="U6" s="20"/>
      <c r="V6" s="20"/>
      <c r="W6" s="20"/>
      <c r="X6" s="20"/>
      <c r="Y6" s="20"/>
      <c r="Z6" s="20"/>
    </row>
    <row r="7" spans="1:26" ht="17.25" customHeight="1">
      <c r="A7" s="15" t="s">
        <v>5144</v>
      </c>
      <c r="B7" s="45" t="e">
        <f t="array" aca="1" ref="B7" ca="1">_xludf.XLOOKUP(A7,Units!$A$2:$A$100,Units!$C$2:$C$100,"")</f>
        <v>#NAME?</v>
      </c>
      <c r="C7" s="15"/>
      <c r="D7" s="15" t="e">
        <f t="array" aca="1" ref="D7" ca="1">_xludf.XLOOKUP(A7,Units!$A$2:$A$100,Units!$B$2:$B$100,"")</f>
        <v>#NAME?</v>
      </c>
      <c r="E7" s="47"/>
      <c r="F7" s="20"/>
      <c r="G7" s="20"/>
      <c r="H7" s="20"/>
      <c r="I7" s="20"/>
      <c r="J7" s="20"/>
      <c r="K7" s="20"/>
      <c r="L7" s="20"/>
      <c r="M7" s="20"/>
      <c r="N7" s="20"/>
      <c r="O7" s="20"/>
      <c r="P7" s="20"/>
      <c r="Q7" s="20"/>
      <c r="R7" s="20"/>
      <c r="S7" s="20"/>
      <c r="T7" s="20"/>
      <c r="U7" s="20"/>
      <c r="V7" s="20"/>
      <c r="W7" s="20"/>
      <c r="X7" s="20"/>
      <c r="Y7" s="20"/>
      <c r="Z7" s="20"/>
    </row>
    <row r="8" spans="1:26" ht="17.25" customHeight="1">
      <c r="A8" s="15" t="s">
        <v>5145</v>
      </c>
      <c r="B8" s="45" t="e">
        <f t="array" aca="1" ref="B8" ca="1">_xludf.XLOOKUP(A8,Units!$A$2:$A$100,Units!$C$2:$C$100,"")</f>
        <v>#NAME?</v>
      </c>
      <c r="C8" s="15"/>
      <c r="D8" s="15" t="e">
        <f t="array" aca="1" ref="D8" ca="1">_xludf.XLOOKUP(A8,Units!$A$2:$A$100,Units!$B$2:$B$100,"")</f>
        <v>#NAME?</v>
      </c>
      <c r="E8" s="47"/>
      <c r="F8" s="20"/>
      <c r="G8" s="20"/>
      <c r="H8" s="20"/>
      <c r="I8" s="20"/>
      <c r="J8" s="20"/>
      <c r="K8" s="20"/>
      <c r="L8" s="20"/>
      <c r="M8" s="20"/>
      <c r="N8" s="20"/>
      <c r="O8" s="20"/>
      <c r="P8" s="20"/>
      <c r="Q8" s="20"/>
      <c r="R8" s="20"/>
      <c r="S8" s="20"/>
      <c r="T8" s="20"/>
      <c r="U8" s="20"/>
      <c r="V8" s="20"/>
      <c r="W8" s="20"/>
      <c r="X8" s="20"/>
      <c r="Y8" s="20"/>
      <c r="Z8" s="20"/>
    </row>
    <row r="9" spans="1:26" ht="17.25" customHeight="1">
      <c r="A9" s="15" t="s">
        <v>5146</v>
      </c>
      <c r="B9" s="45" t="e">
        <f t="array" aca="1" ref="B9" ca="1">_xludf.XLOOKUP(A9,Units!$A$2:$A$100,Units!$C$2:$C$100,"")</f>
        <v>#NAME?</v>
      </c>
      <c r="C9" s="15"/>
      <c r="D9" s="15" t="e">
        <f t="array" aca="1" ref="D9" ca="1">_xludf.XLOOKUP(A9,Units!$A$2:$A$100,Units!$B$2:$B$100,"")</f>
        <v>#NAME?</v>
      </c>
      <c r="E9" s="47"/>
      <c r="F9" s="20"/>
      <c r="G9" s="20"/>
      <c r="H9" s="20"/>
      <c r="I9" s="20"/>
      <c r="J9" s="20"/>
      <c r="K9" s="20"/>
      <c r="L9" s="20"/>
      <c r="M9" s="20"/>
      <c r="N9" s="20"/>
      <c r="O9" s="20"/>
      <c r="P9" s="20"/>
      <c r="Q9" s="20"/>
      <c r="R9" s="20"/>
      <c r="S9" s="20"/>
      <c r="T9" s="20"/>
      <c r="U9" s="20"/>
      <c r="V9" s="20"/>
      <c r="W9" s="20"/>
      <c r="X9" s="20"/>
      <c r="Y9" s="20"/>
      <c r="Z9" s="20"/>
    </row>
    <row r="10" spans="1:26" ht="17.25" customHeight="1">
      <c r="A10" s="15" t="s">
        <v>5147</v>
      </c>
      <c r="B10" s="45" t="e">
        <f t="array" aca="1" ref="B10" ca="1">_xludf.XLOOKUP(A10,Units!$A$2:$A$100,Units!$C$2:$C$100,"")</f>
        <v>#NAME?</v>
      </c>
      <c r="C10" s="15"/>
      <c r="D10" s="15" t="e">
        <f t="array" aca="1" ref="D10" ca="1">_xludf.XLOOKUP(A10,Units!$A$2:$A$100,Units!$B$2:$B$100,"")</f>
        <v>#NAME?</v>
      </c>
      <c r="E10" s="47"/>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5" t="s">
        <v>5144</v>
      </c>
      <c r="B11" s="45" t="e">
        <f t="array" aca="1" ref="B11" ca="1">_xludf.XLOOKUP(A11,Units!$A$2:$A$100,Units!$C$2:$C$100,"")</f>
        <v>#NAME?</v>
      </c>
      <c r="C11" s="15"/>
      <c r="D11" s="15" t="e">
        <f t="array" aca="1" ref="D11" ca="1">_xludf.XLOOKUP(A11,Units!$A$2:$A$100,Units!$B$2:$B$100,"")</f>
        <v>#NAME?</v>
      </c>
      <c r="E11" s="47"/>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5" t="s">
        <v>5145</v>
      </c>
      <c r="B12" s="45" t="e">
        <f t="array" aca="1" ref="B12" ca="1">_xludf.XLOOKUP(A12,Units!$A$2:$A$100,Units!$C$2:$C$100,"")</f>
        <v>#NAME?</v>
      </c>
      <c r="C12" s="15"/>
      <c r="D12" s="15" t="e">
        <f t="array" aca="1" ref="D12" ca="1">_xludf.XLOOKUP(A12,Units!$A$2:$A$100,Units!$B$2:$B$100,"")</f>
        <v>#NAME?</v>
      </c>
      <c r="E12" s="47"/>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5" t="s">
        <v>5146</v>
      </c>
      <c r="B13" s="45" t="e">
        <f t="array" aca="1" ref="B13" ca="1">_xludf.XLOOKUP(A13,Units!$A$2:$A$100,Units!$C$2:$C$100,"")</f>
        <v>#NAME?</v>
      </c>
      <c r="C13" s="15"/>
      <c r="D13" s="15" t="e">
        <f t="array" aca="1" ref="D13" ca="1">_xludf.XLOOKUP(A13,Units!$A$2:$A$100,Units!$B$2:$B$100,"")</f>
        <v>#NAME?</v>
      </c>
      <c r="E13" s="47"/>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5" t="s">
        <v>5147</v>
      </c>
      <c r="B14" s="45" t="e">
        <f t="array" aca="1" ref="B14" ca="1">_xludf.XLOOKUP(A14,Units!$A$2:$A$100,Units!$C$2:$C$100,"")</f>
        <v>#NAME?</v>
      </c>
      <c r="C14" s="15"/>
      <c r="D14" s="15" t="e">
        <f t="array" aca="1" ref="D14" ca="1">_xludf.XLOOKUP(A14,Units!$A$2:$A$100,Units!$B$2:$B$100,"")</f>
        <v>#NAME?</v>
      </c>
      <c r="E14" s="47"/>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5" t="s">
        <v>5144</v>
      </c>
      <c r="B15" s="45" t="e">
        <f t="array" aca="1" ref="B15" ca="1">_xludf.XLOOKUP(A15,Units!$A$2:$A$100,Units!$C$2:$C$100,"")</f>
        <v>#NAME?</v>
      </c>
      <c r="C15" s="15"/>
      <c r="D15" s="15" t="e">
        <f t="array" aca="1" ref="D15" ca="1">_xludf.XLOOKUP(A15,Units!$A$2:$A$100,Units!$B$2:$B$100,"")</f>
        <v>#NAME?</v>
      </c>
      <c r="E15" s="47"/>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5" t="s">
        <v>5145</v>
      </c>
      <c r="B16" s="45" t="e">
        <f t="array" aca="1" ref="B16" ca="1">_xludf.XLOOKUP(A16,Units!$A$2:$A$100,Units!$C$2:$C$100,"")</f>
        <v>#NAME?</v>
      </c>
      <c r="C16" s="15"/>
      <c r="D16" s="15" t="e">
        <f t="array" aca="1" ref="D16" ca="1">_xludf.XLOOKUP(A16,Units!$A$2:$A$100,Units!$B$2:$B$100,"")</f>
        <v>#NAME?</v>
      </c>
      <c r="E16" s="47"/>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5" t="s">
        <v>5146</v>
      </c>
      <c r="B17" s="45" t="e">
        <f t="array" aca="1" ref="B17" ca="1">_xludf.XLOOKUP(A17,Units!$A$2:$A$100,Units!$C$2:$C$100,"")</f>
        <v>#NAME?</v>
      </c>
      <c r="C17" s="15"/>
      <c r="D17" s="15" t="e">
        <f t="array" aca="1" ref="D17" ca="1">_xludf.XLOOKUP(A17,Units!$A$2:$A$100,Units!$B$2:$B$100,"")</f>
        <v>#NAME?</v>
      </c>
      <c r="E17" s="47"/>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5" t="s">
        <v>5147</v>
      </c>
      <c r="B18" s="45" t="e">
        <f t="array" aca="1" ref="B18" ca="1">_xludf.XLOOKUP(A18,Units!$A$2:$A$100,Units!$C$2:$C$100,"")</f>
        <v>#NAME?</v>
      </c>
      <c r="C18" s="15"/>
      <c r="D18" s="15" t="e">
        <f t="array" aca="1" ref="D18" ca="1">_xludf.XLOOKUP(A18,Units!$A$2:$A$100,Units!$B$2:$B$100,"")</f>
        <v>#NAME?</v>
      </c>
      <c r="E18" s="47"/>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5" t="s">
        <v>5144</v>
      </c>
      <c r="B19" s="45" t="e">
        <f t="array" aca="1" ref="B19" ca="1">_xludf.XLOOKUP(A19,Units!$A$2:$A$100,Units!$C$2:$C$100,"")</f>
        <v>#NAME?</v>
      </c>
      <c r="C19" s="15"/>
      <c r="D19" s="15" t="e">
        <f t="array" aca="1" ref="D19" ca="1">_xludf.XLOOKUP(A19,Units!$A$2:$A$100,Units!$B$2:$B$100,"")</f>
        <v>#NAME?</v>
      </c>
      <c r="E19" s="47"/>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5" t="s">
        <v>5145</v>
      </c>
      <c r="B20" s="45" t="e">
        <f t="array" aca="1" ref="B20" ca="1">_xludf.XLOOKUP(A20,Units!$A$2:$A$100,Units!$C$2:$C$100,"")</f>
        <v>#NAME?</v>
      </c>
      <c r="C20" s="15"/>
      <c r="D20" s="15" t="e">
        <f t="array" aca="1" ref="D20" ca="1">_xludf.XLOOKUP(A20,Units!$A$2:$A$100,Units!$B$2:$B$100,"")</f>
        <v>#NAME?</v>
      </c>
      <c r="E20" s="47"/>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5" t="s">
        <v>5146</v>
      </c>
      <c r="B21" s="45" t="e">
        <f t="array" aca="1" ref="B21" ca="1">_xludf.XLOOKUP(A21,Units!$A$2:$A$100,Units!$C$2:$C$100,"")</f>
        <v>#NAME?</v>
      </c>
      <c r="C21" s="15"/>
      <c r="D21" s="15" t="e">
        <f t="array" aca="1" ref="D21" ca="1">_xludf.XLOOKUP(A21,Units!$A$2:$A$100,Units!$B$2:$B$100,"")</f>
        <v>#NAME?</v>
      </c>
      <c r="E21" s="47"/>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5" t="s">
        <v>5147</v>
      </c>
      <c r="B22" s="45" t="e">
        <f t="array" aca="1" ref="B22" ca="1">_xludf.XLOOKUP(A22,Units!$A$2:$A$100,Units!$C$2:$C$100,"")</f>
        <v>#NAME?</v>
      </c>
      <c r="C22" s="15"/>
      <c r="D22" s="15" t="e">
        <f t="array" aca="1" ref="D22" ca="1">_xludf.XLOOKUP(A22,Units!$A$2:$A$100,Units!$B$2:$B$100,"")</f>
        <v>#NAME?</v>
      </c>
      <c r="E22" s="47"/>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5"/>
      <c r="B23" s="45"/>
      <c r="C23" s="15"/>
      <c r="E23" s="47"/>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5"/>
      <c r="B24" s="45"/>
      <c r="C24" s="15"/>
      <c r="E24" s="47"/>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5"/>
      <c r="B25" s="45"/>
      <c r="C25" s="15"/>
      <c r="E25" s="47"/>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5"/>
      <c r="B26" s="45"/>
      <c r="C26" s="15"/>
      <c r="E26" s="47"/>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5"/>
      <c r="B27" s="45"/>
      <c r="C27" s="15"/>
      <c r="E27" s="47"/>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5"/>
      <c r="B28" s="45"/>
      <c r="C28" s="15"/>
      <c r="E28" s="47"/>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5"/>
      <c r="B29" s="45"/>
      <c r="C29" s="15"/>
      <c r="E29" s="47"/>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5"/>
      <c r="B30" s="45"/>
      <c r="C30" s="15"/>
      <c r="E30" s="47"/>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5"/>
      <c r="B31" s="45"/>
      <c r="C31" s="15"/>
      <c r="E31" s="47"/>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5"/>
      <c r="B32" s="45"/>
      <c r="C32" s="15"/>
      <c r="E32" s="47"/>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5"/>
      <c r="B33" s="45"/>
      <c r="C33" s="15"/>
      <c r="E33" s="47"/>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5"/>
      <c r="B34" s="45"/>
      <c r="C34" s="15"/>
      <c r="E34" s="47"/>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5"/>
      <c r="B35" s="45"/>
      <c r="C35" s="15"/>
      <c r="E35" s="47"/>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5"/>
      <c r="B36" s="45"/>
      <c r="C36" s="15"/>
      <c r="E36" s="47"/>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5"/>
      <c r="B37" s="45"/>
      <c r="C37" s="15"/>
      <c r="E37" s="47"/>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5"/>
      <c r="B38" s="45"/>
      <c r="C38" s="15"/>
      <c r="E38" s="47"/>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5"/>
      <c r="B39" s="45"/>
      <c r="C39" s="15"/>
      <c r="E39" s="47"/>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5"/>
      <c r="B40" s="45"/>
      <c r="C40" s="15"/>
      <c r="E40" s="47"/>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5"/>
      <c r="B41" s="45"/>
      <c r="C41" s="15"/>
      <c r="E41" s="47"/>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5"/>
      <c r="B42" s="45"/>
      <c r="C42" s="15"/>
      <c r="E42" s="47"/>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5"/>
      <c r="B43" s="45"/>
      <c r="C43" s="15"/>
      <c r="E43" s="47"/>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5"/>
      <c r="B44" s="45"/>
      <c r="C44" s="15"/>
      <c r="E44" s="47"/>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5"/>
      <c r="B45" s="45"/>
      <c r="C45" s="15"/>
      <c r="E45" s="47"/>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5"/>
      <c r="B46" s="45"/>
      <c r="C46" s="15"/>
      <c r="E46" s="47"/>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5"/>
      <c r="B47" s="45"/>
      <c r="C47" s="15"/>
      <c r="E47" s="47"/>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5"/>
      <c r="B48" s="45"/>
      <c r="C48" s="15"/>
      <c r="E48" s="47"/>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5"/>
      <c r="B49" s="45"/>
      <c r="C49" s="15"/>
      <c r="E49" s="47"/>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5"/>
      <c r="B50" s="45"/>
      <c r="C50" s="15"/>
      <c r="E50" s="47"/>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5"/>
      <c r="B51" s="45"/>
      <c r="C51" s="15"/>
      <c r="E51" s="47"/>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5"/>
      <c r="B52" s="45"/>
      <c r="C52" s="15"/>
      <c r="E52" s="47"/>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5"/>
      <c r="B53" s="45"/>
      <c r="C53" s="15"/>
      <c r="E53" s="47"/>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5"/>
      <c r="B54" s="45"/>
      <c r="C54" s="15"/>
      <c r="E54" s="47"/>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5"/>
      <c r="B55" s="45"/>
      <c r="C55" s="15"/>
      <c r="E55" s="47"/>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15"/>
      <c r="B56" s="45"/>
      <c r="C56" s="15"/>
      <c r="E56" s="47"/>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15"/>
      <c r="B57" s="45"/>
      <c r="C57" s="15"/>
      <c r="E57" s="47"/>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15"/>
      <c r="B58" s="45"/>
      <c r="C58" s="15"/>
      <c r="E58" s="47"/>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15"/>
      <c r="B59" s="45"/>
      <c r="C59" s="15"/>
      <c r="E59" s="47"/>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15"/>
      <c r="B60" s="45"/>
      <c r="C60" s="15"/>
      <c r="E60" s="47"/>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15"/>
      <c r="B61" s="45"/>
      <c r="C61" s="15"/>
      <c r="E61" s="47"/>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15"/>
      <c r="B62" s="45"/>
      <c r="C62" s="15"/>
      <c r="E62" s="47"/>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5"/>
      <c r="B63" s="45"/>
      <c r="C63" s="15"/>
      <c r="E63" s="47"/>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15"/>
      <c r="B64" s="45"/>
      <c r="C64" s="15"/>
      <c r="E64" s="47"/>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15"/>
      <c r="B65" s="45"/>
      <c r="C65" s="15"/>
      <c r="E65" s="47"/>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15"/>
      <c r="B66" s="45"/>
      <c r="C66" s="15"/>
      <c r="E66" s="47"/>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15"/>
      <c r="B67" s="45"/>
      <c r="C67" s="15"/>
      <c r="E67" s="47"/>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15"/>
      <c r="B68" s="45"/>
      <c r="C68" s="15"/>
      <c r="E68" s="47"/>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15"/>
      <c r="B69" s="45"/>
      <c r="C69" s="15"/>
      <c r="E69" s="47"/>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15"/>
      <c r="B70" s="45"/>
      <c r="C70" s="15"/>
      <c r="E70" s="47"/>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15"/>
      <c r="B71" s="45"/>
      <c r="C71" s="15"/>
      <c r="E71" s="47"/>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15"/>
      <c r="B72" s="45"/>
      <c r="C72" s="15"/>
      <c r="E72" s="47"/>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15"/>
      <c r="B73" s="45"/>
      <c r="C73" s="15"/>
      <c r="E73" s="47"/>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15"/>
      <c r="B74" s="45"/>
      <c r="C74" s="15"/>
      <c r="E74" s="47"/>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15"/>
      <c r="B75" s="45"/>
      <c r="C75" s="15"/>
      <c r="E75" s="47"/>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15"/>
      <c r="B76" s="45"/>
      <c r="C76" s="15"/>
      <c r="E76" s="47"/>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15"/>
      <c r="B77" s="45"/>
      <c r="C77" s="15"/>
      <c r="E77" s="47"/>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15"/>
      <c r="B78" s="45"/>
      <c r="C78" s="15"/>
      <c r="E78" s="47"/>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15"/>
      <c r="B79" s="45"/>
      <c r="C79" s="15"/>
      <c r="E79" s="47"/>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15"/>
      <c r="B80" s="45"/>
      <c r="C80" s="15"/>
      <c r="E80" s="47"/>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15"/>
      <c r="B81" s="45"/>
      <c r="C81" s="15"/>
      <c r="E81" s="47"/>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15"/>
      <c r="B82" s="45"/>
      <c r="C82" s="15"/>
      <c r="E82" s="47"/>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15"/>
      <c r="B83" s="45"/>
      <c r="C83" s="15"/>
      <c r="E83" s="47"/>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15"/>
      <c r="B84" s="45"/>
      <c r="C84" s="15"/>
      <c r="E84" s="47"/>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15"/>
      <c r="B85" s="45"/>
      <c r="C85" s="15"/>
      <c r="E85" s="47"/>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15"/>
      <c r="B86" s="45"/>
      <c r="C86" s="15"/>
      <c r="E86" s="47"/>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15"/>
      <c r="B87" s="45"/>
      <c r="C87" s="15"/>
      <c r="E87" s="47"/>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15"/>
      <c r="B88" s="45"/>
      <c r="C88" s="15"/>
      <c r="E88" s="47"/>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15"/>
      <c r="B89" s="45"/>
      <c r="C89" s="15"/>
      <c r="E89" s="47"/>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15"/>
      <c r="B90" s="45"/>
      <c r="C90" s="15"/>
      <c r="E90" s="47"/>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15"/>
      <c r="B91" s="45"/>
      <c r="C91" s="15"/>
      <c r="E91" s="47"/>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15"/>
      <c r="B92" s="45"/>
      <c r="C92" s="15"/>
      <c r="E92" s="47"/>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15"/>
      <c r="B93" s="45"/>
      <c r="C93" s="15"/>
      <c r="E93" s="47"/>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15"/>
      <c r="B94" s="45"/>
      <c r="C94" s="15"/>
      <c r="E94" s="47"/>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15"/>
      <c r="B95" s="45"/>
      <c r="C95" s="15"/>
      <c r="E95" s="47"/>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15"/>
      <c r="B96" s="45"/>
      <c r="C96" s="15"/>
      <c r="E96" s="47"/>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15"/>
      <c r="B97" s="45"/>
      <c r="C97" s="15"/>
      <c r="E97" s="47"/>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15"/>
      <c r="B98" s="45"/>
      <c r="C98" s="15"/>
      <c r="E98" s="47"/>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15"/>
      <c r="B99" s="45"/>
      <c r="C99" s="15"/>
      <c r="E99" s="47"/>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15"/>
      <c r="B100" s="45"/>
      <c r="C100" s="15"/>
      <c r="E100" s="47"/>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15"/>
      <c r="B101" s="45"/>
      <c r="C101" s="15"/>
      <c r="E101" s="47"/>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15"/>
      <c r="B102" s="45"/>
      <c r="C102" s="15"/>
      <c r="E102" s="47"/>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15"/>
      <c r="B103" s="45"/>
      <c r="C103" s="15"/>
      <c r="E103" s="47"/>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15"/>
      <c r="B104" s="45"/>
      <c r="C104" s="15"/>
      <c r="E104" s="47"/>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15"/>
      <c r="B105" s="45"/>
      <c r="C105" s="15"/>
      <c r="E105" s="47"/>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15"/>
      <c r="B106" s="45"/>
      <c r="C106" s="15"/>
      <c r="E106" s="47"/>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15"/>
      <c r="B107" s="45"/>
      <c r="C107" s="15"/>
      <c r="E107" s="47"/>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15"/>
      <c r="B108" s="45"/>
      <c r="C108" s="15"/>
      <c r="E108" s="47"/>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15"/>
      <c r="B109" s="45"/>
      <c r="C109" s="15"/>
      <c r="E109" s="47"/>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15"/>
      <c r="B110" s="45"/>
      <c r="C110" s="15"/>
      <c r="E110" s="47"/>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15"/>
      <c r="B111" s="45"/>
      <c r="C111" s="15"/>
      <c r="E111" s="47"/>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15"/>
      <c r="B112" s="45"/>
      <c r="C112" s="15"/>
      <c r="E112" s="47"/>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15"/>
      <c r="B113" s="45"/>
      <c r="C113" s="15"/>
      <c r="E113" s="47"/>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15"/>
      <c r="B114" s="45"/>
      <c r="C114" s="15"/>
      <c r="E114" s="47"/>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15"/>
      <c r="B115" s="45"/>
      <c r="C115" s="15"/>
      <c r="E115" s="47"/>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15"/>
      <c r="B116" s="45"/>
      <c r="C116" s="15"/>
      <c r="E116" s="47"/>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15"/>
      <c r="B117" s="45"/>
      <c r="C117" s="15"/>
      <c r="E117" s="47"/>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15"/>
      <c r="B118" s="45"/>
      <c r="C118" s="15"/>
      <c r="E118" s="47"/>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15"/>
      <c r="B119" s="45"/>
      <c r="C119" s="15"/>
      <c r="E119" s="47"/>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15"/>
      <c r="B120" s="45"/>
      <c r="C120" s="15"/>
      <c r="E120" s="47"/>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15"/>
      <c r="B121" s="45"/>
      <c r="C121" s="15"/>
      <c r="E121" s="47"/>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15"/>
      <c r="B122" s="45"/>
      <c r="C122" s="15"/>
      <c r="E122" s="47"/>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15"/>
      <c r="B123" s="45"/>
      <c r="C123" s="15"/>
      <c r="E123" s="47"/>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15"/>
      <c r="B124" s="45"/>
      <c r="C124" s="15"/>
      <c r="E124" s="47"/>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15"/>
      <c r="B125" s="45"/>
      <c r="C125" s="15"/>
      <c r="E125" s="47"/>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15"/>
      <c r="B126" s="45"/>
      <c r="C126" s="15"/>
      <c r="E126" s="47"/>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15"/>
      <c r="B127" s="45"/>
      <c r="C127" s="15"/>
      <c r="E127" s="47"/>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15"/>
      <c r="B128" s="45"/>
      <c r="C128" s="15"/>
      <c r="E128" s="47"/>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15"/>
      <c r="B129" s="45"/>
      <c r="C129" s="15"/>
      <c r="E129" s="47"/>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15"/>
      <c r="B130" s="45"/>
      <c r="C130" s="15"/>
      <c r="E130" s="47"/>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15"/>
      <c r="B131" s="45"/>
      <c r="C131" s="15"/>
      <c r="E131" s="47"/>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15"/>
      <c r="B132" s="45"/>
      <c r="C132" s="15"/>
      <c r="E132" s="47"/>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15"/>
      <c r="B133" s="45"/>
      <c r="C133" s="15"/>
      <c r="E133" s="47"/>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15"/>
      <c r="B134" s="45"/>
      <c r="C134" s="15"/>
      <c r="E134" s="47"/>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15"/>
      <c r="B135" s="45"/>
      <c r="C135" s="15"/>
      <c r="E135" s="47"/>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15"/>
      <c r="B136" s="45"/>
      <c r="C136" s="15"/>
      <c r="E136" s="47"/>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15"/>
      <c r="B137" s="45"/>
      <c r="C137" s="15"/>
      <c r="E137" s="47"/>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15"/>
      <c r="B138" s="45"/>
      <c r="C138" s="15"/>
      <c r="E138" s="47"/>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15"/>
      <c r="B139" s="45"/>
      <c r="C139" s="15"/>
      <c r="E139" s="47"/>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15"/>
      <c r="B140" s="45"/>
      <c r="C140" s="15"/>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15"/>
      <c r="B141" s="45"/>
      <c r="C141" s="15"/>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15"/>
      <c r="B142" s="45"/>
      <c r="C142" s="15"/>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15"/>
      <c r="B143" s="45"/>
      <c r="C143" s="15"/>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15"/>
      <c r="B144" s="45"/>
      <c r="C144" s="15"/>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15"/>
      <c r="B145" s="45"/>
      <c r="C145" s="15"/>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15"/>
      <c r="B146" s="45"/>
      <c r="C146" s="15"/>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15"/>
      <c r="B147" s="45"/>
      <c r="C147" s="15"/>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15"/>
      <c r="B148" s="45"/>
      <c r="C148" s="15"/>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15"/>
      <c r="B149" s="45"/>
      <c r="C149" s="15"/>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15"/>
      <c r="B150" s="45"/>
      <c r="C150" s="15"/>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15"/>
      <c r="B151" s="45"/>
      <c r="C151" s="15"/>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15"/>
      <c r="B152" s="45"/>
      <c r="C152" s="15"/>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15"/>
      <c r="B153" s="45"/>
      <c r="C153" s="15"/>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15"/>
      <c r="B154" s="45"/>
      <c r="C154" s="15"/>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15"/>
      <c r="B155" s="45"/>
      <c r="C155" s="15"/>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15"/>
      <c r="B156" s="45"/>
      <c r="C156" s="15"/>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15"/>
      <c r="B157" s="45"/>
      <c r="C157" s="15"/>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15"/>
      <c r="B158" s="45"/>
      <c r="C158" s="15"/>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15"/>
      <c r="B159" s="45"/>
      <c r="C159" s="15"/>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15"/>
      <c r="B160" s="45"/>
      <c r="C160" s="15"/>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15"/>
      <c r="B161" s="45"/>
      <c r="C161" s="15"/>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15"/>
      <c r="B162" s="45"/>
      <c r="C162" s="15"/>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15"/>
      <c r="B163" s="45"/>
      <c r="C163" s="15"/>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15"/>
      <c r="B164" s="45"/>
      <c r="C164" s="15"/>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15"/>
      <c r="B165" s="45"/>
      <c r="C165" s="15"/>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15"/>
      <c r="B166" s="45"/>
      <c r="C166" s="15"/>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15"/>
      <c r="B167" s="45"/>
      <c r="C167" s="15"/>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15"/>
      <c r="B168" s="45"/>
      <c r="C168" s="15"/>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15"/>
      <c r="B169" s="45"/>
      <c r="C169" s="15"/>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15"/>
      <c r="B170" s="45"/>
      <c r="C170" s="15"/>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15"/>
      <c r="B171" s="45"/>
      <c r="C171" s="15"/>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15"/>
      <c r="B172" s="45"/>
      <c r="C172" s="15"/>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15"/>
      <c r="B173" s="45"/>
      <c r="C173" s="15"/>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15"/>
      <c r="B174" s="45"/>
      <c r="C174" s="15"/>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15"/>
      <c r="B175" s="45"/>
      <c r="C175" s="15"/>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15"/>
      <c r="B176" s="45"/>
      <c r="C176" s="15"/>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15"/>
      <c r="B177" s="45"/>
      <c r="C177" s="15"/>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15"/>
      <c r="B178" s="45"/>
      <c r="C178" s="15"/>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15"/>
      <c r="B179" s="45"/>
      <c r="C179" s="15"/>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15"/>
      <c r="B180" s="45"/>
      <c r="C180" s="15"/>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15"/>
      <c r="B181" s="45"/>
      <c r="C181" s="15"/>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15"/>
      <c r="B182" s="45"/>
      <c r="C182" s="15"/>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15"/>
      <c r="B183" s="45"/>
      <c r="C183" s="15"/>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15"/>
      <c r="B184" s="45"/>
      <c r="C184" s="15"/>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15"/>
      <c r="B185" s="45"/>
      <c r="C185" s="15"/>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15"/>
      <c r="B186" s="45"/>
      <c r="C186" s="15"/>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15"/>
      <c r="B187" s="45"/>
      <c r="C187" s="15"/>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15"/>
      <c r="B188" s="45"/>
      <c r="C188" s="15"/>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15"/>
      <c r="B189" s="45"/>
      <c r="C189" s="15"/>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15"/>
      <c r="B190" s="45"/>
      <c r="C190" s="15"/>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15"/>
      <c r="B191" s="45"/>
      <c r="C191" s="15"/>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15"/>
      <c r="B192" s="45"/>
      <c r="C192" s="15"/>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15"/>
      <c r="B193" s="45"/>
      <c r="C193" s="15"/>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15"/>
      <c r="B194" s="45"/>
      <c r="C194" s="15"/>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15"/>
      <c r="B195" s="45"/>
      <c r="C195" s="15"/>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15"/>
      <c r="B196" s="45"/>
      <c r="C196" s="15"/>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15"/>
      <c r="B197" s="45"/>
      <c r="C197" s="15"/>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15"/>
      <c r="B198" s="45"/>
      <c r="C198" s="15"/>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15"/>
      <c r="B199" s="45"/>
      <c r="C199" s="15"/>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15"/>
      <c r="B200" s="45"/>
      <c r="C200" s="15"/>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15"/>
      <c r="B201" s="45"/>
      <c r="C201" s="15"/>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15"/>
      <c r="B202" s="45"/>
      <c r="C202" s="15"/>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15"/>
      <c r="B203" s="45"/>
      <c r="C203" s="15"/>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15"/>
      <c r="B204" s="45"/>
      <c r="C204" s="15"/>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15"/>
      <c r="B205" s="45"/>
      <c r="C205" s="15"/>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15"/>
      <c r="B206" s="45"/>
      <c r="C206" s="15"/>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15"/>
      <c r="B207" s="45"/>
      <c r="C207" s="15"/>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15"/>
      <c r="B208" s="45"/>
      <c r="C208" s="15"/>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15"/>
      <c r="B209" s="45"/>
      <c r="C209" s="15"/>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15"/>
      <c r="B210" s="45"/>
      <c r="C210" s="15"/>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15"/>
      <c r="B211" s="45"/>
      <c r="C211" s="15"/>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15"/>
      <c r="B212" s="45"/>
      <c r="C212" s="15"/>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15"/>
      <c r="B213" s="45"/>
      <c r="C213" s="15"/>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15"/>
      <c r="B214" s="45"/>
      <c r="C214" s="15"/>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15"/>
      <c r="B215" s="45"/>
      <c r="C215" s="15"/>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15"/>
      <c r="B216" s="45"/>
      <c r="C216" s="15"/>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15"/>
      <c r="B217" s="45"/>
      <c r="C217" s="15"/>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15"/>
      <c r="B218" s="45"/>
      <c r="C218" s="15"/>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15"/>
      <c r="B219" s="45"/>
      <c r="C219" s="15"/>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15"/>
      <c r="B220" s="45"/>
      <c r="C220" s="15"/>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15"/>
      <c r="B221" s="45"/>
      <c r="C221" s="15"/>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15"/>
      <c r="B222" s="45"/>
      <c r="C222" s="15"/>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15"/>
      <c r="B223" s="45"/>
      <c r="C223" s="15"/>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15"/>
      <c r="B224" s="45"/>
      <c r="C224" s="15"/>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15"/>
      <c r="B225" s="45"/>
      <c r="C225" s="15"/>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15"/>
      <c r="B226" s="45"/>
      <c r="C226" s="15"/>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15"/>
      <c r="B227" s="45"/>
      <c r="C227" s="15"/>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15"/>
      <c r="B228" s="45"/>
      <c r="C228" s="15"/>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15"/>
      <c r="B229" s="45"/>
      <c r="C229" s="15"/>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15"/>
      <c r="B230" s="45"/>
      <c r="C230" s="15"/>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15"/>
      <c r="B231" s="45"/>
      <c r="C231" s="15"/>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15"/>
      <c r="B232" s="45"/>
      <c r="C232" s="15"/>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15"/>
      <c r="B233" s="45"/>
      <c r="C233" s="15"/>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15"/>
      <c r="B234" s="45"/>
      <c r="C234" s="15"/>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15"/>
      <c r="B235" s="45"/>
      <c r="C235" s="15"/>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15"/>
      <c r="B236" s="45"/>
      <c r="C236" s="15"/>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15"/>
      <c r="B237" s="45"/>
      <c r="C237" s="15"/>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15"/>
      <c r="B238" s="45"/>
      <c r="C238" s="15"/>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15"/>
      <c r="B239" s="45"/>
      <c r="C239" s="15"/>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15"/>
      <c r="B240" s="45"/>
      <c r="C240" s="15"/>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15"/>
      <c r="B241" s="45"/>
      <c r="C241" s="15"/>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15"/>
      <c r="B242" s="45"/>
      <c r="C242" s="15"/>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15"/>
      <c r="B243" s="45"/>
      <c r="C243" s="15"/>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15"/>
      <c r="B244" s="45"/>
      <c r="C244" s="15"/>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15"/>
      <c r="B245" s="45"/>
      <c r="C245" s="15"/>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15"/>
      <c r="B246" s="45"/>
      <c r="C246" s="15"/>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15"/>
      <c r="B247" s="45"/>
      <c r="C247" s="15"/>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15"/>
      <c r="B248" s="45"/>
      <c r="C248" s="15"/>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15"/>
      <c r="B249" s="45"/>
      <c r="C249" s="15"/>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15"/>
      <c r="B250" s="45"/>
      <c r="C250" s="15"/>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15"/>
      <c r="B251" s="45"/>
      <c r="C251" s="15"/>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15"/>
      <c r="B252" s="45"/>
      <c r="C252" s="15"/>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15"/>
      <c r="B253" s="45"/>
      <c r="C253" s="15"/>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15"/>
      <c r="B254" s="45"/>
      <c r="C254" s="15"/>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15"/>
      <c r="B255" s="45"/>
      <c r="C255" s="15"/>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15"/>
      <c r="B256" s="45"/>
      <c r="C256" s="15"/>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15"/>
      <c r="B257" s="45"/>
      <c r="C257" s="15"/>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15"/>
      <c r="B258" s="45"/>
      <c r="C258" s="15"/>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15"/>
      <c r="B259" s="45"/>
      <c r="C259" s="15"/>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15"/>
      <c r="B260" s="45"/>
      <c r="C260" s="15"/>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15"/>
      <c r="B261" s="45"/>
      <c r="C261" s="15"/>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15"/>
      <c r="B262" s="45"/>
      <c r="C262" s="15"/>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15"/>
      <c r="B263" s="45"/>
      <c r="C263" s="15"/>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15"/>
      <c r="B264" s="45"/>
      <c r="C264" s="15"/>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15"/>
      <c r="B265" s="45"/>
      <c r="C265" s="15"/>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15"/>
      <c r="B266" s="45"/>
      <c r="C266" s="15"/>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15"/>
      <c r="B267" s="45"/>
      <c r="C267" s="15"/>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15"/>
      <c r="B268" s="45"/>
      <c r="C268" s="15"/>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15"/>
      <c r="B269" s="45"/>
      <c r="C269" s="15"/>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15"/>
      <c r="B270" s="45"/>
      <c r="C270" s="15"/>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15"/>
      <c r="B271" s="45"/>
      <c r="C271" s="15"/>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15"/>
      <c r="B272" s="45"/>
      <c r="C272" s="15"/>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15"/>
      <c r="B273" s="45"/>
      <c r="C273" s="15"/>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15"/>
      <c r="B274" s="45"/>
      <c r="C274" s="15"/>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15"/>
      <c r="B275" s="45"/>
      <c r="C275" s="15"/>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15"/>
      <c r="B276" s="45"/>
      <c r="C276" s="15"/>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15"/>
      <c r="B277" s="45"/>
      <c r="C277" s="15"/>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15"/>
      <c r="B278" s="45"/>
      <c r="C278" s="15"/>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15"/>
      <c r="B279" s="45"/>
      <c r="C279" s="15"/>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15"/>
      <c r="B280" s="45"/>
      <c r="C280" s="15"/>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15"/>
      <c r="B281" s="45"/>
      <c r="C281" s="15"/>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15"/>
      <c r="B282" s="45"/>
      <c r="C282" s="15"/>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15"/>
      <c r="B283" s="45"/>
      <c r="C283" s="15"/>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15"/>
      <c r="B284" s="45"/>
      <c r="C284" s="15"/>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15"/>
      <c r="B285" s="45"/>
      <c r="C285" s="15"/>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15"/>
      <c r="B286" s="45"/>
      <c r="C286" s="15"/>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15"/>
      <c r="B287" s="45"/>
      <c r="C287" s="15"/>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15"/>
      <c r="B288" s="45"/>
      <c r="C288" s="15"/>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15"/>
      <c r="B289" s="45"/>
      <c r="C289" s="15"/>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15"/>
      <c r="B290" s="45"/>
      <c r="C290" s="15"/>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15"/>
      <c r="B291" s="45"/>
      <c r="C291" s="15"/>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15"/>
      <c r="B292" s="45"/>
      <c r="C292" s="15"/>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15"/>
      <c r="B293" s="45"/>
      <c r="C293" s="15"/>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15"/>
      <c r="B294" s="45"/>
      <c r="C294" s="15"/>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15"/>
      <c r="B295" s="45"/>
      <c r="C295" s="15"/>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15"/>
      <c r="B296" s="45"/>
      <c r="C296" s="15"/>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15"/>
      <c r="B297" s="45"/>
      <c r="C297" s="15"/>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15"/>
      <c r="B298" s="45"/>
      <c r="C298" s="15"/>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15"/>
      <c r="B299" s="45"/>
      <c r="C299" s="15"/>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15"/>
      <c r="B300" s="45"/>
      <c r="C300" s="15"/>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15"/>
      <c r="B301" s="45"/>
      <c r="C301" s="15"/>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15"/>
      <c r="B302" s="45"/>
      <c r="C302" s="15"/>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15"/>
      <c r="B303" s="45"/>
      <c r="C303" s="15"/>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15"/>
      <c r="B304" s="45"/>
      <c r="C304" s="15"/>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15"/>
      <c r="B305" s="45"/>
      <c r="C305" s="15"/>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15"/>
      <c r="B306" s="45"/>
      <c r="C306" s="15"/>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15"/>
      <c r="B307" s="45"/>
      <c r="C307" s="15"/>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15"/>
      <c r="B308" s="45"/>
      <c r="C308" s="15"/>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15"/>
      <c r="B309" s="45"/>
      <c r="C309" s="15"/>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15"/>
      <c r="B310" s="45"/>
      <c r="C310" s="15"/>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15"/>
      <c r="B311" s="45"/>
      <c r="C311" s="15"/>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15"/>
      <c r="B312" s="45"/>
      <c r="C312" s="15"/>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15"/>
      <c r="B313" s="45"/>
      <c r="C313" s="15"/>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15"/>
      <c r="B314" s="45"/>
      <c r="C314" s="15"/>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15"/>
      <c r="B315" s="45"/>
      <c r="C315" s="15"/>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15"/>
      <c r="B316" s="45"/>
      <c r="C316" s="15"/>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15"/>
      <c r="B317" s="45"/>
      <c r="C317" s="15"/>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15"/>
      <c r="B318" s="45"/>
      <c r="C318" s="15"/>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15"/>
      <c r="B319" s="45"/>
      <c r="C319" s="15"/>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15"/>
      <c r="B320" s="45"/>
      <c r="C320" s="15"/>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15"/>
      <c r="B321" s="45"/>
      <c r="C321" s="15"/>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15"/>
      <c r="B322" s="45"/>
      <c r="C322" s="15"/>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15"/>
      <c r="B323" s="45"/>
      <c r="C323" s="15"/>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15"/>
      <c r="B324" s="45"/>
      <c r="C324" s="15"/>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15"/>
      <c r="B325" s="45"/>
      <c r="C325" s="15"/>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15"/>
      <c r="B326" s="45"/>
      <c r="C326" s="15"/>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15"/>
      <c r="B327" s="45"/>
      <c r="C327" s="15"/>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15"/>
      <c r="B328" s="45"/>
      <c r="C328" s="15"/>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15"/>
      <c r="B329" s="45"/>
      <c r="C329" s="15"/>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15"/>
      <c r="B330" s="45"/>
      <c r="C330" s="15"/>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15"/>
      <c r="B331" s="45"/>
      <c r="C331" s="15"/>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15"/>
      <c r="B332" s="45"/>
      <c r="C332" s="15"/>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15"/>
      <c r="B333" s="45"/>
      <c r="C333" s="15"/>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15"/>
      <c r="B334" s="45"/>
      <c r="C334" s="15"/>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15"/>
      <c r="B335" s="45"/>
      <c r="C335" s="15"/>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15"/>
      <c r="B336" s="45"/>
      <c r="C336" s="15"/>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15"/>
      <c r="B337" s="45"/>
      <c r="C337" s="15"/>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15"/>
      <c r="B338" s="45"/>
      <c r="C338" s="15"/>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15"/>
      <c r="B339" s="45"/>
      <c r="C339" s="15"/>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15"/>
      <c r="B340" s="45"/>
      <c r="C340" s="15"/>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15"/>
      <c r="B341" s="45"/>
      <c r="C341" s="15"/>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15"/>
      <c r="B342" s="45"/>
      <c r="C342" s="15"/>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15"/>
      <c r="B343" s="45"/>
      <c r="C343" s="15"/>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15"/>
      <c r="B344" s="45"/>
      <c r="C344" s="15"/>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15"/>
      <c r="B345" s="45"/>
      <c r="C345" s="15"/>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15"/>
      <c r="B346" s="45"/>
      <c r="C346" s="15"/>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15"/>
      <c r="B347" s="45"/>
      <c r="C347" s="15"/>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15"/>
      <c r="B348" s="45"/>
      <c r="C348" s="15"/>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15"/>
      <c r="B349" s="45"/>
      <c r="C349" s="15"/>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15"/>
      <c r="B350" s="45"/>
      <c r="C350" s="15"/>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15"/>
      <c r="B351" s="45"/>
      <c r="C351" s="15"/>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15"/>
      <c r="B352" s="45"/>
      <c r="C352" s="15"/>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15"/>
      <c r="B353" s="45"/>
      <c r="C353" s="15"/>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15"/>
      <c r="B354" s="45"/>
      <c r="C354" s="15"/>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15"/>
      <c r="B355" s="45"/>
      <c r="C355" s="15"/>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15"/>
      <c r="B356" s="45"/>
      <c r="C356" s="15"/>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15"/>
      <c r="B357" s="45"/>
      <c r="C357" s="15"/>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15"/>
      <c r="B358" s="45"/>
      <c r="C358" s="15"/>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15"/>
      <c r="B359" s="45"/>
      <c r="C359" s="15"/>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15"/>
      <c r="B360" s="45"/>
      <c r="C360" s="15"/>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15"/>
      <c r="B361" s="45"/>
      <c r="C361" s="15"/>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15"/>
      <c r="B362" s="45"/>
      <c r="C362" s="15"/>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15"/>
      <c r="B363" s="45"/>
      <c r="C363" s="15"/>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15"/>
      <c r="B364" s="45"/>
      <c r="C364" s="15"/>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15"/>
      <c r="B365" s="45"/>
      <c r="C365" s="15"/>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15"/>
      <c r="B366" s="45"/>
      <c r="C366" s="15"/>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15"/>
      <c r="B367" s="45"/>
      <c r="C367" s="15"/>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15"/>
      <c r="B368" s="45"/>
      <c r="C368" s="15"/>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15"/>
      <c r="B369" s="45"/>
      <c r="C369" s="15"/>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15"/>
      <c r="B370" s="45"/>
      <c r="C370" s="15"/>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15"/>
      <c r="B371" s="45"/>
      <c r="C371" s="15"/>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15"/>
      <c r="B372" s="45"/>
      <c r="C372" s="15"/>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15"/>
      <c r="B373" s="45"/>
      <c r="C373" s="15"/>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15"/>
      <c r="B374" s="45"/>
      <c r="C374" s="15"/>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15"/>
      <c r="B375" s="45"/>
      <c r="C375" s="15"/>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15"/>
      <c r="B376" s="45"/>
      <c r="C376" s="15"/>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15"/>
      <c r="B377" s="45"/>
      <c r="C377" s="15"/>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15"/>
      <c r="B378" s="45"/>
      <c r="C378" s="15"/>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15"/>
      <c r="B379" s="45"/>
      <c r="C379" s="15"/>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15"/>
      <c r="B380" s="45"/>
      <c r="C380" s="15"/>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15"/>
      <c r="B381" s="45"/>
      <c r="C381" s="15"/>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15"/>
      <c r="B382" s="45"/>
      <c r="C382" s="15"/>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15"/>
      <c r="B383" s="45"/>
      <c r="C383" s="15"/>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15"/>
      <c r="B384" s="45"/>
      <c r="C384" s="15"/>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15"/>
      <c r="B385" s="45"/>
      <c r="C385" s="15"/>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15"/>
      <c r="B386" s="45"/>
      <c r="C386" s="15"/>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15"/>
      <c r="B387" s="45"/>
      <c r="C387" s="15"/>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15"/>
      <c r="B388" s="45"/>
      <c r="C388" s="15"/>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15"/>
      <c r="B389" s="45"/>
      <c r="C389" s="15"/>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15"/>
      <c r="B390" s="45"/>
      <c r="C390" s="15"/>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15"/>
      <c r="B391" s="45"/>
      <c r="C391" s="15"/>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15"/>
      <c r="B392" s="45"/>
      <c r="C392" s="15"/>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15"/>
      <c r="B393" s="45"/>
      <c r="C393" s="15"/>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15"/>
      <c r="B394" s="45"/>
      <c r="C394" s="15"/>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15"/>
      <c r="B395" s="45"/>
      <c r="C395" s="15"/>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15"/>
      <c r="B396" s="45"/>
      <c r="C396" s="15"/>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15"/>
      <c r="B397" s="45"/>
      <c r="C397" s="15"/>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15"/>
      <c r="B398" s="45"/>
      <c r="C398" s="15"/>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15"/>
      <c r="B399" s="45"/>
      <c r="C399" s="15"/>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15"/>
      <c r="B400" s="45"/>
      <c r="C400" s="15"/>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15"/>
      <c r="B401" s="45"/>
      <c r="C401" s="15"/>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15"/>
      <c r="B402" s="45"/>
      <c r="C402" s="15"/>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15"/>
      <c r="B403" s="45"/>
      <c r="C403" s="15"/>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15"/>
      <c r="B404" s="45"/>
      <c r="C404" s="15"/>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15"/>
      <c r="B405" s="45"/>
      <c r="C405" s="15"/>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15"/>
      <c r="B406" s="45"/>
      <c r="C406" s="15"/>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15"/>
      <c r="B407" s="45"/>
      <c r="C407" s="15"/>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15"/>
      <c r="B408" s="45"/>
      <c r="C408" s="15"/>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15"/>
      <c r="B409" s="45"/>
      <c r="C409" s="15"/>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15"/>
      <c r="B410" s="45"/>
      <c r="C410" s="15"/>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15"/>
      <c r="B411" s="45"/>
      <c r="C411" s="15"/>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15"/>
      <c r="B412" s="45"/>
      <c r="C412" s="15"/>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15"/>
      <c r="B413" s="45"/>
      <c r="C413" s="15"/>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15"/>
      <c r="B414" s="45"/>
      <c r="C414" s="15"/>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15"/>
      <c r="B415" s="45"/>
      <c r="C415" s="15"/>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15"/>
      <c r="B416" s="45"/>
      <c r="C416" s="15"/>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15"/>
      <c r="B417" s="45"/>
      <c r="C417" s="15"/>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15"/>
      <c r="B418" s="45"/>
      <c r="C418" s="15"/>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15"/>
      <c r="B419" s="45"/>
      <c r="C419" s="15"/>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15"/>
      <c r="B420" s="45"/>
      <c r="C420" s="15"/>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15"/>
      <c r="B421" s="45"/>
      <c r="C421" s="15"/>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15"/>
      <c r="B422" s="45"/>
      <c r="C422" s="15"/>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15"/>
      <c r="B423" s="45"/>
      <c r="C423" s="15"/>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15"/>
      <c r="B424" s="45"/>
      <c r="C424" s="15"/>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15"/>
      <c r="B425" s="45"/>
      <c r="C425" s="15"/>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15"/>
      <c r="B426" s="45"/>
      <c r="C426" s="15"/>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15"/>
      <c r="B427" s="45"/>
      <c r="C427" s="15"/>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15"/>
      <c r="B428" s="45"/>
      <c r="C428" s="15"/>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15"/>
      <c r="B429" s="45"/>
      <c r="C429" s="15"/>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15"/>
      <c r="B430" s="45"/>
      <c r="C430" s="15"/>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15"/>
      <c r="B431" s="45"/>
      <c r="C431" s="15"/>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15"/>
      <c r="B432" s="45"/>
      <c r="C432" s="15"/>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15"/>
      <c r="B433" s="45"/>
      <c r="C433" s="15"/>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15"/>
      <c r="B434" s="45"/>
      <c r="C434" s="15"/>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15"/>
      <c r="B435" s="45"/>
      <c r="C435" s="15"/>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15"/>
      <c r="B436" s="45"/>
      <c r="C436" s="15"/>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15"/>
      <c r="B437" s="45"/>
      <c r="C437" s="15"/>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15"/>
      <c r="B438" s="45"/>
      <c r="C438" s="15"/>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15"/>
      <c r="B439" s="45"/>
      <c r="C439" s="15"/>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15"/>
      <c r="B440" s="45"/>
      <c r="C440" s="15"/>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15"/>
      <c r="B441" s="45"/>
      <c r="C441" s="15"/>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15"/>
      <c r="B442" s="45"/>
      <c r="C442" s="15"/>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15"/>
      <c r="B443" s="45"/>
      <c r="C443" s="15"/>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15"/>
      <c r="B444" s="45"/>
      <c r="C444" s="15"/>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15"/>
      <c r="B445" s="45"/>
      <c r="C445" s="15"/>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15"/>
      <c r="B446" s="45"/>
      <c r="C446" s="15"/>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15"/>
      <c r="B447" s="45"/>
      <c r="C447" s="15"/>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15"/>
      <c r="B448" s="45"/>
      <c r="C448" s="15"/>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15"/>
      <c r="B449" s="45"/>
      <c r="C449" s="15"/>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15"/>
      <c r="B450" s="45"/>
      <c r="C450" s="15"/>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15"/>
      <c r="B451" s="45"/>
      <c r="C451" s="15"/>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15"/>
      <c r="B452" s="45"/>
      <c r="C452" s="15"/>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15"/>
      <c r="B453" s="45"/>
      <c r="C453" s="15"/>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15"/>
      <c r="B454" s="45"/>
      <c r="C454" s="15"/>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15"/>
      <c r="B455" s="45"/>
      <c r="C455" s="15"/>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15"/>
      <c r="B456" s="45"/>
      <c r="C456" s="15"/>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15"/>
      <c r="B457" s="45"/>
      <c r="C457" s="15"/>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15"/>
      <c r="B458" s="45"/>
      <c r="C458" s="15"/>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15"/>
      <c r="B459" s="45"/>
      <c r="C459" s="15"/>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15"/>
      <c r="B460" s="45"/>
      <c r="C460" s="15"/>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15"/>
      <c r="B461" s="45"/>
      <c r="C461" s="15"/>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15"/>
      <c r="B462" s="45"/>
      <c r="C462" s="15"/>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15"/>
      <c r="B463" s="45"/>
      <c r="C463" s="15"/>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15"/>
      <c r="B464" s="45"/>
      <c r="C464" s="15"/>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15"/>
      <c r="B465" s="45"/>
      <c r="C465" s="15"/>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15"/>
      <c r="B466" s="45"/>
      <c r="C466" s="15"/>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15"/>
      <c r="B467" s="45"/>
      <c r="C467" s="15"/>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15"/>
      <c r="B468" s="45"/>
      <c r="C468" s="15"/>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15"/>
      <c r="B469" s="45"/>
      <c r="C469" s="15"/>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15"/>
      <c r="B470" s="45"/>
      <c r="C470" s="15"/>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15"/>
      <c r="B471" s="45"/>
      <c r="C471" s="15"/>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15"/>
      <c r="B472" s="45"/>
      <c r="C472" s="15"/>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15"/>
      <c r="B473" s="45"/>
      <c r="C473" s="15"/>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15"/>
      <c r="B474" s="45"/>
      <c r="C474" s="15"/>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15"/>
      <c r="B475" s="45"/>
      <c r="C475" s="15"/>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15"/>
      <c r="B476" s="45"/>
      <c r="C476" s="15"/>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15"/>
      <c r="B477" s="45"/>
      <c r="C477" s="15"/>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15"/>
      <c r="B478" s="45"/>
      <c r="C478" s="15"/>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15"/>
      <c r="B479" s="45"/>
      <c r="C479" s="15"/>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15"/>
      <c r="B480" s="45"/>
      <c r="C480" s="15"/>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15"/>
      <c r="B481" s="45"/>
      <c r="C481" s="15"/>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15"/>
      <c r="B482" s="45"/>
      <c r="C482" s="15"/>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15"/>
      <c r="B483" s="45"/>
      <c r="C483" s="15"/>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15"/>
      <c r="B484" s="45"/>
      <c r="C484" s="15"/>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15"/>
      <c r="B485" s="45"/>
      <c r="C485" s="15"/>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15"/>
      <c r="B486" s="45"/>
      <c r="C486" s="15"/>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15"/>
      <c r="B487" s="45"/>
      <c r="C487" s="15"/>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15"/>
      <c r="B488" s="45"/>
      <c r="C488" s="15"/>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15"/>
      <c r="B489" s="45"/>
      <c r="C489" s="15"/>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15"/>
      <c r="B490" s="45"/>
      <c r="C490" s="15"/>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15"/>
      <c r="B491" s="45"/>
      <c r="C491" s="15"/>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15"/>
      <c r="B492" s="45"/>
      <c r="C492" s="15"/>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15"/>
      <c r="B493" s="45"/>
      <c r="C493" s="15"/>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15"/>
      <c r="B494" s="45"/>
      <c r="C494" s="15"/>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15"/>
      <c r="B495" s="45"/>
      <c r="C495" s="15"/>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15"/>
      <c r="B496" s="45"/>
      <c r="C496" s="15"/>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15"/>
      <c r="B497" s="45"/>
      <c r="C497" s="15"/>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15"/>
      <c r="B498" s="45"/>
      <c r="C498" s="15"/>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15"/>
      <c r="B499" s="45"/>
      <c r="C499" s="15"/>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15"/>
      <c r="B500" s="45"/>
      <c r="C500" s="15"/>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15"/>
      <c r="B501" s="45"/>
      <c r="C501" s="15"/>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15"/>
      <c r="B502" s="45"/>
      <c r="C502" s="15"/>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15"/>
      <c r="B503" s="45"/>
      <c r="C503" s="15"/>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15"/>
      <c r="B504" s="45"/>
      <c r="C504" s="15"/>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15"/>
      <c r="B505" s="45"/>
      <c r="C505" s="15"/>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15"/>
      <c r="B506" s="45"/>
      <c r="C506" s="15"/>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15"/>
      <c r="B507" s="45"/>
      <c r="C507" s="15"/>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15"/>
      <c r="B508" s="45"/>
      <c r="C508" s="15"/>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15"/>
      <c r="B509" s="45"/>
      <c r="C509" s="15"/>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15"/>
      <c r="B510" s="45"/>
      <c r="C510" s="15"/>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15"/>
      <c r="B511" s="45"/>
      <c r="C511" s="15"/>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15"/>
      <c r="B512" s="45"/>
      <c r="C512" s="15"/>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15"/>
      <c r="B513" s="45"/>
      <c r="C513" s="15"/>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15"/>
      <c r="B514" s="45"/>
      <c r="C514" s="15"/>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15"/>
      <c r="B515" s="45"/>
      <c r="C515" s="15"/>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15"/>
      <c r="B516" s="45"/>
      <c r="C516" s="15"/>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15"/>
      <c r="B517" s="45"/>
      <c r="C517" s="15"/>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15"/>
      <c r="B518" s="45"/>
      <c r="C518" s="15"/>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15"/>
      <c r="B519" s="45"/>
      <c r="C519" s="15"/>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15"/>
      <c r="B520" s="45"/>
      <c r="C520" s="15"/>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15"/>
      <c r="B521" s="45"/>
      <c r="C521" s="15"/>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15"/>
      <c r="B522" s="45"/>
      <c r="C522" s="15"/>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15"/>
      <c r="B523" s="45"/>
      <c r="C523" s="15"/>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15"/>
      <c r="B524" s="45"/>
      <c r="C524" s="15"/>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15"/>
      <c r="B525" s="45"/>
      <c r="C525" s="15"/>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15"/>
      <c r="B526" s="45"/>
      <c r="C526" s="15"/>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15"/>
      <c r="B527" s="45"/>
      <c r="C527" s="15"/>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15"/>
      <c r="B528" s="45"/>
      <c r="C528" s="15"/>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15"/>
      <c r="B529" s="45"/>
      <c r="C529" s="15"/>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15"/>
      <c r="B530" s="45"/>
      <c r="C530" s="15"/>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15"/>
      <c r="B531" s="45"/>
      <c r="C531" s="15"/>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15"/>
      <c r="B532" s="45"/>
      <c r="C532" s="15"/>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15"/>
      <c r="B533" s="45"/>
      <c r="C533" s="15"/>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15"/>
      <c r="B534" s="45"/>
      <c r="C534" s="15"/>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15"/>
      <c r="B535" s="45"/>
      <c r="C535" s="15"/>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15"/>
      <c r="B536" s="45"/>
      <c r="C536" s="15"/>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15"/>
      <c r="B537" s="45"/>
      <c r="C537" s="15"/>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15"/>
      <c r="B538" s="45"/>
      <c r="C538" s="15"/>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15"/>
      <c r="B539" s="45"/>
      <c r="C539" s="15"/>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15"/>
      <c r="B540" s="45"/>
      <c r="C540" s="15"/>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15"/>
      <c r="B541" s="45"/>
      <c r="C541" s="15"/>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15"/>
      <c r="B542" s="45"/>
      <c r="C542" s="15"/>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15"/>
      <c r="B543" s="45"/>
      <c r="C543" s="15"/>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15"/>
      <c r="B544" s="45"/>
      <c r="C544" s="15"/>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15"/>
      <c r="B545" s="45"/>
      <c r="C545" s="15"/>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15"/>
      <c r="B546" s="45"/>
      <c r="C546" s="15"/>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15"/>
      <c r="B547" s="45"/>
      <c r="C547" s="15"/>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15"/>
      <c r="B548" s="45"/>
      <c r="C548" s="15"/>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15"/>
      <c r="B549" s="45"/>
      <c r="C549" s="15"/>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15"/>
      <c r="B550" s="45"/>
      <c r="C550" s="15"/>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15"/>
      <c r="B551" s="45"/>
      <c r="C551" s="15"/>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15"/>
      <c r="B552" s="45"/>
      <c r="C552" s="15"/>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15"/>
      <c r="B553" s="45"/>
      <c r="C553" s="15"/>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15"/>
      <c r="B554" s="45"/>
      <c r="C554" s="15"/>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15"/>
      <c r="B555" s="45"/>
      <c r="C555" s="15"/>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15"/>
      <c r="B556" s="45"/>
      <c r="C556" s="15"/>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15"/>
      <c r="B557" s="45"/>
      <c r="C557" s="15"/>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15"/>
      <c r="B558" s="45"/>
      <c r="C558" s="15"/>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15"/>
      <c r="B559" s="45"/>
      <c r="C559" s="15"/>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15"/>
      <c r="B560" s="45"/>
      <c r="C560" s="15"/>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15"/>
      <c r="B561" s="45"/>
      <c r="C561" s="15"/>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15"/>
      <c r="B562" s="45"/>
      <c r="C562" s="15"/>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15"/>
      <c r="B563" s="45"/>
      <c r="C563" s="15"/>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15"/>
      <c r="B564" s="45"/>
      <c r="C564" s="15"/>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15"/>
      <c r="B565" s="45"/>
      <c r="C565" s="15"/>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15"/>
      <c r="B566" s="45"/>
      <c r="C566" s="15"/>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15"/>
      <c r="B567" s="45"/>
      <c r="C567" s="15"/>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15"/>
      <c r="B568" s="45"/>
      <c r="C568" s="15"/>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15"/>
      <c r="B569" s="45"/>
      <c r="C569" s="15"/>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15"/>
      <c r="B570" s="45"/>
      <c r="C570" s="15"/>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15"/>
      <c r="B571" s="45"/>
      <c r="C571" s="15"/>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15"/>
      <c r="B572" s="45"/>
      <c r="C572" s="15"/>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15"/>
      <c r="B573" s="45"/>
      <c r="C573" s="15"/>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15"/>
      <c r="B574" s="45"/>
      <c r="C574" s="15"/>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15"/>
      <c r="B575" s="45"/>
      <c r="C575" s="15"/>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15"/>
      <c r="B576" s="45"/>
      <c r="C576" s="15"/>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15"/>
      <c r="B577" s="45"/>
      <c r="C577" s="15"/>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15"/>
      <c r="B578" s="45"/>
      <c r="C578" s="15"/>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15"/>
      <c r="B579" s="45"/>
      <c r="C579" s="15"/>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15"/>
      <c r="B580" s="45"/>
      <c r="C580" s="15"/>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15"/>
      <c r="B581" s="45"/>
      <c r="C581" s="15"/>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15"/>
      <c r="B582" s="45"/>
      <c r="C582" s="15"/>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15"/>
      <c r="B583" s="45"/>
      <c r="C583" s="15"/>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15"/>
      <c r="B584" s="45"/>
      <c r="C584" s="15"/>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15"/>
      <c r="B585" s="45"/>
      <c r="C585" s="15"/>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15"/>
      <c r="B586" s="45"/>
      <c r="C586" s="15"/>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15"/>
      <c r="B587" s="45"/>
      <c r="C587" s="15"/>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15"/>
      <c r="B588" s="45"/>
      <c r="C588" s="15"/>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15"/>
      <c r="B589" s="45"/>
      <c r="C589" s="15"/>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15"/>
      <c r="B590" s="45"/>
      <c r="C590" s="15"/>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15"/>
      <c r="B591" s="45"/>
      <c r="C591" s="15"/>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15"/>
      <c r="B592" s="45"/>
      <c r="C592" s="15"/>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15"/>
      <c r="B593" s="45"/>
      <c r="C593" s="15"/>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15"/>
      <c r="B594" s="45"/>
      <c r="C594" s="15"/>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15"/>
      <c r="B595" s="45"/>
      <c r="C595" s="15"/>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15"/>
      <c r="B596" s="45"/>
      <c r="C596" s="15"/>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15"/>
      <c r="B597" s="45"/>
      <c r="C597" s="15"/>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15"/>
      <c r="B598" s="45"/>
      <c r="C598" s="15"/>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15"/>
      <c r="B599" s="45"/>
      <c r="C599" s="15"/>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15"/>
      <c r="B600" s="45"/>
      <c r="C600" s="15"/>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15"/>
      <c r="B601" s="45"/>
      <c r="C601" s="15"/>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15"/>
      <c r="B602" s="45"/>
      <c r="C602" s="15"/>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15"/>
      <c r="B603" s="45"/>
      <c r="C603" s="15"/>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15"/>
      <c r="B604" s="45"/>
      <c r="C604" s="15"/>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15"/>
      <c r="B605" s="45"/>
      <c r="C605" s="15"/>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15"/>
      <c r="B606" s="45"/>
      <c r="C606" s="15"/>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15"/>
      <c r="B607" s="45"/>
      <c r="C607" s="15"/>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15"/>
      <c r="B608" s="45"/>
      <c r="C608" s="15"/>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15"/>
      <c r="B609" s="45"/>
      <c r="C609" s="15"/>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15"/>
      <c r="B610" s="45"/>
      <c r="C610" s="15"/>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15"/>
      <c r="B611" s="45"/>
      <c r="C611" s="15"/>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15"/>
      <c r="B612" s="45"/>
      <c r="C612" s="15"/>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15"/>
      <c r="B613" s="45"/>
      <c r="C613" s="15"/>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15"/>
      <c r="B614" s="45"/>
      <c r="C614" s="15"/>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15"/>
      <c r="B615" s="45"/>
      <c r="C615" s="15"/>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15"/>
      <c r="B616" s="45"/>
      <c r="C616" s="15"/>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15"/>
      <c r="B617" s="45"/>
      <c r="C617" s="15"/>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15"/>
      <c r="B618" s="45"/>
      <c r="C618" s="15"/>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15"/>
      <c r="B619" s="45"/>
      <c r="C619" s="15"/>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15"/>
      <c r="B620" s="45"/>
      <c r="C620" s="15"/>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15"/>
      <c r="B621" s="45"/>
      <c r="C621" s="15"/>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15"/>
      <c r="B622" s="45"/>
      <c r="C622" s="15"/>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15"/>
      <c r="B623" s="45"/>
      <c r="C623" s="15"/>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15"/>
      <c r="B624" s="45"/>
      <c r="C624" s="15"/>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15"/>
      <c r="B625" s="45"/>
      <c r="C625" s="15"/>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15"/>
      <c r="B626" s="45"/>
      <c r="C626" s="15"/>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15"/>
      <c r="B627" s="45"/>
      <c r="C627" s="15"/>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15"/>
      <c r="B628" s="45"/>
      <c r="C628" s="15"/>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15"/>
      <c r="B629" s="45"/>
      <c r="C629" s="15"/>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15"/>
      <c r="B630" s="45"/>
      <c r="C630" s="15"/>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15"/>
      <c r="B631" s="45"/>
      <c r="C631" s="15"/>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15"/>
      <c r="B632" s="45"/>
      <c r="C632" s="15"/>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15"/>
      <c r="B633" s="45"/>
      <c r="C633" s="15"/>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15"/>
      <c r="B634" s="45"/>
      <c r="C634" s="15"/>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15"/>
      <c r="B635" s="45"/>
      <c r="C635" s="15"/>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15"/>
      <c r="B636" s="45"/>
      <c r="C636" s="15"/>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15"/>
      <c r="B637" s="45"/>
      <c r="C637" s="15"/>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15"/>
      <c r="B638" s="45"/>
      <c r="C638" s="15"/>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15"/>
      <c r="B639" s="45"/>
      <c r="C639" s="15"/>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15"/>
      <c r="B640" s="45"/>
      <c r="C640" s="15"/>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15"/>
      <c r="B641" s="45"/>
      <c r="C641" s="15"/>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15"/>
      <c r="B642" s="45"/>
      <c r="C642" s="15"/>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15"/>
      <c r="B643" s="45"/>
      <c r="C643" s="15"/>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15"/>
      <c r="B644" s="45"/>
      <c r="C644" s="15"/>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15"/>
      <c r="B645" s="45"/>
      <c r="C645" s="15"/>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15"/>
      <c r="B646" s="45"/>
      <c r="C646" s="15"/>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15"/>
      <c r="B647" s="45"/>
      <c r="C647" s="15"/>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15"/>
      <c r="B648" s="45"/>
      <c r="C648" s="15"/>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15"/>
      <c r="B649" s="45"/>
      <c r="C649" s="15"/>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15"/>
      <c r="B650" s="45"/>
      <c r="C650" s="15"/>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15"/>
      <c r="B651" s="45"/>
      <c r="C651" s="15"/>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15"/>
      <c r="B652" s="45"/>
      <c r="C652" s="15"/>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15"/>
      <c r="B653" s="45"/>
      <c r="C653" s="15"/>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15"/>
      <c r="B654" s="45"/>
      <c r="C654" s="15"/>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15"/>
      <c r="B655" s="45"/>
      <c r="C655" s="15"/>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15"/>
      <c r="B656" s="45"/>
      <c r="C656" s="15"/>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15"/>
      <c r="B657" s="45"/>
      <c r="C657" s="15"/>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15"/>
      <c r="B658" s="45"/>
      <c r="C658" s="15"/>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15"/>
      <c r="B659" s="45"/>
      <c r="C659" s="15"/>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15"/>
      <c r="B660" s="45"/>
      <c r="C660" s="15"/>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15"/>
      <c r="B661" s="45"/>
      <c r="C661" s="15"/>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15"/>
      <c r="B662" s="45"/>
      <c r="C662" s="15"/>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15"/>
      <c r="B663" s="45"/>
      <c r="C663" s="15"/>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15"/>
      <c r="B664" s="45"/>
      <c r="C664" s="15"/>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15"/>
      <c r="B665" s="45"/>
      <c r="C665" s="15"/>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15"/>
      <c r="B666" s="45"/>
      <c r="C666" s="15"/>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15"/>
      <c r="B667" s="45"/>
      <c r="C667" s="15"/>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15"/>
      <c r="B668" s="45"/>
      <c r="C668" s="15"/>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15"/>
      <c r="B669" s="45"/>
      <c r="C669" s="15"/>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15"/>
      <c r="B670" s="45"/>
      <c r="C670" s="15"/>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15"/>
      <c r="B671" s="45"/>
      <c r="C671" s="15"/>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15"/>
      <c r="B672" s="45"/>
      <c r="C672" s="15"/>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15"/>
      <c r="B673" s="45"/>
      <c r="C673" s="15"/>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15"/>
      <c r="B674" s="45"/>
      <c r="C674" s="15"/>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15"/>
      <c r="B675" s="45"/>
      <c r="C675" s="15"/>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15"/>
      <c r="B676" s="45"/>
      <c r="C676" s="15"/>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15"/>
      <c r="B677" s="45"/>
      <c r="C677" s="15"/>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15"/>
      <c r="B678" s="45"/>
      <c r="C678" s="15"/>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15"/>
      <c r="B679" s="45"/>
      <c r="C679" s="15"/>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15"/>
      <c r="B680" s="45"/>
      <c r="C680" s="15"/>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15"/>
      <c r="B681" s="45"/>
      <c r="C681" s="15"/>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15"/>
      <c r="B682" s="45"/>
      <c r="C682" s="15"/>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15"/>
      <c r="B683" s="45"/>
      <c r="C683" s="15"/>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15"/>
      <c r="B684" s="45"/>
      <c r="C684" s="15"/>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15"/>
      <c r="B685" s="45"/>
      <c r="C685" s="15"/>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15"/>
      <c r="B686" s="45"/>
      <c r="C686" s="15"/>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15"/>
      <c r="B687" s="45"/>
      <c r="C687" s="15"/>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15"/>
      <c r="B688" s="45"/>
      <c r="C688" s="15"/>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15"/>
      <c r="B689" s="45"/>
      <c r="C689" s="15"/>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15"/>
      <c r="B690" s="45"/>
      <c r="C690" s="15"/>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15"/>
      <c r="B691" s="45"/>
      <c r="C691" s="15"/>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15"/>
      <c r="B692" s="45"/>
      <c r="C692" s="15"/>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15"/>
      <c r="B693" s="45"/>
      <c r="C693" s="15"/>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15"/>
      <c r="B694" s="45"/>
      <c r="C694" s="15"/>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15"/>
      <c r="B695" s="45"/>
      <c r="C695" s="15"/>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15"/>
      <c r="B696" s="45"/>
      <c r="C696" s="15"/>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15"/>
      <c r="B697" s="45"/>
      <c r="C697" s="15"/>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15"/>
      <c r="B698" s="45"/>
      <c r="C698" s="15"/>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15"/>
      <c r="B699" s="45"/>
      <c r="C699" s="15"/>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15"/>
      <c r="B700" s="45"/>
      <c r="C700" s="15"/>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15"/>
      <c r="B701" s="45"/>
      <c r="C701" s="15"/>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15"/>
      <c r="B702" s="45"/>
      <c r="C702" s="15"/>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15"/>
      <c r="B703" s="45"/>
      <c r="C703" s="15"/>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15"/>
      <c r="B704" s="45"/>
      <c r="C704" s="15"/>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15"/>
      <c r="B705" s="45"/>
      <c r="C705" s="15"/>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15"/>
      <c r="B706" s="45"/>
      <c r="C706" s="15"/>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15"/>
      <c r="B707" s="45"/>
      <c r="C707" s="15"/>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15"/>
      <c r="B708" s="45"/>
      <c r="C708" s="15"/>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15"/>
      <c r="B709" s="45"/>
      <c r="C709" s="15"/>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15"/>
      <c r="B710" s="45"/>
      <c r="C710" s="15"/>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15"/>
      <c r="B711" s="45"/>
      <c r="C711" s="15"/>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15"/>
      <c r="B712" s="45"/>
      <c r="C712" s="15"/>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15"/>
      <c r="B713" s="45"/>
      <c r="C713" s="15"/>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15"/>
      <c r="B714" s="45"/>
      <c r="C714" s="15"/>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15"/>
      <c r="B715" s="45"/>
      <c r="C715" s="15"/>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15"/>
      <c r="B716" s="45"/>
      <c r="C716" s="15"/>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15"/>
      <c r="B717" s="45"/>
      <c r="C717" s="15"/>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15"/>
      <c r="B718" s="45"/>
      <c r="C718" s="15"/>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15"/>
      <c r="B719" s="45"/>
      <c r="C719" s="15"/>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15"/>
      <c r="B720" s="45"/>
      <c r="C720" s="15"/>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15"/>
      <c r="B721" s="45"/>
      <c r="C721" s="15"/>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15"/>
      <c r="B722" s="45"/>
      <c r="C722" s="15"/>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15"/>
      <c r="B723" s="45"/>
      <c r="C723" s="15"/>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15"/>
      <c r="B724" s="45"/>
      <c r="C724" s="15"/>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15"/>
      <c r="B725" s="45"/>
      <c r="C725" s="15"/>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15"/>
      <c r="B726" s="45"/>
      <c r="C726" s="15"/>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15"/>
      <c r="B727" s="45"/>
      <c r="C727" s="15"/>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15"/>
      <c r="B728" s="45"/>
      <c r="C728" s="15"/>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15"/>
      <c r="B729" s="45"/>
      <c r="C729" s="15"/>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15"/>
      <c r="B730" s="45"/>
      <c r="C730" s="15"/>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15"/>
      <c r="B731" s="45"/>
      <c r="C731" s="15"/>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15"/>
      <c r="B732" s="45"/>
      <c r="C732" s="15"/>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15"/>
      <c r="B733" s="45"/>
      <c r="C733" s="15"/>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15"/>
      <c r="B734" s="45"/>
      <c r="C734" s="15"/>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15"/>
      <c r="B735" s="45"/>
      <c r="C735" s="15"/>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15"/>
      <c r="B736" s="45"/>
      <c r="C736" s="15"/>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15"/>
      <c r="B737" s="45"/>
      <c r="C737" s="15"/>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15"/>
      <c r="B738" s="45"/>
      <c r="C738" s="15"/>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15"/>
      <c r="B739" s="45"/>
      <c r="C739" s="15"/>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15"/>
      <c r="B740" s="45"/>
      <c r="C740" s="15"/>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15"/>
      <c r="B741" s="45"/>
      <c r="C741" s="15"/>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15"/>
      <c r="B742" s="45"/>
      <c r="C742" s="15"/>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15"/>
      <c r="B743" s="45"/>
      <c r="C743" s="15"/>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15"/>
      <c r="B744" s="45"/>
      <c r="C744" s="15"/>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15"/>
      <c r="B745" s="45"/>
      <c r="C745" s="15"/>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15"/>
      <c r="B746" s="45"/>
      <c r="C746" s="15"/>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15"/>
      <c r="B747" s="45"/>
      <c r="C747" s="15"/>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15"/>
      <c r="B748" s="45"/>
      <c r="C748" s="15"/>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15"/>
      <c r="B749" s="45"/>
      <c r="C749" s="15"/>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15"/>
      <c r="B750" s="45"/>
      <c r="C750" s="15"/>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15"/>
      <c r="B751" s="45"/>
      <c r="C751" s="15"/>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15"/>
      <c r="B752" s="45"/>
      <c r="C752" s="15"/>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15"/>
      <c r="B753" s="45"/>
      <c r="C753" s="15"/>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15"/>
      <c r="B754" s="45"/>
      <c r="C754" s="15"/>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15"/>
      <c r="B755" s="45"/>
      <c r="C755" s="15"/>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15"/>
      <c r="B756" s="45"/>
      <c r="C756" s="15"/>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15"/>
      <c r="B757" s="45"/>
      <c r="C757" s="15"/>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15"/>
      <c r="B758" s="45"/>
      <c r="C758" s="15"/>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15"/>
      <c r="B759" s="45"/>
      <c r="C759" s="15"/>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15"/>
      <c r="B760" s="45"/>
      <c r="C760" s="15"/>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15"/>
      <c r="B761" s="45"/>
      <c r="C761" s="15"/>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15"/>
      <c r="B762" s="45"/>
      <c r="C762" s="15"/>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15"/>
      <c r="B763" s="45"/>
      <c r="C763" s="15"/>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15"/>
      <c r="B764" s="45"/>
      <c r="C764" s="15"/>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15"/>
      <c r="B765" s="45"/>
      <c r="C765" s="15"/>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15"/>
      <c r="B766" s="45"/>
      <c r="C766" s="15"/>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15"/>
      <c r="B767" s="45"/>
      <c r="C767" s="15"/>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15"/>
      <c r="B768" s="45"/>
      <c r="C768" s="15"/>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15"/>
      <c r="B769" s="45"/>
      <c r="C769" s="15"/>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15"/>
      <c r="B770" s="45"/>
      <c r="C770" s="15"/>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15"/>
      <c r="B771" s="45"/>
      <c r="C771" s="15"/>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15"/>
      <c r="B772" s="45"/>
      <c r="C772" s="15"/>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15"/>
      <c r="B773" s="45"/>
      <c r="C773" s="15"/>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15"/>
      <c r="B774" s="45"/>
      <c r="C774" s="15"/>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15"/>
      <c r="B775" s="45"/>
      <c r="C775" s="15"/>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15"/>
      <c r="B776" s="45"/>
      <c r="C776" s="15"/>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15"/>
      <c r="B777" s="45"/>
      <c r="C777" s="15"/>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15"/>
      <c r="B778" s="45"/>
      <c r="C778" s="15"/>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15"/>
      <c r="B779" s="45"/>
      <c r="C779" s="15"/>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15"/>
      <c r="B780" s="45"/>
      <c r="C780" s="15"/>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15"/>
      <c r="B781" s="45"/>
      <c r="C781" s="15"/>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15"/>
      <c r="B782" s="45"/>
      <c r="C782" s="15"/>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15"/>
      <c r="B783" s="45"/>
      <c r="C783" s="15"/>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15"/>
      <c r="B784" s="45"/>
      <c r="C784" s="15"/>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15"/>
      <c r="B785" s="45"/>
      <c r="C785" s="15"/>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15"/>
      <c r="B786" s="45"/>
      <c r="C786" s="15"/>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15"/>
      <c r="B787" s="45"/>
      <c r="C787" s="15"/>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15"/>
      <c r="B788" s="45"/>
      <c r="C788" s="15"/>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15"/>
      <c r="B789" s="45"/>
      <c r="C789" s="15"/>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15"/>
      <c r="B790" s="45"/>
      <c r="C790" s="15"/>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15"/>
      <c r="B791" s="45"/>
      <c r="C791" s="15"/>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15"/>
      <c r="B792" s="45"/>
      <c r="C792" s="15"/>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15"/>
      <c r="B793" s="45"/>
      <c r="C793" s="15"/>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15"/>
      <c r="B794" s="45"/>
      <c r="C794" s="15"/>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15"/>
      <c r="B795" s="45"/>
      <c r="C795" s="15"/>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15"/>
      <c r="B796" s="45"/>
      <c r="C796" s="15"/>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15"/>
      <c r="B797" s="45"/>
      <c r="C797" s="15"/>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15"/>
      <c r="B798" s="45"/>
      <c r="C798" s="15"/>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15"/>
      <c r="B799" s="45"/>
      <c r="C799" s="15"/>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15"/>
      <c r="B800" s="45"/>
      <c r="C800" s="15"/>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15"/>
      <c r="B801" s="45"/>
      <c r="C801" s="15"/>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15"/>
      <c r="B802" s="45"/>
      <c r="C802" s="15"/>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15"/>
      <c r="B803" s="45"/>
      <c r="C803" s="15"/>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15"/>
      <c r="B804" s="45"/>
      <c r="C804" s="15"/>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15"/>
      <c r="B805" s="45"/>
      <c r="C805" s="15"/>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15"/>
      <c r="B806" s="45"/>
      <c r="C806" s="15"/>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15"/>
      <c r="B807" s="45"/>
      <c r="C807" s="15"/>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15"/>
      <c r="B808" s="45"/>
      <c r="C808" s="15"/>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15"/>
      <c r="B809" s="45"/>
      <c r="C809" s="15"/>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15"/>
      <c r="B810" s="45"/>
      <c r="C810" s="15"/>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15"/>
      <c r="B811" s="45"/>
      <c r="C811" s="15"/>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15"/>
      <c r="B812" s="45"/>
      <c r="C812" s="15"/>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15"/>
      <c r="B813" s="45"/>
      <c r="C813" s="15"/>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15"/>
      <c r="B814" s="45"/>
      <c r="C814" s="15"/>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15"/>
      <c r="B815" s="45"/>
      <c r="C815" s="15"/>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15"/>
      <c r="B816" s="45"/>
      <c r="C816" s="15"/>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15"/>
      <c r="B817" s="45"/>
      <c r="C817" s="15"/>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15"/>
      <c r="B818" s="45"/>
      <c r="C818" s="15"/>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15"/>
      <c r="B819" s="45"/>
      <c r="C819" s="15"/>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15"/>
      <c r="B820" s="45"/>
      <c r="C820" s="15"/>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15"/>
      <c r="B821" s="45"/>
      <c r="C821" s="15"/>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15"/>
      <c r="B822" s="45"/>
      <c r="C822" s="15"/>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15"/>
      <c r="B823" s="45"/>
      <c r="C823" s="15"/>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15"/>
      <c r="B824" s="45"/>
      <c r="C824" s="15"/>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15"/>
      <c r="B825" s="45"/>
      <c r="C825" s="15"/>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15"/>
      <c r="B826" s="45"/>
      <c r="C826" s="15"/>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15"/>
      <c r="B827" s="45"/>
      <c r="C827" s="15"/>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15"/>
      <c r="B828" s="45"/>
      <c r="C828" s="15"/>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15"/>
      <c r="B829" s="45"/>
      <c r="C829" s="15"/>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15"/>
      <c r="B830" s="45"/>
      <c r="C830" s="15"/>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15"/>
      <c r="B831" s="45"/>
      <c r="C831" s="15"/>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15"/>
      <c r="B832" s="45"/>
      <c r="C832" s="15"/>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15"/>
      <c r="B833" s="45"/>
      <c r="C833" s="15"/>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15"/>
      <c r="B834" s="45"/>
      <c r="C834" s="15"/>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15"/>
      <c r="B835" s="45"/>
      <c r="C835" s="15"/>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15"/>
      <c r="B836" s="45"/>
      <c r="C836" s="15"/>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15"/>
      <c r="B837" s="45"/>
      <c r="C837" s="15"/>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15"/>
      <c r="B838" s="45"/>
      <c r="C838" s="15"/>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15"/>
      <c r="B839" s="45"/>
      <c r="C839" s="15"/>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15"/>
      <c r="B840" s="45"/>
      <c r="C840" s="15"/>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15"/>
      <c r="B841" s="45"/>
      <c r="C841" s="15"/>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15"/>
      <c r="B842" s="45"/>
      <c r="C842" s="15"/>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15"/>
      <c r="B843" s="45"/>
      <c r="C843" s="15"/>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15"/>
      <c r="B844" s="45"/>
      <c r="C844" s="15"/>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15"/>
      <c r="B845" s="45"/>
      <c r="C845" s="15"/>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15"/>
      <c r="B846" s="45"/>
      <c r="C846" s="15"/>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15"/>
      <c r="B847" s="45"/>
      <c r="C847" s="15"/>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15"/>
      <c r="B848" s="45"/>
      <c r="C848" s="15"/>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15"/>
      <c r="B849" s="45"/>
      <c r="C849" s="15"/>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15"/>
      <c r="B850" s="45"/>
      <c r="C850" s="15"/>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15"/>
      <c r="B851" s="45"/>
      <c r="C851" s="15"/>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15"/>
      <c r="B852" s="45"/>
      <c r="C852" s="15"/>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15"/>
      <c r="B853" s="45"/>
      <c r="C853" s="15"/>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15"/>
      <c r="B854" s="45"/>
      <c r="C854" s="15"/>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15"/>
      <c r="B855" s="45"/>
      <c r="C855" s="15"/>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15"/>
      <c r="B856" s="45"/>
      <c r="C856" s="15"/>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15"/>
      <c r="B857" s="45"/>
      <c r="C857" s="15"/>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15"/>
      <c r="B858" s="45"/>
      <c r="C858" s="15"/>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15"/>
      <c r="B859" s="45"/>
      <c r="C859" s="15"/>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15"/>
      <c r="B860" s="45"/>
      <c r="C860" s="15"/>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15"/>
      <c r="B861" s="45"/>
      <c r="C861" s="15"/>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15"/>
      <c r="B862" s="45"/>
      <c r="C862" s="15"/>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15"/>
      <c r="B863" s="45"/>
      <c r="C863" s="15"/>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15"/>
      <c r="B864" s="45"/>
      <c r="C864" s="15"/>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15"/>
      <c r="B865" s="45"/>
      <c r="C865" s="15"/>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15"/>
      <c r="B866" s="45"/>
      <c r="C866" s="15"/>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15"/>
      <c r="B867" s="45"/>
      <c r="C867" s="15"/>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15"/>
      <c r="B868" s="45"/>
      <c r="C868" s="15"/>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15"/>
      <c r="B869" s="45"/>
      <c r="C869" s="15"/>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15"/>
      <c r="B870" s="45"/>
      <c r="C870" s="15"/>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15"/>
      <c r="B871" s="45"/>
      <c r="C871" s="15"/>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15"/>
      <c r="B872" s="45"/>
      <c r="C872" s="15"/>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15"/>
      <c r="B873" s="45"/>
      <c r="C873" s="15"/>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15"/>
      <c r="B874" s="45"/>
      <c r="C874" s="15"/>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15"/>
      <c r="B875" s="45"/>
      <c r="C875" s="15"/>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15"/>
      <c r="B876" s="45"/>
      <c r="C876" s="15"/>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15"/>
      <c r="B877" s="45"/>
      <c r="C877" s="15"/>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15"/>
      <c r="B878" s="45"/>
      <c r="C878" s="15"/>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15"/>
      <c r="B879" s="45"/>
      <c r="C879" s="15"/>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15"/>
      <c r="B880" s="45"/>
      <c r="C880" s="15"/>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15"/>
      <c r="B881" s="45"/>
      <c r="C881" s="15"/>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15"/>
      <c r="B882" s="45"/>
      <c r="C882" s="15"/>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15"/>
      <c r="B883" s="45"/>
      <c r="C883" s="15"/>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15"/>
      <c r="B884" s="45"/>
      <c r="C884" s="15"/>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15"/>
      <c r="B885" s="45"/>
      <c r="C885" s="15"/>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15"/>
      <c r="B886" s="45"/>
      <c r="C886" s="15"/>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15"/>
      <c r="B887" s="45"/>
      <c r="C887" s="15"/>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15"/>
      <c r="B888" s="45"/>
      <c r="C888" s="15"/>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15"/>
      <c r="B889" s="45"/>
      <c r="C889" s="15"/>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15"/>
      <c r="B890" s="45"/>
      <c r="C890" s="15"/>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15"/>
      <c r="B891" s="45"/>
      <c r="C891" s="15"/>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15"/>
      <c r="B892" s="45"/>
      <c r="C892" s="15"/>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15"/>
      <c r="B893" s="45"/>
      <c r="C893" s="15"/>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15"/>
      <c r="B894" s="45"/>
      <c r="C894" s="15"/>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15"/>
      <c r="B895" s="45"/>
      <c r="C895" s="15"/>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15"/>
      <c r="B896" s="45"/>
      <c r="C896" s="15"/>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15"/>
      <c r="B897" s="45"/>
      <c r="C897" s="15"/>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15"/>
      <c r="B898" s="45"/>
      <c r="C898" s="15"/>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15"/>
      <c r="B899" s="45"/>
      <c r="C899" s="15"/>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15"/>
      <c r="B900" s="45"/>
      <c r="C900" s="15"/>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15"/>
      <c r="B901" s="45"/>
      <c r="C901" s="15"/>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15"/>
      <c r="B902" s="45"/>
      <c r="C902" s="15"/>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15"/>
      <c r="B903" s="45"/>
      <c r="C903" s="15"/>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15"/>
      <c r="B904" s="45"/>
      <c r="C904" s="15"/>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15"/>
      <c r="B905" s="45"/>
      <c r="C905" s="15"/>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15"/>
      <c r="B906" s="45"/>
      <c r="C906" s="15"/>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15"/>
      <c r="B907" s="45"/>
      <c r="C907" s="15"/>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15"/>
      <c r="B908" s="45"/>
      <c r="C908" s="15"/>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15"/>
      <c r="B909" s="45"/>
      <c r="C909" s="15"/>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15"/>
      <c r="B910" s="45"/>
      <c r="C910" s="15"/>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15"/>
      <c r="B911" s="45"/>
      <c r="C911" s="15"/>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15"/>
      <c r="B912" s="45"/>
      <c r="C912" s="15"/>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15"/>
      <c r="B913" s="45"/>
      <c r="C913" s="15"/>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15"/>
      <c r="B914" s="45"/>
      <c r="C914" s="15"/>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15"/>
      <c r="B915" s="45"/>
      <c r="C915" s="15"/>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15"/>
      <c r="B916" s="45"/>
      <c r="C916" s="15"/>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15"/>
      <c r="B917" s="45"/>
      <c r="C917" s="15"/>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15"/>
      <c r="B918" s="45"/>
      <c r="C918" s="15"/>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15"/>
      <c r="B919" s="45"/>
      <c r="C919" s="15"/>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15"/>
      <c r="B920" s="45"/>
      <c r="C920" s="15"/>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15"/>
      <c r="B921" s="45"/>
      <c r="C921" s="15"/>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15"/>
      <c r="B922" s="45"/>
      <c r="C922" s="15"/>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15"/>
      <c r="B923" s="45"/>
      <c r="C923" s="15"/>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15"/>
      <c r="B924" s="45"/>
      <c r="C924" s="15"/>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15"/>
      <c r="B925" s="45"/>
      <c r="C925" s="15"/>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15"/>
      <c r="B926" s="45"/>
      <c r="C926" s="15"/>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15"/>
      <c r="B927" s="45"/>
      <c r="C927" s="15"/>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15"/>
      <c r="B928" s="45"/>
      <c r="C928" s="15"/>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15"/>
      <c r="B929" s="45"/>
      <c r="C929" s="15"/>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15"/>
      <c r="B930" s="45"/>
      <c r="C930" s="15"/>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15"/>
      <c r="B931" s="45"/>
      <c r="C931" s="15"/>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15"/>
      <c r="B932" s="45"/>
      <c r="C932" s="15"/>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15"/>
      <c r="B933" s="45"/>
      <c r="C933" s="15"/>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15"/>
      <c r="B934" s="45"/>
      <c r="C934" s="15"/>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15"/>
      <c r="B935" s="45"/>
      <c r="C935" s="15"/>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15"/>
      <c r="B936" s="45"/>
      <c r="C936" s="15"/>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15"/>
      <c r="B937" s="45"/>
      <c r="C937" s="15"/>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15"/>
      <c r="B938" s="45"/>
      <c r="C938" s="15"/>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15"/>
      <c r="B939" s="45"/>
      <c r="C939" s="15"/>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15"/>
      <c r="B940" s="45"/>
      <c r="C940" s="15"/>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15"/>
      <c r="B941" s="45"/>
      <c r="C941" s="15"/>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15"/>
      <c r="B942" s="45"/>
      <c r="C942" s="15"/>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15"/>
      <c r="B943" s="45"/>
      <c r="C943" s="15"/>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15"/>
      <c r="B944" s="45"/>
      <c r="C944" s="15"/>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15"/>
      <c r="B945" s="45"/>
      <c r="C945" s="15"/>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15"/>
      <c r="B946" s="45"/>
      <c r="C946" s="15"/>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15"/>
      <c r="B947" s="45"/>
      <c r="C947" s="15"/>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15"/>
      <c r="B948" s="45"/>
      <c r="C948" s="15"/>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15"/>
      <c r="B949" s="45"/>
      <c r="C949" s="15"/>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15"/>
      <c r="B950" s="45"/>
      <c r="C950" s="15"/>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15"/>
      <c r="B951" s="45"/>
      <c r="C951" s="15"/>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15"/>
      <c r="B952" s="45"/>
      <c r="C952" s="15"/>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15"/>
      <c r="B953" s="45"/>
      <c r="C953" s="15"/>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15"/>
      <c r="B954" s="45"/>
      <c r="C954" s="15"/>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15"/>
      <c r="B955" s="45"/>
      <c r="C955" s="15"/>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15"/>
      <c r="B956" s="45"/>
      <c r="C956" s="15"/>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15"/>
      <c r="B957" s="45"/>
      <c r="C957" s="15"/>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15"/>
      <c r="B958" s="45"/>
      <c r="C958" s="15"/>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15"/>
      <c r="B959" s="45"/>
      <c r="C959" s="15"/>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15"/>
      <c r="B960" s="45"/>
      <c r="C960" s="15"/>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15"/>
      <c r="B961" s="45"/>
      <c r="C961" s="15"/>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15"/>
      <c r="B962" s="45"/>
      <c r="C962" s="15"/>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15"/>
      <c r="B963" s="45"/>
      <c r="C963" s="15"/>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15"/>
      <c r="B964" s="45"/>
      <c r="C964" s="15"/>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15"/>
      <c r="B965" s="45"/>
      <c r="C965" s="15"/>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15"/>
      <c r="B966" s="45"/>
      <c r="C966" s="15"/>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15"/>
      <c r="B967" s="45"/>
      <c r="C967" s="15"/>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15"/>
      <c r="B968" s="45"/>
      <c r="C968" s="15"/>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15"/>
      <c r="B969" s="45"/>
      <c r="C969" s="15"/>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15"/>
      <c r="B970" s="45"/>
      <c r="C970" s="15"/>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15"/>
      <c r="B971" s="45"/>
      <c r="C971" s="15"/>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15"/>
      <c r="B972" s="45"/>
      <c r="C972" s="15"/>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15"/>
      <c r="B973" s="45"/>
      <c r="C973" s="15"/>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15"/>
      <c r="B974" s="45"/>
      <c r="C974" s="15"/>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15"/>
      <c r="B975" s="45"/>
      <c r="C975" s="15"/>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15"/>
      <c r="B976" s="45"/>
      <c r="C976" s="15"/>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15"/>
      <c r="B977" s="45"/>
      <c r="C977" s="15"/>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15"/>
      <c r="B978" s="45"/>
      <c r="C978" s="15"/>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15"/>
      <c r="B979" s="45"/>
      <c r="C979" s="15"/>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15"/>
      <c r="B980" s="45"/>
      <c r="C980" s="15"/>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15"/>
      <c r="B981" s="45"/>
      <c r="C981" s="15"/>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15"/>
      <c r="B982" s="45"/>
      <c r="C982" s="15"/>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15"/>
      <c r="B983" s="45"/>
      <c r="C983" s="15"/>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15"/>
      <c r="B984" s="45"/>
      <c r="C984" s="15"/>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15"/>
      <c r="B985" s="45"/>
      <c r="C985" s="15"/>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15"/>
      <c r="B986" s="45"/>
      <c r="C986" s="15"/>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15"/>
      <c r="B987" s="45"/>
      <c r="C987" s="15"/>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15"/>
      <c r="B988" s="45"/>
      <c r="C988" s="15"/>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15"/>
      <c r="B989" s="45"/>
      <c r="C989" s="15"/>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15"/>
      <c r="B990" s="45"/>
      <c r="C990" s="15"/>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15"/>
      <c r="B991" s="45"/>
      <c r="C991" s="15"/>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15"/>
      <c r="B992" s="45"/>
      <c r="C992" s="15"/>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15"/>
      <c r="B993" s="45"/>
      <c r="C993" s="15"/>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15"/>
      <c r="B994" s="45"/>
      <c r="C994" s="15"/>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15"/>
      <c r="B995" s="45"/>
      <c r="C995" s="15"/>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15"/>
      <c r="B996" s="45"/>
      <c r="C996" s="15"/>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15"/>
      <c r="B997" s="45"/>
      <c r="C997" s="15"/>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15"/>
      <c r="B998" s="45"/>
      <c r="C998" s="15"/>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15"/>
      <c r="B999" s="45"/>
      <c r="C999" s="15"/>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15"/>
      <c r="B1000" s="45"/>
      <c r="C1000" s="15"/>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A3:A1000 C3:C1000 E3:E1000">
    <cfRule type="containsBlanks" dxfId="37" priority="1">
      <formula>LEN(TRIM(A3))=0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Drop_downs!$J$3:$J$6</xm:f>
          </x14:formula1>
          <xm:sqref>A3:A22</xm:sqref>
        </x14:dataValidation>
        <x14:dataValidation type="list" allowBlank="1" showErrorMessage="1" xr:uid="{00000000-0002-0000-1400-000001000000}">
          <x14:formula1>
            <xm:f>Drop_downs!$J$4:$J$6</xm:f>
          </x14:formula1>
          <xm:sqref>A23:A27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sheetPr>
  <dimension ref="A1:AA1000"/>
  <sheetViews>
    <sheetView topLeftCell="XEP1" workbookViewId="0">
      <selection activeCell="XEX13" sqref="XEX13"/>
    </sheetView>
  </sheetViews>
  <sheetFormatPr baseColWidth="10" defaultColWidth="11.28515625" defaultRowHeight="15" customHeight="1"/>
  <cols>
    <col min="1" max="1" width="38.28515625" customWidth="1"/>
    <col min="2" max="2" width="29.42578125" customWidth="1"/>
    <col min="3" max="7" width="38.28515625" customWidth="1"/>
    <col min="8" max="27" width="8.85546875" customWidth="1"/>
  </cols>
  <sheetData>
    <row r="1" spans="1:27" ht="17.25" customHeight="1">
      <c r="A1" s="40" t="s">
        <v>4814</v>
      </c>
      <c r="B1" s="78" t="s">
        <v>4813</v>
      </c>
      <c r="C1" s="84"/>
      <c r="D1" s="84"/>
      <c r="E1" s="84"/>
      <c r="F1" s="84"/>
      <c r="G1" s="48"/>
      <c r="H1" s="63"/>
      <c r="I1" s="20"/>
      <c r="J1" s="20"/>
      <c r="K1" s="20"/>
      <c r="L1" s="20"/>
      <c r="M1" s="20"/>
      <c r="N1" s="20"/>
      <c r="O1" s="20"/>
      <c r="P1" s="20"/>
      <c r="Q1" s="20"/>
      <c r="R1" s="20"/>
      <c r="S1" s="20"/>
      <c r="T1" s="20"/>
      <c r="U1" s="20"/>
      <c r="V1" s="20"/>
      <c r="W1" s="20"/>
      <c r="X1" s="20"/>
      <c r="Y1" s="20"/>
      <c r="Z1" s="20"/>
      <c r="AA1" s="20"/>
    </row>
    <row r="2" spans="1:27" ht="17.25" customHeight="1">
      <c r="A2" s="41" t="s">
        <v>4832</v>
      </c>
      <c r="B2" s="41" t="s">
        <v>5147</v>
      </c>
      <c r="C2" s="41" t="s">
        <v>5148</v>
      </c>
      <c r="D2" s="41" t="s">
        <v>5149</v>
      </c>
      <c r="E2" s="41" t="s">
        <v>5150</v>
      </c>
      <c r="F2" s="41" t="s">
        <v>5042</v>
      </c>
      <c r="G2" s="101" t="s">
        <v>5043</v>
      </c>
      <c r="H2" s="65" t="s">
        <v>4836</v>
      </c>
      <c r="I2" s="20"/>
      <c r="J2" s="20"/>
      <c r="K2" s="20"/>
      <c r="L2" s="20"/>
      <c r="M2" s="20"/>
      <c r="N2" s="20"/>
      <c r="O2" s="20"/>
      <c r="P2" s="20"/>
      <c r="Q2" s="20"/>
      <c r="R2" s="20"/>
      <c r="S2" s="20"/>
      <c r="T2" s="20"/>
      <c r="U2" s="20"/>
      <c r="V2" s="20"/>
      <c r="W2" s="20"/>
      <c r="X2" s="20"/>
      <c r="Y2" s="20"/>
      <c r="Z2" s="20"/>
      <c r="AA2" s="20"/>
    </row>
    <row r="3" spans="1:27" ht="17.25" customHeight="1">
      <c r="A3" s="15" t="s">
        <v>5151</v>
      </c>
      <c r="B3" s="15" t="s">
        <v>5051</v>
      </c>
      <c r="C3" s="15">
        <v>10</v>
      </c>
      <c r="D3" s="15">
        <v>60</v>
      </c>
      <c r="E3" s="15">
        <v>0.91</v>
      </c>
      <c r="F3" s="15">
        <v>0.7</v>
      </c>
      <c r="G3" s="15">
        <f t="shared" ref="G3:G6" si="0">E3*F3</f>
        <v>0.63700000000000001</v>
      </c>
      <c r="H3" s="69" t="s">
        <v>4876</v>
      </c>
      <c r="I3" s="20"/>
      <c r="J3" s="20"/>
      <c r="K3" s="20"/>
      <c r="L3" s="20"/>
      <c r="M3" s="20"/>
      <c r="N3" s="20"/>
      <c r="O3" s="20"/>
      <c r="P3" s="20"/>
      <c r="Q3" s="20"/>
      <c r="R3" s="20"/>
      <c r="S3" s="20"/>
      <c r="T3" s="20"/>
      <c r="U3" s="20"/>
      <c r="V3" s="20"/>
      <c r="W3" s="20"/>
      <c r="X3" s="20"/>
      <c r="Y3" s="20"/>
      <c r="Z3" s="20"/>
      <c r="AA3" s="20"/>
    </row>
    <row r="4" spans="1:27" ht="17.25" customHeight="1">
      <c r="A4" s="15" t="s">
        <v>5152</v>
      </c>
      <c r="B4" s="15" t="s">
        <v>97</v>
      </c>
      <c r="C4" s="15">
        <v>10</v>
      </c>
      <c r="D4" s="15">
        <v>60</v>
      </c>
      <c r="E4" s="15">
        <v>0.75</v>
      </c>
      <c r="F4" s="15">
        <v>0.7</v>
      </c>
      <c r="G4" s="15">
        <f t="shared" si="0"/>
        <v>0.52499999999999991</v>
      </c>
      <c r="H4" s="69" t="s">
        <v>4876</v>
      </c>
      <c r="I4" s="20"/>
      <c r="J4" s="20"/>
      <c r="K4" s="20"/>
      <c r="L4" s="20"/>
      <c r="M4" s="20"/>
      <c r="N4" s="20"/>
      <c r="O4" s="20"/>
      <c r="P4" s="20"/>
      <c r="Q4" s="20"/>
      <c r="R4" s="20"/>
      <c r="S4" s="20"/>
      <c r="T4" s="20"/>
      <c r="U4" s="20"/>
      <c r="V4" s="20"/>
      <c r="W4" s="20"/>
      <c r="X4" s="20"/>
      <c r="Y4" s="20"/>
      <c r="Z4" s="20"/>
      <c r="AA4" s="20"/>
    </row>
    <row r="5" spans="1:27" ht="17.25" customHeight="1">
      <c r="A5" s="15" t="s">
        <v>5153</v>
      </c>
      <c r="B5" s="15" t="s">
        <v>5051</v>
      </c>
      <c r="C5" s="15">
        <v>10</v>
      </c>
      <c r="D5" s="15">
        <v>60</v>
      </c>
      <c r="E5" s="15">
        <v>0.91</v>
      </c>
      <c r="F5" s="15">
        <v>0.85</v>
      </c>
      <c r="G5" s="15">
        <f t="shared" si="0"/>
        <v>0.77349999999999997</v>
      </c>
      <c r="H5" s="69" t="s">
        <v>4876</v>
      </c>
      <c r="I5" s="20"/>
      <c r="J5" s="20"/>
      <c r="K5" s="20"/>
      <c r="L5" s="20"/>
      <c r="M5" s="20"/>
      <c r="N5" s="20"/>
      <c r="O5" s="20"/>
      <c r="P5" s="20"/>
      <c r="Q5" s="20"/>
      <c r="R5" s="20"/>
      <c r="S5" s="20"/>
      <c r="T5" s="20"/>
      <c r="U5" s="20"/>
      <c r="V5" s="20"/>
      <c r="W5" s="20"/>
      <c r="X5" s="20"/>
      <c r="Y5" s="20"/>
      <c r="Z5" s="20"/>
      <c r="AA5" s="20"/>
    </row>
    <row r="6" spans="1:27" ht="17.25" customHeight="1">
      <c r="A6" s="15" t="s">
        <v>5154</v>
      </c>
      <c r="B6" s="15" t="s">
        <v>97</v>
      </c>
      <c r="C6" s="15">
        <v>10</v>
      </c>
      <c r="D6" s="15">
        <v>60</v>
      </c>
      <c r="E6" s="15">
        <v>0.75</v>
      </c>
      <c r="F6" s="15">
        <v>0.85</v>
      </c>
      <c r="G6" s="15">
        <f t="shared" si="0"/>
        <v>0.63749999999999996</v>
      </c>
      <c r="H6" s="69" t="s">
        <v>4876</v>
      </c>
      <c r="I6" s="20"/>
      <c r="J6" s="20"/>
      <c r="K6" s="20"/>
      <c r="L6" s="20"/>
      <c r="M6" s="20"/>
      <c r="N6" s="20"/>
      <c r="O6" s="20"/>
      <c r="P6" s="20"/>
      <c r="Q6" s="20"/>
      <c r="R6" s="20"/>
      <c r="S6" s="20"/>
      <c r="T6" s="20"/>
      <c r="U6" s="20"/>
      <c r="V6" s="20"/>
      <c r="W6" s="20"/>
      <c r="X6" s="20"/>
      <c r="Y6" s="20"/>
      <c r="Z6" s="20"/>
      <c r="AA6" s="20"/>
    </row>
    <row r="7" spans="1:27" ht="17.25" customHeight="1">
      <c r="A7" s="57" t="s">
        <v>6225</v>
      </c>
      <c r="B7" s="57" t="s">
        <v>5051</v>
      </c>
      <c r="C7" s="15">
        <v>10</v>
      </c>
      <c r="D7" s="15">
        <v>60</v>
      </c>
      <c r="E7" s="15">
        <v>0</v>
      </c>
      <c r="F7" s="15">
        <v>0</v>
      </c>
      <c r="G7" s="15">
        <v>0</v>
      </c>
      <c r="H7" s="69" t="s">
        <v>4876</v>
      </c>
      <c r="I7" s="20"/>
      <c r="J7" s="20"/>
      <c r="K7" s="20"/>
      <c r="L7" s="20"/>
      <c r="M7" s="20"/>
      <c r="N7" s="20"/>
      <c r="O7" s="20"/>
      <c r="P7" s="20"/>
      <c r="Q7" s="20"/>
      <c r="R7" s="20"/>
      <c r="S7" s="20"/>
      <c r="T7" s="20"/>
      <c r="U7" s="20"/>
      <c r="V7" s="20"/>
      <c r="W7" s="20"/>
      <c r="X7" s="20"/>
      <c r="Y7" s="20"/>
      <c r="Z7" s="20"/>
      <c r="AA7" s="20"/>
    </row>
    <row r="8" spans="1:27" ht="17.25" customHeight="1">
      <c r="A8" s="57"/>
      <c r="B8" s="57"/>
      <c r="C8" s="57"/>
      <c r="D8" s="57"/>
      <c r="E8" s="57"/>
      <c r="F8" s="57"/>
      <c r="G8" s="57"/>
      <c r="H8" s="20"/>
      <c r="I8" s="20"/>
      <c r="J8" s="20"/>
      <c r="K8" s="20"/>
      <c r="L8" s="20"/>
      <c r="M8" s="20"/>
      <c r="N8" s="20"/>
      <c r="O8" s="20"/>
      <c r="P8" s="20"/>
      <c r="Q8" s="20"/>
      <c r="R8" s="20"/>
      <c r="S8" s="20"/>
      <c r="T8" s="20"/>
      <c r="U8" s="20"/>
      <c r="V8" s="20"/>
      <c r="W8" s="20"/>
      <c r="X8" s="20"/>
      <c r="Y8" s="20"/>
      <c r="Z8" s="20"/>
      <c r="AA8" s="20"/>
    </row>
    <row r="9" spans="1:27" ht="17.25" customHeight="1">
      <c r="A9" s="57"/>
      <c r="B9" s="57"/>
      <c r="C9" s="57"/>
      <c r="D9" s="57"/>
      <c r="E9" s="57"/>
      <c r="F9" s="57"/>
      <c r="G9" s="57"/>
      <c r="H9" s="20"/>
      <c r="I9" s="20"/>
      <c r="J9" s="20"/>
      <c r="K9" s="20"/>
      <c r="L9" s="20"/>
      <c r="M9" s="20"/>
      <c r="N9" s="20"/>
      <c r="O9" s="20"/>
      <c r="P9" s="20"/>
      <c r="Q9" s="20"/>
      <c r="R9" s="20"/>
      <c r="S9" s="20"/>
      <c r="T9" s="20"/>
      <c r="U9" s="20"/>
      <c r="V9" s="20"/>
      <c r="W9" s="20"/>
      <c r="X9" s="20"/>
      <c r="Y9" s="20"/>
      <c r="Z9" s="20"/>
      <c r="AA9" s="20"/>
    </row>
    <row r="10" spans="1:27" ht="17.25" customHeight="1">
      <c r="A10" s="57"/>
      <c r="B10" s="57"/>
      <c r="C10" s="57"/>
      <c r="D10" s="57"/>
      <c r="E10" s="57"/>
      <c r="F10" s="57"/>
      <c r="G10" s="57"/>
      <c r="H10" s="20"/>
      <c r="I10" s="20"/>
      <c r="J10" s="20"/>
      <c r="K10" s="20"/>
      <c r="L10" s="20"/>
      <c r="M10" s="20"/>
      <c r="N10" s="20"/>
      <c r="O10" s="20"/>
      <c r="P10" s="20"/>
      <c r="Q10" s="20"/>
      <c r="R10" s="20"/>
      <c r="S10" s="20"/>
      <c r="T10" s="20"/>
      <c r="U10" s="20"/>
      <c r="V10" s="20"/>
      <c r="W10" s="20"/>
      <c r="X10" s="20"/>
      <c r="Y10" s="20"/>
      <c r="Z10" s="20"/>
      <c r="AA10" s="20"/>
    </row>
    <row r="11" spans="1:27" ht="17.25" customHeight="1">
      <c r="A11" s="57"/>
      <c r="B11" s="57"/>
      <c r="C11" s="57"/>
      <c r="D11" s="57"/>
      <c r="E11" s="57"/>
      <c r="F11" s="57"/>
      <c r="G11" s="57"/>
      <c r="H11" s="20"/>
      <c r="I11" s="20"/>
      <c r="J11" s="20"/>
      <c r="K11" s="20"/>
      <c r="L11" s="20"/>
      <c r="M11" s="20"/>
      <c r="N11" s="20"/>
      <c r="O11" s="20"/>
      <c r="P11" s="20"/>
      <c r="Q11" s="20"/>
      <c r="R11" s="20"/>
      <c r="S11" s="20"/>
      <c r="T11" s="20"/>
      <c r="U11" s="20"/>
      <c r="V11" s="20"/>
      <c r="W11" s="20"/>
      <c r="X11" s="20"/>
      <c r="Y11" s="20"/>
      <c r="Z11" s="20"/>
      <c r="AA11" s="20"/>
    </row>
    <row r="12" spans="1:27" ht="17.25" customHeight="1">
      <c r="A12" s="57"/>
      <c r="B12" s="57"/>
      <c r="C12" s="57"/>
      <c r="D12" s="57"/>
      <c r="E12" s="57"/>
      <c r="F12" s="57"/>
      <c r="G12" s="57"/>
      <c r="H12" s="20"/>
      <c r="I12" s="20"/>
      <c r="J12" s="20"/>
      <c r="K12" s="20"/>
      <c r="L12" s="20"/>
      <c r="M12" s="20"/>
      <c r="N12" s="20"/>
      <c r="O12" s="20"/>
      <c r="P12" s="20"/>
      <c r="Q12" s="20"/>
      <c r="R12" s="20"/>
      <c r="S12" s="20"/>
      <c r="T12" s="20"/>
      <c r="U12" s="20"/>
      <c r="V12" s="20"/>
      <c r="W12" s="20"/>
      <c r="X12" s="20"/>
      <c r="Y12" s="20"/>
      <c r="Z12" s="20"/>
      <c r="AA12" s="20"/>
    </row>
    <row r="13" spans="1:27" ht="17.25" customHeight="1">
      <c r="A13" s="57"/>
      <c r="B13" s="57"/>
      <c r="C13" s="57"/>
      <c r="D13" s="57"/>
      <c r="E13" s="57"/>
      <c r="F13" s="57"/>
      <c r="G13" s="57"/>
      <c r="H13" s="20"/>
      <c r="I13" s="20"/>
      <c r="J13" s="20"/>
      <c r="K13" s="20"/>
      <c r="L13" s="20"/>
      <c r="M13" s="20"/>
      <c r="N13" s="20"/>
      <c r="O13" s="20"/>
      <c r="P13" s="20"/>
      <c r="Q13" s="20"/>
      <c r="R13" s="20"/>
      <c r="S13" s="20"/>
      <c r="T13" s="20"/>
      <c r="U13" s="20"/>
      <c r="V13" s="20"/>
      <c r="W13" s="20"/>
      <c r="X13" s="20"/>
      <c r="Y13" s="20"/>
      <c r="Z13" s="20"/>
      <c r="AA13" s="20"/>
    </row>
    <row r="14" spans="1:27" ht="17.25" customHeight="1">
      <c r="A14" s="57"/>
      <c r="B14" s="57"/>
      <c r="C14" s="57"/>
      <c r="D14" s="57"/>
      <c r="E14" s="57"/>
      <c r="F14" s="57"/>
      <c r="G14" s="57"/>
      <c r="H14" s="20"/>
      <c r="I14" s="20"/>
      <c r="J14" s="20"/>
      <c r="K14" s="20"/>
      <c r="L14" s="20"/>
      <c r="M14" s="20"/>
      <c r="N14" s="20"/>
      <c r="O14" s="20"/>
      <c r="P14" s="20"/>
      <c r="Q14" s="20"/>
      <c r="R14" s="20"/>
      <c r="S14" s="20"/>
      <c r="T14" s="20"/>
      <c r="U14" s="20"/>
      <c r="V14" s="20"/>
      <c r="W14" s="20"/>
      <c r="X14" s="20"/>
      <c r="Y14" s="20"/>
      <c r="Z14" s="20"/>
      <c r="AA14" s="20"/>
    </row>
    <row r="15" spans="1:27" ht="17.25" customHeight="1">
      <c r="A15" s="57"/>
      <c r="B15" s="57"/>
      <c r="C15" s="57"/>
      <c r="D15" s="57"/>
      <c r="E15" s="57"/>
      <c r="F15" s="57"/>
      <c r="G15" s="57"/>
      <c r="H15" s="20"/>
      <c r="I15" s="20"/>
      <c r="J15" s="20"/>
      <c r="K15" s="20"/>
      <c r="L15" s="20"/>
      <c r="M15" s="20"/>
      <c r="N15" s="20"/>
      <c r="O15" s="20"/>
      <c r="P15" s="20"/>
      <c r="Q15" s="20"/>
      <c r="R15" s="20"/>
      <c r="S15" s="20"/>
      <c r="T15" s="20"/>
      <c r="U15" s="20"/>
      <c r="V15" s="20"/>
      <c r="W15" s="20"/>
      <c r="X15" s="20"/>
      <c r="Y15" s="20"/>
      <c r="Z15" s="20"/>
      <c r="AA15" s="20"/>
    </row>
    <row r="16" spans="1:27" ht="17.25" customHeight="1">
      <c r="A16" s="57"/>
      <c r="B16" s="57"/>
      <c r="C16" s="57"/>
      <c r="D16" s="57"/>
      <c r="E16" s="57"/>
      <c r="F16" s="57"/>
      <c r="G16" s="57"/>
      <c r="H16" s="20"/>
      <c r="I16" s="20"/>
      <c r="J16" s="20"/>
      <c r="K16" s="20"/>
      <c r="L16" s="20"/>
      <c r="M16" s="20"/>
      <c r="N16" s="20"/>
      <c r="O16" s="20"/>
      <c r="P16" s="20"/>
      <c r="Q16" s="20"/>
      <c r="R16" s="20"/>
      <c r="S16" s="20"/>
      <c r="T16" s="20"/>
      <c r="U16" s="20"/>
      <c r="V16" s="20"/>
      <c r="W16" s="20"/>
      <c r="X16" s="20"/>
      <c r="Y16" s="20"/>
      <c r="Z16" s="20"/>
      <c r="AA16" s="20"/>
    </row>
    <row r="17" spans="1:27" ht="17.25" customHeight="1">
      <c r="A17" s="57"/>
      <c r="B17" s="57"/>
      <c r="C17" s="57"/>
      <c r="D17" s="57"/>
      <c r="E17" s="57"/>
      <c r="F17" s="57"/>
      <c r="G17" s="57"/>
      <c r="H17" s="20"/>
      <c r="I17" s="20"/>
      <c r="J17" s="20"/>
      <c r="K17" s="20"/>
      <c r="L17" s="20"/>
      <c r="M17" s="20"/>
      <c r="N17" s="20"/>
      <c r="O17" s="20"/>
      <c r="P17" s="20"/>
      <c r="Q17" s="20"/>
      <c r="R17" s="20"/>
      <c r="S17" s="20"/>
      <c r="T17" s="20"/>
      <c r="U17" s="20"/>
      <c r="V17" s="20"/>
      <c r="W17" s="20"/>
      <c r="X17" s="20"/>
      <c r="Y17" s="20"/>
      <c r="Z17" s="20"/>
      <c r="AA17" s="20"/>
    </row>
    <row r="18" spans="1:27" ht="17.25" customHeight="1">
      <c r="A18" s="57"/>
      <c r="B18" s="57"/>
      <c r="C18" s="57"/>
      <c r="D18" s="57"/>
      <c r="E18" s="57"/>
      <c r="F18" s="57"/>
      <c r="G18" s="57"/>
      <c r="H18" s="20"/>
      <c r="I18" s="20"/>
      <c r="J18" s="20"/>
      <c r="K18" s="20"/>
      <c r="L18" s="20"/>
      <c r="M18" s="20"/>
      <c r="N18" s="20"/>
      <c r="O18" s="20"/>
      <c r="P18" s="20"/>
      <c r="Q18" s="20"/>
      <c r="R18" s="20"/>
      <c r="S18" s="20"/>
      <c r="T18" s="20"/>
      <c r="U18" s="20"/>
      <c r="V18" s="20"/>
      <c r="W18" s="20"/>
      <c r="X18" s="20"/>
      <c r="Y18" s="20"/>
      <c r="Z18" s="20"/>
      <c r="AA18" s="20"/>
    </row>
    <row r="19" spans="1:27" ht="17.25" customHeight="1">
      <c r="A19" s="57"/>
      <c r="B19" s="57"/>
      <c r="C19" s="57"/>
      <c r="D19" s="57"/>
      <c r="E19" s="57"/>
      <c r="F19" s="57"/>
      <c r="G19" s="57"/>
      <c r="H19" s="20"/>
      <c r="I19" s="20"/>
      <c r="J19" s="20"/>
      <c r="K19" s="20"/>
      <c r="L19" s="20"/>
      <c r="M19" s="20"/>
      <c r="N19" s="20"/>
      <c r="O19" s="20"/>
      <c r="P19" s="20"/>
      <c r="Q19" s="20"/>
      <c r="R19" s="20"/>
      <c r="S19" s="20"/>
      <c r="T19" s="20"/>
      <c r="U19" s="20"/>
      <c r="V19" s="20"/>
      <c r="W19" s="20"/>
      <c r="X19" s="20"/>
      <c r="Y19" s="20"/>
      <c r="Z19" s="20"/>
      <c r="AA19" s="20"/>
    </row>
    <row r="20" spans="1:27" ht="17.25" customHeight="1">
      <c r="A20" s="57"/>
      <c r="B20" s="57"/>
      <c r="C20" s="57"/>
      <c r="D20" s="57"/>
      <c r="E20" s="57"/>
      <c r="F20" s="57"/>
      <c r="G20" s="57"/>
      <c r="H20" s="20"/>
      <c r="I20" s="20"/>
      <c r="J20" s="20"/>
      <c r="K20" s="20"/>
      <c r="L20" s="20"/>
      <c r="M20" s="20"/>
      <c r="N20" s="20"/>
      <c r="O20" s="20"/>
      <c r="P20" s="20"/>
      <c r="Q20" s="20"/>
      <c r="R20" s="20"/>
      <c r="S20" s="20"/>
      <c r="T20" s="20"/>
      <c r="U20" s="20"/>
      <c r="V20" s="20"/>
      <c r="W20" s="20"/>
      <c r="X20" s="20"/>
      <c r="Y20" s="20"/>
      <c r="Z20" s="20"/>
      <c r="AA20" s="20"/>
    </row>
    <row r="21" spans="1:27" ht="17.25" customHeight="1">
      <c r="A21" s="57"/>
      <c r="B21" s="57"/>
      <c r="C21" s="57"/>
      <c r="D21" s="57"/>
      <c r="E21" s="57"/>
      <c r="F21" s="57"/>
      <c r="G21" s="57"/>
      <c r="H21" s="20"/>
      <c r="I21" s="20"/>
      <c r="J21" s="20"/>
      <c r="K21" s="20"/>
      <c r="L21" s="20"/>
      <c r="M21" s="20"/>
      <c r="N21" s="20"/>
      <c r="O21" s="20"/>
      <c r="P21" s="20"/>
      <c r="Q21" s="20"/>
      <c r="R21" s="20"/>
      <c r="S21" s="20"/>
      <c r="T21" s="20"/>
      <c r="U21" s="20"/>
      <c r="V21" s="20"/>
      <c r="W21" s="20"/>
      <c r="X21" s="20"/>
      <c r="Y21" s="20"/>
      <c r="Z21" s="20"/>
      <c r="AA21" s="20"/>
    </row>
    <row r="22" spans="1:27" ht="17.25" customHeight="1">
      <c r="A22" s="57"/>
      <c r="B22" s="57"/>
      <c r="C22" s="57"/>
      <c r="D22" s="57"/>
      <c r="E22" s="57"/>
      <c r="F22" s="57"/>
      <c r="G22" s="57"/>
      <c r="H22" s="20"/>
      <c r="I22" s="20"/>
      <c r="J22" s="20"/>
      <c r="K22" s="20"/>
      <c r="L22" s="20"/>
      <c r="M22" s="20"/>
      <c r="N22" s="20"/>
      <c r="O22" s="20"/>
      <c r="P22" s="20"/>
      <c r="Q22" s="20"/>
      <c r="R22" s="20"/>
      <c r="S22" s="20"/>
      <c r="T22" s="20"/>
      <c r="U22" s="20"/>
      <c r="V22" s="20"/>
      <c r="W22" s="20"/>
      <c r="X22" s="20"/>
      <c r="Y22" s="20"/>
      <c r="Z22" s="20"/>
      <c r="AA22" s="20"/>
    </row>
    <row r="23" spans="1:27" ht="17.25" customHeight="1">
      <c r="A23" s="57"/>
      <c r="B23" s="57"/>
      <c r="C23" s="57"/>
      <c r="D23" s="57"/>
      <c r="E23" s="57"/>
      <c r="F23" s="57"/>
      <c r="G23" s="57"/>
      <c r="H23" s="20"/>
      <c r="I23" s="20"/>
      <c r="J23" s="20"/>
      <c r="K23" s="20"/>
      <c r="L23" s="20"/>
      <c r="M23" s="20"/>
      <c r="N23" s="20"/>
      <c r="O23" s="20"/>
      <c r="P23" s="20"/>
      <c r="Q23" s="20"/>
      <c r="R23" s="20"/>
      <c r="S23" s="20"/>
      <c r="T23" s="20"/>
      <c r="U23" s="20"/>
      <c r="V23" s="20"/>
      <c r="W23" s="20"/>
      <c r="X23" s="20"/>
      <c r="Y23" s="20"/>
      <c r="Z23" s="20"/>
      <c r="AA23" s="20"/>
    </row>
    <row r="24" spans="1:27" ht="17.25" customHeight="1">
      <c r="A24" s="57"/>
      <c r="B24" s="57"/>
      <c r="C24" s="57"/>
      <c r="D24" s="57"/>
      <c r="E24" s="57"/>
      <c r="F24" s="57"/>
      <c r="G24" s="57"/>
      <c r="H24" s="20"/>
      <c r="I24" s="20"/>
      <c r="J24" s="20"/>
      <c r="K24" s="20"/>
      <c r="L24" s="20"/>
      <c r="M24" s="20"/>
      <c r="N24" s="20"/>
      <c r="O24" s="20"/>
      <c r="P24" s="20"/>
      <c r="Q24" s="20"/>
      <c r="R24" s="20"/>
      <c r="S24" s="20"/>
      <c r="T24" s="20"/>
      <c r="U24" s="20"/>
      <c r="V24" s="20"/>
      <c r="W24" s="20"/>
      <c r="X24" s="20"/>
      <c r="Y24" s="20"/>
      <c r="Z24" s="20"/>
      <c r="AA24" s="20"/>
    </row>
    <row r="25" spans="1:27" ht="17.25" customHeight="1">
      <c r="A25" s="57"/>
      <c r="B25" s="57"/>
      <c r="C25" s="57"/>
      <c r="D25" s="57"/>
      <c r="E25" s="57"/>
      <c r="F25" s="57"/>
      <c r="G25" s="57"/>
      <c r="H25" s="20"/>
      <c r="I25" s="20"/>
      <c r="J25" s="20"/>
      <c r="K25" s="20"/>
      <c r="L25" s="20"/>
      <c r="M25" s="20"/>
      <c r="N25" s="20"/>
      <c r="O25" s="20"/>
      <c r="P25" s="20"/>
      <c r="Q25" s="20"/>
      <c r="R25" s="20"/>
      <c r="S25" s="20"/>
      <c r="T25" s="20"/>
      <c r="U25" s="20"/>
      <c r="V25" s="20"/>
      <c r="W25" s="20"/>
      <c r="X25" s="20"/>
      <c r="Y25" s="20"/>
      <c r="Z25" s="20"/>
      <c r="AA25" s="20"/>
    </row>
    <row r="26" spans="1:27" ht="17.25" customHeight="1">
      <c r="A26" s="57"/>
      <c r="B26" s="57"/>
      <c r="C26" s="57"/>
      <c r="D26" s="57"/>
      <c r="E26" s="57"/>
      <c r="F26" s="57"/>
      <c r="G26" s="57"/>
      <c r="H26" s="20"/>
      <c r="I26" s="20"/>
      <c r="J26" s="20"/>
      <c r="K26" s="20"/>
      <c r="L26" s="20"/>
      <c r="M26" s="20"/>
      <c r="N26" s="20"/>
      <c r="O26" s="20"/>
      <c r="P26" s="20"/>
      <c r="Q26" s="20"/>
      <c r="R26" s="20"/>
      <c r="S26" s="20"/>
      <c r="T26" s="20"/>
      <c r="U26" s="20"/>
      <c r="V26" s="20"/>
      <c r="W26" s="20"/>
      <c r="X26" s="20"/>
      <c r="Y26" s="20"/>
      <c r="Z26" s="20"/>
      <c r="AA26" s="20"/>
    </row>
    <row r="27" spans="1:27" ht="17.25" customHeight="1">
      <c r="A27" s="57"/>
      <c r="B27" s="57"/>
      <c r="C27" s="57"/>
      <c r="D27" s="57"/>
      <c r="E27" s="57"/>
      <c r="F27" s="57"/>
      <c r="G27" s="57"/>
      <c r="H27" s="20"/>
      <c r="I27" s="20"/>
      <c r="J27" s="20"/>
      <c r="K27" s="20"/>
      <c r="L27" s="20"/>
      <c r="M27" s="20"/>
      <c r="N27" s="20"/>
      <c r="O27" s="20"/>
      <c r="P27" s="20"/>
      <c r="Q27" s="20"/>
      <c r="R27" s="20"/>
      <c r="S27" s="20"/>
      <c r="T27" s="20"/>
      <c r="U27" s="20"/>
      <c r="V27" s="20"/>
      <c r="W27" s="20"/>
      <c r="X27" s="20"/>
      <c r="Y27" s="20"/>
      <c r="Z27" s="20"/>
      <c r="AA27" s="20"/>
    </row>
    <row r="28" spans="1:27" ht="17.25" customHeight="1">
      <c r="A28" s="57"/>
      <c r="B28" s="57"/>
      <c r="C28" s="57"/>
      <c r="D28" s="57"/>
      <c r="E28" s="57"/>
      <c r="F28" s="57"/>
      <c r="G28" s="57"/>
      <c r="H28" s="20"/>
      <c r="I28" s="20"/>
      <c r="J28" s="20"/>
      <c r="K28" s="20"/>
      <c r="L28" s="20"/>
      <c r="M28" s="20"/>
      <c r="N28" s="20"/>
      <c r="O28" s="20"/>
      <c r="P28" s="20"/>
      <c r="Q28" s="20"/>
      <c r="R28" s="20"/>
      <c r="S28" s="20"/>
      <c r="T28" s="20"/>
      <c r="U28" s="20"/>
      <c r="V28" s="20"/>
      <c r="W28" s="20"/>
      <c r="X28" s="20"/>
      <c r="Y28" s="20"/>
      <c r="Z28" s="20"/>
      <c r="AA28" s="20"/>
    </row>
    <row r="29" spans="1:27" ht="17.25" customHeight="1">
      <c r="A29" s="57"/>
      <c r="B29" s="57"/>
      <c r="C29" s="57"/>
      <c r="D29" s="57"/>
      <c r="E29" s="57"/>
      <c r="F29" s="57"/>
      <c r="G29" s="57"/>
      <c r="H29" s="20"/>
      <c r="I29" s="20"/>
      <c r="J29" s="20"/>
      <c r="K29" s="20"/>
      <c r="L29" s="20"/>
      <c r="M29" s="20"/>
      <c r="N29" s="20"/>
      <c r="O29" s="20"/>
      <c r="P29" s="20"/>
      <c r="Q29" s="20"/>
      <c r="R29" s="20"/>
      <c r="S29" s="20"/>
      <c r="T29" s="20"/>
      <c r="U29" s="20"/>
      <c r="V29" s="20"/>
      <c r="W29" s="20"/>
      <c r="X29" s="20"/>
      <c r="Y29" s="20"/>
      <c r="Z29" s="20"/>
      <c r="AA29" s="20"/>
    </row>
    <row r="30" spans="1:27" ht="17.25" customHeight="1">
      <c r="A30" s="57"/>
      <c r="B30" s="57"/>
      <c r="C30" s="57"/>
      <c r="D30" s="57"/>
      <c r="E30" s="57"/>
      <c r="F30" s="57"/>
      <c r="G30" s="57"/>
      <c r="H30" s="20"/>
      <c r="I30" s="20"/>
      <c r="J30" s="20"/>
      <c r="K30" s="20"/>
      <c r="L30" s="20"/>
      <c r="M30" s="20"/>
      <c r="N30" s="20"/>
      <c r="O30" s="20"/>
      <c r="P30" s="20"/>
      <c r="Q30" s="20"/>
      <c r="R30" s="20"/>
      <c r="S30" s="20"/>
      <c r="T30" s="20"/>
      <c r="U30" s="20"/>
      <c r="V30" s="20"/>
      <c r="W30" s="20"/>
      <c r="X30" s="20"/>
      <c r="Y30" s="20"/>
      <c r="Z30" s="20"/>
      <c r="AA30" s="20"/>
    </row>
    <row r="31" spans="1:27" ht="17.25" customHeight="1">
      <c r="A31" s="57"/>
      <c r="B31" s="57"/>
      <c r="C31" s="57"/>
      <c r="D31" s="57"/>
      <c r="E31" s="57"/>
      <c r="F31" s="57"/>
      <c r="G31" s="57"/>
      <c r="H31" s="20"/>
      <c r="I31" s="20"/>
      <c r="J31" s="20"/>
      <c r="K31" s="20"/>
      <c r="L31" s="20"/>
      <c r="M31" s="20"/>
      <c r="N31" s="20"/>
      <c r="O31" s="20"/>
      <c r="P31" s="20"/>
      <c r="Q31" s="20"/>
      <c r="R31" s="20"/>
      <c r="S31" s="20"/>
      <c r="T31" s="20"/>
      <c r="U31" s="20"/>
      <c r="V31" s="20"/>
      <c r="W31" s="20"/>
      <c r="X31" s="20"/>
      <c r="Y31" s="20"/>
      <c r="Z31" s="20"/>
      <c r="AA31" s="20"/>
    </row>
    <row r="32" spans="1:27" ht="17.25" customHeight="1">
      <c r="A32" s="57"/>
      <c r="B32" s="57"/>
      <c r="C32" s="57"/>
      <c r="D32" s="57"/>
      <c r="E32" s="57"/>
      <c r="F32" s="57"/>
      <c r="G32" s="57"/>
      <c r="H32" s="20"/>
      <c r="I32" s="20"/>
      <c r="J32" s="20"/>
      <c r="K32" s="20"/>
      <c r="L32" s="20"/>
      <c r="M32" s="20"/>
      <c r="N32" s="20"/>
      <c r="O32" s="20"/>
      <c r="P32" s="20"/>
      <c r="Q32" s="20"/>
      <c r="R32" s="20"/>
      <c r="S32" s="20"/>
      <c r="T32" s="20"/>
      <c r="U32" s="20"/>
      <c r="V32" s="20"/>
      <c r="W32" s="20"/>
      <c r="X32" s="20"/>
      <c r="Y32" s="20"/>
      <c r="Z32" s="20"/>
      <c r="AA32" s="20"/>
    </row>
    <row r="33" spans="1:27" ht="17.25" customHeight="1">
      <c r="A33" s="57"/>
      <c r="B33" s="57"/>
      <c r="C33" s="57"/>
      <c r="D33" s="57"/>
      <c r="E33" s="57"/>
      <c r="F33" s="57"/>
      <c r="G33" s="57"/>
      <c r="H33" s="20"/>
      <c r="I33" s="20"/>
      <c r="J33" s="20"/>
      <c r="K33" s="20"/>
      <c r="L33" s="20"/>
      <c r="M33" s="20"/>
      <c r="N33" s="20"/>
      <c r="O33" s="20"/>
      <c r="P33" s="20"/>
      <c r="Q33" s="20"/>
      <c r="R33" s="20"/>
      <c r="S33" s="20"/>
      <c r="T33" s="20"/>
      <c r="U33" s="20"/>
      <c r="V33" s="20"/>
      <c r="W33" s="20"/>
      <c r="X33" s="20"/>
      <c r="Y33" s="20"/>
      <c r="Z33" s="20"/>
      <c r="AA33" s="20"/>
    </row>
    <row r="34" spans="1:27" ht="17.25" customHeight="1">
      <c r="A34" s="57"/>
      <c r="B34" s="57"/>
      <c r="C34" s="57"/>
      <c r="D34" s="57"/>
      <c r="E34" s="57"/>
      <c r="F34" s="57"/>
      <c r="G34" s="57"/>
      <c r="H34" s="20"/>
      <c r="I34" s="20"/>
      <c r="J34" s="20"/>
      <c r="K34" s="20"/>
      <c r="L34" s="20"/>
      <c r="M34" s="20"/>
      <c r="N34" s="20"/>
      <c r="O34" s="20"/>
      <c r="P34" s="20"/>
      <c r="Q34" s="20"/>
      <c r="R34" s="20"/>
      <c r="S34" s="20"/>
      <c r="T34" s="20"/>
      <c r="U34" s="20"/>
      <c r="V34" s="20"/>
      <c r="W34" s="20"/>
      <c r="X34" s="20"/>
      <c r="Y34" s="20"/>
      <c r="Z34" s="20"/>
      <c r="AA34" s="20"/>
    </row>
    <row r="35" spans="1:27" ht="17.25" customHeight="1">
      <c r="A35" s="57"/>
      <c r="B35" s="57"/>
      <c r="C35" s="57"/>
      <c r="D35" s="57"/>
      <c r="E35" s="57"/>
      <c r="F35" s="57"/>
      <c r="G35" s="57"/>
      <c r="H35" s="20"/>
      <c r="I35" s="20"/>
      <c r="J35" s="20"/>
      <c r="K35" s="20"/>
      <c r="L35" s="20"/>
      <c r="M35" s="20"/>
      <c r="N35" s="20"/>
      <c r="O35" s="20"/>
      <c r="P35" s="20"/>
      <c r="Q35" s="20"/>
      <c r="R35" s="20"/>
      <c r="S35" s="20"/>
      <c r="T35" s="20"/>
      <c r="U35" s="20"/>
      <c r="V35" s="20"/>
      <c r="W35" s="20"/>
      <c r="X35" s="20"/>
      <c r="Y35" s="20"/>
      <c r="Z35" s="20"/>
      <c r="AA35" s="20"/>
    </row>
    <row r="36" spans="1:27" ht="17.25" customHeight="1">
      <c r="A36" s="57"/>
      <c r="B36" s="57"/>
      <c r="C36" s="57"/>
      <c r="D36" s="57"/>
      <c r="E36" s="57"/>
      <c r="F36" s="57"/>
      <c r="G36" s="57"/>
      <c r="H36" s="20"/>
      <c r="I36" s="20"/>
      <c r="J36" s="20"/>
      <c r="K36" s="20"/>
      <c r="L36" s="20"/>
      <c r="M36" s="20"/>
      <c r="N36" s="20"/>
      <c r="O36" s="20"/>
      <c r="P36" s="20"/>
      <c r="Q36" s="20"/>
      <c r="R36" s="20"/>
      <c r="S36" s="20"/>
      <c r="T36" s="20"/>
      <c r="U36" s="20"/>
      <c r="V36" s="20"/>
      <c r="W36" s="20"/>
      <c r="X36" s="20"/>
      <c r="Y36" s="20"/>
      <c r="Z36" s="20"/>
      <c r="AA36" s="20"/>
    </row>
    <row r="37" spans="1:27" ht="17.25" customHeight="1">
      <c r="A37" s="57"/>
      <c r="B37" s="57"/>
      <c r="C37" s="57"/>
      <c r="D37" s="57"/>
      <c r="E37" s="57"/>
      <c r="F37" s="57"/>
      <c r="G37" s="57"/>
      <c r="H37" s="20"/>
      <c r="I37" s="20"/>
      <c r="J37" s="20"/>
      <c r="K37" s="20"/>
      <c r="L37" s="20"/>
      <c r="M37" s="20"/>
      <c r="N37" s="20"/>
      <c r="O37" s="20"/>
      <c r="P37" s="20"/>
      <c r="Q37" s="20"/>
      <c r="R37" s="20"/>
      <c r="S37" s="20"/>
      <c r="T37" s="20"/>
      <c r="U37" s="20"/>
      <c r="V37" s="20"/>
      <c r="W37" s="20"/>
      <c r="X37" s="20"/>
      <c r="Y37" s="20"/>
      <c r="Z37" s="20"/>
      <c r="AA37" s="20"/>
    </row>
    <row r="38" spans="1:27" ht="17.25" customHeight="1">
      <c r="A38" s="57"/>
      <c r="B38" s="57"/>
      <c r="C38" s="57"/>
      <c r="D38" s="57"/>
      <c r="E38" s="57"/>
      <c r="F38" s="57"/>
      <c r="G38" s="57"/>
      <c r="H38" s="20"/>
      <c r="I38" s="20"/>
      <c r="J38" s="20"/>
      <c r="K38" s="20"/>
      <c r="L38" s="20"/>
      <c r="M38" s="20"/>
      <c r="N38" s="20"/>
      <c r="O38" s="20"/>
      <c r="P38" s="20"/>
      <c r="Q38" s="20"/>
      <c r="R38" s="20"/>
      <c r="S38" s="20"/>
      <c r="T38" s="20"/>
      <c r="U38" s="20"/>
      <c r="V38" s="20"/>
      <c r="W38" s="20"/>
      <c r="X38" s="20"/>
      <c r="Y38" s="20"/>
      <c r="Z38" s="20"/>
      <c r="AA38" s="20"/>
    </row>
    <row r="39" spans="1:27" ht="17.25" customHeight="1">
      <c r="A39" s="57"/>
      <c r="B39" s="57"/>
      <c r="C39" s="57"/>
      <c r="D39" s="57"/>
      <c r="E39" s="57"/>
      <c r="F39" s="57"/>
      <c r="G39" s="57"/>
      <c r="H39" s="20"/>
      <c r="I39" s="20"/>
      <c r="J39" s="20"/>
      <c r="K39" s="20"/>
      <c r="L39" s="20"/>
      <c r="M39" s="20"/>
      <c r="N39" s="20"/>
      <c r="O39" s="20"/>
      <c r="P39" s="20"/>
      <c r="Q39" s="20"/>
      <c r="R39" s="20"/>
      <c r="S39" s="20"/>
      <c r="T39" s="20"/>
      <c r="U39" s="20"/>
      <c r="V39" s="20"/>
      <c r="W39" s="20"/>
      <c r="X39" s="20"/>
      <c r="Y39" s="20"/>
      <c r="Z39" s="20"/>
      <c r="AA39" s="20"/>
    </row>
    <row r="40" spans="1:27" ht="17.25" customHeight="1">
      <c r="A40" s="57"/>
      <c r="B40" s="57"/>
      <c r="C40" s="57"/>
      <c r="D40" s="57"/>
      <c r="E40" s="57"/>
      <c r="F40" s="57"/>
      <c r="G40" s="57"/>
      <c r="H40" s="20"/>
      <c r="I40" s="20"/>
      <c r="J40" s="20"/>
      <c r="K40" s="20"/>
      <c r="L40" s="20"/>
      <c r="M40" s="20"/>
      <c r="N40" s="20"/>
      <c r="O40" s="20"/>
      <c r="P40" s="20"/>
      <c r="Q40" s="20"/>
      <c r="R40" s="20"/>
      <c r="S40" s="20"/>
      <c r="T40" s="20"/>
      <c r="U40" s="20"/>
      <c r="V40" s="20"/>
      <c r="W40" s="20"/>
      <c r="X40" s="20"/>
      <c r="Y40" s="20"/>
      <c r="Z40" s="20"/>
      <c r="AA40" s="20"/>
    </row>
    <row r="41" spans="1:27" ht="17.25" customHeight="1">
      <c r="A41" s="57"/>
      <c r="B41" s="57"/>
      <c r="C41" s="57"/>
      <c r="D41" s="57"/>
      <c r="E41" s="57"/>
      <c r="F41" s="57"/>
      <c r="G41" s="57"/>
      <c r="H41" s="20"/>
      <c r="I41" s="20"/>
      <c r="J41" s="20"/>
      <c r="K41" s="20"/>
      <c r="L41" s="20"/>
      <c r="M41" s="20"/>
      <c r="N41" s="20"/>
      <c r="O41" s="20"/>
      <c r="P41" s="20"/>
      <c r="Q41" s="20"/>
      <c r="R41" s="20"/>
      <c r="S41" s="20"/>
      <c r="T41" s="20"/>
      <c r="U41" s="20"/>
      <c r="V41" s="20"/>
      <c r="W41" s="20"/>
      <c r="X41" s="20"/>
      <c r="Y41" s="20"/>
      <c r="Z41" s="20"/>
      <c r="AA41" s="20"/>
    </row>
    <row r="42" spans="1:27" ht="17.25" customHeight="1">
      <c r="A42" s="57"/>
      <c r="B42" s="57"/>
      <c r="C42" s="57"/>
      <c r="D42" s="57"/>
      <c r="E42" s="57"/>
      <c r="F42" s="57"/>
      <c r="G42" s="57"/>
      <c r="H42" s="20"/>
      <c r="I42" s="20"/>
      <c r="J42" s="20"/>
      <c r="K42" s="20"/>
      <c r="L42" s="20"/>
      <c r="M42" s="20"/>
      <c r="N42" s="20"/>
      <c r="O42" s="20"/>
      <c r="P42" s="20"/>
      <c r="Q42" s="20"/>
      <c r="R42" s="20"/>
      <c r="S42" s="20"/>
      <c r="T42" s="20"/>
      <c r="U42" s="20"/>
      <c r="V42" s="20"/>
      <c r="W42" s="20"/>
      <c r="X42" s="20"/>
      <c r="Y42" s="20"/>
      <c r="Z42" s="20"/>
      <c r="AA42" s="20"/>
    </row>
    <row r="43" spans="1:27" ht="17.25" customHeight="1">
      <c r="A43" s="57"/>
      <c r="B43" s="57"/>
      <c r="C43" s="57"/>
      <c r="D43" s="57"/>
      <c r="E43" s="57"/>
      <c r="F43" s="57"/>
      <c r="G43" s="57"/>
      <c r="H43" s="20"/>
      <c r="I43" s="20"/>
      <c r="J43" s="20"/>
      <c r="K43" s="20"/>
      <c r="L43" s="20"/>
      <c r="M43" s="20"/>
      <c r="N43" s="20"/>
      <c r="O43" s="20"/>
      <c r="P43" s="20"/>
      <c r="Q43" s="20"/>
      <c r="R43" s="20"/>
      <c r="S43" s="20"/>
      <c r="T43" s="20"/>
      <c r="U43" s="20"/>
      <c r="V43" s="20"/>
      <c r="W43" s="20"/>
      <c r="X43" s="20"/>
      <c r="Y43" s="20"/>
      <c r="Z43" s="20"/>
      <c r="AA43" s="20"/>
    </row>
    <row r="44" spans="1:27" ht="17.25" customHeight="1">
      <c r="A44" s="57"/>
      <c r="B44" s="57"/>
      <c r="C44" s="57"/>
      <c r="D44" s="57"/>
      <c r="E44" s="57"/>
      <c r="F44" s="57"/>
      <c r="G44" s="57"/>
      <c r="H44" s="20"/>
      <c r="I44" s="20"/>
      <c r="J44" s="20"/>
      <c r="K44" s="20"/>
      <c r="L44" s="20"/>
      <c r="M44" s="20"/>
      <c r="N44" s="20"/>
      <c r="O44" s="20"/>
      <c r="P44" s="20"/>
      <c r="Q44" s="20"/>
      <c r="R44" s="20"/>
      <c r="S44" s="20"/>
      <c r="T44" s="20"/>
      <c r="U44" s="20"/>
      <c r="V44" s="20"/>
      <c r="W44" s="20"/>
      <c r="X44" s="20"/>
      <c r="Y44" s="20"/>
      <c r="Z44" s="20"/>
      <c r="AA44" s="20"/>
    </row>
    <row r="45" spans="1:27" ht="17.25" customHeight="1">
      <c r="A45" s="57"/>
      <c r="B45" s="57"/>
      <c r="C45" s="57"/>
      <c r="D45" s="57"/>
      <c r="E45" s="57"/>
      <c r="F45" s="57"/>
      <c r="G45" s="57"/>
      <c r="H45" s="20"/>
      <c r="I45" s="20"/>
      <c r="J45" s="20"/>
      <c r="K45" s="20"/>
      <c r="L45" s="20"/>
      <c r="M45" s="20"/>
      <c r="N45" s="20"/>
      <c r="O45" s="20"/>
      <c r="P45" s="20"/>
      <c r="Q45" s="20"/>
      <c r="R45" s="20"/>
      <c r="S45" s="20"/>
      <c r="T45" s="20"/>
      <c r="U45" s="20"/>
      <c r="V45" s="20"/>
      <c r="W45" s="20"/>
      <c r="X45" s="20"/>
      <c r="Y45" s="20"/>
      <c r="Z45" s="20"/>
      <c r="AA45" s="20"/>
    </row>
    <row r="46" spans="1:27" ht="17.25" customHeight="1">
      <c r="A46" s="57"/>
      <c r="B46" s="57"/>
      <c r="C46" s="57"/>
      <c r="D46" s="57"/>
      <c r="E46" s="57"/>
      <c r="F46" s="57"/>
      <c r="G46" s="57"/>
      <c r="H46" s="20"/>
      <c r="I46" s="20"/>
      <c r="J46" s="20"/>
      <c r="K46" s="20"/>
      <c r="L46" s="20"/>
      <c r="M46" s="20"/>
      <c r="N46" s="20"/>
      <c r="O46" s="20"/>
      <c r="P46" s="20"/>
      <c r="Q46" s="20"/>
      <c r="R46" s="20"/>
      <c r="S46" s="20"/>
      <c r="T46" s="20"/>
      <c r="U46" s="20"/>
      <c r="V46" s="20"/>
      <c r="W46" s="20"/>
      <c r="X46" s="20"/>
      <c r="Y46" s="20"/>
      <c r="Z46" s="20"/>
      <c r="AA46" s="20"/>
    </row>
    <row r="47" spans="1:27" ht="17.25" customHeight="1">
      <c r="A47" s="57"/>
      <c r="B47" s="57"/>
      <c r="C47" s="57"/>
      <c r="D47" s="57"/>
      <c r="E47" s="57"/>
      <c r="F47" s="57"/>
      <c r="G47" s="57"/>
      <c r="H47" s="20"/>
      <c r="I47" s="20"/>
      <c r="J47" s="20"/>
      <c r="K47" s="20"/>
      <c r="L47" s="20"/>
      <c r="M47" s="20"/>
      <c r="N47" s="20"/>
      <c r="O47" s="20"/>
      <c r="P47" s="20"/>
      <c r="Q47" s="20"/>
      <c r="R47" s="20"/>
      <c r="S47" s="20"/>
      <c r="T47" s="20"/>
      <c r="U47" s="20"/>
      <c r="V47" s="20"/>
      <c r="W47" s="20"/>
      <c r="X47" s="20"/>
      <c r="Y47" s="20"/>
      <c r="Z47" s="20"/>
      <c r="AA47" s="20"/>
    </row>
    <row r="48" spans="1:27" ht="17.25" customHeight="1">
      <c r="A48" s="57"/>
      <c r="B48" s="57"/>
      <c r="C48" s="57"/>
      <c r="D48" s="57"/>
      <c r="E48" s="57"/>
      <c r="F48" s="57"/>
      <c r="G48" s="57"/>
      <c r="H48" s="20"/>
      <c r="I48" s="20"/>
      <c r="J48" s="20"/>
      <c r="K48" s="20"/>
      <c r="L48" s="20"/>
      <c r="M48" s="20"/>
      <c r="N48" s="20"/>
      <c r="O48" s="20"/>
      <c r="P48" s="20"/>
      <c r="Q48" s="20"/>
      <c r="R48" s="20"/>
      <c r="S48" s="20"/>
      <c r="T48" s="20"/>
      <c r="U48" s="20"/>
      <c r="V48" s="20"/>
      <c r="W48" s="20"/>
      <c r="X48" s="20"/>
      <c r="Y48" s="20"/>
      <c r="Z48" s="20"/>
      <c r="AA48" s="20"/>
    </row>
    <row r="49" spans="1:27" ht="17.25" customHeight="1">
      <c r="A49" s="57"/>
      <c r="B49" s="57"/>
      <c r="C49" s="57"/>
      <c r="D49" s="57"/>
      <c r="E49" s="57"/>
      <c r="F49" s="57"/>
      <c r="G49" s="57"/>
      <c r="H49" s="20"/>
      <c r="I49" s="20"/>
      <c r="J49" s="20"/>
      <c r="K49" s="20"/>
      <c r="L49" s="20"/>
      <c r="M49" s="20"/>
      <c r="N49" s="20"/>
      <c r="O49" s="20"/>
      <c r="P49" s="20"/>
      <c r="Q49" s="20"/>
      <c r="R49" s="20"/>
      <c r="S49" s="20"/>
      <c r="T49" s="20"/>
      <c r="U49" s="20"/>
      <c r="V49" s="20"/>
      <c r="W49" s="20"/>
      <c r="X49" s="20"/>
      <c r="Y49" s="20"/>
      <c r="Z49" s="20"/>
      <c r="AA49" s="20"/>
    </row>
    <row r="50" spans="1:27" ht="17.25" customHeight="1">
      <c r="A50" s="57"/>
      <c r="B50" s="57"/>
      <c r="C50" s="57"/>
      <c r="D50" s="57"/>
      <c r="E50" s="57"/>
      <c r="F50" s="57"/>
      <c r="G50" s="57"/>
      <c r="H50" s="20"/>
      <c r="I50" s="20"/>
      <c r="J50" s="20"/>
      <c r="K50" s="20"/>
      <c r="L50" s="20"/>
      <c r="M50" s="20"/>
      <c r="N50" s="20"/>
      <c r="O50" s="20"/>
      <c r="P50" s="20"/>
      <c r="Q50" s="20"/>
      <c r="R50" s="20"/>
      <c r="S50" s="20"/>
      <c r="T50" s="20"/>
      <c r="U50" s="20"/>
      <c r="V50" s="20"/>
      <c r="W50" s="20"/>
      <c r="X50" s="20"/>
      <c r="Y50" s="20"/>
      <c r="Z50" s="20"/>
      <c r="AA50" s="20"/>
    </row>
    <row r="51" spans="1:27" ht="17.25" customHeight="1">
      <c r="A51" s="57"/>
      <c r="B51" s="57"/>
      <c r="C51" s="57"/>
      <c r="D51" s="57"/>
      <c r="E51" s="57"/>
      <c r="F51" s="57"/>
      <c r="G51" s="57"/>
      <c r="H51" s="20"/>
      <c r="I51" s="20"/>
      <c r="J51" s="20"/>
      <c r="K51" s="20"/>
      <c r="L51" s="20"/>
      <c r="M51" s="20"/>
      <c r="N51" s="20"/>
      <c r="O51" s="20"/>
      <c r="P51" s="20"/>
      <c r="Q51" s="20"/>
      <c r="R51" s="20"/>
      <c r="S51" s="20"/>
      <c r="T51" s="20"/>
      <c r="U51" s="20"/>
      <c r="V51" s="20"/>
      <c r="W51" s="20"/>
      <c r="X51" s="20"/>
      <c r="Y51" s="20"/>
      <c r="Z51" s="20"/>
      <c r="AA51" s="20"/>
    </row>
    <row r="52" spans="1:27" ht="17.25" customHeight="1">
      <c r="A52" s="57"/>
      <c r="B52" s="57"/>
      <c r="C52" s="57"/>
      <c r="D52" s="57"/>
      <c r="E52" s="57"/>
      <c r="F52" s="57"/>
      <c r="G52" s="57"/>
      <c r="H52" s="20"/>
      <c r="I52" s="20"/>
      <c r="J52" s="20"/>
      <c r="K52" s="20"/>
      <c r="L52" s="20"/>
      <c r="M52" s="20"/>
      <c r="N52" s="20"/>
      <c r="O52" s="20"/>
      <c r="P52" s="20"/>
      <c r="Q52" s="20"/>
      <c r="R52" s="20"/>
      <c r="S52" s="20"/>
      <c r="T52" s="20"/>
      <c r="U52" s="20"/>
      <c r="V52" s="20"/>
      <c r="W52" s="20"/>
      <c r="X52" s="20"/>
      <c r="Y52" s="20"/>
      <c r="Z52" s="20"/>
      <c r="AA52" s="20"/>
    </row>
    <row r="53" spans="1:27" ht="17.25" customHeight="1">
      <c r="A53" s="57"/>
      <c r="B53" s="57"/>
      <c r="C53" s="57"/>
      <c r="D53" s="57"/>
      <c r="E53" s="57"/>
      <c r="F53" s="57"/>
      <c r="G53" s="57"/>
      <c r="H53" s="20"/>
      <c r="I53" s="20"/>
      <c r="J53" s="20"/>
      <c r="K53" s="20"/>
      <c r="L53" s="20"/>
      <c r="M53" s="20"/>
      <c r="N53" s="20"/>
      <c r="O53" s="20"/>
      <c r="P53" s="20"/>
      <c r="Q53" s="20"/>
      <c r="R53" s="20"/>
      <c r="S53" s="20"/>
      <c r="T53" s="20"/>
      <c r="U53" s="20"/>
      <c r="V53" s="20"/>
      <c r="W53" s="20"/>
      <c r="X53" s="20"/>
      <c r="Y53" s="20"/>
      <c r="Z53" s="20"/>
      <c r="AA53" s="20"/>
    </row>
    <row r="54" spans="1:27" ht="17.25" customHeight="1">
      <c r="A54" s="57"/>
      <c r="B54" s="57"/>
      <c r="C54" s="57"/>
      <c r="D54" s="57"/>
      <c r="E54" s="57"/>
      <c r="F54" s="57"/>
      <c r="G54" s="57"/>
      <c r="H54" s="20"/>
      <c r="I54" s="20"/>
      <c r="J54" s="20"/>
      <c r="K54" s="20"/>
      <c r="L54" s="20"/>
      <c r="M54" s="20"/>
      <c r="N54" s="20"/>
      <c r="O54" s="20"/>
      <c r="P54" s="20"/>
      <c r="Q54" s="20"/>
      <c r="R54" s="20"/>
      <c r="S54" s="20"/>
      <c r="T54" s="20"/>
      <c r="U54" s="20"/>
      <c r="V54" s="20"/>
      <c r="W54" s="20"/>
      <c r="X54" s="20"/>
      <c r="Y54" s="20"/>
      <c r="Z54" s="20"/>
      <c r="AA54" s="20"/>
    </row>
    <row r="55" spans="1:27" ht="17.25" customHeight="1">
      <c r="A55" s="57"/>
      <c r="B55" s="57"/>
      <c r="C55" s="57"/>
      <c r="D55" s="57"/>
      <c r="E55" s="57"/>
      <c r="F55" s="57"/>
      <c r="G55" s="57"/>
      <c r="H55" s="20"/>
      <c r="I55" s="20"/>
      <c r="J55" s="20"/>
      <c r="K55" s="20"/>
      <c r="L55" s="20"/>
      <c r="M55" s="20"/>
      <c r="N55" s="20"/>
      <c r="O55" s="20"/>
      <c r="P55" s="20"/>
      <c r="Q55" s="20"/>
      <c r="R55" s="20"/>
      <c r="S55" s="20"/>
      <c r="T55" s="20"/>
      <c r="U55" s="20"/>
      <c r="V55" s="20"/>
      <c r="W55" s="20"/>
      <c r="X55" s="20"/>
      <c r="Y55" s="20"/>
      <c r="Z55" s="20"/>
      <c r="AA55" s="20"/>
    </row>
    <row r="56" spans="1:27" ht="17.25" customHeight="1">
      <c r="A56" s="57"/>
      <c r="B56" s="57"/>
      <c r="C56" s="57"/>
      <c r="D56" s="57"/>
      <c r="E56" s="57"/>
      <c r="F56" s="57"/>
      <c r="G56" s="57"/>
      <c r="H56" s="20"/>
      <c r="I56" s="20"/>
      <c r="J56" s="20"/>
      <c r="K56" s="20"/>
      <c r="L56" s="20"/>
      <c r="M56" s="20"/>
      <c r="N56" s="20"/>
      <c r="O56" s="20"/>
      <c r="P56" s="20"/>
      <c r="Q56" s="20"/>
      <c r="R56" s="20"/>
      <c r="S56" s="20"/>
      <c r="T56" s="20"/>
      <c r="U56" s="20"/>
      <c r="V56" s="20"/>
      <c r="W56" s="20"/>
      <c r="X56" s="20"/>
      <c r="Y56" s="20"/>
      <c r="Z56" s="20"/>
      <c r="AA56" s="20"/>
    </row>
    <row r="57" spans="1:27" ht="17.25" customHeight="1">
      <c r="A57" s="57"/>
      <c r="B57" s="57"/>
      <c r="C57" s="57"/>
      <c r="D57" s="57"/>
      <c r="E57" s="57"/>
      <c r="F57" s="57"/>
      <c r="G57" s="57"/>
      <c r="H57" s="20"/>
      <c r="I57" s="20"/>
      <c r="J57" s="20"/>
      <c r="K57" s="20"/>
      <c r="L57" s="20"/>
      <c r="M57" s="20"/>
      <c r="N57" s="20"/>
      <c r="O57" s="20"/>
      <c r="P57" s="20"/>
      <c r="Q57" s="20"/>
      <c r="R57" s="20"/>
      <c r="S57" s="20"/>
      <c r="T57" s="20"/>
      <c r="U57" s="20"/>
      <c r="V57" s="20"/>
      <c r="W57" s="20"/>
      <c r="X57" s="20"/>
      <c r="Y57" s="20"/>
      <c r="Z57" s="20"/>
      <c r="AA57" s="20"/>
    </row>
    <row r="58" spans="1:27" ht="17.25" customHeight="1">
      <c r="A58" s="57"/>
      <c r="B58" s="57"/>
      <c r="C58" s="57"/>
      <c r="D58" s="57"/>
      <c r="E58" s="57"/>
      <c r="F58" s="57"/>
      <c r="G58" s="57"/>
      <c r="H58" s="20"/>
      <c r="I58" s="20"/>
      <c r="J58" s="20"/>
      <c r="K58" s="20"/>
      <c r="L58" s="20"/>
      <c r="M58" s="20"/>
      <c r="N58" s="20"/>
      <c r="O58" s="20"/>
      <c r="P58" s="20"/>
      <c r="Q58" s="20"/>
      <c r="R58" s="20"/>
      <c r="S58" s="20"/>
      <c r="T58" s="20"/>
      <c r="U58" s="20"/>
      <c r="V58" s="20"/>
      <c r="W58" s="20"/>
      <c r="X58" s="20"/>
      <c r="Y58" s="20"/>
      <c r="Z58" s="20"/>
      <c r="AA58" s="20"/>
    </row>
    <row r="59" spans="1:27" ht="17.25" customHeight="1">
      <c r="A59" s="57"/>
      <c r="B59" s="57"/>
      <c r="C59" s="57"/>
      <c r="D59" s="57"/>
      <c r="E59" s="57"/>
      <c r="F59" s="57"/>
      <c r="G59" s="57"/>
      <c r="H59" s="20"/>
      <c r="I59" s="20"/>
      <c r="J59" s="20"/>
      <c r="K59" s="20"/>
      <c r="L59" s="20"/>
      <c r="M59" s="20"/>
      <c r="N59" s="20"/>
      <c r="O59" s="20"/>
      <c r="P59" s="20"/>
      <c r="Q59" s="20"/>
      <c r="R59" s="20"/>
      <c r="S59" s="20"/>
      <c r="T59" s="20"/>
      <c r="U59" s="20"/>
      <c r="V59" s="20"/>
      <c r="W59" s="20"/>
      <c r="X59" s="20"/>
      <c r="Y59" s="20"/>
      <c r="Z59" s="20"/>
      <c r="AA59" s="20"/>
    </row>
    <row r="60" spans="1:27" ht="17.25" customHeight="1">
      <c r="A60" s="57"/>
      <c r="B60" s="57"/>
      <c r="C60" s="57"/>
      <c r="D60" s="57"/>
      <c r="E60" s="57"/>
      <c r="F60" s="57"/>
      <c r="G60" s="57"/>
      <c r="H60" s="20"/>
      <c r="I60" s="20"/>
      <c r="J60" s="20"/>
      <c r="K60" s="20"/>
      <c r="L60" s="20"/>
      <c r="M60" s="20"/>
      <c r="N60" s="20"/>
      <c r="O60" s="20"/>
      <c r="P60" s="20"/>
      <c r="Q60" s="20"/>
      <c r="R60" s="20"/>
      <c r="S60" s="20"/>
      <c r="T60" s="20"/>
      <c r="U60" s="20"/>
      <c r="V60" s="20"/>
      <c r="W60" s="20"/>
      <c r="X60" s="20"/>
      <c r="Y60" s="20"/>
      <c r="Z60" s="20"/>
      <c r="AA60" s="20"/>
    </row>
    <row r="61" spans="1:27" ht="17.25" customHeight="1">
      <c r="A61" s="57"/>
      <c r="B61" s="57"/>
      <c r="C61" s="57"/>
      <c r="D61" s="57"/>
      <c r="E61" s="57"/>
      <c r="F61" s="57"/>
      <c r="G61" s="57"/>
      <c r="H61" s="20"/>
      <c r="I61" s="20"/>
      <c r="J61" s="20"/>
      <c r="K61" s="20"/>
      <c r="L61" s="20"/>
      <c r="M61" s="20"/>
      <c r="N61" s="20"/>
      <c r="O61" s="20"/>
      <c r="P61" s="20"/>
      <c r="Q61" s="20"/>
      <c r="R61" s="20"/>
      <c r="S61" s="20"/>
      <c r="T61" s="20"/>
      <c r="U61" s="20"/>
      <c r="V61" s="20"/>
      <c r="W61" s="20"/>
      <c r="X61" s="20"/>
      <c r="Y61" s="20"/>
      <c r="Z61" s="20"/>
      <c r="AA61" s="20"/>
    </row>
    <row r="62" spans="1:27" ht="17.25" customHeight="1">
      <c r="A62" s="57"/>
      <c r="B62" s="57"/>
      <c r="C62" s="57"/>
      <c r="D62" s="57"/>
      <c r="E62" s="57"/>
      <c r="F62" s="57"/>
      <c r="G62" s="57"/>
      <c r="H62" s="20"/>
      <c r="I62" s="20"/>
      <c r="J62" s="20"/>
      <c r="K62" s="20"/>
      <c r="L62" s="20"/>
      <c r="M62" s="20"/>
      <c r="N62" s="20"/>
      <c r="O62" s="20"/>
      <c r="P62" s="20"/>
      <c r="Q62" s="20"/>
      <c r="R62" s="20"/>
      <c r="S62" s="20"/>
      <c r="T62" s="20"/>
      <c r="U62" s="20"/>
      <c r="V62" s="20"/>
      <c r="W62" s="20"/>
      <c r="X62" s="20"/>
      <c r="Y62" s="20"/>
      <c r="Z62" s="20"/>
      <c r="AA62" s="20"/>
    </row>
    <row r="63" spans="1:27" ht="17.25" customHeight="1">
      <c r="A63" s="57"/>
      <c r="B63" s="57"/>
      <c r="C63" s="57"/>
      <c r="D63" s="57"/>
      <c r="E63" s="57"/>
      <c r="F63" s="57"/>
      <c r="G63" s="57"/>
      <c r="H63" s="20"/>
      <c r="I63" s="20"/>
      <c r="J63" s="20"/>
      <c r="K63" s="20"/>
      <c r="L63" s="20"/>
      <c r="M63" s="20"/>
      <c r="N63" s="20"/>
      <c r="O63" s="20"/>
      <c r="P63" s="20"/>
      <c r="Q63" s="20"/>
      <c r="R63" s="20"/>
      <c r="S63" s="20"/>
      <c r="T63" s="20"/>
      <c r="U63" s="20"/>
      <c r="V63" s="20"/>
      <c r="W63" s="20"/>
      <c r="X63" s="20"/>
      <c r="Y63" s="20"/>
      <c r="Z63" s="20"/>
      <c r="AA63" s="20"/>
    </row>
    <row r="64" spans="1:27" ht="17.25" customHeight="1">
      <c r="A64" s="57"/>
      <c r="B64" s="57"/>
      <c r="C64" s="57"/>
      <c r="D64" s="57"/>
      <c r="E64" s="57"/>
      <c r="F64" s="57"/>
      <c r="G64" s="57"/>
      <c r="H64" s="20"/>
      <c r="I64" s="20"/>
      <c r="J64" s="20"/>
      <c r="K64" s="20"/>
      <c r="L64" s="20"/>
      <c r="M64" s="20"/>
      <c r="N64" s="20"/>
      <c r="O64" s="20"/>
      <c r="P64" s="20"/>
      <c r="Q64" s="20"/>
      <c r="R64" s="20"/>
      <c r="S64" s="20"/>
      <c r="T64" s="20"/>
      <c r="U64" s="20"/>
      <c r="V64" s="20"/>
      <c r="W64" s="20"/>
      <c r="X64" s="20"/>
      <c r="Y64" s="20"/>
      <c r="Z64" s="20"/>
      <c r="AA64" s="20"/>
    </row>
    <row r="65" spans="1:27" ht="17.25" customHeight="1">
      <c r="A65" s="57"/>
      <c r="B65" s="57"/>
      <c r="C65" s="57"/>
      <c r="D65" s="57"/>
      <c r="E65" s="57"/>
      <c r="F65" s="57"/>
      <c r="G65" s="57"/>
      <c r="H65" s="20"/>
      <c r="I65" s="20"/>
      <c r="J65" s="20"/>
      <c r="K65" s="20"/>
      <c r="L65" s="20"/>
      <c r="M65" s="20"/>
      <c r="N65" s="20"/>
      <c r="O65" s="20"/>
      <c r="P65" s="20"/>
      <c r="Q65" s="20"/>
      <c r="R65" s="20"/>
      <c r="S65" s="20"/>
      <c r="T65" s="20"/>
      <c r="U65" s="20"/>
      <c r="V65" s="20"/>
      <c r="W65" s="20"/>
      <c r="X65" s="20"/>
      <c r="Y65" s="20"/>
      <c r="Z65" s="20"/>
      <c r="AA65" s="20"/>
    </row>
    <row r="66" spans="1:27" ht="17.25" customHeight="1">
      <c r="A66" s="57"/>
      <c r="B66" s="57"/>
      <c r="C66" s="57"/>
      <c r="D66" s="57"/>
      <c r="E66" s="57"/>
      <c r="F66" s="57"/>
      <c r="G66" s="57"/>
      <c r="H66" s="20"/>
      <c r="I66" s="20"/>
      <c r="J66" s="20"/>
      <c r="K66" s="20"/>
      <c r="L66" s="20"/>
      <c r="M66" s="20"/>
      <c r="N66" s="20"/>
      <c r="O66" s="20"/>
      <c r="P66" s="20"/>
      <c r="Q66" s="20"/>
      <c r="R66" s="20"/>
      <c r="S66" s="20"/>
      <c r="T66" s="20"/>
      <c r="U66" s="20"/>
      <c r="V66" s="20"/>
      <c r="W66" s="20"/>
      <c r="X66" s="20"/>
      <c r="Y66" s="20"/>
      <c r="Z66" s="20"/>
      <c r="AA66" s="20"/>
    </row>
    <row r="67" spans="1:27" ht="17.25" customHeight="1">
      <c r="A67" s="57"/>
      <c r="B67" s="57"/>
      <c r="C67" s="57"/>
      <c r="D67" s="57"/>
      <c r="E67" s="57"/>
      <c r="F67" s="57"/>
      <c r="G67" s="57"/>
      <c r="H67" s="20"/>
      <c r="I67" s="20"/>
      <c r="J67" s="20"/>
      <c r="K67" s="20"/>
      <c r="L67" s="20"/>
      <c r="M67" s="20"/>
      <c r="N67" s="20"/>
      <c r="O67" s="20"/>
      <c r="P67" s="20"/>
      <c r="Q67" s="20"/>
      <c r="R67" s="20"/>
      <c r="S67" s="20"/>
      <c r="T67" s="20"/>
      <c r="U67" s="20"/>
      <c r="V67" s="20"/>
      <c r="W67" s="20"/>
      <c r="X67" s="20"/>
      <c r="Y67" s="20"/>
      <c r="Z67" s="20"/>
      <c r="AA67" s="20"/>
    </row>
    <row r="68" spans="1:27" ht="17.25" customHeight="1">
      <c r="A68" s="57"/>
      <c r="B68" s="57"/>
      <c r="C68" s="57"/>
      <c r="D68" s="57"/>
      <c r="E68" s="57"/>
      <c r="F68" s="57"/>
      <c r="G68" s="57"/>
      <c r="H68" s="20"/>
      <c r="I68" s="20"/>
      <c r="J68" s="20"/>
      <c r="K68" s="20"/>
      <c r="L68" s="20"/>
      <c r="M68" s="20"/>
      <c r="N68" s="20"/>
      <c r="O68" s="20"/>
      <c r="P68" s="20"/>
      <c r="Q68" s="20"/>
      <c r="R68" s="20"/>
      <c r="S68" s="20"/>
      <c r="T68" s="20"/>
      <c r="U68" s="20"/>
      <c r="V68" s="20"/>
      <c r="W68" s="20"/>
      <c r="X68" s="20"/>
      <c r="Y68" s="20"/>
      <c r="Z68" s="20"/>
      <c r="AA68" s="20"/>
    </row>
    <row r="69" spans="1:27" ht="17.25" customHeight="1">
      <c r="A69" s="57"/>
      <c r="B69" s="57"/>
      <c r="C69" s="57"/>
      <c r="D69" s="57"/>
      <c r="E69" s="57"/>
      <c r="F69" s="57"/>
      <c r="G69" s="57"/>
      <c r="H69" s="20"/>
      <c r="I69" s="20"/>
      <c r="J69" s="20"/>
      <c r="K69" s="20"/>
      <c r="L69" s="20"/>
      <c r="M69" s="20"/>
      <c r="N69" s="20"/>
      <c r="O69" s="20"/>
      <c r="P69" s="20"/>
      <c r="Q69" s="20"/>
      <c r="R69" s="20"/>
      <c r="S69" s="20"/>
      <c r="T69" s="20"/>
      <c r="U69" s="20"/>
      <c r="V69" s="20"/>
      <c r="W69" s="20"/>
      <c r="X69" s="20"/>
      <c r="Y69" s="20"/>
      <c r="Z69" s="20"/>
      <c r="AA69" s="20"/>
    </row>
    <row r="70" spans="1:27" ht="17.25" customHeight="1">
      <c r="A70" s="57"/>
      <c r="B70" s="57"/>
      <c r="C70" s="57"/>
      <c r="D70" s="57"/>
      <c r="E70" s="57"/>
      <c r="F70" s="57"/>
      <c r="G70" s="57"/>
      <c r="H70" s="20"/>
      <c r="I70" s="20"/>
      <c r="J70" s="20"/>
      <c r="K70" s="20"/>
      <c r="L70" s="20"/>
      <c r="M70" s="20"/>
      <c r="N70" s="20"/>
      <c r="O70" s="20"/>
      <c r="P70" s="20"/>
      <c r="Q70" s="20"/>
      <c r="R70" s="20"/>
      <c r="S70" s="20"/>
      <c r="T70" s="20"/>
      <c r="U70" s="20"/>
      <c r="V70" s="20"/>
      <c r="W70" s="20"/>
      <c r="X70" s="20"/>
      <c r="Y70" s="20"/>
      <c r="Z70" s="20"/>
      <c r="AA70" s="20"/>
    </row>
    <row r="71" spans="1:27" ht="17.25" customHeight="1">
      <c r="A71" s="57"/>
      <c r="B71" s="57"/>
      <c r="C71" s="57"/>
      <c r="D71" s="57"/>
      <c r="E71" s="57"/>
      <c r="F71" s="57"/>
      <c r="G71" s="57"/>
      <c r="H71" s="20"/>
      <c r="I71" s="20"/>
      <c r="J71" s="20"/>
      <c r="K71" s="20"/>
      <c r="L71" s="20"/>
      <c r="M71" s="20"/>
      <c r="N71" s="20"/>
      <c r="O71" s="20"/>
      <c r="P71" s="20"/>
      <c r="Q71" s="20"/>
      <c r="R71" s="20"/>
      <c r="S71" s="20"/>
      <c r="T71" s="20"/>
      <c r="U71" s="20"/>
      <c r="V71" s="20"/>
      <c r="W71" s="20"/>
      <c r="X71" s="20"/>
      <c r="Y71" s="20"/>
      <c r="Z71" s="20"/>
      <c r="AA71" s="20"/>
    </row>
    <row r="72" spans="1:27" ht="17.25" customHeight="1">
      <c r="A72" s="57"/>
      <c r="B72" s="57"/>
      <c r="C72" s="57"/>
      <c r="D72" s="57"/>
      <c r="E72" s="57"/>
      <c r="F72" s="57"/>
      <c r="G72" s="57"/>
      <c r="H72" s="20"/>
      <c r="I72" s="20"/>
      <c r="J72" s="20"/>
      <c r="K72" s="20"/>
      <c r="L72" s="20"/>
      <c r="M72" s="20"/>
      <c r="N72" s="20"/>
      <c r="O72" s="20"/>
      <c r="P72" s="20"/>
      <c r="Q72" s="20"/>
      <c r="R72" s="20"/>
      <c r="S72" s="20"/>
      <c r="T72" s="20"/>
      <c r="U72" s="20"/>
      <c r="V72" s="20"/>
      <c r="W72" s="20"/>
      <c r="X72" s="20"/>
      <c r="Y72" s="20"/>
      <c r="Z72" s="20"/>
      <c r="AA72" s="20"/>
    </row>
    <row r="73" spans="1:27" ht="17.25" customHeight="1">
      <c r="A73" s="57"/>
      <c r="B73" s="57"/>
      <c r="C73" s="57"/>
      <c r="D73" s="57"/>
      <c r="E73" s="57"/>
      <c r="F73" s="57"/>
      <c r="G73" s="57"/>
      <c r="H73" s="20"/>
      <c r="I73" s="20"/>
      <c r="J73" s="20"/>
      <c r="K73" s="20"/>
      <c r="L73" s="20"/>
      <c r="M73" s="20"/>
      <c r="N73" s="20"/>
      <c r="O73" s="20"/>
      <c r="P73" s="20"/>
      <c r="Q73" s="20"/>
      <c r="R73" s="20"/>
      <c r="S73" s="20"/>
      <c r="T73" s="20"/>
      <c r="U73" s="20"/>
      <c r="V73" s="20"/>
      <c r="W73" s="20"/>
      <c r="X73" s="20"/>
      <c r="Y73" s="20"/>
      <c r="Z73" s="20"/>
      <c r="AA73" s="20"/>
    </row>
    <row r="74" spans="1:27" ht="17.25" customHeight="1">
      <c r="A74" s="57"/>
      <c r="B74" s="57"/>
      <c r="C74" s="57"/>
      <c r="D74" s="57"/>
      <c r="E74" s="57"/>
      <c r="F74" s="57"/>
      <c r="G74" s="57"/>
      <c r="H74" s="20"/>
      <c r="I74" s="20"/>
      <c r="J74" s="20"/>
      <c r="K74" s="20"/>
      <c r="L74" s="20"/>
      <c r="M74" s="20"/>
      <c r="N74" s="20"/>
      <c r="O74" s="20"/>
      <c r="P74" s="20"/>
      <c r="Q74" s="20"/>
      <c r="R74" s="20"/>
      <c r="S74" s="20"/>
      <c r="T74" s="20"/>
      <c r="U74" s="20"/>
      <c r="V74" s="20"/>
      <c r="W74" s="20"/>
      <c r="X74" s="20"/>
      <c r="Y74" s="20"/>
      <c r="Z74" s="20"/>
      <c r="AA74" s="20"/>
    </row>
    <row r="75" spans="1:27" ht="17.25" customHeight="1">
      <c r="A75" s="57"/>
      <c r="B75" s="57"/>
      <c r="C75" s="57"/>
      <c r="D75" s="57"/>
      <c r="E75" s="57"/>
      <c r="F75" s="57"/>
      <c r="G75" s="57"/>
      <c r="H75" s="20"/>
      <c r="I75" s="20"/>
      <c r="J75" s="20"/>
      <c r="K75" s="20"/>
      <c r="L75" s="20"/>
      <c r="M75" s="20"/>
      <c r="N75" s="20"/>
      <c r="O75" s="20"/>
      <c r="P75" s="20"/>
      <c r="Q75" s="20"/>
      <c r="R75" s="20"/>
      <c r="S75" s="20"/>
      <c r="T75" s="20"/>
      <c r="U75" s="20"/>
      <c r="V75" s="20"/>
      <c r="W75" s="20"/>
      <c r="X75" s="20"/>
      <c r="Y75" s="20"/>
      <c r="Z75" s="20"/>
      <c r="AA75" s="20"/>
    </row>
    <row r="76" spans="1:27" ht="17.25" customHeight="1">
      <c r="A76" s="57"/>
      <c r="B76" s="57"/>
      <c r="C76" s="57"/>
      <c r="D76" s="57"/>
      <c r="E76" s="57"/>
      <c r="F76" s="57"/>
      <c r="G76" s="57"/>
      <c r="H76" s="20"/>
      <c r="I76" s="20"/>
      <c r="J76" s="20"/>
      <c r="K76" s="20"/>
      <c r="L76" s="20"/>
      <c r="M76" s="20"/>
      <c r="N76" s="20"/>
      <c r="O76" s="20"/>
      <c r="P76" s="20"/>
      <c r="Q76" s="20"/>
      <c r="R76" s="20"/>
      <c r="S76" s="20"/>
      <c r="T76" s="20"/>
      <c r="U76" s="20"/>
      <c r="V76" s="20"/>
      <c r="W76" s="20"/>
      <c r="X76" s="20"/>
      <c r="Y76" s="20"/>
      <c r="Z76" s="20"/>
      <c r="AA76" s="20"/>
    </row>
    <row r="77" spans="1:27" ht="17.25" customHeight="1">
      <c r="A77" s="57"/>
      <c r="B77" s="57"/>
      <c r="C77" s="57"/>
      <c r="D77" s="57"/>
      <c r="E77" s="57"/>
      <c r="F77" s="57"/>
      <c r="G77" s="57"/>
      <c r="H77" s="20"/>
      <c r="I77" s="20"/>
      <c r="J77" s="20"/>
      <c r="K77" s="20"/>
      <c r="L77" s="20"/>
      <c r="M77" s="20"/>
      <c r="N77" s="20"/>
      <c r="O77" s="20"/>
      <c r="P77" s="20"/>
      <c r="Q77" s="20"/>
      <c r="R77" s="20"/>
      <c r="S77" s="20"/>
      <c r="T77" s="20"/>
      <c r="U77" s="20"/>
      <c r="V77" s="20"/>
      <c r="W77" s="20"/>
      <c r="X77" s="20"/>
      <c r="Y77" s="20"/>
      <c r="Z77" s="20"/>
      <c r="AA77" s="20"/>
    </row>
    <row r="78" spans="1:27" ht="17.25" customHeight="1">
      <c r="A78" s="57"/>
      <c r="B78" s="57"/>
      <c r="C78" s="57"/>
      <c r="D78" s="57"/>
      <c r="E78" s="57"/>
      <c r="F78" s="57"/>
      <c r="G78" s="57"/>
      <c r="H78" s="20"/>
      <c r="I78" s="20"/>
      <c r="J78" s="20"/>
      <c r="K78" s="20"/>
      <c r="L78" s="20"/>
      <c r="M78" s="20"/>
      <c r="N78" s="20"/>
      <c r="O78" s="20"/>
      <c r="P78" s="20"/>
      <c r="Q78" s="20"/>
      <c r="R78" s="20"/>
      <c r="S78" s="20"/>
      <c r="T78" s="20"/>
      <c r="U78" s="20"/>
      <c r="V78" s="20"/>
      <c r="W78" s="20"/>
      <c r="X78" s="20"/>
      <c r="Y78" s="20"/>
      <c r="Z78" s="20"/>
      <c r="AA78" s="20"/>
    </row>
    <row r="79" spans="1:27" ht="17.25" customHeight="1">
      <c r="A79" s="57"/>
      <c r="B79" s="57"/>
      <c r="C79" s="57"/>
      <c r="D79" s="57"/>
      <c r="E79" s="57"/>
      <c r="F79" s="57"/>
      <c r="G79" s="57"/>
      <c r="H79" s="20"/>
      <c r="I79" s="20"/>
      <c r="J79" s="20"/>
      <c r="K79" s="20"/>
      <c r="L79" s="20"/>
      <c r="M79" s="20"/>
      <c r="N79" s="20"/>
      <c r="O79" s="20"/>
      <c r="P79" s="20"/>
      <c r="Q79" s="20"/>
      <c r="R79" s="20"/>
      <c r="S79" s="20"/>
      <c r="T79" s="20"/>
      <c r="U79" s="20"/>
      <c r="V79" s="20"/>
      <c r="W79" s="20"/>
      <c r="X79" s="20"/>
      <c r="Y79" s="20"/>
      <c r="Z79" s="20"/>
      <c r="AA79" s="20"/>
    </row>
    <row r="80" spans="1:27" ht="17.25" customHeight="1">
      <c r="A80" s="57"/>
      <c r="B80" s="57"/>
      <c r="C80" s="57"/>
      <c r="D80" s="57"/>
      <c r="E80" s="57"/>
      <c r="F80" s="57"/>
      <c r="G80" s="57"/>
      <c r="H80" s="20"/>
      <c r="I80" s="20"/>
      <c r="J80" s="20"/>
      <c r="K80" s="20"/>
      <c r="L80" s="20"/>
      <c r="M80" s="20"/>
      <c r="N80" s="20"/>
      <c r="O80" s="20"/>
      <c r="P80" s="20"/>
      <c r="Q80" s="20"/>
      <c r="R80" s="20"/>
      <c r="S80" s="20"/>
      <c r="T80" s="20"/>
      <c r="U80" s="20"/>
      <c r="V80" s="20"/>
      <c r="W80" s="20"/>
      <c r="X80" s="20"/>
      <c r="Y80" s="20"/>
      <c r="Z80" s="20"/>
      <c r="AA80" s="20"/>
    </row>
    <row r="81" spans="1:27" ht="17.25" customHeight="1">
      <c r="A81" s="57"/>
      <c r="B81" s="57"/>
      <c r="C81" s="57"/>
      <c r="D81" s="57"/>
      <c r="E81" s="57"/>
      <c r="F81" s="57"/>
      <c r="G81" s="57"/>
      <c r="H81" s="20"/>
      <c r="I81" s="20"/>
      <c r="J81" s="20"/>
      <c r="K81" s="20"/>
      <c r="L81" s="20"/>
      <c r="M81" s="20"/>
      <c r="N81" s="20"/>
      <c r="O81" s="20"/>
      <c r="P81" s="20"/>
      <c r="Q81" s="20"/>
      <c r="R81" s="20"/>
      <c r="S81" s="20"/>
      <c r="T81" s="20"/>
      <c r="U81" s="20"/>
      <c r="V81" s="20"/>
      <c r="W81" s="20"/>
      <c r="X81" s="20"/>
      <c r="Y81" s="20"/>
      <c r="Z81" s="20"/>
      <c r="AA81" s="20"/>
    </row>
    <row r="82" spans="1:27" ht="17.25" customHeight="1">
      <c r="A82" s="57"/>
      <c r="B82" s="57"/>
      <c r="C82" s="57"/>
      <c r="D82" s="57"/>
      <c r="E82" s="57"/>
      <c r="F82" s="57"/>
      <c r="G82" s="57"/>
      <c r="H82" s="20"/>
      <c r="I82" s="20"/>
      <c r="J82" s="20"/>
      <c r="K82" s="20"/>
      <c r="L82" s="20"/>
      <c r="M82" s="20"/>
      <c r="N82" s="20"/>
      <c r="O82" s="20"/>
      <c r="P82" s="20"/>
      <c r="Q82" s="20"/>
      <c r="R82" s="20"/>
      <c r="S82" s="20"/>
      <c r="T82" s="20"/>
      <c r="U82" s="20"/>
      <c r="V82" s="20"/>
      <c r="W82" s="20"/>
      <c r="X82" s="20"/>
      <c r="Y82" s="20"/>
      <c r="Z82" s="20"/>
      <c r="AA82" s="20"/>
    </row>
    <row r="83" spans="1:27" ht="17.25" customHeight="1">
      <c r="A83" s="57"/>
      <c r="B83" s="57"/>
      <c r="C83" s="57"/>
      <c r="D83" s="57"/>
      <c r="E83" s="57"/>
      <c r="F83" s="57"/>
      <c r="G83" s="57"/>
      <c r="H83" s="20"/>
      <c r="I83" s="20"/>
      <c r="J83" s="20"/>
      <c r="K83" s="20"/>
      <c r="L83" s="20"/>
      <c r="M83" s="20"/>
      <c r="N83" s="20"/>
      <c r="O83" s="20"/>
      <c r="P83" s="20"/>
      <c r="Q83" s="20"/>
      <c r="R83" s="20"/>
      <c r="S83" s="20"/>
      <c r="T83" s="20"/>
      <c r="U83" s="20"/>
      <c r="V83" s="20"/>
      <c r="W83" s="20"/>
      <c r="X83" s="20"/>
      <c r="Y83" s="20"/>
      <c r="Z83" s="20"/>
      <c r="AA83" s="20"/>
    </row>
    <row r="84" spans="1:27" ht="17.25" customHeight="1">
      <c r="A84" s="57"/>
      <c r="B84" s="57"/>
      <c r="C84" s="57"/>
      <c r="D84" s="57"/>
      <c r="E84" s="57"/>
      <c r="F84" s="57"/>
      <c r="G84" s="57"/>
      <c r="H84" s="20"/>
      <c r="I84" s="20"/>
      <c r="J84" s="20"/>
      <c r="K84" s="20"/>
      <c r="L84" s="20"/>
      <c r="M84" s="20"/>
      <c r="N84" s="20"/>
      <c r="O84" s="20"/>
      <c r="P84" s="20"/>
      <c r="Q84" s="20"/>
      <c r="R84" s="20"/>
      <c r="S84" s="20"/>
      <c r="T84" s="20"/>
      <c r="U84" s="20"/>
      <c r="V84" s="20"/>
      <c r="W84" s="20"/>
      <c r="X84" s="20"/>
      <c r="Y84" s="20"/>
      <c r="Z84" s="20"/>
      <c r="AA84" s="20"/>
    </row>
    <row r="85" spans="1:27" ht="17.25" customHeight="1">
      <c r="A85" s="57"/>
      <c r="B85" s="57"/>
      <c r="C85" s="57"/>
      <c r="D85" s="57"/>
      <c r="E85" s="57"/>
      <c r="F85" s="57"/>
      <c r="G85" s="57"/>
      <c r="H85" s="20"/>
      <c r="I85" s="20"/>
      <c r="J85" s="20"/>
      <c r="K85" s="20"/>
      <c r="L85" s="20"/>
      <c r="M85" s="20"/>
      <c r="N85" s="20"/>
      <c r="O85" s="20"/>
      <c r="P85" s="20"/>
      <c r="Q85" s="20"/>
      <c r="R85" s="20"/>
      <c r="S85" s="20"/>
      <c r="T85" s="20"/>
      <c r="U85" s="20"/>
      <c r="V85" s="20"/>
      <c r="W85" s="20"/>
      <c r="X85" s="20"/>
      <c r="Y85" s="20"/>
      <c r="Z85" s="20"/>
      <c r="AA85" s="20"/>
    </row>
    <row r="86" spans="1:27" ht="17.25" customHeight="1">
      <c r="A86" s="57"/>
      <c r="B86" s="57"/>
      <c r="C86" s="57"/>
      <c r="D86" s="57"/>
      <c r="E86" s="57"/>
      <c r="F86" s="57"/>
      <c r="G86" s="57"/>
      <c r="H86" s="20"/>
      <c r="I86" s="20"/>
      <c r="J86" s="20"/>
      <c r="K86" s="20"/>
      <c r="L86" s="20"/>
      <c r="M86" s="20"/>
      <c r="N86" s="20"/>
      <c r="O86" s="20"/>
      <c r="P86" s="20"/>
      <c r="Q86" s="20"/>
      <c r="R86" s="20"/>
      <c r="S86" s="20"/>
      <c r="T86" s="20"/>
      <c r="U86" s="20"/>
      <c r="V86" s="20"/>
      <c r="W86" s="20"/>
      <c r="X86" s="20"/>
      <c r="Y86" s="20"/>
      <c r="Z86" s="20"/>
      <c r="AA86" s="20"/>
    </row>
    <row r="87" spans="1:27" ht="17.25" customHeight="1">
      <c r="A87" s="57"/>
      <c r="B87" s="57"/>
      <c r="C87" s="57"/>
      <c r="D87" s="57"/>
      <c r="E87" s="57"/>
      <c r="F87" s="57"/>
      <c r="G87" s="57"/>
      <c r="H87" s="20"/>
      <c r="I87" s="20"/>
      <c r="J87" s="20"/>
      <c r="K87" s="20"/>
      <c r="L87" s="20"/>
      <c r="M87" s="20"/>
      <c r="N87" s="20"/>
      <c r="O87" s="20"/>
      <c r="P87" s="20"/>
      <c r="Q87" s="20"/>
      <c r="R87" s="20"/>
      <c r="S87" s="20"/>
      <c r="T87" s="20"/>
      <c r="U87" s="20"/>
      <c r="V87" s="20"/>
      <c r="W87" s="20"/>
      <c r="X87" s="20"/>
      <c r="Y87" s="20"/>
      <c r="Z87" s="20"/>
      <c r="AA87" s="20"/>
    </row>
    <row r="88" spans="1:27" ht="17.25" customHeight="1">
      <c r="A88" s="57"/>
      <c r="B88" s="57"/>
      <c r="C88" s="57"/>
      <c r="D88" s="57"/>
      <c r="E88" s="57"/>
      <c r="F88" s="57"/>
      <c r="G88" s="57"/>
      <c r="H88" s="20"/>
      <c r="I88" s="20"/>
      <c r="J88" s="20"/>
      <c r="K88" s="20"/>
      <c r="L88" s="20"/>
      <c r="M88" s="20"/>
      <c r="N88" s="20"/>
      <c r="O88" s="20"/>
      <c r="P88" s="20"/>
      <c r="Q88" s="20"/>
      <c r="R88" s="20"/>
      <c r="S88" s="20"/>
      <c r="T88" s="20"/>
      <c r="U88" s="20"/>
      <c r="V88" s="20"/>
      <c r="W88" s="20"/>
      <c r="X88" s="20"/>
      <c r="Y88" s="20"/>
      <c r="Z88" s="20"/>
      <c r="AA88" s="20"/>
    </row>
    <row r="89" spans="1:27" ht="17.25" customHeight="1">
      <c r="A89" s="57"/>
      <c r="B89" s="57"/>
      <c r="C89" s="57"/>
      <c r="D89" s="57"/>
      <c r="E89" s="57"/>
      <c r="F89" s="57"/>
      <c r="G89" s="57"/>
      <c r="H89" s="20"/>
      <c r="I89" s="20"/>
      <c r="J89" s="20"/>
      <c r="K89" s="20"/>
      <c r="L89" s="20"/>
      <c r="M89" s="20"/>
      <c r="N89" s="20"/>
      <c r="O89" s="20"/>
      <c r="P89" s="20"/>
      <c r="Q89" s="20"/>
      <c r="R89" s="20"/>
      <c r="S89" s="20"/>
      <c r="T89" s="20"/>
      <c r="U89" s="20"/>
      <c r="V89" s="20"/>
      <c r="W89" s="20"/>
      <c r="X89" s="20"/>
      <c r="Y89" s="20"/>
      <c r="Z89" s="20"/>
      <c r="AA89" s="20"/>
    </row>
    <row r="90" spans="1:27" ht="17.25" customHeight="1">
      <c r="A90" s="57"/>
      <c r="B90" s="57"/>
      <c r="C90" s="57"/>
      <c r="D90" s="57"/>
      <c r="E90" s="57"/>
      <c r="F90" s="57"/>
      <c r="G90" s="57"/>
      <c r="H90" s="20"/>
      <c r="I90" s="20"/>
      <c r="J90" s="20"/>
      <c r="K90" s="20"/>
      <c r="L90" s="20"/>
      <c r="M90" s="20"/>
      <c r="N90" s="20"/>
      <c r="O90" s="20"/>
      <c r="P90" s="20"/>
      <c r="Q90" s="20"/>
      <c r="R90" s="20"/>
      <c r="S90" s="20"/>
      <c r="T90" s="20"/>
      <c r="U90" s="20"/>
      <c r="V90" s="20"/>
      <c r="W90" s="20"/>
      <c r="X90" s="20"/>
      <c r="Y90" s="20"/>
      <c r="Z90" s="20"/>
      <c r="AA90" s="20"/>
    </row>
    <row r="91" spans="1:27" ht="17.25" customHeight="1">
      <c r="A91" s="57"/>
      <c r="B91" s="57"/>
      <c r="C91" s="57"/>
      <c r="D91" s="57"/>
      <c r="E91" s="57"/>
      <c r="F91" s="57"/>
      <c r="G91" s="57"/>
      <c r="H91" s="20"/>
      <c r="I91" s="20"/>
      <c r="J91" s="20"/>
      <c r="K91" s="20"/>
      <c r="L91" s="20"/>
      <c r="M91" s="20"/>
      <c r="N91" s="20"/>
      <c r="O91" s="20"/>
      <c r="P91" s="20"/>
      <c r="Q91" s="20"/>
      <c r="R91" s="20"/>
      <c r="S91" s="20"/>
      <c r="T91" s="20"/>
      <c r="U91" s="20"/>
      <c r="V91" s="20"/>
      <c r="W91" s="20"/>
      <c r="X91" s="20"/>
      <c r="Y91" s="20"/>
      <c r="Z91" s="20"/>
      <c r="AA91" s="20"/>
    </row>
    <row r="92" spans="1:27" ht="17.25" customHeight="1">
      <c r="A92" s="57"/>
      <c r="B92" s="57"/>
      <c r="C92" s="57"/>
      <c r="D92" s="57"/>
      <c r="E92" s="57"/>
      <c r="F92" s="57"/>
      <c r="G92" s="57"/>
      <c r="H92" s="20"/>
      <c r="I92" s="20"/>
      <c r="J92" s="20"/>
      <c r="K92" s="20"/>
      <c r="L92" s="20"/>
      <c r="M92" s="20"/>
      <c r="N92" s="20"/>
      <c r="O92" s="20"/>
      <c r="P92" s="20"/>
      <c r="Q92" s="20"/>
      <c r="R92" s="20"/>
      <c r="S92" s="20"/>
      <c r="T92" s="20"/>
      <c r="U92" s="20"/>
      <c r="V92" s="20"/>
      <c r="W92" s="20"/>
      <c r="X92" s="20"/>
      <c r="Y92" s="20"/>
      <c r="Z92" s="20"/>
      <c r="AA92" s="20"/>
    </row>
    <row r="93" spans="1:27" ht="17.25" customHeight="1">
      <c r="A93" s="57"/>
      <c r="B93" s="57"/>
      <c r="C93" s="57"/>
      <c r="D93" s="57"/>
      <c r="E93" s="57"/>
      <c r="F93" s="57"/>
      <c r="G93" s="57"/>
      <c r="H93" s="20"/>
      <c r="I93" s="20"/>
      <c r="J93" s="20"/>
      <c r="K93" s="20"/>
      <c r="L93" s="20"/>
      <c r="M93" s="20"/>
      <c r="N93" s="20"/>
      <c r="O93" s="20"/>
      <c r="P93" s="20"/>
      <c r="Q93" s="20"/>
      <c r="R93" s="20"/>
      <c r="S93" s="20"/>
      <c r="T93" s="20"/>
      <c r="U93" s="20"/>
      <c r="V93" s="20"/>
      <c r="W93" s="20"/>
      <c r="X93" s="20"/>
      <c r="Y93" s="20"/>
      <c r="Z93" s="20"/>
      <c r="AA93" s="20"/>
    </row>
    <row r="94" spans="1:27" ht="17.25" customHeight="1">
      <c r="A94" s="57"/>
      <c r="B94" s="57"/>
      <c r="C94" s="57"/>
      <c r="D94" s="57"/>
      <c r="E94" s="57"/>
      <c r="F94" s="57"/>
      <c r="G94" s="57"/>
      <c r="H94" s="20"/>
      <c r="I94" s="20"/>
      <c r="J94" s="20"/>
      <c r="K94" s="20"/>
      <c r="L94" s="20"/>
      <c r="M94" s="20"/>
      <c r="N94" s="20"/>
      <c r="O94" s="20"/>
      <c r="P94" s="20"/>
      <c r="Q94" s="20"/>
      <c r="R94" s="20"/>
      <c r="S94" s="20"/>
      <c r="T94" s="20"/>
      <c r="U94" s="20"/>
      <c r="V94" s="20"/>
      <c r="W94" s="20"/>
      <c r="X94" s="20"/>
      <c r="Y94" s="20"/>
      <c r="Z94" s="20"/>
      <c r="AA94" s="20"/>
    </row>
    <row r="95" spans="1:27" ht="17.25" customHeight="1">
      <c r="A95" s="57"/>
      <c r="B95" s="57"/>
      <c r="C95" s="57"/>
      <c r="D95" s="57"/>
      <c r="E95" s="57"/>
      <c r="F95" s="57"/>
      <c r="G95" s="57"/>
      <c r="H95" s="20"/>
      <c r="I95" s="20"/>
      <c r="J95" s="20"/>
      <c r="K95" s="20"/>
      <c r="L95" s="20"/>
      <c r="M95" s="20"/>
      <c r="N95" s="20"/>
      <c r="O95" s="20"/>
      <c r="P95" s="20"/>
      <c r="Q95" s="20"/>
      <c r="R95" s="20"/>
      <c r="S95" s="20"/>
      <c r="T95" s="20"/>
      <c r="U95" s="20"/>
      <c r="V95" s="20"/>
      <c r="W95" s="20"/>
      <c r="X95" s="20"/>
      <c r="Y95" s="20"/>
      <c r="Z95" s="20"/>
      <c r="AA95" s="20"/>
    </row>
    <row r="96" spans="1:27" ht="17.25" customHeight="1">
      <c r="A96" s="57"/>
      <c r="B96" s="57"/>
      <c r="C96" s="57"/>
      <c r="D96" s="57"/>
      <c r="E96" s="57"/>
      <c r="F96" s="57"/>
      <c r="G96" s="57"/>
      <c r="H96" s="20"/>
      <c r="I96" s="20"/>
      <c r="J96" s="20"/>
      <c r="K96" s="20"/>
      <c r="L96" s="20"/>
      <c r="M96" s="20"/>
      <c r="N96" s="20"/>
      <c r="O96" s="20"/>
      <c r="P96" s="20"/>
      <c r="Q96" s="20"/>
      <c r="R96" s="20"/>
      <c r="S96" s="20"/>
      <c r="T96" s="20"/>
      <c r="U96" s="20"/>
      <c r="V96" s="20"/>
      <c r="W96" s="20"/>
      <c r="X96" s="20"/>
      <c r="Y96" s="20"/>
      <c r="Z96" s="20"/>
      <c r="AA96" s="20"/>
    </row>
    <row r="97" spans="1:27" ht="17.25" customHeight="1">
      <c r="A97" s="57"/>
      <c r="B97" s="57"/>
      <c r="C97" s="57"/>
      <c r="D97" s="57"/>
      <c r="E97" s="57"/>
      <c r="F97" s="57"/>
      <c r="G97" s="57"/>
      <c r="H97" s="20"/>
      <c r="I97" s="20"/>
      <c r="J97" s="20"/>
      <c r="K97" s="20"/>
      <c r="L97" s="20"/>
      <c r="M97" s="20"/>
      <c r="N97" s="20"/>
      <c r="O97" s="20"/>
      <c r="P97" s="20"/>
      <c r="Q97" s="20"/>
      <c r="R97" s="20"/>
      <c r="S97" s="20"/>
      <c r="T97" s="20"/>
      <c r="U97" s="20"/>
      <c r="V97" s="20"/>
      <c r="W97" s="20"/>
      <c r="X97" s="20"/>
      <c r="Y97" s="20"/>
      <c r="Z97" s="20"/>
      <c r="AA97" s="20"/>
    </row>
    <row r="98" spans="1:27" ht="17.25" customHeight="1">
      <c r="A98" s="57"/>
      <c r="B98" s="57"/>
      <c r="C98" s="57"/>
      <c r="D98" s="57"/>
      <c r="E98" s="57"/>
      <c r="F98" s="57"/>
      <c r="G98" s="57"/>
      <c r="H98" s="20"/>
      <c r="I98" s="20"/>
      <c r="J98" s="20"/>
      <c r="K98" s="20"/>
      <c r="L98" s="20"/>
      <c r="M98" s="20"/>
      <c r="N98" s="20"/>
      <c r="O98" s="20"/>
      <c r="P98" s="20"/>
      <c r="Q98" s="20"/>
      <c r="R98" s="20"/>
      <c r="S98" s="20"/>
      <c r="T98" s="20"/>
      <c r="U98" s="20"/>
      <c r="V98" s="20"/>
      <c r="W98" s="20"/>
      <c r="X98" s="20"/>
      <c r="Y98" s="20"/>
      <c r="Z98" s="20"/>
      <c r="AA98" s="20"/>
    </row>
    <row r="99" spans="1:27" ht="17.25" customHeight="1">
      <c r="A99" s="57"/>
      <c r="B99" s="57"/>
      <c r="C99" s="57"/>
      <c r="D99" s="57"/>
      <c r="E99" s="57"/>
      <c r="F99" s="57"/>
      <c r="G99" s="57"/>
      <c r="H99" s="20"/>
      <c r="I99" s="20"/>
      <c r="J99" s="20"/>
      <c r="K99" s="20"/>
      <c r="L99" s="20"/>
      <c r="M99" s="20"/>
      <c r="N99" s="20"/>
      <c r="O99" s="20"/>
      <c r="P99" s="20"/>
      <c r="Q99" s="20"/>
      <c r="R99" s="20"/>
      <c r="S99" s="20"/>
      <c r="T99" s="20"/>
      <c r="U99" s="20"/>
      <c r="V99" s="20"/>
      <c r="W99" s="20"/>
      <c r="X99" s="20"/>
      <c r="Y99" s="20"/>
      <c r="Z99" s="20"/>
      <c r="AA99" s="20"/>
    </row>
    <row r="100" spans="1:27" ht="17.25" customHeight="1">
      <c r="A100" s="57"/>
      <c r="B100" s="57"/>
      <c r="C100" s="57"/>
      <c r="D100" s="57"/>
      <c r="E100" s="57"/>
      <c r="F100" s="57"/>
      <c r="G100" s="57"/>
      <c r="H100" s="20"/>
      <c r="I100" s="20"/>
      <c r="J100" s="20"/>
      <c r="K100" s="20"/>
      <c r="L100" s="20"/>
      <c r="M100" s="20"/>
      <c r="N100" s="20"/>
      <c r="O100" s="20"/>
      <c r="P100" s="20"/>
      <c r="Q100" s="20"/>
      <c r="R100" s="20"/>
      <c r="S100" s="20"/>
      <c r="T100" s="20"/>
      <c r="U100" s="20"/>
      <c r="V100" s="20"/>
      <c r="W100" s="20"/>
      <c r="X100" s="20"/>
      <c r="Y100" s="20"/>
      <c r="Z100" s="20"/>
      <c r="AA100" s="20"/>
    </row>
    <row r="101" spans="1:27" ht="17.25" customHeight="1">
      <c r="A101" s="57"/>
      <c r="B101" s="57"/>
      <c r="C101" s="57"/>
      <c r="D101" s="57"/>
      <c r="E101" s="57"/>
      <c r="F101" s="57"/>
      <c r="G101" s="57"/>
      <c r="H101" s="20"/>
      <c r="I101" s="20"/>
      <c r="J101" s="20"/>
      <c r="K101" s="20"/>
      <c r="L101" s="20"/>
      <c r="M101" s="20"/>
      <c r="N101" s="20"/>
      <c r="O101" s="20"/>
      <c r="P101" s="20"/>
      <c r="Q101" s="20"/>
      <c r="R101" s="20"/>
      <c r="S101" s="20"/>
      <c r="T101" s="20"/>
      <c r="U101" s="20"/>
      <c r="V101" s="20"/>
      <c r="W101" s="20"/>
      <c r="X101" s="20"/>
      <c r="Y101" s="20"/>
      <c r="Z101" s="20"/>
      <c r="AA101" s="20"/>
    </row>
    <row r="102" spans="1:27" ht="17.25" customHeight="1">
      <c r="A102" s="57"/>
      <c r="B102" s="57"/>
      <c r="C102" s="57"/>
      <c r="D102" s="57"/>
      <c r="E102" s="57"/>
      <c r="F102" s="57"/>
      <c r="G102" s="57"/>
      <c r="H102" s="20"/>
      <c r="I102" s="20"/>
      <c r="J102" s="20"/>
      <c r="K102" s="20"/>
      <c r="L102" s="20"/>
      <c r="M102" s="20"/>
      <c r="N102" s="20"/>
      <c r="O102" s="20"/>
      <c r="P102" s="20"/>
      <c r="Q102" s="20"/>
      <c r="R102" s="20"/>
      <c r="S102" s="20"/>
      <c r="T102" s="20"/>
      <c r="U102" s="20"/>
      <c r="V102" s="20"/>
      <c r="W102" s="20"/>
      <c r="X102" s="20"/>
      <c r="Y102" s="20"/>
      <c r="Z102" s="20"/>
      <c r="AA102" s="20"/>
    </row>
    <row r="103" spans="1:27" ht="17.25" customHeight="1">
      <c r="A103" s="57"/>
      <c r="B103" s="57"/>
      <c r="C103" s="57"/>
      <c r="D103" s="57"/>
      <c r="E103" s="57"/>
      <c r="F103" s="57"/>
      <c r="G103" s="57"/>
      <c r="H103" s="20"/>
      <c r="I103" s="20"/>
      <c r="J103" s="20"/>
      <c r="K103" s="20"/>
      <c r="L103" s="20"/>
      <c r="M103" s="20"/>
      <c r="N103" s="20"/>
      <c r="O103" s="20"/>
      <c r="P103" s="20"/>
      <c r="Q103" s="20"/>
      <c r="R103" s="20"/>
      <c r="S103" s="20"/>
      <c r="T103" s="20"/>
      <c r="U103" s="20"/>
      <c r="V103" s="20"/>
      <c r="W103" s="20"/>
      <c r="X103" s="20"/>
      <c r="Y103" s="20"/>
      <c r="Z103" s="20"/>
      <c r="AA103" s="20"/>
    </row>
    <row r="104" spans="1:27" ht="17.25" customHeight="1">
      <c r="A104" s="57"/>
      <c r="B104" s="57"/>
      <c r="C104" s="57"/>
      <c r="D104" s="57"/>
      <c r="E104" s="57"/>
      <c r="F104" s="57"/>
      <c r="G104" s="57"/>
      <c r="H104" s="20"/>
      <c r="I104" s="20"/>
      <c r="J104" s="20"/>
      <c r="K104" s="20"/>
      <c r="L104" s="20"/>
      <c r="M104" s="20"/>
      <c r="N104" s="20"/>
      <c r="O104" s="20"/>
      <c r="P104" s="20"/>
      <c r="Q104" s="20"/>
      <c r="R104" s="20"/>
      <c r="S104" s="20"/>
      <c r="T104" s="20"/>
      <c r="U104" s="20"/>
      <c r="V104" s="20"/>
      <c r="W104" s="20"/>
      <c r="X104" s="20"/>
      <c r="Y104" s="20"/>
      <c r="Z104" s="20"/>
      <c r="AA104" s="20"/>
    </row>
    <row r="105" spans="1:27" ht="17.25" customHeight="1">
      <c r="A105" s="57"/>
      <c r="B105" s="57"/>
      <c r="C105" s="57"/>
      <c r="D105" s="57"/>
      <c r="E105" s="57"/>
      <c r="F105" s="57"/>
      <c r="G105" s="57"/>
      <c r="H105" s="20"/>
      <c r="I105" s="20"/>
      <c r="J105" s="20"/>
      <c r="K105" s="20"/>
      <c r="L105" s="20"/>
      <c r="M105" s="20"/>
      <c r="N105" s="20"/>
      <c r="O105" s="20"/>
      <c r="P105" s="20"/>
      <c r="Q105" s="20"/>
      <c r="R105" s="20"/>
      <c r="S105" s="20"/>
      <c r="T105" s="20"/>
      <c r="U105" s="20"/>
      <c r="V105" s="20"/>
      <c r="W105" s="20"/>
      <c r="X105" s="20"/>
      <c r="Y105" s="20"/>
      <c r="Z105" s="20"/>
      <c r="AA105" s="20"/>
    </row>
    <row r="106" spans="1:27" ht="17.25" customHeight="1">
      <c r="A106" s="57"/>
      <c r="B106" s="57"/>
      <c r="C106" s="57"/>
      <c r="D106" s="57"/>
      <c r="E106" s="57"/>
      <c r="F106" s="57"/>
      <c r="G106" s="57"/>
      <c r="H106" s="20"/>
      <c r="I106" s="20"/>
      <c r="J106" s="20"/>
      <c r="K106" s="20"/>
      <c r="L106" s="20"/>
      <c r="M106" s="20"/>
      <c r="N106" s="20"/>
      <c r="O106" s="20"/>
      <c r="P106" s="20"/>
      <c r="Q106" s="20"/>
      <c r="R106" s="20"/>
      <c r="S106" s="20"/>
      <c r="T106" s="20"/>
      <c r="U106" s="20"/>
      <c r="V106" s="20"/>
      <c r="W106" s="20"/>
      <c r="X106" s="20"/>
      <c r="Y106" s="20"/>
      <c r="Z106" s="20"/>
      <c r="AA106" s="20"/>
    </row>
    <row r="107" spans="1:27" ht="17.25" customHeight="1">
      <c r="A107" s="57"/>
      <c r="B107" s="57"/>
      <c r="C107" s="57"/>
      <c r="D107" s="57"/>
      <c r="E107" s="57"/>
      <c r="F107" s="57"/>
      <c r="G107" s="57"/>
      <c r="H107" s="20"/>
      <c r="I107" s="20"/>
      <c r="J107" s="20"/>
      <c r="K107" s="20"/>
      <c r="L107" s="20"/>
      <c r="M107" s="20"/>
      <c r="N107" s="20"/>
      <c r="O107" s="20"/>
      <c r="P107" s="20"/>
      <c r="Q107" s="20"/>
      <c r="R107" s="20"/>
      <c r="S107" s="20"/>
      <c r="T107" s="20"/>
      <c r="U107" s="20"/>
      <c r="V107" s="20"/>
      <c r="W107" s="20"/>
      <c r="X107" s="20"/>
      <c r="Y107" s="20"/>
      <c r="Z107" s="20"/>
      <c r="AA107" s="20"/>
    </row>
    <row r="108" spans="1:27" ht="17.25" customHeight="1">
      <c r="A108" s="57"/>
      <c r="B108" s="57"/>
      <c r="C108" s="57"/>
      <c r="D108" s="57"/>
      <c r="E108" s="57"/>
      <c r="F108" s="57"/>
      <c r="G108" s="57"/>
      <c r="H108" s="20"/>
      <c r="I108" s="20"/>
      <c r="J108" s="20"/>
      <c r="K108" s="20"/>
      <c r="L108" s="20"/>
      <c r="M108" s="20"/>
      <c r="N108" s="20"/>
      <c r="O108" s="20"/>
      <c r="P108" s="20"/>
      <c r="Q108" s="20"/>
      <c r="R108" s="20"/>
      <c r="S108" s="20"/>
      <c r="T108" s="20"/>
      <c r="U108" s="20"/>
      <c r="V108" s="20"/>
      <c r="W108" s="20"/>
      <c r="X108" s="20"/>
      <c r="Y108" s="20"/>
      <c r="Z108" s="20"/>
      <c r="AA108" s="20"/>
    </row>
    <row r="109" spans="1:27" ht="17.25" customHeight="1">
      <c r="A109" s="57"/>
      <c r="B109" s="57"/>
      <c r="C109" s="57"/>
      <c r="D109" s="57"/>
      <c r="E109" s="57"/>
      <c r="F109" s="57"/>
      <c r="G109" s="57"/>
      <c r="H109" s="20"/>
      <c r="I109" s="20"/>
      <c r="J109" s="20"/>
      <c r="K109" s="20"/>
      <c r="L109" s="20"/>
      <c r="M109" s="20"/>
      <c r="N109" s="20"/>
      <c r="O109" s="20"/>
      <c r="P109" s="20"/>
      <c r="Q109" s="20"/>
      <c r="R109" s="20"/>
      <c r="S109" s="20"/>
      <c r="T109" s="20"/>
      <c r="U109" s="20"/>
      <c r="V109" s="20"/>
      <c r="W109" s="20"/>
      <c r="X109" s="20"/>
      <c r="Y109" s="20"/>
      <c r="Z109" s="20"/>
      <c r="AA109" s="20"/>
    </row>
    <row r="110" spans="1:27" ht="17.25" customHeight="1">
      <c r="A110" s="57"/>
      <c r="B110" s="57"/>
      <c r="C110" s="57"/>
      <c r="D110" s="57"/>
      <c r="E110" s="57"/>
      <c r="F110" s="57"/>
      <c r="G110" s="57"/>
      <c r="H110" s="20"/>
      <c r="I110" s="20"/>
      <c r="J110" s="20"/>
      <c r="K110" s="20"/>
      <c r="L110" s="20"/>
      <c r="M110" s="20"/>
      <c r="N110" s="20"/>
      <c r="O110" s="20"/>
      <c r="P110" s="20"/>
      <c r="Q110" s="20"/>
      <c r="R110" s="20"/>
      <c r="S110" s="20"/>
      <c r="T110" s="20"/>
      <c r="U110" s="20"/>
      <c r="V110" s="20"/>
      <c r="W110" s="20"/>
      <c r="X110" s="20"/>
      <c r="Y110" s="20"/>
      <c r="Z110" s="20"/>
      <c r="AA110" s="20"/>
    </row>
    <row r="111" spans="1:27" ht="17.25" customHeight="1">
      <c r="A111" s="57"/>
      <c r="B111" s="57"/>
      <c r="C111" s="57"/>
      <c r="D111" s="57"/>
      <c r="E111" s="57"/>
      <c r="F111" s="57"/>
      <c r="G111" s="57"/>
      <c r="H111" s="20"/>
      <c r="I111" s="20"/>
      <c r="J111" s="20"/>
      <c r="K111" s="20"/>
      <c r="L111" s="20"/>
      <c r="M111" s="20"/>
      <c r="N111" s="20"/>
      <c r="O111" s="20"/>
      <c r="P111" s="20"/>
      <c r="Q111" s="20"/>
      <c r="R111" s="20"/>
      <c r="S111" s="20"/>
      <c r="T111" s="20"/>
      <c r="U111" s="20"/>
      <c r="V111" s="20"/>
      <c r="W111" s="20"/>
      <c r="X111" s="20"/>
      <c r="Y111" s="20"/>
      <c r="Z111" s="20"/>
      <c r="AA111" s="20"/>
    </row>
    <row r="112" spans="1:27" ht="17.25" customHeight="1">
      <c r="A112" s="57"/>
      <c r="B112" s="57"/>
      <c r="C112" s="57"/>
      <c r="D112" s="57"/>
      <c r="E112" s="57"/>
      <c r="F112" s="57"/>
      <c r="G112" s="57"/>
      <c r="H112" s="20"/>
      <c r="I112" s="20"/>
      <c r="J112" s="20"/>
      <c r="K112" s="20"/>
      <c r="L112" s="20"/>
      <c r="M112" s="20"/>
      <c r="N112" s="20"/>
      <c r="O112" s="20"/>
      <c r="P112" s="20"/>
      <c r="Q112" s="20"/>
      <c r="R112" s="20"/>
      <c r="S112" s="20"/>
      <c r="T112" s="20"/>
      <c r="U112" s="20"/>
      <c r="V112" s="20"/>
      <c r="W112" s="20"/>
      <c r="X112" s="20"/>
      <c r="Y112" s="20"/>
      <c r="Z112" s="20"/>
      <c r="AA112" s="20"/>
    </row>
    <row r="113" spans="1:27" ht="17.25" customHeight="1">
      <c r="A113" s="57"/>
      <c r="B113" s="57"/>
      <c r="C113" s="57"/>
      <c r="D113" s="57"/>
      <c r="E113" s="57"/>
      <c r="F113" s="57"/>
      <c r="G113" s="57"/>
      <c r="H113" s="20"/>
      <c r="I113" s="20"/>
      <c r="J113" s="20"/>
      <c r="K113" s="20"/>
      <c r="L113" s="20"/>
      <c r="M113" s="20"/>
      <c r="N113" s="20"/>
      <c r="O113" s="20"/>
      <c r="P113" s="20"/>
      <c r="Q113" s="20"/>
      <c r="R113" s="20"/>
      <c r="S113" s="20"/>
      <c r="T113" s="20"/>
      <c r="U113" s="20"/>
      <c r="V113" s="20"/>
      <c r="W113" s="20"/>
      <c r="X113" s="20"/>
      <c r="Y113" s="20"/>
      <c r="Z113" s="20"/>
      <c r="AA113" s="20"/>
    </row>
    <row r="114" spans="1:27" ht="17.25" customHeight="1">
      <c r="A114" s="57"/>
      <c r="B114" s="57"/>
      <c r="C114" s="57"/>
      <c r="D114" s="57"/>
      <c r="E114" s="57"/>
      <c r="F114" s="57"/>
      <c r="G114" s="57"/>
      <c r="H114" s="20"/>
      <c r="I114" s="20"/>
      <c r="J114" s="20"/>
      <c r="K114" s="20"/>
      <c r="L114" s="20"/>
      <c r="M114" s="20"/>
      <c r="N114" s="20"/>
      <c r="O114" s="20"/>
      <c r="P114" s="20"/>
      <c r="Q114" s="20"/>
      <c r="R114" s="20"/>
      <c r="S114" s="20"/>
      <c r="T114" s="20"/>
      <c r="U114" s="20"/>
      <c r="V114" s="20"/>
      <c r="W114" s="20"/>
      <c r="X114" s="20"/>
      <c r="Y114" s="20"/>
      <c r="Z114" s="20"/>
      <c r="AA114" s="20"/>
    </row>
    <row r="115" spans="1:27" ht="17.25" customHeight="1">
      <c r="A115" s="57"/>
      <c r="B115" s="57"/>
      <c r="C115" s="57"/>
      <c r="D115" s="57"/>
      <c r="E115" s="57"/>
      <c r="F115" s="57"/>
      <c r="G115" s="57"/>
      <c r="H115" s="20"/>
      <c r="I115" s="20"/>
      <c r="J115" s="20"/>
      <c r="K115" s="20"/>
      <c r="L115" s="20"/>
      <c r="M115" s="20"/>
      <c r="N115" s="20"/>
      <c r="O115" s="20"/>
      <c r="P115" s="20"/>
      <c r="Q115" s="20"/>
      <c r="R115" s="20"/>
      <c r="S115" s="20"/>
      <c r="T115" s="20"/>
      <c r="U115" s="20"/>
      <c r="V115" s="20"/>
      <c r="W115" s="20"/>
      <c r="X115" s="20"/>
      <c r="Y115" s="20"/>
      <c r="Z115" s="20"/>
      <c r="AA115" s="20"/>
    </row>
    <row r="116" spans="1:27" ht="17.25" customHeight="1">
      <c r="A116" s="57"/>
      <c r="B116" s="57"/>
      <c r="C116" s="57"/>
      <c r="D116" s="57"/>
      <c r="E116" s="57"/>
      <c r="F116" s="57"/>
      <c r="G116" s="57"/>
      <c r="H116" s="20"/>
      <c r="I116" s="20"/>
      <c r="J116" s="20"/>
      <c r="K116" s="20"/>
      <c r="L116" s="20"/>
      <c r="M116" s="20"/>
      <c r="N116" s="20"/>
      <c r="O116" s="20"/>
      <c r="P116" s="20"/>
      <c r="Q116" s="20"/>
      <c r="R116" s="20"/>
      <c r="S116" s="20"/>
      <c r="T116" s="20"/>
      <c r="U116" s="20"/>
      <c r="V116" s="20"/>
      <c r="W116" s="20"/>
      <c r="X116" s="20"/>
      <c r="Y116" s="20"/>
      <c r="Z116" s="20"/>
      <c r="AA116" s="20"/>
    </row>
    <row r="117" spans="1:27" ht="17.25" customHeight="1">
      <c r="A117" s="57"/>
      <c r="B117" s="57"/>
      <c r="C117" s="57"/>
      <c r="D117" s="57"/>
      <c r="E117" s="57"/>
      <c r="F117" s="57"/>
      <c r="G117" s="57"/>
      <c r="H117" s="20"/>
      <c r="I117" s="20"/>
      <c r="J117" s="20"/>
      <c r="K117" s="20"/>
      <c r="L117" s="20"/>
      <c r="M117" s="20"/>
      <c r="N117" s="20"/>
      <c r="O117" s="20"/>
      <c r="P117" s="20"/>
      <c r="Q117" s="20"/>
      <c r="R117" s="20"/>
      <c r="S117" s="20"/>
      <c r="T117" s="20"/>
      <c r="U117" s="20"/>
      <c r="V117" s="20"/>
      <c r="W117" s="20"/>
      <c r="X117" s="20"/>
      <c r="Y117" s="20"/>
      <c r="Z117" s="20"/>
      <c r="AA117" s="20"/>
    </row>
    <row r="118" spans="1:27" ht="17.25" customHeight="1">
      <c r="A118" s="57"/>
      <c r="B118" s="57"/>
      <c r="C118" s="57"/>
      <c r="D118" s="57"/>
      <c r="E118" s="57"/>
      <c r="F118" s="57"/>
      <c r="G118" s="57"/>
      <c r="H118" s="20"/>
      <c r="I118" s="20"/>
      <c r="J118" s="20"/>
      <c r="K118" s="20"/>
      <c r="L118" s="20"/>
      <c r="M118" s="20"/>
      <c r="N118" s="20"/>
      <c r="O118" s="20"/>
      <c r="P118" s="20"/>
      <c r="Q118" s="20"/>
      <c r="R118" s="20"/>
      <c r="S118" s="20"/>
      <c r="T118" s="20"/>
      <c r="U118" s="20"/>
      <c r="V118" s="20"/>
      <c r="W118" s="20"/>
      <c r="X118" s="20"/>
      <c r="Y118" s="20"/>
      <c r="Z118" s="20"/>
      <c r="AA118" s="20"/>
    </row>
    <row r="119" spans="1:27" ht="17.25" customHeight="1">
      <c r="A119" s="57"/>
      <c r="B119" s="57"/>
      <c r="C119" s="57"/>
      <c r="D119" s="57"/>
      <c r="E119" s="57"/>
      <c r="F119" s="57"/>
      <c r="G119" s="57"/>
      <c r="H119" s="20"/>
      <c r="I119" s="20"/>
      <c r="J119" s="20"/>
      <c r="K119" s="20"/>
      <c r="L119" s="20"/>
      <c r="M119" s="20"/>
      <c r="N119" s="20"/>
      <c r="O119" s="20"/>
      <c r="P119" s="20"/>
      <c r="Q119" s="20"/>
      <c r="R119" s="20"/>
      <c r="S119" s="20"/>
      <c r="T119" s="20"/>
      <c r="U119" s="20"/>
      <c r="V119" s="20"/>
      <c r="W119" s="20"/>
      <c r="X119" s="20"/>
      <c r="Y119" s="20"/>
      <c r="Z119" s="20"/>
      <c r="AA119" s="20"/>
    </row>
    <row r="120" spans="1:27" ht="17.25" customHeight="1">
      <c r="A120" s="57"/>
      <c r="B120" s="57"/>
      <c r="C120" s="57"/>
      <c r="D120" s="57"/>
      <c r="E120" s="57"/>
      <c r="F120" s="57"/>
      <c r="G120" s="57"/>
      <c r="H120" s="20"/>
      <c r="I120" s="20"/>
      <c r="J120" s="20"/>
      <c r="K120" s="20"/>
      <c r="L120" s="20"/>
      <c r="M120" s="20"/>
      <c r="N120" s="20"/>
      <c r="O120" s="20"/>
      <c r="P120" s="20"/>
      <c r="Q120" s="20"/>
      <c r="R120" s="20"/>
      <c r="S120" s="20"/>
      <c r="T120" s="20"/>
      <c r="U120" s="20"/>
      <c r="V120" s="20"/>
      <c r="W120" s="20"/>
      <c r="X120" s="20"/>
      <c r="Y120" s="20"/>
      <c r="Z120" s="20"/>
      <c r="AA120" s="20"/>
    </row>
    <row r="121" spans="1:27" ht="17.25" customHeight="1">
      <c r="A121" s="57"/>
      <c r="B121" s="57"/>
      <c r="C121" s="57"/>
      <c r="D121" s="57"/>
      <c r="E121" s="57"/>
      <c r="F121" s="57"/>
      <c r="G121" s="57"/>
      <c r="H121" s="20"/>
      <c r="I121" s="20"/>
      <c r="J121" s="20"/>
      <c r="K121" s="20"/>
      <c r="L121" s="20"/>
      <c r="M121" s="20"/>
      <c r="N121" s="20"/>
      <c r="O121" s="20"/>
      <c r="P121" s="20"/>
      <c r="Q121" s="20"/>
      <c r="R121" s="20"/>
      <c r="S121" s="20"/>
      <c r="T121" s="20"/>
      <c r="U121" s="20"/>
      <c r="V121" s="20"/>
      <c r="W121" s="20"/>
      <c r="X121" s="20"/>
      <c r="Y121" s="20"/>
      <c r="Z121" s="20"/>
      <c r="AA121" s="20"/>
    </row>
    <row r="122" spans="1:27" ht="17.25" customHeight="1">
      <c r="A122" s="57"/>
      <c r="B122" s="57"/>
      <c r="C122" s="57"/>
      <c r="D122" s="57"/>
      <c r="E122" s="57"/>
      <c r="F122" s="57"/>
      <c r="G122" s="57"/>
      <c r="H122" s="20"/>
      <c r="I122" s="20"/>
      <c r="J122" s="20"/>
      <c r="K122" s="20"/>
      <c r="L122" s="20"/>
      <c r="M122" s="20"/>
      <c r="N122" s="20"/>
      <c r="O122" s="20"/>
      <c r="P122" s="20"/>
      <c r="Q122" s="20"/>
      <c r="R122" s="20"/>
      <c r="S122" s="20"/>
      <c r="T122" s="20"/>
      <c r="U122" s="20"/>
      <c r="V122" s="20"/>
      <c r="W122" s="20"/>
      <c r="X122" s="20"/>
      <c r="Y122" s="20"/>
      <c r="Z122" s="20"/>
      <c r="AA122" s="20"/>
    </row>
    <row r="123" spans="1:27" ht="17.25" customHeight="1">
      <c r="A123" s="57"/>
      <c r="B123" s="57"/>
      <c r="C123" s="57"/>
      <c r="D123" s="57"/>
      <c r="E123" s="57"/>
      <c r="F123" s="57"/>
      <c r="G123" s="57"/>
      <c r="H123" s="20"/>
      <c r="I123" s="20"/>
      <c r="J123" s="20"/>
      <c r="K123" s="20"/>
      <c r="L123" s="20"/>
      <c r="M123" s="20"/>
      <c r="N123" s="20"/>
      <c r="O123" s="20"/>
      <c r="P123" s="20"/>
      <c r="Q123" s="20"/>
      <c r="R123" s="20"/>
      <c r="S123" s="20"/>
      <c r="T123" s="20"/>
      <c r="U123" s="20"/>
      <c r="V123" s="20"/>
      <c r="W123" s="20"/>
      <c r="X123" s="20"/>
      <c r="Y123" s="20"/>
      <c r="Z123" s="20"/>
      <c r="AA123" s="20"/>
    </row>
    <row r="124" spans="1:27" ht="17.25" customHeight="1">
      <c r="A124" s="57"/>
      <c r="B124" s="57"/>
      <c r="C124" s="57"/>
      <c r="D124" s="57"/>
      <c r="E124" s="57"/>
      <c r="F124" s="57"/>
      <c r="G124" s="57"/>
      <c r="H124" s="20"/>
      <c r="I124" s="20"/>
      <c r="J124" s="20"/>
      <c r="K124" s="20"/>
      <c r="L124" s="20"/>
      <c r="M124" s="20"/>
      <c r="N124" s="20"/>
      <c r="O124" s="20"/>
      <c r="P124" s="20"/>
      <c r="Q124" s="20"/>
      <c r="R124" s="20"/>
      <c r="S124" s="20"/>
      <c r="T124" s="20"/>
      <c r="U124" s="20"/>
      <c r="V124" s="20"/>
      <c r="W124" s="20"/>
      <c r="X124" s="20"/>
      <c r="Y124" s="20"/>
      <c r="Z124" s="20"/>
      <c r="AA124" s="20"/>
    </row>
    <row r="125" spans="1:27" ht="17.25" customHeight="1">
      <c r="A125" s="57"/>
      <c r="B125" s="57"/>
      <c r="C125" s="57"/>
      <c r="D125" s="57"/>
      <c r="E125" s="57"/>
      <c r="F125" s="57"/>
      <c r="G125" s="57"/>
      <c r="H125" s="20"/>
      <c r="I125" s="20"/>
      <c r="J125" s="20"/>
      <c r="K125" s="20"/>
      <c r="L125" s="20"/>
      <c r="M125" s="20"/>
      <c r="N125" s="20"/>
      <c r="O125" s="20"/>
      <c r="P125" s="20"/>
      <c r="Q125" s="20"/>
      <c r="R125" s="20"/>
      <c r="S125" s="20"/>
      <c r="T125" s="20"/>
      <c r="U125" s="20"/>
      <c r="V125" s="20"/>
      <c r="W125" s="20"/>
      <c r="X125" s="20"/>
      <c r="Y125" s="20"/>
      <c r="Z125" s="20"/>
      <c r="AA125" s="20"/>
    </row>
    <row r="126" spans="1:27" ht="17.25" customHeight="1">
      <c r="A126" s="57"/>
      <c r="B126" s="57"/>
      <c r="C126" s="57"/>
      <c r="D126" s="57"/>
      <c r="E126" s="57"/>
      <c r="F126" s="57"/>
      <c r="G126" s="57"/>
      <c r="H126" s="20"/>
      <c r="I126" s="20"/>
      <c r="J126" s="20"/>
      <c r="K126" s="20"/>
      <c r="L126" s="20"/>
      <c r="M126" s="20"/>
      <c r="N126" s="20"/>
      <c r="O126" s="20"/>
      <c r="P126" s="20"/>
      <c r="Q126" s="20"/>
      <c r="R126" s="20"/>
      <c r="S126" s="20"/>
      <c r="T126" s="20"/>
      <c r="U126" s="20"/>
      <c r="V126" s="20"/>
      <c r="W126" s="20"/>
      <c r="X126" s="20"/>
      <c r="Y126" s="20"/>
      <c r="Z126" s="20"/>
      <c r="AA126" s="20"/>
    </row>
    <row r="127" spans="1:27" ht="17.25" customHeight="1">
      <c r="A127" s="57"/>
      <c r="B127" s="57"/>
      <c r="C127" s="57"/>
      <c r="D127" s="57"/>
      <c r="E127" s="57"/>
      <c r="F127" s="57"/>
      <c r="G127" s="57"/>
      <c r="H127" s="20"/>
      <c r="I127" s="20"/>
      <c r="J127" s="20"/>
      <c r="K127" s="20"/>
      <c r="L127" s="20"/>
      <c r="M127" s="20"/>
      <c r="N127" s="20"/>
      <c r="O127" s="20"/>
      <c r="P127" s="20"/>
      <c r="Q127" s="20"/>
      <c r="R127" s="20"/>
      <c r="S127" s="20"/>
      <c r="T127" s="20"/>
      <c r="U127" s="20"/>
      <c r="V127" s="20"/>
      <c r="W127" s="20"/>
      <c r="X127" s="20"/>
      <c r="Y127" s="20"/>
      <c r="Z127" s="20"/>
      <c r="AA127" s="20"/>
    </row>
    <row r="128" spans="1:27" ht="17.25" customHeight="1">
      <c r="A128" s="57"/>
      <c r="B128" s="57"/>
      <c r="C128" s="57"/>
      <c r="D128" s="57"/>
      <c r="E128" s="57"/>
      <c r="F128" s="57"/>
      <c r="G128" s="57"/>
      <c r="H128" s="20"/>
      <c r="I128" s="20"/>
      <c r="J128" s="20"/>
      <c r="K128" s="20"/>
      <c r="L128" s="20"/>
      <c r="M128" s="20"/>
      <c r="N128" s="20"/>
      <c r="O128" s="20"/>
      <c r="P128" s="20"/>
      <c r="Q128" s="20"/>
      <c r="R128" s="20"/>
      <c r="S128" s="20"/>
      <c r="T128" s="20"/>
      <c r="U128" s="20"/>
      <c r="V128" s="20"/>
      <c r="W128" s="20"/>
      <c r="X128" s="20"/>
      <c r="Y128" s="20"/>
      <c r="Z128" s="20"/>
      <c r="AA128" s="20"/>
    </row>
    <row r="129" spans="1:27" ht="17.25" customHeight="1">
      <c r="A129" s="57"/>
      <c r="B129" s="57"/>
      <c r="C129" s="57"/>
      <c r="D129" s="57"/>
      <c r="E129" s="57"/>
      <c r="F129" s="57"/>
      <c r="G129" s="57"/>
      <c r="H129" s="20"/>
      <c r="I129" s="20"/>
      <c r="J129" s="20"/>
      <c r="K129" s="20"/>
      <c r="L129" s="20"/>
      <c r="M129" s="20"/>
      <c r="N129" s="20"/>
      <c r="O129" s="20"/>
      <c r="P129" s="20"/>
      <c r="Q129" s="20"/>
      <c r="R129" s="20"/>
      <c r="S129" s="20"/>
      <c r="T129" s="20"/>
      <c r="U129" s="20"/>
      <c r="V129" s="20"/>
      <c r="W129" s="20"/>
      <c r="X129" s="20"/>
      <c r="Y129" s="20"/>
      <c r="Z129" s="20"/>
      <c r="AA129" s="20"/>
    </row>
    <row r="130" spans="1:27" ht="17.25" customHeight="1">
      <c r="A130" s="57"/>
      <c r="B130" s="57"/>
      <c r="C130" s="57"/>
      <c r="D130" s="57"/>
      <c r="E130" s="57"/>
      <c r="F130" s="57"/>
      <c r="G130" s="57"/>
      <c r="H130" s="20"/>
      <c r="I130" s="20"/>
      <c r="J130" s="20"/>
      <c r="K130" s="20"/>
      <c r="L130" s="20"/>
      <c r="M130" s="20"/>
      <c r="N130" s="20"/>
      <c r="O130" s="20"/>
      <c r="P130" s="20"/>
      <c r="Q130" s="20"/>
      <c r="R130" s="20"/>
      <c r="S130" s="20"/>
      <c r="T130" s="20"/>
      <c r="U130" s="20"/>
      <c r="V130" s="20"/>
      <c r="W130" s="20"/>
      <c r="X130" s="20"/>
      <c r="Y130" s="20"/>
      <c r="Z130" s="20"/>
      <c r="AA130" s="20"/>
    </row>
    <row r="131" spans="1:27" ht="17.25" customHeight="1">
      <c r="A131" s="57"/>
      <c r="B131" s="57"/>
      <c r="C131" s="57"/>
      <c r="D131" s="57"/>
      <c r="E131" s="57"/>
      <c r="F131" s="57"/>
      <c r="G131" s="57"/>
      <c r="H131" s="20"/>
      <c r="I131" s="20"/>
      <c r="J131" s="20"/>
      <c r="K131" s="20"/>
      <c r="L131" s="20"/>
      <c r="M131" s="20"/>
      <c r="N131" s="20"/>
      <c r="O131" s="20"/>
      <c r="P131" s="20"/>
      <c r="Q131" s="20"/>
      <c r="R131" s="20"/>
      <c r="S131" s="20"/>
      <c r="T131" s="20"/>
      <c r="U131" s="20"/>
      <c r="V131" s="20"/>
      <c r="W131" s="20"/>
      <c r="X131" s="20"/>
      <c r="Y131" s="20"/>
      <c r="Z131" s="20"/>
      <c r="AA131" s="20"/>
    </row>
    <row r="132" spans="1:27" ht="17.25" customHeight="1">
      <c r="A132" s="57"/>
      <c r="B132" s="57"/>
      <c r="C132" s="57"/>
      <c r="D132" s="57"/>
      <c r="E132" s="57"/>
      <c r="F132" s="57"/>
      <c r="G132" s="57"/>
      <c r="H132" s="20"/>
      <c r="I132" s="20"/>
      <c r="J132" s="20"/>
      <c r="K132" s="20"/>
      <c r="L132" s="20"/>
      <c r="M132" s="20"/>
      <c r="N132" s="20"/>
      <c r="O132" s="20"/>
      <c r="P132" s="20"/>
      <c r="Q132" s="20"/>
      <c r="R132" s="20"/>
      <c r="S132" s="20"/>
      <c r="T132" s="20"/>
      <c r="U132" s="20"/>
      <c r="V132" s="20"/>
      <c r="W132" s="20"/>
      <c r="X132" s="20"/>
      <c r="Y132" s="20"/>
      <c r="Z132" s="20"/>
      <c r="AA132" s="20"/>
    </row>
    <row r="133" spans="1:27" ht="17.25" customHeight="1">
      <c r="A133" s="57"/>
      <c r="B133" s="57"/>
      <c r="C133" s="57"/>
      <c r="D133" s="57"/>
      <c r="E133" s="57"/>
      <c r="F133" s="57"/>
      <c r="G133" s="57"/>
      <c r="H133" s="20"/>
      <c r="I133" s="20"/>
      <c r="J133" s="20"/>
      <c r="K133" s="20"/>
      <c r="L133" s="20"/>
      <c r="M133" s="20"/>
      <c r="N133" s="20"/>
      <c r="O133" s="20"/>
      <c r="P133" s="20"/>
      <c r="Q133" s="20"/>
      <c r="R133" s="20"/>
      <c r="S133" s="20"/>
      <c r="T133" s="20"/>
      <c r="U133" s="20"/>
      <c r="V133" s="20"/>
      <c r="W133" s="20"/>
      <c r="X133" s="20"/>
      <c r="Y133" s="20"/>
      <c r="Z133" s="20"/>
      <c r="AA133" s="20"/>
    </row>
    <row r="134" spans="1:27" ht="17.25" customHeight="1">
      <c r="A134" s="57"/>
      <c r="B134" s="57"/>
      <c r="C134" s="57"/>
      <c r="D134" s="57"/>
      <c r="E134" s="57"/>
      <c r="F134" s="57"/>
      <c r="G134" s="57"/>
      <c r="H134" s="20"/>
      <c r="I134" s="20"/>
      <c r="J134" s="20"/>
      <c r="K134" s="20"/>
      <c r="L134" s="20"/>
      <c r="M134" s="20"/>
      <c r="N134" s="20"/>
      <c r="O134" s="20"/>
      <c r="P134" s="20"/>
      <c r="Q134" s="20"/>
      <c r="R134" s="20"/>
      <c r="S134" s="20"/>
      <c r="T134" s="20"/>
      <c r="U134" s="20"/>
      <c r="V134" s="20"/>
      <c r="W134" s="20"/>
      <c r="X134" s="20"/>
      <c r="Y134" s="20"/>
      <c r="Z134" s="20"/>
      <c r="AA134" s="20"/>
    </row>
    <row r="135" spans="1:27" ht="17.25" customHeight="1">
      <c r="A135" s="57"/>
      <c r="B135" s="57"/>
      <c r="C135" s="57"/>
      <c r="D135" s="57"/>
      <c r="E135" s="57"/>
      <c r="F135" s="57"/>
      <c r="G135" s="57"/>
      <c r="H135" s="20"/>
      <c r="I135" s="20"/>
      <c r="J135" s="20"/>
      <c r="K135" s="20"/>
      <c r="L135" s="20"/>
      <c r="M135" s="20"/>
      <c r="N135" s="20"/>
      <c r="O135" s="20"/>
      <c r="P135" s="20"/>
      <c r="Q135" s="20"/>
      <c r="R135" s="20"/>
      <c r="S135" s="20"/>
      <c r="T135" s="20"/>
      <c r="U135" s="20"/>
      <c r="V135" s="20"/>
      <c r="W135" s="20"/>
      <c r="X135" s="20"/>
      <c r="Y135" s="20"/>
      <c r="Z135" s="20"/>
      <c r="AA135" s="20"/>
    </row>
    <row r="136" spans="1:27" ht="17.25" customHeight="1">
      <c r="A136" s="57"/>
      <c r="B136" s="57"/>
      <c r="C136" s="57"/>
      <c r="D136" s="57"/>
      <c r="E136" s="57"/>
      <c r="F136" s="57"/>
      <c r="G136" s="57"/>
      <c r="H136" s="20"/>
      <c r="I136" s="20"/>
      <c r="J136" s="20"/>
      <c r="K136" s="20"/>
      <c r="L136" s="20"/>
      <c r="M136" s="20"/>
      <c r="N136" s="20"/>
      <c r="O136" s="20"/>
      <c r="P136" s="20"/>
      <c r="Q136" s="20"/>
      <c r="R136" s="20"/>
      <c r="S136" s="20"/>
      <c r="T136" s="20"/>
      <c r="U136" s="20"/>
      <c r="V136" s="20"/>
      <c r="W136" s="20"/>
      <c r="X136" s="20"/>
      <c r="Y136" s="20"/>
      <c r="Z136" s="20"/>
      <c r="AA136" s="20"/>
    </row>
    <row r="137" spans="1:27" ht="17.25" customHeight="1">
      <c r="A137" s="57"/>
      <c r="B137" s="57"/>
      <c r="C137" s="57"/>
      <c r="D137" s="57"/>
      <c r="E137" s="57"/>
      <c r="F137" s="57"/>
      <c r="G137" s="57"/>
      <c r="H137" s="20"/>
      <c r="I137" s="20"/>
      <c r="J137" s="20"/>
      <c r="K137" s="20"/>
      <c r="L137" s="20"/>
      <c r="M137" s="20"/>
      <c r="N137" s="20"/>
      <c r="O137" s="20"/>
      <c r="P137" s="20"/>
      <c r="Q137" s="20"/>
      <c r="R137" s="20"/>
      <c r="S137" s="20"/>
      <c r="T137" s="20"/>
      <c r="U137" s="20"/>
      <c r="V137" s="20"/>
      <c r="W137" s="20"/>
      <c r="X137" s="20"/>
      <c r="Y137" s="20"/>
      <c r="Z137" s="20"/>
      <c r="AA137" s="20"/>
    </row>
    <row r="138" spans="1:27" ht="17.25" customHeight="1">
      <c r="A138" s="57"/>
      <c r="B138" s="57"/>
      <c r="C138" s="57"/>
      <c r="D138" s="57"/>
      <c r="E138" s="57"/>
      <c r="F138" s="57"/>
      <c r="G138" s="57"/>
      <c r="H138" s="20"/>
      <c r="I138" s="20"/>
      <c r="J138" s="20"/>
      <c r="K138" s="20"/>
      <c r="L138" s="20"/>
      <c r="M138" s="20"/>
      <c r="N138" s="20"/>
      <c r="O138" s="20"/>
      <c r="P138" s="20"/>
      <c r="Q138" s="20"/>
      <c r="R138" s="20"/>
      <c r="S138" s="20"/>
      <c r="T138" s="20"/>
      <c r="U138" s="20"/>
      <c r="V138" s="20"/>
      <c r="W138" s="20"/>
      <c r="X138" s="20"/>
      <c r="Y138" s="20"/>
      <c r="Z138" s="20"/>
      <c r="AA138" s="20"/>
    </row>
    <row r="139" spans="1:27" ht="17.25" customHeight="1">
      <c r="A139" s="57"/>
      <c r="B139" s="57"/>
      <c r="C139" s="57"/>
      <c r="D139" s="57"/>
      <c r="E139" s="57"/>
      <c r="F139" s="57"/>
      <c r="G139" s="57"/>
      <c r="H139" s="20"/>
      <c r="I139" s="20"/>
      <c r="J139" s="20"/>
      <c r="K139" s="20"/>
      <c r="L139" s="20"/>
      <c r="M139" s="20"/>
      <c r="N139" s="20"/>
      <c r="O139" s="20"/>
      <c r="P139" s="20"/>
      <c r="Q139" s="20"/>
      <c r="R139" s="20"/>
      <c r="S139" s="20"/>
      <c r="T139" s="20"/>
      <c r="U139" s="20"/>
      <c r="V139" s="20"/>
      <c r="W139" s="20"/>
      <c r="X139" s="20"/>
      <c r="Y139" s="20"/>
      <c r="Z139" s="20"/>
      <c r="AA139" s="20"/>
    </row>
    <row r="140" spans="1:27" ht="17.25" customHeight="1">
      <c r="A140" s="57"/>
      <c r="B140" s="57"/>
      <c r="C140" s="57"/>
      <c r="D140" s="57"/>
      <c r="E140" s="57"/>
      <c r="F140" s="57"/>
      <c r="G140" s="57"/>
      <c r="H140" s="20"/>
      <c r="I140" s="20"/>
      <c r="J140" s="20"/>
      <c r="K140" s="20"/>
      <c r="L140" s="20"/>
      <c r="M140" s="20"/>
      <c r="N140" s="20"/>
      <c r="O140" s="20"/>
      <c r="P140" s="20"/>
      <c r="Q140" s="20"/>
      <c r="R140" s="20"/>
      <c r="S140" s="20"/>
      <c r="T140" s="20"/>
      <c r="U140" s="20"/>
      <c r="V140" s="20"/>
      <c r="W140" s="20"/>
      <c r="X140" s="20"/>
      <c r="Y140" s="20"/>
      <c r="Z140" s="20"/>
      <c r="AA140" s="20"/>
    </row>
    <row r="141" spans="1:27" ht="17.25" customHeight="1">
      <c r="A141" s="57"/>
      <c r="B141" s="57"/>
      <c r="C141" s="57"/>
      <c r="D141" s="57"/>
      <c r="E141" s="57"/>
      <c r="F141" s="57"/>
      <c r="G141" s="57"/>
      <c r="H141" s="20"/>
      <c r="I141" s="20"/>
      <c r="J141" s="20"/>
      <c r="K141" s="20"/>
      <c r="L141" s="20"/>
      <c r="M141" s="20"/>
      <c r="N141" s="20"/>
      <c r="O141" s="20"/>
      <c r="P141" s="20"/>
      <c r="Q141" s="20"/>
      <c r="R141" s="20"/>
      <c r="S141" s="20"/>
      <c r="T141" s="20"/>
      <c r="U141" s="20"/>
      <c r="V141" s="20"/>
      <c r="W141" s="20"/>
      <c r="X141" s="20"/>
      <c r="Y141" s="20"/>
      <c r="Z141" s="20"/>
      <c r="AA141" s="20"/>
    </row>
    <row r="142" spans="1:27" ht="17.25" customHeight="1">
      <c r="A142" s="57"/>
      <c r="B142" s="57"/>
      <c r="C142" s="57"/>
      <c r="D142" s="57"/>
      <c r="E142" s="57"/>
      <c r="F142" s="57"/>
      <c r="G142" s="57"/>
      <c r="H142" s="20"/>
      <c r="I142" s="20"/>
      <c r="J142" s="20"/>
      <c r="K142" s="20"/>
      <c r="L142" s="20"/>
      <c r="M142" s="20"/>
      <c r="N142" s="20"/>
      <c r="O142" s="20"/>
      <c r="P142" s="20"/>
      <c r="Q142" s="20"/>
      <c r="R142" s="20"/>
      <c r="S142" s="20"/>
      <c r="T142" s="20"/>
      <c r="U142" s="20"/>
      <c r="V142" s="20"/>
      <c r="W142" s="20"/>
      <c r="X142" s="20"/>
      <c r="Y142" s="20"/>
      <c r="Z142" s="20"/>
      <c r="AA142" s="20"/>
    </row>
    <row r="143" spans="1:27" ht="17.25" customHeight="1">
      <c r="A143" s="57"/>
      <c r="B143" s="57"/>
      <c r="C143" s="57"/>
      <c r="D143" s="57"/>
      <c r="E143" s="57"/>
      <c r="F143" s="57"/>
      <c r="G143" s="57"/>
      <c r="H143" s="20"/>
      <c r="I143" s="20"/>
      <c r="J143" s="20"/>
      <c r="K143" s="20"/>
      <c r="L143" s="20"/>
      <c r="M143" s="20"/>
      <c r="N143" s="20"/>
      <c r="O143" s="20"/>
      <c r="P143" s="20"/>
      <c r="Q143" s="20"/>
      <c r="R143" s="20"/>
      <c r="S143" s="20"/>
      <c r="T143" s="20"/>
      <c r="U143" s="20"/>
      <c r="V143" s="20"/>
      <c r="W143" s="20"/>
      <c r="X143" s="20"/>
      <c r="Y143" s="20"/>
      <c r="Z143" s="20"/>
      <c r="AA143" s="20"/>
    </row>
    <row r="144" spans="1:27" ht="17.25" customHeight="1">
      <c r="A144" s="57"/>
      <c r="B144" s="57"/>
      <c r="C144" s="57"/>
      <c r="D144" s="57"/>
      <c r="E144" s="57"/>
      <c r="F144" s="57"/>
      <c r="G144" s="57"/>
      <c r="H144" s="20"/>
      <c r="I144" s="20"/>
      <c r="J144" s="20"/>
      <c r="K144" s="20"/>
      <c r="L144" s="20"/>
      <c r="M144" s="20"/>
      <c r="N144" s="20"/>
      <c r="O144" s="20"/>
      <c r="P144" s="20"/>
      <c r="Q144" s="20"/>
      <c r="R144" s="20"/>
      <c r="S144" s="20"/>
      <c r="T144" s="20"/>
      <c r="U144" s="20"/>
      <c r="V144" s="20"/>
      <c r="W144" s="20"/>
      <c r="X144" s="20"/>
      <c r="Y144" s="20"/>
      <c r="Z144" s="20"/>
      <c r="AA144" s="20"/>
    </row>
    <row r="145" spans="1:27" ht="17.25" customHeight="1">
      <c r="A145" s="57"/>
      <c r="B145" s="57"/>
      <c r="C145" s="57"/>
      <c r="D145" s="57"/>
      <c r="E145" s="57"/>
      <c r="F145" s="57"/>
      <c r="G145" s="57"/>
      <c r="H145" s="20"/>
      <c r="I145" s="20"/>
      <c r="J145" s="20"/>
      <c r="K145" s="20"/>
      <c r="L145" s="20"/>
      <c r="M145" s="20"/>
      <c r="N145" s="20"/>
      <c r="O145" s="20"/>
      <c r="P145" s="20"/>
      <c r="Q145" s="20"/>
      <c r="R145" s="20"/>
      <c r="S145" s="20"/>
      <c r="T145" s="20"/>
      <c r="U145" s="20"/>
      <c r="V145" s="20"/>
      <c r="W145" s="20"/>
      <c r="X145" s="20"/>
      <c r="Y145" s="20"/>
      <c r="Z145" s="20"/>
      <c r="AA145" s="20"/>
    </row>
    <row r="146" spans="1:27" ht="17.25" customHeight="1">
      <c r="A146" s="57"/>
      <c r="B146" s="57"/>
      <c r="C146" s="57"/>
      <c r="D146" s="57"/>
      <c r="E146" s="57"/>
      <c r="F146" s="57"/>
      <c r="G146" s="57"/>
      <c r="H146" s="20"/>
      <c r="I146" s="20"/>
      <c r="J146" s="20"/>
      <c r="K146" s="20"/>
      <c r="L146" s="20"/>
      <c r="M146" s="20"/>
      <c r="N146" s="20"/>
      <c r="O146" s="20"/>
      <c r="P146" s="20"/>
      <c r="Q146" s="20"/>
      <c r="R146" s="20"/>
      <c r="S146" s="20"/>
      <c r="T146" s="20"/>
      <c r="U146" s="20"/>
      <c r="V146" s="20"/>
      <c r="W146" s="20"/>
      <c r="X146" s="20"/>
      <c r="Y146" s="20"/>
      <c r="Z146" s="20"/>
      <c r="AA146" s="20"/>
    </row>
    <row r="147" spans="1:27" ht="17.25" customHeight="1">
      <c r="A147" s="57"/>
      <c r="B147" s="57"/>
      <c r="C147" s="57"/>
      <c r="D147" s="57"/>
      <c r="E147" s="57"/>
      <c r="F147" s="57"/>
      <c r="G147" s="57"/>
      <c r="H147" s="20"/>
      <c r="I147" s="20"/>
      <c r="J147" s="20"/>
      <c r="K147" s="20"/>
      <c r="L147" s="20"/>
      <c r="M147" s="20"/>
      <c r="N147" s="20"/>
      <c r="O147" s="20"/>
      <c r="P147" s="20"/>
      <c r="Q147" s="20"/>
      <c r="R147" s="20"/>
      <c r="S147" s="20"/>
      <c r="T147" s="20"/>
      <c r="U147" s="20"/>
      <c r="V147" s="20"/>
      <c r="W147" s="20"/>
      <c r="X147" s="20"/>
      <c r="Y147" s="20"/>
      <c r="Z147" s="20"/>
      <c r="AA147" s="20"/>
    </row>
    <row r="148" spans="1:27" ht="17.25" customHeight="1">
      <c r="A148" s="57"/>
      <c r="B148" s="57"/>
      <c r="C148" s="57"/>
      <c r="D148" s="57"/>
      <c r="E148" s="57"/>
      <c r="F148" s="57"/>
      <c r="G148" s="57"/>
      <c r="H148" s="20"/>
      <c r="I148" s="20"/>
      <c r="J148" s="20"/>
      <c r="K148" s="20"/>
      <c r="L148" s="20"/>
      <c r="M148" s="20"/>
      <c r="N148" s="20"/>
      <c r="O148" s="20"/>
      <c r="P148" s="20"/>
      <c r="Q148" s="20"/>
      <c r="R148" s="20"/>
      <c r="S148" s="20"/>
      <c r="T148" s="20"/>
      <c r="U148" s="20"/>
      <c r="V148" s="20"/>
      <c r="W148" s="20"/>
      <c r="X148" s="20"/>
      <c r="Y148" s="20"/>
      <c r="Z148" s="20"/>
      <c r="AA148" s="20"/>
    </row>
    <row r="149" spans="1:27" ht="17.25" customHeight="1">
      <c r="A149" s="57"/>
      <c r="B149" s="57"/>
      <c r="C149" s="57"/>
      <c r="D149" s="57"/>
      <c r="E149" s="57"/>
      <c r="F149" s="57"/>
      <c r="G149" s="57"/>
      <c r="H149" s="20"/>
      <c r="I149" s="20"/>
      <c r="J149" s="20"/>
      <c r="K149" s="20"/>
      <c r="L149" s="20"/>
      <c r="M149" s="20"/>
      <c r="N149" s="20"/>
      <c r="O149" s="20"/>
      <c r="P149" s="20"/>
      <c r="Q149" s="20"/>
      <c r="R149" s="20"/>
      <c r="S149" s="20"/>
      <c r="T149" s="20"/>
      <c r="U149" s="20"/>
      <c r="V149" s="20"/>
      <c r="W149" s="20"/>
      <c r="X149" s="20"/>
      <c r="Y149" s="20"/>
      <c r="Z149" s="20"/>
      <c r="AA149" s="20"/>
    </row>
    <row r="150" spans="1:27" ht="17.25" customHeight="1">
      <c r="A150" s="57"/>
      <c r="B150" s="57"/>
      <c r="C150" s="57"/>
      <c r="D150" s="57"/>
      <c r="E150" s="57"/>
      <c r="F150" s="57"/>
      <c r="G150" s="57"/>
      <c r="H150" s="20"/>
      <c r="I150" s="20"/>
      <c r="J150" s="20"/>
      <c r="K150" s="20"/>
      <c r="L150" s="20"/>
      <c r="M150" s="20"/>
      <c r="N150" s="20"/>
      <c r="O150" s="20"/>
      <c r="P150" s="20"/>
      <c r="Q150" s="20"/>
      <c r="R150" s="20"/>
      <c r="S150" s="20"/>
      <c r="T150" s="20"/>
      <c r="U150" s="20"/>
      <c r="V150" s="20"/>
      <c r="W150" s="20"/>
      <c r="X150" s="20"/>
      <c r="Y150" s="20"/>
      <c r="Z150" s="20"/>
      <c r="AA150" s="20"/>
    </row>
    <row r="151" spans="1:27" ht="17.25" customHeight="1">
      <c r="A151" s="57"/>
      <c r="B151" s="57"/>
      <c r="C151" s="57"/>
      <c r="D151" s="57"/>
      <c r="E151" s="57"/>
      <c r="F151" s="57"/>
      <c r="G151" s="57"/>
      <c r="H151" s="20"/>
      <c r="I151" s="20"/>
      <c r="J151" s="20"/>
      <c r="K151" s="20"/>
      <c r="L151" s="20"/>
      <c r="M151" s="20"/>
      <c r="N151" s="20"/>
      <c r="O151" s="20"/>
      <c r="P151" s="20"/>
      <c r="Q151" s="20"/>
      <c r="R151" s="20"/>
      <c r="S151" s="20"/>
      <c r="T151" s="20"/>
      <c r="U151" s="20"/>
      <c r="V151" s="20"/>
      <c r="W151" s="20"/>
      <c r="X151" s="20"/>
      <c r="Y151" s="20"/>
      <c r="Z151" s="20"/>
      <c r="AA151" s="20"/>
    </row>
    <row r="152" spans="1:27" ht="17.25" customHeight="1">
      <c r="A152" s="57"/>
      <c r="B152" s="57"/>
      <c r="C152" s="57"/>
      <c r="D152" s="57"/>
      <c r="E152" s="57"/>
      <c r="F152" s="57"/>
      <c r="G152" s="57"/>
      <c r="H152" s="20"/>
      <c r="I152" s="20"/>
      <c r="J152" s="20"/>
      <c r="K152" s="20"/>
      <c r="L152" s="20"/>
      <c r="M152" s="20"/>
      <c r="N152" s="20"/>
      <c r="O152" s="20"/>
      <c r="P152" s="20"/>
      <c r="Q152" s="20"/>
      <c r="R152" s="20"/>
      <c r="S152" s="20"/>
      <c r="T152" s="20"/>
      <c r="U152" s="20"/>
      <c r="V152" s="20"/>
      <c r="W152" s="20"/>
      <c r="X152" s="20"/>
      <c r="Y152" s="20"/>
      <c r="Z152" s="20"/>
      <c r="AA152" s="20"/>
    </row>
    <row r="153" spans="1:27" ht="17.25" customHeight="1">
      <c r="A153" s="57"/>
      <c r="B153" s="57"/>
      <c r="C153" s="57"/>
      <c r="D153" s="57"/>
      <c r="E153" s="57"/>
      <c r="F153" s="57"/>
      <c r="G153" s="57"/>
      <c r="H153" s="20"/>
      <c r="I153" s="20"/>
      <c r="J153" s="20"/>
      <c r="K153" s="20"/>
      <c r="L153" s="20"/>
      <c r="M153" s="20"/>
      <c r="N153" s="20"/>
      <c r="O153" s="20"/>
      <c r="P153" s="20"/>
      <c r="Q153" s="20"/>
      <c r="R153" s="20"/>
      <c r="S153" s="20"/>
      <c r="T153" s="20"/>
      <c r="U153" s="20"/>
      <c r="V153" s="20"/>
      <c r="W153" s="20"/>
      <c r="X153" s="20"/>
      <c r="Y153" s="20"/>
      <c r="Z153" s="20"/>
      <c r="AA153" s="20"/>
    </row>
    <row r="154" spans="1:27" ht="17.25" customHeight="1">
      <c r="A154" s="57"/>
      <c r="B154" s="57"/>
      <c r="C154" s="57"/>
      <c r="D154" s="57"/>
      <c r="E154" s="57"/>
      <c r="F154" s="57"/>
      <c r="G154" s="57"/>
      <c r="H154" s="20"/>
      <c r="I154" s="20"/>
      <c r="J154" s="20"/>
      <c r="K154" s="20"/>
      <c r="L154" s="20"/>
      <c r="M154" s="20"/>
      <c r="N154" s="20"/>
      <c r="O154" s="20"/>
      <c r="P154" s="20"/>
      <c r="Q154" s="20"/>
      <c r="R154" s="20"/>
      <c r="S154" s="20"/>
      <c r="T154" s="20"/>
      <c r="U154" s="20"/>
      <c r="V154" s="20"/>
      <c r="W154" s="20"/>
      <c r="X154" s="20"/>
      <c r="Y154" s="20"/>
      <c r="Z154" s="20"/>
      <c r="AA154" s="20"/>
    </row>
    <row r="155" spans="1:27" ht="17.25" customHeight="1">
      <c r="A155" s="57"/>
      <c r="B155" s="57"/>
      <c r="C155" s="57"/>
      <c r="D155" s="57"/>
      <c r="E155" s="57"/>
      <c r="F155" s="57"/>
      <c r="G155" s="57"/>
      <c r="H155" s="20"/>
      <c r="I155" s="20"/>
      <c r="J155" s="20"/>
      <c r="K155" s="20"/>
      <c r="L155" s="20"/>
      <c r="M155" s="20"/>
      <c r="N155" s="20"/>
      <c r="O155" s="20"/>
      <c r="P155" s="20"/>
      <c r="Q155" s="20"/>
      <c r="R155" s="20"/>
      <c r="S155" s="20"/>
      <c r="T155" s="20"/>
      <c r="U155" s="20"/>
      <c r="V155" s="20"/>
      <c r="W155" s="20"/>
      <c r="X155" s="20"/>
      <c r="Y155" s="20"/>
      <c r="Z155" s="20"/>
      <c r="AA155" s="20"/>
    </row>
    <row r="156" spans="1:27" ht="17.25" customHeight="1">
      <c r="A156" s="57"/>
      <c r="B156" s="57"/>
      <c r="C156" s="57"/>
      <c r="D156" s="57"/>
      <c r="E156" s="57"/>
      <c r="F156" s="57"/>
      <c r="G156" s="57"/>
      <c r="H156" s="20"/>
      <c r="I156" s="20"/>
      <c r="J156" s="20"/>
      <c r="K156" s="20"/>
      <c r="L156" s="20"/>
      <c r="M156" s="20"/>
      <c r="N156" s="20"/>
      <c r="O156" s="20"/>
      <c r="P156" s="20"/>
      <c r="Q156" s="20"/>
      <c r="R156" s="20"/>
      <c r="S156" s="20"/>
      <c r="T156" s="20"/>
      <c r="U156" s="20"/>
      <c r="V156" s="20"/>
      <c r="W156" s="20"/>
      <c r="X156" s="20"/>
      <c r="Y156" s="20"/>
      <c r="Z156" s="20"/>
      <c r="AA156" s="20"/>
    </row>
    <row r="157" spans="1:27" ht="17.25" customHeight="1">
      <c r="A157" s="57"/>
      <c r="B157" s="57"/>
      <c r="C157" s="57"/>
      <c r="D157" s="57"/>
      <c r="E157" s="57"/>
      <c r="F157" s="57"/>
      <c r="G157" s="57"/>
      <c r="H157" s="20"/>
      <c r="I157" s="20"/>
      <c r="J157" s="20"/>
      <c r="K157" s="20"/>
      <c r="L157" s="20"/>
      <c r="M157" s="20"/>
      <c r="N157" s="20"/>
      <c r="O157" s="20"/>
      <c r="P157" s="20"/>
      <c r="Q157" s="20"/>
      <c r="R157" s="20"/>
      <c r="S157" s="20"/>
      <c r="T157" s="20"/>
      <c r="U157" s="20"/>
      <c r="V157" s="20"/>
      <c r="W157" s="20"/>
      <c r="X157" s="20"/>
      <c r="Y157" s="20"/>
      <c r="Z157" s="20"/>
      <c r="AA157" s="20"/>
    </row>
    <row r="158" spans="1:27" ht="17.25" customHeight="1">
      <c r="A158" s="57"/>
      <c r="B158" s="57"/>
      <c r="C158" s="57"/>
      <c r="D158" s="57"/>
      <c r="E158" s="57"/>
      <c r="F158" s="57"/>
      <c r="G158" s="57"/>
      <c r="H158" s="20"/>
      <c r="I158" s="20"/>
      <c r="J158" s="20"/>
      <c r="K158" s="20"/>
      <c r="L158" s="20"/>
      <c r="M158" s="20"/>
      <c r="N158" s="20"/>
      <c r="O158" s="20"/>
      <c r="P158" s="20"/>
      <c r="Q158" s="20"/>
      <c r="R158" s="20"/>
      <c r="S158" s="20"/>
      <c r="T158" s="20"/>
      <c r="U158" s="20"/>
      <c r="V158" s="20"/>
      <c r="W158" s="20"/>
      <c r="X158" s="20"/>
      <c r="Y158" s="20"/>
      <c r="Z158" s="20"/>
      <c r="AA158" s="20"/>
    </row>
    <row r="159" spans="1:27" ht="17.25" customHeight="1">
      <c r="A159" s="57"/>
      <c r="B159" s="57"/>
      <c r="C159" s="57"/>
      <c r="D159" s="57"/>
      <c r="E159" s="57"/>
      <c r="F159" s="57"/>
      <c r="G159" s="57"/>
      <c r="H159" s="20"/>
      <c r="I159" s="20"/>
      <c r="J159" s="20"/>
      <c r="K159" s="20"/>
      <c r="L159" s="20"/>
      <c r="M159" s="20"/>
      <c r="N159" s="20"/>
      <c r="O159" s="20"/>
      <c r="P159" s="20"/>
      <c r="Q159" s="20"/>
      <c r="R159" s="20"/>
      <c r="S159" s="20"/>
      <c r="T159" s="20"/>
      <c r="U159" s="20"/>
      <c r="V159" s="20"/>
      <c r="W159" s="20"/>
      <c r="X159" s="20"/>
      <c r="Y159" s="20"/>
      <c r="Z159" s="20"/>
      <c r="AA159" s="20"/>
    </row>
    <row r="160" spans="1:27" ht="17.25" customHeight="1">
      <c r="A160" s="57"/>
      <c r="B160" s="57"/>
      <c r="C160" s="57"/>
      <c r="D160" s="57"/>
      <c r="E160" s="57"/>
      <c r="F160" s="57"/>
      <c r="G160" s="57"/>
      <c r="H160" s="20"/>
      <c r="I160" s="20"/>
      <c r="J160" s="20"/>
      <c r="K160" s="20"/>
      <c r="L160" s="20"/>
      <c r="M160" s="20"/>
      <c r="N160" s="20"/>
      <c r="O160" s="20"/>
      <c r="P160" s="20"/>
      <c r="Q160" s="20"/>
      <c r="R160" s="20"/>
      <c r="S160" s="20"/>
      <c r="T160" s="20"/>
      <c r="U160" s="20"/>
      <c r="V160" s="20"/>
      <c r="W160" s="20"/>
      <c r="X160" s="20"/>
      <c r="Y160" s="20"/>
      <c r="Z160" s="20"/>
      <c r="AA160" s="20"/>
    </row>
    <row r="161" spans="1:27" ht="17.25" customHeight="1">
      <c r="A161" s="57"/>
      <c r="B161" s="57"/>
      <c r="C161" s="57"/>
      <c r="D161" s="57"/>
      <c r="E161" s="57"/>
      <c r="F161" s="57"/>
      <c r="G161" s="57"/>
      <c r="H161" s="20"/>
      <c r="I161" s="20"/>
      <c r="J161" s="20"/>
      <c r="K161" s="20"/>
      <c r="L161" s="20"/>
      <c r="M161" s="20"/>
      <c r="N161" s="20"/>
      <c r="O161" s="20"/>
      <c r="P161" s="20"/>
      <c r="Q161" s="20"/>
      <c r="R161" s="20"/>
      <c r="S161" s="20"/>
      <c r="T161" s="20"/>
      <c r="U161" s="20"/>
      <c r="V161" s="20"/>
      <c r="W161" s="20"/>
      <c r="X161" s="20"/>
      <c r="Y161" s="20"/>
      <c r="Z161" s="20"/>
      <c r="AA161" s="20"/>
    </row>
    <row r="162" spans="1:27" ht="17.25" customHeight="1">
      <c r="A162" s="57"/>
      <c r="B162" s="57"/>
      <c r="C162" s="57"/>
      <c r="D162" s="57"/>
      <c r="E162" s="57"/>
      <c r="F162" s="57"/>
      <c r="G162" s="57"/>
      <c r="H162" s="20"/>
      <c r="I162" s="20"/>
      <c r="J162" s="20"/>
      <c r="K162" s="20"/>
      <c r="L162" s="20"/>
      <c r="M162" s="20"/>
      <c r="N162" s="20"/>
      <c r="O162" s="20"/>
      <c r="P162" s="20"/>
      <c r="Q162" s="20"/>
      <c r="R162" s="20"/>
      <c r="S162" s="20"/>
      <c r="T162" s="20"/>
      <c r="U162" s="20"/>
      <c r="V162" s="20"/>
      <c r="W162" s="20"/>
      <c r="X162" s="20"/>
      <c r="Y162" s="20"/>
      <c r="Z162" s="20"/>
      <c r="AA162" s="20"/>
    </row>
    <row r="163" spans="1:27" ht="17.25" customHeight="1">
      <c r="A163" s="57"/>
      <c r="B163" s="57"/>
      <c r="C163" s="57"/>
      <c r="D163" s="57"/>
      <c r="E163" s="57"/>
      <c r="F163" s="57"/>
      <c r="G163" s="57"/>
      <c r="H163" s="20"/>
      <c r="I163" s="20"/>
      <c r="J163" s="20"/>
      <c r="K163" s="20"/>
      <c r="L163" s="20"/>
      <c r="M163" s="20"/>
      <c r="N163" s="20"/>
      <c r="O163" s="20"/>
      <c r="P163" s="20"/>
      <c r="Q163" s="20"/>
      <c r="R163" s="20"/>
      <c r="S163" s="20"/>
      <c r="T163" s="20"/>
      <c r="U163" s="20"/>
      <c r="V163" s="20"/>
      <c r="W163" s="20"/>
      <c r="X163" s="20"/>
      <c r="Y163" s="20"/>
      <c r="Z163" s="20"/>
      <c r="AA163" s="20"/>
    </row>
    <row r="164" spans="1:27" ht="17.25" customHeight="1">
      <c r="A164" s="57"/>
      <c r="B164" s="57"/>
      <c r="C164" s="57"/>
      <c r="D164" s="57"/>
      <c r="E164" s="57"/>
      <c r="F164" s="57"/>
      <c r="G164" s="57"/>
      <c r="H164" s="20"/>
      <c r="I164" s="20"/>
      <c r="J164" s="20"/>
      <c r="K164" s="20"/>
      <c r="L164" s="20"/>
      <c r="M164" s="20"/>
      <c r="N164" s="20"/>
      <c r="O164" s="20"/>
      <c r="P164" s="20"/>
      <c r="Q164" s="20"/>
      <c r="R164" s="20"/>
      <c r="S164" s="20"/>
      <c r="T164" s="20"/>
      <c r="U164" s="20"/>
      <c r="V164" s="20"/>
      <c r="W164" s="20"/>
      <c r="X164" s="20"/>
      <c r="Y164" s="20"/>
      <c r="Z164" s="20"/>
      <c r="AA164" s="20"/>
    </row>
    <row r="165" spans="1:27" ht="17.25" customHeight="1">
      <c r="A165" s="57"/>
      <c r="B165" s="57"/>
      <c r="C165" s="57"/>
      <c r="D165" s="57"/>
      <c r="E165" s="57"/>
      <c r="F165" s="57"/>
      <c r="G165" s="57"/>
      <c r="H165" s="20"/>
      <c r="I165" s="20"/>
      <c r="J165" s="20"/>
      <c r="K165" s="20"/>
      <c r="L165" s="20"/>
      <c r="M165" s="20"/>
      <c r="N165" s="20"/>
      <c r="O165" s="20"/>
      <c r="P165" s="20"/>
      <c r="Q165" s="20"/>
      <c r="R165" s="20"/>
      <c r="S165" s="20"/>
      <c r="T165" s="20"/>
      <c r="U165" s="20"/>
      <c r="V165" s="20"/>
      <c r="W165" s="20"/>
      <c r="X165" s="20"/>
      <c r="Y165" s="20"/>
      <c r="Z165" s="20"/>
      <c r="AA165" s="20"/>
    </row>
    <row r="166" spans="1:27" ht="17.25" customHeight="1">
      <c r="A166" s="57"/>
      <c r="B166" s="57"/>
      <c r="C166" s="57"/>
      <c r="D166" s="57"/>
      <c r="E166" s="57"/>
      <c r="F166" s="57"/>
      <c r="G166" s="57"/>
      <c r="H166" s="20"/>
      <c r="I166" s="20"/>
      <c r="J166" s="20"/>
      <c r="K166" s="20"/>
      <c r="L166" s="20"/>
      <c r="M166" s="20"/>
      <c r="N166" s="20"/>
      <c r="O166" s="20"/>
      <c r="P166" s="20"/>
      <c r="Q166" s="20"/>
      <c r="R166" s="20"/>
      <c r="S166" s="20"/>
      <c r="T166" s="20"/>
      <c r="U166" s="20"/>
      <c r="V166" s="20"/>
      <c r="W166" s="20"/>
      <c r="X166" s="20"/>
      <c r="Y166" s="20"/>
      <c r="Z166" s="20"/>
      <c r="AA166" s="20"/>
    </row>
    <row r="167" spans="1:27" ht="17.25" customHeight="1">
      <c r="A167" s="57"/>
      <c r="B167" s="57"/>
      <c r="C167" s="57"/>
      <c r="D167" s="57"/>
      <c r="E167" s="57"/>
      <c r="F167" s="57"/>
      <c r="G167" s="57"/>
      <c r="H167" s="20"/>
      <c r="I167" s="20"/>
      <c r="J167" s="20"/>
      <c r="K167" s="20"/>
      <c r="L167" s="20"/>
      <c r="M167" s="20"/>
      <c r="N167" s="20"/>
      <c r="O167" s="20"/>
      <c r="P167" s="20"/>
      <c r="Q167" s="20"/>
      <c r="R167" s="20"/>
      <c r="S167" s="20"/>
      <c r="T167" s="20"/>
      <c r="U167" s="20"/>
      <c r="V167" s="20"/>
      <c r="W167" s="20"/>
      <c r="X167" s="20"/>
      <c r="Y167" s="20"/>
      <c r="Z167" s="20"/>
      <c r="AA167" s="20"/>
    </row>
    <row r="168" spans="1:27" ht="17.25" customHeight="1">
      <c r="A168" s="57"/>
      <c r="B168" s="57"/>
      <c r="C168" s="57"/>
      <c r="D168" s="57"/>
      <c r="E168" s="57"/>
      <c r="F168" s="57"/>
      <c r="G168" s="57"/>
      <c r="H168" s="20"/>
      <c r="I168" s="20"/>
      <c r="J168" s="20"/>
      <c r="K168" s="20"/>
      <c r="L168" s="20"/>
      <c r="M168" s="20"/>
      <c r="N168" s="20"/>
      <c r="O168" s="20"/>
      <c r="P168" s="20"/>
      <c r="Q168" s="20"/>
      <c r="R168" s="20"/>
      <c r="S168" s="20"/>
      <c r="T168" s="20"/>
      <c r="U168" s="20"/>
      <c r="V168" s="20"/>
      <c r="W168" s="20"/>
      <c r="X168" s="20"/>
      <c r="Y168" s="20"/>
      <c r="Z168" s="20"/>
      <c r="AA168" s="20"/>
    </row>
    <row r="169" spans="1:27" ht="17.25" customHeight="1">
      <c r="A169" s="57"/>
      <c r="B169" s="57"/>
      <c r="C169" s="57"/>
      <c r="D169" s="57"/>
      <c r="E169" s="57"/>
      <c r="F169" s="57"/>
      <c r="G169" s="57"/>
      <c r="H169" s="20"/>
      <c r="I169" s="20"/>
      <c r="J169" s="20"/>
      <c r="K169" s="20"/>
      <c r="L169" s="20"/>
      <c r="M169" s="20"/>
      <c r="N169" s="20"/>
      <c r="O169" s="20"/>
      <c r="P169" s="20"/>
      <c r="Q169" s="20"/>
      <c r="R169" s="20"/>
      <c r="S169" s="20"/>
      <c r="T169" s="20"/>
      <c r="U169" s="20"/>
      <c r="V169" s="20"/>
      <c r="W169" s="20"/>
      <c r="X169" s="20"/>
      <c r="Y169" s="20"/>
      <c r="Z169" s="20"/>
      <c r="AA169" s="20"/>
    </row>
    <row r="170" spans="1:27" ht="17.25" customHeight="1">
      <c r="A170" s="57"/>
      <c r="B170" s="57"/>
      <c r="C170" s="57"/>
      <c r="D170" s="57"/>
      <c r="E170" s="57"/>
      <c r="F170" s="57"/>
      <c r="G170" s="57"/>
      <c r="H170" s="20"/>
      <c r="I170" s="20"/>
      <c r="J170" s="20"/>
      <c r="K170" s="20"/>
      <c r="L170" s="20"/>
      <c r="M170" s="20"/>
      <c r="N170" s="20"/>
      <c r="O170" s="20"/>
      <c r="P170" s="20"/>
      <c r="Q170" s="20"/>
      <c r="R170" s="20"/>
      <c r="S170" s="20"/>
      <c r="T170" s="20"/>
      <c r="U170" s="20"/>
      <c r="V170" s="20"/>
      <c r="W170" s="20"/>
      <c r="X170" s="20"/>
      <c r="Y170" s="20"/>
      <c r="Z170" s="20"/>
      <c r="AA170" s="20"/>
    </row>
    <row r="171" spans="1:27" ht="17.25" customHeight="1">
      <c r="A171" s="57"/>
      <c r="B171" s="57"/>
      <c r="C171" s="57"/>
      <c r="D171" s="57"/>
      <c r="E171" s="57"/>
      <c r="F171" s="57"/>
      <c r="G171" s="57"/>
      <c r="H171" s="20"/>
      <c r="I171" s="20"/>
      <c r="J171" s="20"/>
      <c r="K171" s="20"/>
      <c r="L171" s="20"/>
      <c r="M171" s="20"/>
      <c r="N171" s="20"/>
      <c r="O171" s="20"/>
      <c r="P171" s="20"/>
      <c r="Q171" s="20"/>
      <c r="R171" s="20"/>
      <c r="S171" s="20"/>
      <c r="T171" s="20"/>
      <c r="U171" s="20"/>
      <c r="V171" s="20"/>
      <c r="W171" s="20"/>
      <c r="X171" s="20"/>
      <c r="Y171" s="20"/>
      <c r="Z171" s="20"/>
      <c r="AA171" s="20"/>
    </row>
    <row r="172" spans="1:27" ht="17.25" customHeight="1">
      <c r="A172" s="57"/>
      <c r="B172" s="57"/>
      <c r="C172" s="57"/>
      <c r="D172" s="57"/>
      <c r="E172" s="57"/>
      <c r="F172" s="57"/>
      <c r="G172" s="57"/>
      <c r="H172" s="20"/>
      <c r="I172" s="20"/>
      <c r="J172" s="20"/>
      <c r="K172" s="20"/>
      <c r="L172" s="20"/>
      <c r="M172" s="20"/>
      <c r="N172" s="20"/>
      <c r="O172" s="20"/>
      <c r="P172" s="20"/>
      <c r="Q172" s="20"/>
      <c r="R172" s="20"/>
      <c r="S172" s="20"/>
      <c r="T172" s="20"/>
      <c r="U172" s="20"/>
      <c r="V172" s="20"/>
      <c r="W172" s="20"/>
      <c r="X172" s="20"/>
      <c r="Y172" s="20"/>
      <c r="Z172" s="20"/>
      <c r="AA172" s="20"/>
    </row>
    <row r="173" spans="1:27" ht="17.25" customHeight="1">
      <c r="A173" s="57"/>
      <c r="B173" s="57"/>
      <c r="C173" s="57"/>
      <c r="D173" s="57"/>
      <c r="E173" s="57"/>
      <c r="F173" s="57"/>
      <c r="G173" s="57"/>
      <c r="H173" s="20"/>
      <c r="I173" s="20"/>
      <c r="J173" s="20"/>
      <c r="K173" s="20"/>
      <c r="L173" s="20"/>
      <c r="M173" s="20"/>
      <c r="N173" s="20"/>
      <c r="O173" s="20"/>
      <c r="P173" s="20"/>
      <c r="Q173" s="20"/>
      <c r="R173" s="20"/>
      <c r="S173" s="20"/>
      <c r="T173" s="20"/>
      <c r="U173" s="20"/>
      <c r="V173" s="20"/>
      <c r="W173" s="20"/>
      <c r="X173" s="20"/>
      <c r="Y173" s="20"/>
      <c r="Z173" s="20"/>
      <c r="AA173" s="20"/>
    </row>
    <row r="174" spans="1:27" ht="17.25" customHeight="1">
      <c r="A174" s="57"/>
      <c r="B174" s="57"/>
      <c r="C174" s="57"/>
      <c r="D174" s="57"/>
      <c r="E174" s="57"/>
      <c r="F174" s="57"/>
      <c r="G174" s="57"/>
      <c r="H174" s="20"/>
      <c r="I174" s="20"/>
      <c r="J174" s="20"/>
      <c r="K174" s="20"/>
      <c r="L174" s="20"/>
      <c r="M174" s="20"/>
      <c r="N174" s="20"/>
      <c r="O174" s="20"/>
      <c r="P174" s="20"/>
      <c r="Q174" s="20"/>
      <c r="R174" s="20"/>
      <c r="S174" s="20"/>
      <c r="T174" s="20"/>
      <c r="U174" s="20"/>
      <c r="V174" s="20"/>
      <c r="W174" s="20"/>
      <c r="X174" s="20"/>
      <c r="Y174" s="20"/>
      <c r="Z174" s="20"/>
      <c r="AA174" s="20"/>
    </row>
    <row r="175" spans="1:27" ht="17.25" customHeight="1">
      <c r="A175" s="57"/>
      <c r="B175" s="57"/>
      <c r="C175" s="57"/>
      <c r="D175" s="57"/>
      <c r="E175" s="57"/>
      <c r="F175" s="57"/>
      <c r="G175" s="57"/>
      <c r="H175" s="20"/>
      <c r="I175" s="20"/>
      <c r="J175" s="20"/>
      <c r="K175" s="20"/>
      <c r="L175" s="20"/>
      <c r="M175" s="20"/>
      <c r="N175" s="20"/>
      <c r="O175" s="20"/>
      <c r="P175" s="20"/>
      <c r="Q175" s="20"/>
      <c r="R175" s="20"/>
      <c r="S175" s="20"/>
      <c r="T175" s="20"/>
      <c r="U175" s="20"/>
      <c r="V175" s="20"/>
      <c r="W175" s="20"/>
      <c r="X175" s="20"/>
      <c r="Y175" s="20"/>
      <c r="Z175" s="20"/>
      <c r="AA175" s="20"/>
    </row>
    <row r="176" spans="1:27" ht="17.25" customHeight="1">
      <c r="A176" s="57"/>
      <c r="B176" s="57"/>
      <c r="C176" s="57"/>
      <c r="D176" s="57"/>
      <c r="E176" s="57"/>
      <c r="F176" s="57"/>
      <c r="G176" s="57"/>
      <c r="H176" s="20"/>
      <c r="I176" s="20"/>
      <c r="J176" s="20"/>
      <c r="K176" s="20"/>
      <c r="L176" s="20"/>
      <c r="M176" s="20"/>
      <c r="N176" s="20"/>
      <c r="O176" s="20"/>
      <c r="P176" s="20"/>
      <c r="Q176" s="20"/>
      <c r="R176" s="20"/>
      <c r="S176" s="20"/>
      <c r="T176" s="20"/>
      <c r="U176" s="20"/>
      <c r="V176" s="20"/>
      <c r="W176" s="20"/>
      <c r="X176" s="20"/>
      <c r="Y176" s="20"/>
      <c r="Z176" s="20"/>
      <c r="AA176" s="20"/>
    </row>
    <row r="177" spans="1:27" ht="17.25" customHeight="1">
      <c r="A177" s="57"/>
      <c r="B177" s="57"/>
      <c r="C177" s="57"/>
      <c r="D177" s="57"/>
      <c r="E177" s="57"/>
      <c r="F177" s="57"/>
      <c r="G177" s="57"/>
      <c r="H177" s="20"/>
      <c r="I177" s="20"/>
      <c r="J177" s="20"/>
      <c r="K177" s="20"/>
      <c r="L177" s="20"/>
      <c r="M177" s="20"/>
      <c r="N177" s="20"/>
      <c r="O177" s="20"/>
      <c r="P177" s="20"/>
      <c r="Q177" s="20"/>
      <c r="R177" s="20"/>
      <c r="S177" s="20"/>
      <c r="T177" s="20"/>
      <c r="U177" s="20"/>
      <c r="V177" s="20"/>
      <c r="W177" s="20"/>
      <c r="X177" s="20"/>
      <c r="Y177" s="20"/>
      <c r="Z177" s="20"/>
      <c r="AA177" s="20"/>
    </row>
    <row r="178" spans="1:27" ht="17.25" customHeight="1">
      <c r="A178" s="57"/>
      <c r="B178" s="57"/>
      <c r="C178" s="57"/>
      <c r="D178" s="57"/>
      <c r="E178" s="57"/>
      <c r="F178" s="57"/>
      <c r="G178" s="57"/>
      <c r="H178" s="20"/>
      <c r="I178" s="20"/>
      <c r="J178" s="20"/>
      <c r="K178" s="20"/>
      <c r="L178" s="20"/>
      <c r="M178" s="20"/>
      <c r="N178" s="20"/>
      <c r="O178" s="20"/>
      <c r="P178" s="20"/>
      <c r="Q178" s="20"/>
      <c r="R178" s="20"/>
      <c r="S178" s="20"/>
      <c r="T178" s="20"/>
      <c r="U178" s="20"/>
      <c r="V178" s="20"/>
      <c r="W178" s="20"/>
      <c r="X178" s="20"/>
      <c r="Y178" s="20"/>
      <c r="Z178" s="20"/>
      <c r="AA178" s="20"/>
    </row>
    <row r="179" spans="1:27" ht="17.25" customHeight="1">
      <c r="A179" s="57"/>
      <c r="B179" s="57"/>
      <c r="C179" s="57"/>
      <c r="D179" s="57"/>
      <c r="E179" s="57"/>
      <c r="F179" s="57"/>
      <c r="G179" s="57"/>
      <c r="H179" s="20"/>
      <c r="I179" s="20"/>
      <c r="J179" s="20"/>
      <c r="K179" s="20"/>
      <c r="L179" s="20"/>
      <c r="M179" s="20"/>
      <c r="N179" s="20"/>
      <c r="O179" s="20"/>
      <c r="P179" s="20"/>
      <c r="Q179" s="20"/>
      <c r="R179" s="20"/>
      <c r="S179" s="20"/>
      <c r="T179" s="20"/>
      <c r="U179" s="20"/>
      <c r="V179" s="20"/>
      <c r="W179" s="20"/>
      <c r="X179" s="20"/>
      <c r="Y179" s="20"/>
      <c r="Z179" s="20"/>
      <c r="AA179" s="20"/>
    </row>
    <row r="180" spans="1:27" ht="17.25" customHeight="1">
      <c r="A180" s="57"/>
      <c r="B180" s="57"/>
      <c r="C180" s="57"/>
      <c r="D180" s="57"/>
      <c r="E180" s="57"/>
      <c r="F180" s="57"/>
      <c r="G180" s="57"/>
      <c r="H180" s="20"/>
      <c r="I180" s="20"/>
      <c r="J180" s="20"/>
      <c r="K180" s="20"/>
      <c r="L180" s="20"/>
      <c r="M180" s="20"/>
      <c r="N180" s="20"/>
      <c r="O180" s="20"/>
      <c r="P180" s="20"/>
      <c r="Q180" s="20"/>
      <c r="R180" s="20"/>
      <c r="S180" s="20"/>
      <c r="T180" s="20"/>
      <c r="U180" s="20"/>
      <c r="V180" s="20"/>
      <c r="W180" s="20"/>
      <c r="X180" s="20"/>
      <c r="Y180" s="20"/>
      <c r="Z180" s="20"/>
      <c r="AA180" s="20"/>
    </row>
    <row r="181" spans="1:27" ht="17.25" customHeight="1">
      <c r="A181" s="57"/>
      <c r="B181" s="57"/>
      <c r="C181" s="57"/>
      <c r="D181" s="57"/>
      <c r="E181" s="57"/>
      <c r="F181" s="57"/>
      <c r="G181" s="57"/>
      <c r="H181" s="20"/>
      <c r="I181" s="20"/>
      <c r="J181" s="20"/>
      <c r="K181" s="20"/>
      <c r="L181" s="20"/>
      <c r="M181" s="20"/>
      <c r="N181" s="20"/>
      <c r="O181" s="20"/>
      <c r="P181" s="20"/>
      <c r="Q181" s="20"/>
      <c r="R181" s="20"/>
      <c r="S181" s="20"/>
      <c r="T181" s="20"/>
      <c r="U181" s="20"/>
      <c r="V181" s="20"/>
      <c r="W181" s="20"/>
      <c r="X181" s="20"/>
      <c r="Y181" s="20"/>
      <c r="Z181" s="20"/>
      <c r="AA181" s="20"/>
    </row>
    <row r="182" spans="1:27" ht="17.25" customHeight="1">
      <c r="A182" s="57"/>
      <c r="B182" s="57"/>
      <c r="C182" s="57"/>
      <c r="D182" s="57"/>
      <c r="E182" s="57"/>
      <c r="F182" s="57"/>
      <c r="G182" s="57"/>
      <c r="H182" s="20"/>
      <c r="I182" s="20"/>
      <c r="J182" s="20"/>
      <c r="K182" s="20"/>
      <c r="L182" s="20"/>
      <c r="M182" s="20"/>
      <c r="N182" s="20"/>
      <c r="O182" s="20"/>
      <c r="P182" s="20"/>
      <c r="Q182" s="20"/>
      <c r="R182" s="20"/>
      <c r="S182" s="20"/>
      <c r="T182" s="20"/>
      <c r="U182" s="20"/>
      <c r="V182" s="20"/>
      <c r="W182" s="20"/>
      <c r="X182" s="20"/>
      <c r="Y182" s="20"/>
      <c r="Z182" s="20"/>
      <c r="AA182" s="20"/>
    </row>
    <row r="183" spans="1:27" ht="17.25" customHeight="1">
      <c r="A183" s="57"/>
      <c r="B183" s="57"/>
      <c r="C183" s="57"/>
      <c r="D183" s="57"/>
      <c r="E183" s="57"/>
      <c r="F183" s="57"/>
      <c r="G183" s="57"/>
      <c r="H183" s="20"/>
      <c r="I183" s="20"/>
      <c r="J183" s="20"/>
      <c r="K183" s="20"/>
      <c r="L183" s="20"/>
      <c r="M183" s="20"/>
      <c r="N183" s="20"/>
      <c r="O183" s="20"/>
      <c r="P183" s="20"/>
      <c r="Q183" s="20"/>
      <c r="R183" s="20"/>
      <c r="S183" s="20"/>
      <c r="T183" s="20"/>
      <c r="U183" s="20"/>
      <c r="V183" s="20"/>
      <c r="W183" s="20"/>
      <c r="X183" s="20"/>
      <c r="Y183" s="20"/>
      <c r="Z183" s="20"/>
      <c r="AA183" s="20"/>
    </row>
    <row r="184" spans="1:27" ht="17.25" customHeight="1">
      <c r="A184" s="57"/>
      <c r="B184" s="57"/>
      <c r="C184" s="57"/>
      <c r="D184" s="57"/>
      <c r="E184" s="57"/>
      <c r="F184" s="57"/>
      <c r="G184" s="57"/>
      <c r="H184" s="20"/>
      <c r="I184" s="20"/>
      <c r="J184" s="20"/>
      <c r="K184" s="20"/>
      <c r="L184" s="20"/>
      <c r="M184" s="20"/>
      <c r="N184" s="20"/>
      <c r="O184" s="20"/>
      <c r="P184" s="20"/>
      <c r="Q184" s="20"/>
      <c r="R184" s="20"/>
      <c r="S184" s="20"/>
      <c r="T184" s="20"/>
      <c r="U184" s="20"/>
      <c r="V184" s="20"/>
      <c r="W184" s="20"/>
      <c r="X184" s="20"/>
      <c r="Y184" s="20"/>
      <c r="Z184" s="20"/>
      <c r="AA184" s="20"/>
    </row>
    <row r="185" spans="1:27" ht="17.25" customHeight="1">
      <c r="A185" s="57"/>
      <c r="B185" s="57"/>
      <c r="C185" s="57"/>
      <c r="D185" s="57"/>
      <c r="E185" s="57"/>
      <c r="F185" s="57"/>
      <c r="G185" s="57"/>
      <c r="H185" s="20"/>
      <c r="I185" s="20"/>
      <c r="J185" s="20"/>
      <c r="K185" s="20"/>
      <c r="L185" s="20"/>
      <c r="M185" s="20"/>
      <c r="N185" s="20"/>
      <c r="O185" s="20"/>
      <c r="P185" s="20"/>
      <c r="Q185" s="20"/>
      <c r="R185" s="20"/>
      <c r="S185" s="20"/>
      <c r="T185" s="20"/>
      <c r="U185" s="20"/>
      <c r="V185" s="20"/>
      <c r="W185" s="20"/>
      <c r="X185" s="20"/>
      <c r="Y185" s="20"/>
      <c r="Z185" s="20"/>
      <c r="AA185" s="20"/>
    </row>
    <row r="186" spans="1:27" ht="17.25" customHeight="1">
      <c r="A186" s="57"/>
      <c r="B186" s="57"/>
      <c r="C186" s="57"/>
      <c r="D186" s="57"/>
      <c r="E186" s="57"/>
      <c r="F186" s="57"/>
      <c r="G186" s="57"/>
      <c r="H186" s="20"/>
      <c r="I186" s="20"/>
      <c r="J186" s="20"/>
      <c r="K186" s="20"/>
      <c r="L186" s="20"/>
      <c r="M186" s="20"/>
      <c r="N186" s="20"/>
      <c r="O186" s="20"/>
      <c r="P186" s="20"/>
      <c r="Q186" s="20"/>
      <c r="R186" s="20"/>
      <c r="S186" s="20"/>
      <c r="T186" s="20"/>
      <c r="U186" s="20"/>
      <c r="V186" s="20"/>
      <c r="W186" s="20"/>
      <c r="X186" s="20"/>
      <c r="Y186" s="20"/>
      <c r="Z186" s="20"/>
      <c r="AA186" s="20"/>
    </row>
    <row r="187" spans="1:27" ht="17.25" customHeight="1">
      <c r="A187" s="57"/>
      <c r="B187" s="57"/>
      <c r="C187" s="57"/>
      <c r="D187" s="57"/>
      <c r="E187" s="57"/>
      <c r="F187" s="57"/>
      <c r="G187" s="57"/>
      <c r="H187" s="20"/>
      <c r="I187" s="20"/>
      <c r="J187" s="20"/>
      <c r="K187" s="20"/>
      <c r="L187" s="20"/>
      <c r="M187" s="20"/>
      <c r="N187" s="20"/>
      <c r="O187" s="20"/>
      <c r="P187" s="20"/>
      <c r="Q187" s="20"/>
      <c r="R187" s="20"/>
      <c r="S187" s="20"/>
      <c r="T187" s="20"/>
      <c r="U187" s="20"/>
      <c r="V187" s="20"/>
      <c r="W187" s="20"/>
      <c r="X187" s="20"/>
      <c r="Y187" s="20"/>
      <c r="Z187" s="20"/>
      <c r="AA187" s="20"/>
    </row>
    <row r="188" spans="1:27" ht="17.25" customHeight="1">
      <c r="A188" s="57"/>
      <c r="B188" s="57"/>
      <c r="C188" s="57"/>
      <c r="D188" s="57"/>
      <c r="E188" s="57"/>
      <c r="F188" s="57"/>
      <c r="G188" s="57"/>
      <c r="H188" s="20"/>
      <c r="I188" s="20"/>
      <c r="J188" s="20"/>
      <c r="K188" s="20"/>
      <c r="L188" s="20"/>
      <c r="M188" s="20"/>
      <c r="N188" s="20"/>
      <c r="O188" s="20"/>
      <c r="P188" s="20"/>
      <c r="Q188" s="20"/>
      <c r="R188" s="20"/>
      <c r="S188" s="20"/>
      <c r="T188" s="20"/>
      <c r="U188" s="20"/>
      <c r="V188" s="20"/>
      <c r="W188" s="20"/>
      <c r="X188" s="20"/>
      <c r="Y188" s="20"/>
      <c r="Z188" s="20"/>
      <c r="AA188" s="20"/>
    </row>
    <row r="189" spans="1:27" ht="17.25" customHeight="1">
      <c r="A189" s="57"/>
      <c r="B189" s="57"/>
      <c r="C189" s="57"/>
      <c r="D189" s="57"/>
      <c r="E189" s="57"/>
      <c r="F189" s="57"/>
      <c r="G189" s="57"/>
      <c r="H189" s="20"/>
      <c r="I189" s="20"/>
      <c r="J189" s="20"/>
      <c r="K189" s="20"/>
      <c r="L189" s="20"/>
      <c r="M189" s="20"/>
      <c r="N189" s="20"/>
      <c r="O189" s="20"/>
      <c r="P189" s="20"/>
      <c r="Q189" s="20"/>
      <c r="R189" s="20"/>
      <c r="S189" s="20"/>
      <c r="T189" s="20"/>
      <c r="U189" s="20"/>
      <c r="V189" s="20"/>
      <c r="W189" s="20"/>
      <c r="X189" s="20"/>
      <c r="Y189" s="20"/>
      <c r="Z189" s="20"/>
      <c r="AA189" s="20"/>
    </row>
    <row r="190" spans="1:27" ht="17.25" customHeight="1">
      <c r="A190" s="57"/>
      <c r="B190" s="57"/>
      <c r="C190" s="57"/>
      <c r="D190" s="57"/>
      <c r="E190" s="57"/>
      <c r="F190" s="57"/>
      <c r="G190" s="57"/>
      <c r="H190" s="20"/>
      <c r="I190" s="20"/>
      <c r="J190" s="20"/>
      <c r="K190" s="20"/>
      <c r="L190" s="20"/>
      <c r="M190" s="20"/>
      <c r="N190" s="20"/>
      <c r="O190" s="20"/>
      <c r="P190" s="20"/>
      <c r="Q190" s="20"/>
      <c r="R190" s="20"/>
      <c r="S190" s="20"/>
      <c r="T190" s="20"/>
      <c r="U190" s="20"/>
      <c r="V190" s="20"/>
      <c r="W190" s="20"/>
      <c r="X190" s="20"/>
      <c r="Y190" s="20"/>
      <c r="Z190" s="20"/>
      <c r="AA190" s="20"/>
    </row>
    <row r="191" spans="1:27" ht="17.25" customHeight="1">
      <c r="A191" s="57"/>
      <c r="B191" s="57"/>
      <c r="C191" s="57"/>
      <c r="D191" s="57"/>
      <c r="E191" s="57"/>
      <c r="F191" s="57"/>
      <c r="G191" s="57"/>
      <c r="H191" s="20"/>
      <c r="I191" s="20"/>
      <c r="J191" s="20"/>
      <c r="K191" s="20"/>
      <c r="L191" s="20"/>
      <c r="M191" s="20"/>
      <c r="N191" s="20"/>
      <c r="O191" s="20"/>
      <c r="P191" s="20"/>
      <c r="Q191" s="20"/>
      <c r="R191" s="20"/>
      <c r="S191" s="20"/>
      <c r="T191" s="20"/>
      <c r="U191" s="20"/>
      <c r="V191" s="20"/>
      <c r="W191" s="20"/>
      <c r="X191" s="20"/>
      <c r="Y191" s="20"/>
      <c r="Z191" s="20"/>
      <c r="AA191" s="20"/>
    </row>
    <row r="192" spans="1:27" ht="17.25" customHeight="1">
      <c r="A192" s="57"/>
      <c r="B192" s="57"/>
      <c r="C192" s="57"/>
      <c r="D192" s="57"/>
      <c r="E192" s="57"/>
      <c r="F192" s="57"/>
      <c r="G192" s="57"/>
      <c r="H192" s="20"/>
      <c r="I192" s="20"/>
      <c r="J192" s="20"/>
      <c r="K192" s="20"/>
      <c r="L192" s="20"/>
      <c r="M192" s="20"/>
      <c r="N192" s="20"/>
      <c r="O192" s="20"/>
      <c r="P192" s="20"/>
      <c r="Q192" s="20"/>
      <c r="R192" s="20"/>
      <c r="S192" s="20"/>
      <c r="T192" s="20"/>
      <c r="U192" s="20"/>
      <c r="V192" s="20"/>
      <c r="W192" s="20"/>
      <c r="X192" s="20"/>
      <c r="Y192" s="20"/>
      <c r="Z192" s="20"/>
      <c r="AA192" s="20"/>
    </row>
    <row r="193" spans="1:27" ht="17.25" customHeight="1">
      <c r="A193" s="57"/>
      <c r="B193" s="57"/>
      <c r="C193" s="57"/>
      <c r="D193" s="57"/>
      <c r="E193" s="57"/>
      <c r="F193" s="57"/>
      <c r="G193" s="57"/>
      <c r="H193" s="20"/>
      <c r="I193" s="20"/>
      <c r="J193" s="20"/>
      <c r="K193" s="20"/>
      <c r="L193" s="20"/>
      <c r="M193" s="20"/>
      <c r="N193" s="20"/>
      <c r="O193" s="20"/>
      <c r="P193" s="20"/>
      <c r="Q193" s="20"/>
      <c r="R193" s="20"/>
      <c r="S193" s="20"/>
      <c r="T193" s="20"/>
      <c r="U193" s="20"/>
      <c r="V193" s="20"/>
      <c r="W193" s="20"/>
      <c r="X193" s="20"/>
      <c r="Y193" s="20"/>
      <c r="Z193" s="20"/>
      <c r="AA193" s="20"/>
    </row>
    <row r="194" spans="1:27" ht="17.25" customHeight="1">
      <c r="A194" s="57"/>
      <c r="B194" s="57"/>
      <c r="C194" s="57"/>
      <c r="D194" s="57"/>
      <c r="E194" s="57"/>
      <c r="F194" s="57"/>
      <c r="G194" s="57"/>
      <c r="H194" s="20"/>
      <c r="I194" s="20"/>
      <c r="J194" s="20"/>
      <c r="K194" s="20"/>
      <c r="L194" s="20"/>
      <c r="M194" s="20"/>
      <c r="N194" s="20"/>
      <c r="O194" s="20"/>
      <c r="P194" s="20"/>
      <c r="Q194" s="20"/>
      <c r="R194" s="20"/>
      <c r="S194" s="20"/>
      <c r="T194" s="20"/>
      <c r="U194" s="20"/>
      <c r="V194" s="20"/>
      <c r="W194" s="20"/>
      <c r="X194" s="20"/>
      <c r="Y194" s="20"/>
      <c r="Z194" s="20"/>
      <c r="AA194" s="20"/>
    </row>
    <row r="195" spans="1:27" ht="17.25" customHeight="1">
      <c r="A195" s="57"/>
      <c r="B195" s="57"/>
      <c r="C195" s="57"/>
      <c r="D195" s="57"/>
      <c r="E195" s="57"/>
      <c r="F195" s="57"/>
      <c r="G195" s="57"/>
      <c r="H195" s="20"/>
      <c r="I195" s="20"/>
      <c r="J195" s="20"/>
      <c r="K195" s="20"/>
      <c r="L195" s="20"/>
      <c r="M195" s="20"/>
      <c r="N195" s="20"/>
      <c r="O195" s="20"/>
      <c r="P195" s="20"/>
      <c r="Q195" s="20"/>
      <c r="R195" s="20"/>
      <c r="S195" s="20"/>
      <c r="T195" s="20"/>
      <c r="U195" s="20"/>
      <c r="V195" s="20"/>
      <c r="W195" s="20"/>
      <c r="X195" s="20"/>
      <c r="Y195" s="20"/>
      <c r="Z195" s="20"/>
      <c r="AA195" s="20"/>
    </row>
    <row r="196" spans="1:27" ht="17.25" customHeight="1">
      <c r="A196" s="57"/>
      <c r="B196" s="57"/>
      <c r="C196" s="57"/>
      <c r="D196" s="57"/>
      <c r="E196" s="57"/>
      <c r="F196" s="57"/>
      <c r="G196" s="57"/>
      <c r="H196" s="20"/>
      <c r="I196" s="20"/>
      <c r="J196" s="20"/>
      <c r="K196" s="20"/>
      <c r="L196" s="20"/>
      <c r="M196" s="20"/>
      <c r="N196" s="20"/>
      <c r="O196" s="20"/>
      <c r="P196" s="20"/>
      <c r="Q196" s="20"/>
      <c r="R196" s="20"/>
      <c r="S196" s="20"/>
      <c r="T196" s="20"/>
      <c r="U196" s="20"/>
      <c r="V196" s="20"/>
      <c r="W196" s="20"/>
      <c r="X196" s="20"/>
      <c r="Y196" s="20"/>
      <c r="Z196" s="20"/>
      <c r="AA196" s="20"/>
    </row>
    <row r="197" spans="1:27" ht="17.25" customHeight="1">
      <c r="A197" s="57"/>
      <c r="B197" s="57"/>
      <c r="C197" s="57"/>
      <c r="D197" s="57"/>
      <c r="E197" s="57"/>
      <c r="F197" s="57"/>
      <c r="G197" s="57"/>
      <c r="H197" s="20"/>
      <c r="I197" s="20"/>
      <c r="J197" s="20"/>
      <c r="K197" s="20"/>
      <c r="L197" s="20"/>
      <c r="M197" s="20"/>
      <c r="N197" s="20"/>
      <c r="O197" s="20"/>
      <c r="P197" s="20"/>
      <c r="Q197" s="20"/>
      <c r="R197" s="20"/>
      <c r="S197" s="20"/>
      <c r="T197" s="20"/>
      <c r="U197" s="20"/>
      <c r="V197" s="20"/>
      <c r="W197" s="20"/>
      <c r="X197" s="20"/>
      <c r="Y197" s="20"/>
      <c r="Z197" s="20"/>
      <c r="AA197" s="20"/>
    </row>
    <row r="198" spans="1:27" ht="17.25" customHeight="1">
      <c r="A198" s="57"/>
      <c r="B198" s="57"/>
      <c r="C198" s="57"/>
      <c r="D198" s="57"/>
      <c r="E198" s="57"/>
      <c r="F198" s="57"/>
      <c r="G198" s="57"/>
      <c r="H198" s="20"/>
      <c r="I198" s="20"/>
      <c r="J198" s="20"/>
      <c r="K198" s="20"/>
      <c r="L198" s="20"/>
      <c r="M198" s="20"/>
      <c r="N198" s="20"/>
      <c r="O198" s="20"/>
      <c r="P198" s="20"/>
      <c r="Q198" s="20"/>
      <c r="R198" s="20"/>
      <c r="S198" s="20"/>
      <c r="T198" s="20"/>
      <c r="U198" s="20"/>
      <c r="V198" s="20"/>
      <c r="W198" s="20"/>
      <c r="X198" s="20"/>
      <c r="Y198" s="20"/>
      <c r="Z198" s="20"/>
      <c r="AA198" s="20"/>
    </row>
    <row r="199" spans="1:27" ht="17.25" customHeight="1">
      <c r="A199" s="57"/>
      <c r="B199" s="57"/>
      <c r="C199" s="57"/>
      <c r="D199" s="57"/>
      <c r="E199" s="57"/>
      <c r="F199" s="57"/>
      <c r="G199" s="57"/>
      <c r="H199" s="20"/>
      <c r="I199" s="20"/>
      <c r="J199" s="20"/>
      <c r="K199" s="20"/>
      <c r="L199" s="20"/>
      <c r="M199" s="20"/>
      <c r="N199" s="20"/>
      <c r="O199" s="20"/>
      <c r="P199" s="20"/>
      <c r="Q199" s="20"/>
      <c r="R199" s="20"/>
      <c r="S199" s="20"/>
      <c r="T199" s="20"/>
      <c r="U199" s="20"/>
      <c r="V199" s="20"/>
      <c r="W199" s="20"/>
      <c r="X199" s="20"/>
      <c r="Y199" s="20"/>
      <c r="Z199" s="20"/>
      <c r="AA199" s="20"/>
    </row>
    <row r="200" spans="1:27" ht="17.25" customHeight="1">
      <c r="A200" s="57"/>
      <c r="B200" s="57"/>
      <c r="C200" s="57"/>
      <c r="D200" s="57"/>
      <c r="E200" s="57"/>
      <c r="F200" s="57"/>
      <c r="G200" s="57"/>
      <c r="H200" s="20"/>
      <c r="I200" s="20"/>
      <c r="J200" s="20"/>
      <c r="K200" s="20"/>
      <c r="L200" s="20"/>
      <c r="M200" s="20"/>
      <c r="N200" s="20"/>
      <c r="O200" s="20"/>
      <c r="P200" s="20"/>
      <c r="Q200" s="20"/>
      <c r="R200" s="20"/>
      <c r="S200" s="20"/>
      <c r="T200" s="20"/>
      <c r="U200" s="20"/>
      <c r="V200" s="20"/>
      <c r="W200" s="20"/>
      <c r="X200" s="20"/>
      <c r="Y200" s="20"/>
      <c r="Z200" s="20"/>
      <c r="AA200" s="20"/>
    </row>
    <row r="201" spans="1:27" ht="17.25" customHeight="1">
      <c r="A201" s="57"/>
      <c r="B201" s="57"/>
      <c r="C201" s="57"/>
      <c r="D201" s="57"/>
      <c r="E201" s="57"/>
      <c r="F201" s="57"/>
      <c r="G201" s="57"/>
      <c r="H201" s="20"/>
      <c r="I201" s="20"/>
      <c r="J201" s="20"/>
      <c r="K201" s="20"/>
      <c r="L201" s="20"/>
      <c r="M201" s="20"/>
      <c r="N201" s="20"/>
      <c r="O201" s="20"/>
      <c r="P201" s="20"/>
      <c r="Q201" s="20"/>
      <c r="R201" s="20"/>
      <c r="S201" s="20"/>
      <c r="T201" s="20"/>
      <c r="U201" s="20"/>
      <c r="V201" s="20"/>
      <c r="W201" s="20"/>
      <c r="X201" s="20"/>
      <c r="Y201" s="20"/>
      <c r="Z201" s="20"/>
      <c r="AA201" s="20"/>
    </row>
    <row r="202" spans="1:27" ht="17.25" customHeight="1">
      <c r="A202" s="57"/>
      <c r="B202" s="57"/>
      <c r="C202" s="57"/>
      <c r="D202" s="57"/>
      <c r="E202" s="57"/>
      <c r="F202" s="57"/>
      <c r="G202" s="57"/>
      <c r="H202" s="20"/>
      <c r="I202" s="20"/>
      <c r="J202" s="20"/>
      <c r="K202" s="20"/>
      <c r="L202" s="20"/>
      <c r="M202" s="20"/>
      <c r="N202" s="20"/>
      <c r="O202" s="20"/>
      <c r="P202" s="20"/>
      <c r="Q202" s="20"/>
      <c r="R202" s="20"/>
      <c r="S202" s="20"/>
      <c r="T202" s="20"/>
      <c r="U202" s="20"/>
      <c r="V202" s="20"/>
      <c r="W202" s="20"/>
      <c r="X202" s="20"/>
      <c r="Y202" s="20"/>
      <c r="Z202" s="20"/>
      <c r="AA202" s="20"/>
    </row>
    <row r="203" spans="1:27" ht="17.25" customHeight="1">
      <c r="A203" s="57"/>
      <c r="B203" s="57"/>
      <c r="C203" s="57"/>
      <c r="D203" s="57"/>
      <c r="E203" s="57"/>
      <c r="F203" s="57"/>
      <c r="G203" s="57"/>
      <c r="H203" s="20"/>
      <c r="I203" s="20"/>
      <c r="J203" s="20"/>
      <c r="K203" s="20"/>
      <c r="L203" s="20"/>
      <c r="M203" s="20"/>
      <c r="N203" s="20"/>
      <c r="O203" s="20"/>
      <c r="P203" s="20"/>
      <c r="Q203" s="20"/>
      <c r="R203" s="20"/>
      <c r="S203" s="20"/>
      <c r="T203" s="20"/>
      <c r="U203" s="20"/>
      <c r="V203" s="20"/>
      <c r="W203" s="20"/>
      <c r="X203" s="20"/>
      <c r="Y203" s="20"/>
      <c r="Z203" s="20"/>
      <c r="AA203" s="20"/>
    </row>
    <row r="204" spans="1:27" ht="17.25" customHeight="1">
      <c r="A204" s="57"/>
      <c r="B204" s="57"/>
      <c r="C204" s="57"/>
      <c r="D204" s="57"/>
      <c r="E204" s="57"/>
      <c r="F204" s="57"/>
      <c r="G204" s="57"/>
      <c r="H204" s="20"/>
      <c r="I204" s="20"/>
      <c r="J204" s="20"/>
      <c r="K204" s="20"/>
      <c r="L204" s="20"/>
      <c r="M204" s="20"/>
      <c r="N204" s="20"/>
      <c r="O204" s="20"/>
      <c r="P204" s="20"/>
      <c r="Q204" s="20"/>
      <c r="R204" s="20"/>
      <c r="S204" s="20"/>
      <c r="T204" s="20"/>
      <c r="U204" s="20"/>
      <c r="V204" s="20"/>
      <c r="W204" s="20"/>
      <c r="X204" s="20"/>
      <c r="Y204" s="20"/>
      <c r="Z204" s="20"/>
      <c r="AA204" s="20"/>
    </row>
    <row r="205" spans="1:27" ht="17.25" customHeight="1">
      <c r="A205" s="57"/>
      <c r="B205" s="57"/>
      <c r="C205" s="57"/>
      <c r="D205" s="57"/>
      <c r="E205" s="57"/>
      <c r="F205" s="57"/>
      <c r="G205" s="57"/>
      <c r="H205" s="20"/>
      <c r="I205" s="20"/>
      <c r="J205" s="20"/>
      <c r="K205" s="20"/>
      <c r="L205" s="20"/>
      <c r="M205" s="20"/>
      <c r="N205" s="20"/>
      <c r="O205" s="20"/>
      <c r="P205" s="20"/>
      <c r="Q205" s="20"/>
      <c r="R205" s="20"/>
      <c r="S205" s="20"/>
      <c r="T205" s="20"/>
      <c r="U205" s="20"/>
      <c r="V205" s="20"/>
      <c r="W205" s="20"/>
      <c r="X205" s="20"/>
      <c r="Y205" s="20"/>
      <c r="Z205" s="20"/>
      <c r="AA205" s="20"/>
    </row>
    <row r="206" spans="1:27" ht="17.25" customHeight="1">
      <c r="A206" s="57"/>
      <c r="B206" s="57"/>
      <c r="C206" s="57"/>
      <c r="D206" s="57"/>
      <c r="E206" s="57"/>
      <c r="F206" s="57"/>
      <c r="G206" s="57"/>
      <c r="H206" s="20"/>
      <c r="I206" s="20"/>
      <c r="J206" s="20"/>
      <c r="K206" s="20"/>
      <c r="L206" s="20"/>
      <c r="M206" s="20"/>
      <c r="N206" s="20"/>
      <c r="O206" s="20"/>
      <c r="P206" s="20"/>
      <c r="Q206" s="20"/>
      <c r="R206" s="20"/>
      <c r="S206" s="20"/>
      <c r="T206" s="20"/>
      <c r="U206" s="20"/>
      <c r="V206" s="20"/>
      <c r="W206" s="20"/>
      <c r="X206" s="20"/>
      <c r="Y206" s="20"/>
      <c r="Z206" s="20"/>
      <c r="AA206" s="20"/>
    </row>
    <row r="207" spans="1:27" ht="17.25" customHeight="1">
      <c r="A207" s="57"/>
      <c r="B207" s="57"/>
      <c r="C207" s="57"/>
      <c r="D207" s="57"/>
      <c r="E207" s="57"/>
      <c r="F207" s="57"/>
      <c r="G207" s="57"/>
      <c r="H207" s="20"/>
      <c r="I207" s="20"/>
      <c r="J207" s="20"/>
      <c r="K207" s="20"/>
      <c r="L207" s="20"/>
      <c r="M207" s="20"/>
      <c r="N207" s="20"/>
      <c r="O207" s="20"/>
      <c r="P207" s="20"/>
      <c r="Q207" s="20"/>
      <c r="R207" s="20"/>
      <c r="S207" s="20"/>
      <c r="T207" s="20"/>
      <c r="U207" s="20"/>
      <c r="V207" s="20"/>
      <c r="W207" s="20"/>
      <c r="X207" s="20"/>
      <c r="Y207" s="20"/>
      <c r="Z207" s="20"/>
      <c r="AA207" s="20"/>
    </row>
    <row r="208" spans="1:27" ht="17.25" customHeight="1">
      <c r="A208" s="57"/>
      <c r="B208" s="57"/>
      <c r="C208" s="57"/>
      <c r="D208" s="57"/>
      <c r="E208" s="57"/>
      <c r="F208" s="57"/>
      <c r="G208" s="57"/>
      <c r="H208" s="20"/>
      <c r="I208" s="20"/>
      <c r="J208" s="20"/>
      <c r="K208" s="20"/>
      <c r="L208" s="20"/>
      <c r="M208" s="20"/>
      <c r="N208" s="20"/>
      <c r="O208" s="20"/>
      <c r="P208" s="20"/>
      <c r="Q208" s="20"/>
      <c r="R208" s="20"/>
      <c r="S208" s="20"/>
      <c r="T208" s="20"/>
      <c r="U208" s="20"/>
      <c r="V208" s="20"/>
      <c r="W208" s="20"/>
      <c r="X208" s="20"/>
      <c r="Y208" s="20"/>
      <c r="Z208" s="20"/>
      <c r="AA208" s="20"/>
    </row>
    <row r="209" spans="1:27" ht="17.25" customHeight="1">
      <c r="A209" s="57"/>
      <c r="B209" s="57"/>
      <c r="C209" s="57"/>
      <c r="D209" s="57"/>
      <c r="E209" s="57"/>
      <c r="F209" s="57"/>
      <c r="G209" s="57"/>
      <c r="H209" s="20"/>
      <c r="I209" s="20"/>
      <c r="J209" s="20"/>
      <c r="K209" s="20"/>
      <c r="L209" s="20"/>
      <c r="M209" s="20"/>
      <c r="N209" s="20"/>
      <c r="O209" s="20"/>
      <c r="P209" s="20"/>
      <c r="Q209" s="20"/>
      <c r="R209" s="20"/>
      <c r="S209" s="20"/>
      <c r="T209" s="20"/>
      <c r="U209" s="20"/>
      <c r="V209" s="20"/>
      <c r="W209" s="20"/>
      <c r="X209" s="20"/>
      <c r="Y209" s="20"/>
      <c r="Z209" s="20"/>
      <c r="AA209" s="20"/>
    </row>
    <row r="210" spans="1:27" ht="17.25" customHeight="1">
      <c r="A210" s="57"/>
      <c r="B210" s="57"/>
      <c r="C210" s="57"/>
      <c r="D210" s="57"/>
      <c r="E210" s="57"/>
      <c r="F210" s="57"/>
      <c r="G210" s="57"/>
      <c r="H210" s="20"/>
      <c r="I210" s="20"/>
      <c r="J210" s="20"/>
      <c r="K210" s="20"/>
      <c r="L210" s="20"/>
      <c r="M210" s="20"/>
      <c r="N210" s="20"/>
      <c r="O210" s="20"/>
      <c r="P210" s="20"/>
      <c r="Q210" s="20"/>
      <c r="R210" s="20"/>
      <c r="S210" s="20"/>
      <c r="T210" s="20"/>
      <c r="U210" s="20"/>
      <c r="V210" s="20"/>
      <c r="W210" s="20"/>
      <c r="X210" s="20"/>
      <c r="Y210" s="20"/>
      <c r="Z210" s="20"/>
      <c r="AA210" s="20"/>
    </row>
    <row r="211" spans="1:27" ht="17.25" customHeight="1">
      <c r="A211" s="57"/>
      <c r="B211" s="57"/>
      <c r="C211" s="57"/>
      <c r="D211" s="57"/>
      <c r="E211" s="57"/>
      <c r="F211" s="57"/>
      <c r="G211" s="57"/>
      <c r="H211" s="20"/>
      <c r="I211" s="20"/>
      <c r="J211" s="20"/>
      <c r="K211" s="20"/>
      <c r="L211" s="20"/>
      <c r="M211" s="20"/>
      <c r="N211" s="20"/>
      <c r="O211" s="20"/>
      <c r="P211" s="20"/>
      <c r="Q211" s="20"/>
      <c r="R211" s="20"/>
      <c r="S211" s="20"/>
      <c r="T211" s="20"/>
      <c r="U211" s="20"/>
      <c r="V211" s="20"/>
      <c r="W211" s="20"/>
      <c r="X211" s="20"/>
      <c r="Y211" s="20"/>
      <c r="Z211" s="20"/>
      <c r="AA211" s="20"/>
    </row>
    <row r="212" spans="1:27" ht="17.25" customHeight="1">
      <c r="A212" s="57"/>
      <c r="B212" s="57"/>
      <c r="C212" s="57"/>
      <c r="D212" s="57"/>
      <c r="E212" s="57"/>
      <c r="F212" s="57"/>
      <c r="G212" s="57"/>
      <c r="H212" s="20"/>
      <c r="I212" s="20"/>
      <c r="J212" s="20"/>
      <c r="K212" s="20"/>
      <c r="L212" s="20"/>
      <c r="M212" s="20"/>
      <c r="N212" s="20"/>
      <c r="O212" s="20"/>
      <c r="P212" s="20"/>
      <c r="Q212" s="20"/>
      <c r="R212" s="20"/>
      <c r="S212" s="20"/>
      <c r="T212" s="20"/>
      <c r="U212" s="20"/>
      <c r="V212" s="20"/>
      <c r="W212" s="20"/>
      <c r="X212" s="20"/>
      <c r="Y212" s="20"/>
      <c r="Z212" s="20"/>
      <c r="AA212" s="20"/>
    </row>
    <row r="213" spans="1:27" ht="17.25" customHeight="1">
      <c r="A213" s="57"/>
      <c r="B213" s="57"/>
      <c r="C213" s="57"/>
      <c r="D213" s="57"/>
      <c r="E213" s="57"/>
      <c r="F213" s="57"/>
      <c r="G213" s="57"/>
      <c r="H213" s="20"/>
      <c r="I213" s="20"/>
      <c r="J213" s="20"/>
      <c r="K213" s="20"/>
      <c r="L213" s="20"/>
      <c r="M213" s="20"/>
      <c r="N213" s="20"/>
      <c r="O213" s="20"/>
      <c r="P213" s="20"/>
      <c r="Q213" s="20"/>
      <c r="R213" s="20"/>
      <c r="S213" s="20"/>
      <c r="T213" s="20"/>
      <c r="U213" s="20"/>
      <c r="V213" s="20"/>
      <c r="W213" s="20"/>
      <c r="X213" s="20"/>
      <c r="Y213" s="20"/>
      <c r="Z213" s="20"/>
      <c r="AA213" s="20"/>
    </row>
    <row r="214" spans="1:27" ht="17.25" customHeight="1">
      <c r="A214" s="57"/>
      <c r="B214" s="57"/>
      <c r="C214" s="57"/>
      <c r="D214" s="57"/>
      <c r="E214" s="57"/>
      <c r="F214" s="57"/>
      <c r="G214" s="57"/>
      <c r="H214" s="20"/>
      <c r="I214" s="20"/>
      <c r="J214" s="20"/>
      <c r="K214" s="20"/>
      <c r="L214" s="20"/>
      <c r="M214" s="20"/>
      <c r="N214" s="20"/>
      <c r="O214" s="20"/>
      <c r="P214" s="20"/>
      <c r="Q214" s="20"/>
      <c r="R214" s="20"/>
      <c r="S214" s="20"/>
      <c r="T214" s="20"/>
      <c r="U214" s="20"/>
      <c r="V214" s="20"/>
      <c r="W214" s="20"/>
      <c r="X214" s="20"/>
      <c r="Y214" s="20"/>
      <c r="Z214" s="20"/>
      <c r="AA214" s="20"/>
    </row>
    <row r="215" spans="1:27" ht="17.25" customHeight="1">
      <c r="A215" s="57"/>
      <c r="B215" s="57"/>
      <c r="C215" s="57"/>
      <c r="D215" s="57"/>
      <c r="E215" s="57"/>
      <c r="F215" s="57"/>
      <c r="G215" s="57"/>
      <c r="H215" s="20"/>
      <c r="I215" s="20"/>
      <c r="J215" s="20"/>
      <c r="K215" s="20"/>
      <c r="L215" s="20"/>
      <c r="M215" s="20"/>
      <c r="N215" s="20"/>
      <c r="O215" s="20"/>
      <c r="P215" s="20"/>
      <c r="Q215" s="20"/>
      <c r="R215" s="20"/>
      <c r="S215" s="20"/>
      <c r="T215" s="20"/>
      <c r="U215" s="20"/>
      <c r="V215" s="20"/>
      <c r="W215" s="20"/>
      <c r="X215" s="20"/>
      <c r="Y215" s="20"/>
      <c r="Z215" s="20"/>
      <c r="AA215" s="20"/>
    </row>
    <row r="216" spans="1:27" ht="17.25" customHeight="1">
      <c r="A216" s="57"/>
      <c r="B216" s="57"/>
      <c r="C216" s="57"/>
      <c r="D216" s="57"/>
      <c r="E216" s="57"/>
      <c r="F216" s="57"/>
      <c r="G216" s="57"/>
      <c r="H216" s="20"/>
      <c r="I216" s="20"/>
      <c r="J216" s="20"/>
      <c r="K216" s="20"/>
      <c r="L216" s="20"/>
      <c r="M216" s="20"/>
      <c r="N216" s="20"/>
      <c r="O216" s="20"/>
      <c r="P216" s="20"/>
      <c r="Q216" s="20"/>
      <c r="R216" s="20"/>
      <c r="S216" s="20"/>
      <c r="T216" s="20"/>
      <c r="U216" s="20"/>
      <c r="V216" s="20"/>
      <c r="W216" s="20"/>
      <c r="X216" s="20"/>
      <c r="Y216" s="20"/>
      <c r="Z216" s="20"/>
      <c r="AA216" s="20"/>
    </row>
    <row r="217" spans="1:27" ht="17.25" customHeight="1">
      <c r="A217" s="57"/>
      <c r="B217" s="57"/>
      <c r="C217" s="57"/>
      <c r="D217" s="57"/>
      <c r="E217" s="57"/>
      <c r="F217" s="57"/>
      <c r="G217" s="57"/>
      <c r="H217" s="20"/>
      <c r="I217" s="20"/>
      <c r="J217" s="20"/>
      <c r="K217" s="20"/>
      <c r="L217" s="20"/>
      <c r="M217" s="20"/>
      <c r="N217" s="20"/>
      <c r="O217" s="20"/>
      <c r="P217" s="20"/>
      <c r="Q217" s="20"/>
      <c r="R217" s="20"/>
      <c r="S217" s="20"/>
      <c r="T217" s="20"/>
      <c r="U217" s="20"/>
      <c r="V217" s="20"/>
      <c r="W217" s="20"/>
      <c r="X217" s="20"/>
      <c r="Y217" s="20"/>
      <c r="Z217" s="20"/>
      <c r="AA217" s="20"/>
    </row>
    <row r="218" spans="1:27" ht="17.25" customHeight="1">
      <c r="A218" s="57"/>
      <c r="B218" s="57"/>
      <c r="C218" s="57"/>
      <c r="D218" s="57"/>
      <c r="E218" s="57"/>
      <c r="F218" s="57"/>
      <c r="G218" s="57"/>
      <c r="H218" s="20"/>
      <c r="I218" s="20"/>
      <c r="J218" s="20"/>
      <c r="K218" s="20"/>
      <c r="L218" s="20"/>
      <c r="M218" s="20"/>
      <c r="N218" s="20"/>
      <c r="O218" s="20"/>
      <c r="P218" s="20"/>
      <c r="Q218" s="20"/>
      <c r="R218" s="20"/>
      <c r="S218" s="20"/>
      <c r="T218" s="20"/>
      <c r="U218" s="20"/>
      <c r="V218" s="20"/>
      <c r="W218" s="20"/>
      <c r="X218" s="20"/>
      <c r="Y218" s="20"/>
      <c r="Z218" s="20"/>
      <c r="AA218" s="20"/>
    </row>
    <row r="219" spans="1:27" ht="17.25" customHeight="1">
      <c r="A219" s="57"/>
      <c r="B219" s="57"/>
      <c r="C219" s="57"/>
      <c r="D219" s="57"/>
      <c r="E219" s="57"/>
      <c r="F219" s="57"/>
      <c r="G219" s="57"/>
      <c r="H219" s="20"/>
      <c r="I219" s="20"/>
      <c r="J219" s="20"/>
      <c r="K219" s="20"/>
      <c r="L219" s="20"/>
      <c r="M219" s="20"/>
      <c r="N219" s="20"/>
      <c r="O219" s="20"/>
      <c r="P219" s="20"/>
      <c r="Q219" s="20"/>
      <c r="R219" s="20"/>
      <c r="S219" s="20"/>
      <c r="T219" s="20"/>
      <c r="U219" s="20"/>
      <c r="V219" s="20"/>
      <c r="W219" s="20"/>
      <c r="X219" s="20"/>
      <c r="Y219" s="20"/>
      <c r="Z219" s="20"/>
      <c r="AA219" s="20"/>
    </row>
    <row r="220" spans="1:27" ht="17.25" customHeight="1">
      <c r="A220" s="57"/>
      <c r="B220" s="57"/>
      <c r="C220" s="57"/>
      <c r="D220" s="57"/>
      <c r="E220" s="57"/>
      <c r="F220" s="57"/>
      <c r="G220" s="57"/>
      <c r="H220" s="20"/>
      <c r="I220" s="20"/>
      <c r="J220" s="20"/>
      <c r="K220" s="20"/>
      <c r="L220" s="20"/>
      <c r="M220" s="20"/>
      <c r="N220" s="20"/>
      <c r="O220" s="20"/>
      <c r="P220" s="20"/>
      <c r="Q220" s="20"/>
      <c r="R220" s="20"/>
      <c r="S220" s="20"/>
      <c r="T220" s="20"/>
      <c r="U220" s="20"/>
      <c r="V220" s="20"/>
      <c r="W220" s="20"/>
      <c r="X220" s="20"/>
      <c r="Y220" s="20"/>
      <c r="Z220" s="20"/>
      <c r="AA220" s="20"/>
    </row>
    <row r="221" spans="1:27" ht="17.25" customHeight="1">
      <c r="A221" s="57"/>
      <c r="B221" s="57"/>
      <c r="C221" s="57"/>
      <c r="D221" s="57"/>
      <c r="E221" s="57"/>
      <c r="F221" s="57"/>
      <c r="G221" s="57"/>
      <c r="H221" s="20"/>
      <c r="I221" s="20"/>
      <c r="J221" s="20"/>
      <c r="K221" s="20"/>
      <c r="L221" s="20"/>
      <c r="M221" s="20"/>
      <c r="N221" s="20"/>
      <c r="O221" s="20"/>
      <c r="P221" s="20"/>
      <c r="Q221" s="20"/>
      <c r="R221" s="20"/>
      <c r="S221" s="20"/>
      <c r="T221" s="20"/>
      <c r="U221" s="20"/>
      <c r="V221" s="20"/>
      <c r="W221" s="20"/>
      <c r="X221" s="20"/>
      <c r="Y221" s="20"/>
      <c r="Z221" s="20"/>
      <c r="AA221" s="20"/>
    </row>
    <row r="222" spans="1:27" ht="17.25" customHeight="1">
      <c r="A222" s="57"/>
      <c r="B222" s="57"/>
      <c r="C222" s="57"/>
      <c r="D222" s="57"/>
      <c r="E222" s="57"/>
      <c r="F222" s="57"/>
      <c r="G222" s="57"/>
      <c r="H222" s="20"/>
      <c r="I222" s="20"/>
      <c r="J222" s="20"/>
      <c r="K222" s="20"/>
      <c r="L222" s="20"/>
      <c r="M222" s="20"/>
      <c r="N222" s="20"/>
      <c r="O222" s="20"/>
      <c r="P222" s="20"/>
      <c r="Q222" s="20"/>
      <c r="R222" s="20"/>
      <c r="S222" s="20"/>
      <c r="T222" s="20"/>
      <c r="U222" s="20"/>
      <c r="V222" s="20"/>
      <c r="W222" s="20"/>
      <c r="X222" s="20"/>
      <c r="Y222" s="20"/>
      <c r="Z222" s="20"/>
      <c r="AA222" s="20"/>
    </row>
    <row r="223" spans="1:27" ht="17.25" customHeight="1">
      <c r="A223" s="57"/>
      <c r="B223" s="57"/>
      <c r="C223" s="57"/>
      <c r="D223" s="57"/>
      <c r="E223" s="57"/>
      <c r="F223" s="57"/>
      <c r="G223" s="57"/>
      <c r="H223" s="20"/>
      <c r="I223" s="20"/>
      <c r="J223" s="20"/>
      <c r="K223" s="20"/>
      <c r="L223" s="20"/>
      <c r="M223" s="20"/>
      <c r="N223" s="20"/>
      <c r="O223" s="20"/>
      <c r="P223" s="20"/>
      <c r="Q223" s="20"/>
      <c r="R223" s="20"/>
      <c r="S223" s="20"/>
      <c r="T223" s="20"/>
      <c r="U223" s="20"/>
      <c r="V223" s="20"/>
      <c r="W223" s="20"/>
      <c r="X223" s="20"/>
      <c r="Y223" s="20"/>
      <c r="Z223" s="20"/>
      <c r="AA223" s="20"/>
    </row>
    <row r="224" spans="1:27" ht="17.25" customHeight="1">
      <c r="A224" s="57"/>
      <c r="B224" s="57"/>
      <c r="C224" s="57"/>
      <c r="D224" s="57"/>
      <c r="E224" s="57"/>
      <c r="F224" s="57"/>
      <c r="G224" s="57"/>
      <c r="H224" s="20"/>
      <c r="I224" s="20"/>
      <c r="J224" s="20"/>
      <c r="K224" s="20"/>
      <c r="L224" s="20"/>
      <c r="M224" s="20"/>
      <c r="N224" s="20"/>
      <c r="O224" s="20"/>
      <c r="P224" s="20"/>
      <c r="Q224" s="20"/>
      <c r="R224" s="20"/>
      <c r="S224" s="20"/>
      <c r="T224" s="20"/>
      <c r="U224" s="20"/>
      <c r="V224" s="20"/>
      <c r="W224" s="20"/>
      <c r="X224" s="20"/>
      <c r="Y224" s="20"/>
      <c r="Z224" s="20"/>
      <c r="AA224" s="20"/>
    </row>
    <row r="225" spans="1:27" ht="17.25" customHeight="1">
      <c r="A225" s="57"/>
      <c r="B225" s="57"/>
      <c r="C225" s="57"/>
      <c r="D225" s="57"/>
      <c r="E225" s="57"/>
      <c r="F225" s="57"/>
      <c r="G225" s="57"/>
      <c r="H225" s="20"/>
      <c r="I225" s="20"/>
      <c r="J225" s="20"/>
      <c r="K225" s="20"/>
      <c r="L225" s="20"/>
      <c r="M225" s="20"/>
      <c r="N225" s="20"/>
      <c r="O225" s="20"/>
      <c r="P225" s="20"/>
      <c r="Q225" s="20"/>
      <c r="R225" s="20"/>
      <c r="S225" s="20"/>
      <c r="T225" s="20"/>
      <c r="U225" s="20"/>
      <c r="V225" s="20"/>
      <c r="W225" s="20"/>
      <c r="X225" s="20"/>
      <c r="Y225" s="20"/>
      <c r="Z225" s="20"/>
      <c r="AA225" s="20"/>
    </row>
    <row r="226" spans="1:27" ht="17.25" customHeight="1">
      <c r="A226" s="57"/>
      <c r="B226" s="57"/>
      <c r="C226" s="57"/>
      <c r="D226" s="57"/>
      <c r="E226" s="57"/>
      <c r="F226" s="57"/>
      <c r="G226" s="57"/>
      <c r="H226" s="20"/>
      <c r="I226" s="20"/>
      <c r="J226" s="20"/>
      <c r="K226" s="20"/>
      <c r="L226" s="20"/>
      <c r="M226" s="20"/>
      <c r="N226" s="20"/>
      <c r="O226" s="20"/>
      <c r="P226" s="20"/>
      <c r="Q226" s="20"/>
      <c r="R226" s="20"/>
      <c r="S226" s="20"/>
      <c r="T226" s="20"/>
      <c r="U226" s="20"/>
      <c r="V226" s="20"/>
      <c r="W226" s="20"/>
      <c r="X226" s="20"/>
      <c r="Y226" s="20"/>
      <c r="Z226" s="20"/>
      <c r="AA226" s="20"/>
    </row>
    <row r="227" spans="1:27" ht="17.25" customHeight="1">
      <c r="A227" s="57"/>
      <c r="B227" s="57"/>
      <c r="C227" s="57"/>
      <c r="D227" s="57"/>
      <c r="E227" s="57"/>
      <c r="F227" s="57"/>
      <c r="G227" s="57"/>
      <c r="H227" s="20"/>
      <c r="I227" s="20"/>
      <c r="J227" s="20"/>
      <c r="K227" s="20"/>
      <c r="L227" s="20"/>
      <c r="M227" s="20"/>
      <c r="N227" s="20"/>
      <c r="O227" s="20"/>
      <c r="P227" s="20"/>
      <c r="Q227" s="20"/>
      <c r="R227" s="20"/>
      <c r="S227" s="20"/>
      <c r="T227" s="20"/>
      <c r="U227" s="20"/>
      <c r="V227" s="20"/>
      <c r="W227" s="20"/>
      <c r="X227" s="20"/>
      <c r="Y227" s="20"/>
      <c r="Z227" s="20"/>
      <c r="AA227" s="20"/>
    </row>
    <row r="228" spans="1:27" ht="17.25" customHeight="1">
      <c r="A228" s="57"/>
      <c r="B228" s="57"/>
      <c r="C228" s="57"/>
      <c r="D228" s="57"/>
      <c r="E228" s="57"/>
      <c r="F228" s="57"/>
      <c r="G228" s="57"/>
      <c r="H228" s="20"/>
      <c r="I228" s="20"/>
      <c r="J228" s="20"/>
      <c r="K228" s="20"/>
      <c r="L228" s="20"/>
      <c r="M228" s="20"/>
      <c r="N228" s="20"/>
      <c r="O228" s="20"/>
      <c r="P228" s="20"/>
      <c r="Q228" s="20"/>
      <c r="R228" s="20"/>
      <c r="S228" s="20"/>
      <c r="T228" s="20"/>
      <c r="U228" s="20"/>
      <c r="V228" s="20"/>
      <c r="W228" s="20"/>
      <c r="X228" s="20"/>
      <c r="Y228" s="20"/>
      <c r="Z228" s="20"/>
      <c r="AA228" s="20"/>
    </row>
    <row r="229" spans="1:27" ht="17.25" customHeight="1">
      <c r="A229" s="57"/>
      <c r="B229" s="57"/>
      <c r="C229" s="57"/>
      <c r="D229" s="57"/>
      <c r="E229" s="57"/>
      <c r="F229" s="57"/>
      <c r="G229" s="57"/>
      <c r="H229" s="20"/>
      <c r="I229" s="20"/>
      <c r="J229" s="20"/>
      <c r="K229" s="20"/>
      <c r="L229" s="20"/>
      <c r="M229" s="20"/>
      <c r="N229" s="20"/>
      <c r="O229" s="20"/>
      <c r="P229" s="20"/>
      <c r="Q229" s="20"/>
      <c r="R229" s="20"/>
      <c r="S229" s="20"/>
      <c r="T229" s="20"/>
      <c r="U229" s="20"/>
      <c r="V229" s="20"/>
      <c r="W229" s="20"/>
      <c r="X229" s="20"/>
      <c r="Y229" s="20"/>
      <c r="Z229" s="20"/>
      <c r="AA229" s="20"/>
    </row>
    <row r="230" spans="1:27" ht="17.25" customHeight="1">
      <c r="A230" s="57"/>
      <c r="B230" s="57"/>
      <c r="C230" s="57"/>
      <c r="D230" s="57"/>
      <c r="E230" s="57"/>
      <c r="F230" s="57"/>
      <c r="G230" s="57"/>
      <c r="H230" s="20"/>
      <c r="I230" s="20"/>
      <c r="J230" s="20"/>
      <c r="K230" s="20"/>
      <c r="L230" s="20"/>
      <c r="M230" s="20"/>
      <c r="N230" s="20"/>
      <c r="O230" s="20"/>
      <c r="P230" s="20"/>
      <c r="Q230" s="20"/>
      <c r="R230" s="20"/>
      <c r="S230" s="20"/>
      <c r="T230" s="20"/>
      <c r="U230" s="20"/>
      <c r="V230" s="20"/>
      <c r="W230" s="20"/>
      <c r="X230" s="20"/>
      <c r="Y230" s="20"/>
      <c r="Z230" s="20"/>
      <c r="AA230" s="20"/>
    </row>
    <row r="231" spans="1:27" ht="17.25" customHeight="1">
      <c r="A231" s="57"/>
      <c r="B231" s="57"/>
      <c r="C231" s="57"/>
      <c r="D231" s="57"/>
      <c r="E231" s="57"/>
      <c r="F231" s="57"/>
      <c r="G231" s="57"/>
      <c r="H231" s="20"/>
      <c r="I231" s="20"/>
      <c r="J231" s="20"/>
      <c r="K231" s="20"/>
      <c r="L231" s="20"/>
      <c r="M231" s="20"/>
      <c r="N231" s="20"/>
      <c r="O231" s="20"/>
      <c r="P231" s="20"/>
      <c r="Q231" s="20"/>
      <c r="R231" s="20"/>
      <c r="S231" s="20"/>
      <c r="T231" s="20"/>
      <c r="U231" s="20"/>
      <c r="V231" s="20"/>
      <c r="W231" s="20"/>
      <c r="X231" s="20"/>
      <c r="Y231" s="20"/>
      <c r="Z231" s="20"/>
      <c r="AA231" s="20"/>
    </row>
    <row r="232" spans="1:27" ht="17.25" customHeight="1">
      <c r="A232" s="57"/>
      <c r="B232" s="57"/>
      <c r="C232" s="57"/>
      <c r="D232" s="57"/>
      <c r="E232" s="57"/>
      <c r="F232" s="57"/>
      <c r="G232" s="57"/>
      <c r="H232" s="20"/>
      <c r="I232" s="20"/>
      <c r="J232" s="20"/>
      <c r="K232" s="20"/>
      <c r="L232" s="20"/>
      <c r="M232" s="20"/>
      <c r="N232" s="20"/>
      <c r="O232" s="20"/>
      <c r="P232" s="20"/>
      <c r="Q232" s="20"/>
      <c r="R232" s="20"/>
      <c r="S232" s="20"/>
      <c r="T232" s="20"/>
      <c r="U232" s="20"/>
      <c r="V232" s="20"/>
      <c r="W232" s="20"/>
      <c r="X232" s="20"/>
      <c r="Y232" s="20"/>
      <c r="Z232" s="20"/>
      <c r="AA232" s="20"/>
    </row>
    <row r="233" spans="1:27" ht="17.25" customHeight="1">
      <c r="A233" s="57"/>
      <c r="B233" s="57"/>
      <c r="C233" s="57"/>
      <c r="D233" s="57"/>
      <c r="E233" s="57"/>
      <c r="F233" s="57"/>
      <c r="G233" s="57"/>
      <c r="H233" s="20"/>
      <c r="I233" s="20"/>
      <c r="J233" s="20"/>
      <c r="K233" s="20"/>
      <c r="L233" s="20"/>
      <c r="M233" s="20"/>
      <c r="N233" s="20"/>
      <c r="O233" s="20"/>
      <c r="P233" s="20"/>
      <c r="Q233" s="20"/>
      <c r="R233" s="20"/>
      <c r="S233" s="20"/>
      <c r="T233" s="20"/>
      <c r="U233" s="20"/>
      <c r="V233" s="20"/>
      <c r="W233" s="20"/>
      <c r="X233" s="20"/>
      <c r="Y233" s="20"/>
      <c r="Z233" s="20"/>
      <c r="AA233" s="20"/>
    </row>
    <row r="234" spans="1:27" ht="17.25" customHeight="1">
      <c r="A234" s="57"/>
      <c r="B234" s="57"/>
      <c r="C234" s="57"/>
      <c r="D234" s="57"/>
      <c r="E234" s="57"/>
      <c r="F234" s="57"/>
      <c r="G234" s="57"/>
      <c r="H234" s="20"/>
      <c r="I234" s="20"/>
      <c r="J234" s="20"/>
      <c r="K234" s="20"/>
      <c r="L234" s="20"/>
      <c r="M234" s="20"/>
      <c r="N234" s="20"/>
      <c r="O234" s="20"/>
      <c r="P234" s="20"/>
      <c r="Q234" s="20"/>
      <c r="R234" s="20"/>
      <c r="S234" s="20"/>
      <c r="T234" s="20"/>
      <c r="U234" s="20"/>
      <c r="V234" s="20"/>
      <c r="W234" s="20"/>
      <c r="X234" s="20"/>
      <c r="Y234" s="20"/>
      <c r="Z234" s="20"/>
      <c r="AA234" s="20"/>
    </row>
    <row r="235" spans="1:27" ht="17.25" customHeight="1">
      <c r="A235" s="57"/>
      <c r="B235" s="57"/>
      <c r="C235" s="57"/>
      <c r="D235" s="57"/>
      <c r="E235" s="57"/>
      <c r="F235" s="57"/>
      <c r="G235" s="57"/>
      <c r="H235" s="20"/>
      <c r="I235" s="20"/>
      <c r="J235" s="20"/>
      <c r="K235" s="20"/>
      <c r="L235" s="20"/>
      <c r="M235" s="20"/>
      <c r="N235" s="20"/>
      <c r="O235" s="20"/>
      <c r="P235" s="20"/>
      <c r="Q235" s="20"/>
      <c r="R235" s="20"/>
      <c r="S235" s="20"/>
      <c r="T235" s="20"/>
      <c r="U235" s="20"/>
      <c r="V235" s="20"/>
      <c r="W235" s="20"/>
      <c r="X235" s="20"/>
      <c r="Y235" s="20"/>
      <c r="Z235" s="20"/>
      <c r="AA235" s="20"/>
    </row>
    <row r="236" spans="1:27" ht="17.25" customHeight="1">
      <c r="A236" s="57"/>
      <c r="B236" s="57"/>
      <c r="C236" s="57"/>
      <c r="D236" s="57"/>
      <c r="E236" s="57"/>
      <c r="F236" s="57"/>
      <c r="G236" s="57"/>
      <c r="H236" s="20"/>
      <c r="I236" s="20"/>
      <c r="J236" s="20"/>
      <c r="K236" s="20"/>
      <c r="L236" s="20"/>
      <c r="M236" s="20"/>
      <c r="N236" s="20"/>
      <c r="O236" s="20"/>
      <c r="P236" s="20"/>
      <c r="Q236" s="20"/>
      <c r="R236" s="20"/>
      <c r="S236" s="20"/>
      <c r="T236" s="20"/>
      <c r="U236" s="20"/>
      <c r="V236" s="20"/>
      <c r="W236" s="20"/>
      <c r="X236" s="20"/>
      <c r="Y236" s="20"/>
      <c r="Z236" s="20"/>
      <c r="AA236" s="20"/>
    </row>
    <row r="237" spans="1:27" ht="17.25" customHeight="1">
      <c r="A237" s="57"/>
      <c r="B237" s="57"/>
      <c r="C237" s="57"/>
      <c r="D237" s="57"/>
      <c r="E237" s="57"/>
      <c r="F237" s="57"/>
      <c r="G237" s="57"/>
      <c r="H237" s="20"/>
      <c r="I237" s="20"/>
      <c r="J237" s="20"/>
      <c r="K237" s="20"/>
      <c r="L237" s="20"/>
      <c r="M237" s="20"/>
      <c r="N237" s="20"/>
      <c r="O237" s="20"/>
      <c r="P237" s="20"/>
      <c r="Q237" s="20"/>
      <c r="R237" s="20"/>
      <c r="S237" s="20"/>
      <c r="T237" s="20"/>
      <c r="U237" s="20"/>
      <c r="V237" s="20"/>
      <c r="W237" s="20"/>
      <c r="X237" s="20"/>
      <c r="Y237" s="20"/>
      <c r="Z237" s="20"/>
      <c r="AA237" s="20"/>
    </row>
    <row r="238" spans="1:27" ht="17.25" customHeight="1">
      <c r="A238" s="57"/>
      <c r="B238" s="57"/>
      <c r="C238" s="57"/>
      <c r="D238" s="57"/>
      <c r="E238" s="57"/>
      <c r="F238" s="57"/>
      <c r="G238" s="57"/>
      <c r="H238" s="20"/>
      <c r="I238" s="20"/>
      <c r="J238" s="20"/>
      <c r="K238" s="20"/>
      <c r="L238" s="20"/>
      <c r="M238" s="20"/>
      <c r="N238" s="20"/>
      <c r="O238" s="20"/>
      <c r="P238" s="20"/>
      <c r="Q238" s="20"/>
      <c r="R238" s="20"/>
      <c r="S238" s="20"/>
      <c r="T238" s="20"/>
      <c r="U238" s="20"/>
      <c r="V238" s="20"/>
      <c r="W238" s="20"/>
      <c r="X238" s="20"/>
      <c r="Y238" s="20"/>
      <c r="Z238" s="20"/>
      <c r="AA238" s="20"/>
    </row>
    <row r="239" spans="1:27" ht="17.25" customHeight="1">
      <c r="A239" s="57"/>
      <c r="B239" s="57"/>
      <c r="C239" s="57"/>
      <c r="D239" s="57"/>
      <c r="E239" s="57"/>
      <c r="F239" s="57"/>
      <c r="G239" s="57"/>
      <c r="H239" s="20"/>
      <c r="I239" s="20"/>
      <c r="J239" s="20"/>
      <c r="K239" s="20"/>
      <c r="L239" s="20"/>
      <c r="M239" s="20"/>
      <c r="N239" s="20"/>
      <c r="O239" s="20"/>
      <c r="P239" s="20"/>
      <c r="Q239" s="20"/>
      <c r="R239" s="20"/>
      <c r="S239" s="20"/>
      <c r="T239" s="20"/>
      <c r="U239" s="20"/>
      <c r="V239" s="20"/>
      <c r="W239" s="20"/>
      <c r="X239" s="20"/>
      <c r="Y239" s="20"/>
      <c r="Z239" s="20"/>
      <c r="AA239" s="20"/>
    </row>
    <row r="240" spans="1:27" ht="17.25" customHeight="1">
      <c r="A240" s="57"/>
      <c r="B240" s="57"/>
      <c r="C240" s="57"/>
      <c r="D240" s="57"/>
      <c r="E240" s="57"/>
      <c r="F240" s="57"/>
      <c r="G240" s="57"/>
      <c r="H240" s="20"/>
      <c r="I240" s="20"/>
      <c r="J240" s="20"/>
      <c r="K240" s="20"/>
      <c r="L240" s="20"/>
      <c r="M240" s="20"/>
      <c r="N240" s="20"/>
      <c r="O240" s="20"/>
      <c r="P240" s="20"/>
      <c r="Q240" s="20"/>
      <c r="R240" s="20"/>
      <c r="S240" s="20"/>
      <c r="T240" s="20"/>
      <c r="U240" s="20"/>
      <c r="V240" s="20"/>
      <c r="W240" s="20"/>
      <c r="X240" s="20"/>
      <c r="Y240" s="20"/>
      <c r="Z240" s="20"/>
      <c r="AA240" s="20"/>
    </row>
    <row r="241" spans="1:27" ht="17.25" customHeight="1">
      <c r="A241" s="57"/>
      <c r="B241" s="57"/>
      <c r="C241" s="57"/>
      <c r="D241" s="57"/>
      <c r="E241" s="57"/>
      <c r="F241" s="57"/>
      <c r="G241" s="57"/>
      <c r="H241" s="20"/>
      <c r="I241" s="20"/>
      <c r="J241" s="20"/>
      <c r="K241" s="20"/>
      <c r="L241" s="20"/>
      <c r="M241" s="20"/>
      <c r="N241" s="20"/>
      <c r="O241" s="20"/>
      <c r="P241" s="20"/>
      <c r="Q241" s="20"/>
      <c r="R241" s="20"/>
      <c r="S241" s="20"/>
      <c r="T241" s="20"/>
      <c r="U241" s="20"/>
      <c r="V241" s="20"/>
      <c r="W241" s="20"/>
      <c r="X241" s="20"/>
      <c r="Y241" s="20"/>
      <c r="Z241" s="20"/>
      <c r="AA241" s="20"/>
    </row>
    <row r="242" spans="1:27" ht="17.25" customHeight="1">
      <c r="A242" s="57"/>
      <c r="B242" s="57"/>
      <c r="C242" s="57"/>
      <c r="D242" s="57"/>
      <c r="E242" s="57"/>
      <c r="F242" s="57"/>
      <c r="G242" s="57"/>
      <c r="H242" s="20"/>
      <c r="I242" s="20"/>
      <c r="J242" s="20"/>
      <c r="K242" s="20"/>
      <c r="L242" s="20"/>
      <c r="M242" s="20"/>
      <c r="N242" s="20"/>
      <c r="O242" s="20"/>
      <c r="P242" s="20"/>
      <c r="Q242" s="20"/>
      <c r="R242" s="20"/>
      <c r="S242" s="20"/>
      <c r="T242" s="20"/>
      <c r="U242" s="20"/>
      <c r="V242" s="20"/>
      <c r="W242" s="20"/>
      <c r="X242" s="20"/>
      <c r="Y242" s="20"/>
      <c r="Z242" s="20"/>
      <c r="AA242" s="20"/>
    </row>
    <row r="243" spans="1:27" ht="17.25" customHeight="1">
      <c r="A243" s="57"/>
      <c r="B243" s="57"/>
      <c r="C243" s="57"/>
      <c r="D243" s="57"/>
      <c r="E243" s="57"/>
      <c r="F243" s="57"/>
      <c r="G243" s="57"/>
      <c r="H243" s="20"/>
      <c r="I243" s="20"/>
      <c r="J243" s="20"/>
      <c r="K243" s="20"/>
      <c r="L243" s="20"/>
      <c r="M243" s="20"/>
      <c r="N243" s="20"/>
      <c r="O243" s="20"/>
      <c r="P243" s="20"/>
      <c r="Q243" s="20"/>
      <c r="R243" s="20"/>
      <c r="S243" s="20"/>
      <c r="T243" s="20"/>
      <c r="U243" s="20"/>
      <c r="V243" s="20"/>
      <c r="W243" s="20"/>
      <c r="X243" s="20"/>
      <c r="Y243" s="20"/>
      <c r="Z243" s="20"/>
      <c r="AA243" s="20"/>
    </row>
    <row r="244" spans="1:27" ht="17.25" customHeight="1">
      <c r="A244" s="57"/>
      <c r="B244" s="57"/>
      <c r="C244" s="57"/>
      <c r="D244" s="57"/>
      <c r="E244" s="57"/>
      <c r="F244" s="57"/>
      <c r="G244" s="57"/>
      <c r="H244" s="20"/>
      <c r="I244" s="20"/>
      <c r="J244" s="20"/>
      <c r="K244" s="20"/>
      <c r="L244" s="20"/>
      <c r="M244" s="20"/>
      <c r="N244" s="20"/>
      <c r="O244" s="20"/>
      <c r="P244" s="20"/>
      <c r="Q244" s="20"/>
      <c r="R244" s="20"/>
      <c r="S244" s="20"/>
      <c r="T244" s="20"/>
      <c r="U244" s="20"/>
      <c r="V244" s="20"/>
      <c r="W244" s="20"/>
      <c r="X244" s="20"/>
      <c r="Y244" s="20"/>
      <c r="Z244" s="20"/>
      <c r="AA244" s="20"/>
    </row>
    <row r="245" spans="1:27" ht="17.25" customHeight="1">
      <c r="A245" s="57"/>
      <c r="B245" s="57"/>
      <c r="C245" s="57"/>
      <c r="D245" s="57"/>
      <c r="E245" s="57"/>
      <c r="F245" s="57"/>
      <c r="G245" s="57"/>
      <c r="H245" s="20"/>
      <c r="I245" s="20"/>
      <c r="J245" s="20"/>
      <c r="K245" s="20"/>
      <c r="L245" s="20"/>
      <c r="M245" s="20"/>
      <c r="N245" s="20"/>
      <c r="O245" s="20"/>
      <c r="P245" s="20"/>
      <c r="Q245" s="20"/>
      <c r="R245" s="20"/>
      <c r="S245" s="20"/>
      <c r="T245" s="20"/>
      <c r="U245" s="20"/>
      <c r="V245" s="20"/>
      <c r="W245" s="20"/>
      <c r="X245" s="20"/>
      <c r="Y245" s="20"/>
      <c r="Z245" s="20"/>
      <c r="AA245" s="20"/>
    </row>
    <row r="246" spans="1:27" ht="17.25" customHeight="1">
      <c r="A246" s="57"/>
      <c r="B246" s="57"/>
      <c r="C246" s="57"/>
      <c r="D246" s="57"/>
      <c r="E246" s="57"/>
      <c r="F246" s="57"/>
      <c r="G246" s="57"/>
      <c r="H246" s="20"/>
      <c r="I246" s="20"/>
      <c r="J246" s="20"/>
      <c r="K246" s="20"/>
      <c r="L246" s="20"/>
      <c r="M246" s="20"/>
      <c r="N246" s="20"/>
      <c r="O246" s="20"/>
      <c r="P246" s="20"/>
      <c r="Q246" s="20"/>
      <c r="R246" s="20"/>
      <c r="S246" s="20"/>
      <c r="T246" s="20"/>
      <c r="U246" s="20"/>
      <c r="V246" s="20"/>
      <c r="W246" s="20"/>
      <c r="X246" s="20"/>
      <c r="Y246" s="20"/>
      <c r="Z246" s="20"/>
      <c r="AA246" s="20"/>
    </row>
    <row r="247" spans="1:27" ht="17.25" customHeight="1">
      <c r="A247" s="57"/>
      <c r="B247" s="57"/>
      <c r="C247" s="57"/>
      <c r="D247" s="57"/>
      <c r="E247" s="57"/>
      <c r="F247" s="57"/>
      <c r="G247" s="57"/>
      <c r="H247" s="20"/>
      <c r="I247" s="20"/>
      <c r="J247" s="20"/>
      <c r="K247" s="20"/>
      <c r="L247" s="20"/>
      <c r="M247" s="20"/>
      <c r="N247" s="20"/>
      <c r="O247" s="20"/>
      <c r="P247" s="20"/>
      <c r="Q247" s="20"/>
      <c r="R247" s="20"/>
      <c r="S247" s="20"/>
      <c r="T247" s="20"/>
      <c r="U247" s="20"/>
      <c r="V247" s="20"/>
      <c r="W247" s="20"/>
      <c r="X247" s="20"/>
      <c r="Y247" s="20"/>
      <c r="Z247" s="20"/>
      <c r="AA247" s="20"/>
    </row>
    <row r="248" spans="1:27" ht="17.25" customHeight="1">
      <c r="A248" s="57"/>
      <c r="B248" s="57"/>
      <c r="C248" s="57"/>
      <c r="D248" s="57"/>
      <c r="E248" s="57"/>
      <c r="F248" s="57"/>
      <c r="G248" s="57"/>
      <c r="H248" s="20"/>
      <c r="I248" s="20"/>
      <c r="J248" s="20"/>
      <c r="K248" s="20"/>
      <c r="L248" s="20"/>
      <c r="M248" s="20"/>
      <c r="N248" s="20"/>
      <c r="O248" s="20"/>
      <c r="P248" s="20"/>
      <c r="Q248" s="20"/>
      <c r="R248" s="20"/>
      <c r="S248" s="20"/>
      <c r="T248" s="20"/>
      <c r="U248" s="20"/>
      <c r="V248" s="20"/>
      <c r="W248" s="20"/>
      <c r="X248" s="20"/>
      <c r="Y248" s="20"/>
      <c r="Z248" s="20"/>
      <c r="AA248" s="20"/>
    </row>
    <row r="249" spans="1:27" ht="17.25" customHeight="1">
      <c r="A249" s="57"/>
      <c r="B249" s="57"/>
      <c r="C249" s="57"/>
      <c r="D249" s="57"/>
      <c r="E249" s="57"/>
      <c r="F249" s="57"/>
      <c r="G249" s="57"/>
      <c r="H249" s="20"/>
      <c r="I249" s="20"/>
      <c r="J249" s="20"/>
      <c r="K249" s="20"/>
      <c r="L249" s="20"/>
      <c r="M249" s="20"/>
      <c r="N249" s="20"/>
      <c r="O249" s="20"/>
      <c r="P249" s="20"/>
      <c r="Q249" s="20"/>
      <c r="R249" s="20"/>
      <c r="S249" s="20"/>
      <c r="T249" s="20"/>
      <c r="U249" s="20"/>
      <c r="V249" s="20"/>
      <c r="W249" s="20"/>
      <c r="X249" s="20"/>
      <c r="Y249" s="20"/>
      <c r="Z249" s="20"/>
      <c r="AA249" s="20"/>
    </row>
    <row r="250" spans="1:27" ht="17.25" customHeight="1">
      <c r="A250" s="57"/>
      <c r="B250" s="57"/>
      <c r="C250" s="57"/>
      <c r="D250" s="57"/>
      <c r="E250" s="57"/>
      <c r="F250" s="57"/>
      <c r="G250" s="57"/>
      <c r="H250" s="20"/>
      <c r="I250" s="20"/>
      <c r="J250" s="20"/>
      <c r="K250" s="20"/>
      <c r="L250" s="20"/>
      <c r="M250" s="20"/>
      <c r="N250" s="20"/>
      <c r="O250" s="20"/>
      <c r="P250" s="20"/>
      <c r="Q250" s="20"/>
      <c r="R250" s="20"/>
      <c r="S250" s="20"/>
      <c r="T250" s="20"/>
      <c r="U250" s="20"/>
      <c r="V250" s="20"/>
      <c r="W250" s="20"/>
      <c r="X250" s="20"/>
      <c r="Y250" s="20"/>
      <c r="Z250" s="20"/>
      <c r="AA250" s="20"/>
    </row>
    <row r="251" spans="1:27" ht="17.25" customHeight="1">
      <c r="A251" s="57"/>
      <c r="B251" s="57"/>
      <c r="C251" s="57"/>
      <c r="D251" s="57"/>
      <c r="E251" s="57"/>
      <c r="F251" s="57"/>
      <c r="G251" s="57"/>
      <c r="H251" s="20"/>
      <c r="I251" s="20"/>
      <c r="J251" s="20"/>
      <c r="K251" s="20"/>
      <c r="L251" s="20"/>
      <c r="M251" s="20"/>
      <c r="N251" s="20"/>
      <c r="O251" s="20"/>
      <c r="P251" s="20"/>
      <c r="Q251" s="20"/>
      <c r="R251" s="20"/>
      <c r="S251" s="20"/>
      <c r="T251" s="20"/>
      <c r="U251" s="20"/>
      <c r="V251" s="20"/>
      <c r="W251" s="20"/>
      <c r="X251" s="20"/>
      <c r="Y251" s="20"/>
      <c r="Z251" s="20"/>
      <c r="AA251" s="20"/>
    </row>
    <row r="252" spans="1:27" ht="17.25" customHeight="1">
      <c r="A252" s="57"/>
      <c r="B252" s="57"/>
      <c r="C252" s="57"/>
      <c r="D252" s="57"/>
      <c r="E252" s="57"/>
      <c r="F252" s="57"/>
      <c r="G252" s="57"/>
      <c r="H252" s="20"/>
      <c r="I252" s="20"/>
      <c r="J252" s="20"/>
      <c r="K252" s="20"/>
      <c r="L252" s="20"/>
      <c r="M252" s="20"/>
      <c r="N252" s="20"/>
      <c r="O252" s="20"/>
      <c r="P252" s="20"/>
      <c r="Q252" s="20"/>
      <c r="R252" s="20"/>
      <c r="S252" s="20"/>
      <c r="T252" s="20"/>
      <c r="U252" s="20"/>
      <c r="V252" s="20"/>
      <c r="W252" s="20"/>
      <c r="X252" s="20"/>
      <c r="Y252" s="20"/>
      <c r="Z252" s="20"/>
      <c r="AA252" s="20"/>
    </row>
    <row r="253" spans="1:27" ht="17.25" customHeight="1">
      <c r="A253" s="57"/>
      <c r="B253" s="57"/>
      <c r="C253" s="57"/>
      <c r="D253" s="57"/>
      <c r="E253" s="57"/>
      <c r="F253" s="57"/>
      <c r="G253" s="57"/>
      <c r="H253" s="20"/>
      <c r="I253" s="20"/>
      <c r="J253" s="20"/>
      <c r="K253" s="20"/>
      <c r="L253" s="20"/>
      <c r="M253" s="20"/>
      <c r="N253" s="20"/>
      <c r="O253" s="20"/>
      <c r="P253" s="20"/>
      <c r="Q253" s="20"/>
      <c r="R253" s="20"/>
      <c r="S253" s="20"/>
      <c r="T253" s="20"/>
      <c r="U253" s="20"/>
      <c r="V253" s="20"/>
      <c r="W253" s="20"/>
      <c r="X253" s="20"/>
      <c r="Y253" s="20"/>
      <c r="Z253" s="20"/>
      <c r="AA253" s="20"/>
    </row>
    <row r="254" spans="1:27" ht="17.25" customHeight="1">
      <c r="A254" s="57"/>
      <c r="B254" s="57"/>
      <c r="C254" s="57"/>
      <c r="D254" s="57"/>
      <c r="E254" s="57"/>
      <c r="F254" s="57"/>
      <c r="G254" s="57"/>
      <c r="H254" s="20"/>
      <c r="I254" s="20"/>
      <c r="J254" s="20"/>
      <c r="K254" s="20"/>
      <c r="L254" s="20"/>
      <c r="M254" s="20"/>
      <c r="N254" s="20"/>
      <c r="O254" s="20"/>
      <c r="P254" s="20"/>
      <c r="Q254" s="20"/>
      <c r="R254" s="20"/>
      <c r="S254" s="20"/>
      <c r="T254" s="20"/>
      <c r="U254" s="20"/>
      <c r="V254" s="20"/>
      <c r="W254" s="20"/>
      <c r="X254" s="20"/>
      <c r="Y254" s="20"/>
      <c r="Z254" s="20"/>
      <c r="AA254" s="20"/>
    </row>
    <row r="255" spans="1:27" ht="17.25" customHeight="1">
      <c r="A255" s="57"/>
      <c r="B255" s="57"/>
      <c r="C255" s="57"/>
      <c r="D255" s="57"/>
      <c r="E255" s="57"/>
      <c r="F255" s="57"/>
      <c r="G255" s="57"/>
      <c r="H255" s="20"/>
      <c r="I255" s="20"/>
      <c r="J255" s="20"/>
      <c r="K255" s="20"/>
      <c r="L255" s="20"/>
      <c r="M255" s="20"/>
      <c r="N255" s="20"/>
      <c r="O255" s="20"/>
      <c r="P255" s="20"/>
      <c r="Q255" s="20"/>
      <c r="R255" s="20"/>
      <c r="S255" s="20"/>
      <c r="T255" s="20"/>
      <c r="U255" s="20"/>
      <c r="V255" s="20"/>
      <c r="W255" s="20"/>
      <c r="X255" s="20"/>
      <c r="Y255" s="20"/>
      <c r="Z255" s="20"/>
      <c r="AA255" s="20"/>
    </row>
    <row r="256" spans="1:27" ht="17.25" customHeight="1">
      <c r="A256" s="57"/>
      <c r="B256" s="57"/>
      <c r="C256" s="57"/>
      <c r="D256" s="57"/>
      <c r="E256" s="57"/>
      <c r="F256" s="57"/>
      <c r="G256" s="57"/>
      <c r="H256" s="20"/>
      <c r="I256" s="20"/>
      <c r="J256" s="20"/>
      <c r="K256" s="20"/>
      <c r="L256" s="20"/>
      <c r="M256" s="20"/>
      <c r="N256" s="20"/>
      <c r="O256" s="20"/>
      <c r="P256" s="20"/>
      <c r="Q256" s="20"/>
      <c r="R256" s="20"/>
      <c r="S256" s="20"/>
      <c r="T256" s="20"/>
      <c r="U256" s="20"/>
      <c r="V256" s="20"/>
      <c r="W256" s="20"/>
      <c r="X256" s="20"/>
      <c r="Y256" s="20"/>
      <c r="Z256" s="20"/>
      <c r="AA256" s="20"/>
    </row>
    <row r="257" spans="1:27" ht="17.25" customHeight="1">
      <c r="A257" s="57"/>
      <c r="B257" s="57"/>
      <c r="C257" s="57"/>
      <c r="D257" s="57"/>
      <c r="E257" s="57"/>
      <c r="F257" s="57"/>
      <c r="G257" s="57"/>
      <c r="H257" s="20"/>
      <c r="I257" s="20"/>
      <c r="J257" s="20"/>
      <c r="K257" s="20"/>
      <c r="L257" s="20"/>
      <c r="M257" s="20"/>
      <c r="N257" s="20"/>
      <c r="O257" s="20"/>
      <c r="P257" s="20"/>
      <c r="Q257" s="20"/>
      <c r="R257" s="20"/>
      <c r="S257" s="20"/>
      <c r="T257" s="20"/>
      <c r="U257" s="20"/>
      <c r="V257" s="20"/>
      <c r="W257" s="20"/>
      <c r="X257" s="20"/>
      <c r="Y257" s="20"/>
      <c r="Z257" s="20"/>
      <c r="AA257" s="20"/>
    </row>
    <row r="258" spans="1:27" ht="17.25" customHeight="1">
      <c r="A258" s="57"/>
      <c r="B258" s="57"/>
      <c r="C258" s="57"/>
      <c r="D258" s="57"/>
      <c r="E258" s="57"/>
      <c r="F258" s="57"/>
      <c r="G258" s="57"/>
      <c r="H258" s="20"/>
      <c r="I258" s="20"/>
      <c r="J258" s="20"/>
      <c r="K258" s="20"/>
      <c r="L258" s="20"/>
      <c r="M258" s="20"/>
      <c r="N258" s="20"/>
      <c r="O258" s="20"/>
      <c r="P258" s="20"/>
      <c r="Q258" s="20"/>
      <c r="R258" s="20"/>
      <c r="S258" s="20"/>
      <c r="T258" s="20"/>
      <c r="U258" s="20"/>
      <c r="V258" s="20"/>
      <c r="W258" s="20"/>
      <c r="X258" s="20"/>
      <c r="Y258" s="20"/>
      <c r="Z258" s="20"/>
      <c r="AA258" s="20"/>
    </row>
    <row r="259" spans="1:27" ht="17.25" customHeight="1">
      <c r="A259" s="57"/>
      <c r="B259" s="57"/>
      <c r="C259" s="57"/>
      <c r="D259" s="57"/>
      <c r="E259" s="57"/>
      <c r="F259" s="57"/>
      <c r="G259" s="57"/>
      <c r="H259" s="20"/>
      <c r="I259" s="20"/>
      <c r="J259" s="20"/>
      <c r="K259" s="20"/>
      <c r="L259" s="20"/>
      <c r="M259" s="20"/>
      <c r="N259" s="20"/>
      <c r="O259" s="20"/>
      <c r="P259" s="20"/>
      <c r="Q259" s="20"/>
      <c r="R259" s="20"/>
      <c r="S259" s="20"/>
      <c r="T259" s="20"/>
      <c r="U259" s="20"/>
      <c r="V259" s="20"/>
      <c r="W259" s="20"/>
      <c r="X259" s="20"/>
      <c r="Y259" s="20"/>
      <c r="Z259" s="20"/>
      <c r="AA259" s="20"/>
    </row>
    <row r="260" spans="1:27" ht="17.25" customHeight="1">
      <c r="A260" s="57"/>
      <c r="B260" s="57"/>
      <c r="C260" s="57"/>
      <c r="D260" s="57"/>
      <c r="E260" s="57"/>
      <c r="F260" s="57"/>
      <c r="G260" s="57"/>
      <c r="H260" s="20"/>
      <c r="I260" s="20"/>
      <c r="J260" s="20"/>
      <c r="K260" s="20"/>
      <c r="L260" s="20"/>
      <c r="M260" s="20"/>
      <c r="N260" s="20"/>
      <c r="O260" s="20"/>
      <c r="P260" s="20"/>
      <c r="Q260" s="20"/>
      <c r="R260" s="20"/>
      <c r="S260" s="20"/>
      <c r="T260" s="20"/>
      <c r="U260" s="20"/>
      <c r="V260" s="20"/>
      <c r="W260" s="20"/>
      <c r="X260" s="20"/>
      <c r="Y260" s="20"/>
      <c r="Z260" s="20"/>
      <c r="AA260" s="20"/>
    </row>
    <row r="261" spans="1:27" ht="17.25" customHeight="1">
      <c r="A261" s="57"/>
      <c r="B261" s="57"/>
      <c r="C261" s="57"/>
      <c r="D261" s="57"/>
      <c r="E261" s="57"/>
      <c r="F261" s="57"/>
      <c r="G261" s="57"/>
      <c r="H261" s="20"/>
      <c r="I261" s="20"/>
      <c r="J261" s="20"/>
      <c r="K261" s="20"/>
      <c r="L261" s="20"/>
      <c r="M261" s="20"/>
      <c r="N261" s="20"/>
      <c r="O261" s="20"/>
      <c r="P261" s="20"/>
      <c r="Q261" s="20"/>
      <c r="R261" s="20"/>
      <c r="S261" s="20"/>
      <c r="T261" s="20"/>
      <c r="U261" s="20"/>
      <c r="V261" s="20"/>
      <c r="W261" s="20"/>
      <c r="X261" s="20"/>
      <c r="Y261" s="20"/>
      <c r="Z261" s="20"/>
      <c r="AA261" s="20"/>
    </row>
    <row r="262" spans="1:27" ht="17.25" customHeight="1">
      <c r="A262" s="57"/>
      <c r="B262" s="57"/>
      <c r="C262" s="57"/>
      <c r="D262" s="57"/>
      <c r="E262" s="57"/>
      <c r="F262" s="57"/>
      <c r="G262" s="57"/>
      <c r="H262" s="20"/>
      <c r="I262" s="20"/>
      <c r="J262" s="20"/>
      <c r="K262" s="20"/>
      <c r="L262" s="20"/>
      <c r="M262" s="20"/>
      <c r="N262" s="20"/>
      <c r="O262" s="20"/>
      <c r="P262" s="20"/>
      <c r="Q262" s="20"/>
      <c r="R262" s="20"/>
      <c r="S262" s="20"/>
      <c r="T262" s="20"/>
      <c r="U262" s="20"/>
      <c r="V262" s="20"/>
      <c r="W262" s="20"/>
      <c r="X262" s="20"/>
      <c r="Y262" s="20"/>
      <c r="Z262" s="20"/>
      <c r="AA262" s="20"/>
    </row>
    <row r="263" spans="1:27" ht="17.25" customHeight="1">
      <c r="A263" s="57"/>
      <c r="B263" s="57"/>
      <c r="C263" s="57"/>
      <c r="D263" s="57"/>
      <c r="E263" s="57"/>
      <c r="F263" s="57"/>
      <c r="G263" s="57"/>
      <c r="H263" s="20"/>
      <c r="I263" s="20"/>
      <c r="J263" s="20"/>
      <c r="K263" s="20"/>
      <c r="L263" s="20"/>
      <c r="M263" s="20"/>
      <c r="N263" s="20"/>
      <c r="O263" s="20"/>
      <c r="P263" s="20"/>
      <c r="Q263" s="20"/>
      <c r="R263" s="20"/>
      <c r="S263" s="20"/>
      <c r="T263" s="20"/>
      <c r="U263" s="20"/>
      <c r="V263" s="20"/>
      <c r="W263" s="20"/>
      <c r="X263" s="20"/>
      <c r="Y263" s="20"/>
      <c r="Z263" s="20"/>
      <c r="AA263" s="20"/>
    </row>
    <row r="264" spans="1:27" ht="17.25" customHeight="1">
      <c r="A264" s="57"/>
      <c r="B264" s="57"/>
      <c r="C264" s="57"/>
      <c r="D264" s="57"/>
      <c r="E264" s="57"/>
      <c r="F264" s="57"/>
      <c r="G264" s="57"/>
      <c r="H264" s="20"/>
      <c r="I264" s="20"/>
      <c r="J264" s="20"/>
      <c r="K264" s="20"/>
      <c r="L264" s="20"/>
      <c r="M264" s="20"/>
      <c r="N264" s="20"/>
      <c r="O264" s="20"/>
      <c r="P264" s="20"/>
      <c r="Q264" s="20"/>
      <c r="R264" s="20"/>
      <c r="S264" s="20"/>
      <c r="T264" s="20"/>
      <c r="U264" s="20"/>
      <c r="V264" s="20"/>
      <c r="W264" s="20"/>
      <c r="X264" s="20"/>
      <c r="Y264" s="20"/>
      <c r="Z264" s="20"/>
      <c r="AA264" s="20"/>
    </row>
    <row r="265" spans="1:27" ht="17.25" customHeight="1">
      <c r="A265" s="57"/>
      <c r="B265" s="57"/>
      <c r="C265" s="57"/>
      <c r="D265" s="57"/>
      <c r="E265" s="57"/>
      <c r="F265" s="57"/>
      <c r="G265" s="57"/>
      <c r="H265" s="20"/>
      <c r="I265" s="20"/>
      <c r="J265" s="20"/>
      <c r="K265" s="20"/>
      <c r="L265" s="20"/>
      <c r="M265" s="20"/>
      <c r="N265" s="20"/>
      <c r="O265" s="20"/>
      <c r="P265" s="20"/>
      <c r="Q265" s="20"/>
      <c r="R265" s="20"/>
      <c r="S265" s="20"/>
      <c r="T265" s="20"/>
      <c r="U265" s="20"/>
      <c r="V265" s="20"/>
      <c r="W265" s="20"/>
      <c r="X265" s="20"/>
      <c r="Y265" s="20"/>
      <c r="Z265" s="20"/>
      <c r="AA265" s="20"/>
    </row>
    <row r="266" spans="1:27" ht="17.25" customHeight="1">
      <c r="A266" s="57"/>
      <c r="B266" s="57"/>
      <c r="C266" s="57"/>
      <c r="D266" s="57"/>
      <c r="E266" s="57"/>
      <c r="F266" s="57"/>
      <c r="G266" s="57"/>
      <c r="H266" s="20"/>
      <c r="I266" s="20"/>
      <c r="J266" s="20"/>
      <c r="K266" s="20"/>
      <c r="L266" s="20"/>
      <c r="M266" s="20"/>
      <c r="N266" s="20"/>
      <c r="O266" s="20"/>
      <c r="P266" s="20"/>
      <c r="Q266" s="20"/>
      <c r="R266" s="20"/>
      <c r="S266" s="20"/>
      <c r="T266" s="20"/>
      <c r="U266" s="20"/>
      <c r="V266" s="20"/>
      <c r="W266" s="20"/>
      <c r="X266" s="20"/>
      <c r="Y266" s="20"/>
      <c r="Z266" s="20"/>
      <c r="AA266" s="20"/>
    </row>
    <row r="267" spans="1:27" ht="17.25" customHeight="1">
      <c r="A267" s="57"/>
      <c r="B267" s="57"/>
      <c r="C267" s="57"/>
      <c r="D267" s="57"/>
      <c r="E267" s="57"/>
      <c r="F267" s="57"/>
      <c r="G267" s="57"/>
      <c r="H267" s="20"/>
      <c r="I267" s="20"/>
      <c r="J267" s="20"/>
      <c r="K267" s="20"/>
      <c r="L267" s="20"/>
      <c r="M267" s="20"/>
      <c r="N267" s="20"/>
      <c r="O267" s="20"/>
      <c r="P267" s="20"/>
      <c r="Q267" s="20"/>
      <c r="R267" s="20"/>
      <c r="S267" s="20"/>
      <c r="T267" s="20"/>
      <c r="U267" s="20"/>
      <c r="V267" s="20"/>
      <c r="W267" s="20"/>
      <c r="X267" s="20"/>
      <c r="Y267" s="20"/>
      <c r="Z267" s="20"/>
      <c r="AA267" s="20"/>
    </row>
    <row r="268" spans="1:27" ht="17.25" customHeight="1">
      <c r="A268" s="57"/>
      <c r="B268" s="57"/>
      <c r="C268" s="57"/>
      <c r="D268" s="57"/>
      <c r="E268" s="57"/>
      <c r="F268" s="57"/>
      <c r="G268" s="57"/>
      <c r="H268" s="20"/>
      <c r="I268" s="20"/>
      <c r="J268" s="20"/>
      <c r="K268" s="20"/>
      <c r="L268" s="20"/>
      <c r="M268" s="20"/>
      <c r="N268" s="20"/>
      <c r="O268" s="20"/>
      <c r="P268" s="20"/>
      <c r="Q268" s="20"/>
      <c r="R268" s="20"/>
      <c r="S268" s="20"/>
      <c r="T268" s="20"/>
      <c r="U268" s="20"/>
      <c r="V268" s="20"/>
      <c r="W268" s="20"/>
      <c r="X268" s="20"/>
      <c r="Y268" s="20"/>
      <c r="Z268" s="20"/>
      <c r="AA268" s="20"/>
    </row>
    <row r="269" spans="1:27" ht="17.25" customHeight="1">
      <c r="A269" s="57"/>
      <c r="B269" s="57"/>
      <c r="C269" s="57"/>
      <c r="D269" s="57"/>
      <c r="E269" s="57"/>
      <c r="F269" s="57"/>
      <c r="G269" s="57"/>
      <c r="H269" s="20"/>
      <c r="I269" s="20"/>
      <c r="J269" s="20"/>
      <c r="K269" s="20"/>
      <c r="L269" s="20"/>
      <c r="M269" s="20"/>
      <c r="N269" s="20"/>
      <c r="O269" s="20"/>
      <c r="P269" s="20"/>
      <c r="Q269" s="20"/>
      <c r="R269" s="20"/>
      <c r="S269" s="20"/>
      <c r="T269" s="20"/>
      <c r="U269" s="20"/>
      <c r="V269" s="20"/>
      <c r="W269" s="20"/>
      <c r="X269" s="20"/>
      <c r="Y269" s="20"/>
      <c r="Z269" s="20"/>
      <c r="AA269" s="20"/>
    </row>
    <row r="270" spans="1:27" ht="17.25" customHeight="1">
      <c r="A270" s="57"/>
      <c r="B270" s="57"/>
      <c r="C270" s="57"/>
      <c r="D270" s="57"/>
      <c r="E270" s="57"/>
      <c r="F270" s="57"/>
      <c r="G270" s="57"/>
      <c r="H270" s="20"/>
      <c r="I270" s="20"/>
      <c r="J270" s="20"/>
      <c r="K270" s="20"/>
      <c r="L270" s="20"/>
      <c r="M270" s="20"/>
      <c r="N270" s="20"/>
      <c r="O270" s="20"/>
      <c r="P270" s="20"/>
      <c r="Q270" s="20"/>
      <c r="R270" s="20"/>
      <c r="S270" s="20"/>
      <c r="T270" s="20"/>
      <c r="U270" s="20"/>
      <c r="V270" s="20"/>
      <c r="W270" s="20"/>
      <c r="X270" s="20"/>
      <c r="Y270" s="20"/>
      <c r="Z270" s="20"/>
      <c r="AA270" s="20"/>
    </row>
    <row r="271" spans="1:27" ht="17.25" customHeight="1">
      <c r="A271" s="57"/>
      <c r="B271" s="57"/>
      <c r="C271" s="57"/>
      <c r="D271" s="57"/>
      <c r="E271" s="57"/>
      <c r="F271" s="57"/>
      <c r="G271" s="57"/>
      <c r="H271" s="20"/>
      <c r="I271" s="20"/>
      <c r="J271" s="20"/>
      <c r="K271" s="20"/>
      <c r="L271" s="20"/>
      <c r="M271" s="20"/>
      <c r="N271" s="20"/>
      <c r="O271" s="20"/>
      <c r="P271" s="20"/>
      <c r="Q271" s="20"/>
      <c r="R271" s="20"/>
      <c r="S271" s="20"/>
      <c r="T271" s="20"/>
      <c r="U271" s="20"/>
      <c r="V271" s="20"/>
      <c r="W271" s="20"/>
      <c r="X271" s="20"/>
      <c r="Y271" s="20"/>
      <c r="Z271" s="20"/>
      <c r="AA271" s="20"/>
    </row>
    <row r="272" spans="1:27" ht="17.25" customHeight="1">
      <c r="A272" s="57"/>
      <c r="B272" s="57"/>
      <c r="C272" s="57"/>
      <c r="D272" s="57"/>
      <c r="E272" s="57"/>
      <c r="F272" s="57"/>
      <c r="G272" s="57"/>
      <c r="H272" s="20"/>
      <c r="I272" s="20"/>
      <c r="J272" s="20"/>
      <c r="K272" s="20"/>
      <c r="L272" s="20"/>
      <c r="M272" s="20"/>
      <c r="N272" s="20"/>
      <c r="O272" s="20"/>
      <c r="P272" s="20"/>
      <c r="Q272" s="20"/>
      <c r="R272" s="20"/>
      <c r="S272" s="20"/>
      <c r="T272" s="20"/>
      <c r="U272" s="20"/>
      <c r="V272" s="20"/>
      <c r="W272" s="20"/>
      <c r="X272" s="20"/>
      <c r="Y272" s="20"/>
      <c r="Z272" s="20"/>
      <c r="AA272" s="20"/>
    </row>
    <row r="273" spans="1:27" ht="17.25" customHeight="1">
      <c r="A273" s="57"/>
      <c r="B273" s="57"/>
      <c r="C273" s="57"/>
      <c r="D273" s="57"/>
      <c r="E273" s="57"/>
      <c r="F273" s="57"/>
      <c r="G273" s="57"/>
      <c r="H273" s="20"/>
      <c r="I273" s="20"/>
      <c r="J273" s="20"/>
      <c r="K273" s="20"/>
      <c r="L273" s="20"/>
      <c r="M273" s="20"/>
      <c r="N273" s="20"/>
      <c r="O273" s="20"/>
      <c r="P273" s="20"/>
      <c r="Q273" s="20"/>
      <c r="R273" s="20"/>
      <c r="S273" s="20"/>
      <c r="T273" s="20"/>
      <c r="U273" s="20"/>
      <c r="V273" s="20"/>
      <c r="W273" s="20"/>
      <c r="X273" s="20"/>
      <c r="Y273" s="20"/>
      <c r="Z273" s="20"/>
      <c r="AA273" s="20"/>
    </row>
    <row r="274" spans="1:27" ht="17.25" customHeight="1">
      <c r="A274" s="57"/>
      <c r="B274" s="57"/>
      <c r="C274" s="57"/>
      <c r="D274" s="57"/>
      <c r="E274" s="57"/>
      <c r="F274" s="57"/>
      <c r="G274" s="57"/>
      <c r="H274" s="20"/>
      <c r="I274" s="20"/>
      <c r="J274" s="20"/>
      <c r="K274" s="20"/>
      <c r="L274" s="20"/>
      <c r="M274" s="20"/>
      <c r="N274" s="20"/>
      <c r="O274" s="20"/>
      <c r="P274" s="20"/>
      <c r="Q274" s="20"/>
      <c r="R274" s="20"/>
      <c r="S274" s="20"/>
      <c r="T274" s="20"/>
      <c r="U274" s="20"/>
      <c r="V274" s="20"/>
      <c r="W274" s="20"/>
      <c r="X274" s="20"/>
      <c r="Y274" s="20"/>
      <c r="Z274" s="20"/>
      <c r="AA274" s="20"/>
    </row>
    <row r="275" spans="1:27" ht="17.25" customHeight="1">
      <c r="A275" s="57"/>
      <c r="B275" s="57"/>
      <c r="C275" s="57"/>
      <c r="D275" s="57"/>
      <c r="E275" s="57"/>
      <c r="F275" s="57"/>
      <c r="G275" s="57"/>
      <c r="H275" s="20"/>
      <c r="I275" s="20"/>
      <c r="J275" s="20"/>
      <c r="K275" s="20"/>
      <c r="L275" s="20"/>
      <c r="M275" s="20"/>
      <c r="N275" s="20"/>
      <c r="O275" s="20"/>
      <c r="P275" s="20"/>
      <c r="Q275" s="20"/>
      <c r="R275" s="20"/>
      <c r="S275" s="20"/>
      <c r="T275" s="20"/>
      <c r="U275" s="20"/>
      <c r="V275" s="20"/>
      <c r="W275" s="20"/>
      <c r="X275" s="20"/>
      <c r="Y275" s="20"/>
      <c r="Z275" s="20"/>
      <c r="AA275" s="20"/>
    </row>
    <row r="276" spans="1:27" ht="17.25" customHeight="1">
      <c r="A276" s="57"/>
      <c r="B276" s="57"/>
      <c r="C276" s="57"/>
      <c r="D276" s="57"/>
      <c r="E276" s="57"/>
      <c r="F276" s="57"/>
      <c r="G276" s="57"/>
      <c r="H276" s="20"/>
      <c r="I276" s="20"/>
      <c r="J276" s="20"/>
      <c r="K276" s="20"/>
      <c r="L276" s="20"/>
      <c r="M276" s="20"/>
      <c r="N276" s="20"/>
      <c r="O276" s="20"/>
      <c r="P276" s="20"/>
      <c r="Q276" s="20"/>
      <c r="R276" s="20"/>
      <c r="S276" s="20"/>
      <c r="T276" s="20"/>
      <c r="U276" s="20"/>
      <c r="V276" s="20"/>
      <c r="W276" s="20"/>
      <c r="X276" s="20"/>
      <c r="Y276" s="20"/>
      <c r="Z276" s="20"/>
      <c r="AA276" s="20"/>
    </row>
    <row r="277" spans="1:27" ht="17.25" customHeight="1">
      <c r="A277" s="57"/>
      <c r="B277" s="57"/>
      <c r="C277" s="57"/>
      <c r="D277" s="57"/>
      <c r="E277" s="57"/>
      <c r="F277" s="57"/>
      <c r="G277" s="57"/>
      <c r="H277" s="20"/>
      <c r="I277" s="20"/>
      <c r="J277" s="20"/>
      <c r="K277" s="20"/>
      <c r="L277" s="20"/>
      <c r="M277" s="20"/>
      <c r="N277" s="20"/>
      <c r="O277" s="20"/>
      <c r="P277" s="20"/>
      <c r="Q277" s="20"/>
      <c r="R277" s="20"/>
      <c r="S277" s="20"/>
      <c r="T277" s="20"/>
      <c r="U277" s="20"/>
      <c r="V277" s="20"/>
      <c r="W277" s="20"/>
      <c r="X277" s="20"/>
      <c r="Y277" s="20"/>
      <c r="Z277" s="20"/>
      <c r="AA277" s="20"/>
    </row>
    <row r="278" spans="1:27" ht="17.25" customHeight="1">
      <c r="A278" s="57"/>
      <c r="B278" s="57"/>
      <c r="C278" s="57"/>
      <c r="D278" s="57"/>
      <c r="E278" s="57"/>
      <c r="F278" s="57"/>
      <c r="G278" s="57"/>
      <c r="H278" s="20"/>
      <c r="I278" s="20"/>
      <c r="J278" s="20"/>
      <c r="K278" s="20"/>
      <c r="L278" s="20"/>
      <c r="M278" s="20"/>
      <c r="N278" s="20"/>
      <c r="O278" s="20"/>
      <c r="P278" s="20"/>
      <c r="Q278" s="20"/>
      <c r="R278" s="20"/>
      <c r="S278" s="20"/>
      <c r="T278" s="20"/>
      <c r="U278" s="20"/>
      <c r="V278" s="20"/>
      <c r="W278" s="20"/>
      <c r="X278" s="20"/>
      <c r="Y278" s="20"/>
      <c r="Z278" s="20"/>
      <c r="AA278" s="20"/>
    </row>
    <row r="279" spans="1:27" ht="17.25" customHeight="1">
      <c r="A279" s="57"/>
      <c r="B279" s="57"/>
      <c r="C279" s="57"/>
      <c r="D279" s="57"/>
      <c r="E279" s="57"/>
      <c r="F279" s="57"/>
      <c r="G279" s="57"/>
      <c r="H279" s="20"/>
      <c r="I279" s="20"/>
      <c r="J279" s="20"/>
      <c r="K279" s="20"/>
      <c r="L279" s="20"/>
      <c r="M279" s="20"/>
      <c r="N279" s="20"/>
      <c r="O279" s="20"/>
      <c r="P279" s="20"/>
      <c r="Q279" s="20"/>
      <c r="R279" s="20"/>
      <c r="S279" s="20"/>
      <c r="T279" s="20"/>
      <c r="U279" s="20"/>
      <c r="V279" s="20"/>
      <c r="W279" s="20"/>
      <c r="X279" s="20"/>
      <c r="Y279" s="20"/>
      <c r="Z279" s="20"/>
      <c r="AA279" s="20"/>
    </row>
    <row r="280" spans="1:27" ht="17.25" customHeight="1">
      <c r="A280" s="57"/>
      <c r="B280" s="57"/>
      <c r="C280" s="57"/>
      <c r="D280" s="57"/>
      <c r="E280" s="57"/>
      <c r="F280" s="57"/>
      <c r="G280" s="57"/>
      <c r="H280" s="20"/>
      <c r="I280" s="20"/>
      <c r="J280" s="20"/>
      <c r="K280" s="20"/>
      <c r="L280" s="20"/>
      <c r="M280" s="20"/>
      <c r="N280" s="20"/>
      <c r="O280" s="20"/>
      <c r="P280" s="20"/>
      <c r="Q280" s="20"/>
      <c r="R280" s="20"/>
      <c r="S280" s="20"/>
      <c r="T280" s="20"/>
      <c r="U280" s="20"/>
      <c r="V280" s="20"/>
      <c r="W280" s="20"/>
      <c r="X280" s="20"/>
      <c r="Y280" s="20"/>
      <c r="Z280" s="20"/>
      <c r="AA280" s="20"/>
    </row>
    <row r="281" spans="1:27" ht="17.25" customHeight="1">
      <c r="A281" s="57"/>
      <c r="B281" s="57"/>
      <c r="C281" s="57"/>
      <c r="D281" s="57"/>
      <c r="E281" s="57"/>
      <c r="F281" s="57"/>
      <c r="G281" s="57"/>
      <c r="H281" s="20"/>
      <c r="I281" s="20"/>
      <c r="J281" s="20"/>
      <c r="K281" s="20"/>
      <c r="L281" s="20"/>
      <c r="M281" s="20"/>
      <c r="N281" s="20"/>
      <c r="O281" s="20"/>
      <c r="P281" s="20"/>
      <c r="Q281" s="20"/>
      <c r="R281" s="20"/>
      <c r="S281" s="20"/>
      <c r="T281" s="20"/>
      <c r="U281" s="20"/>
      <c r="V281" s="20"/>
      <c r="W281" s="20"/>
      <c r="X281" s="20"/>
      <c r="Y281" s="20"/>
      <c r="Z281" s="20"/>
      <c r="AA281" s="20"/>
    </row>
    <row r="282" spans="1:27" ht="17.25" customHeight="1">
      <c r="A282" s="57"/>
      <c r="B282" s="57"/>
      <c r="C282" s="57"/>
      <c r="D282" s="57"/>
      <c r="E282" s="57"/>
      <c r="F282" s="57"/>
      <c r="G282" s="57"/>
      <c r="H282" s="20"/>
      <c r="I282" s="20"/>
      <c r="J282" s="20"/>
      <c r="K282" s="20"/>
      <c r="L282" s="20"/>
      <c r="M282" s="20"/>
      <c r="N282" s="20"/>
      <c r="O282" s="20"/>
      <c r="P282" s="20"/>
      <c r="Q282" s="20"/>
      <c r="R282" s="20"/>
      <c r="S282" s="20"/>
      <c r="T282" s="20"/>
      <c r="U282" s="20"/>
      <c r="V282" s="20"/>
      <c r="W282" s="20"/>
      <c r="X282" s="20"/>
      <c r="Y282" s="20"/>
      <c r="Z282" s="20"/>
      <c r="AA282" s="20"/>
    </row>
    <row r="283" spans="1:27" ht="17.25" customHeight="1">
      <c r="A283" s="57"/>
      <c r="B283" s="57"/>
      <c r="C283" s="57"/>
      <c r="D283" s="57"/>
      <c r="E283" s="57"/>
      <c r="F283" s="57"/>
      <c r="G283" s="57"/>
      <c r="H283" s="20"/>
      <c r="I283" s="20"/>
      <c r="J283" s="20"/>
      <c r="K283" s="20"/>
      <c r="L283" s="20"/>
      <c r="M283" s="20"/>
      <c r="N283" s="20"/>
      <c r="O283" s="20"/>
      <c r="P283" s="20"/>
      <c r="Q283" s="20"/>
      <c r="R283" s="20"/>
      <c r="S283" s="20"/>
      <c r="T283" s="20"/>
      <c r="U283" s="20"/>
      <c r="V283" s="20"/>
      <c r="W283" s="20"/>
      <c r="X283" s="20"/>
      <c r="Y283" s="20"/>
      <c r="Z283" s="20"/>
      <c r="AA283" s="20"/>
    </row>
    <row r="284" spans="1:27" ht="17.25" customHeight="1">
      <c r="A284" s="57"/>
      <c r="B284" s="57"/>
      <c r="C284" s="57"/>
      <c r="D284" s="57"/>
      <c r="E284" s="57"/>
      <c r="F284" s="57"/>
      <c r="G284" s="57"/>
      <c r="H284" s="20"/>
      <c r="I284" s="20"/>
      <c r="J284" s="20"/>
      <c r="K284" s="20"/>
      <c r="L284" s="20"/>
      <c r="M284" s="20"/>
      <c r="N284" s="20"/>
      <c r="O284" s="20"/>
      <c r="P284" s="20"/>
      <c r="Q284" s="20"/>
      <c r="R284" s="20"/>
      <c r="S284" s="20"/>
      <c r="T284" s="20"/>
      <c r="U284" s="20"/>
      <c r="V284" s="20"/>
      <c r="W284" s="20"/>
      <c r="X284" s="20"/>
      <c r="Y284" s="20"/>
      <c r="Z284" s="20"/>
      <c r="AA284" s="20"/>
    </row>
    <row r="285" spans="1:27" ht="17.25" customHeight="1">
      <c r="A285" s="57"/>
      <c r="B285" s="57"/>
      <c r="C285" s="57"/>
      <c r="D285" s="57"/>
      <c r="E285" s="57"/>
      <c r="F285" s="57"/>
      <c r="G285" s="57"/>
      <c r="H285" s="20"/>
      <c r="I285" s="20"/>
      <c r="J285" s="20"/>
      <c r="K285" s="20"/>
      <c r="L285" s="20"/>
      <c r="M285" s="20"/>
      <c r="N285" s="20"/>
      <c r="O285" s="20"/>
      <c r="P285" s="20"/>
      <c r="Q285" s="20"/>
      <c r="R285" s="20"/>
      <c r="S285" s="20"/>
      <c r="T285" s="20"/>
      <c r="U285" s="20"/>
      <c r="V285" s="20"/>
      <c r="W285" s="20"/>
      <c r="X285" s="20"/>
      <c r="Y285" s="20"/>
      <c r="Z285" s="20"/>
      <c r="AA285" s="20"/>
    </row>
    <row r="286" spans="1:27" ht="17.25" customHeight="1">
      <c r="A286" s="57"/>
      <c r="B286" s="57"/>
      <c r="C286" s="57"/>
      <c r="D286" s="57"/>
      <c r="E286" s="57"/>
      <c r="F286" s="57"/>
      <c r="G286" s="57"/>
      <c r="H286" s="20"/>
      <c r="I286" s="20"/>
      <c r="J286" s="20"/>
      <c r="K286" s="20"/>
      <c r="L286" s="20"/>
      <c r="M286" s="20"/>
      <c r="N286" s="20"/>
      <c r="O286" s="20"/>
      <c r="P286" s="20"/>
      <c r="Q286" s="20"/>
      <c r="R286" s="20"/>
      <c r="S286" s="20"/>
      <c r="T286" s="20"/>
      <c r="U286" s="20"/>
      <c r="V286" s="20"/>
      <c r="W286" s="20"/>
      <c r="X286" s="20"/>
      <c r="Y286" s="20"/>
      <c r="Z286" s="20"/>
      <c r="AA286" s="20"/>
    </row>
    <row r="287" spans="1:27" ht="17.25" customHeight="1">
      <c r="A287" s="57"/>
      <c r="B287" s="57"/>
      <c r="C287" s="57"/>
      <c r="D287" s="57"/>
      <c r="E287" s="57"/>
      <c r="F287" s="57"/>
      <c r="G287" s="57"/>
      <c r="H287" s="20"/>
      <c r="I287" s="20"/>
      <c r="J287" s="20"/>
      <c r="K287" s="20"/>
      <c r="L287" s="20"/>
      <c r="M287" s="20"/>
      <c r="N287" s="20"/>
      <c r="O287" s="20"/>
      <c r="P287" s="20"/>
      <c r="Q287" s="20"/>
      <c r="R287" s="20"/>
      <c r="S287" s="20"/>
      <c r="T287" s="20"/>
      <c r="U287" s="20"/>
      <c r="V287" s="20"/>
      <c r="W287" s="20"/>
      <c r="X287" s="20"/>
      <c r="Y287" s="20"/>
      <c r="Z287" s="20"/>
      <c r="AA287" s="20"/>
    </row>
    <row r="288" spans="1:27" ht="17.25" customHeight="1">
      <c r="A288" s="57"/>
      <c r="B288" s="57"/>
      <c r="C288" s="57"/>
      <c r="D288" s="57"/>
      <c r="E288" s="57"/>
      <c r="F288" s="57"/>
      <c r="G288" s="57"/>
      <c r="H288" s="20"/>
      <c r="I288" s="20"/>
      <c r="J288" s="20"/>
      <c r="K288" s="20"/>
      <c r="L288" s="20"/>
      <c r="M288" s="20"/>
      <c r="N288" s="20"/>
      <c r="O288" s="20"/>
      <c r="P288" s="20"/>
      <c r="Q288" s="20"/>
      <c r="R288" s="20"/>
      <c r="S288" s="20"/>
      <c r="T288" s="20"/>
      <c r="U288" s="20"/>
      <c r="V288" s="20"/>
      <c r="W288" s="20"/>
      <c r="X288" s="20"/>
      <c r="Y288" s="20"/>
      <c r="Z288" s="20"/>
      <c r="AA288" s="20"/>
    </row>
    <row r="289" spans="1:27" ht="17.25" customHeight="1">
      <c r="A289" s="57"/>
      <c r="B289" s="57"/>
      <c r="C289" s="57"/>
      <c r="D289" s="57"/>
      <c r="E289" s="57"/>
      <c r="F289" s="57"/>
      <c r="G289" s="57"/>
      <c r="H289" s="20"/>
      <c r="I289" s="20"/>
      <c r="J289" s="20"/>
      <c r="K289" s="20"/>
      <c r="L289" s="20"/>
      <c r="M289" s="20"/>
      <c r="N289" s="20"/>
      <c r="O289" s="20"/>
      <c r="P289" s="20"/>
      <c r="Q289" s="20"/>
      <c r="R289" s="20"/>
      <c r="S289" s="20"/>
      <c r="T289" s="20"/>
      <c r="U289" s="20"/>
      <c r="V289" s="20"/>
      <c r="W289" s="20"/>
      <c r="X289" s="20"/>
      <c r="Y289" s="20"/>
      <c r="Z289" s="20"/>
      <c r="AA289" s="20"/>
    </row>
    <row r="290" spans="1:27" ht="17.25" customHeight="1">
      <c r="A290" s="57"/>
      <c r="B290" s="57"/>
      <c r="C290" s="57"/>
      <c r="D290" s="57"/>
      <c r="E290" s="57"/>
      <c r="F290" s="57"/>
      <c r="G290" s="57"/>
      <c r="H290" s="20"/>
      <c r="I290" s="20"/>
      <c r="J290" s="20"/>
      <c r="K290" s="20"/>
      <c r="L290" s="20"/>
      <c r="M290" s="20"/>
      <c r="N290" s="20"/>
      <c r="O290" s="20"/>
      <c r="P290" s="20"/>
      <c r="Q290" s="20"/>
      <c r="R290" s="20"/>
      <c r="S290" s="20"/>
      <c r="T290" s="20"/>
      <c r="U290" s="20"/>
      <c r="V290" s="20"/>
      <c r="W290" s="20"/>
      <c r="X290" s="20"/>
      <c r="Y290" s="20"/>
      <c r="Z290" s="20"/>
      <c r="AA290" s="20"/>
    </row>
    <row r="291" spans="1:27" ht="17.25" customHeight="1">
      <c r="A291" s="57"/>
      <c r="B291" s="57"/>
      <c r="C291" s="57"/>
      <c r="D291" s="57"/>
      <c r="E291" s="57"/>
      <c r="F291" s="57"/>
      <c r="G291" s="57"/>
      <c r="H291" s="20"/>
      <c r="I291" s="20"/>
      <c r="J291" s="20"/>
      <c r="K291" s="20"/>
      <c r="L291" s="20"/>
      <c r="M291" s="20"/>
      <c r="N291" s="20"/>
      <c r="O291" s="20"/>
      <c r="P291" s="20"/>
      <c r="Q291" s="20"/>
      <c r="R291" s="20"/>
      <c r="S291" s="20"/>
      <c r="T291" s="20"/>
      <c r="U291" s="20"/>
      <c r="V291" s="20"/>
      <c r="W291" s="20"/>
      <c r="X291" s="20"/>
      <c r="Y291" s="20"/>
      <c r="Z291" s="20"/>
      <c r="AA291" s="20"/>
    </row>
    <row r="292" spans="1:27" ht="17.25" customHeight="1">
      <c r="A292" s="57"/>
      <c r="B292" s="57"/>
      <c r="C292" s="57"/>
      <c r="D292" s="57"/>
      <c r="E292" s="57"/>
      <c r="F292" s="57"/>
      <c r="G292" s="57"/>
      <c r="H292" s="20"/>
      <c r="I292" s="20"/>
      <c r="J292" s="20"/>
      <c r="K292" s="20"/>
      <c r="L292" s="20"/>
      <c r="M292" s="20"/>
      <c r="N292" s="20"/>
      <c r="O292" s="20"/>
      <c r="P292" s="20"/>
      <c r="Q292" s="20"/>
      <c r="R292" s="20"/>
      <c r="S292" s="20"/>
      <c r="T292" s="20"/>
      <c r="U292" s="20"/>
      <c r="V292" s="20"/>
      <c r="W292" s="20"/>
      <c r="X292" s="20"/>
      <c r="Y292" s="20"/>
      <c r="Z292" s="20"/>
      <c r="AA292" s="20"/>
    </row>
    <row r="293" spans="1:27" ht="17.25" customHeight="1">
      <c r="A293" s="57"/>
      <c r="B293" s="57"/>
      <c r="C293" s="57"/>
      <c r="D293" s="57"/>
      <c r="E293" s="57"/>
      <c r="F293" s="57"/>
      <c r="G293" s="57"/>
      <c r="H293" s="20"/>
      <c r="I293" s="20"/>
      <c r="J293" s="20"/>
      <c r="K293" s="20"/>
      <c r="L293" s="20"/>
      <c r="M293" s="20"/>
      <c r="N293" s="20"/>
      <c r="O293" s="20"/>
      <c r="P293" s="20"/>
      <c r="Q293" s="20"/>
      <c r="R293" s="20"/>
      <c r="S293" s="20"/>
      <c r="T293" s="20"/>
      <c r="U293" s="20"/>
      <c r="V293" s="20"/>
      <c r="W293" s="20"/>
      <c r="X293" s="20"/>
      <c r="Y293" s="20"/>
      <c r="Z293" s="20"/>
      <c r="AA293" s="20"/>
    </row>
    <row r="294" spans="1:27" ht="17.25" customHeight="1">
      <c r="A294" s="57"/>
      <c r="B294" s="57"/>
      <c r="C294" s="57"/>
      <c r="D294" s="57"/>
      <c r="E294" s="57"/>
      <c r="F294" s="57"/>
      <c r="G294" s="57"/>
      <c r="H294" s="20"/>
      <c r="I294" s="20"/>
      <c r="J294" s="20"/>
      <c r="K294" s="20"/>
      <c r="L294" s="20"/>
      <c r="M294" s="20"/>
      <c r="N294" s="20"/>
      <c r="O294" s="20"/>
      <c r="P294" s="20"/>
      <c r="Q294" s="20"/>
      <c r="R294" s="20"/>
      <c r="S294" s="20"/>
      <c r="T294" s="20"/>
      <c r="U294" s="20"/>
      <c r="V294" s="20"/>
      <c r="W294" s="20"/>
      <c r="X294" s="20"/>
      <c r="Y294" s="20"/>
      <c r="Z294" s="20"/>
      <c r="AA294" s="20"/>
    </row>
    <row r="295" spans="1:27" ht="17.25" customHeight="1">
      <c r="A295" s="57"/>
      <c r="B295" s="57"/>
      <c r="C295" s="57"/>
      <c r="D295" s="57"/>
      <c r="E295" s="57"/>
      <c r="F295" s="57"/>
      <c r="G295" s="57"/>
      <c r="H295" s="20"/>
      <c r="I295" s="20"/>
      <c r="J295" s="20"/>
      <c r="K295" s="20"/>
      <c r="L295" s="20"/>
      <c r="M295" s="20"/>
      <c r="N295" s="20"/>
      <c r="O295" s="20"/>
      <c r="P295" s="20"/>
      <c r="Q295" s="20"/>
      <c r="R295" s="20"/>
      <c r="S295" s="20"/>
      <c r="T295" s="20"/>
      <c r="U295" s="20"/>
      <c r="V295" s="20"/>
      <c r="W295" s="20"/>
      <c r="X295" s="20"/>
      <c r="Y295" s="20"/>
      <c r="Z295" s="20"/>
      <c r="AA295" s="20"/>
    </row>
    <row r="296" spans="1:27" ht="17.25" customHeight="1">
      <c r="A296" s="57"/>
      <c r="B296" s="57"/>
      <c r="C296" s="57"/>
      <c r="D296" s="57"/>
      <c r="E296" s="57"/>
      <c r="F296" s="57"/>
      <c r="G296" s="57"/>
      <c r="H296" s="20"/>
      <c r="I296" s="20"/>
      <c r="J296" s="20"/>
      <c r="K296" s="20"/>
      <c r="L296" s="20"/>
      <c r="M296" s="20"/>
      <c r="N296" s="20"/>
      <c r="O296" s="20"/>
      <c r="P296" s="20"/>
      <c r="Q296" s="20"/>
      <c r="R296" s="20"/>
      <c r="S296" s="20"/>
      <c r="T296" s="20"/>
      <c r="U296" s="20"/>
      <c r="V296" s="20"/>
      <c r="W296" s="20"/>
      <c r="X296" s="20"/>
      <c r="Y296" s="20"/>
      <c r="Z296" s="20"/>
      <c r="AA296" s="20"/>
    </row>
    <row r="297" spans="1:27" ht="17.25" customHeight="1">
      <c r="A297" s="57"/>
      <c r="B297" s="57"/>
      <c r="C297" s="57"/>
      <c r="D297" s="57"/>
      <c r="E297" s="57"/>
      <c r="F297" s="57"/>
      <c r="G297" s="57"/>
      <c r="H297" s="20"/>
      <c r="I297" s="20"/>
      <c r="J297" s="20"/>
      <c r="K297" s="20"/>
      <c r="L297" s="20"/>
      <c r="M297" s="20"/>
      <c r="N297" s="20"/>
      <c r="O297" s="20"/>
      <c r="P297" s="20"/>
      <c r="Q297" s="20"/>
      <c r="R297" s="20"/>
      <c r="S297" s="20"/>
      <c r="T297" s="20"/>
      <c r="U297" s="20"/>
      <c r="V297" s="20"/>
      <c r="W297" s="20"/>
      <c r="X297" s="20"/>
      <c r="Y297" s="20"/>
      <c r="Z297" s="20"/>
      <c r="AA297" s="20"/>
    </row>
    <row r="298" spans="1:27" ht="17.25" customHeight="1">
      <c r="A298" s="57"/>
      <c r="B298" s="57"/>
      <c r="C298" s="57"/>
      <c r="D298" s="57"/>
      <c r="E298" s="57"/>
      <c r="F298" s="57"/>
      <c r="G298" s="57"/>
      <c r="H298" s="20"/>
      <c r="I298" s="20"/>
      <c r="J298" s="20"/>
      <c r="K298" s="20"/>
      <c r="L298" s="20"/>
      <c r="M298" s="20"/>
      <c r="N298" s="20"/>
      <c r="O298" s="20"/>
      <c r="P298" s="20"/>
      <c r="Q298" s="20"/>
      <c r="R298" s="20"/>
      <c r="S298" s="20"/>
      <c r="T298" s="20"/>
      <c r="U298" s="20"/>
      <c r="V298" s="20"/>
      <c r="W298" s="20"/>
      <c r="X298" s="20"/>
      <c r="Y298" s="20"/>
      <c r="Z298" s="20"/>
      <c r="AA298" s="20"/>
    </row>
    <row r="299" spans="1:27" ht="17.25" customHeight="1">
      <c r="A299" s="57"/>
      <c r="B299" s="57"/>
      <c r="C299" s="57"/>
      <c r="D299" s="57"/>
      <c r="E299" s="57"/>
      <c r="F299" s="57"/>
      <c r="G299" s="57"/>
      <c r="H299" s="20"/>
      <c r="I299" s="20"/>
      <c r="J299" s="20"/>
      <c r="K299" s="20"/>
      <c r="L299" s="20"/>
      <c r="M299" s="20"/>
      <c r="N299" s="20"/>
      <c r="O299" s="20"/>
      <c r="P299" s="20"/>
      <c r="Q299" s="20"/>
      <c r="R299" s="20"/>
      <c r="S299" s="20"/>
      <c r="T299" s="20"/>
      <c r="U299" s="20"/>
      <c r="V299" s="20"/>
      <c r="W299" s="20"/>
      <c r="X299" s="20"/>
      <c r="Y299" s="20"/>
      <c r="Z299" s="20"/>
      <c r="AA299" s="20"/>
    </row>
    <row r="300" spans="1:27" ht="17.25" customHeight="1">
      <c r="A300" s="57"/>
      <c r="B300" s="57"/>
      <c r="C300" s="57"/>
      <c r="D300" s="57"/>
      <c r="E300" s="57"/>
      <c r="F300" s="57"/>
      <c r="G300" s="57"/>
      <c r="H300" s="20"/>
      <c r="I300" s="20"/>
      <c r="J300" s="20"/>
      <c r="K300" s="20"/>
      <c r="L300" s="20"/>
      <c r="M300" s="20"/>
      <c r="N300" s="20"/>
      <c r="O300" s="20"/>
      <c r="P300" s="20"/>
      <c r="Q300" s="20"/>
      <c r="R300" s="20"/>
      <c r="S300" s="20"/>
      <c r="T300" s="20"/>
      <c r="U300" s="20"/>
      <c r="V300" s="20"/>
      <c r="W300" s="20"/>
      <c r="X300" s="20"/>
      <c r="Y300" s="20"/>
      <c r="Z300" s="20"/>
      <c r="AA300" s="20"/>
    </row>
    <row r="301" spans="1:27" ht="17.25" customHeight="1">
      <c r="A301" s="57"/>
      <c r="B301" s="57"/>
      <c r="C301" s="57"/>
      <c r="D301" s="57"/>
      <c r="E301" s="57"/>
      <c r="F301" s="57"/>
      <c r="G301" s="57"/>
      <c r="H301" s="20"/>
      <c r="I301" s="20"/>
      <c r="J301" s="20"/>
      <c r="K301" s="20"/>
      <c r="L301" s="20"/>
      <c r="M301" s="20"/>
      <c r="N301" s="20"/>
      <c r="O301" s="20"/>
      <c r="P301" s="20"/>
      <c r="Q301" s="20"/>
      <c r="R301" s="20"/>
      <c r="S301" s="20"/>
      <c r="T301" s="20"/>
      <c r="U301" s="20"/>
      <c r="V301" s="20"/>
      <c r="W301" s="20"/>
      <c r="X301" s="20"/>
      <c r="Y301" s="20"/>
      <c r="Z301" s="20"/>
      <c r="AA301" s="20"/>
    </row>
    <row r="302" spans="1:27" ht="17.25" customHeight="1">
      <c r="A302" s="57"/>
      <c r="B302" s="57"/>
      <c r="C302" s="57"/>
      <c r="D302" s="57"/>
      <c r="E302" s="57"/>
      <c r="F302" s="57"/>
      <c r="G302" s="57"/>
      <c r="H302" s="20"/>
      <c r="I302" s="20"/>
      <c r="J302" s="20"/>
      <c r="K302" s="20"/>
      <c r="L302" s="20"/>
      <c r="M302" s="20"/>
      <c r="N302" s="20"/>
      <c r="O302" s="20"/>
      <c r="P302" s="20"/>
      <c r="Q302" s="20"/>
      <c r="R302" s="20"/>
      <c r="S302" s="20"/>
      <c r="T302" s="20"/>
      <c r="U302" s="20"/>
      <c r="V302" s="20"/>
      <c r="W302" s="20"/>
      <c r="X302" s="20"/>
      <c r="Y302" s="20"/>
      <c r="Z302" s="20"/>
      <c r="AA302" s="20"/>
    </row>
    <row r="303" spans="1:27" ht="17.25" customHeight="1">
      <c r="A303" s="57"/>
      <c r="B303" s="57"/>
      <c r="C303" s="57"/>
      <c r="D303" s="57"/>
      <c r="E303" s="57"/>
      <c r="F303" s="57"/>
      <c r="G303" s="57"/>
      <c r="H303" s="20"/>
      <c r="I303" s="20"/>
      <c r="J303" s="20"/>
      <c r="K303" s="20"/>
      <c r="L303" s="20"/>
      <c r="M303" s="20"/>
      <c r="N303" s="20"/>
      <c r="O303" s="20"/>
      <c r="P303" s="20"/>
      <c r="Q303" s="20"/>
      <c r="R303" s="20"/>
      <c r="S303" s="20"/>
      <c r="T303" s="20"/>
      <c r="U303" s="20"/>
      <c r="V303" s="20"/>
      <c r="W303" s="20"/>
      <c r="X303" s="20"/>
      <c r="Y303" s="20"/>
      <c r="Z303" s="20"/>
      <c r="AA303" s="20"/>
    </row>
    <row r="304" spans="1:27" ht="17.25" customHeight="1">
      <c r="A304" s="57"/>
      <c r="B304" s="57"/>
      <c r="C304" s="57"/>
      <c r="D304" s="57"/>
      <c r="E304" s="57"/>
      <c r="F304" s="57"/>
      <c r="G304" s="57"/>
      <c r="H304" s="20"/>
      <c r="I304" s="20"/>
      <c r="J304" s="20"/>
      <c r="K304" s="20"/>
      <c r="L304" s="20"/>
      <c r="M304" s="20"/>
      <c r="N304" s="20"/>
      <c r="O304" s="20"/>
      <c r="P304" s="20"/>
      <c r="Q304" s="20"/>
      <c r="R304" s="20"/>
      <c r="S304" s="20"/>
      <c r="T304" s="20"/>
      <c r="U304" s="20"/>
      <c r="V304" s="20"/>
      <c r="W304" s="20"/>
      <c r="X304" s="20"/>
      <c r="Y304" s="20"/>
      <c r="Z304" s="20"/>
      <c r="AA304" s="20"/>
    </row>
    <row r="305" spans="1:27" ht="17.25" customHeight="1">
      <c r="A305" s="57"/>
      <c r="B305" s="57"/>
      <c r="C305" s="57"/>
      <c r="D305" s="57"/>
      <c r="E305" s="57"/>
      <c r="F305" s="57"/>
      <c r="G305" s="57"/>
      <c r="H305" s="20"/>
      <c r="I305" s="20"/>
      <c r="J305" s="20"/>
      <c r="K305" s="20"/>
      <c r="L305" s="20"/>
      <c r="M305" s="20"/>
      <c r="N305" s="20"/>
      <c r="O305" s="20"/>
      <c r="P305" s="20"/>
      <c r="Q305" s="20"/>
      <c r="R305" s="20"/>
      <c r="S305" s="20"/>
      <c r="T305" s="20"/>
      <c r="U305" s="20"/>
      <c r="V305" s="20"/>
      <c r="W305" s="20"/>
      <c r="X305" s="20"/>
      <c r="Y305" s="20"/>
      <c r="Z305" s="20"/>
      <c r="AA305" s="20"/>
    </row>
    <row r="306" spans="1:27" ht="17.25" customHeight="1">
      <c r="A306" s="57"/>
      <c r="B306" s="57"/>
      <c r="C306" s="57"/>
      <c r="D306" s="57"/>
      <c r="E306" s="57"/>
      <c r="F306" s="57"/>
      <c r="G306" s="57"/>
      <c r="H306" s="20"/>
      <c r="I306" s="20"/>
      <c r="J306" s="20"/>
      <c r="K306" s="20"/>
      <c r="L306" s="20"/>
      <c r="M306" s="20"/>
      <c r="N306" s="20"/>
      <c r="O306" s="20"/>
      <c r="P306" s="20"/>
      <c r="Q306" s="20"/>
      <c r="R306" s="20"/>
      <c r="S306" s="20"/>
      <c r="T306" s="20"/>
      <c r="U306" s="20"/>
      <c r="V306" s="20"/>
      <c r="W306" s="20"/>
      <c r="X306" s="20"/>
      <c r="Y306" s="20"/>
      <c r="Z306" s="20"/>
      <c r="AA306" s="20"/>
    </row>
    <row r="307" spans="1:27" ht="17.25" customHeight="1">
      <c r="A307" s="57"/>
      <c r="B307" s="57"/>
      <c r="C307" s="57"/>
      <c r="D307" s="57"/>
      <c r="E307" s="57"/>
      <c r="F307" s="57"/>
      <c r="G307" s="57"/>
      <c r="H307" s="20"/>
      <c r="I307" s="20"/>
      <c r="J307" s="20"/>
      <c r="K307" s="20"/>
      <c r="L307" s="20"/>
      <c r="M307" s="20"/>
      <c r="N307" s="20"/>
      <c r="O307" s="20"/>
      <c r="P307" s="20"/>
      <c r="Q307" s="20"/>
      <c r="R307" s="20"/>
      <c r="S307" s="20"/>
      <c r="T307" s="20"/>
      <c r="U307" s="20"/>
      <c r="V307" s="20"/>
      <c r="W307" s="20"/>
      <c r="X307" s="20"/>
      <c r="Y307" s="20"/>
      <c r="Z307" s="20"/>
      <c r="AA307" s="20"/>
    </row>
    <row r="308" spans="1:27" ht="17.25" customHeight="1">
      <c r="A308" s="57"/>
      <c r="B308" s="57"/>
      <c r="C308" s="57"/>
      <c r="D308" s="57"/>
      <c r="E308" s="57"/>
      <c r="F308" s="57"/>
      <c r="G308" s="57"/>
      <c r="H308" s="20"/>
      <c r="I308" s="20"/>
      <c r="J308" s="20"/>
      <c r="K308" s="20"/>
      <c r="L308" s="20"/>
      <c r="M308" s="20"/>
      <c r="N308" s="20"/>
      <c r="O308" s="20"/>
      <c r="P308" s="20"/>
      <c r="Q308" s="20"/>
      <c r="R308" s="20"/>
      <c r="S308" s="20"/>
      <c r="T308" s="20"/>
      <c r="U308" s="20"/>
      <c r="V308" s="20"/>
      <c r="W308" s="20"/>
      <c r="X308" s="20"/>
      <c r="Y308" s="20"/>
      <c r="Z308" s="20"/>
      <c r="AA308" s="20"/>
    </row>
    <row r="309" spans="1:27" ht="17.25" customHeight="1">
      <c r="A309" s="57"/>
      <c r="B309" s="57"/>
      <c r="C309" s="57"/>
      <c r="D309" s="57"/>
      <c r="E309" s="57"/>
      <c r="F309" s="57"/>
      <c r="G309" s="57"/>
      <c r="H309" s="20"/>
      <c r="I309" s="20"/>
      <c r="J309" s="20"/>
      <c r="K309" s="20"/>
      <c r="L309" s="20"/>
      <c r="M309" s="20"/>
      <c r="N309" s="20"/>
      <c r="O309" s="20"/>
      <c r="P309" s="20"/>
      <c r="Q309" s="20"/>
      <c r="R309" s="20"/>
      <c r="S309" s="20"/>
      <c r="T309" s="20"/>
      <c r="U309" s="20"/>
      <c r="V309" s="20"/>
      <c r="W309" s="20"/>
      <c r="X309" s="20"/>
      <c r="Y309" s="20"/>
      <c r="Z309" s="20"/>
      <c r="AA309" s="20"/>
    </row>
    <row r="310" spans="1:27" ht="17.25" customHeight="1">
      <c r="A310" s="57"/>
      <c r="B310" s="57"/>
      <c r="C310" s="57"/>
      <c r="D310" s="57"/>
      <c r="E310" s="57"/>
      <c r="F310" s="57"/>
      <c r="G310" s="57"/>
      <c r="H310" s="20"/>
      <c r="I310" s="20"/>
      <c r="J310" s="20"/>
      <c r="K310" s="20"/>
      <c r="L310" s="20"/>
      <c r="M310" s="20"/>
      <c r="N310" s="20"/>
      <c r="O310" s="20"/>
      <c r="P310" s="20"/>
      <c r="Q310" s="20"/>
      <c r="R310" s="20"/>
      <c r="S310" s="20"/>
      <c r="T310" s="20"/>
      <c r="U310" s="20"/>
      <c r="V310" s="20"/>
      <c r="W310" s="20"/>
      <c r="X310" s="20"/>
      <c r="Y310" s="20"/>
      <c r="Z310" s="20"/>
      <c r="AA310" s="20"/>
    </row>
    <row r="311" spans="1:27" ht="17.25" customHeight="1">
      <c r="A311" s="57"/>
      <c r="B311" s="57"/>
      <c r="C311" s="57"/>
      <c r="D311" s="57"/>
      <c r="E311" s="57"/>
      <c r="F311" s="57"/>
      <c r="G311" s="57"/>
      <c r="H311" s="20"/>
      <c r="I311" s="20"/>
      <c r="J311" s="20"/>
      <c r="K311" s="20"/>
      <c r="L311" s="20"/>
      <c r="M311" s="20"/>
      <c r="N311" s="20"/>
      <c r="O311" s="20"/>
      <c r="P311" s="20"/>
      <c r="Q311" s="20"/>
      <c r="R311" s="20"/>
      <c r="S311" s="20"/>
      <c r="T311" s="20"/>
      <c r="U311" s="20"/>
      <c r="V311" s="20"/>
      <c r="W311" s="20"/>
      <c r="X311" s="20"/>
      <c r="Y311" s="20"/>
      <c r="Z311" s="20"/>
      <c r="AA311" s="20"/>
    </row>
    <row r="312" spans="1:27" ht="17.25" customHeight="1">
      <c r="A312" s="57"/>
      <c r="B312" s="57"/>
      <c r="C312" s="57"/>
      <c r="D312" s="57"/>
      <c r="E312" s="57"/>
      <c r="F312" s="57"/>
      <c r="G312" s="57"/>
      <c r="H312" s="20"/>
      <c r="I312" s="20"/>
      <c r="J312" s="20"/>
      <c r="K312" s="20"/>
      <c r="L312" s="20"/>
      <c r="M312" s="20"/>
      <c r="N312" s="20"/>
      <c r="O312" s="20"/>
      <c r="P312" s="20"/>
      <c r="Q312" s="20"/>
      <c r="R312" s="20"/>
      <c r="S312" s="20"/>
      <c r="T312" s="20"/>
      <c r="U312" s="20"/>
      <c r="V312" s="20"/>
      <c r="W312" s="20"/>
      <c r="X312" s="20"/>
      <c r="Y312" s="20"/>
      <c r="Z312" s="20"/>
      <c r="AA312" s="20"/>
    </row>
    <row r="313" spans="1:27" ht="17.25" customHeight="1">
      <c r="A313" s="57"/>
      <c r="B313" s="57"/>
      <c r="C313" s="57"/>
      <c r="D313" s="57"/>
      <c r="E313" s="57"/>
      <c r="F313" s="57"/>
      <c r="G313" s="57"/>
      <c r="H313" s="20"/>
      <c r="I313" s="20"/>
      <c r="J313" s="20"/>
      <c r="K313" s="20"/>
      <c r="L313" s="20"/>
      <c r="M313" s="20"/>
      <c r="N313" s="20"/>
      <c r="O313" s="20"/>
      <c r="P313" s="20"/>
      <c r="Q313" s="20"/>
      <c r="R313" s="20"/>
      <c r="S313" s="20"/>
      <c r="T313" s="20"/>
      <c r="U313" s="20"/>
      <c r="V313" s="20"/>
      <c r="W313" s="20"/>
      <c r="X313" s="20"/>
      <c r="Y313" s="20"/>
      <c r="Z313" s="20"/>
      <c r="AA313" s="20"/>
    </row>
    <row r="314" spans="1:27" ht="17.25" customHeight="1">
      <c r="A314" s="57"/>
      <c r="B314" s="57"/>
      <c r="C314" s="57"/>
      <c r="D314" s="57"/>
      <c r="E314" s="57"/>
      <c r="F314" s="57"/>
      <c r="G314" s="57"/>
      <c r="H314" s="20"/>
      <c r="I314" s="20"/>
      <c r="J314" s="20"/>
      <c r="K314" s="20"/>
      <c r="L314" s="20"/>
      <c r="M314" s="20"/>
      <c r="N314" s="20"/>
      <c r="O314" s="20"/>
      <c r="P314" s="20"/>
      <c r="Q314" s="20"/>
      <c r="R314" s="20"/>
      <c r="S314" s="20"/>
      <c r="T314" s="20"/>
      <c r="U314" s="20"/>
      <c r="V314" s="20"/>
      <c r="W314" s="20"/>
      <c r="X314" s="20"/>
      <c r="Y314" s="20"/>
      <c r="Z314" s="20"/>
      <c r="AA314" s="20"/>
    </row>
    <row r="315" spans="1:27" ht="17.25" customHeight="1">
      <c r="A315" s="57"/>
      <c r="B315" s="57"/>
      <c r="C315" s="57"/>
      <c r="D315" s="57"/>
      <c r="E315" s="57"/>
      <c r="F315" s="57"/>
      <c r="G315" s="57"/>
      <c r="H315" s="20"/>
      <c r="I315" s="20"/>
      <c r="J315" s="20"/>
      <c r="K315" s="20"/>
      <c r="L315" s="20"/>
      <c r="M315" s="20"/>
      <c r="N315" s="20"/>
      <c r="O315" s="20"/>
      <c r="P315" s="20"/>
      <c r="Q315" s="20"/>
      <c r="R315" s="20"/>
      <c r="S315" s="20"/>
      <c r="T315" s="20"/>
      <c r="U315" s="20"/>
      <c r="V315" s="20"/>
      <c r="W315" s="20"/>
      <c r="X315" s="20"/>
      <c r="Y315" s="20"/>
      <c r="Z315" s="20"/>
      <c r="AA315" s="20"/>
    </row>
    <row r="316" spans="1:27" ht="17.25" customHeight="1">
      <c r="A316" s="57"/>
      <c r="B316" s="57"/>
      <c r="C316" s="57"/>
      <c r="D316" s="57"/>
      <c r="E316" s="57"/>
      <c r="F316" s="57"/>
      <c r="G316" s="57"/>
      <c r="H316" s="20"/>
      <c r="I316" s="20"/>
      <c r="J316" s="20"/>
      <c r="K316" s="20"/>
      <c r="L316" s="20"/>
      <c r="M316" s="20"/>
      <c r="N316" s="20"/>
      <c r="O316" s="20"/>
      <c r="P316" s="20"/>
      <c r="Q316" s="20"/>
      <c r="R316" s="20"/>
      <c r="S316" s="20"/>
      <c r="T316" s="20"/>
      <c r="U316" s="20"/>
      <c r="V316" s="20"/>
      <c r="W316" s="20"/>
      <c r="X316" s="20"/>
      <c r="Y316" s="20"/>
      <c r="Z316" s="20"/>
      <c r="AA316" s="20"/>
    </row>
    <row r="317" spans="1:27" ht="17.25" customHeight="1">
      <c r="A317" s="57"/>
      <c r="B317" s="57"/>
      <c r="C317" s="57"/>
      <c r="D317" s="57"/>
      <c r="E317" s="57"/>
      <c r="F317" s="57"/>
      <c r="G317" s="57"/>
      <c r="H317" s="20"/>
      <c r="I317" s="20"/>
      <c r="J317" s="20"/>
      <c r="K317" s="20"/>
      <c r="L317" s="20"/>
      <c r="M317" s="20"/>
      <c r="N317" s="20"/>
      <c r="O317" s="20"/>
      <c r="P317" s="20"/>
      <c r="Q317" s="20"/>
      <c r="R317" s="20"/>
      <c r="S317" s="20"/>
      <c r="T317" s="20"/>
      <c r="U317" s="20"/>
      <c r="V317" s="20"/>
      <c r="W317" s="20"/>
      <c r="X317" s="20"/>
      <c r="Y317" s="20"/>
      <c r="Z317" s="20"/>
      <c r="AA317" s="20"/>
    </row>
    <row r="318" spans="1:27" ht="17.25" customHeight="1">
      <c r="A318" s="57"/>
      <c r="B318" s="57"/>
      <c r="C318" s="57"/>
      <c r="D318" s="57"/>
      <c r="E318" s="57"/>
      <c r="F318" s="57"/>
      <c r="G318" s="57"/>
      <c r="H318" s="20"/>
      <c r="I318" s="20"/>
      <c r="J318" s="20"/>
      <c r="K318" s="20"/>
      <c r="L318" s="20"/>
      <c r="M318" s="20"/>
      <c r="N318" s="20"/>
      <c r="O318" s="20"/>
      <c r="P318" s="20"/>
      <c r="Q318" s="20"/>
      <c r="R318" s="20"/>
      <c r="S318" s="20"/>
      <c r="T318" s="20"/>
      <c r="U318" s="20"/>
      <c r="V318" s="20"/>
      <c r="W318" s="20"/>
      <c r="X318" s="20"/>
      <c r="Y318" s="20"/>
      <c r="Z318" s="20"/>
      <c r="AA318" s="20"/>
    </row>
    <row r="319" spans="1:27" ht="17.25" customHeight="1">
      <c r="A319" s="57"/>
      <c r="B319" s="57"/>
      <c r="C319" s="57"/>
      <c r="D319" s="57"/>
      <c r="E319" s="57"/>
      <c r="F319" s="57"/>
      <c r="G319" s="57"/>
      <c r="H319" s="20"/>
      <c r="I319" s="20"/>
      <c r="J319" s="20"/>
      <c r="K319" s="20"/>
      <c r="L319" s="20"/>
      <c r="M319" s="20"/>
      <c r="N319" s="20"/>
      <c r="O319" s="20"/>
      <c r="P319" s="20"/>
      <c r="Q319" s="20"/>
      <c r="R319" s="20"/>
      <c r="S319" s="20"/>
      <c r="T319" s="20"/>
      <c r="U319" s="20"/>
      <c r="V319" s="20"/>
      <c r="W319" s="20"/>
      <c r="X319" s="20"/>
      <c r="Y319" s="20"/>
      <c r="Z319" s="20"/>
      <c r="AA319" s="20"/>
    </row>
    <row r="320" spans="1:27" ht="17.25" customHeight="1">
      <c r="A320" s="57"/>
      <c r="B320" s="57"/>
      <c r="C320" s="57"/>
      <c r="D320" s="57"/>
      <c r="E320" s="57"/>
      <c r="F320" s="57"/>
      <c r="G320" s="57"/>
      <c r="H320" s="20"/>
      <c r="I320" s="20"/>
      <c r="J320" s="20"/>
      <c r="K320" s="20"/>
      <c r="L320" s="20"/>
      <c r="M320" s="20"/>
      <c r="N320" s="20"/>
      <c r="O320" s="20"/>
      <c r="P320" s="20"/>
      <c r="Q320" s="20"/>
      <c r="R320" s="20"/>
      <c r="S320" s="20"/>
      <c r="T320" s="20"/>
      <c r="U320" s="20"/>
      <c r="V320" s="20"/>
      <c r="W320" s="20"/>
      <c r="X320" s="20"/>
      <c r="Y320" s="20"/>
      <c r="Z320" s="20"/>
      <c r="AA320" s="20"/>
    </row>
    <row r="321" spans="1:27" ht="17.25" customHeight="1">
      <c r="A321" s="57"/>
      <c r="B321" s="57"/>
      <c r="C321" s="57"/>
      <c r="D321" s="57"/>
      <c r="E321" s="57"/>
      <c r="F321" s="57"/>
      <c r="G321" s="57"/>
      <c r="H321" s="20"/>
      <c r="I321" s="20"/>
      <c r="J321" s="20"/>
      <c r="K321" s="20"/>
      <c r="L321" s="20"/>
      <c r="M321" s="20"/>
      <c r="N321" s="20"/>
      <c r="O321" s="20"/>
      <c r="P321" s="20"/>
      <c r="Q321" s="20"/>
      <c r="R321" s="20"/>
      <c r="S321" s="20"/>
      <c r="T321" s="20"/>
      <c r="U321" s="20"/>
      <c r="V321" s="20"/>
      <c r="W321" s="20"/>
      <c r="X321" s="20"/>
      <c r="Y321" s="20"/>
      <c r="Z321" s="20"/>
      <c r="AA321" s="20"/>
    </row>
    <row r="322" spans="1:27" ht="17.25" customHeight="1">
      <c r="A322" s="57"/>
      <c r="B322" s="57"/>
      <c r="C322" s="57"/>
      <c r="D322" s="57"/>
      <c r="E322" s="57"/>
      <c r="F322" s="57"/>
      <c r="G322" s="57"/>
      <c r="H322" s="20"/>
      <c r="I322" s="20"/>
      <c r="J322" s="20"/>
      <c r="K322" s="20"/>
      <c r="L322" s="20"/>
      <c r="M322" s="20"/>
      <c r="N322" s="20"/>
      <c r="O322" s="20"/>
      <c r="P322" s="20"/>
      <c r="Q322" s="20"/>
      <c r="R322" s="20"/>
      <c r="S322" s="20"/>
      <c r="T322" s="20"/>
      <c r="U322" s="20"/>
      <c r="V322" s="20"/>
      <c r="W322" s="20"/>
      <c r="X322" s="20"/>
      <c r="Y322" s="20"/>
      <c r="Z322" s="20"/>
      <c r="AA322" s="20"/>
    </row>
    <row r="323" spans="1:27" ht="17.25" customHeight="1">
      <c r="A323" s="57"/>
      <c r="B323" s="57"/>
      <c r="C323" s="57"/>
      <c r="D323" s="57"/>
      <c r="E323" s="57"/>
      <c r="F323" s="57"/>
      <c r="G323" s="57"/>
      <c r="H323" s="20"/>
      <c r="I323" s="20"/>
      <c r="J323" s="20"/>
      <c r="K323" s="20"/>
      <c r="L323" s="20"/>
      <c r="M323" s="20"/>
      <c r="N323" s="20"/>
      <c r="O323" s="20"/>
      <c r="P323" s="20"/>
      <c r="Q323" s="20"/>
      <c r="R323" s="20"/>
      <c r="S323" s="20"/>
      <c r="T323" s="20"/>
      <c r="U323" s="20"/>
      <c r="V323" s="20"/>
      <c r="W323" s="20"/>
      <c r="X323" s="20"/>
      <c r="Y323" s="20"/>
      <c r="Z323" s="20"/>
      <c r="AA323" s="20"/>
    </row>
    <row r="324" spans="1:27" ht="17.25" customHeight="1">
      <c r="A324" s="57"/>
      <c r="B324" s="57"/>
      <c r="C324" s="57"/>
      <c r="D324" s="57"/>
      <c r="E324" s="57"/>
      <c r="F324" s="57"/>
      <c r="G324" s="57"/>
      <c r="H324" s="20"/>
      <c r="I324" s="20"/>
      <c r="J324" s="20"/>
      <c r="K324" s="20"/>
      <c r="L324" s="20"/>
      <c r="M324" s="20"/>
      <c r="N324" s="20"/>
      <c r="O324" s="20"/>
      <c r="P324" s="20"/>
      <c r="Q324" s="20"/>
      <c r="R324" s="20"/>
      <c r="S324" s="20"/>
      <c r="T324" s="20"/>
      <c r="U324" s="20"/>
      <c r="V324" s="20"/>
      <c r="W324" s="20"/>
      <c r="X324" s="20"/>
      <c r="Y324" s="20"/>
      <c r="Z324" s="20"/>
      <c r="AA324" s="20"/>
    </row>
    <row r="325" spans="1:27" ht="17.25" customHeight="1">
      <c r="A325" s="57"/>
      <c r="B325" s="57"/>
      <c r="C325" s="57"/>
      <c r="D325" s="57"/>
      <c r="E325" s="57"/>
      <c r="F325" s="57"/>
      <c r="G325" s="57"/>
      <c r="H325" s="20"/>
      <c r="I325" s="20"/>
      <c r="J325" s="20"/>
      <c r="K325" s="20"/>
      <c r="L325" s="20"/>
      <c r="M325" s="20"/>
      <c r="N325" s="20"/>
      <c r="O325" s="20"/>
      <c r="P325" s="20"/>
      <c r="Q325" s="20"/>
      <c r="R325" s="20"/>
      <c r="S325" s="20"/>
      <c r="T325" s="20"/>
      <c r="U325" s="20"/>
      <c r="V325" s="20"/>
      <c r="W325" s="20"/>
      <c r="X325" s="20"/>
      <c r="Y325" s="20"/>
      <c r="Z325" s="20"/>
      <c r="AA325" s="20"/>
    </row>
    <row r="326" spans="1:27" ht="17.25" customHeight="1">
      <c r="A326" s="57"/>
      <c r="B326" s="57"/>
      <c r="C326" s="57"/>
      <c r="D326" s="57"/>
      <c r="E326" s="57"/>
      <c r="F326" s="57"/>
      <c r="G326" s="57"/>
      <c r="H326" s="20"/>
      <c r="I326" s="20"/>
      <c r="J326" s="20"/>
      <c r="K326" s="20"/>
      <c r="L326" s="20"/>
      <c r="M326" s="20"/>
      <c r="N326" s="20"/>
      <c r="O326" s="20"/>
      <c r="P326" s="20"/>
      <c r="Q326" s="20"/>
      <c r="R326" s="20"/>
      <c r="S326" s="20"/>
      <c r="T326" s="20"/>
      <c r="U326" s="20"/>
      <c r="V326" s="20"/>
      <c r="W326" s="20"/>
      <c r="X326" s="20"/>
      <c r="Y326" s="20"/>
      <c r="Z326" s="20"/>
      <c r="AA326" s="20"/>
    </row>
    <row r="327" spans="1:27" ht="17.25" customHeight="1">
      <c r="A327" s="57"/>
      <c r="B327" s="57"/>
      <c r="C327" s="57"/>
      <c r="D327" s="57"/>
      <c r="E327" s="57"/>
      <c r="F327" s="57"/>
      <c r="G327" s="57"/>
      <c r="H327" s="20"/>
      <c r="I327" s="20"/>
      <c r="J327" s="20"/>
      <c r="K327" s="20"/>
      <c r="L327" s="20"/>
      <c r="M327" s="20"/>
      <c r="N327" s="20"/>
      <c r="O327" s="20"/>
      <c r="P327" s="20"/>
      <c r="Q327" s="20"/>
      <c r="R327" s="20"/>
      <c r="S327" s="20"/>
      <c r="T327" s="20"/>
      <c r="U327" s="20"/>
      <c r="V327" s="20"/>
      <c r="W327" s="20"/>
      <c r="X327" s="20"/>
      <c r="Y327" s="20"/>
      <c r="Z327" s="20"/>
      <c r="AA327" s="20"/>
    </row>
    <row r="328" spans="1:27" ht="17.25" customHeight="1">
      <c r="A328" s="57"/>
      <c r="B328" s="57"/>
      <c r="C328" s="57"/>
      <c r="D328" s="57"/>
      <c r="E328" s="57"/>
      <c r="F328" s="57"/>
      <c r="G328" s="57"/>
      <c r="H328" s="20"/>
      <c r="I328" s="20"/>
      <c r="J328" s="20"/>
      <c r="K328" s="20"/>
      <c r="L328" s="20"/>
      <c r="M328" s="20"/>
      <c r="N328" s="20"/>
      <c r="O328" s="20"/>
      <c r="P328" s="20"/>
      <c r="Q328" s="20"/>
      <c r="R328" s="20"/>
      <c r="S328" s="20"/>
      <c r="T328" s="20"/>
      <c r="U328" s="20"/>
      <c r="V328" s="20"/>
      <c r="W328" s="20"/>
      <c r="X328" s="20"/>
      <c r="Y328" s="20"/>
      <c r="Z328" s="20"/>
      <c r="AA328" s="20"/>
    </row>
    <row r="329" spans="1:27" ht="17.25" customHeight="1">
      <c r="A329" s="57"/>
      <c r="B329" s="57"/>
      <c r="C329" s="57"/>
      <c r="D329" s="57"/>
      <c r="E329" s="57"/>
      <c r="F329" s="57"/>
      <c r="G329" s="57"/>
      <c r="H329" s="20"/>
      <c r="I329" s="20"/>
      <c r="J329" s="20"/>
      <c r="K329" s="20"/>
      <c r="L329" s="20"/>
      <c r="M329" s="20"/>
      <c r="N329" s="20"/>
      <c r="O329" s="20"/>
      <c r="P329" s="20"/>
      <c r="Q329" s="20"/>
      <c r="R329" s="20"/>
      <c r="S329" s="20"/>
      <c r="T329" s="20"/>
      <c r="U329" s="20"/>
      <c r="V329" s="20"/>
      <c r="W329" s="20"/>
      <c r="X329" s="20"/>
      <c r="Y329" s="20"/>
      <c r="Z329" s="20"/>
      <c r="AA329" s="20"/>
    </row>
    <row r="330" spans="1:27" ht="17.25" customHeight="1">
      <c r="A330" s="57"/>
      <c r="B330" s="57"/>
      <c r="C330" s="57"/>
      <c r="D330" s="57"/>
      <c r="E330" s="57"/>
      <c r="F330" s="57"/>
      <c r="G330" s="57"/>
      <c r="H330" s="20"/>
      <c r="I330" s="20"/>
      <c r="J330" s="20"/>
      <c r="K330" s="20"/>
      <c r="L330" s="20"/>
      <c r="M330" s="20"/>
      <c r="N330" s="20"/>
      <c r="O330" s="20"/>
      <c r="P330" s="20"/>
      <c r="Q330" s="20"/>
      <c r="R330" s="20"/>
      <c r="S330" s="20"/>
      <c r="T330" s="20"/>
      <c r="U330" s="20"/>
      <c r="V330" s="20"/>
      <c r="W330" s="20"/>
      <c r="X330" s="20"/>
      <c r="Y330" s="20"/>
      <c r="Z330" s="20"/>
      <c r="AA330" s="20"/>
    </row>
    <row r="331" spans="1:27" ht="17.25" customHeight="1">
      <c r="A331" s="57"/>
      <c r="B331" s="57"/>
      <c r="C331" s="57"/>
      <c r="D331" s="57"/>
      <c r="E331" s="57"/>
      <c r="F331" s="57"/>
      <c r="G331" s="57"/>
      <c r="H331" s="20"/>
      <c r="I331" s="20"/>
      <c r="J331" s="20"/>
      <c r="K331" s="20"/>
      <c r="L331" s="20"/>
      <c r="M331" s="20"/>
      <c r="N331" s="20"/>
      <c r="O331" s="20"/>
      <c r="P331" s="20"/>
      <c r="Q331" s="20"/>
      <c r="R331" s="20"/>
      <c r="S331" s="20"/>
      <c r="T331" s="20"/>
      <c r="U331" s="20"/>
      <c r="V331" s="20"/>
      <c r="W331" s="20"/>
      <c r="X331" s="20"/>
      <c r="Y331" s="20"/>
      <c r="Z331" s="20"/>
      <c r="AA331" s="20"/>
    </row>
    <row r="332" spans="1:27" ht="17.25" customHeight="1">
      <c r="A332" s="57"/>
      <c r="B332" s="57"/>
      <c r="C332" s="57"/>
      <c r="D332" s="57"/>
      <c r="E332" s="57"/>
      <c r="F332" s="57"/>
      <c r="G332" s="57"/>
      <c r="H332" s="20"/>
      <c r="I332" s="20"/>
      <c r="J332" s="20"/>
      <c r="K332" s="20"/>
      <c r="L332" s="20"/>
      <c r="M332" s="20"/>
      <c r="N332" s="20"/>
      <c r="O332" s="20"/>
      <c r="P332" s="20"/>
      <c r="Q332" s="20"/>
      <c r="R332" s="20"/>
      <c r="S332" s="20"/>
      <c r="T332" s="20"/>
      <c r="U332" s="20"/>
      <c r="V332" s="20"/>
      <c r="W332" s="20"/>
      <c r="X332" s="20"/>
      <c r="Y332" s="20"/>
      <c r="Z332" s="20"/>
      <c r="AA332" s="20"/>
    </row>
    <row r="333" spans="1:27" ht="17.25" customHeight="1">
      <c r="A333" s="57"/>
      <c r="B333" s="57"/>
      <c r="C333" s="57"/>
      <c r="D333" s="57"/>
      <c r="E333" s="57"/>
      <c r="F333" s="57"/>
      <c r="G333" s="57"/>
      <c r="H333" s="20"/>
      <c r="I333" s="20"/>
      <c r="J333" s="20"/>
      <c r="K333" s="20"/>
      <c r="L333" s="20"/>
      <c r="M333" s="20"/>
      <c r="N333" s="20"/>
      <c r="O333" s="20"/>
      <c r="P333" s="20"/>
      <c r="Q333" s="20"/>
      <c r="R333" s="20"/>
      <c r="S333" s="20"/>
      <c r="T333" s="20"/>
      <c r="U333" s="20"/>
      <c r="V333" s="20"/>
      <c r="W333" s="20"/>
      <c r="X333" s="20"/>
      <c r="Y333" s="20"/>
      <c r="Z333" s="20"/>
      <c r="AA333" s="20"/>
    </row>
    <row r="334" spans="1:27" ht="17.25" customHeight="1">
      <c r="A334" s="57"/>
      <c r="B334" s="57"/>
      <c r="C334" s="57"/>
      <c r="D334" s="57"/>
      <c r="E334" s="57"/>
      <c r="F334" s="57"/>
      <c r="G334" s="57"/>
      <c r="H334" s="20"/>
      <c r="I334" s="20"/>
      <c r="J334" s="20"/>
      <c r="K334" s="20"/>
      <c r="L334" s="20"/>
      <c r="M334" s="20"/>
      <c r="N334" s="20"/>
      <c r="O334" s="20"/>
      <c r="P334" s="20"/>
      <c r="Q334" s="20"/>
      <c r="R334" s="20"/>
      <c r="S334" s="20"/>
      <c r="T334" s="20"/>
      <c r="U334" s="20"/>
      <c r="V334" s="20"/>
      <c r="W334" s="20"/>
      <c r="X334" s="20"/>
      <c r="Y334" s="20"/>
      <c r="Z334" s="20"/>
      <c r="AA334" s="20"/>
    </row>
    <row r="335" spans="1:27" ht="17.25" customHeight="1">
      <c r="A335" s="57"/>
      <c r="B335" s="57"/>
      <c r="C335" s="57"/>
      <c r="D335" s="57"/>
      <c r="E335" s="57"/>
      <c r="F335" s="57"/>
      <c r="G335" s="57"/>
      <c r="H335" s="20"/>
      <c r="I335" s="20"/>
      <c r="J335" s="20"/>
      <c r="K335" s="20"/>
      <c r="L335" s="20"/>
      <c r="M335" s="20"/>
      <c r="N335" s="20"/>
      <c r="O335" s="20"/>
      <c r="P335" s="20"/>
      <c r="Q335" s="20"/>
      <c r="R335" s="20"/>
      <c r="S335" s="20"/>
      <c r="T335" s="20"/>
      <c r="U335" s="20"/>
      <c r="V335" s="20"/>
      <c r="W335" s="20"/>
      <c r="X335" s="20"/>
      <c r="Y335" s="20"/>
      <c r="Z335" s="20"/>
      <c r="AA335" s="20"/>
    </row>
    <row r="336" spans="1:27" ht="17.25" customHeight="1">
      <c r="A336" s="57"/>
      <c r="B336" s="57"/>
      <c r="C336" s="57"/>
      <c r="D336" s="57"/>
      <c r="E336" s="57"/>
      <c r="F336" s="57"/>
      <c r="G336" s="57"/>
      <c r="H336" s="20"/>
      <c r="I336" s="20"/>
      <c r="J336" s="20"/>
      <c r="K336" s="20"/>
      <c r="L336" s="20"/>
      <c r="M336" s="20"/>
      <c r="N336" s="20"/>
      <c r="O336" s="20"/>
      <c r="P336" s="20"/>
      <c r="Q336" s="20"/>
      <c r="R336" s="20"/>
      <c r="S336" s="20"/>
      <c r="T336" s="20"/>
      <c r="U336" s="20"/>
      <c r="V336" s="20"/>
      <c r="W336" s="20"/>
      <c r="X336" s="20"/>
      <c r="Y336" s="20"/>
      <c r="Z336" s="20"/>
      <c r="AA336" s="20"/>
    </row>
    <row r="337" spans="1:27" ht="17.25" customHeight="1">
      <c r="A337" s="57"/>
      <c r="B337" s="57"/>
      <c r="C337" s="57"/>
      <c r="D337" s="57"/>
      <c r="E337" s="57"/>
      <c r="F337" s="57"/>
      <c r="G337" s="57"/>
      <c r="H337" s="20"/>
      <c r="I337" s="20"/>
      <c r="J337" s="20"/>
      <c r="K337" s="20"/>
      <c r="L337" s="20"/>
      <c r="M337" s="20"/>
      <c r="N337" s="20"/>
      <c r="O337" s="20"/>
      <c r="P337" s="20"/>
      <c r="Q337" s="20"/>
      <c r="R337" s="20"/>
      <c r="S337" s="20"/>
      <c r="T337" s="20"/>
      <c r="U337" s="20"/>
      <c r="V337" s="20"/>
      <c r="W337" s="20"/>
      <c r="X337" s="20"/>
      <c r="Y337" s="20"/>
      <c r="Z337" s="20"/>
      <c r="AA337" s="20"/>
    </row>
    <row r="338" spans="1:27" ht="17.25" customHeight="1">
      <c r="A338" s="57"/>
      <c r="B338" s="57"/>
      <c r="C338" s="57"/>
      <c r="D338" s="57"/>
      <c r="E338" s="57"/>
      <c r="F338" s="57"/>
      <c r="G338" s="57"/>
      <c r="H338" s="20"/>
      <c r="I338" s="20"/>
      <c r="J338" s="20"/>
      <c r="K338" s="20"/>
      <c r="L338" s="20"/>
      <c r="M338" s="20"/>
      <c r="N338" s="20"/>
      <c r="O338" s="20"/>
      <c r="P338" s="20"/>
      <c r="Q338" s="20"/>
      <c r="R338" s="20"/>
      <c r="S338" s="20"/>
      <c r="T338" s="20"/>
      <c r="U338" s="20"/>
      <c r="V338" s="20"/>
      <c r="W338" s="20"/>
      <c r="X338" s="20"/>
      <c r="Y338" s="20"/>
      <c r="Z338" s="20"/>
      <c r="AA338" s="20"/>
    </row>
    <row r="339" spans="1:27" ht="17.25" customHeight="1">
      <c r="A339" s="57"/>
      <c r="B339" s="57"/>
      <c r="C339" s="57"/>
      <c r="D339" s="57"/>
      <c r="E339" s="57"/>
      <c r="F339" s="57"/>
      <c r="G339" s="57"/>
      <c r="H339" s="20"/>
      <c r="I339" s="20"/>
      <c r="J339" s="20"/>
      <c r="K339" s="20"/>
      <c r="L339" s="20"/>
      <c r="M339" s="20"/>
      <c r="N339" s="20"/>
      <c r="O339" s="20"/>
      <c r="P339" s="20"/>
      <c r="Q339" s="20"/>
      <c r="R339" s="20"/>
      <c r="S339" s="20"/>
      <c r="T339" s="20"/>
      <c r="U339" s="20"/>
      <c r="V339" s="20"/>
      <c r="W339" s="20"/>
      <c r="X339" s="20"/>
      <c r="Y339" s="20"/>
      <c r="Z339" s="20"/>
      <c r="AA339" s="20"/>
    </row>
    <row r="340" spans="1:27" ht="17.25" customHeight="1">
      <c r="A340" s="57"/>
      <c r="B340" s="57"/>
      <c r="C340" s="57"/>
      <c r="D340" s="57"/>
      <c r="E340" s="57"/>
      <c r="F340" s="57"/>
      <c r="G340" s="57"/>
      <c r="H340" s="20"/>
      <c r="I340" s="20"/>
      <c r="J340" s="20"/>
      <c r="K340" s="20"/>
      <c r="L340" s="20"/>
      <c r="M340" s="20"/>
      <c r="N340" s="20"/>
      <c r="O340" s="20"/>
      <c r="P340" s="20"/>
      <c r="Q340" s="20"/>
      <c r="R340" s="20"/>
      <c r="S340" s="20"/>
      <c r="T340" s="20"/>
      <c r="U340" s="20"/>
      <c r="V340" s="20"/>
      <c r="W340" s="20"/>
      <c r="X340" s="20"/>
      <c r="Y340" s="20"/>
      <c r="Z340" s="20"/>
      <c r="AA340" s="20"/>
    </row>
    <row r="341" spans="1:27" ht="17.25" customHeight="1">
      <c r="A341" s="57"/>
      <c r="B341" s="57"/>
      <c r="C341" s="57"/>
      <c r="D341" s="57"/>
      <c r="E341" s="57"/>
      <c r="F341" s="57"/>
      <c r="G341" s="57"/>
      <c r="H341" s="20"/>
      <c r="I341" s="20"/>
      <c r="J341" s="20"/>
      <c r="K341" s="20"/>
      <c r="L341" s="20"/>
      <c r="M341" s="20"/>
      <c r="N341" s="20"/>
      <c r="O341" s="20"/>
      <c r="P341" s="20"/>
      <c r="Q341" s="20"/>
      <c r="R341" s="20"/>
      <c r="S341" s="20"/>
      <c r="T341" s="20"/>
      <c r="U341" s="20"/>
      <c r="V341" s="20"/>
      <c r="W341" s="20"/>
      <c r="X341" s="20"/>
      <c r="Y341" s="20"/>
      <c r="Z341" s="20"/>
      <c r="AA341" s="20"/>
    </row>
    <row r="342" spans="1:27" ht="17.25" customHeight="1">
      <c r="A342" s="57"/>
      <c r="B342" s="57"/>
      <c r="C342" s="57"/>
      <c r="D342" s="57"/>
      <c r="E342" s="57"/>
      <c r="F342" s="57"/>
      <c r="G342" s="57"/>
      <c r="H342" s="20"/>
      <c r="I342" s="20"/>
      <c r="J342" s="20"/>
      <c r="K342" s="20"/>
      <c r="L342" s="20"/>
      <c r="M342" s="20"/>
      <c r="N342" s="20"/>
      <c r="O342" s="20"/>
      <c r="P342" s="20"/>
      <c r="Q342" s="20"/>
      <c r="R342" s="20"/>
      <c r="S342" s="20"/>
      <c r="T342" s="20"/>
      <c r="U342" s="20"/>
      <c r="V342" s="20"/>
      <c r="W342" s="20"/>
      <c r="X342" s="20"/>
      <c r="Y342" s="20"/>
      <c r="Z342" s="20"/>
      <c r="AA342" s="20"/>
    </row>
    <row r="343" spans="1:27" ht="17.25" customHeight="1">
      <c r="A343" s="57"/>
      <c r="B343" s="57"/>
      <c r="C343" s="57"/>
      <c r="D343" s="57"/>
      <c r="E343" s="57"/>
      <c r="F343" s="57"/>
      <c r="G343" s="57"/>
      <c r="H343" s="20"/>
      <c r="I343" s="20"/>
      <c r="J343" s="20"/>
      <c r="K343" s="20"/>
      <c r="L343" s="20"/>
      <c r="M343" s="20"/>
      <c r="N343" s="20"/>
      <c r="O343" s="20"/>
      <c r="P343" s="20"/>
      <c r="Q343" s="20"/>
      <c r="R343" s="20"/>
      <c r="S343" s="20"/>
      <c r="T343" s="20"/>
      <c r="U343" s="20"/>
      <c r="V343" s="20"/>
      <c r="W343" s="20"/>
      <c r="X343" s="20"/>
      <c r="Y343" s="20"/>
      <c r="Z343" s="20"/>
      <c r="AA343" s="20"/>
    </row>
    <row r="344" spans="1:27" ht="17.25" customHeight="1">
      <c r="A344" s="57"/>
      <c r="B344" s="57"/>
      <c r="C344" s="57"/>
      <c r="D344" s="57"/>
      <c r="E344" s="57"/>
      <c r="F344" s="57"/>
      <c r="G344" s="57"/>
      <c r="H344" s="20"/>
      <c r="I344" s="20"/>
      <c r="J344" s="20"/>
      <c r="K344" s="20"/>
      <c r="L344" s="20"/>
      <c r="M344" s="20"/>
      <c r="N344" s="20"/>
      <c r="O344" s="20"/>
      <c r="P344" s="20"/>
      <c r="Q344" s="20"/>
      <c r="R344" s="20"/>
      <c r="S344" s="20"/>
      <c r="T344" s="20"/>
      <c r="U344" s="20"/>
      <c r="V344" s="20"/>
      <c r="W344" s="20"/>
      <c r="X344" s="20"/>
      <c r="Y344" s="20"/>
      <c r="Z344" s="20"/>
      <c r="AA344" s="20"/>
    </row>
    <row r="345" spans="1:27" ht="17.25" customHeight="1">
      <c r="A345" s="57"/>
      <c r="B345" s="57"/>
      <c r="C345" s="57"/>
      <c r="D345" s="57"/>
      <c r="E345" s="57"/>
      <c r="F345" s="57"/>
      <c r="G345" s="57"/>
      <c r="H345" s="20"/>
      <c r="I345" s="20"/>
      <c r="J345" s="20"/>
      <c r="K345" s="20"/>
      <c r="L345" s="20"/>
      <c r="M345" s="20"/>
      <c r="N345" s="20"/>
      <c r="O345" s="20"/>
      <c r="P345" s="20"/>
      <c r="Q345" s="20"/>
      <c r="R345" s="20"/>
      <c r="S345" s="20"/>
      <c r="T345" s="20"/>
      <c r="U345" s="20"/>
      <c r="V345" s="20"/>
      <c r="W345" s="20"/>
      <c r="X345" s="20"/>
      <c r="Y345" s="20"/>
      <c r="Z345" s="20"/>
      <c r="AA345" s="20"/>
    </row>
    <row r="346" spans="1:27" ht="17.25" customHeight="1">
      <c r="A346" s="57"/>
      <c r="B346" s="57"/>
      <c r="C346" s="57"/>
      <c r="D346" s="57"/>
      <c r="E346" s="57"/>
      <c r="F346" s="57"/>
      <c r="G346" s="57"/>
      <c r="H346" s="20"/>
      <c r="I346" s="20"/>
      <c r="J346" s="20"/>
      <c r="K346" s="20"/>
      <c r="L346" s="20"/>
      <c r="M346" s="20"/>
      <c r="N346" s="20"/>
      <c r="O346" s="20"/>
      <c r="P346" s="20"/>
      <c r="Q346" s="20"/>
      <c r="R346" s="20"/>
      <c r="S346" s="20"/>
      <c r="T346" s="20"/>
      <c r="U346" s="20"/>
      <c r="V346" s="20"/>
      <c r="W346" s="20"/>
      <c r="X346" s="20"/>
      <c r="Y346" s="20"/>
      <c r="Z346" s="20"/>
      <c r="AA346" s="20"/>
    </row>
    <row r="347" spans="1:27" ht="17.25" customHeight="1">
      <c r="A347" s="57"/>
      <c r="B347" s="57"/>
      <c r="C347" s="57"/>
      <c r="D347" s="57"/>
      <c r="E347" s="57"/>
      <c r="F347" s="57"/>
      <c r="G347" s="57"/>
      <c r="H347" s="20"/>
      <c r="I347" s="20"/>
      <c r="J347" s="20"/>
      <c r="K347" s="20"/>
      <c r="L347" s="20"/>
      <c r="M347" s="20"/>
      <c r="N347" s="20"/>
      <c r="O347" s="20"/>
      <c r="P347" s="20"/>
      <c r="Q347" s="20"/>
      <c r="R347" s="20"/>
      <c r="S347" s="20"/>
      <c r="T347" s="20"/>
      <c r="U347" s="20"/>
      <c r="V347" s="20"/>
      <c r="W347" s="20"/>
      <c r="X347" s="20"/>
      <c r="Y347" s="20"/>
      <c r="Z347" s="20"/>
      <c r="AA347" s="20"/>
    </row>
    <row r="348" spans="1:27" ht="17.25" customHeight="1">
      <c r="A348" s="57"/>
      <c r="B348" s="57"/>
      <c r="C348" s="57"/>
      <c r="D348" s="57"/>
      <c r="E348" s="57"/>
      <c r="F348" s="57"/>
      <c r="G348" s="57"/>
      <c r="H348" s="20"/>
      <c r="I348" s="20"/>
      <c r="J348" s="20"/>
      <c r="K348" s="20"/>
      <c r="L348" s="20"/>
      <c r="M348" s="20"/>
      <c r="N348" s="20"/>
      <c r="O348" s="20"/>
      <c r="P348" s="20"/>
      <c r="Q348" s="20"/>
      <c r="R348" s="20"/>
      <c r="S348" s="20"/>
      <c r="T348" s="20"/>
      <c r="U348" s="20"/>
      <c r="V348" s="20"/>
      <c r="W348" s="20"/>
      <c r="X348" s="20"/>
      <c r="Y348" s="20"/>
      <c r="Z348" s="20"/>
      <c r="AA348" s="20"/>
    </row>
    <row r="349" spans="1:27" ht="17.25" customHeight="1">
      <c r="A349" s="57"/>
      <c r="B349" s="57"/>
      <c r="C349" s="57"/>
      <c r="D349" s="57"/>
      <c r="E349" s="57"/>
      <c r="F349" s="57"/>
      <c r="G349" s="57"/>
      <c r="H349" s="20"/>
      <c r="I349" s="20"/>
      <c r="J349" s="20"/>
      <c r="K349" s="20"/>
      <c r="L349" s="20"/>
      <c r="M349" s="20"/>
      <c r="N349" s="20"/>
      <c r="O349" s="20"/>
      <c r="P349" s="20"/>
      <c r="Q349" s="20"/>
      <c r="R349" s="20"/>
      <c r="S349" s="20"/>
      <c r="T349" s="20"/>
      <c r="U349" s="20"/>
      <c r="V349" s="20"/>
      <c r="W349" s="20"/>
      <c r="X349" s="20"/>
      <c r="Y349" s="20"/>
      <c r="Z349" s="20"/>
      <c r="AA349" s="20"/>
    </row>
    <row r="350" spans="1:27" ht="17.25" customHeight="1">
      <c r="A350" s="57"/>
      <c r="B350" s="57"/>
      <c r="C350" s="57"/>
      <c r="D350" s="57"/>
      <c r="E350" s="57"/>
      <c r="F350" s="57"/>
      <c r="G350" s="57"/>
      <c r="H350" s="20"/>
      <c r="I350" s="20"/>
      <c r="J350" s="20"/>
      <c r="K350" s="20"/>
      <c r="L350" s="20"/>
      <c r="M350" s="20"/>
      <c r="N350" s="20"/>
      <c r="O350" s="20"/>
      <c r="P350" s="20"/>
      <c r="Q350" s="20"/>
      <c r="R350" s="20"/>
      <c r="S350" s="20"/>
      <c r="T350" s="20"/>
      <c r="U350" s="20"/>
      <c r="V350" s="20"/>
      <c r="W350" s="20"/>
      <c r="X350" s="20"/>
      <c r="Y350" s="20"/>
      <c r="Z350" s="20"/>
      <c r="AA350" s="20"/>
    </row>
    <row r="351" spans="1:27" ht="17.25" customHeight="1">
      <c r="A351" s="57"/>
      <c r="B351" s="57"/>
      <c r="C351" s="57"/>
      <c r="D351" s="57"/>
      <c r="E351" s="57"/>
      <c r="F351" s="57"/>
      <c r="G351" s="57"/>
      <c r="H351" s="20"/>
      <c r="I351" s="20"/>
      <c r="J351" s="20"/>
      <c r="K351" s="20"/>
      <c r="L351" s="20"/>
      <c r="M351" s="20"/>
      <c r="N351" s="20"/>
      <c r="O351" s="20"/>
      <c r="P351" s="20"/>
      <c r="Q351" s="20"/>
      <c r="R351" s="20"/>
      <c r="S351" s="20"/>
      <c r="T351" s="20"/>
      <c r="U351" s="20"/>
      <c r="V351" s="20"/>
      <c r="W351" s="20"/>
      <c r="X351" s="20"/>
      <c r="Y351" s="20"/>
      <c r="Z351" s="20"/>
      <c r="AA351" s="20"/>
    </row>
    <row r="352" spans="1:27" ht="17.25" customHeight="1">
      <c r="A352" s="57"/>
      <c r="B352" s="57"/>
      <c r="C352" s="57"/>
      <c r="D352" s="57"/>
      <c r="E352" s="57"/>
      <c r="F352" s="57"/>
      <c r="G352" s="57"/>
      <c r="H352" s="20"/>
      <c r="I352" s="20"/>
      <c r="J352" s="20"/>
      <c r="K352" s="20"/>
      <c r="L352" s="20"/>
      <c r="M352" s="20"/>
      <c r="N352" s="20"/>
      <c r="O352" s="20"/>
      <c r="P352" s="20"/>
      <c r="Q352" s="20"/>
      <c r="R352" s="20"/>
      <c r="S352" s="20"/>
      <c r="T352" s="20"/>
      <c r="U352" s="20"/>
      <c r="V352" s="20"/>
      <c r="W352" s="20"/>
      <c r="X352" s="20"/>
      <c r="Y352" s="20"/>
      <c r="Z352" s="20"/>
      <c r="AA352" s="20"/>
    </row>
    <row r="353" spans="1:27" ht="17.25" customHeight="1">
      <c r="A353" s="57"/>
      <c r="B353" s="57"/>
      <c r="C353" s="57"/>
      <c r="D353" s="57"/>
      <c r="E353" s="57"/>
      <c r="F353" s="57"/>
      <c r="G353" s="57"/>
      <c r="H353" s="20"/>
      <c r="I353" s="20"/>
      <c r="J353" s="20"/>
      <c r="K353" s="20"/>
      <c r="L353" s="20"/>
      <c r="M353" s="20"/>
      <c r="N353" s="20"/>
      <c r="O353" s="20"/>
      <c r="P353" s="20"/>
      <c r="Q353" s="20"/>
      <c r="R353" s="20"/>
      <c r="S353" s="20"/>
      <c r="T353" s="20"/>
      <c r="U353" s="20"/>
      <c r="V353" s="20"/>
      <c r="W353" s="20"/>
      <c r="X353" s="20"/>
      <c r="Y353" s="20"/>
      <c r="Z353" s="20"/>
      <c r="AA353" s="20"/>
    </row>
    <row r="354" spans="1:27" ht="17.25" customHeight="1">
      <c r="A354" s="57"/>
      <c r="B354" s="57"/>
      <c r="C354" s="57"/>
      <c r="D354" s="57"/>
      <c r="E354" s="57"/>
      <c r="F354" s="57"/>
      <c r="G354" s="57"/>
      <c r="H354" s="20"/>
      <c r="I354" s="20"/>
      <c r="J354" s="20"/>
      <c r="K354" s="20"/>
      <c r="L354" s="20"/>
      <c r="M354" s="20"/>
      <c r="N354" s="20"/>
      <c r="O354" s="20"/>
      <c r="P354" s="20"/>
      <c r="Q354" s="20"/>
      <c r="R354" s="20"/>
      <c r="S354" s="20"/>
      <c r="T354" s="20"/>
      <c r="U354" s="20"/>
      <c r="V354" s="20"/>
      <c r="W354" s="20"/>
      <c r="X354" s="20"/>
      <c r="Y354" s="20"/>
      <c r="Z354" s="20"/>
      <c r="AA354" s="20"/>
    </row>
    <row r="355" spans="1:27" ht="17.25" customHeight="1">
      <c r="A355" s="57"/>
      <c r="B355" s="57"/>
      <c r="C355" s="57"/>
      <c r="D355" s="57"/>
      <c r="E355" s="57"/>
      <c r="F355" s="57"/>
      <c r="G355" s="57"/>
      <c r="H355" s="20"/>
      <c r="I355" s="20"/>
      <c r="J355" s="20"/>
      <c r="K355" s="20"/>
      <c r="L355" s="20"/>
      <c r="M355" s="20"/>
      <c r="N355" s="20"/>
      <c r="O355" s="20"/>
      <c r="P355" s="20"/>
      <c r="Q355" s="20"/>
      <c r="R355" s="20"/>
      <c r="S355" s="20"/>
      <c r="T355" s="20"/>
      <c r="U355" s="20"/>
      <c r="V355" s="20"/>
      <c r="W355" s="20"/>
      <c r="X355" s="20"/>
      <c r="Y355" s="20"/>
      <c r="Z355" s="20"/>
      <c r="AA355" s="20"/>
    </row>
    <row r="356" spans="1:27" ht="17.25" customHeight="1">
      <c r="A356" s="57"/>
      <c r="B356" s="57"/>
      <c r="C356" s="57"/>
      <c r="D356" s="57"/>
      <c r="E356" s="57"/>
      <c r="F356" s="57"/>
      <c r="G356" s="57"/>
      <c r="H356" s="20"/>
      <c r="I356" s="20"/>
      <c r="J356" s="20"/>
      <c r="K356" s="20"/>
      <c r="L356" s="20"/>
      <c r="M356" s="20"/>
      <c r="N356" s="20"/>
      <c r="O356" s="20"/>
      <c r="P356" s="20"/>
      <c r="Q356" s="20"/>
      <c r="R356" s="20"/>
      <c r="S356" s="20"/>
      <c r="T356" s="20"/>
      <c r="U356" s="20"/>
      <c r="V356" s="20"/>
      <c r="W356" s="20"/>
      <c r="X356" s="20"/>
      <c r="Y356" s="20"/>
      <c r="Z356" s="20"/>
      <c r="AA356" s="20"/>
    </row>
    <row r="357" spans="1:27" ht="17.25" customHeight="1">
      <c r="A357" s="57"/>
      <c r="B357" s="57"/>
      <c r="C357" s="57"/>
      <c r="D357" s="57"/>
      <c r="E357" s="57"/>
      <c r="F357" s="57"/>
      <c r="G357" s="57"/>
      <c r="H357" s="20"/>
      <c r="I357" s="20"/>
      <c r="J357" s="20"/>
      <c r="K357" s="20"/>
      <c r="L357" s="20"/>
      <c r="M357" s="20"/>
      <c r="N357" s="20"/>
      <c r="O357" s="20"/>
      <c r="P357" s="20"/>
      <c r="Q357" s="20"/>
      <c r="R357" s="20"/>
      <c r="S357" s="20"/>
      <c r="T357" s="20"/>
      <c r="U357" s="20"/>
      <c r="V357" s="20"/>
      <c r="W357" s="20"/>
      <c r="X357" s="20"/>
      <c r="Y357" s="20"/>
      <c r="Z357" s="20"/>
      <c r="AA357" s="20"/>
    </row>
    <row r="358" spans="1:27" ht="17.25" customHeight="1">
      <c r="A358" s="57"/>
      <c r="B358" s="57"/>
      <c r="C358" s="57"/>
      <c r="D358" s="57"/>
      <c r="E358" s="57"/>
      <c r="F358" s="57"/>
      <c r="G358" s="57"/>
      <c r="H358" s="20"/>
      <c r="I358" s="20"/>
      <c r="J358" s="20"/>
      <c r="K358" s="20"/>
      <c r="L358" s="20"/>
      <c r="M358" s="20"/>
      <c r="N358" s="20"/>
      <c r="O358" s="20"/>
      <c r="P358" s="20"/>
      <c r="Q358" s="20"/>
      <c r="R358" s="20"/>
      <c r="S358" s="20"/>
      <c r="T358" s="20"/>
      <c r="U358" s="20"/>
      <c r="V358" s="20"/>
      <c r="W358" s="20"/>
      <c r="X358" s="20"/>
      <c r="Y358" s="20"/>
      <c r="Z358" s="20"/>
      <c r="AA358" s="20"/>
    </row>
    <row r="359" spans="1:27" ht="17.25" customHeight="1">
      <c r="A359" s="57"/>
      <c r="B359" s="57"/>
      <c r="C359" s="57"/>
      <c r="D359" s="57"/>
      <c r="E359" s="57"/>
      <c r="F359" s="57"/>
      <c r="G359" s="57"/>
      <c r="H359" s="20"/>
      <c r="I359" s="20"/>
      <c r="J359" s="20"/>
      <c r="K359" s="20"/>
      <c r="L359" s="20"/>
      <c r="M359" s="20"/>
      <c r="N359" s="20"/>
      <c r="O359" s="20"/>
      <c r="P359" s="20"/>
      <c r="Q359" s="20"/>
      <c r="R359" s="20"/>
      <c r="S359" s="20"/>
      <c r="T359" s="20"/>
      <c r="U359" s="20"/>
      <c r="V359" s="20"/>
      <c r="W359" s="20"/>
      <c r="X359" s="20"/>
      <c r="Y359" s="20"/>
      <c r="Z359" s="20"/>
      <c r="AA359" s="20"/>
    </row>
    <row r="360" spans="1:27" ht="17.25" customHeight="1">
      <c r="A360" s="57"/>
      <c r="B360" s="57"/>
      <c r="C360" s="57"/>
      <c r="D360" s="57"/>
      <c r="E360" s="57"/>
      <c r="F360" s="57"/>
      <c r="G360" s="57"/>
      <c r="H360" s="20"/>
      <c r="I360" s="20"/>
      <c r="J360" s="20"/>
      <c r="K360" s="20"/>
      <c r="L360" s="20"/>
      <c r="M360" s="20"/>
      <c r="N360" s="20"/>
      <c r="O360" s="20"/>
      <c r="P360" s="20"/>
      <c r="Q360" s="20"/>
      <c r="R360" s="20"/>
      <c r="S360" s="20"/>
      <c r="T360" s="20"/>
      <c r="U360" s="20"/>
      <c r="V360" s="20"/>
      <c r="W360" s="20"/>
      <c r="X360" s="20"/>
      <c r="Y360" s="20"/>
      <c r="Z360" s="20"/>
      <c r="AA360" s="20"/>
    </row>
    <row r="361" spans="1:27" ht="17.25" customHeight="1">
      <c r="A361" s="57"/>
      <c r="B361" s="57"/>
      <c r="C361" s="57"/>
      <c r="D361" s="57"/>
      <c r="E361" s="57"/>
      <c r="F361" s="57"/>
      <c r="G361" s="57"/>
      <c r="H361" s="20"/>
      <c r="I361" s="20"/>
      <c r="J361" s="20"/>
      <c r="K361" s="20"/>
      <c r="L361" s="20"/>
      <c r="M361" s="20"/>
      <c r="N361" s="20"/>
      <c r="O361" s="20"/>
      <c r="P361" s="20"/>
      <c r="Q361" s="20"/>
      <c r="R361" s="20"/>
      <c r="S361" s="20"/>
      <c r="T361" s="20"/>
      <c r="U361" s="20"/>
      <c r="V361" s="20"/>
      <c r="W361" s="20"/>
      <c r="X361" s="20"/>
      <c r="Y361" s="20"/>
      <c r="Z361" s="20"/>
      <c r="AA361" s="20"/>
    </row>
    <row r="362" spans="1:27" ht="17.25" customHeight="1">
      <c r="A362" s="57"/>
      <c r="B362" s="57"/>
      <c r="C362" s="57"/>
      <c r="D362" s="57"/>
      <c r="E362" s="57"/>
      <c r="F362" s="57"/>
      <c r="G362" s="57"/>
      <c r="H362" s="20"/>
      <c r="I362" s="20"/>
      <c r="J362" s="20"/>
      <c r="K362" s="20"/>
      <c r="L362" s="20"/>
      <c r="M362" s="20"/>
      <c r="N362" s="20"/>
      <c r="O362" s="20"/>
      <c r="P362" s="20"/>
      <c r="Q362" s="20"/>
      <c r="R362" s="20"/>
      <c r="S362" s="20"/>
      <c r="T362" s="20"/>
      <c r="U362" s="20"/>
      <c r="V362" s="20"/>
      <c r="W362" s="20"/>
      <c r="X362" s="20"/>
      <c r="Y362" s="20"/>
      <c r="Z362" s="20"/>
      <c r="AA362" s="20"/>
    </row>
    <row r="363" spans="1:27" ht="17.25" customHeight="1">
      <c r="A363" s="57"/>
      <c r="B363" s="57"/>
      <c r="C363" s="57"/>
      <c r="D363" s="57"/>
      <c r="E363" s="57"/>
      <c r="F363" s="57"/>
      <c r="G363" s="57"/>
      <c r="H363" s="20"/>
      <c r="I363" s="20"/>
      <c r="J363" s="20"/>
      <c r="K363" s="20"/>
      <c r="L363" s="20"/>
      <c r="M363" s="20"/>
      <c r="N363" s="20"/>
      <c r="O363" s="20"/>
      <c r="P363" s="20"/>
      <c r="Q363" s="20"/>
      <c r="R363" s="20"/>
      <c r="S363" s="20"/>
      <c r="T363" s="20"/>
      <c r="U363" s="20"/>
      <c r="V363" s="20"/>
      <c r="W363" s="20"/>
      <c r="X363" s="20"/>
      <c r="Y363" s="20"/>
      <c r="Z363" s="20"/>
      <c r="AA363" s="20"/>
    </row>
    <row r="364" spans="1:27" ht="17.25" customHeight="1">
      <c r="A364" s="57"/>
      <c r="B364" s="57"/>
      <c r="C364" s="57"/>
      <c r="D364" s="57"/>
      <c r="E364" s="57"/>
      <c r="F364" s="57"/>
      <c r="G364" s="57"/>
      <c r="H364" s="20"/>
      <c r="I364" s="20"/>
      <c r="J364" s="20"/>
      <c r="K364" s="20"/>
      <c r="L364" s="20"/>
      <c r="M364" s="20"/>
      <c r="N364" s="20"/>
      <c r="O364" s="20"/>
      <c r="P364" s="20"/>
      <c r="Q364" s="20"/>
      <c r="R364" s="20"/>
      <c r="S364" s="20"/>
      <c r="T364" s="20"/>
      <c r="U364" s="20"/>
      <c r="V364" s="20"/>
      <c r="W364" s="20"/>
      <c r="X364" s="20"/>
      <c r="Y364" s="20"/>
      <c r="Z364" s="20"/>
      <c r="AA364" s="20"/>
    </row>
    <row r="365" spans="1:27" ht="17.25" customHeight="1">
      <c r="A365" s="57"/>
      <c r="B365" s="57"/>
      <c r="C365" s="57"/>
      <c r="D365" s="57"/>
      <c r="E365" s="57"/>
      <c r="F365" s="57"/>
      <c r="G365" s="57"/>
      <c r="H365" s="20"/>
      <c r="I365" s="20"/>
      <c r="J365" s="20"/>
      <c r="K365" s="20"/>
      <c r="L365" s="20"/>
      <c r="M365" s="20"/>
      <c r="N365" s="20"/>
      <c r="O365" s="20"/>
      <c r="P365" s="20"/>
      <c r="Q365" s="20"/>
      <c r="R365" s="20"/>
      <c r="S365" s="20"/>
      <c r="T365" s="20"/>
      <c r="U365" s="20"/>
      <c r="V365" s="20"/>
      <c r="W365" s="20"/>
      <c r="X365" s="20"/>
      <c r="Y365" s="20"/>
      <c r="Z365" s="20"/>
      <c r="AA365" s="20"/>
    </row>
    <row r="366" spans="1:27" ht="17.25" customHeight="1">
      <c r="A366" s="57"/>
      <c r="B366" s="57"/>
      <c r="C366" s="57"/>
      <c r="D366" s="57"/>
      <c r="E366" s="57"/>
      <c r="F366" s="57"/>
      <c r="G366" s="57"/>
      <c r="H366" s="20"/>
      <c r="I366" s="20"/>
      <c r="J366" s="20"/>
      <c r="K366" s="20"/>
      <c r="L366" s="20"/>
      <c r="M366" s="20"/>
      <c r="N366" s="20"/>
      <c r="O366" s="20"/>
      <c r="P366" s="20"/>
      <c r="Q366" s="20"/>
      <c r="R366" s="20"/>
      <c r="S366" s="20"/>
      <c r="T366" s="20"/>
      <c r="U366" s="20"/>
      <c r="V366" s="20"/>
      <c r="W366" s="20"/>
      <c r="X366" s="20"/>
      <c r="Y366" s="20"/>
      <c r="Z366" s="20"/>
      <c r="AA366" s="20"/>
    </row>
    <row r="367" spans="1:27" ht="17.25" customHeight="1">
      <c r="A367" s="57"/>
      <c r="B367" s="57"/>
      <c r="C367" s="57"/>
      <c r="D367" s="57"/>
      <c r="E367" s="57"/>
      <c r="F367" s="57"/>
      <c r="G367" s="57"/>
      <c r="H367" s="20"/>
      <c r="I367" s="20"/>
      <c r="J367" s="20"/>
      <c r="K367" s="20"/>
      <c r="L367" s="20"/>
      <c r="M367" s="20"/>
      <c r="N367" s="20"/>
      <c r="O367" s="20"/>
      <c r="P367" s="20"/>
      <c r="Q367" s="20"/>
      <c r="R367" s="20"/>
      <c r="S367" s="20"/>
      <c r="T367" s="20"/>
      <c r="U367" s="20"/>
      <c r="V367" s="20"/>
      <c r="W367" s="20"/>
      <c r="X367" s="20"/>
      <c r="Y367" s="20"/>
      <c r="Z367" s="20"/>
      <c r="AA367" s="20"/>
    </row>
    <row r="368" spans="1:27" ht="17.25" customHeight="1">
      <c r="A368" s="57"/>
      <c r="B368" s="57"/>
      <c r="C368" s="57"/>
      <c r="D368" s="57"/>
      <c r="E368" s="57"/>
      <c r="F368" s="57"/>
      <c r="G368" s="57"/>
      <c r="H368" s="20"/>
      <c r="I368" s="20"/>
      <c r="J368" s="20"/>
      <c r="K368" s="20"/>
      <c r="L368" s="20"/>
      <c r="M368" s="20"/>
      <c r="N368" s="20"/>
      <c r="O368" s="20"/>
      <c r="P368" s="20"/>
      <c r="Q368" s="20"/>
      <c r="R368" s="20"/>
      <c r="S368" s="20"/>
      <c r="T368" s="20"/>
      <c r="U368" s="20"/>
      <c r="V368" s="20"/>
      <c r="W368" s="20"/>
      <c r="X368" s="20"/>
      <c r="Y368" s="20"/>
      <c r="Z368" s="20"/>
      <c r="AA368" s="20"/>
    </row>
    <row r="369" spans="1:27" ht="17.25" customHeight="1">
      <c r="A369" s="57"/>
      <c r="B369" s="57"/>
      <c r="C369" s="57"/>
      <c r="D369" s="57"/>
      <c r="E369" s="57"/>
      <c r="F369" s="57"/>
      <c r="G369" s="57"/>
      <c r="H369" s="20"/>
      <c r="I369" s="20"/>
      <c r="J369" s="20"/>
      <c r="K369" s="20"/>
      <c r="L369" s="20"/>
      <c r="M369" s="20"/>
      <c r="N369" s="20"/>
      <c r="O369" s="20"/>
      <c r="P369" s="20"/>
      <c r="Q369" s="20"/>
      <c r="R369" s="20"/>
      <c r="S369" s="20"/>
      <c r="T369" s="20"/>
      <c r="U369" s="20"/>
      <c r="V369" s="20"/>
      <c r="W369" s="20"/>
      <c r="X369" s="20"/>
      <c r="Y369" s="20"/>
      <c r="Z369" s="20"/>
      <c r="AA369" s="20"/>
    </row>
    <row r="370" spans="1:27" ht="17.25" customHeight="1">
      <c r="A370" s="57"/>
      <c r="B370" s="57"/>
      <c r="C370" s="57"/>
      <c r="D370" s="57"/>
      <c r="E370" s="57"/>
      <c r="F370" s="57"/>
      <c r="G370" s="57"/>
      <c r="H370" s="20"/>
      <c r="I370" s="20"/>
      <c r="J370" s="20"/>
      <c r="K370" s="20"/>
      <c r="L370" s="20"/>
      <c r="M370" s="20"/>
      <c r="N370" s="20"/>
      <c r="O370" s="20"/>
      <c r="P370" s="20"/>
      <c r="Q370" s="20"/>
      <c r="R370" s="20"/>
      <c r="S370" s="20"/>
      <c r="T370" s="20"/>
      <c r="U370" s="20"/>
      <c r="V370" s="20"/>
      <c r="W370" s="20"/>
      <c r="X370" s="20"/>
      <c r="Y370" s="20"/>
      <c r="Z370" s="20"/>
      <c r="AA370" s="20"/>
    </row>
    <row r="371" spans="1:27" ht="17.25" customHeight="1">
      <c r="A371" s="57"/>
      <c r="B371" s="57"/>
      <c r="C371" s="57"/>
      <c r="D371" s="57"/>
      <c r="E371" s="57"/>
      <c r="F371" s="57"/>
      <c r="G371" s="57"/>
      <c r="H371" s="20"/>
      <c r="I371" s="20"/>
      <c r="J371" s="20"/>
      <c r="K371" s="20"/>
      <c r="L371" s="20"/>
      <c r="M371" s="20"/>
      <c r="N371" s="20"/>
      <c r="O371" s="20"/>
      <c r="P371" s="20"/>
      <c r="Q371" s="20"/>
      <c r="R371" s="20"/>
      <c r="S371" s="20"/>
      <c r="T371" s="20"/>
      <c r="U371" s="20"/>
      <c r="V371" s="20"/>
      <c r="W371" s="20"/>
      <c r="X371" s="20"/>
      <c r="Y371" s="20"/>
      <c r="Z371" s="20"/>
      <c r="AA371" s="20"/>
    </row>
    <row r="372" spans="1:27" ht="17.25" customHeight="1">
      <c r="A372" s="57"/>
      <c r="B372" s="57"/>
      <c r="C372" s="57"/>
      <c r="D372" s="57"/>
      <c r="E372" s="57"/>
      <c r="F372" s="57"/>
      <c r="G372" s="57"/>
      <c r="H372" s="20"/>
      <c r="I372" s="20"/>
      <c r="J372" s="20"/>
      <c r="K372" s="20"/>
      <c r="L372" s="20"/>
      <c r="M372" s="20"/>
      <c r="N372" s="20"/>
      <c r="O372" s="20"/>
      <c r="P372" s="20"/>
      <c r="Q372" s="20"/>
      <c r="R372" s="20"/>
      <c r="S372" s="20"/>
      <c r="T372" s="20"/>
      <c r="U372" s="20"/>
      <c r="V372" s="20"/>
      <c r="W372" s="20"/>
      <c r="X372" s="20"/>
      <c r="Y372" s="20"/>
      <c r="Z372" s="20"/>
      <c r="AA372" s="20"/>
    </row>
    <row r="373" spans="1:27" ht="17.25" customHeight="1">
      <c r="A373" s="57"/>
      <c r="B373" s="57"/>
      <c r="C373" s="57"/>
      <c r="D373" s="57"/>
      <c r="E373" s="57"/>
      <c r="F373" s="57"/>
      <c r="G373" s="57"/>
      <c r="H373" s="20"/>
      <c r="I373" s="20"/>
      <c r="J373" s="20"/>
      <c r="K373" s="20"/>
      <c r="L373" s="20"/>
      <c r="M373" s="20"/>
      <c r="N373" s="20"/>
      <c r="O373" s="20"/>
      <c r="P373" s="20"/>
      <c r="Q373" s="20"/>
      <c r="R373" s="20"/>
      <c r="S373" s="20"/>
      <c r="T373" s="20"/>
      <c r="U373" s="20"/>
      <c r="V373" s="20"/>
      <c r="W373" s="20"/>
      <c r="X373" s="20"/>
      <c r="Y373" s="20"/>
      <c r="Z373" s="20"/>
      <c r="AA373" s="20"/>
    </row>
    <row r="374" spans="1:27" ht="17.25" customHeight="1">
      <c r="A374" s="57"/>
      <c r="B374" s="57"/>
      <c r="C374" s="57"/>
      <c r="D374" s="57"/>
      <c r="E374" s="57"/>
      <c r="F374" s="57"/>
      <c r="G374" s="57"/>
      <c r="H374" s="20"/>
      <c r="I374" s="20"/>
      <c r="J374" s="20"/>
      <c r="K374" s="20"/>
      <c r="L374" s="20"/>
      <c r="M374" s="20"/>
      <c r="N374" s="20"/>
      <c r="O374" s="20"/>
      <c r="P374" s="20"/>
      <c r="Q374" s="20"/>
      <c r="R374" s="20"/>
      <c r="S374" s="20"/>
      <c r="T374" s="20"/>
      <c r="U374" s="20"/>
      <c r="V374" s="20"/>
      <c r="W374" s="20"/>
      <c r="X374" s="20"/>
      <c r="Y374" s="20"/>
      <c r="Z374" s="20"/>
      <c r="AA374" s="20"/>
    </row>
    <row r="375" spans="1:27" ht="17.25" customHeight="1">
      <c r="A375" s="57"/>
      <c r="B375" s="57"/>
      <c r="C375" s="57"/>
      <c r="D375" s="57"/>
      <c r="E375" s="57"/>
      <c r="F375" s="57"/>
      <c r="G375" s="57"/>
      <c r="H375" s="20"/>
      <c r="I375" s="20"/>
      <c r="J375" s="20"/>
      <c r="K375" s="20"/>
      <c r="L375" s="20"/>
      <c r="M375" s="20"/>
      <c r="N375" s="20"/>
      <c r="O375" s="20"/>
      <c r="P375" s="20"/>
      <c r="Q375" s="20"/>
      <c r="R375" s="20"/>
      <c r="S375" s="20"/>
      <c r="T375" s="20"/>
      <c r="U375" s="20"/>
      <c r="V375" s="20"/>
      <c r="W375" s="20"/>
      <c r="X375" s="20"/>
      <c r="Y375" s="20"/>
      <c r="Z375" s="20"/>
      <c r="AA375" s="20"/>
    </row>
    <row r="376" spans="1:27" ht="17.25" customHeight="1">
      <c r="A376" s="57"/>
      <c r="B376" s="57"/>
      <c r="C376" s="57"/>
      <c r="D376" s="57"/>
      <c r="E376" s="57"/>
      <c r="F376" s="57"/>
      <c r="G376" s="57"/>
      <c r="H376" s="20"/>
      <c r="I376" s="20"/>
      <c r="J376" s="20"/>
      <c r="K376" s="20"/>
      <c r="L376" s="20"/>
      <c r="M376" s="20"/>
      <c r="N376" s="20"/>
      <c r="O376" s="20"/>
      <c r="P376" s="20"/>
      <c r="Q376" s="20"/>
      <c r="R376" s="20"/>
      <c r="S376" s="20"/>
      <c r="T376" s="20"/>
      <c r="U376" s="20"/>
      <c r="V376" s="20"/>
      <c r="W376" s="20"/>
      <c r="X376" s="20"/>
      <c r="Y376" s="20"/>
      <c r="Z376" s="20"/>
      <c r="AA376" s="20"/>
    </row>
    <row r="377" spans="1:27" ht="17.25" customHeight="1">
      <c r="A377" s="57"/>
      <c r="B377" s="57"/>
      <c r="C377" s="57"/>
      <c r="D377" s="57"/>
      <c r="E377" s="57"/>
      <c r="F377" s="57"/>
      <c r="G377" s="57"/>
      <c r="H377" s="20"/>
      <c r="I377" s="20"/>
      <c r="J377" s="20"/>
      <c r="K377" s="20"/>
      <c r="L377" s="20"/>
      <c r="M377" s="20"/>
      <c r="N377" s="20"/>
      <c r="O377" s="20"/>
      <c r="P377" s="20"/>
      <c r="Q377" s="20"/>
      <c r="R377" s="20"/>
      <c r="S377" s="20"/>
      <c r="T377" s="20"/>
      <c r="U377" s="20"/>
      <c r="V377" s="20"/>
      <c r="W377" s="20"/>
      <c r="X377" s="20"/>
      <c r="Y377" s="20"/>
      <c r="Z377" s="20"/>
      <c r="AA377" s="20"/>
    </row>
    <row r="378" spans="1:27" ht="17.25" customHeight="1">
      <c r="A378" s="57"/>
      <c r="B378" s="57"/>
      <c r="C378" s="57"/>
      <c r="D378" s="57"/>
      <c r="E378" s="57"/>
      <c r="F378" s="57"/>
      <c r="G378" s="57"/>
      <c r="H378" s="20"/>
      <c r="I378" s="20"/>
      <c r="J378" s="20"/>
      <c r="K378" s="20"/>
      <c r="L378" s="20"/>
      <c r="M378" s="20"/>
      <c r="N378" s="20"/>
      <c r="O378" s="20"/>
      <c r="P378" s="20"/>
      <c r="Q378" s="20"/>
      <c r="R378" s="20"/>
      <c r="S378" s="20"/>
      <c r="T378" s="20"/>
      <c r="U378" s="20"/>
      <c r="V378" s="20"/>
      <c r="W378" s="20"/>
      <c r="X378" s="20"/>
      <c r="Y378" s="20"/>
      <c r="Z378" s="20"/>
      <c r="AA378" s="20"/>
    </row>
    <row r="379" spans="1:27" ht="17.25" customHeight="1">
      <c r="A379" s="57"/>
      <c r="B379" s="57"/>
      <c r="C379" s="57"/>
      <c r="D379" s="57"/>
      <c r="E379" s="57"/>
      <c r="F379" s="57"/>
      <c r="G379" s="57"/>
      <c r="H379" s="20"/>
      <c r="I379" s="20"/>
      <c r="J379" s="20"/>
      <c r="K379" s="20"/>
      <c r="L379" s="20"/>
      <c r="M379" s="20"/>
      <c r="N379" s="20"/>
      <c r="O379" s="20"/>
      <c r="P379" s="20"/>
      <c r="Q379" s="20"/>
      <c r="R379" s="20"/>
      <c r="S379" s="20"/>
      <c r="T379" s="20"/>
      <c r="U379" s="20"/>
      <c r="V379" s="20"/>
      <c r="W379" s="20"/>
      <c r="X379" s="20"/>
      <c r="Y379" s="20"/>
      <c r="Z379" s="20"/>
      <c r="AA379" s="20"/>
    </row>
    <row r="380" spans="1:27" ht="17.25" customHeight="1">
      <c r="A380" s="57"/>
      <c r="B380" s="57"/>
      <c r="C380" s="57"/>
      <c r="D380" s="57"/>
      <c r="E380" s="57"/>
      <c r="F380" s="57"/>
      <c r="G380" s="57"/>
      <c r="H380" s="20"/>
      <c r="I380" s="20"/>
      <c r="J380" s="20"/>
      <c r="K380" s="20"/>
      <c r="L380" s="20"/>
      <c r="M380" s="20"/>
      <c r="N380" s="20"/>
      <c r="O380" s="20"/>
      <c r="P380" s="20"/>
      <c r="Q380" s="20"/>
      <c r="R380" s="20"/>
      <c r="S380" s="20"/>
      <c r="T380" s="20"/>
      <c r="U380" s="20"/>
      <c r="V380" s="20"/>
      <c r="W380" s="20"/>
      <c r="X380" s="20"/>
      <c r="Y380" s="20"/>
      <c r="Z380" s="20"/>
      <c r="AA380" s="20"/>
    </row>
    <row r="381" spans="1:27" ht="17.25" customHeight="1">
      <c r="A381" s="57"/>
      <c r="B381" s="57"/>
      <c r="C381" s="57"/>
      <c r="D381" s="57"/>
      <c r="E381" s="57"/>
      <c r="F381" s="57"/>
      <c r="G381" s="57"/>
      <c r="H381" s="20"/>
      <c r="I381" s="20"/>
      <c r="J381" s="20"/>
      <c r="K381" s="20"/>
      <c r="L381" s="20"/>
      <c r="M381" s="20"/>
      <c r="N381" s="20"/>
      <c r="O381" s="20"/>
      <c r="P381" s="20"/>
      <c r="Q381" s="20"/>
      <c r="R381" s="20"/>
      <c r="S381" s="20"/>
      <c r="T381" s="20"/>
      <c r="U381" s="20"/>
      <c r="V381" s="20"/>
      <c r="W381" s="20"/>
      <c r="X381" s="20"/>
      <c r="Y381" s="20"/>
      <c r="Z381" s="20"/>
      <c r="AA381" s="20"/>
    </row>
    <row r="382" spans="1:27" ht="17.25" customHeight="1">
      <c r="A382" s="57"/>
      <c r="B382" s="57"/>
      <c r="C382" s="57"/>
      <c r="D382" s="57"/>
      <c r="E382" s="57"/>
      <c r="F382" s="57"/>
      <c r="G382" s="57"/>
      <c r="H382" s="20"/>
      <c r="I382" s="20"/>
      <c r="J382" s="20"/>
      <c r="K382" s="20"/>
      <c r="L382" s="20"/>
      <c r="M382" s="20"/>
      <c r="N382" s="20"/>
      <c r="O382" s="20"/>
      <c r="P382" s="20"/>
      <c r="Q382" s="20"/>
      <c r="R382" s="20"/>
      <c r="S382" s="20"/>
      <c r="T382" s="20"/>
      <c r="U382" s="20"/>
      <c r="V382" s="20"/>
      <c r="W382" s="20"/>
      <c r="X382" s="20"/>
      <c r="Y382" s="20"/>
      <c r="Z382" s="20"/>
      <c r="AA382" s="20"/>
    </row>
    <row r="383" spans="1:27" ht="17.25" customHeight="1">
      <c r="A383" s="57"/>
      <c r="B383" s="57"/>
      <c r="C383" s="57"/>
      <c r="D383" s="57"/>
      <c r="E383" s="57"/>
      <c r="F383" s="57"/>
      <c r="G383" s="57"/>
      <c r="H383" s="20"/>
      <c r="I383" s="20"/>
      <c r="J383" s="20"/>
      <c r="K383" s="20"/>
      <c r="L383" s="20"/>
      <c r="M383" s="20"/>
      <c r="N383" s="20"/>
      <c r="O383" s="20"/>
      <c r="P383" s="20"/>
      <c r="Q383" s="20"/>
      <c r="R383" s="20"/>
      <c r="S383" s="20"/>
      <c r="T383" s="20"/>
      <c r="U383" s="20"/>
      <c r="V383" s="20"/>
      <c r="W383" s="20"/>
      <c r="X383" s="20"/>
      <c r="Y383" s="20"/>
      <c r="Z383" s="20"/>
      <c r="AA383" s="20"/>
    </row>
    <row r="384" spans="1:27" ht="17.25" customHeight="1">
      <c r="A384" s="57"/>
      <c r="B384" s="57"/>
      <c r="C384" s="57"/>
      <c r="D384" s="57"/>
      <c r="E384" s="57"/>
      <c r="F384" s="57"/>
      <c r="G384" s="57"/>
      <c r="H384" s="20"/>
      <c r="I384" s="20"/>
      <c r="J384" s="20"/>
      <c r="K384" s="20"/>
      <c r="L384" s="20"/>
      <c r="M384" s="20"/>
      <c r="N384" s="20"/>
      <c r="O384" s="20"/>
      <c r="P384" s="20"/>
      <c r="Q384" s="20"/>
      <c r="R384" s="20"/>
      <c r="S384" s="20"/>
      <c r="T384" s="20"/>
      <c r="U384" s="20"/>
      <c r="V384" s="20"/>
      <c r="W384" s="20"/>
      <c r="X384" s="20"/>
      <c r="Y384" s="20"/>
      <c r="Z384" s="20"/>
      <c r="AA384" s="20"/>
    </row>
    <row r="385" spans="1:27" ht="17.25" customHeight="1">
      <c r="A385" s="57"/>
      <c r="B385" s="57"/>
      <c r="C385" s="57"/>
      <c r="D385" s="57"/>
      <c r="E385" s="57"/>
      <c r="F385" s="57"/>
      <c r="G385" s="57"/>
      <c r="H385" s="20"/>
      <c r="I385" s="20"/>
      <c r="J385" s="20"/>
      <c r="K385" s="20"/>
      <c r="L385" s="20"/>
      <c r="M385" s="20"/>
      <c r="N385" s="20"/>
      <c r="O385" s="20"/>
      <c r="P385" s="20"/>
      <c r="Q385" s="20"/>
      <c r="R385" s="20"/>
      <c r="S385" s="20"/>
      <c r="T385" s="20"/>
      <c r="U385" s="20"/>
      <c r="V385" s="20"/>
      <c r="W385" s="20"/>
      <c r="X385" s="20"/>
      <c r="Y385" s="20"/>
      <c r="Z385" s="20"/>
      <c r="AA385" s="20"/>
    </row>
    <row r="386" spans="1:27" ht="17.25" customHeight="1">
      <c r="A386" s="57"/>
      <c r="B386" s="57"/>
      <c r="C386" s="57"/>
      <c r="D386" s="57"/>
      <c r="E386" s="57"/>
      <c r="F386" s="57"/>
      <c r="G386" s="57"/>
      <c r="H386" s="20"/>
      <c r="I386" s="20"/>
      <c r="J386" s="20"/>
      <c r="K386" s="20"/>
      <c r="L386" s="20"/>
      <c r="M386" s="20"/>
      <c r="N386" s="20"/>
      <c r="O386" s="20"/>
      <c r="P386" s="20"/>
      <c r="Q386" s="20"/>
      <c r="R386" s="20"/>
      <c r="S386" s="20"/>
      <c r="T386" s="20"/>
      <c r="U386" s="20"/>
      <c r="V386" s="20"/>
      <c r="W386" s="20"/>
      <c r="X386" s="20"/>
      <c r="Y386" s="20"/>
      <c r="Z386" s="20"/>
      <c r="AA386" s="20"/>
    </row>
    <row r="387" spans="1:27" ht="17.25" customHeight="1">
      <c r="A387" s="57"/>
      <c r="B387" s="57"/>
      <c r="C387" s="57"/>
      <c r="D387" s="57"/>
      <c r="E387" s="57"/>
      <c r="F387" s="57"/>
      <c r="G387" s="57"/>
      <c r="H387" s="20"/>
      <c r="I387" s="20"/>
      <c r="J387" s="20"/>
      <c r="K387" s="20"/>
      <c r="L387" s="20"/>
      <c r="M387" s="20"/>
      <c r="N387" s="20"/>
      <c r="O387" s="20"/>
      <c r="P387" s="20"/>
      <c r="Q387" s="20"/>
      <c r="R387" s="20"/>
      <c r="S387" s="20"/>
      <c r="T387" s="20"/>
      <c r="U387" s="20"/>
      <c r="V387" s="20"/>
      <c r="W387" s="20"/>
      <c r="X387" s="20"/>
      <c r="Y387" s="20"/>
      <c r="Z387" s="20"/>
      <c r="AA387" s="20"/>
    </row>
    <row r="388" spans="1:27" ht="17.25" customHeight="1">
      <c r="A388" s="57"/>
      <c r="B388" s="57"/>
      <c r="C388" s="57"/>
      <c r="D388" s="57"/>
      <c r="E388" s="57"/>
      <c r="F388" s="57"/>
      <c r="G388" s="57"/>
      <c r="H388" s="20"/>
      <c r="I388" s="20"/>
      <c r="J388" s="20"/>
      <c r="K388" s="20"/>
      <c r="L388" s="20"/>
      <c r="M388" s="20"/>
      <c r="N388" s="20"/>
      <c r="O388" s="20"/>
      <c r="P388" s="20"/>
      <c r="Q388" s="20"/>
      <c r="R388" s="20"/>
      <c r="S388" s="20"/>
      <c r="T388" s="20"/>
      <c r="U388" s="20"/>
      <c r="V388" s="20"/>
      <c r="W388" s="20"/>
      <c r="X388" s="20"/>
      <c r="Y388" s="20"/>
      <c r="Z388" s="20"/>
      <c r="AA388" s="20"/>
    </row>
    <row r="389" spans="1:27" ht="17.25" customHeight="1">
      <c r="A389" s="57"/>
      <c r="B389" s="57"/>
      <c r="C389" s="57"/>
      <c r="D389" s="57"/>
      <c r="E389" s="57"/>
      <c r="F389" s="57"/>
      <c r="G389" s="57"/>
      <c r="H389" s="20"/>
      <c r="I389" s="20"/>
      <c r="J389" s="20"/>
      <c r="K389" s="20"/>
      <c r="L389" s="20"/>
      <c r="M389" s="20"/>
      <c r="N389" s="20"/>
      <c r="O389" s="20"/>
      <c r="P389" s="20"/>
      <c r="Q389" s="20"/>
      <c r="R389" s="20"/>
      <c r="S389" s="20"/>
      <c r="T389" s="20"/>
      <c r="U389" s="20"/>
      <c r="V389" s="20"/>
      <c r="W389" s="20"/>
      <c r="X389" s="20"/>
      <c r="Y389" s="20"/>
      <c r="Z389" s="20"/>
      <c r="AA389" s="20"/>
    </row>
    <row r="390" spans="1:27" ht="17.25" customHeight="1">
      <c r="A390" s="57"/>
      <c r="B390" s="57"/>
      <c r="C390" s="57"/>
      <c r="D390" s="57"/>
      <c r="E390" s="57"/>
      <c r="F390" s="57"/>
      <c r="G390" s="57"/>
      <c r="H390" s="20"/>
      <c r="I390" s="20"/>
      <c r="J390" s="20"/>
      <c r="K390" s="20"/>
      <c r="L390" s="20"/>
      <c r="M390" s="20"/>
      <c r="N390" s="20"/>
      <c r="O390" s="20"/>
      <c r="P390" s="20"/>
      <c r="Q390" s="20"/>
      <c r="R390" s="20"/>
      <c r="S390" s="20"/>
      <c r="T390" s="20"/>
      <c r="U390" s="20"/>
      <c r="V390" s="20"/>
      <c r="W390" s="20"/>
      <c r="X390" s="20"/>
      <c r="Y390" s="20"/>
      <c r="Z390" s="20"/>
      <c r="AA390" s="20"/>
    </row>
    <row r="391" spans="1:27" ht="17.25" customHeight="1">
      <c r="A391" s="57"/>
      <c r="B391" s="57"/>
      <c r="C391" s="57"/>
      <c r="D391" s="57"/>
      <c r="E391" s="57"/>
      <c r="F391" s="57"/>
      <c r="G391" s="57"/>
      <c r="H391" s="20"/>
      <c r="I391" s="20"/>
      <c r="J391" s="20"/>
      <c r="K391" s="20"/>
      <c r="L391" s="20"/>
      <c r="M391" s="20"/>
      <c r="N391" s="20"/>
      <c r="O391" s="20"/>
      <c r="P391" s="20"/>
      <c r="Q391" s="20"/>
      <c r="R391" s="20"/>
      <c r="S391" s="20"/>
      <c r="T391" s="20"/>
      <c r="U391" s="20"/>
      <c r="V391" s="20"/>
      <c r="W391" s="20"/>
      <c r="X391" s="20"/>
      <c r="Y391" s="20"/>
      <c r="Z391" s="20"/>
      <c r="AA391" s="20"/>
    </row>
    <row r="392" spans="1:27" ht="17.25" customHeight="1">
      <c r="A392" s="57"/>
      <c r="B392" s="57"/>
      <c r="C392" s="57"/>
      <c r="D392" s="57"/>
      <c r="E392" s="57"/>
      <c r="F392" s="57"/>
      <c r="G392" s="57"/>
      <c r="H392" s="20"/>
      <c r="I392" s="20"/>
      <c r="J392" s="20"/>
      <c r="K392" s="20"/>
      <c r="L392" s="20"/>
      <c r="M392" s="20"/>
      <c r="N392" s="20"/>
      <c r="O392" s="20"/>
      <c r="P392" s="20"/>
      <c r="Q392" s="20"/>
      <c r="R392" s="20"/>
      <c r="S392" s="20"/>
      <c r="T392" s="20"/>
      <c r="U392" s="20"/>
      <c r="V392" s="20"/>
      <c r="W392" s="20"/>
      <c r="X392" s="20"/>
      <c r="Y392" s="20"/>
      <c r="Z392" s="20"/>
      <c r="AA392" s="20"/>
    </row>
    <row r="393" spans="1:27" ht="17.25" customHeight="1">
      <c r="A393" s="57"/>
      <c r="B393" s="57"/>
      <c r="C393" s="57"/>
      <c r="D393" s="57"/>
      <c r="E393" s="57"/>
      <c r="F393" s="57"/>
      <c r="G393" s="57"/>
      <c r="H393" s="20"/>
      <c r="I393" s="20"/>
      <c r="J393" s="20"/>
      <c r="K393" s="20"/>
      <c r="L393" s="20"/>
      <c r="M393" s="20"/>
      <c r="N393" s="20"/>
      <c r="O393" s="20"/>
      <c r="P393" s="20"/>
      <c r="Q393" s="20"/>
      <c r="R393" s="20"/>
      <c r="S393" s="20"/>
      <c r="T393" s="20"/>
      <c r="U393" s="20"/>
      <c r="V393" s="20"/>
      <c r="W393" s="20"/>
      <c r="X393" s="20"/>
      <c r="Y393" s="20"/>
      <c r="Z393" s="20"/>
      <c r="AA393" s="20"/>
    </row>
    <row r="394" spans="1:27" ht="17.25" customHeight="1">
      <c r="A394" s="57"/>
      <c r="B394" s="57"/>
      <c r="C394" s="57"/>
      <c r="D394" s="57"/>
      <c r="E394" s="57"/>
      <c r="F394" s="57"/>
      <c r="G394" s="57"/>
      <c r="H394" s="20"/>
      <c r="I394" s="20"/>
      <c r="J394" s="20"/>
      <c r="K394" s="20"/>
      <c r="L394" s="20"/>
      <c r="M394" s="20"/>
      <c r="N394" s="20"/>
      <c r="O394" s="20"/>
      <c r="P394" s="20"/>
      <c r="Q394" s="20"/>
      <c r="R394" s="20"/>
      <c r="S394" s="20"/>
      <c r="T394" s="20"/>
      <c r="U394" s="20"/>
      <c r="V394" s="20"/>
      <c r="W394" s="20"/>
      <c r="X394" s="20"/>
      <c r="Y394" s="20"/>
      <c r="Z394" s="20"/>
      <c r="AA394" s="20"/>
    </row>
    <row r="395" spans="1:27" ht="17.25" customHeight="1">
      <c r="A395" s="57"/>
      <c r="B395" s="57"/>
      <c r="C395" s="57"/>
      <c r="D395" s="57"/>
      <c r="E395" s="57"/>
      <c r="F395" s="57"/>
      <c r="G395" s="57"/>
      <c r="H395" s="20"/>
      <c r="I395" s="20"/>
      <c r="J395" s="20"/>
      <c r="K395" s="20"/>
      <c r="L395" s="20"/>
      <c r="M395" s="20"/>
      <c r="N395" s="20"/>
      <c r="O395" s="20"/>
      <c r="P395" s="20"/>
      <c r="Q395" s="20"/>
      <c r="R395" s="20"/>
      <c r="S395" s="20"/>
      <c r="T395" s="20"/>
      <c r="U395" s="20"/>
      <c r="V395" s="20"/>
      <c r="W395" s="20"/>
      <c r="X395" s="20"/>
      <c r="Y395" s="20"/>
      <c r="Z395" s="20"/>
      <c r="AA395" s="20"/>
    </row>
    <row r="396" spans="1:27" ht="17.25" customHeight="1">
      <c r="A396" s="57"/>
      <c r="B396" s="57"/>
      <c r="C396" s="57"/>
      <c r="D396" s="57"/>
      <c r="E396" s="57"/>
      <c r="F396" s="57"/>
      <c r="G396" s="57"/>
      <c r="H396" s="20"/>
      <c r="I396" s="20"/>
      <c r="J396" s="20"/>
      <c r="K396" s="20"/>
      <c r="L396" s="20"/>
      <c r="M396" s="20"/>
      <c r="N396" s="20"/>
      <c r="O396" s="20"/>
      <c r="P396" s="20"/>
      <c r="Q396" s="20"/>
      <c r="R396" s="20"/>
      <c r="S396" s="20"/>
      <c r="T396" s="20"/>
      <c r="U396" s="20"/>
      <c r="V396" s="20"/>
      <c r="W396" s="20"/>
      <c r="X396" s="20"/>
      <c r="Y396" s="20"/>
      <c r="Z396" s="20"/>
      <c r="AA396" s="20"/>
    </row>
    <row r="397" spans="1:27" ht="17.25" customHeight="1">
      <c r="A397" s="57"/>
      <c r="B397" s="57"/>
      <c r="C397" s="57"/>
      <c r="D397" s="57"/>
      <c r="E397" s="57"/>
      <c r="F397" s="57"/>
      <c r="G397" s="57"/>
      <c r="H397" s="20"/>
      <c r="I397" s="20"/>
      <c r="J397" s="20"/>
      <c r="K397" s="20"/>
      <c r="L397" s="20"/>
      <c r="M397" s="20"/>
      <c r="N397" s="20"/>
      <c r="O397" s="20"/>
      <c r="P397" s="20"/>
      <c r="Q397" s="20"/>
      <c r="R397" s="20"/>
      <c r="S397" s="20"/>
      <c r="T397" s="20"/>
      <c r="U397" s="20"/>
      <c r="V397" s="20"/>
      <c r="W397" s="20"/>
      <c r="X397" s="20"/>
      <c r="Y397" s="20"/>
      <c r="Z397" s="20"/>
      <c r="AA397" s="20"/>
    </row>
    <row r="398" spans="1:27" ht="17.25" customHeight="1">
      <c r="A398" s="57"/>
      <c r="B398" s="57"/>
      <c r="C398" s="57"/>
      <c r="D398" s="57"/>
      <c r="E398" s="57"/>
      <c r="F398" s="57"/>
      <c r="G398" s="57"/>
      <c r="H398" s="20"/>
      <c r="I398" s="20"/>
      <c r="J398" s="20"/>
      <c r="K398" s="20"/>
      <c r="L398" s="20"/>
      <c r="M398" s="20"/>
      <c r="N398" s="20"/>
      <c r="O398" s="20"/>
      <c r="P398" s="20"/>
      <c r="Q398" s="20"/>
      <c r="R398" s="20"/>
      <c r="S398" s="20"/>
      <c r="T398" s="20"/>
      <c r="U398" s="20"/>
      <c r="V398" s="20"/>
      <c r="W398" s="20"/>
      <c r="X398" s="20"/>
      <c r="Y398" s="20"/>
      <c r="Z398" s="20"/>
      <c r="AA398" s="20"/>
    </row>
    <row r="399" spans="1:27" ht="17.25" customHeight="1">
      <c r="A399" s="57"/>
      <c r="B399" s="57"/>
      <c r="C399" s="57"/>
      <c r="D399" s="57"/>
      <c r="E399" s="57"/>
      <c r="F399" s="57"/>
      <c r="G399" s="57"/>
      <c r="H399" s="20"/>
      <c r="I399" s="20"/>
      <c r="J399" s="20"/>
      <c r="K399" s="20"/>
      <c r="L399" s="20"/>
      <c r="M399" s="20"/>
      <c r="N399" s="20"/>
      <c r="O399" s="20"/>
      <c r="P399" s="20"/>
      <c r="Q399" s="20"/>
      <c r="R399" s="20"/>
      <c r="S399" s="20"/>
      <c r="T399" s="20"/>
      <c r="U399" s="20"/>
      <c r="V399" s="20"/>
      <c r="W399" s="20"/>
      <c r="X399" s="20"/>
      <c r="Y399" s="20"/>
      <c r="Z399" s="20"/>
      <c r="AA399" s="20"/>
    </row>
    <row r="400" spans="1:27" ht="17.25" customHeight="1">
      <c r="A400" s="57"/>
      <c r="B400" s="57"/>
      <c r="C400" s="57"/>
      <c r="D400" s="57"/>
      <c r="E400" s="57"/>
      <c r="F400" s="57"/>
      <c r="G400" s="57"/>
      <c r="H400" s="20"/>
      <c r="I400" s="20"/>
      <c r="J400" s="20"/>
      <c r="K400" s="20"/>
      <c r="L400" s="20"/>
      <c r="M400" s="20"/>
      <c r="N400" s="20"/>
      <c r="O400" s="20"/>
      <c r="P400" s="20"/>
      <c r="Q400" s="20"/>
      <c r="R400" s="20"/>
      <c r="S400" s="20"/>
      <c r="T400" s="20"/>
      <c r="U400" s="20"/>
      <c r="V400" s="20"/>
      <c r="W400" s="20"/>
      <c r="X400" s="20"/>
      <c r="Y400" s="20"/>
      <c r="Z400" s="20"/>
      <c r="AA400" s="20"/>
    </row>
    <row r="401" spans="1:27" ht="17.25" customHeight="1">
      <c r="A401" s="57"/>
      <c r="B401" s="57"/>
      <c r="C401" s="57"/>
      <c r="D401" s="57"/>
      <c r="E401" s="57"/>
      <c r="F401" s="57"/>
      <c r="G401" s="57"/>
      <c r="H401" s="20"/>
      <c r="I401" s="20"/>
      <c r="J401" s="20"/>
      <c r="K401" s="20"/>
      <c r="L401" s="20"/>
      <c r="M401" s="20"/>
      <c r="N401" s="20"/>
      <c r="O401" s="20"/>
      <c r="P401" s="20"/>
      <c r="Q401" s="20"/>
      <c r="R401" s="20"/>
      <c r="S401" s="20"/>
      <c r="T401" s="20"/>
      <c r="U401" s="20"/>
      <c r="V401" s="20"/>
      <c r="W401" s="20"/>
      <c r="X401" s="20"/>
      <c r="Y401" s="20"/>
      <c r="Z401" s="20"/>
      <c r="AA401" s="20"/>
    </row>
    <row r="402" spans="1:27" ht="17.25" customHeight="1">
      <c r="A402" s="57"/>
      <c r="B402" s="57"/>
      <c r="C402" s="57"/>
      <c r="D402" s="57"/>
      <c r="E402" s="57"/>
      <c r="F402" s="57"/>
      <c r="G402" s="57"/>
      <c r="H402" s="20"/>
      <c r="I402" s="20"/>
      <c r="J402" s="20"/>
      <c r="K402" s="20"/>
      <c r="L402" s="20"/>
      <c r="M402" s="20"/>
      <c r="N402" s="20"/>
      <c r="O402" s="20"/>
      <c r="P402" s="20"/>
      <c r="Q402" s="20"/>
      <c r="R402" s="20"/>
      <c r="S402" s="20"/>
      <c r="T402" s="20"/>
      <c r="U402" s="20"/>
      <c r="V402" s="20"/>
      <c r="W402" s="20"/>
      <c r="X402" s="20"/>
      <c r="Y402" s="20"/>
      <c r="Z402" s="20"/>
      <c r="AA402" s="20"/>
    </row>
    <row r="403" spans="1:27" ht="17.25" customHeight="1">
      <c r="A403" s="57"/>
      <c r="B403" s="57"/>
      <c r="C403" s="57"/>
      <c r="D403" s="57"/>
      <c r="E403" s="57"/>
      <c r="F403" s="57"/>
      <c r="G403" s="57"/>
      <c r="H403" s="20"/>
      <c r="I403" s="20"/>
      <c r="J403" s="20"/>
      <c r="K403" s="20"/>
      <c r="L403" s="20"/>
      <c r="M403" s="20"/>
      <c r="N403" s="20"/>
      <c r="O403" s="20"/>
      <c r="P403" s="20"/>
      <c r="Q403" s="20"/>
      <c r="R403" s="20"/>
      <c r="S403" s="20"/>
      <c r="T403" s="20"/>
      <c r="U403" s="20"/>
      <c r="V403" s="20"/>
      <c r="W403" s="20"/>
      <c r="X403" s="20"/>
      <c r="Y403" s="20"/>
      <c r="Z403" s="20"/>
      <c r="AA403" s="20"/>
    </row>
    <row r="404" spans="1:27" ht="17.25" customHeight="1">
      <c r="A404" s="57"/>
      <c r="B404" s="57"/>
      <c r="C404" s="57"/>
      <c r="D404" s="57"/>
      <c r="E404" s="57"/>
      <c r="F404" s="57"/>
      <c r="G404" s="57"/>
      <c r="H404" s="20"/>
      <c r="I404" s="20"/>
      <c r="J404" s="20"/>
      <c r="K404" s="20"/>
      <c r="L404" s="20"/>
      <c r="M404" s="20"/>
      <c r="N404" s="20"/>
      <c r="O404" s="20"/>
      <c r="P404" s="20"/>
      <c r="Q404" s="20"/>
      <c r="R404" s="20"/>
      <c r="S404" s="20"/>
      <c r="T404" s="20"/>
      <c r="U404" s="20"/>
      <c r="V404" s="20"/>
      <c r="W404" s="20"/>
      <c r="X404" s="20"/>
      <c r="Y404" s="20"/>
      <c r="Z404" s="20"/>
      <c r="AA404" s="20"/>
    </row>
    <row r="405" spans="1:27" ht="17.25" customHeight="1">
      <c r="A405" s="57"/>
      <c r="B405" s="57"/>
      <c r="C405" s="57"/>
      <c r="D405" s="57"/>
      <c r="E405" s="57"/>
      <c r="F405" s="57"/>
      <c r="G405" s="57"/>
      <c r="H405" s="20"/>
      <c r="I405" s="20"/>
      <c r="J405" s="20"/>
      <c r="K405" s="20"/>
      <c r="L405" s="20"/>
      <c r="M405" s="20"/>
      <c r="N405" s="20"/>
      <c r="O405" s="20"/>
      <c r="P405" s="20"/>
      <c r="Q405" s="20"/>
      <c r="R405" s="20"/>
      <c r="S405" s="20"/>
      <c r="T405" s="20"/>
      <c r="U405" s="20"/>
      <c r="V405" s="20"/>
      <c r="W405" s="20"/>
      <c r="X405" s="20"/>
      <c r="Y405" s="20"/>
      <c r="Z405" s="20"/>
      <c r="AA405" s="20"/>
    </row>
    <row r="406" spans="1:27" ht="17.25" customHeight="1">
      <c r="A406" s="57"/>
      <c r="B406" s="57"/>
      <c r="C406" s="57"/>
      <c r="D406" s="57"/>
      <c r="E406" s="57"/>
      <c r="F406" s="57"/>
      <c r="G406" s="57"/>
      <c r="H406" s="20"/>
      <c r="I406" s="20"/>
      <c r="J406" s="20"/>
      <c r="K406" s="20"/>
      <c r="L406" s="20"/>
      <c r="M406" s="20"/>
      <c r="N406" s="20"/>
      <c r="O406" s="20"/>
      <c r="P406" s="20"/>
      <c r="Q406" s="20"/>
      <c r="R406" s="20"/>
      <c r="S406" s="20"/>
      <c r="T406" s="20"/>
      <c r="U406" s="20"/>
      <c r="V406" s="20"/>
      <c r="W406" s="20"/>
      <c r="X406" s="20"/>
      <c r="Y406" s="20"/>
      <c r="Z406" s="20"/>
      <c r="AA406" s="20"/>
    </row>
    <row r="407" spans="1:27" ht="17.25" customHeight="1">
      <c r="A407" s="57"/>
      <c r="B407" s="57"/>
      <c r="C407" s="57"/>
      <c r="D407" s="57"/>
      <c r="E407" s="57"/>
      <c r="F407" s="57"/>
      <c r="G407" s="57"/>
      <c r="H407" s="20"/>
      <c r="I407" s="20"/>
      <c r="J407" s="20"/>
      <c r="K407" s="20"/>
      <c r="L407" s="20"/>
      <c r="M407" s="20"/>
      <c r="N407" s="20"/>
      <c r="O407" s="20"/>
      <c r="P407" s="20"/>
      <c r="Q407" s="20"/>
      <c r="R407" s="20"/>
      <c r="S407" s="20"/>
      <c r="T407" s="20"/>
      <c r="U407" s="20"/>
      <c r="V407" s="20"/>
      <c r="W407" s="20"/>
      <c r="X407" s="20"/>
      <c r="Y407" s="20"/>
      <c r="Z407" s="20"/>
      <c r="AA407" s="20"/>
    </row>
    <row r="408" spans="1:27" ht="17.25" customHeight="1">
      <c r="A408" s="57"/>
      <c r="B408" s="57"/>
      <c r="C408" s="57"/>
      <c r="D408" s="57"/>
      <c r="E408" s="57"/>
      <c r="F408" s="57"/>
      <c r="G408" s="57"/>
      <c r="H408" s="20"/>
      <c r="I408" s="20"/>
      <c r="J408" s="20"/>
      <c r="K408" s="20"/>
      <c r="L408" s="20"/>
      <c r="M408" s="20"/>
      <c r="N408" s="20"/>
      <c r="O408" s="20"/>
      <c r="P408" s="20"/>
      <c r="Q408" s="20"/>
      <c r="R408" s="20"/>
      <c r="S408" s="20"/>
      <c r="T408" s="20"/>
      <c r="U408" s="20"/>
      <c r="V408" s="20"/>
      <c r="W408" s="20"/>
      <c r="X408" s="20"/>
      <c r="Y408" s="20"/>
      <c r="Z408" s="20"/>
      <c r="AA408" s="20"/>
    </row>
    <row r="409" spans="1:27" ht="17.25" customHeight="1">
      <c r="A409" s="57"/>
      <c r="B409" s="57"/>
      <c r="C409" s="57"/>
      <c r="D409" s="57"/>
      <c r="E409" s="57"/>
      <c r="F409" s="57"/>
      <c r="G409" s="57"/>
      <c r="H409" s="20"/>
      <c r="I409" s="20"/>
      <c r="J409" s="20"/>
      <c r="K409" s="20"/>
      <c r="L409" s="20"/>
      <c r="M409" s="20"/>
      <c r="N409" s="20"/>
      <c r="O409" s="20"/>
      <c r="P409" s="20"/>
      <c r="Q409" s="20"/>
      <c r="R409" s="20"/>
      <c r="S409" s="20"/>
      <c r="T409" s="20"/>
      <c r="U409" s="20"/>
      <c r="V409" s="20"/>
      <c r="W409" s="20"/>
      <c r="X409" s="20"/>
      <c r="Y409" s="20"/>
      <c r="Z409" s="20"/>
      <c r="AA409" s="20"/>
    </row>
    <row r="410" spans="1:27" ht="17.25" customHeight="1">
      <c r="A410" s="57"/>
      <c r="B410" s="57"/>
      <c r="C410" s="57"/>
      <c r="D410" s="57"/>
      <c r="E410" s="57"/>
      <c r="F410" s="57"/>
      <c r="G410" s="57"/>
      <c r="H410" s="20"/>
      <c r="I410" s="20"/>
      <c r="J410" s="20"/>
      <c r="K410" s="20"/>
      <c r="L410" s="20"/>
      <c r="M410" s="20"/>
      <c r="N410" s="20"/>
      <c r="O410" s="20"/>
      <c r="P410" s="20"/>
      <c r="Q410" s="20"/>
      <c r="R410" s="20"/>
      <c r="S410" s="20"/>
      <c r="T410" s="20"/>
      <c r="U410" s="20"/>
      <c r="V410" s="20"/>
      <c r="W410" s="20"/>
      <c r="X410" s="20"/>
      <c r="Y410" s="20"/>
      <c r="Z410" s="20"/>
      <c r="AA410" s="20"/>
    </row>
    <row r="411" spans="1:27" ht="17.25" customHeight="1">
      <c r="A411" s="57"/>
      <c r="B411" s="57"/>
      <c r="C411" s="57"/>
      <c r="D411" s="57"/>
      <c r="E411" s="57"/>
      <c r="F411" s="57"/>
      <c r="G411" s="57"/>
      <c r="H411" s="20"/>
      <c r="I411" s="20"/>
      <c r="J411" s="20"/>
      <c r="K411" s="20"/>
      <c r="L411" s="20"/>
      <c r="M411" s="20"/>
      <c r="N411" s="20"/>
      <c r="O411" s="20"/>
      <c r="P411" s="20"/>
      <c r="Q411" s="20"/>
      <c r="R411" s="20"/>
      <c r="S411" s="20"/>
      <c r="T411" s="20"/>
      <c r="U411" s="20"/>
      <c r="V411" s="20"/>
      <c r="W411" s="20"/>
      <c r="X411" s="20"/>
      <c r="Y411" s="20"/>
      <c r="Z411" s="20"/>
      <c r="AA411" s="20"/>
    </row>
    <row r="412" spans="1:27" ht="17.25" customHeight="1">
      <c r="A412" s="57"/>
      <c r="B412" s="57"/>
      <c r="C412" s="57"/>
      <c r="D412" s="57"/>
      <c r="E412" s="57"/>
      <c r="F412" s="57"/>
      <c r="G412" s="57"/>
      <c r="H412" s="20"/>
      <c r="I412" s="20"/>
      <c r="J412" s="20"/>
      <c r="K412" s="20"/>
      <c r="L412" s="20"/>
      <c r="M412" s="20"/>
      <c r="N412" s="20"/>
      <c r="O412" s="20"/>
      <c r="P412" s="20"/>
      <c r="Q412" s="20"/>
      <c r="R412" s="20"/>
      <c r="S412" s="20"/>
      <c r="T412" s="20"/>
      <c r="U412" s="20"/>
      <c r="V412" s="20"/>
      <c r="W412" s="20"/>
      <c r="X412" s="20"/>
      <c r="Y412" s="20"/>
      <c r="Z412" s="20"/>
      <c r="AA412" s="20"/>
    </row>
    <row r="413" spans="1:27" ht="17.25" customHeight="1">
      <c r="A413" s="57"/>
      <c r="B413" s="57"/>
      <c r="C413" s="57"/>
      <c r="D413" s="57"/>
      <c r="E413" s="57"/>
      <c r="F413" s="57"/>
      <c r="G413" s="57"/>
      <c r="H413" s="20"/>
      <c r="I413" s="20"/>
      <c r="J413" s="20"/>
      <c r="K413" s="20"/>
      <c r="L413" s="20"/>
      <c r="M413" s="20"/>
      <c r="N413" s="20"/>
      <c r="O413" s="20"/>
      <c r="P413" s="20"/>
      <c r="Q413" s="20"/>
      <c r="R413" s="20"/>
      <c r="S413" s="20"/>
      <c r="T413" s="20"/>
      <c r="U413" s="20"/>
      <c r="V413" s="20"/>
      <c r="W413" s="20"/>
      <c r="X413" s="20"/>
      <c r="Y413" s="20"/>
      <c r="Z413" s="20"/>
      <c r="AA413" s="20"/>
    </row>
    <row r="414" spans="1:27" ht="17.25" customHeight="1">
      <c r="A414" s="57"/>
      <c r="B414" s="57"/>
      <c r="C414" s="57"/>
      <c r="D414" s="57"/>
      <c r="E414" s="57"/>
      <c r="F414" s="57"/>
      <c r="G414" s="57"/>
      <c r="H414" s="20"/>
      <c r="I414" s="20"/>
      <c r="J414" s="20"/>
      <c r="K414" s="20"/>
      <c r="L414" s="20"/>
      <c r="M414" s="20"/>
      <c r="N414" s="20"/>
      <c r="O414" s="20"/>
      <c r="P414" s="20"/>
      <c r="Q414" s="20"/>
      <c r="R414" s="20"/>
      <c r="S414" s="20"/>
      <c r="T414" s="20"/>
      <c r="U414" s="20"/>
      <c r="V414" s="20"/>
      <c r="W414" s="20"/>
      <c r="X414" s="20"/>
      <c r="Y414" s="20"/>
      <c r="Z414" s="20"/>
      <c r="AA414" s="20"/>
    </row>
    <row r="415" spans="1:27" ht="17.25" customHeight="1">
      <c r="A415" s="57"/>
      <c r="B415" s="57"/>
      <c r="C415" s="57"/>
      <c r="D415" s="57"/>
      <c r="E415" s="57"/>
      <c r="F415" s="57"/>
      <c r="G415" s="57"/>
      <c r="H415" s="20"/>
      <c r="I415" s="20"/>
      <c r="J415" s="20"/>
      <c r="K415" s="20"/>
      <c r="L415" s="20"/>
      <c r="M415" s="20"/>
      <c r="N415" s="20"/>
      <c r="O415" s="20"/>
      <c r="P415" s="20"/>
      <c r="Q415" s="20"/>
      <c r="R415" s="20"/>
      <c r="S415" s="20"/>
      <c r="T415" s="20"/>
      <c r="U415" s="20"/>
      <c r="V415" s="20"/>
      <c r="W415" s="20"/>
      <c r="X415" s="20"/>
      <c r="Y415" s="20"/>
      <c r="Z415" s="20"/>
      <c r="AA415" s="20"/>
    </row>
    <row r="416" spans="1:27" ht="17.25" customHeight="1">
      <c r="A416" s="57"/>
      <c r="B416" s="57"/>
      <c r="C416" s="57"/>
      <c r="D416" s="57"/>
      <c r="E416" s="57"/>
      <c r="F416" s="57"/>
      <c r="G416" s="57"/>
      <c r="H416" s="20"/>
      <c r="I416" s="20"/>
      <c r="J416" s="20"/>
      <c r="K416" s="20"/>
      <c r="L416" s="20"/>
      <c r="M416" s="20"/>
      <c r="N416" s="20"/>
      <c r="O416" s="20"/>
      <c r="P416" s="20"/>
      <c r="Q416" s="20"/>
      <c r="R416" s="20"/>
      <c r="S416" s="20"/>
      <c r="T416" s="20"/>
      <c r="U416" s="20"/>
      <c r="V416" s="20"/>
      <c r="W416" s="20"/>
      <c r="X416" s="20"/>
      <c r="Y416" s="20"/>
      <c r="Z416" s="20"/>
      <c r="AA416" s="20"/>
    </row>
    <row r="417" spans="1:27" ht="17.25" customHeight="1">
      <c r="A417" s="57"/>
      <c r="B417" s="57"/>
      <c r="C417" s="57"/>
      <c r="D417" s="57"/>
      <c r="E417" s="57"/>
      <c r="F417" s="57"/>
      <c r="G417" s="57"/>
      <c r="H417" s="20"/>
      <c r="I417" s="20"/>
      <c r="J417" s="20"/>
      <c r="K417" s="20"/>
      <c r="L417" s="20"/>
      <c r="M417" s="20"/>
      <c r="N417" s="20"/>
      <c r="O417" s="20"/>
      <c r="P417" s="20"/>
      <c r="Q417" s="20"/>
      <c r="R417" s="20"/>
      <c r="S417" s="20"/>
      <c r="T417" s="20"/>
      <c r="U417" s="20"/>
      <c r="V417" s="20"/>
      <c r="W417" s="20"/>
      <c r="X417" s="20"/>
      <c r="Y417" s="20"/>
      <c r="Z417" s="20"/>
      <c r="AA417" s="20"/>
    </row>
    <row r="418" spans="1:27" ht="17.25" customHeight="1">
      <c r="A418" s="57"/>
      <c r="B418" s="57"/>
      <c r="C418" s="57"/>
      <c r="D418" s="57"/>
      <c r="E418" s="57"/>
      <c r="F418" s="57"/>
      <c r="G418" s="57"/>
      <c r="H418" s="20"/>
      <c r="I418" s="20"/>
      <c r="J418" s="20"/>
      <c r="K418" s="20"/>
      <c r="L418" s="20"/>
      <c r="M418" s="20"/>
      <c r="N418" s="20"/>
      <c r="O418" s="20"/>
      <c r="P418" s="20"/>
      <c r="Q418" s="20"/>
      <c r="R418" s="20"/>
      <c r="S418" s="20"/>
      <c r="T418" s="20"/>
      <c r="U418" s="20"/>
      <c r="V418" s="20"/>
      <c r="W418" s="20"/>
      <c r="X418" s="20"/>
      <c r="Y418" s="20"/>
      <c r="Z418" s="20"/>
      <c r="AA418" s="20"/>
    </row>
    <row r="419" spans="1:27" ht="17.25" customHeight="1">
      <c r="A419" s="57"/>
      <c r="B419" s="57"/>
      <c r="C419" s="57"/>
      <c r="D419" s="57"/>
      <c r="E419" s="57"/>
      <c r="F419" s="57"/>
      <c r="G419" s="57"/>
      <c r="H419" s="20"/>
      <c r="I419" s="20"/>
      <c r="J419" s="20"/>
      <c r="K419" s="20"/>
      <c r="L419" s="20"/>
      <c r="M419" s="20"/>
      <c r="N419" s="20"/>
      <c r="O419" s="20"/>
      <c r="P419" s="20"/>
      <c r="Q419" s="20"/>
      <c r="R419" s="20"/>
      <c r="S419" s="20"/>
      <c r="T419" s="20"/>
      <c r="U419" s="20"/>
      <c r="V419" s="20"/>
      <c r="W419" s="20"/>
      <c r="X419" s="20"/>
      <c r="Y419" s="20"/>
      <c r="Z419" s="20"/>
      <c r="AA419" s="20"/>
    </row>
    <row r="420" spans="1:27" ht="17.25" customHeight="1">
      <c r="A420" s="57"/>
      <c r="B420" s="57"/>
      <c r="C420" s="57"/>
      <c r="D420" s="57"/>
      <c r="E420" s="57"/>
      <c r="F420" s="57"/>
      <c r="G420" s="57"/>
      <c r="H420" s="20"/>
      <c r="I420" s="20"/>
      <c r="J420" s="20"/>
      <c r="K420" s="20"/>
      <c r="L420" s="20"/>
      <c r="M420" s="20"/>
      <c r="N420" s="20"/>
      <c r="O420" s="20"/>
      <c r="P420" s="20"/>
      <c r="Q420" s="20"/>
      <c r="R420" s="20"/>
      <c r="S420" s="20"/>
      <c r="T420" s="20"/>
      <c r="U420" s="20"/>
      <c r="V420" s="20"/>
      <c r="W420" s="20"/>
      <c r="X420" s="20"/>
      <c r="Y420" s="20"/>
      <c r="Z420" s="20"/>
      <c r="AA420" s="20"/>
    </row>
    <row r="421" spans="1:27" ht="17.25" customHeight="1">
      <c r="A421" s="57"/>
      <c r="B421" s="57"/>
      <c r="C421" s="57"/>
      <c r="D421" s="57"/>
      <c r="E421" s="57"/>
      <c r="F421" s="57"/>
      <c r="G421" s="57"/>
      <c r="H421" s="20"/>
      <c r="I421" s="20"/>
      <c r="J421" s="20"/>
      <c r="K421" s="20"/>
      <c r="L421" s="20"/>
      <c r="M421" s="20"/>
      <c r="N421" s="20"/>
      <c r="O421" s="20"/>
      <c r="P421" s="20"/>
      <c r="Q421" s="20"/>
      <c r="R421" s="20"/>
      <c r="S421" s="20"/>
      <c r="T421" s="20"/>
      <c r="U421" s="20"/>
      <c r="V421" s="20"/>
      <c r="W421" s="20"/>
      <c r="X421" s="20"/>
      <c r="Y421" s="20"/>
      <c r="Z421" s="20"/>
      <c r="AA421" s="20"/>
    </row>
    <row r="422" spans="1:27" ht="17.25" customHeight="1">
      <c r="A422" s="57"/>
      <c r="B422" s="57"/>
      <c r="C422" s="57"/>
      <c r="D422" s="57"/>
      <c r="E422" s="57"/>
      <c r="F422" s="57"/>
      <c r="G422" s="57"/>
      <c r="H422" s="20"/>
      <c r="I422" s="20"/>
      <c r="J422" s="20"/>
      <c r="K422" s="20"/>
      <c r="L422" s="20"/>
      <c r="M422" s="20"/>
      <c r="N422" s="20"/>
      <c r="O422" s="20"/>
      <c r="P422" s="20"/>
      <c r="Q422" s="20"/>
      <c r="R422" s="20"/>
      <c r="S422" s="20"/>
      <c r="T422" s="20"/>
      <c r="U422" s="20"/>
      <c r="V422" s="20"/>
      <c r="W422" s="20"/>
      <c r="X422" s="20"/>
      <c r="Y422" s="20"/>
      <c r="Z422" s="20"/>
      <c r="AA422" s="20"/>
    </row>
    <row r="423" spans="1:27" ht="17.25" customHeight="1">
      <c r="A423" s="57"/>
      <c r="B423" s="57"/>
      <c r="C423" s="57"/>
      <c r="D423" s="57"/>
      <c r="E423" s="57"/>
      <c r="F423" s="57"/>
      <c r="G423" s="57"/>
      <c r="H423" s="20"/>
      <c r="I423" s="20"/>
      <c r="J423" s="20"/>
      <c r="K423" s="20"/>
      <c r="L423" s="20"/>
      <c r="M423" s="20"/>
      <c r="N423" s="20"/>
      <c r="O423" s="20"/>
      <c r="P423" s="20"/>
      <c r="Q423" s="20"/>
      <c r="R423" s="20"/>
      <c r="S423" s="20"/>
      <c r="T423" s="20"/>
      <c r="U423" s="20"/>
      <c r="V423" s="20"/>
      <c r="W423" s="20"/>
      <c r="X423" s="20"/>
      <c r="Y423" s="20"/>
      <c r="Z423" s="20"/>
      <c r="AA423" s="20"/>
    </row>
    <row r="424" spans="1:27" ht="17.25" customHeight="1">
      <c r="A424" s="57"/>
      <c r="B424" s="57"/>
      <c r="C424" s="57"/>
      <c r="D424" s="57"/>
      <c r="E424" s="57"/>
      <c r="F424" s="57"/>
      <c r="G424" s="57"/>
      <c r="H424" s="20"/>
      <c r="I424" s="20"/>
      <c r="J424" s="20"/>
      <c r="K424" s="20"/>
      <c r="L424" s="20"/>
      <c r="M424" s="20"/>
      <c r="N424" s="20"/>
      <c r="O424" s="20"/>
      <c r="P424" s="20"/>
      <c r="Q424" s="20"/>
      <c r="R424" s="20"/>
      <c r="S424" s="20"/>
      <c r="T424" s="20"/>
      <c r="U424" s="20"/>
      <c r="V424" s="20"/>
      <c r="W424" s="20"/>
      <c r="X424" s="20"/>
      <c r="Y424" s="20"/>
      <c r="Z424" s="20"/>
      <c r="AA424" s="20"/>
    </row>
    <row r="425" spans="1:27" ht="17.25" customHeight="1">
      <c r="A425" s="57"/>
      <c r="B425" s="57"/>
      <c r="C425" s="57"/>
      <c r="D425" s="57"/>
      <c r="E425" s="57"/>
      <c r="F425" s="57"/>
      <c r="G425" s="57"/>
      <c r="H425" s="20"/>
      <c r="I425" s="20"/>
      <c r="J425" s="20"/>
      <c r="K425" s="20"/>
      <c r="L425" s="20"/>
      <c r="M425" s="20"/>
      <c r="N425" s="20"/>
      <c r="O425" s="20"/>
      <c r="P425" s="20"/>
      <c r="Q425" s="20"/>
      <c r="R425" s="20"/>
      <c r="S425" s="20"/>
      <c r="T425" s="20"/>
      <c r="U425" s="20"/>
      <c r="V425" s="20"/>
      <c r="W425" s="20"/>
      <c r="X425" s="20"/>
      <c r="Y425" s="20"/>
      <c r="Z425" s="20"/>
      <c r="AA425" s="20"/>
    </row>
    <row r="426" spans="1:27" ht="17.25" customHeight="1">
      <c r="A426" s="57"/>
      <c r="B426" s="57"/>
      <c r="C426" s="57"/>
      <c r="D426" s="57"/>
      <c r="E426" s="57"/>
      <c r="F426" s="57"/>
      <c r="G426" s="57"/>
      <c r="H426" s="20"/>
      <c r="I426" s="20"/>
      <c r="J426" s="20"/>
      <c r="K426" s="20"/>
      <c r="L426" s="20"/>
      <c r="M426" s="20"/>
      <c r="N426" s="20"/>
      <c r="O426" s="20"/>
      <c r="P426" s="20"/>
      <c r="Q426" s="20"/>
      <c r="R426" s="20"/>
      <c r="S426" s="20"/>
      <c r="T426" s="20"/>
      <c r="U426" s="20"/>
      <c r="V426" s="20"/>
      <c r="W426" s="20"/>
      <c r="X426" s="20"/>
      <c r="Y426" s="20"/>
      <c r="Z426" s="20"/>
      <c r="AA426" s="20"/>
    </row>
    <row r="427" spans="1:27" ht="17.25" customHeight="1">
      <c r="A427" s="57"/>
      <c r="B427" s="57"/>
      <c r="C427" s="57"/>
      <c r="D427" s="57"/>
      <c r="E427" s="57"/>
      <c r="F427" s="57"/>
      <c r="G427" s="57"/>
      <c r="H427" s="20"/>
      <c r="I427" s="20"/>
      <c r="J427" s="20"/>
      <c r="K427" s="20"/>
      <c r="L427" s="20"/>
      <c r="M427" s="20"/>
      <c r="N427" s="20"/>
      <c r="O427" s="20"/>
      <c r="P427" s="20"/>
      <c r="Q427" s="20"/>
      <c r="R427" s="20"/>
      <c r="S427" s="20"/>
      <c r="T427" s="20"/>
      <c r="U427" s="20"/>
      <c r="V427" s="20"/>
      <c r="W427" s="20"/>
      <c r="X427" s="20"/>
      <c r="Y427" s="20"/>
      <c r="Z427" s="20"/>
      <c r="AA427" s="20"/>
    </row>
    <row r="428" spans="1:27" ht="17.25" customHeight="1">
      <c r="A428" s="57"/>
      <c r="B428" s="57"/>
      <c r="C428" s="57"/>
      <c r="D428" s="57"/>
      <c r="E428" s="57"/>
      <c r="F428" s="57"/>
      <c r="G428" s="57"/>
      <c r="H428" s="20"/>
      <c r="I428" s="20"/>
      <c r="J428" s="20"/>
      <c r="K428" s="20"/>
      <c r="L428" s="20"/>
      <c r="M428" s="20"/>
      <c r="N428" s="20"/>
      <c r="O428" s="20"/>
      <c r="P428" s="20"/>
      <c r="Q428" s="20"/>
      <c r="R428" s="20"/>
      <c r="S428" s="20"/>
      <c r="T428" s="20"/>
      <c r="U428" s="20"/>
      <c r="V428" s="20"/>
      <c r="W428" s="20"/>
      <c r="X428" s="20"/>
      <c r="Y428" s="20"/>
      <c r="Z428" s="20"/>
      <c r="AA428" s="20"/>
    </row>
    <row r="429" spans="1:27" ht="17.25" customHeight="1">
      <c r="A429" s="57"/>
      <c r="B429" s="57"/>
      <c r="C429" s="57"/>
      <c r="D429" s="57"/>
      <c r="E429" s="57"/>
      <c r="F429" s="57"/>
      <c r="G429" s="57"/>
      <c r="H429" s="20"/>
      <c r="I429" s="20"/>
      <c r="J429" s="20"/>
      <c r="K429" s="20"/>
      <c r="L429" s="20"/>
      <c r="M429" s="20"/>
      <c r="N429" s="20"/>
      <c r="O429" s="20"/>
      <c r="P429" s="20"/>
      <c r="Q429" s="20"/>
      <c r="R429" s="20"/>
      <c r="S429" s="20"/>
      <c r="T429" s="20"/>
      <c r="U429" s="20"/>
      <c r="V429" s="20"/>
      <c r="W429" s="20"/>
      <c r="X429" s="20"/>
      <c r="Y429" s="20"/>
      <c r="Z429" s="20"/>
      <c r="AA429" s="20"/>
    </row>
    <row r="430" spans="1:27" ht="17.25" customHeight="1">
      <c r="A430" s="57"/>
      <c r="B430" s="57"/>
      <c r="C430" s="57"/>
      <c r="D430" s="57"/>
      <c r="E430" s="57"/>
      <c r="F430" s="57"/>
      <c r="G430" s="57"/>
      <c r="H430" s="20"/>
      <c r="I430" s="20"/>
      <c r="J430" s="20"/>
      <c r="K430" s="20"/>
      <c r="L430" s="20"/>
      <c r="M430" s="20"/>
      <c r="N430" s="20"/>
      <c r="O430" s="20"/>
      <c r="P430" s="20"/>
      <c r="Q430" s="20"/>
      <c r="R430" s="20"/>
      <c r="S430" s="20"/>
      <c r="T430" s="20"/>
      <c r="U430" s="20"/>
      <c r="V430" s="20"/>
      <c r="W430" s="20"/>
      <c r="X430" s="20"/>
      <c r="Y430" s="20"/>
      <c r="Z430" s="20"/>
      <c r="AA430" s="20"/>
    </row>
    <row r="431" spans="1:27" ht="17.25" customHeight="1">
      <c r="A431" s="57"/>
      <c r="B431" s="57"/>
      <c r="C431" s="57"/>
      <c r="D431" s="57"/>
      <c r="E431" s="57"/>
      <c r="F431" s="57"/>
      <c r="G431" s="57"/>
      <c r="H431" s="20"/>
      <c r="I431" s="20"/>
      <c r="J431" s="20"/>
      <c r="K431" s="20"/>
      <c r="L431" s="20"/>
      <c r="M431" s="20"/>
      <c r="N431" s="20"/>
      <c r="O431" s="20"/>
      <c r="P431" s="20"/>
      <c r="Q431" s="20"/>
      <c r="R431" s="20"/>
      <c r="S431" s="20"/>
      <c r="T431" s="20"/>
      <c r="U431" s="20"/>
      <c r="V431" s="20"/>
      <c r="W431" s="20"/>
      <c r="X431" s="20"/>
      <c r="Y431" s="20"/>
      <c r="Z431" s="20"/>
      <c r="AA431" s="20"/>
    </row>
    <row r="432" spans="1:27" ht="17.25" customHeight="1">
      <c r="A432" s="57"/>
      <c r="B432" s="57"/>
      <c r="C432" s="57"/>
      <c r="D432" s="57"/>
      <c r="E432" s="57"/>
      <c r="F432" s="57"/>
      <c r="G432" s="57"/>
      <c r="H432" s="20"/>
      <c r="I432" s="20"/>
      <c r="J432" s="20"/>
      <c r="K432" s="20"/>
      <c r="L432" s="20"/>
      <c r="M432" s="20"/>
      <c r="N432" s="20"/>
      <c r="O432" s="20"/>
      <c r="P432" s="20"/>
      <c r="Q432" s="20"/>
      <c r="R432" s="20"/>
      <c r="S432" s="20"/>
      <c r="T432" s="20"/>
      <c r="U432" s="20"/>
      <c r="V432" s="20"/>
      <c r="W432" s="20"/>
      <c r="X432" s="20"/>
      <c r="Y432" s="20"/>
      <c r="Z432" s="20"/>
      <c r="AA432" s="20"/>
    </row>
    <row r="433" spans="1:27" ht="17.25" customHeight="1">
      <c r="A433" s="57"/>
      <c r="B433" s="57"/>
      <c r="C433" s="57"/>
      <c r="D433" s="57"/>
      <c r="E433" s="57"/>
      <c r="F433" s="57"/>
      <c r="G433" s="57"/>
      <c r="H433" s="20"/>
      <c r="I433" s="20"/>
      <c r="J433" s="20"/>
      <c r="K433" s="20"/>
      <c r="L433" s="20"/>
      <c r="M433" s="20"/>
      <c r="N433" s="20"/>
      <c r="O433" s="20"/>
      <c r="P433" s="20"/>
      <c r="Q433" s="20"/>
      <c r="R433" s="20"/>
      <c r="S433" s="20"/>
      <c r="T433" s="20"/>
      <c r="U433" s="20"/>
      <c r="V433" s="20"/>
      <c r="W433" s="20"/>
      <c r="X433" s="20"/>
      <c r="Y433" s="20"/>
      <c r="Z433" s="20"/>
      <c r="AA433" s="20"/>
    </row>
    <row r="434" spans="1:27" ht="17.25" customHeight="1">
      <c r="A434" s="57"/>
      <c r="B434" s="57"/>
      <c r="C434" s="57"/>
      <c r="D434" s="57"/>
      <c r="E434" s="57"/>
      <c r="F434" s="57"/>
      <c r="G434" s="57"/>
      <c r="H434" s="20"/>
      <c r="I434" s="20"/>
      <c r="J434" s="20"/>
      <c r="K434" s="20"/>
      <c r="L434" s="20"/>
      <c r="M434" s="20"/>
      <c r="N434" s="20"/>
      <c r="O434" s="20"/>
      <c r="P434" s="20"/>
      <c r="Q434" s="20"/>
      <c r="R434" s="20"/>
      <c r="S434" s="20"/>
      <c r="T434" s="20"/>
      <c r="U434" s="20"/>
      <c r="V434" s="20"/>
      <c r="W434" s="20"/>
      <c r="X434" s="20"/>
      <c r="Y434" s="20"/>
      <c r="Z434" s="20"/>
      <c r="AA434" s="20"/>
    </row>
    <row r="435" spans="1:27" ht="17.25" customHeight="1">
      <c r="A435" s="57"/>
      <c r="B435" s="57"/>
      <c r="C435" s="57"/>
      <c r="D435" s="57"/>
      <c r="E435" s="57"/>
      <c r="F435" s="57"/>
      <c r="G435" s="57"/>
      <c r="H435" s="20"/>
      <c r="I435" s="20"/>
      <c r="J435" s="20"/>
      <c r="K435" s="20"/>
      <c r="L435" s="20"/>
      <c r="M435" s="20"/>
      <c r="N435" s="20"/>
      <c r="O435" s="20"/>
      <c r="P435" s="20"/>
      <c r="Q435" s="20"/>
      <c r="R435" s="20"/>
      <c r="S435" s="20"/>
      <c r="T435" s="20"/>
      <c r="U435" s="20"/>
      <c r="V435" s="20"/>
      <c r="W435" s="20"/>
      <c r="X435" s="20"/>
      <c r="Y435" s="20"/>
      <c r="Z435" s="20"/>
      <c r="AA435" s="20"/>
    </row>
    <row r="436" spans="1:27" ht="17.25" customHeight="1">
      <c r="A436" s="57"/>
      <c r="B436" s="57"/>
      <c r="C436" s="57"/>
      <c r="D436" s="57"/>
      <c r="E436" s="57"/>
      <c r="F436" s="57"/>
      <c r="G436" s="57"/>
      <c r="H436" s="20"/>
      <c r="I436" s="20"/>
      <c r="J436" s="20"/>
      <c r="K436" s="20"/>
      <c r="L436" s="20"/>
      <c r="M436" s="20"/>
      <c r="N436" s="20"/>
      <c r="O436" s="20"/>
      <c r="P436" s="20"/>
      <c r="Q436" s="20"/>
      <c r="R436" s="20"/>
      <c r="S436" s="20"/>
      <c r="T436" s="20"/>
      <c r="U436" s="20"/>
      <c r="V436" s="20"/>
      <c r="W436" s="20"/>
      <c r="X436" s="20"/>
      <c r="Y436" s="20"/>
      <c r="Z436" s="20"/>
      <c r="AA436" s="20"/>
    </row>
    <row r="437" spans="1:27" ht="17.25" customHeight="1">
      <c r="A437" s="57"/>
      <c r="B437" s="57"/>
      <c r="C437" s="57"/>
      <c r="D437" s="57"/>
      <c r="E437" s="57"/>
      <c r="F437" s="57"/>
      <c r="G437" s="57"/>
      <c r="H437" s="20"/>
      <c r="I437" s="20"/>
      <c r="J437" s="20"/>
      <c r="K437" s="20"/>
      <c r="L437" s="20"/>
      <c r="M437" s="20"/>
      <c r="N437" s="20"/>
      <c r="O437" s="20"/>
      <c r="P437" s="20"/>
      <c r="Q437" s="20"/>
      <c r="R437" s="20"/>
      <c r="S437" s="20"/>
      <c r="T437" s="20"/>
      <c r="U437" s="20"/>
      <c r="V437" s="20"/>
      <c r="W437" s="20"/>
      <c r="X437" s="20"/>
      <c r="Y437" s="20"/>
      <c r="Z437" s="20"/>
      <c r="AA437" s="20"/>
    </row>
    <row r="438" spans="1:27" ht="17.25" customHeight="1">
      <c r="A438" s="57"/>
      <c r="B438" s="57"/>
      <c r="C438" s="57"/>
      <c r="D438" s="57"/>
      <c r="E438" s="57"/>
      <c r="F438" s="57"/>
      <c r="G438" s="57"/>
      <c r="H438" s="20"/>
      <c r="I438" s="20"/>
      <c r="J438" s="20"/>
      <c r="K438" s="20"/>
      <c r="L438" s="20"/>
      <c r="M438" s="20"/>
      <c r="N438" s="20"/>
      <c r="O438" s="20"/>
      <c r="P438" s="20"/>
      <c r="Q438" s="20"/>
      <c r="R438" s="20"/>
      <c r="S438" s="20"/>
      <c r="T438" s="20"/>
      <c r="U438" s="20"/>
      <c r="V438" s="20"/>
      <c r="W438" s="20"/>
      <c r="X438" s="20"/>
      <c r="Y438" s="20"/>
      <c r="Z438" s="20"/>
      <c r="AA438" s="20"/>
    </row>
    <row r="439" spans="1:27" ht="17.25" customHeight="1">
      <c r="A439" s="57"/>
      <c r="B439" s="57"/>
      <c r="C439" s="57"/>
      <c r="D439" s="57"/>
      <c r="E439" s="57"/>
      <c r="F439" s="57"/>
      <c r="G439" s="57"/>
      <c r="H439" s="20"/>
      <c r="I439" s="20"/>
      <c r="J439" s="20"/>
      <c r="K439" s="20"/>
      <c r="L439" s="20"/>
      <c r="M439" s="20"/>
      <c r="N439" s="20"/>
      <c r="O439" s="20"/>
      <c r="P439" s="20"/>
      <c r="Q439" s="20"/>
      <c r="R439" s="20"/>
      <c r="S439" s="20"/>
      <c r="T439" s="20"/>
      <c r="U439" s="20"/>
      <c r="V439" s="20"/>
      <c r="W439" s="20"/>
      <c r="X439" s="20"/>
      <c r="Y439" s="20"/>
      <c r="Z439" s="20"/>
      <c r="AA439" s="20"/>
    </row>
    <row r="440" spans="1:27" ht="17.25" customHeight="1">
      <c r="A440" s="57"/>
      <c r="B440" s="57"/>
      <c r="C440" s="57"/>
      <c r="D440" s="57"/>
      <c r="E440" s="57"/>
      <c r="F440" s="57"/>
      <c r="G440" s="57"/>
      <c r="H440" s="20"/>
      <c r="I440" s="20"/>
      <c r="J440" s="20"/>
      <c r="K440" s="20"/>
      <c r="L440" s="20"/>
      <c r="M440" s="20"/>
      <c r="N440" s="20"/>
      <c r="O440" s="20"/>
      <c r="P440" s="20"/>
      <c r="Q440" s="20"/>
      <c r="R440" s="20"/>
      <c r="S440" s="20"/>
      <c r="T440" s="20"/>
      <c r="U440" s="20"/>
      <c r="V440" s="20"/>
      <c r="W440" s="20"/>
      <c r="X440" s="20"/>
      <c r="Y440" s="20"/>
      <c r="Z440" s="20"/>
      <c r="AA440" s="20"/>
    </row>
    <row r="441" spans="1:27" ht="17.25" customHeight="1">
      <c r="A441" s="57"/>
      <c r="B441" s="57"/>
      <c r="C441" s="57"/>
      <c r="D441" s="57"/>
      <c r="E441" s="57"/>
      <c r="F441" s="57"/>
      <c r="G441" s="57"/>
      <c r="H441" s="20"/>
      <c r="I441" s="20"/>
      <c r="J441" s="20"/>
      <c r="K441" s="20"/>
      <c r="L441" s="20"/>
      <c r="M441" s="20"/>
      <c r="N441" s="20"/>
      <c r="O441" s="20"/>
      <c r="P441" s="20"/>
      <c r="Q441" s="20"/>
      <c r="R441" s="20"/>
      <c r="S441" s="20"/>
      <c r="T441" s="20"/>
      <c r="U441" s="20"/>
      <c r="V441" s="20"/>
      <c r="W441" s="20"/>
      <c r="X441" s="20"/>
      <c r="Y441" s="20"/>
      <c r="Z441" s="20"/>
      <c r="AA441" s="20"/>
    </row>
    <row r="442" spans="1:27" ht="17.25" customHeight="1">
      <c r="A442" s="57"/>
      <c r="B442" s="57"/>
      <c r="C442" s="57"/>
      <c r="D442" s="57"/>
      <c r="E442" s="57"/>
      <c r="F442" s="57"/>
      <c r="G442" s="57"/>
      <c r="H442" s="20"/>
      <c r="I442" s="20"/>
      <c r="J442" s="20"/>
      <c r="K442" s="20"/>
      <c r="L442" s="20"/>
      <c r="M442" s="20"/>
      <c r="N442" s="20"/>
      <c r="O442" s="20"/>
      <c r="P442" s="20"/>
      <c r="Q442" s="20"/>
      <c r="R442" s="20"/>
      <c r="S442" s="20"/>
      <c r="T442" s="20"/>
      <c r="U442" s="20"/>
      <c r="V442" s="20"/>
      <c r="W442" s="20"/>
      <c r="X442" s="20"/>
      <c r="Y442" s="20"/>
      <c r="Z442" s="20"/>
      <c r="AA442" s="20"/>
    </row>
    <row r="443" spans="1:27" ht="17.25" customHeight="1">
      <c r="A443" s="57"/>
      <c r="B443" s="57"/>
      <c r="C443" s="57"/>
      <c r="D443" s="57"/>
      <c r="E443" s="57"/>
      <c r="F443" s="57"/>
      <c r="G443" s="57"/>
      <c r="H443" s="20"/>
      <c r="I443" s="20"/>
      <c r="J443" s="20"/>
      <c r="K443" s="20"/>
      <c r="L443" s="20"/>
      <c r="M443" s="20"/>
      <c r="N443" s="20"/>
      <c r="O443" s="20"/>
      <c r="P443" s="20"/>
      <c r="Q443" s="20"/>
      <c r="R443" s="20"/>
      <c r="S443" s="20"/>
      <c r="T443" s="20"/>
      <c r="U443" s="20"/>
      <c r="V443" s="20"/>
      <c r="W443" s="20"/>
      <c r="X443" s="20"/>
      <c r="Y443" s="20"/>
      <c r="Z443" s="20"/>
      <c r="AA443" s="20"/>
    </row>
    <row r="444" spans="1:27" ht="17.25" customHeight="1">
      <c r="A444" s="57"/>
      <c r="B444" s="57"/>
      <c r="C444" s="57"/>
      <c r="D444" s="57"/>
      <c r="E444" s="57"/>
      <c r="F444" s="57"/>
      <c r="G444" s="57"/>
      <c r="H444" s="20"/>
      <c r="I444" s="20"/>
      <c r="J444" s="20"/>
      <c r="K444" s="20"/>
      <c r="L444" s="20"/>
      <c r="M444" s="20"/>
      <c r="N444" s="20"/>
      <c r="O444" s="20"/>
      <c r="P444" s="20"/>
      <c r="Q444" s="20"/>
      <c r="R444" s="20"/>
      <c r="S444" s="20"/>
      <c r="T444" s="20"/>
      <c r="U444" s="20"/>
      <c r="V444" s="20"/>
      <c r="W444" s="20"/>
      <c r="X444" s="20"/>
      <c r="Y444" s="20"/>
      <c r="Z444" s="20"/>
      <c r="AA444" s="20"/>
    </row>
    <row r="445" spans="1:27" ht="17.25" customHeight="1">
      <c r="A445" s="57"/>
      <c r="B445" s="57"/>
      <c r="C445" s="57"/>
      <c r="D445" s="57"/>
      <c r="E445" s="57"/>
      <c r="F445" s="57"/>
      <c r="G445" s="57"/>
      <c r="H445" s="20"/>
      <c r="I445" s="20"/>
      <c r="J445" s="20"/>
      <c r="K445" s="20"/>
      <c r="L445" s="20"/>
      <c r="M445" s="20"/>
      <c r="N445" s="20"/>
      <c r="O445" s="20"/>
      <c r="P445" s="20"/>
      <c r="Q445" s="20"/>
      <c r="R445" s="20"/>
      <c r="S445" s="20"/>
      <c r="T445" s="20"/>
      <c r="U445" s="20"/>
      <c r="V445" s="20"/>
      <c r="W445" s="20"/>
      <c r="X445" s="20"/>
      <c r="Y445" s="20"/>
      <c r="Z445" s="20"/>
      <c r="AA445" s="20"/>
    </row>
    <row r="446" spans="1:27" ht="17.25" customHeight="1">
      <c r="A446" s="57"/>
      <c r="B446" s="57"/>
      <c r="C446" s="57"/>
      <c r="D446" s="57"/>
      <c r="E446" s="57"/>
      <c r="F446" s="57"/>
      <c r="G446" s="57"/>
      <c r="H446" s="20"/>
      <c r="I446" s="20"/>
      <c r="J446" s="20"/>
      <c r="K446" s="20"/>
      <c r="L446" s="20"/>
      <c r="M446" s="20"/>
      <c r="N446" s="20"/>
      <c r="O446" s="20"/>
      <c r="P446" s="20"/>
      <c r="Q446" s="20"/>
      <c r="R446" s="20"/>
      <c r="S446" s="20"/>
      <c r="T446" s="20"/>
      <c r="U446" s="20"/>
      <c r="V446" s="20"/>
      <c r="W446" s="20"/>
      <c r="X446" s="20"/>
      <c r="Y446" s="20"/>
      <c r="Z446" s="20"/>
      <c r="AA446" s="20"/>
    </row>
    <row r="447" spans="1:27" ht="17.25" customHeight="1">
      <c r="A447" s="57"/>
      <c r="B447" s="57"/>
      <c r="C447" s="57"/>
      <c r="D447" s="57"/>
      <c r="E447" s="57"/>
      <c r="F447" s="57"/>
      <c r="G447" s="57"/>
      <c r="H447" s="20"/>
      <c r="I447" s="20"/>
      <c r="J447" s="20"/>
      <c r="K447" s="20"/>
      <c r="L447" s="20"/>
      <c r="M447" s="20"/>
      <c r="N447" s="20"/>
      <c r="O447" s="20"/>
      <c r="P447" s="20"/>
      <c r="Q447" s="20"/>
      <c r="R447" s="20"/>
      <c r="S447" s="20"/>
      <c r="T447" s="20"/>
      <c r="U447" s="20"/>
      <c r="V447" s="20"/>
      <c r="W447" s="20"/>
      <c r="X447" s="20"/>
      <c r="Y447" s="20"/>
      <c r="Z447" s="20"/>
      <c r="AA447" s="20"/>
    </row>
    <row r="448" spans="1:27" ht="17.25" customHeight="1">
      <c r="A448" s="57"/>
      <c r="B448" s="57"/>
      <c r="C448" s="57"/>
      <c r="D448" s="57"/>
      <c r="E448" s="57"/>
      <c r="F448" s="57"/>
      <c r="G448" s="57"/>
      <c r="H448" s="20"/>
      <c r="I448" s="20"/>
      <c r="J448" s="20"/>
      <c r="K448" s="20"/>
      <c r="L448" s="20"/>
      <c r="M448" s="20"/>
      <c r="N448" s="20"/>
      <c r="O448" s="20"/>
      <c r="P448" s="20"/>
      <c r="Q448" s="20"/>
      <c r="R448" s="20"/>
      <c r="S448" s="20"/>
      <c r="T448" s="20"/>
      <c r="U448" s="20"/>
      <c r="V448" s="20"/>
      <c r="W448" s="20"/>
      <c r="X448" s="20"/>
      <c r="Y448" s="20"/>
      <c r="Z448" s="20"/>
      <c r="AA448" s="20"/>
    </row>
    <row r="449" spans="1:27" ht="17.25" customHeight="1">
      <c r="A449" s="57"/>
      <c r="B449" s="57"/>
      <c r="C449" s="57"/>
      <c r="D449" s="57"/>
      <c r="E449" s="57"/>
      <c r="F449" s="57"/>
      <c r="G449" s="57"/>
      <c r="H449" s="20"/>
      <c r="I449" s="20"/>
      <c r="J449" s="20"/>
      <c r="K449" s="20"/>
      <c r="L449" s="20"/>
      <c r="M449" s="20"/>
      <c r="N449" s="20"/>
      <c r="O449" s="20"/>
      <c r="P449" s="20"/>
      <c r="Q449" s="20"/>
      <c r="R449" s="20"/>
      <c r="S449" s="20"/>
      <c r="T449" s="20"/>
      <c r="U449" s="20"/>
      <c r="V449" s="20"/>
      <c r="W449" s="20"/>
      <c r="X449" s="20"/>
      <c r="Y449" s="20"/>
      <c r="Z449" s="20"/>
      <c r="AA449" s="20"/>
    </row>
    <row r="450" spans="1:27" ht="17.25" customHeight="1">
      <c r="A450" s="57"/>
      <c r="B450" s="57"/>
      <c r="C450" s="57"/>
      <c r="D450" s="57"/>
      <c r="E450" s="57"/>
      <c r="F450" s="57"/>
      <c r="G450" s="57"/>
      <c r="H450" s="20"/>
      <c r="I450" s="20"/>
      <c r="J450" s="20"/>
      <c r="K450" s="20"/>
      <c r="L450" s="20"/>
      <c r="M450" s="20"/>
      <c r="N450" s="20"/>
      <c r="O450" s="20"/>
      <c r="P450" s="20"/>
      <c r="Q450" s="20"/>
      <c r="R450" s="20"/>
      <c r="S450" s="20"/>
      <c r="T450" s="20"/>
      <c r="U450" s="20"/>
      <c r="V450" s="20"/>
      <c r="W450" s="20"/>
      <c r="X450" s="20"/>
      <c r="Y450" s="20"/>
      <c r="Z450" s="20"/>
      <c r="AA450" s="20"/>
    </row>
    <row r="451" spans="1:27" ht="17.25" customHeight="1">
      <c r="A451" s="57"/>
      <c r="B451" s="57"/>
      <c r="C451" s="57"/>
      <c r="D451" s="57"/>
      <c r="E451" s="57"/>
      <c r="F451" s="57"/>
      <c r="G451" s="57"/>
      <c r="H451" s="20"/>
      <c r="I451" s="20"/>
      <c r="J451" s="20"/>
      <c r="K451" s="20"/>
      <c r="L451" s="20"/>
      <c r="M451" s="20"/>
      <c r="N451" s="20"/>
      <c r="O451" s="20"/>
      <c r="P451" s="20"/>
      <c r="Q451" s="20"/>
      <c r="R451" s="20"/>
      <c r="S451" s="20"/>
      <c r="T451" s="20"/>
      <c r="U451" s="20"/>
      <c r="V451" s="20"/>
      <c r="W451" s="20"/>
      <c r="X451" s="20"/>
      <c r="Y451" s="20"/>
      <c r="Z451" s="20"/>
      <c r="AA451" s="20"/>
    </row>
    <row r="452" spans="1:27" ht="17.25" customHeight="1">
      <c r="A452" s="57"/>
      <c r="B452" s="57"/>
      <c r="C452" s="57"/>
      <c r="D452" s="57"/>
      <c r="E452" s="57"/>
      <c r="F452" s="57"/>
      <c r="G452" s="57"/>
      <c r="H452" s="20"/>
      <c r="I452" s="20"/>
      <c r="J452" s="20"/>
      <c r="K452" s="20"/>
      <c r="L452" s="20"/>
      <c r="M452" s="20"/>
      <c r="N452" s="20"/>
      <c r="O452" s="20"/>
      <c r="P452" s="20"/>
      <c r="Q452" s="20"/>
      <c r="R452" s="20"/>
      <c r="S452" s="20"/>
      <c r="T452" s="20"/>
      <c r="U452" s="20"/>
      <c r="V452" s="20"/>
      <c r="W452" s="20"/>
      <c r="X452" s="20"/>
      <c r="Y452" s="20"/>
      <c r="Z452" s="20"/>
      <c r="AA452" s="20"/>
    </row>
    <row r="453" spans="1:27" ht="17.25" customHeight="1">
      <c r="A453" s="57"/>
      <c r="B453" s="57"/>
      <c r="C453" s="57"/>
      <c r="D453" s="57"/>
      <c r="E453" s="57"/>
      <c r="F453" s="57"/>
      <c r="G453" s="57"/>
      <c r="H453" s="20"/>
      <c r="I453" s="20"/>
      <c r="J453" s="20"/>
      <c r="K453" s="20"/>
      <c r="L453" s="20"/>
      <c r="M453" s="20"/>
      <c r="N453" s="20"/>
      <c r="O453" s="20"/>
      <c r="P453" s="20"/>
      <c r="Q453" s="20"/>
      <c r="R453" s="20"/>
      <c r="S453" s="20"/>
      <c r="T453" s="20"/>
      <c r="U453" s="20"/>
      <c r="V453" s="20"/>
      <c r="W453" s="20"/>
      <c r="X453" s="20"/>
      <c r="Y453" s="20"/>
      <c r="Z453" s="20"/>
      <c r="AA453" s="20"/>
    </row>
    <row r="454" spans="1:27" ht="17.25" customHeight="1">
      <c r="A454" s="57"/>
      <c r="B454" s="57"/>
      <c r="C454" s="57"/>
      <c r="D454" s="57"/>
      <c r="E454" s="57"/>
      <c r="F454" s="57"/>
      <c r="G454" s="57"/>
      <c r="H454" s="20"/>
      <c r="I454" s="20"/>
      <c r="J454" s="20"/>
      <c r="K454" s="20"/>
      <c r="L454" s="20"/>
      <c r="M454" s="20"/>
      <c r="N454" s="20"/>
      <c r="O454" s="20"/>
      <c r="P454" s="20"/>
      <c r="Q454" s="20"/>
      <c r="R454" s="20"/>
      <c r="S454" s="20"/>
      <c r="T454" s="20"/>
      <c r="U454" s="20"/>
      <c r="V454" s="20"/>
      <c r="W454" s="20"/>
      <c r="X454" s="20"/>
      <c r="Y454" s="20"/>
      <c r="Z454" s="20"/>
      <c r="AA454" s="20"/>
    </row>
    <row r="455" spans="1:27" ht="17.25" customHeight="1">
      <c r="A455" s="57"/>
      <c r="B455" s="57"/>
      <c r="C455" s="57"/>
      <c r="D455" s="57"/>
      <c r="E455" s="57"/>
      <c r="F455" s="57"/>
      <c r="G455" s="57"/>
      <c r="H455" s="20"/>
      <c r="I455" s="20"/>
      <c r="J455" s="20"/>
      <c r="K455" s="20"/>
      <c r="L455" s="20"/>
      <c r="M455" s="20"/>
      <c r="N455" s="20"/>
      <c r="O455" s="20"/>
      <c r="P455" s="20"/>
      <c r="Q455" s="20"/>
      <c r="R455" s="20"/>
      <c r="S455" s="20"/>
      <c r="T455" s="20"/>
      <c r="U455" s="20"/>
      <c r="V455" s="20"/>
      <c r="W455" s="20"/>
      <c r="X455" s="20"/>
      <c r="Y455" s="20"/>
      <c r="Z455" s="20"/>
      <c r="AA455" s="20"/>
    </row>
    <row r="456" spans="1:27" ht="17.25" customHeight="1">
      <c r="A456" s="57"/>
      <c r="B456" s="57"/>
      <c r="C456" s="57"/>
      <c r="D456" s="57"/>
      <c r="E456" s="57"/>
      <c r="F456" s="57"/>
      <c r="G456" s="57"/>
      <c r="H456" s="20"/>
      <c r="I456" s="20"/>
      <c r="J456" s="20"/>
      <c r="K456" s="20"/>
      <c r="L456" s="20"/>
      <c r="M456" s="20"/>
      <c r="N456" s="20"/>
      <c r="O456" s="20"/>
      <c r="P456" s="20"/>
      <c r="Q456" s="20"/>
      <c r="R456" s="20"/>
      <c r="S456" s="20"/>
      <c r="T456" s="20"/>
      <c r="U456" s="20"/>
      <c r="V456" s="20"/>
      <c r="W456" s="20"/>
      <c r="X456" s="20"/>
      <c r="Y456" s="20"/>
      <c r="Z456" s="20"/>
      <c r="AA456" s="20"/>
    </row>
    <row r="457" spans="1:27" ht="17.25" customHeight="1">
      <c r="A457" s="57"/>
      <c r="B457" s="57"/>
      <c r="C457" s="57"/>
      <c r="D457" s="57"/>
      <c r="E457" s="57"/>
      <c r="F457" s="57"/>
      <c r="G457" s="57"/>
      <c r="H457" s="20"/>
      <c r="I457" s="20"/>
      <c r="J457" s="20"/>
      <c r="K457" s="20"/>
      <c r="L457" s="20"/>
      <c r="M457" s="20"/>
      <c r="N457" s="20"/>
      <c r="O457" s="20"/>
      <c r="P457" s="20"/>
      <c r="Q457" s="20"/>
      <c r="R457" s="20"/>
      <c r="S457" s="20"/>
      <c r="T457" s="20"/>
      <c r="U457" s="20"/>
      <c r="V457" s="20"/>
      <c r="W457" s="20"/>
      <c r="X457" s="20"/>
      <c r="Y457" s="20"/>
      <c r="Z457" s="20"/>
      <c r="AA457" s="20"/>
    </row>
    <row r="458" spans="1:27" ht="17.25" customHeight="1">
      <c r="A458" s="57"/>
      <c r="B458" s="57"/>
      <c r="C458" s="57"/>
      <c r="D458" s="57"/>
      <c r="E458" s="57"/>
      <c r="F458" s="57"/>
      <c r="G458" s="57"/>
      <c r="H458" s="20"/>
      <c r="I458" s="20"/>
      <c r="J458" s="20"/>
      <c r="K458" s="20"/>
      <c r="L458" s="20"/>
      <c r="M458" s="20"/>
      <c r="N458" s="20"/>
      <c r="O458" s="20"/>
      <c r="P458" s="20"/>
      <c r="Q458" s="20"/>
      <c r="R458" s="20"/>
      <c r="S458" s="20"/>
      <c r="T458" s="20"/>
      <c r="U458" s="20"/>
      <c r="V458" s="20"/>
      <c r="W458" s="20"/>
      <c r="X458" s="20"/>
      <c r="Y458" s="20"/>
      <c r="Z458" s="20"/>
      <c r="AA458" s="20"/>
    </row>
    <row r="459" spans="1:27" ht="17.25" customHeight="1">
      <c r="A459" s="57"/>
      <c r="B459" s="57"/>
      <c r="C459" s="57"/>
      <c r="D459" s="57"/>
      <c r="E459" s="57"/>
      <c r="F459" s="57"/>
      <c r="G459" s="57"/>
      <c r="H459" s="20"/>
      <c r="I459" s="20"/>
      <c r="J459" s="20"/>
      <c r="K459" s="20"/>
      <c r="L459" s="20"/>
      <c r="M459" s="20"/>
      <c r="N459" s="20"/>
      <c r="O459" s="20"/>
      <c r="P459" s="20"/>
      <c r="Q459" s="20"/>
      <c r="R459" s="20"/>
      <c r="S459" s="20"/>
      <c r="T459" s="20"/>
      <c r="U459" s="20"/>
      <c r="V459" s="20"/>
      <c r="W459" s="20"/>
      <c r="X459" s="20"/>
      <c r="Y459" s="20"/>
      <c r="Z459" s="20"/>
      <c r="AA459" s="20"/>
    </row>
    <row r="460" spans="1:27" ht="17.25" customHeight="1">
      <c r="A460" s="57"/>
      <c r="B460" s="57"/>
      <c r="C460" s="57"/>
      <c r="D460" s="57"/>
      <c r="E460" s="57"/>
      <c r="F460" s="57"/>
      <c r="G460" s="57"/>
      <c r="H460" s="20"/>
      <c r="I460" s="20"/>
      <c r="J460" s="20"/>
      <c r="K460" s="20"/>
      <c r="L460" s="20"/>
      <c r="M460" s="20"/>
      <c r="N460" s="20"/>
      <c r="O460" s="20"/>
      <c r="P460" s="20"/>
      <c r="Q460" s="20"/>
      <c r="R460" s="20"/>
      <c r="S460" s="20"/>
      <c r="T460" s="20"/>
      <c r="U460" s="20"/>
      <c r="V460" s="20"/>
      <c r="W460" s="20"/>
      <c r="X460" s="20"/>
      <c r="Y460" s="20"/>
      <c r="Z460" s="20"/>
      <c r="AA460" s="20"/>
    </row>
    <row r="461" spans="1:27" ht="17.25" customHeight="1">
      <c r="A461" s="57"/>
      <c r="B461" s="57"/>
      <c r="C461" s="57"/>
      <c r="D461" s="57"/>
      <c r="E461" s="57"/>
      <c r="F461" s="57"/>
      <c r="G461" s="57"/>
      <c r="H461" s="20"/>
      <c r="I461" s="20"/>
      <c r="J461" s="20"/>
      <c r="K461" s="20"/>
      <c r="L461" s="20"/>
      <c r="M461" s="20"/>
      <c r="N461" s="20"/>
      <c r="O461" s="20"/>
      <c r="P461" s="20"/>
      <c r="Q461" s="20"/>
      <c r="R461" s="20"/>
      <c r="S461" s="20"/>
      <c r="T461" s="20"/>
      <c r="U461" s="20"/>
      <c r="V461" s="20"/>
      <c r="W461" s="20"/>
      <c r="X461" s="20"/>
      <c r="Y461" s="20"/>
      <c r="Z461" s="20"/>
      <c r="AA461" s="20"/>
    </row>
    <row r="462" spans="1:27" ht="17.25" customHeight="1">
      <c r="A462" s="57"/>
      <c r="B462" s="57"/>
      <c r="C462" s="57"/>
      <c r="D462" s="57"/>
      <c r="E462" s="57"/>
      <c r="F462" s="57"/>
      <c r="G462" s="57"/>
      <c r="H462" s="20"/>
      <c r="I462" s="20"/>
      <c r="J462" s="20"/>
      <c r="K462" s="20"/>
      <c r="L462" s="20"/>
      <c r="M462" s="20"/>
      <c r="N462" s="20"/>
      <c r="O462" s="20"/>
      <c r="P462" s="20"/>
      <c r="Q462" s="20"/>
      <c r="R462" s="20"/>
      <c r="S462" s="20"/>
      <c r="T462" s="20"/>
      <c r="U462" s="20"/>
      <c r="V462" s="20"/>
      <c r="W462" s="20"/>
      <c r="X462" s="20"/>
      <c r="Y462" s="20"/>
      <c r="Z462" s="20"/>
      <c r="AA462" s="20"/>
    </row>
    <row r="463" spans="1:27" ht="17.25" customHeight="1">
      <c r="A463" s="57"/>
      <c r="B463" s="57"/>
      <c r="C463" s="57"/>
      <c r="D463" s="57"/>
      <c r="E463" s="57"/>
      <c r="F463" s="57"/>
      <c r="G463" s="57"/>
      <c r="H463" s="20"/>
      <c r="I463" s="20"/>
      <c r="J463" s="20"/>
      <c r="K463" s="20"/>
      <c r="L463" s="20"/>
      <c r="M463" s="20"/>
      <c r="N463" s="20"/>
      <c r="O463" s="20"/>
      <c r="P463" s="20"/>
      <c r="Q463" s="20"/>
      <c r="R463" s="20"/>
      <c r="S463" s="20"/>
      <c r="T463" s="20"/>
      <c r="U463" s="20"/>
      <c r="V463" s="20"/>
      <c r="W463" s="20"/>
      <c r="X463" s="20"/>
      <c r="Y463" s="20"/>
      <c r="Z463" s="20"/>
      <c r="AA463" s="20"/>
    </row>
    <row r="464" spans="1:27" ht="17.25" customHeight="1">
      <c r="A464" s="57"/>
      <c r="B464" s="57"/>
      <c r="C464" s="57"/>
      <c r="D464" s="57"/>
      <c r="E464" s="57"/>
      <c r="F464" s="57"/>
      <c r="G464" s="57"/>
      <c r="H464" s="20"/>
      <c r="I464" s="20"/>
      <c r="J464" s="20"/>
      <c r="K464" s="20"/>
      <c r="L464" s="20"/>
      <c r="M464" s="20"/>
      <c r="N464" s="20"/>
      <c r="O464" s="20"/>
      <c r="P464" s="20"/>
      <c r="Q464" s="20"/>
      <c r="R464" s="20"/>
      <c r="S464" s="20"/>
      <c r="T464" s="20"/>
      <c r="U464" s="20"/>
      <c r="V464" s="20"/>
      <c r="W464" s="20"/>
      <c r="X464" s="20"/>
      <c r="Y464" s="20"/>
      <c r="Z464" s="20"/>
      <c r="AA464" s="20"/>
    </row>
    <row r="465" spans="1:27" ht="17.25" customHeight="1">
      <c r="A465" s="57"/>
      <c r="B465" s="57"/>
      <c r="C465" s="57"/>
      <c r="D465" s="57"/>
      <c r="E465" s="57"/>
      <c r="F465" s="57"/>
      <c r="G465" s="57"/>
      <c r="H465" s="20"/>
      <c r="I465" s="20"/>
      <c r="J465" s="20"/>
      <c r="K465" s="20"/>
      <c r="L465" s="20"/>
      <c r="M465" s="20"/>
      <c r="N465" s="20"/>
      <c r="O465" s="20"/>
      <c r="P465" s="20"/>
      <c r="Q465" s="20"/>
      <c r="R465" s="20"/>
      <c r="S465" s="20"/>
      <c r="T465" s="20"/>
      <c r="U465" s="20"/>
      <c r="V465" s="20"/>
      <c r="W465" s="20"/>
      <c r="X465" s="20"/>
      <c r="Y465" s="20"/>
      <c r="Z465" s="20"/>
      <c r="AA465" s="20"/>
    </row>
    <row r="466" spans="1:27" ht="17.25" customHeight="1">
      <c r="A466" s="57"/>
      <c r="B466" s="57"/>
      <c r="C466" s="57"/>
      <c r="D466" s="57"/>
      <c r="E466" s="57"/>
      <c r="F466" s="57"/>
      <c r="G466" s="57"/>
      <c r="H466" s="20"/>
      <c r="I466" s="20"/>
      <c r="J466" s="20"/>
      <c r="K466" s="20"/>
      <c r="L466" s="20"/>
      <c r="M466" s="20"/>
      <c r="N466" s="20"/>
      <c r="O466" s="20"/>
      <c r="P466" s="20"/>
      <c r="Q466" s="20"/>
      <c r="R466" s="20"/>
      <c r="S466" s="20"/>
      <c r="T466" s="20"/>
      <c r="U466" s="20"/>
      <c r="V466" s="20"/>
      <c r="W466" s="20"/>
      <c r="X466" s="20"/>
      <c r="Y466" s="20"/>
      <c r="Z466" s="20"/>
      <c r="AA466" s="20"/>
    </row>
    <row r="467" spans="1:27" ht="17.25" customHeight="1">
      <c r="A467" s="57"/>
      <c r="B467" s="57"/>
      <c r="C467" s="57"/>
      <c r="D467" s="57"/>
      <c r="E467" s="57"/>
      <c r="F467" s="57"/>
      <c r="G467" s="57"/>
      <c r="H467" s="20"/>
      <c r="I467" s="20"/>
      <c r="J467" s="20"/>
      <c r="K467" s="20"/>
      <c r="L467" s="20"/>
      <c r="M467" s="20"/>
      <c r="N467" s="20"/>
      <c r="O467" s="20"/>
      <c r="P467" s="20"/>
      <c r="Q467" s="20"/>
      <c r="R467" s="20"/>
      <c r="S467" s="20"/>
      <c r="T467" s="20"/>
      <c r="U467" s="20"/>
      <c r="V467" s="20"/>
      <c r="W467" s="20"/>
      <c r="X467" s="20"/>
      <c r="Y467" s="20"/>
      <c r="Z467" s="20"/>
      <c r="AA467" s="20"/>
    </row>
    <row r="468" spans="1:27" ht="17.25" customHeight="1">
      <c r="A468" s="57"/>
      <c r="B468" s="57"/>
      <c r="C468" s="57"/>
      <c r="D468" s="57"/>
      <c r="E468" s="57"/>
      <c r="F468" s="57"/>
      <c r="G468" s="57"/>
      <c r="H468" s="20"/>
      <c r="I468" s="20"/>
      <c r="J468" s="20"/>
      <c r="K468" s="20"/>
      <c r="L468" s="20"/>
      <c r="M468" s="20"/>
      <c r="N468" s="20"/>
      <c r="O468" s="20"/>
      <c r="P468" s="20"/>
      <c r="Q468" s="20"/>
      <c r="R468" s="20"/>
      <c r="S468" s="20"/>
      <c r="T468" s="20"/>
      <c r="U468" s="20"/>
      <c r="V468" s="20"/>
      <c r="W468" s="20"/>
      <c r="X468" s="20"/>
      <c r="Y468" s="20"/>
      <c r="Z468" s="20"/>
      <c r="AA468" s="20"/>
    </row>
    <row r="469" spans="1:27" ht="17.25" customHeight="1">
      <c r="A469" s="57"/>
      <c r="B469" s="57"/>
      <c r="C469" s="57"/>
      <c r="D469" s="57"/>
      <c r="E469" s="57"/>
      <c r="F469" s="57"/>
      <c r="G469" s="57"/>
      <c r="H469" s="20"/>
      <c r="I469" s="20"/>
      <c r="J469" s="20"/>
      <c r="K469" s="20"/>
      <c r="L469" s="20"/>
      <c r="M469" s="20"/>
      <c r="N469" s="20"/>
      <c r="O469" s="20"/>
      <c r="P469" s="20"/>
      <c r="Q469" s="20"/>
      <c r="R469" s="20"/>
      <c r="S469" s="20"/>
      <c r="T469" s="20"/>
      <c r="U469" s="20"/>
      <c r="V469" s="20"/>
      <c r="W469" s="20"/>
      <c r="X469" s="20"/>
      <c r="Y469" s="20"/>
      <c r="Z469" s="20"/>
      <c r="AA469" s="20"/>
    </row>
    <row r="470" spans="1:27" ht="17.25" customHeight="1">
      <c r="A470" s="57"/>
      <c r="B470" s="57"/>
      <c r="C470" s="57"/>
      <c r="D470" s="57"/>
      <c r="E470" s="57"/>
      <c r="F470" s="57"/>
      <c r="G470" s="57"/>
      <c r="H470" s="20"/>
      <c r="I470" s="20"/>
      <c r="J470" s="20"/>
      <c r="K470" s="20"/>
      <c r="L470" s="20"/>
      <c r="M470" s="20"/>
      <c r="N470" s="20"/>
      <c r="O470" s="20"/>
      <c r="P470" s="20"/>
      <c r="Q470" s="20"/>
      <c r="R470" s="20"/>
      <c r="S470" s="20"/>
      <c r="T470" s="20"/>
      <c r="U470" s="20"/>
      <c r="V470" s="20"/>
      <c r="W470" s="20"/>
      <c r="X470" s="20"/>
      <c r="Y470" s="20"/>
      <c r="Z470" s="20"/>
      <c r="AA470" s="20"/>
    </row>
    <row r="471" spans="1:27" ht="17.25" customHeight="1">
      <c r="A471" s="57"/>
      <c r="B471" s="57"/>
      <c r="C471" s="57"/>
      <c r="D471" s="57"/>
      <c r="E471" s="57"/>
      <c r="F471" s="57"/>
      <c r="G471" s="57"/>
      <c r="H471" s="20"/>
      <c r="I471" s="20"/>
      <c r="J471" s="20"/>
      <c r="K471" s="20"/>
      <c r="L471" s="20"/>
      <c r="M471" s="20"/>
      <c r="N471" s="20"/>
      <c r="O471" s="20"/>
      <c r="P471" s="20"/>
      <c r="Q471" s="20"/>
      <c r="R471" s="20"/>
      <c r="S471" s="20"/>
      <c r="T471" s="20"/>
      <c r="U471" s="20"/>
      <c r="V471" s="20"/>
      <c r="W471" s="20"/>
      <c r="X471" s="20"/>
      <c r="Y471" s="20"/>
      <c r="Z471" s="20"/>
      <c r="AA471" s="20"/>
    </row>
    <row r="472" spans="1:27" ht="17.25" customHeight="1">
      <c r="A472" s="57"/>
      <c r="B472" s="57"/>
      <c r="C472" s="57"/>
      <c r="D472" s="57"/>
      <c r="E472" s="57"/>
      <c r="F472" s="57"/>
      <c r="G472" s="57"/>
      <c r="H472" s="20"/>
      <c r="I472" s="20"/>
      <c r="J472" s="20"/>
      <c r="K472" s="20"/>
      <c r="L472" s="20"/>
      <c r="M472" s="20"/>
      <c r="N472" s="20"/>
      <c r="O472" s="20"/>
      <c r="P472" s="20"/>
      <c r="Q472" s="20"/>
      <c r="R472" s="20"/>
      <c r="S472" s="20"/>
      <c r="T472" s="20"/>
      <c r="U472" s="20"/>
      <c r="V472" s="20"/>
      <c r="W472" s="20"/>
      <c r="X472" s="20"/>
      <c r="Y472" s="20"/>
      <c r="Z472" s="20"/>
      <c r="AA472" s="20"/>
    </row>
    <row r="473" spans="1:27" ht="17.25" customHeight="1">
      <c r="A473" s="57"/>
      <c r="B473" s="57"/>
      <c r="C473" s="57"/>
      <c r="D473" s="57"/>
      <c r="E473" s="57"/>
      <c r="F473" s="57"/>
      <c r="G473" s="57"/>
      <c r="H473" s="20"/>
      <c r="I473" s="20"/>
      <c r="J473" s="20"/>
      <c r="K473" s="20"/>
      <c r="L473" s="20"/>
      <c r="M473" s="20"/>
      <c r="N473" s="20"/>
      <c r="O473" s="20"/>
      <c r="P473" s="20"/>
      <c r="Q473" s="20"/>
      <c r="R473" s="20"/>
      <c r="S473" s="20"/>
      <c r="T473" s="20"/>
      <c r="U473" s="20"/>
      <c r="V473" s="20"/>
      <c r="W473" s="20"/>
      <c r="X473" s="20"/>
      <c r="Y473" s="20"/>
      <c r="Z473" s="20"/>
      <c r="AA473" s="20"/>
    </row>
    <row r="474" spans="1:27" ht="17.25" customHeight="1">
      <c r="A474" s="57"/>
      <c r="B474" s="57"/>
      <c r="C474" s="57"/>
      <c r="D474" s="57"/>
      <c r="E474" s="57"/>
      <c r="F474" s="57"/>
      <c r="G474" s="57"/>
      <c r="H474" s="20"/>
      <c r="I474" s="20"/>
      <c r="J474" s="20"/>
      <c r="K474" s="20"/>
      <c r="L474" s="20"/>
      <c r="M474" s="20"/>
      <c r="N474" s="20"/>
      <c r="O474" s="20"/>
      <c r="P474" s="20"/>
      <c r="Q474" s="20"/>
      <c r="R474" s="20"/>
      <c r="S474" s="20"/>
      <c r="T474" s="20"/>
      <c r="U474" s="20"/>
      <c r="V474" s="20"/>
      <c r="W474" s="20"/>
      <c r="X474" s="20"/>
      <c r="Y474" s="20"/>
      <c r="Z474" s="20"/>
      <c r="AA474" s="20"/>
    </row>
    <row r="475" spans="1:27" ht="17.25" customHeight="1">
      <c r="A475" s="57"/>
      <c r="B475" s="57"/>
      <c r="C475" s="57"/>
      <c r="D475" s="57"/>
      <c r="E475" s="57"/>
      <c r="F475" s="57"/>
      <c r="G475" s="57"/>
      <c r="H475" s="20"/>
      <c r="I475" s="20"/>
      <c r="J475" s="20"/>
      <c r="K475" s="20"/>
      <c r="L475" s="20"/>
      <c r="M475" s="20"/>
      <c r="N475" s="20"/>
      <c r="O475" s="20"/>
      <c r="P475" s="20"/>
      <c r="Q475" s="20"/>
      <c r="R475" s="20"/>
      <c r="S475" s="20"/>
      <c r="T475" s="20"/>
      <c r="U475" s="20"/>
      <c r="V475" s="20"/>
      <c r="W475" s="20"/>
      <c r="X475" s="20"/>
      <c r="Y475" s="20"/>
      <c r="Z475" s="20"/>
      <c r="AA475" s="20"/>
    </row>
    <row r="476" spans="1:27" ht="17.25" customHeight="1">
      <c r="A476" s="57"/>
      <c r="B476" s="57"/>
      <c r="C476" s="57"/>
      <c r="D476" s="57"/>
      <c r="E476" s="57"/>
      <c r="F476" s="57"/>
      <c r="G476" s="57"/>
      <c r="H476" s="20"/>
      <c r="I476" s="20"/>
      <c r="J476" s="20"/>
      <c r="K476" s="20"/>
      <c r="L476" s="20"/>
      <c r="M476" s="20"/>
      <c r="N476" s="20"/>
      <c r="O476" s="20"/>
      <c r="P476" s="20"/>
      <c r="Q476" s="20"/>
      <c r="R476" s="20"/>
      <c r="S476" s="20"/>
      <c r="T476" s="20"/>
      <c r="U476" s="20"/>
      <c r="V476" s="20"/>
      <c r="W476" s="20"/>
      <c r="X476" s="20"/>
      <c r="Y476" s="20"/>
      <c r="Z476" s="20"/>
      <c r="AA476" s="20"/>
    </row>
    <row r="477" spans="1:27" ht="17.25" customHeight="1">
      <c r="A477" s="57"/>
      <c r="B477" s="57"/>
      <c r="C477" s="57"/>
      <c r="D477" s="57"/>
      <c r="E477" s="57"/>
      <c r="F477" s="57"/>
      <c r="G477" s="57"/>
      <c r="H477" s="20"/>
      <c r="I477" s="20"/>
      <c r="J477" s="20"/>
      <c r="K477" s="20"/>
      <c r="L477" s="20"/>
      <c r="M477" s="20"/>
      <c r="N477" s="20"/>
      <c r="O477" s="20"/>
      <c r="P477" s="20"/>
      <c r="Q477" s="20"/>
      <c r="R477" s="20"/>
      <c r="S477" s="20"/>
      <c r="T477" s="20"/>
      <c r="U477" s="20"/>
      <c r="V477" s="20"/>
      <c r="W477" s="20"/>
      <c r="X477" s="20"/>
      <c r="Y477" s="20"/>
      <c r="Z477" s="20"/>
      <c r="AA477" s="20"/>
    </row>
    <row r="478" spans="1:27" ht="17.25" customHeight="1">
      <c r="A478" s="57"/>
      <c r="B478" s="57"/>
      <c r="C478" s="57"/>
      <c r="D478" s="57"/>
      <c r="E478" s="57"/>
      <c r="F478" s="57"/>
      <c r="G478" s="57"/>
      <c r="H478" s="20"/>
      <c r="I478" s="20"/>
      <c r="J478" s="20"/>
      <c r="K478" s="20"/>
      <c r="L478" s="20"/>
      <c r="M478" s="20"/>
      <c r="N478" s="20"/>
      <c r="O478" s="20"/>
      <c r="P478" s="20"/>
      <c r="Q478" s="20"/>
      <c r="R478" s="20"/>
      <c r="S478" s="20"/>
      <c r="T478" s="20"/>
      <c r="U478" s="20"/>
      <c r="V478" s="20"/>
      <c r="W478" s="20"/>
      <c r="X478" s="20"/>
      <c r="Y478" s="20"/>
      <c r="Z478" s="20"/>
      <c r="AA478" s="20"/>
    </row>
    <row r="479" spans="1:27" ht="17.25" customHeight="1">
      <c r="A479" s="57"/>
      <c r="B479" s="57"/>
      <c r="C479" s="57"/>
      <c r="D479" s="57"/>
      <c r="E479" s="57"/>
      <c r="F479" s="57"/>
      <c r="G479" s="57"/>
      <c r="H479" s="20"/>
      <c r="I479" s="20"/>
      <c r="J479" s="20"/>
      <c r="K479" s="20"/>
      <c r="L479" s="20"/>
      <c r="M479" s="20"/>
      <c r="N479" s="20"/>
      <c r="O479" s="20"/>
      <c r="P479" s="20"/>
      <c r="Q479" s="20"/>
      <c r="R479" s="20"/>
      <c r="S479" s="20"/>
      <c r="T479" s="20"/>
      <c r="U479" s="20"/>
      <c r="V479" s="20"/>
      <c r="W479" s="20"/>
      <c r="X479" s="20"/>
      <c r="Y479" s="20"/>
      <c r="Z479" s="20"/>
      <c r="AA479" s="20"/>
    </row>
    <row r="480" spans="1:27" ht="17.25" customHeight="1">
      <c r="A480" s="57"/>
      <c r="B480" s="57"/>
      <c r="C480" s="57"/>
      <c r="D480" s="57"/>
      <c r="E480" s="57"/>
      <c r="F480" s="57"/>
      <c r="G480" s="57"/>
      <c r="H480" s="20"/>
      <c r="I480" s="20"/>
      <c r="J480" s="20"/>
      <c r="K480" s="20"/>
      <c r="L480" s="20"/>
      <c r="M480" s="20"/>
      <c r="N480" s="20"/>
      <c r="O480" s="20"/>
      <c r="P480" s="20"/>
      <c r="Q480" s="20"/>
      <c r="R480" s="20"/>
      <c r="S480" s="20"/>
      <c r="T480" s="20"/>
      <c r="U480" s="20"/>
      <c r="V480" s="20"/>
      <c r="W480" s="20"/>
      <c r="X480" s="20"/>
      <c r="Y480" s="20"/>
      <c r="Z480" s="20"/>
      <c r="AA480" s="20"/>
    </row>
    <row r="481" spans="1:27" ht="17.25" customHeight="1">
      <c r="A481" s="57"/>
      <c r="B481" s="57"/>
      <c r="C481" s="57"/>
      <c r="D481" s="57"/>
      <c r="E481" s="57"/>
      <c r="F481" s="57"/>
      <c r="G481" s="57"/>
      <c r="H481" s="20"/>
      <c r="I481" s="20"/>
      <c r="J481" s="20"/>
      <c r="K481" s="20"/>
      <c r="L481" s="20"/>
      <c r="M481" s="20"/>
      <c r="N481" s="20"/>
      <c r="O481" s="20"/>
      <c r="P481" s="20"/>
      <c r="Q481" s="20"/>
      <c r="R481" s="20"/>
      <c r="S481" s="20"/>
      <c r="T481" s="20"/>
      <c r="U481" s="20"/>
      <c r="V481" s="20"/>
      <c r="W481" s="20"/>
      <c r="X481" s="20"/>
      <c r="Y481" s="20"/>
      <c r="Z481" s="20"/>
      <c r="AA481" s="20"/>
    </row>
    <row r="482" spans="1:27" ht="17.25" customHeight="1">
      <c r="A482" s="57"/>
      <c r="B482" s="57"/>
      <c r="C482" s="57"/>
      <c r="D482" s="57"/>
      <c r="E482" s="57"/>
      <c r="F482" s="57"/>
      <c r="G482" s="57"/>
      <c r="H482" s="20"/>
      <c r="I482" s="20"/>
      <c r="J482" s="20"/>
      <c r="K482" s="20"/>
      <c r="L482" s="20"/>
      <c r="M482" s="20"/>
      <c r="N482" s="20"/>
      <c r="O482" s="20"/>
      <c r="P482" s="20"/>
      <c r="Q482" s="20"/>
      <c r="R482" s="20"/>
      <c r="S482" s="20"/>
      <c r="T482" s="20"/>
      <c r="U482" s="20"/>
      <c r="V482" s="20"/>
      <c r="W482" s="20"/>
      <c r="X482" s="20"/>
      <c r="Y482" s="20"/>
      <c r="Z482" s="20"/>
      <c r="AA482" s="20"/>
    </row>
    <row r="483" spans="1:27" ht="17.25" customHeight="1">
      <c r="A483" s="57"/>
      <c r="B483" s="57"/>
      <c r="C483" s="57"/>
      <c r="D483" s="57"/>
      <c r="E483" s="57"/>
      <c r="F483" s="57"/>
      <c r="G483" s="57"/>
      <c r="H483" s="20"/>
      <c r="I483" s="20"/>
      <c r="J483" s="20"/>
      <c r="K483" s="20"/>
      <c r="L483" s="20"/>
      <c r="M483" s="20"/>
      <c r="N483" s="20"/>
      <c r="O483" s="20"/>
      <c r="P483" s="20"/>
      <c r="Q483" s="20"/>
      <c r="R483" s="20"/>
      <c r="S483" s="20"/>
      <c r="T483" s="20"/>
      <c r="U483" s="20"/>
      <c r="V483" s="20"/>
      <c r="W483" s="20"/>
      <c r="X483" s="20"/>
      <c r="Y483" s="20"/>
      <c r="Z483" s="20"/>
      <c r="AA483" s="20"/>
    </row>
    <row r="484" spans="1:27" ht="17.25" customHeight="1">
      <c r="A484" s="57"/>
      <c r="B484" s="57"/>
      <c r="C484" s="57"/>
      <c r="D484" s="57"/>
      <c r="E484" s="57"/>
      <c r="F484" s="57"/>
      <c r="G484" s="57"/>
      <c r="H484" s="20"/>
      <c r="I484" s="20"/>
      <c r="J484" s="20"/>
      <c r="K484" s="20"/>
      <c r="L484" s="20"/>
      <c r="M484" s="20"/>
      <c r="N484" s="20"/>
      <c r="O484" s="20"/>
      <c r="P484" s="20"/>
      <c r="Q484" s="20"/>
      <c r="R484" s="20"/>
      <c r="S484" s="20"/>
      <c r="T484" s="20"/>
      <c r="U484" s="20"/>
      <c r="V484" s="20"/>
      <c r="W484" s="20"/>
      <c r="X484" s="20"/>
      <c r="Y484" s="20"/>
      <c r="Z484" s="20"/>
      <c r="AA484" s="20"/>
    </row>
    <row r="485" spans="1:27" ht="17.25" customHeight="1">
      <c r="A485" s="57"/>
      <c r="B485" s="57"/>
      <c r="C485" s="57"/>
      <c r="D485" s="57"/>
      <c r="E485" s="57"/>
      <c r="F485" s="57"/>
      <c r="G485" s="57"/>
      <c r="H485" s="20"/>
      <c r="I485" s="20"/>
      <c r="J485" s="20"/>
      <c r="K485" s="20"/>
      <c r="L485" s="20"/>
      <c r="M485" s="20"/>
      <c r="N485" s="20"/>
      <c r="O485" s="20"/>
      <c r="P485" s="20"/>
      <c r="Q485" s="20"/>
      <c r="R485" s="20"/>
      <c r="S485" s="20"/>
      <c r="T485" s="20"/>
      <c r="U485" s="20"/>
      <c r="V485" s="20"/>
      <c r="W485" s="20"/>
      <c r="X485" s="20"/>
      <c r="Y485" s="20"/>
      <c r="Z485" s="20"/>
      <c r="AA485" s="20"/>
    </row>
    <row r="486" spans="1:27" ht="17.25" customHeight="1">
      <c r="A486" s="57"/>
      <c r="B486" s="57"/>
      <c r="C486" s="57"/>
      <c r="D486" s="57"/>
      <c r="E486" s="57"/>
      <c r="F486" s="57"/>
      <c r="G486" s="57"/>
      <c r="H486" s="20"/>
      <c r="I486" s="20"/>
      <c r="J486" s="20"/>
      <c r="K486" s="20"/>
      <c r="L486" s="20"/>
      <c r="M486" s="20"/>
      <c r="N486" s="20"/>
      <c r="O486" s="20"/>
      <c r="P486" s="20"/>
      <c r="Q486" s="20"/>
      <c r="R486" s="20"/>
      <c r="S486" s="20"/>
      <c r="T486" s="20"/>
      <c r="U486" s="20"/>
      <c r="V486" s="20"/>
      <c r="W486" s="20"/>
      <c r="X486" s="20"/>
      <c r="Y486" s="20"/>
      <c r="Z486" s="20"/>
      <c r="AA486" s="20"/>
    </row>
    <row r="487" spans="1:27" ht="17.25" customHeight="1">
      <c r="A487" s="57"/>
      <c r="B487" s="57"/>
      <c r="C487" s="57"/>
      <c r="D487" s="57"/>
      <c r="E487" s="57"/>
      <c r="F487" s="57"/>
      <c r="G487" s="57"/>
      <c r="H487" s="20"/>
      <c r="I487" s="20"/>
      <c r="J487" s="20"/>
      <c r="K487" s="20"/>
      <c r="L487" s="20"/>
      <c r="M487" s="20"/>
      <c r="N487" s="20"/>
      <c r="O487" s="20"/>
      <c r="P487" s="20"/>
      <c r="Q487" s="20"/>
      <c r="R487" s="20"/>
      <c r="S487" s="20"/>
      <c r="T487" s="20"/>
      <c r="U487" s="20"/>
      <c r="V487" s="20"/>
      <c r="W487" s="20"/>
      <c r="X487" s="20"/>
      <c r="Y487" s="20"/>
      <c r="Z487" s="20"/>
      <c r="AA487" s="20"/>
    </row>
    <row r="488" spans="1:27" ht="17.25" customHeight="1">
      <c r="A488" s="57"/>
      <c r="B488" s="57"/>
      <c r="C488" s="57"/>
      <c r="D488" s="57"/>
      <c r="E488" s="57"/>
      <c r="F488" s="57"/>
      <c r="G488" s="57"/>
      <c r="H488" s="20"/>
      <c r="I488" s="20"/>
      <c r="J488" s="20"/>
      <c r="K488" s="20"/>
      <c r="L488" s="20"/>
      <c r="M488" s="20"/>
      <c r="N488" s="20"/>
      <c r="O488" s="20"/>
      <c r="P488" s="20"/>
      <c r="Q488" s="20"/>
      <c r="R488" s="20"/>
      <c r="S488" s="20"/>
      <c r="T488" s="20"/>
      <c r="U488" s="20"/>
      <c r="V488" s="20"/>
      <c r="W488" s="20"/>
      <c r="X488" s="20"/>
      <c r="Y488" s="20"/>
      <c r="Z488" s="20"/>
      <c r="AA488" s="20"/>
    </row>
    <row r="489" spans="1:27" ht="17.25" customHeight="1">
      <c r="A489" s="57"/>
      <c r="B489" s="57"/>
      <c r="C489" s="57"/>
      <c r="D489" s="57"/>
      <c r="E489" s="57"/>
      <c r="F489" s="57"/>
      <c r="G489" s="57"/>
      <c r="H489" s="20"/>
      <c r="I489" s="20"/>
      <c r="J489" s="20"/>
      <c r="K489" s="20"/>
      <c r="L489" s="20"/>
      <c r="M489" s="20"/>
      <c r="N489" s="20"/>
      <c r="O489" s="20"/>
      <c r="P489" s="20"/>
      <c r="Q489" s="20"/>
      <c r="R489" s="20"/>
      <c r="S489" s="20"/>
      <c r="T489" s="20"/>
      <c r="U489" s="20"/>
      <c r="V489" s="20"/>
      <c r="W489" s="20"/>
      <c r="X489" s="20"/>
      <c r="Y489" s="20"/>
      <c r="Z489" s="20"/>
      <c r="AA489" s="20"/>
    </row>
    <row r="490" spans="1:27" ht="17.25" customHeight="1">
      <c r="A490" s="57"/>
      <c r="B490" s="57"/>
      <c r="C490" s="57"/>
      <c r="D490" s="57"/>
      <c r="E490" s="57"/>
      <c r="F490" s="57"/>
      <c r="G490" s="57"/>
      <c r="H490" s="20"/>
      <c r="I490" s="20"/>
      <c r="J490" s="20"/>
      <c r="K490" s="20"/>
      <c r="L490" s="20"/>
      <c r="M490" s="20"/>
      <c r="N490" s="20"/>
      <c r="O490" s="20"/>
      <c r="P490" s="20"/>
      <c r="Q490" s="20"/>
      <c r="R490" s="20"/>
      <c r="S490" s="20"/>
      <c r="T490" s="20"/>
      <c r="U490" s="20"/>
      <c r="V490" s="20"/>
      <c r="W490" s="20"/>
      <c r="X490" s="20"/>
      <c r="Y490" s="20"/>
      <c r="Z490" s="20"/>
      <c r="AA490" s="20"/>
    </row>
    <row r="491" spans="1:27" ht="17.25" customHeight="1">
      <c r="A491" s="57"/>
      <c r="B491" s="57"/>
      <c r="C491" s="57"/>
      <c r="D491" s="57"/>
      <c r="E491" s="57"/>
      <c r="F491" s="57"/>
      <c r="G491" s="57"/>
      <c r="H491" s="20"/>
      <c r="I491" s="20"/>
      <c r="J491" s="20"/>
      <c r="K491" s="20"/>
      <c r="L491" s="20"/>
      <c r="M491" s="20"/>
      <c r="N491" s="20"/>
      <c r="O491" s="20"/>
      <c r="P491" s="20"/>
      <c r="Q491" s="20"/>
      <c r="R491" s="20"/>
      <c r="S491" s="20"/>
      <c r="T491" s="20"/>
      <c r="U491" s="20"/>
      <c r="V491" s="20"/>
      <c r="W491" s="20"/>
      <c r="X491" s="20"/>
      <c r="Y491" s="20"/>
      <c r="Z491" s="20"/>
      <c r="AA491" s="20"/>
    </row>
    <row r="492" spans="1:27" ht="17.25" customHeight="1">
      <c r="A492" s="57"/>
      <c r="B492" s="57"/>
      <c r="C492" s="57"/>
      <c r="D492" s="57"/>
      <c r="E492" s="57"/>
      <c r="F492" s="57"/>
      <c r="G492" s="57"/>
      <c r="H492" s="20"/>
      <c r="I492" s="20"/>
      <c r="J492" s="20"/>
      <c r="K492" s="20"/>
      <c r="L492" s="20"/>
      <c r="M492" s="20"/>
      <c r="N492" s="20"/>
      <c r="O492" s="20"/>
      <c r="P492" s="20"/>
      <c r="Q492" s="20"/>
      <c r="R492" s="20"/>
      <c r="S492" s="20"/>
      <c r="T492" s="20"/>
      <c r="U492" s="20"/>
      <c r="V492" s="20"/>
      <c r="W492" s="20"/>
      <c r="X492" s="20"/>
      <c r="Y492" s="20"/>
      <c r="Z492" s="20"/>
      <c r="AA492" s="20"/>
    </row>
    <row r="493" spans="1:27" ht="17.25" customHeight="1">
      <c r="A493" s="57"/>
      <c r="B493" s="57"/>
      <c r="C493" s="57"/>
      <c r="D493" s="57"/>
      <c r="E493" s="57"/>
      <c r="F493" s="57"/>
      <c r="G493" s="57"/>
      <c r="H493" s="20"/>
      <c r="I493" s="20"/>
      <c r="J493" s="20"/>
      <c r="K493" s="20"/>
      <c r="L493" s="20"/>
      <c r="M493" s="20"/>
      <c r="N493" s="20"/>
      <c r="O493" s="20"/>
      <c r="P493" s="20"/>
      <c r="Q493" s="20"/>
      <c r="R493" s="20"/>
      <c r="S493" s="20"/>
      <c r="T493" s="20"/>
      <c r="U493" s="20"/>
      <c r="V493" s="20"/>
      <c r="W493" s="20"/>
      <c r="X493" s="20"/>
      <c r="Y493" s="20"/>
      <c r="Z493" s="20"/>
      <c r="AA493" s="20"/>
    </row>
    <row r="494" spans="1:27" ht="17.25" customHeight="1">
      <c r="A494" s="57"/>
      <c r="B494" s="57"/>
      <c r="C494" s="57"/>
      <c r="D494" s="57"/>
      <c r="E494" s="57"/>
      <c r="F494" s="57"/>
      <c r="G494" s="57"/>
      <c r="H494" s="20"/>
      <c r="I494" s="20"/>
      <c r="J494" s="20"/>
      <c r="K494" s="20"/>
      <c r="L494" s="20"/>
      <c r="M494" s="20"/>
      <c r="N494" s="20"/>
      <c r="O494" s="20"/>
      <c r="P494" s="20"/>
      <c r="Q494" s="20"/>
      <c r="R494" s="20"/>
      <c r="S494" s="20"/>
      <c r="T494" s="20"/>
      <c r="U494" s="20"/>
      <c r="V494" s="20"/>
      <c r="W494" s="20"/>
      <c r="X494" s="20"/>
      <c r="Y494" s="20"/>
      <c r="Z494" s="20"/>
      <c r="AA494" s="20"/>
    </row>
    <row r="495" spans="1:27" ht="17.25" customHeight="1">
      <c r="A495" s="57"/>
      <c r="B495" s="57"/>
      <c r="C495" s="57"/>
      <c r="D495" s="57"/>
      <c r="E495" s="57"/>
      <c r="F495" s="57"/>
      <c r="G495" s="57"/>
      <c r="H495" s="20"/>
      <c r="I495" s="20"/>
      <c r="J495" s="20"/>
      <c r="K495" s="20"/>
      <c r="L495" s="20"/>
      <c r="M495" s="20"/>
      <c r="N495" s="20"/>
      <c r="O495" s="20"/>
      <c r="P495" s="20"/>
      <c r="Q495" s="20"/>
      <c r="R495" s="20"/>
      <c r="S495" s="20"/>
      <c r="T495" s="20"/>
      <c r="U495" s="20"/>
      <c r="V495" s="20"/>
      <c r="W495" s="20"/>
      <c r="X495" s="20"/>
      <c r="Y495" s="20"/>
      <c r="Z495" s="20"/>
      <c r="AA495" s="20"/>
    </row>
    <row r="496" spans="1:27" ht="17.25" customHeight="1">
      <c r="A496" s="57"/>
      <c r="B496" s="57"/>
      <c r="C496" s="57"/>
      <c r="D496" s="57"/>
      <c r="E496" s="57"/>
      <c r="F496" s="57"/>
      <c r="G496" s="57"/>
      <c r="H496" s="20"/>
      <c r="I496" s="20"/>
      <c r="J496" s="20"/>
      <c r="K496" s="20"/>
      <c r="L496" s="20"/>
      <c r="M496" s="20"/>
      <c r="N496" s="20"/>
      <c r="O496" s="20"/>
      <c r="P496" s="20"/>
      <c r="Q496" s="20"/>
      <c r="R496" s="20"/>
      <c r="S496" s="20"/>
      <c r="T496" s="20"/>
      <c r="U496" s="20"/>
      <c r="V496" s="20"/>
      <c r="W496" s="20"/>
      <c r="X496" s="20"/>
      <c r="Y496" s="20"/>
      <c r="Z496" s="20"/>
      <c r="AA496" s="20"/>
    </row>
    <row r="497" spans="1:27" ht="17.25" customHeight="1">
      <c r="A497" s="57"/>
      <c r="B497" s="57"/>
      <c r="C497" s="57"/>
      <c r="D497" s="57"/>
      <c r="E497" s="57"/>
      <c r="F497" s="57"/>
      <c r="G497" s="57"/>
      <c r="H497" s="20"/>
      <c r="I497" s="20"/>
      <c r="J497" s="20"/>
      <c r="K497" s="20"/>
      <c r="L497" s="20"/>
      <c r="M497" s="20"/>
      <c r="N497" s="20"/>
      <c r="O497" s="20"/>
      <c r="P497" s="20"/>
      <c r="Q497" s="20"/>
      <c r="R497" s="20"/>
      <c r="S497" s="20"/>
      <c r="T497" s="20"/>
      <c r="U497" s="20"/>
      <c r="V497" s="20"/>
      <c r="W497" s="20"/>
      <c r="X497" s="20"/>
      <c r="Y497" s="20"/>
      <c r="Z497" s="20"/>
      <c r="AA497" s="20"/>
    </row>
    <row r="498" spans="1:27" ht="17.25" customHeight="1">
      <c r="A498" s="57"/>
      <c r="B498" s="57"/>
      <c r="C498" s="57"/>
      <c r="D498" s="57"/>
      <c r="E498" s="57"/>
      <c r="F498" s="57"/>
      <c r="G498" s="57"/>
      <c r="H498" s="20"/>
      <c r="I498" s="20"/>
      <c r="J498" s="20"/>
      <c r="K498" s="20"/>
      <c r="L498" s="20"/>
      <c r="M498" s="20"/>
      <c r="N498" s="20"/>
      <c r="O498" s="20"/>
      <c r="P498" s="20"/>
      <c r="Q498" s="20"/>
      <c r="R498" s="20"/>
      <c r="S498" s="20"/>
      <c r="T498" s="20"/>
      <c r="U498" s="20"/>
      <c r="V498" s="20"/>
      <c r="W498" s="20"/>
      <c r="X498" s="20"/>
      <c r="Y498" s="20"/>
      <c r="Z498" s="20"/>
      <c r="AA498" s="20"/>
    </row>
    <row r="499" spans="1:27" ht="17.25" customHeight="1">
      <c r="A499" s="57"/>
      <c r="B499" s="57"/>
      <c r="C499" s="57"/>
      <c r="D499" s="57"/>
      <c r="E499" s="57"/>
      <c r="F499" s="57"/>
      <c r="G499" s="57"/>
      <c r="H499" s="20"/>
      <c r="I499" s="20"/>
      <c r="J499" s="20"/>
      <c r="K499" s="20"/>
      <c r="L499" s="20"/>
      <c r="M499" s="20"/>
      <c r="N499" s="20"/>
      <c r="O499" s="20"/>
      <c r="P499" s="20"/>
      <c r="Q499" s="20"/>
      <c r="R499" s="20"/>
      <c r="S499" s="20"/>
      <c r="T499" s="20"/>
      <c r="U499" s="20"/>
      <c r="V499" s="20"/>
      <c r="W499" s="20"/>
      <c r="X499" s="20"/>
      <c r="Y499" s="20"/>
      <c r="Z499" s="20"/>
      <c r="AA499" s="20"/>
    </row>
    <row r="500" spans="1:27" ht="17.25" customHeight="1">
      <c r="A500" s="57"/>
      <c r="B500" s="57"/>
      <c r="C500" s="57"/>
      <c r="D500" s="57"/>
      <c r="E500" s="57"/>
      <c r="F500" s="57"/>
      <c r="G500" s="57"/>
      <c r="H500" s="20"/>
      <c r="I500" s="20"/>
      <c r="J500" s="20"/>
      <c r="K500" s="20"/>
      <c r="L500" s="20"/>
      <c r="M500" s="20"/>
      <c r="N500" s="20"/>
      <c r="O500" s="20"/>
      <c r="P500" s="20"/>
      <c r="Q500" s="20"/>
      <c r="R500" s="20"/>
      <c r="S500" s="20"/>
      <c r="T500" s="20"/>
      <c r="U500" s="20"/>
      <c r="V500" s="20"/>
      <c r="W500" s="20"/>
      <c r="X500" s="20"/>
      <c r="Y500" s="20"/>
      <c r="Z500" s="20"/>
      <c r="AA500" s="20"/>
    </row>
    <row r="501" spans="1:27" ht="17.25" customHeight="1">
      <c r="A501" s="57"/>
      <c r="B501" s="57"/>
      <c r="C501" s="57"/>
      <c r="D501" s="57"/>
      <c r="E501" s="57"/>
      <c r="F501" s="57"/>
      <c r="G501" s="57"/>
      <c r="H501" s="20"/>
      <c r="I501" s="20"/>
      <c r="J501" s="20"/>
      <c r="K501" s="20"/>
      <c r="L501" s="20"/>
      <c r="M501" s="20"/>
      <c r="N501" s="20"/>
      <c r="O501" s="20"/>
      <c r="P501" s="20"/>
      <c r="Q501" s="20"/>
      <c r="R501" s="20"/>
      <c r="S501" s="20"/>
      <c r="T501" s="20"/>
      <c r="U501" s="20"/>
      <c r="V501" s="20"/>
      <c r="W501" s="20"/>
      <c r="X501" s="20"/>
      <c r="Y501" s="20"/>
      <c r="Z501" s="20"/>
      <c r="AA501" s="20"/>
    </row>
    <row r="502" spans="1:27" ht="17.25" customHeight="1">
      <c r="A502" s="57"/>
      <c r="B502" s="57"/>
      <c r="C502" s="57"/>
      <c r="D502" s="57"/>
      <c r="E502" s="57"/>
      <c r="F502" s="57"/>
      <c r="G502" s="57"/>
      <c r="H502" s="20"/>
      <c r="I502" s="20"/>
      <c r="J502" s="20"/>
      <c r="K502" s="20"/>
      <c r="L502" s="20"/>
      <c r="M502" s="20"/>
      <c r="N502" s="20"/>
      <c r="O502" s="20"/>
      <c r="P502" s="20"/>
      <c r="Q502" s="20"/>
      <c r="R502" s="20"/>
      <c r="S502" s="20"/>
      <c r="T502" s="20"/>
      <c r="U502" s="20"/>
      <c r="V502" s="20"/>
      <c r="W502" s="20"/>
      <c r="X502" s="20"/>
      <c r="Y502" s="20"/>
      <c r="Z502" s="20"/>
      <c r="AA502" s="20"/>
    </row>
    <row r="503" spans="1:27" ht="17.25" customHeight="1">
      <c r="A503" s="57"/>
      <c r="B503" s="57"/>
      <c r="C503" s="57"/>
      <c r="D503" s="57"/>
      <c r="E503" s="57"/>
      <c r="F503" s="57"/>
      <c r="G503" s="57"/>
      <c r="H503" s="20"/>
      <c r="I503" s="20"/>
      <c r="J503" s="20"/>
      <c r="K503" s="20"/>
      <c r="L503" s="20"/>
      <c r="M503" s="20"/>
      <c r="N503" s="20"/>
      <c r="O503" s="20"/>
      <c r="P503" s="20"/>
      <c r="Q503" s="20"/>
      <c r="R503" s="20"/>
      <c r="S503" s="20"/>
      <c r="T503" s="20"/>
      <c r="U503" s="20"/>
      <c r="V503" s="20"/>
      <c r="W503" s="20"/>
      <c r="X503" s="20"/>
      <c r="Y503" s="20"/>
      <c r="Z503" s="20"/>
      <c r="AA503" s="20"/>
    </row>
    <row r="504" spans="1:27" ht="17.25" customHeight="1">
      <c r="A504" s="57"/>
      <c r="B504" s="57"/>
      <c r="C504" s="57"/>
      <c r="D504" s="57"/>
      <c r="E504" s="57"/>
      <c r="F504" s="57"/>
      <c r="G504" s="57"/>
      <c r="H504" s="20"/>
      <c r="I504" s="20"/>
      <c r="J504" s="20"/>
      <c r="K504" s="20"/>
      <c r="L504" s="20"/>
      <c r="M504" s="20"/>
      <c r="N504" s="20"/>
      <c r="O504" s="20"/>
      <c r="P504" s="20"/>
      <c r="Q504" s="20"/>
      <c r="R504" s="20"/>
      <c r="S504" s="20"/>
      <c r="T504" s="20"/>
      <c r="U504" s="20"/>
      <c r="V504" s="20"/>
      <c r="W504" s="20"/>
      <c r="X504" s="20"/>
      <c r="Y504" s="20"/>
      <c r="Z504" s="20"/>
      <c r="AA504" s="20"/>
    </row>
    <row r="505" spans="1:27" ht="17.25" customHeight="1">
      <c r="A505" s="57"/>
      <c r="B505" s="57"/>
      <c r="C505" s="57"/>
      <c r="D505" s="57"/>
      <c r="E505" s="57"/>
      <c r="F505" s="57"/>
      <c r="G505" s="57"/>
      <c r="H505" s="20"/>
      <c r="I505" s="20"/>
      <c r="J505" s="20"/>
      <c r="K505" s="20"/>
      <c r="L505" s="20"/>
      <c r="M505" s="20"/>
      <c r="N505" s="20"/>
      <c r="O505" s="20"/>
      <c r="P505" s="20"/>
      <c r="Q505" s="20"/>
      <c r="R505" s="20"/>
      <c r="S505" s="20"/>
      <c r="T505" s="20"/>
      <c r="U505" s="20"/>
      <c r="V505" s="20"/>
      <c r="W505" s="20"/>
      <c r="X505" s="20"/>
      <c r="Y505" s="20"/>
      <c r="Z505" s="20"/>
      <c r="AA505" s="20"/>
    </row>
    <row r="506" spans="1:27" ht="17.25" customHeight="1">
      <c r="A506" s="57"/>
      <c r="B506" s="57"/>
      <c r="C506" s="57"/>
      <c r="D506" s="57"/>
      <c r="E506" s="57"/>
      <c r="F506" s="57"/>
      <c r="G506" s="57"/>
      <c r="H506" s="20"/>
      <c r="I506" s="20"/>
      <c r="J506" s="20"/>
      <c r="K506" s="20"/>
      <c r="L506" s="20"/>
      <c r="M506" s="20"/>
      <c r="N506" s="20"/>
      <c r="O506" s="20"/>
      <c r="P506" s="20"/>
      <c r="Q506" s="20"/>
      <c r="R506" s="20"/>
      <c r="S506" s="20"/>
      <c r="T506" s="20"/>
      <c r="U506" s="20"/>
      <c r="V506" s="20"/>
      <c r="W506" s="20"/>
      <c r="X506" s="20"/>
      <c r="Y506" s="20"/>
      <c r="Z506" s="20"/>
      <c r="AA506" s="20"/>
    </row>
    <row r="507" spans="1:27" ht="17.25" customHeight="1">
      <c r="A507" s="57"/>
      <c r="B507" s="57"/>
      <c r="C507" s="57"/>
      <c r="D507" s="57"/>
      <c r="E507" s="57"/>
      <c r="F507" s="57"/>
      <c r="G507" s="57"/>
      <c r="H507" s="20"/>
      <c r="I507" s="20"/>
      <c r="J507" s="20"/>
      <c r="K507" s="20"/>
      <c r="L507" s="20"/>
      <c r="M507" s="20"/>
      <c r="N507" s="20"/>
      <c r="O507" s="20"/>
      <c r="P507" s="20"/>
      <c r="Q507" s="20"/>
      <c r="R507" s="20"/>
      <c r="S507" s="20"/>
      <c r="T507" s="20"/>
      <c r="U507" s="20"/>
      <c r="V507" s="20"/>
      <c r="W507" s="20"/>
      <c r="X507" s="20"/>
      <c r="Y507" s="20"/>
      <c r="Z507" s="20"/>
      <c r="AA507" s="20"/>
    </row>
    <row r="508" spans="1:27" ht="17.25" customHeight="1">
      <c r="A508" s="57"/>
      <c r="B508" s="57"/>
      <c r="C508" s="57"/>
      <c r="D508" s="57"/>
      <c r="E508" s="57"/>
      <c r="F508" s="57"/>
      <c r="G508" s="57"/>
      <c r="H508" s="20"/>
      <c r="I508" s="20"/>
      <c r="J508" s="20"/>
      <c r="K508" s="20"/>
      <c r="L508" s="20"/>
      <c r="M508" s="20"/>
      <c r="N508" s="20"/>
      <c r="O508" s="20"/>
      <c r="P508" s="20"/>
      <c r="Q508" s="20"/>
      <c r="R508" s="20"/>
      <c r="S508" s="20"/>
      <c r="T508" s="20"/>
      <c r="U508" s="20"/>
      <c r="V508" s="20"/>
      <c r="W508" s="20"/>
      <c r="X508" s="20"/>
      <c r="Y508" s="20"/>
      <c r="Z508" s="20"/>
      <c r="AA508" s="20"/>
    </row>
    <row r="509" spans="1:27" ht="17.25" customHeight="1">
      <c r="A509" s="57"/>
      <c r="B509" s="57"/>
      <c r="C509" s="57"/>
      <c r="D509" s="57"/>
      <c r="E509" s="57"/>
      <c r="F509" s="57"/>
      <c r="G509" s="57"/>
      <c r="H509" s="20"/>
      <c r="I509" s="20"/>
      <c r="J509" s="20"/>
      <c r="K509" s="20"/>
      <c r="L509" s="20"/>
      <c r="M509" s="20"/>
      <c r="N509" s="20"/>
      <c r="O509" s="20"/>
      <c r="P509" s="20"/>
      <c r="Q509" s="20"/>
      <c r="R509" s="20"/>
      <c r="S509" s="20"/>
      <c r="T509" s="20"/>
      <c r="U509" s="20"/>
      <c r="V509" s="20"/>
      <c r="W509" s="20"/>
      <c r="X509" s="20"/>
      <c r="Y509" s="20"/>
      <c r="Z509" s="20"/>
      <c r="AA509" s="20"/>
    </row>
    <row r="510" spans="1:27" ht="17.25" customHeight="1">
      <c r="A510" s="57"/>
      <c r="B510" s="57"/>
      <c r="C510" s="57"/>
      <c r="D510" s="57"/>
      <c r="E510" s="57"/>
      <c r="F510" s="57"/>
      <c r="G510" s="57"/>
      <c r="H510" s="20"/>
      <c r="I510" s="20"/>
      <c r="J510" s="20"/>
      <c r="K510" s="20"/>
      <c r="L510" s="20"/>
      <c r="M510" s="20"/>
      <c r="N510" s="20"/>
      <c r="O510" s="20"/>
      <c r="P510" s="20"/>
      <c r="Q510" s="20"/>
      <c r="R510" s="20"/>
      <c r="S510" s="20"/>
      <c r="T510" s="20"/>
      <c r="U510" s="20"/>
      <c r="V510" s="20"/>
      <c r="W510" s="20"/>
      <c r="X510" s="20"/>
      <c r="Y510" s="20"/>
      <c r="Z510" s="20"/>
      <c r="AA510" s="20"/>
    </row>
    <row r="511" spans="1:27" ht="17.25" customHeight="1">
      <c r="A511" s="57"/>
      <c r="B511" s="57"/>
      <c r="C511" s="57"/>
      <c r="D511" s="57"/>
      <c r="E511" s="57"/>
      <c r="F511" s="57"/>
      <c r="G511" s="57"/>
      <c r="H511" s="20"/>
      <c r="I511" s="20"/>
      <c r="J511" s="20"/>
      <c r="K511" s="20"/>
      <c r="L511" s="20"/>
      <c r="M511" s="20"/>
      <c r="N511" s="20"/>
      <c r="O511" s="20"/>
      <c r="P511" s="20"/>
      <c r="Q511" s="20"/>
      <c r="R511" s="20"/>
      <c r="S511" s="20"/>
      <c r="T511" s="20"/>
      <c r="U511" s="20"/>
      <c r="V511" s="20"/>
      <c r="W511" s="20"/>
      <c r="X511" s="20"/>
      <c r="Y511" s="20"/>
      <c r="Z511" s="20"/>
      <c r="AA511" s="20"/>
    </row>
    <row r="512" spans="1:27" ht="17.25" customHeight="1">
      <c r="A512" s="57"/>
      <c r="B512" s="57"/>
      <c r="C512" s="57"/>
      <c r="D512" s="57"/>
      <c r="E512" s="57"/>
      <c r="F512" s="57"/>
      <c r="G512" s="57"/>
      <c r="H512" s="20"/>
      <c r="I512" s="20"/>
      <c r="J512" s="20"/>
      <c r="K512" s="20"/>
      <c r="L512" s="20"/>
      <c r="M512" s="20"/>
      <c r="N512" s="20"/>
      <c r="O512" s="20"/>
      <c r="P512" s="20"/>
      <c r="Q512" s="20"/>
      <c r="R512" s="20"/>
      <c r="S512" s="20"/>
      <c r="T512" s="20"/>
      <c r="U512" s="20"/>
      <c r="V512" s="20"/>
      <c r="W512" s="20"/>
      <c r="X512" s="20"/>
      <c r="Y512" s="20"/>
      <c r="Z512" s="20"/>
      <c r="AA512" s="20"/>
    </row>
    <row r="513" spans="1:27" ht="17.25" customHeight="1">
      <c r="A513" s="57"/>
      <c r="B513" s="57"/>
      <c r="C513" s="57"/>
      <c r="D513" s="57"/>
      <c r="E513" s="57"/>
      <c r="F513" s="57"/>
      <c r="G513" s="57"/>
      <c r="H513" s="20"/>
      <c r="I513" s="20"/>
      <c r="J513" s="20"/>
      <c r="K513" s="20"/>
      <c r="L513" s="20"/>
      <c r="M513" s="20"/>
      <c r="N513" s="20"/>
      <c r="O513" s="20"/>
      <c r="P513" s="20"/>
      <c r="Q513" s="20"/>
      <c r="R513" s="20"/>
      <c r="S513" s="20"/>
      <c r="T513" s="20"/>
      <c r="U513" s="20"/>
      <c r="V513" s="20"/>
      <c r="W513" s="20"/>
      <c r="X513" s="20"/>
      <c r="Y513" s="20"/>
      <c r="Z513" s="20"/>
      <c r="AA513" s="20"/>
    </row>
    <row r="514" spans="1:27" ht="17.25" customHeight="1">
      <c r="A514" s="57"/>
      <c r="B514" s="57"/>
      <c r="C514" s="57"/>
      <c r="D514" s="57"/>
      <c r="E514" s="57"/>
      <c r="F514" s="57"/>
      <c r="G514" s="57"/>
      <c r="H514" s="20"/>
      <c r="I514" s="20"/>
      <c r="J514" s="20"/>
      <c r="K514" s="20"/>
      <c r="L514" s="20"/>
      <c r="M514" s="20"/>
      <c r="N514" s="20"/>
      <c r="O514" s="20"/>
      <c r="P514" s="20"/>
      <c r="Q514" s="20"/>
      <c r="R514" s="20"/>
      <c r="S514" s="20"/>
      <c r="T514" s="20"/>
      <c r="U514" s="20"/>
      <c r="V514" s="20"/>
      <c r="W514" s="20"/>
      <c r="X514" s="20"/>
      <c r="Y514" s="20"/>
      <c r="Z514" s="20"/>
      <c r="AA514" s="20"/>
    </row>
    <row r="515" spans="1:27" ht="17.25" customHeight="1">
      <c r="A515" s="57"/>
      <c r="B515" s="57"/>
      <c r="C515" s="57"/>
      <c r="D515" s="57"/>
      <c r="E515" s="57"/>
      <c r="F515" s="57"/>
      <c r="G515" s="57"/>
      <c r="H515" s="20"/>
      <c r="I515" s="20"/>
      <c r="J515" s="20"/>
      <c r="K515" s="20"/>
      <c r="L515" s="20"/>
      <c r="M515" s="20"/>
      <c r="N515" s="20"/>
      <c r="O515" s="20"/>
      <c r="P515" s="20"/>
      <c r="Q515" s="20"/>
      <c r="R515" s="20"/>
      <c r="S515" s="20"/>
      <c r="T515" s="20"/>
      <c r="U515" s="20"/>
      <c r="V515" s="20"/>
      <c r="W515" s="20"/>
      <c r="X515" s="20"/>
      <c r="Y515" s="20"/>
      <c r="Z515" s="20"/>
      <c r="AA515" s="20"/>
    </row>
    <row r="516" spans="1:27" ht="17.25" customHeight="1">
      <c r="A516" s="57"/>
      <c r="B516" s="57"/>
      <c r="C516" s="57"/>
      <c r="D516" s="57"/>
      <c r="E516" s="57"/>
      <c r="F516" s="57"/>
      <c r="G516" s="57"/>
      <c r="H516" s="20"/>
      <c r="I516" s="20"/>
      <c r="J516" s="20"/>
      <c r="K516" s="20"/>
      <c r="L516" s="20"/>
      <c r="M516" s="20"/>
      <c r="N516" s="20"/>
      <c r="O516" s="20"/>
      <c r="P516" s="20"/>
      <c r="Q516" s="20"/>
      <c r="R516" s="20"/>
      <c r="S516" s="20"/>
      <c r="T516" s="20"/>
      <c r="U516" s="20"/>
      <c r="V516" s="20"/>
      <c r="W516" s="20"/>
      <c r="X516" s="20"/>
      <c r="Y516" s="20"/>
      <c r="Z516" s="20"/>
      <c r="AA516" s="20"/>
    </row>
    <row r="517" spans="1:27" ht="17.25" customHeight="1">
      <c r="A517" s="57"/>
      <c r="B517" s="57"/>
      <c r="C517" s="57"/>
      <c r="D517" s="57"/>
      <c r="E517" s="57"/>
      <c r="F517" s="57"/>
      <c r="G517" s="57"/>
      <c r="H517" s="20"/>
      <c r="I517" s="20"/>
      <c r="J517" s="20"/>
      <c r="K517" s="20"/>
      <c r="L517" s="20"/>
      <c r="M517" s="20"/>
      <c r="N517" s="20"/>
      <c r="O517" s="20"/>
      <c r="P517" s="20"/>
      <c r="Q517" s="20"/>
      <c r="R517" s="20"/>
      <c r="S517" s="20"/>
      <c r="T517" s="20"/>
      <c r="U517" s="20"/>
      <c r="V517" s="20"/>
      <c r="W517" s="20"/>
      <c r="X517" s="20"/>
      <c r="Y517" s="20"/>
      <c r="Z517" s="20"/>
      <c r="AA517" s="20"/>
    </row>
    <row r="518" spans="1:27" ht="17.25" customHeight="1">
      <c r="A518" s="57"/>
      <c r="B518" s="57"/>
      <c r="C518" s="57"/>
      <c r="D518" s="57"/>
      <c r="E518" s="57"/>
      <c r="F518" s="57"/>
      <c r="G518" s="57"/>
      <c r="H518" s="20"/>
      <c r="I518" s="20"/>
      <c r="J518" s="20"/>
      <c r="K518" s="20"/>
      <c r="L518" s="20"/>
      <c r="M518" s="20"/>
      <c r="N518" s="20"/>
      <c r="O518" s="20"/>
      <c r="P518" s="20"/>
      <c r="Q518" s="20"/>
      <c r="R518" s="20"/>
      <c r="S518" s="20"/>
      <c r="T518" s="20"/>
      <c r="U518" s="20"/>
      <c r="V518" s="20"/>
      <c r="W518" s="20"/>
      <c r="X518" s="20"/>
      <c r="Y518" s="20"/>
      <c r="Z518" s="20"/>
      <c r="AA518" s="20"/>
    </row>
    <row r="519" spans="1:27" ht="17.25" customHeight="1">
      <c r="A519" s="57"/>
      <c r="B519" s="57"/>
      <c r="C519" s="57"/>
      <c r="D519" s="57"/>
      <c r="E519" s="57"/>
      <c r="F519" s="57"/>
      <c r="G519" s="57"/>
      <c r="H519" s="20"/>
      <c r="I519" s="20"/>
      <c r="J519" s="20"/>
      <c r="K519" s="20"/>
      <c r="L519" s="20"/>
      <c r="M519" s="20"/>
      <c r="N519" s="20"/>
      <c r="O519" s="20"/>
      <c r="P519" s="20"/>
      <c r="Q519" s="20"/>
      <c r="R519" s="20"/>
      <c r="S519" s="20"/>
      <c r="T519" s="20"/>
      <c r="U519" s="20"/>
      <c r="V519" s="20"/>
      <c r="W519" s="20"/>
      <c r="X519" s="20"/>
      <c r="Y519" s="20"/>
      <c r="Z519" s="20"/>
      <c r="AA519" s="20"/>
    </row>
    <row r="520" spans="1:27" ht="17.25" customHeight="1">
      <c r="A520" s="57"/>
      <c r="B520" s="57"/>
      <c r="C520" s="57"/>
      <c r="D520" s="57"/>
      <c r="E520" s="57"/>
      <c r="F520" s="57"/>
      <c r="G520" s="57"/>
      <c r="H520" s="20"/>
      <c r="I520" s="20"/>
      <c r="J520" s="20"/>
      <c r="K520" s="20"/>
      <c r="L520" s="20"/>
      <c r="M520" s="20"/>
      <c r="N520" s="20"/>
      <c r="O520" s="20"/>
      <c r="P520" s="20"/>
      <c r="Q520" s="20"/>
      <c r="R520" s="20"/>
      <c r="S520" s="20"/>
      <c r="T520" s="20"/>
      <c r="U520" s="20"/>
      <c r="V520" s="20"/>
      <c r="W520" s="20"/>
      <c r="X520" s="20"/>
      <c r="Y520" s="20"/>
      <c r="Z520" s="20"/>
      <c r="AA520" s="20"/>
    </row>
    <row r="521" spans="1:27" ht="17.25" customHeight="1">
      <c r="A521" s="57"/>
      <c r="B521" s="57"/>
      <c r="C521" s="57"/>
      <c r="D521" s="57"/>
      <c r="E521" s="57"/>
      <c r="F521" s="57"/>
      <c r="G521" s="57"/>
      <c r="H521" s="20"/>
      <c r="I521" s="20"/>
      <c r="J521" s="20"/>
      <c r="K521" s="20"/>
      <c r="L521" s="20"/>
      <c r="M521" s="20"/>
      <c r="N521" s="20"/>
      <c r="O521" s="20"/>
      <c r="P521" s="20"/>
      <c r="Q521" s="20"/>
      <c r="R521" s="20"/>
      <c r="S521" s="20"/>
      <c r="T521" s="20"/>
      <c r="U521" s="20"/>
      <c r="V521" s="20"/>
      <c r="W521" s="20"/>
      <c r="X521" s="20"/>
      <c r="Y521" s="20"/>
      <c r="Z521" s="20"/>
      <c r="AA521" s="20"/>
    </row>
    <row r="522" spans="1:27" ht="17.25" customHeight="1">
      <c r="A522" s="57"/>
      <c r="B522" s="57"/>
      <c r="C522" s="57"/>
      <c r="D522" s="57"/>
      <c r="E522" s="57"/>
      <c r="F522" s="57"/>
      <c r="G522" s="57"/>
      <c r="H522" s="20"/>
      <c r="I522" s="20"/>
      <c r="J522" s="20"/>
      <c r="K522" s="20"/>
      <c r="L522" s="20"/>
      <c r="M522" s="20"/>
      <c r="N522" s="20"/>
      <c r="O522" s="20"/>
      <c r="P522" s="20"/>
      <c r="Q522" s="20"/>
      <c r="R522" s="20"/>
      <c r="S522" s="20"/>
      <c r="T522" s="20"/>
      <c r="U522" s="20"/>
      <c r="V522" s="20"/>
      <c r="W522" s="20"/>
      <c r="X522" s="20"/>
      <c r="Y522" s="20"/>
      <c r="Z522" s="20"/>
      <c r="AA522" s="20"/>
    </row>
    <row r="523" spans="1:27" ht="17.25" customHeight="1">
      <c r="A523" s="57"/>
      <c r="B523" s="57"/>
      <c r="C523" s="57"/>
      <c r="D523" s="57"/>
      <c r="E523" s="57"/>
      <c r="F523" s="57"/>
      <c r="G523" s="57"/>
      <c r="H523" s="20"/>
      <c r="I523" s="20"/>
      <c r="J523" s="20"/>
      <c r="K523" s="20"/>
      <c r="L523" s="20"/>
      <c r="M523" s="20"/>
      <c r="N523" s="20"/>
      <c r="O523" s="20"/>
      <c r="P523" s="20"/>
      <c r="Q523" s="20"/>
      <c r="R523" s="20"/>
      <c r="S523" s="20"/>
      <c r="T523" s="20"/>
      <c r="U523" s="20"/>
      <c r="V523" s="20"/>
      <c r="W523" s="20"/>
      <c r="X523" s="20"/>
      <c r="Y523" s="20"/>
      <c r="Z523" s="20"/>
      <c r="AA523" s="20"/>
    </row>
    <row r="524" spans="1:27" ht="17.25" customHeight="1">
      <c r="A524" s="57"/>
      <c r="B524" s="57"/>
      <c r="C524" s="57"/>
      <c r="D524" s="57"/>
      <c r="E524" s="57"/>
      <c r="F524" s="57"/>
      <c r="G524" s="57"/>
      <c r="H524" s="20"/>
      <c r="I524" s="20"/>
      <c r="J524" s="20"/>
      <c r="K524" s="20"/>
      <c r="L524" s="20"/>
      <c r="M524" s="20"/>
      <c r="N524" s="20"/>
      <c r="O524" s="20"/>
      <c r="P524" s="20"/>
      <c r="Q524" s="20"/>
      <c r="R524" s="20"/>
      <c r="S524" s="20"/>
      <c r="T524" s="20"/>
      <c r="U524" s="20"/>
      <c r="V524" s="20"/>
      <c r="W524" s="20"/>
      <c r="X524" s="20"/>
      <c r="Y524" s="20"/>
      <c r="Z524" s="20"/>
      <c r="AA524" s="20"/>
    </row>
    <row r="525" spans="1:27" ht="17.25" customHeight="1">
      <c r="A525" s="57"/>
      <c r="B525" s="57"/>
      <c r="C525" s="57"/>
      <c r="D525" s="57"/>
      <c r="E525" s="57"/>
      <c r="F525" s="57"/>
      <c r="G525" s="57"/>
      <c r="H525" s="20"/>
      <c r="I525" s="20"/>
      <c r="J525" s="20"/>
      <c r="K525" s="20"/>
      <c r="L525" s="20"/>
      <c r="M525" s="20"/>
      <c r="N525" s="20"/>
      <c r="O525" s="20"/>
      <c r="P525" s="20"/>
      <c r="Q525" s="20"/>
      <c r="R525" s="20"/>
      <c r="S525" s="20"/>
      <c r="T525" s="20"/>
      <c r="U525" s="20"/>
      <c r="V525" s="20"/>
      <c r="W525" s="20"/>
      <c r="X525" s="20"/>
      <c r="Y525" s="20"/>
      <c r="Z525" s="20"/>
      <c r="AA525" s="20"/>
    </row>
    <row r="526" spans="1:27" ht="17.25" customHeight="1">
      <c r="A526" s="57"/>
      <c r="B526" s="57"/>
      <c r="C526" s="57"/>
      <c r="D526" s="57"/>
      <c r="E526" s="57"/>
      <c r="F526" s="57"/>
      <c r="G526" s="57"/>
      <c r="H526" s="20"/>
      <c r="I526" s="20"/>
      <c r="J526" s="20"/>
      <c r="K526" s="20"/>
      <c r="L526" s="20"/>
      <c r="M526" s="20"/>
      <c r="N526" s="20"/>
      <c r="O526" s="20"/>
      <c r="P526" s="20"/>
      <c r="Q526" s="20"/>
      <c r="R526" s="20"/>
      <c r="S526" s="20"/>
      <c r="T526" s="20"/>
      <c r="U526" s="20"/>
      <c r="V526" s="20"/>
      <c r="W526" s="20"/>
      <c r="X526" s="20"/>
      <c r="Y526" s="20"/>
      <c r="Z526" s="20"/>
      <c r="AA526" s="20"/>
    </row>
    <row r="527" spans="1:27" ht="17.25" customHeight="1">
      <c r="A527" s="57"/>
      <c r="B527" s="57"/>
      <c r="C527" s="57"/>
      <c r="D527" s="57"/>
      <c r="E527" s="57"/>
      <c r="F527" s="57"/>
      <c r="G527" s="57"/>
      <c r="H527" s="20"/>
      <c r="I527" s="20"/>
      <c r="J527" s="20"/>
      <c r="K527" s="20"/>
      <c r="L527" s="20"/>
      <c r="M527" s="20"/>
      <c r="N527" s="20"/>
      <c r="O527" s="20"/>
      <c r="P527" s="20"/>
      <c r="Q527" s="20"/>
      <c r="R527" s="20"/>
      <c r="S527" s="20"/>
      <c r="T527" s="20"/>
      <c r="U527" s="20"/>
      <c r="V527" s="20"/>
      <c r="W527" s="20"/>
      <c r="X527" s="20"/>
      <c r="Y527" s="20"/>
      <c r="Z527" s="20"/>
      <c r="AA527" s="20"/>
    </row>
    <row r="528" spans="1:27" ht="17.25" customHeight="1">
      <c r="A528" s="57"/>
      <c r="B528" s="57"/>
      <c r="C528" s="57"/>
      <c r="D528" s="57"/>
      <c r="E528" s="57"/>
      <c r="F528" s="57"/>
      <c r="G528" s="57"/>
      <c r="H528" s="20"/>
      <c r="I528" s="20"/>
      <c r="J528" s="20"/>
      <c r="K528" s="20"/>
      <c r="L528" s="20"/>
      <c r="M528" s="20"/>
      <c r="N528" s="20"/>
      <c r="O528" s="20"/>
      <c r="P528" s="20"/>
      <c r="Q528" s="20"/>
      <c r="R528" s="20"/>
      <c r="S528" s="20"/>
      <c r="T528" s="20"/>
      <c r="U528" s="20"/>
      <c r="V528" s="20"/>
      <c r="W528" s="20"/>
      <c r="X528" s="20"/>
      <c r="Y528" s="20"/>
      <c r="Z528" s="20"/>
      <c r="AA528" s="20"/>
    </row>
    <row r="529" spans="1:27" ht="17.25" customHeight="1">
      <c r="A529" s="57"/>
      <c r="B529" s="57"/>
      <c r="C529" s="57"/>
      <c r="D529" s="57"/>
      <c r="E529" s="57"/>
      <c r="F529" s="57"/>
      <c r="G529" s="57"/>
      <c r="H529" s="20"/>
      <c r="I529" s="20"/>
      <c r="J529" s="20"/>
      <c r="K529" s="20"/>
      <c r="L529" s="20"/>
      <c r="M529" s="20"/>
      <c r="N529" s="20"/>
      <c r="O529" s="20"/>
      <c r="P529" s="20"/>
      <c r="Q529" s="20"/>
      <c r="R529" s="20"/>
      <c r="S529" s="20"/>
      <c r="T529" s="20"/>
      <c r="U529" s="20"/>
      <c r="V529" s="20"/>
      <c r="W529" s="20"/>
      <c r="X529" s="20"/>
      <c r="Y529" s="20"/>
      <c r="Z529" s="20"/>
      <c r="AA529" s="20"/>
    </row>
    <row r="530" spans="1:27" ht="17.25" customHeight="1">
      <c r="A530" s="57"/>
      <c r="B530" s="57"/>
      <c r="C530" s="57"/>
      <c r="D530" s="57"/>
      <c r="E530" s="57"/>
      <c r="F530" s="57"/>
      <c r="G530" s="57"/>
      <c r="H530" s="20"/>
      <c r="I530" s="20"/>
      <c r="J530" s="20"/>
      <c r="K530" s="20"/>
      <c r="L530" s="20"/>
      <c r="M530" s="20"/>
      <c r="N530" s="20"/>
      <c r="O530" s="20"/>
      <c r="P530" s="20"/>
      <c r="Q530" s="20"/>
      <c r="R530" s="20"/>
      <c r="S530" s="20"/>
      <c r="T530" s="20"/>
      <c r="U530" s="20"/>
      <c r="V530" s="20"/>
      <c r="W530" s="20"/>
      <c r="X530" s="20"/>
      <c r="Y530" s="20"/>
      <c r="Z530" s="20"/>
      <c r="AA530" s="20"/>
    </row>
    <row r="531" spans="1:27" ht="17.25" customHeight="1">
      <c r="A531" s="57"/>
      <c r="B531" s="57"/>
      <c r="C531" s="57"/>
      <c r="D531" s="57"/>
      <c r="E531" s="57"/>
      <c r="F531" s="57"/>
      <c r="G531" s="57"/>
      <c r="H531" s="20"/>
      <c r="I531" s="20"/>
      <c r="J531" s="20"/>
      <c r="K531" s="20"/>
      <c r="L531" s="20"/>
      <c r="M531" s="20"/>
      <c r="N531" s="20"/>
      <c r="O531" s="20"/>
      <c r="P531" s="20"/>
      <c r="Q531" s="20"/>
      <c r="R531" s="20"/>
      <c r="S531" s="20"/>
      <c r="T531" s="20"/>
      <c r="U531" s="20"/>
      <c r="V531" s="20"/>
      <c r="W531" s="20"/>
      <c r="X531" s="20"/>
      <c r="Y531" s="20"/>
      <c r="Z531" s="20"/>
      <c r="AA531" s="20"/>
    </row>
    <row r="532" spans="1:27" ht="17.25" customHeight="1">
      <c r="A532" s="57"/>
      <c r="B532" s="57"/>
      <c r="C532" s="57"/>
      <c r="D532" s="57"/>
      <c r="E532" s="57"/>
      <c r="F532" s="57"/>
      <c r="G532" s="57"/>
      <c r="H532" s="20"/>
      <c r="I532" s="20"/>
      <c r="J532" s="20"/>
      <c r="K532" s="20"/>
      <c r="L532" s="20"/>
      <c r="M532" s="20"/>
      <c r="N532" s="20"/>
      <c r="O532" s="20"/>
      <c r="P532" s="20"/>
      <c r="Q532" s="20"/>
      <c r="R532" s="20"/>
      <c r="S532" s="20"/>
      <c r="T532" s="20"/>
      <c r="U532" s="20"/>
      <c r="V532" s="20"/>
      <c r="W532" s="20"/>
      <c r="X532" s="20"/>
      <c r="Y532" s="20"/>
      <c r="Z532" s="20"/>
      <c r="AA532" s="20"/>
    </row>
    <row r="533" spans="1:27" ht="17.25" customHeight="1">
      <c r="A533" s="57"/>
      <c r="B533" s="57"/>
      <c r="C533" s="57"/>
      <c r="D533" s="57"/>
      <c r="E533" s="57"/>
      <c r="F533" s="57"/>
      <c r="G533" s="57"/>
      <c r="H533" s="20"/>
      <c r="I533" s="20"/>
      <c r="J533" s="20"/>
      <c r="K533" s="20"/>
      <c r="L533" s="20"/>
      <c r="M533" s="20"/>
      <c r="N533" s="20"/>
      <c r="O533" s="20"/>
      <c r="P533" s="20"/>
      <c r="Q533" s="20"/>
      <c r="R533" s="20"/>
      <c r="S533" s="20"/>
      <c r="T533" s="20"/>
      <c r="U533" s="20"/>
      <c r="V533" s="20"/>
      <c r="W533" s="20"/>
      <c r="X533" s="20"/>
      <c r="Y533" s="20"/>
      <c r="Z533" s="20"/>
      <c r="AA533" s="20"/>
    </row>
    <row r="534" spans="1:27" ht="17.25" customHeight="1">
      <c r="A534" s="57"/>
      <c r="B534" s="57"/>
      <c r="C534" s="57"/>
      <c r="D534" s="57"/>
      <c r="E534" s="57"/>
      <c r="F534" s="57"/>
      <c r="G534" s="57"/>
      <c r="H534" s="20"/>
      <c r="I534" s="20"/>
      <c r="J534" s="20"/>
      <c r="K534" s="20"/>
      <c r="L534" s="20"/>
      <c r="M534" s="20"/>
      <c r="N534" s="20"/>
      <c r="O534" s="20"/>
      <c r="P534" s="20"/>
      <c r="Q534" s="20"/>
      <c r="R534" s="20"/>
      <c r="S534" s="20"/>
      <c r="T534" s="20"/>
      <c r="U534" s="20"/>
      <c r="V534" s="20"/>
      <c r="W534" s="20"/>
      <c r="X534" s="20"/>
      <c r="Y534" s="20"/>
      <c r="Z534" s="20"/>
      <c r="AA534" s="20"/>
    </row>
    <row r="535" spans="1:27" ht="17.25" customHeight="1">
      <c r="A535" s="57"/>
      <c r="B535" s="57"/>
      <c r="C535" s="57"/>
      <c r="D535" s="57"/>
      <c r="E535" s="57"/>
      <c r="F535" s="57"/>
      <c r="G535" s="57"/>
      <c r="H535" s="20"/>
      <c r="I535" s="20"/>
      <c r="J535" s="20"/>
      <c r="K535" s="20"/>
      <c r="L535" s="20"/>
      <c r="M535" s="20"/>
      <c r="N535" s="20"/>
      <c r="O535" s="20"/>
      <c r="P535" s="20"/>
      <c r="Q535" s="20"/>
      <c r="R535" s="20"/>
      <c r="S535" s="20"/>
      <c r="T535" s="20"/>
      <c r="U535" s="20"/>
      <c r="V535" s="20"/>
      <c r="W535" s="20"/>
      <c r="X535" s="20"/>
      <c r="Y535" s="20"/>
      <c r="Z535" s="20"/>
      <c r="AA535" s="20"/>
    </row>
    <row r="536" spans="1:27" ht="17.25" customHeight="1">
      <c r="A536" s="57"/>
      <c r="B536" s="57"/>
      <c r="C536" s="57"/>
      <c r="D536" s="57"/>
      <c r="E536" s="57"/>
      <c r="F536" s="57"/>
      <c r="G536" s="57"/>
      <c r="H536" s="20"/>
      <c r="I536" s="20"/>
      <c r="J536" s="20"/>
      <c r="K536" s="20"/>
      <c r="L536" s="20"/>
      <c r="M536" s="20"/>
      <c r="N536" s="20"/>
      <c r="O536" s="20"/>
      <c r="P536" s="20"/>
      <c r="Q536" s="20"/>
      <c r="R536" s="20"/>
      <c r="S536" s="20"/>
      <c r="T536" s="20"/>
      <c r="U536" s="20"/>
      <c r="V536" s="20"/>
      <c r="W536" s="20"/>
      <c r="X536" s="20"/>
      <c r="Y536" s="20"/>
      <c r="Z536" s="20"/>
      <c r="AA536" s="20"/>
    </row>
    <row r="537" spans="1:27" ht="17.25" customHeight="1">
      <c r="A537" s="57"/>
      <c r="B537" s="57"/>
      <c r="C537" s="57"/>
      <c r="D537" s="57"/>
      <c r="E537" s="57"/>
      <c r="F537" s="57"/>
      <c r="G537" s="57"/>
      <c r="H537" s="20"/>
      <c r="I537" s="20"/>
      <c r="J537" s="20"/>
      <c r="K537" s="20"/>
      <c r="L537" s="20"/>
      <c r="M537" s="20"/>
      <c r="N537" s="20"/>
      <c r="O537" s="20"/>
      <c r="P537" s="20"/>
      <c r="Q537" s="20"/>
      <c r="R537" s="20"/>
      <c r="S537" s="20"/>
      <c r="T537" s="20"/>
      <c r="U537" s="20"/>
      <c r="V537" s="20"/>
      <c r="W537" s="20"/>
      <c r="X537" s="20"/>
      <c r="Y537" s="20"/>
      <c r="Z537" s="20"/>
      <c r="AA537" s="20"/>
    </row>
    <row r="538" spans="1:27" ht="17.25" customHeight="1">
      <c r="A538" s="57"/>
      <c r="B538" s="57"/>
      <c r="C538" s="57"/>
      <c r="D538" s="57"/>
      <c r="E538" s="57"/>
      <c r="F538" s="57"/>
      <c r="G538" s="57"/>
      <c r="H538" s="20"/>
      <c r="I538" s="20"/>
      <c r="J538" s="20"/>
      <c r="K538" s="20"/>
      <c r="L538" s="20"/>
      <c r="M538" s="20"/>
      <c r="N538" s="20"/>
      <c r="O538" s="20"/>
      <c r="P538" s="20"/>
      <c r="Q538" s="20"/>
      <c r="R538" s="20"/>
      <c r="S538" s="20"/>
      <c r="T538" s="20"/>
      <c r="U538" s="20"/>
      <c r="V538" s="20"/>
      <c r="W538" s="20"/>
      <c r="X538" s="20"/>
      <c r="Y538" s="20"/>
      <c r="Z538" s="20"/>
      <c r="AA538" s="20"/>
    </row>
    <row r="539" spans="1:27" ht="17.25" customHeight="1">
      <c r="A539" s="57"/>
      <c r="B539" s="57"/>
      <c r="C539" s="57"/>
      <c r="D539" s="57"/>
      <c r="E539" s="57"/>
      <c r="F539" s="57"/>
      <c r="G539" s="57"/>
      <c r="H539" s="20"/>
      <c r="I539" s="20"/>
      <c r="J539" s="20"/>
      <c r="K539" s="20"/>
      <c r="L539" s="20"/>
      <c r="M539" s="20"/>
      <c r="N539" s="20"/>
      <c r="O539" s="20"/>
      <c r="P539" s="20"/>
      <c r="Q539" s="20"/>
      <c r="R539" s="20"/>
      <c r="S539" s="20"/>
      <c r="T539" s="20"/>
      <c r="U539" s="20"/>
      <c r="V539" s="20"/>
      <c r="W539" s="20"/>
      <c r="X539" s="20"/>
      <c r="Y539" s="20"/>
      <c r="Z539" s="20"/>
      <c r="AA539" s="20"/>
    </row>
    <row r="540" spans="1:27" ht="17.25" customHeight="1">
      <c r="A540" s="57"/>
      <c r="B540" s="57"/>
      <c r="C540" s="57"/>
      <c r="D540" s="57"/>
      <c r="E540" s="57"/>
      <c r="F540" s="57"/>
      <c r="G540" s="57"/>
      <c r="H540" s="20"/>
      <c r="I540" s="20"/>
      <c r="J540" s="20"/>
      <c r="K540" s="20"/>
      <c r="L540" s="20"/>
      <c r="M540" s="20"/>
      <c r="N540" s="20"/>
      <c r="O540" s="20"/>
      <c r="P540" s="20"/>
      <c r="Q540" s="20"/>
      <c r="R540" s="20"/>
      <c r="S540" s="20"/>
      <c r="T540" s="20"/>
      <c r="U540" s="20"/>
      <c r="V540" s="20"/>
      <c r="W540" s="20"/>
      <c r="X540" s="20"/>
      <c r="Y540" s="20"/>
      <c r="Z540" s="20"/>
      <c r="AA540" s="20"/>
    </row>
    <row r="541" spans="1:27" ht="17.25" customHeight="1">
      <c r="A541" s="57"/>
      <c r="B541" s="57"/>
      <c r="C541" s="57"/>
      <c r="D541" s="57"/>
      <c r="E541" s="57"/>
      <c r="F541" s="57"/>
      <c r="G541" s="57"/>
      <c r="H541" s="20"/>
      <c r="I541" s="20"/>
      <c r="J541" s="20"/>
      <c r="K541" s="20"/>
      <c r="L541" s="20"/>
      <c r="M541" s="20"/>
      <c r="N541" s="20"/>
      <c r="O541" s="20"/>
      <c r="P541" s="20"/>
      <c r="Q541" s="20"/>
      <c r="R541" s="20"/>
      <c r="S541" s="20"/>
      <c r="T541" s="20"/>
      <c r="U541" s="20"/>
      <c r="V541" s="20"/>
      <c r="W541" s="20"/>
      <c r="X541" s="20"/>
      <c r="Y541" s="20"/>
      <c r="Z541" s="20"/>
      <c r="AA541" s="20"/>
    </row>
    <row r="542" spans="1:27" ht="17.25" customHeight="1">
      <c r="A542" s="57"/>
      <c r="B542" s="57"/>
      <c r="C542" s="57"/>
      <c r="D542" s="57"/>
      <c r="E542" s="57"/>
      <c r="F542" s="57"/>
      <c r="G542" s="57"/>
      <c r="H542" s="20"/>
      <c r="I542" s="20"/>
      <c r="J542" s="20"/>
      <c r="K542" s="20"/>
      <c r="L542" s="20"/>
      <c r="M542" s="20"/>
      <c r="N542" s="20"/>
      <c r="O542" s="20"/>
      <c r="P542" s="20"/>
      <c r="Q542" s="20"/>
      <c r="R542" s="20"/>
      <c r="S542" s="20"/>
      <c r="T542" s="20"/>
      <c r="U542" s="20"/>
      <c r="V542" s="20"/>
      <c r="W542" s="20"/>
      <c r="X542" s="20"/>
      <c r="Y542" s="20"/>
      <c r="Z542" s="20"/>
      <c r="AA542" s="20"/>
    </row>
    <row r="543" spans="1:27" ht="17.25" customHeight="1">
      <c r="A543" s="57"/>
      <c r="B543" s="57"/>
      <c r="C543" s="57"/>
      <c r="D543" s="57"/>
      <c r="E543" s="57"/>
      <c r="F543" s="57"/>
      <c r="G543" s="57"/>
      <c r="H543" s="20"/>
      <c r="I543" s="20"/>
      <c r="J543" s="20"/>
      <c r="K543" s="20"/>
      <c r="L543" s="20"/>
      <c r="M543" s="20"/>
      <c r="N543" s="20"/>
      <c r="O543" s="20"/>
      <c r="P543" s="20"/>
      <c r="Q543" s="20"/>
      <c r="R543" s="20"/>
      <c r="S543" s="20"/>
      <c r="T543" s="20"/>
      <c r="U543" s="20"/>
      <c r="V543" s="20"/>
      <c r="W543" s="20"/>
      <c r="X543" s="20"/>
      <c r="Y543" s="20"/>
      <c r="Z543" s="20"/>
      <c r="AA543" s="20"/>
    </row>
    <row r="544" spans="1:27" ht="17.25" customHeight="1">
      <c r="A544" s="57"/>
      <c r="B544" s="57"/>
      <c r="C544" s="57"/>
      <c r="D544" s="57"/>
      <c r="E544" s="57"/>
      <c r="F544" s="57"/>
      <c r="G544" s="57"/>
      <c r="H544" s="20"/>
      <c r="I544" s="20"/>
      <c r="J544" s="20"/>
      <c r="K544" s="20"/>
      <c r="L544" s="20"/>
      <c r="M544" s="20"/>
      <c r="N544" s="20"/>
      <c r="O544" s="20"/>
      <c r="P544" s="20"/>
      <c r="Q544" s="20"/>
      <c r="R544" s="20"/>
      <c r="S544" s="20"/>
      <c r="T544" s="20"/>
      <c r="U544" s="20"/>
      <c r="V544" s="20"/>
      <c r="W544" s="20"/>
      <c r="X544" s="20"/>
      <c r="Y544" s="20"/>
      <c r="Z544" s="20"/>
      <c r="AA544" s="20"/>
    </row>
    <row r="545" spans="1:27" ht="17.25" customHeight="1">
      <c r="A545" s="57"/>
      <c r="B545" s="57"/>
      <c r="C545" s="57"/>
      <c r="D545" s="57"/>
      <c r="E545" s="57"/>
      <c r="F545" s="57"/>
      <c r="G545" s="57"/>
      <c r="H545" s="20"/>
      <c r="I545" s="20"/>
      <c r="J545" s="20"/>
      <c r="K545" s="20"/>
      <c r="L545" s="20"/>
      <c r="M545" s="20"/>
      <c r="N545" s="20"/>
      <c r="O545" s="20"/>
      <c r="P545" s="20"/>
      <c r="Q545" s="20"/>
      <c r="R545" s="20"/>
      <c r="S545" s="20"/>
      <c r="T545" s="20"/>
      <c r="U545" s="20"/>
      <c r="V545" s="20"/>
      <c r="W545" s="20"/>
      <c r="X545" s="20"/>
      <c r="Y545" s="20"/>
      <c r="Z545" s="20"/>
      <c r="AA545" s="20"/>
    </row>
    <row r="546" spans="1:27" ht="17.25" customHeight="1">
      <c r="A546" s="57"/>
      <c r="B546" s="57"/>
      <c r="C546" s="57"/>
      <c r="D546" s="57"/>
      <c r="E546" s="57"/>
      <c r="F546" s="57"/>
      <c r="G546" s="57"/>
      <c r="H546" s="20"/>
      <c r="I546" s="20"/>
      <c r="J546" s="20"/>
      <c r="K546" s="20"/>
      <c r="L546" s="20"/>
      <c r="M546" s="20"/>
      <c r="N546" s="20"/>
      <c r="O546" s="20"/>
      <c r="P546" s="20"/>
      <c r="Q546" s="20"/>
      <c r="R546" s="20"/>
      <c r="S546" s="20"/>
      <c r="T546" s="20"/>
      <c r="U546" s="20"/>
      <c r="V546" s="20"/>
      <c r="W546" s="20"/>
      <c r="X546" s="20"/>
      <c r="Y546" s="20"/>
      <c r="Z546" s="20"/>
      <c r="AA546" s="20"/>
    </row>
    <row r="547" spans="1:27" ht="17.25" customHeight="1">
      <c r="A547" s="57"/>
      <c r="B547" s="57"/>
      <c r="C547" s="57"/>
      <c r="D547" s="57"/>
      <c r="E547" s="57"/>
      <c r="F547" s="57"/>
      <c r="G547" s="57"/>
      <c r="H547" s="20"/>
      <c r="I547" s="20"/>
      <c r="J547" s="20"/>
      <c r="K547" s="20"/>
      <c r="L547" s="20"/>
      <c r="M547" s="20"/>
      <c r="N547" s="20"/>
      <c r="O547" s="20"/>
      <c r="P547" s="20"/>
      <c r="Q547" s="20"/>
      <c r="R547" s="20"/>
      <c r="S547" s="20"/>
      <c r="T547" s="20"/>
      <c r="U547" s="20"/>
      <c r="V547" s="20"/>
      <c r="W547" s="20"/>
      <c r="X547" s="20"/>
      <c r="Y547" s="20"/>
      <c r="Z547" s="20"/>
      <c r="AA547" s="20"/>
    </row>
    <row r="548" spans="1:27" ht="17.25" customHeight="1">
      <c r="A548" s="57"/>
      <c r="B548" s="57"/>
      <c r="C548" s="57"/>
      <c r="D548" s="57"/>
      <c r="E548" s="57"/>
      <c r="F548" s="57"/>
      <c r="G548" s="57"/>
      <c r="H548" s="20"/>
      <c r="I548" s="20"/>
      <c r="J548" s="20"/>
      <c r="K548" s="20"/>
      <c r="L548" s="20"/>
      <c r="M548" s="20"/>
      <c r="N548" s="20"/>
      <c r="O548" s="20"/>
      <c r="P548" s="20"/>
      <c r="Q548" s="20"/>
      <c r="R548" s="20"/>
      <c r="S548" s="20"/>
      <c r="T548" s="20"/>
      <c r="U548" s="20"/>
      <c r="V548" s="20"/>
      <c r="W548" s="20"/>
      <c r="X548" s="20"/>
      <c r="Y548" s="20"/>
      <c r="Z548" s="20"/>
      <c r="AA548" s="20"/>
    </row>
    <row r="549" spans="1:27" ht="17.25" customHeight="1">
      <c r="A549" s="57"/>
      <c r="B549" s="57"/>
      <c r="C549" s="57"/>
      <c r="D549" s="57"/>
      <c r="E549" s="57"/>
      <c r="F549" s="57"/>
      <c r="G549" s="57"/>
      <c r="H549" s="20"/>
      <c r="I549" s="20"/>
      <c r="J549" s="20"/>
      <c r="K549" s="20"/>
      <c r="L549" s="20"/>
      <c r="M549" s="20"/>
      <c r="N549" s="20"/>
      <c r="O549" s="20"/>
      <c r="P549" s="20"/>
      <c r="Q549" s="20"/>
      <c r="R549" s="20"/>
      <c r="S549" s="20"/>
      <c r="T549" s="20"/>
      <c r="U549" s="20"/>
      <c r="V549" s="20"/>
      <c r="W549" s="20"/>
      <c r="X549" s="20"/>
      <c r="Y549" s="20"/>
      <c r="Z549" s="20"/>
      <c r="AA549" s="20"/>
    </row>
    <row r="550" spans="1:27" ht="17.25" customHeight="1">
      <c r="A550" s="57"/>
      <c r="B550" s="57"/>
      <c r="C550" s="57"/>
      <c r="D550" s="57"/>
      <c r="E550" s="57"/>
      <c r="F550" s="57"/>
      <c r="G550" s="57"/>
      <c r="H550" s="20"/>
      <c r="I550" s="20"/>
      <c r="J550" s="20"/>
      <c r="K550" s="20"/>
      <c r="L550" s="20"/>
      <c r="M550" s="20"/>
      <c r="N550" s="20"/>
      <c r="O550" s="20"/>
      <c r="P550" s="20"/>
      <c r="Q550" s="20"/>
      <c r="R550" s="20"/>
      <c r="S550" s="20"/>
      <c r="T550" s="20"/>
      <c r="U550" s="20"/>
      <c r="V550" s="20"/>
      <c r="W550" s="20"/>
      <c r="X550" s="20"/>
      <c r="Y550" s="20"/>
      <c r="Z550" s="20"/>
      <c r="AA550" s="20"/>
    </row>
    <row r="551" spans="1:27" ht="17.25" customHeight="1">
      <c r="A551" s="57"/>
      <c r="B551" s="57"/>
      <c r="C551" s="57"/>
      <c r="D551" s="57"/>
      <c r="E551" s="57"/>
      <c r="F551" s="57"/>
      <c r="G551" s="57"/>
      <c r="H551" s="20"/>
      <c r="I551" s="20"/>
      <c r="J551" s="20"/>
      <c r="K551" s="20"/>
      <c r="L551" s="20"/>
      <c r="M551" s="20"/>
      <c r="N551" s="20"/>
      <c r="O551" s="20"/>
      <c r="P551" s="20"/>
      <c r="Q551" s="20"/>
      <c r="R551" s="20"/>
      <c r="S551" s="20"/>
      <c r="T551" s="20"/>
      <c r="U551" s="20"/>
      <c r="V551" s="20"/>
      <c r="W551" s="20"/>
      <c r="X551" s="20"/>
      <c r="Y551" s="20"/>
      <c r="Z551" s="20"/>
      <c r="AA551" s="20"/>
    </row>
    <row r="552" spans="1:27" ht="17.25" customHeight="1">
      <c r="A552" s="57"/>
      <c r="B552" s="57"/>
      <c r="C552" s="57"/>
      <c r="D552" s="57"/>
      <c r="E552" s="57"/>
      <c r="F552" s="57"/>
      <c r="G552" s="57"/>
      <c r="H552" s="20"/>
      <c r="I552" s="20"/>
      <c r="J552" s="20"/>
      <c r="K552" s="20"/>
      <c r="L552" s="20"/>
      <c r="M552" s="20"/>
      <c r="N552" s="20"/>
      <c r="O552" s="20"/>
      <c r="P552" s="20"/>
      <c r="Q552" s="20"/>
      <c r="R552" s="20"/>
      <c r="S552" s="20"/>
      <c r="T552" s="20"/>
      <c r="U552" s="20"/>
      <c r="V552" s="20"/>
      <c r="W552" s="20"/>
      <c r="X552" s="20"/>
      <c r="Y552" s="20"/>
      <c r="Z552" s="20"/>
      <c r="AA552" s="20"/>
    </row>
    <row r="553" spans="1:27" ht="17.25" customHeight="1">
      <c r="A553" s="57"/>
      <c r="B553" s="57"/>
      <c r="C553" s="57"/>
      <c r="D553" s="57"/>
      <c r="E553" s="57"/>
      <c r="F553" s="57"/>
      <c r="G553" s="57"/>
      <c r="H553" s="20"/>
      <c r="I553" s="20"/>
      <c r="J553" s="20"/>
      <c r="K553" s="20"/>
      <c r="L553" s="20"/>
      <c r="M553" s="20"/>
      <c r="N553" s="20"/>
      <c r="O553" s="20"/>
      <c r="P553" s="20"/>
      <c r="Q553" s="20"/>
      <c r="R553" s="20"/>
      <c r="S553" s="20"/>
      <c r="T553" s="20"/>
      <c r="U553" s="20"/>
      <c r="V553" s="20"/>
      <c r="W553" s="20"/>
      <c r="X553" s="20"/>
      <c r="Y553" s="20"/>
      <c r="Z553" s="20"/>
      <c r="AA553" s="20"/>
    </row>
    <row r="554" spans="1:27" ht="17.25" customHeight="1">
      <c r="A554" s="57"/>
      <c r="B554" s="57"/>
      <c r="C554" s="57"/>
      <c r="D554" s="57"/>
      <c r="E554" s="57"/>
      <c r="F554" s="57"/>
      <c r="G554" s="57"/>
      <c r="H554" s="20"/>
      <c r="I554" s="20"/>
      <c r="J554" s="20"/>
      <c r="K554" s="20"/>
      <c r="L554" s="20"/>
      <c r="M554" s="20"/>
      <c r="N554" s="20"/>
      <c r="O554" s="20"/>
      <c r="P554" s="20"/>
      <c r="Q554" s="20"/>
      <c r="R554" s="20"/>
      <c r="S554" s="20"/>
      <c r="T554" s="20"/>
      <c r="U554" s="20"/>
      <c r="V554" s="20"/>
      <c r="W554" s="20"/>
      <c r="X554" s="20"/>
      <c r="Y554" s="20"/>
      <c r="Z554" s="20"/>
      <c r="AA554" s="20"/>
    </row>
    <row r="555" spans="1:27" ht="17.25" customHeight="1">
      <c r="A555" s="57"/>
      <c r="B555" s="57"/>
      <c r="C555" s="57"/>
      <c r="D555" s="57"/>
      <c r="E555" s="57"/>
      <c r="F555" s="57"/>
      <c r="G555" s="57"/>
      <c r="H555" s="20"/>
      <c r="I555" s="20"/>
      <c r="J555" s="20"/>
      <c r="K555" s="20"/>
      <c r="L555" s="20"/>
      <c r="M555" s="20"/>
      <c r="N555" s="20"/>
      <c r="O555" s="20"/>
      <c r="P555" s="20"/>
      <c r="Q555" s="20"/>
      <c r="R555" s="20"/>
      <c r="S555" s="20"/>
      <c r="T555" s="20"/>
      <c r="U555" s="20"/>
      <c r="V555" s="20"/>
      <c r="W555" s="20"/>
      <c r="X555" s="20"/>
      <c r="Y555" s="20"/>
      <c r="Z555" s="20"/>
      <c r="AA555" s="20"/>
    </row>
    <row r="556" spans="1:27" ht="17.25" customHeight="1">
      <c r="A556" s="57"/>
      <c r="B556" s="57"/>
      <c r="C556" s="57"/>
      <c r="D556" s="57"/>
      <c r="E556" s="57"/>
      <c r="F556" s="57"/>
      <c r="G556" s="57"/>
      <c r="H556" s="20"/>
      <c r="I556" s="20"/>
      <c r="J556" s="20"/>
      <c r="K556" s="20"/>
      <c r="L556" s="20"/>
      <c r="M556" s="20"/>
      <c r="N556" s="20"/>
      <c r="O556" s="20"/>
      <c r="P556" s="20"/>
      <c r="Q556" s="20"/>
      <c r="R556" s="20"/>
      <c r="S556" s="20"/>
      <c r="T556" s="20"/>
      <c r="U556" s="20"/>
      <c r="V556" s="20"/>
      <c r="W556" s="20"/>
      <c r="X556" s="20"/>
      <c r="Y556" s="20"/>
      <c r="Z556" s="20"/>
      <c r="AA556" s="20"/>
    </row>
    <row r="557" spans="1:27" ht="17.25" customHeight="1">
      <c r="A557" s="57"/>
      <c r="B557" s="57"/>
      <c r="C557" s="57"/>
      <c r="D557" s="57"/>
      <c r="E557" s="57"/>
      <c r="F557" s="57"/>
      <c r="G557" s="57"/>
      <c r="H557" s="20"/>
      <c r="I557" s="20"/>
      <c r="J557" s="20"/>
      <c r="K557" s="20"/>
      <c r="L557" s="20"/>
      <c r="M557" s="20"/>
      <c r="N557" s="20"/>
      <c r="O557" s="20"/>
      <c r="P557" s="20"/>
      <c r="Q557" s="20"/>
      <c r="R557" s="20"/>
      <c r="S557" s="20"/>
      <c r="T557" s="20"/>
      <c r="U557" s="20"/>
      <c r="V557" s="20"/>
      <c r="W557" s="20"/>
      <c r="X557" s="20"/>
      <c r="Y557" s="20"/>
      <c r="Z557" s="20"/>
      <c r="AA557" s="20"/>
    </row>
    <row r="558" spans="1:27" ht="17.25" customHeight="1">
      <c r="A558" s="57"/>
      <c r="B558" s="57"/>
      <c r="C558" s="57"/>
      <c r="D558" s="57"/>
      <c r="E558" s="57"/>
      <c r="F558" s="57"/>
      <c r="G558" s="57"/>
      <c r="H558" s="20"/>
      <c r="I558" s="20"/>
      <c r="J558" s="20"/>
      <c r="K558" s="20"/>
      <c r="L558" s="20"/>
      <c r="M558" s="20"/>
      <c r="N558" s="20"/>
      <c r="O558" s="20"/>
      <c r="P558" s="20"/>
      <c r="Q558" s="20"/>
      <c r="R558" s="20"/>
      <c r="S558" s="20"/>
      <c r="T558" s="20"/>
      <c r="U558" s="20"/>
      <c r="V558" s="20"/>
      <c r="W558" s="20"/>
      <c r="X558" s="20"/>
      <c r="Y558" s="20"/>
      <c r="Z558" s="20"/>
      <c r="AA558" s="20"/>
    </row>
    <row r="559" spans="1:27" ht="17.25" customHeight="1">
      <c r="A559" s="57"/>
      <c r="B559" s="57"/>
      <c r="C559" s="57"/>
      <c r="D559" s="57"/>
      <c r="E559" s="57"/>
      <c r="F559" s="57"/>
      <c r="G559" s="57"/>
      <c r="H559" s="20"/>
      <c r="I559" s="20"/>
      <c r="J559" s="20"/>
      <c r="K559" s="20"/>
      <c r="L559" s="20"/>
      <c r="M559" s="20"/>
      <c r="N559" s="20"/>
      <c r="O559" s="20"/>
      <c r="P559" s="20"/>
      <c r="Q559" s="20"/>
      <c r="R559" s="20"/>
      <c r="S559" s="20"/>
      <c r="T559" s="20"/>
      <c r="U559" s="20"/>
      <c r="V559" s="20"/>
      <c r="W559" s="20"/>
      <c r="X559" s="20"/>
      <c r="Y559" s="20"/>
      <c r="Z559" s="20"/>
      <c r="AA559" s="20"/>
    </row>
    <row r="560" spans="1:27" ht="17.25" customHeight="1">
      <c r="A560" s="57"/>
      <c r="B560" s="57"/>
      <c r="C560" s="57"/>
      <c r="D560" s="57"/>
      <c r="E560" s="57"/>
      <c r="F560" s="57"/>
      <c r="G560" s="57"/>
      <c r="H560" s="20"/>
      <c r="I560" s="20"/>
      <c r="J560" s="20"/>
      <c r="K560" s="20"/>
      <c r="L560" s="20"/>
      <c r="M560" s="20"/>
      <c r="N560" s="20"/>
      <c r="O560" s="20"/>
      <c r="P560" s="20"/>
      <c r="Q560" s="20"/>
      <c r="R560" s="20"/>
      <c r="S560" s="20"/>
      <c r="T560" s="20"/>
      <c r="U560" s="20"/>
      <c r="V560" s="20"/>
      <c r="W560" s="20"/>
      <c r="X560" s="20"/>
      <c r="Y560" s="20"/>
      <c r="Z560" s="20"/>
      <c r="AA560" s="20"/>
    </row>
    <row r="561" spans="1:27" ht="17.25" customHeight="1">
      <c r="A561" s="57"/>
      <c r="B561" s="57"/>
      <c r="C561" s="57"/>
      <c r="D561" s="57"/>
      <c r="E561" s="57"/>
      <c r="F561" s="57"/>
      <c r="G561" s="57"/>
      <c r="H561" s="20"/>
      <c r="I561" s="20"/>
      <c r="J561" s="20"/>
      <c r="K561" s="20"/>
      <c r="L561" s="20"/>
      <c r="M561" s="20"/>
      <c r="N561" s="20"/>
      <c r="O561" s="20"/>
      <c r="P561" s="20"/>
      <c r="Q561" s="20"/>
      <c r="R561" s="20"/>
      <c r="S561" s="20"/>
      <c r="T561" s="20"/>
      <c r="U561" s="20"/>
      <c r="V561" s="20"/>
      <c r="W561" s="20"/>
      <c r="X561" s="20"/>
      <c r="Y561" s="20"/>
      <c r="Z561" s="20"/>
      <c r="AA561" s="20"/>
    </row>
    <row r="562" spans="1:27" ht="17.25" customHeight="1">
      <c r="A562" s="57"/>
      <c r="B562" s="57"/>
      <c r="C562" s="57"/>
      <c r="D562" s="57"/>
      <c r="E562" s="57"/>
      <c r="F562" s="57"/>
      <c r="G562" s="57"/>
      <c r="H562" s="20"/>
      <c r="I562" s="20"/>
      <c r="J562" s="20"/>
      <c r="K562" s="20"/>
      <c r="L562" s="20"/>
      <c r="M562" s="20"/>
      <c r="N562" s="20"/>
      <c r="O562" s="20"/>
      <c r="P562" s="20"/>
      <c r="Q562" s="20"/>
      <c r="R562" s="20"/>
      <c r="S562" s="20"/>
      <c r="T562" s="20"/>
      <c r="U562" s="20"/>
      <c r="V562" s="20"/>
      <c r="W562" s="20"/>
      <c r="X562" s="20"/>
      <c r="Y562" s="20"/>
      <c r="Z562" s="20"/>
      <c r="AA562" s="20"/>
    </row>
    <row r="563" spans="1:27" ht="17.25" customHeight="1">
      <c r="A563" s="57"/>
      <c r="B563" s="57"/>
      <c r="C563" s="57"/>
      <c r="D563" s="57"/>
      <c r="E563" s="57"/>
      <c r="F563" s="57"/>
      <c r="G563" s="57"/>
      <c r="H563" s="20"/>
      <c r="I563" s="20"/>
      <c r="J563" s="20"/>
      <c r="K563" s="20"/>
      <c r="L563" s="20"/>
      <c r="M563" s="20"/>
      <c r="N563" s="20"/>
      <c r="O563" s="20"/>
      <c r="P563" s="20"/>
      <c r="Q563" s="20"/>
      <c r="R563" s="20"/>
      <c r="S563" s="20"/>
      <c r="T563" s="20"/>
      <c r="U563" s="20"/>
      <c r="V563" s="20"/>
      <c r="W563" s="20"/>
      <c r="X563" s="20"/>
      <c r="Y563" s="20"/>
      <c r="Z563" s="20"/>
      <c r="AA563" s="20"/>
    </row>
    <row r="564" spans="1:27" ht="17.25" customHeight="1">
      <c r="A564" s="57"/>
      <c r="B564" s="57"/>
      <c r="C564" s="57"/>
      <c r="D564" s="57"/>
      <c r="E564" s="57"/>
      <c r="F564" s="57"/>
      <c r="G564" s="57"/>
      <c r="H564" s="20"/>
      <c r="I564" s="20"/>
      <c r="J564" s="20"/>
      <c r="K564" s="20"/>
      <c r="L564" s="20"/>
      <c r="M564" s="20"/>
      <c r="N564" s="20"/>
      <c r="O564" s="20"/>
      <c r="P564" s="20"/>
      <c r="Q564" s="20"/>
      <c r="R564" s="20"/>
      <c r="S564" s="20"/>
      <c r="T564" s="20"/>
      <c r="U564" s="20"/>
      <c r="V564" s="20"/>
      <c r="W564" s="20"/>
      <c r="X564" s="20"/>
      <c r="Y564" s="20"/>
      <c r="Z564" s="20"/>
      <c r="AA564" s="20"/>
    </row>
    <row r="565" spans="1:27" ht="17.25" customHeight="1">
      <c r="A565" s="57"/>
      <c r="B565" s="57"/>
      <c r="C565" s="57"/>
      <c r="D565" s="57"/>
      <c r="E565" s="57"/>
      <c r="F565" s="57"/>
      <c r="G565" s="57"/>
      <c r="H565" s="20"/>
      <c r="I565" s="20"/>
      <c r="J565" s="20"/>
      <c r="K565" s="20"/>
      <c r="L565" s="20"/>
      <c r="M565" s="20"/>
      <c r="N565" s="20"/>
      <c r="O565" s="20"/>
      <c r="P565" s="20"/>
      <c r="Q565" s="20"/>
      <c r="R565" s="20"/>
      <c r="S565" s="20"/>
      <c r="T565" s="20"/>
      <c r="U565" s="20"/>
      <c r="V565" s="20"/>
      <c r="W565" s="20"/>
      <c r="X565" s="20"/>
      <c r="Y565" s="20"/>
      <c r="Z565" s="20"/>
      <c r="AA565" s="20"/>
    </row>
    <row r="566" spans="1:27" ht="17.25" customHeight="1">
      <c r="A566" s="57"/>
      <c r="B566" s="57"/>
      <c r="C566" s="57"/>
      <c r="D566" s="57"/>
      <c r="E566" s="57"/>
      <c r="F566" s="57"/>
      <c r="G566" s="57"/>
      <c r="H566" s="20"/>
      <c r="I566" s="20"/>
      <c r="J566" s="20"/>
      <c r="K566" s="20"/>
      <c r="L566" s="20"/>
      <c r="M566" s="20"/>
      <c r="N566" s="20"/>
      <c r="O566" s="20"/>
      <c r="P566" s="20"/>
      <c r="Q566" s="20"/>
      <c r="R566" s="20"/>
      <c r="S566" s="20"/>
      <c r="T566" s="20"/>
      <c r="U566" s="20"/>
      <c r="V566" s="20"/>
      <c r="W566" s="20"/>
      <c r="X566" s="20"/>
      <c r="Y566" s="20"/>
      <c r="Z566" s="20"/>
      <c r="AA566" s="20"/>
    </row>
    <row r="567" spans="1:27" ht="17.25" customHeight="1">
      <c r="A567" s="57"/>
      <c r="B567" s="57"/>
      <c r="C567" s="57"/>
      <c r="D567" s="57"/>
      <c r="E567" s="57"/>
      <c r="F567" s="57"/>
      <c r="G567" s="57"/>
      <c r="H567" s="20"/>
      <c r="I567" s="20"/>
      <c r="J567" s="20"/>
      <c r="K567" s="20"/>
      <c r="L567" s="20"/>
      <c r="M567" s="20"/>
      <c r="N567" s="20"/>
      <c r="O567" s="20"/>
      <c r="P567" s="20"/>
      <c r="Q567" s="20"/>
      <c r="R567" s="20"/>
      <c r="S567" s="20"/>
      <c r="T567" s="20"/>
      <c r="U567" s="20"/>
      <c r="V567" s="20"/>
      <c r="W567" s="20"/>
      <c r="X567" s="20"/>
      <c r="Y567" s="20"/>
      <c r="Z567" s="20"/>
      <c r="AA567" s="20"/>
    </row>
    <row r="568" spans="1:27" ht="17.25" customHeight="1">
      <c r="A568" s="57"/>
      <c r="B568" s="57"/>
      <c r="C568" s="57"/>
      <c r="D568" s="57"/>
      <c r="E568" s="57"/>
      <c r="F568" s="57"/>
      <c r="G568" s="57"/>
      <c r="H568" s="20"/>
      <c r="I568" s="20"/>
      <c r="J568" s="20"/>
      <c r="K568" s="20"/>
      <c r="L568" s="20"/>
      <c r="M568" s="20"/>
      <c r="N568" s="20"/>
      <c r="O568" s="20"/>
      <c r="P568" s="20"/>
      <c r="Q568" s="20"/>
      <c r="R568" s="20"/>
      <c r="S568" s="20"/>
      <c r="T568" s="20"/>
      <c r="U568" s="20"/>
      <c r="V568" s="20"/>
      <c r="W568" s="20"/>
      <c r="X568" s="20"/>
      <c r="Y568" s="20"/>
      <c r="Z568" s="20"/>
      <c r="AA568" s="20"/>
    </row>
    <row r="569" spans="1:27" ht="17.25" customHeight="1">
      <c r="A569" s="57"/>
      <c r="B569" s="57"/>
      <c r="C569" s="57"/>
      <c r="D569" s="57"/>
      <c r="E569" s="57"/>
      <c r="F569" s="57"/>
      <c r="G569" s="57"/>
      <c r="H569" s="20"/>
      <c r="I569" s="20"/>
      <c r="J569" s="20"/>
      <c r="K569" s="20"/>
      <c r="L569" s="20"/>
      <c r="M569" s="20"/>
      <c r="N569" s="20"/>
      <c r="O569" s="20"/>
      <c r="P569" s="20"/>
      <c r="Q569" s="20"/>
      <c r="R569" s="20"/>
      <c r="S569" s="20"/>
      <c r="T569" s="20"/>
      <c r="U569" s="20"/>
      <c r="V569" s="20"/>
      <c r="W569" s="20"/>
      <c r="X569" s="20"/>
      <c r="Y569" s="20"/>
      <c r="Z569" s="20"/>
      <c r="AA569" s="20"/>
    </row>
    <row r="570" spans="1:27" ht="17.25" customHeight="1">
      <c r="A570" s="57"/>
      <c r="B570" s="57"/>
      <c r="C570" s="57"/>
      <c r="D570" s="57"/>
      <c r="E570" s="57"/>
      <c r="F570" s="57"/>
      <c r="G570" s="57"/>
      <c r="H570" s="20"/>
      <c r="I570" s="20"/>
      <c r="J570" s="20"/>
      <c r="K570" s="20"/>
      <c r="L570" s="20"/>
      <c r="M570" s="20"/>
      <c r="N570" s="20"/>
      <c r="O570" s="20"/>
      <c r="P570" s="20"/>
      <c r="Q570" s="20"/>
      <c r="R570" s="20"/>
      <c r="S570" s="20"/>
      <c r="T570" s="20"/>
      <c r="U570" s="20"/>
      <c r="V570" s="20"/>
      <c r="W570" s="20"/>
      <c r="X570" s="20"/>
      <c r="Y570" s="20"/>
      <c r="Z570" s="20"/>
      <c r="AA570" s="20"/>
    </row>
    <row r="571" spans="1:27" ht="17.25" customHeight="1">
      <c r="A571" s="57"/>
      <c r="B571" s="57"/>
      <c r="C571" s="57"/>
      <c r="D571" s="57"/>
      <c r="E571" s="57"/>
      <c r="F571" s="57"/>
      <c r="G571" s="57"/>
      <c r="H571" s="20"/>
      <c r="I571" s="20"/>
      <c r="J571" s="20"/>
      <c r="K571" s="20"/>
      <c r="L571" s="20"/>
      <c r="M571" s="20"/>
      <c r="N571" s="20"/>
      <c r="O571" s="20"/>
      <c r="P571" s="20"/>
      <c r="Q571" s="20"/>
      <c r="R571" s="20"/>
      <c r="S571" s="20"/>
      <c r="T571" s="20"/>
      <c r="U571" s="20"/>
      <c r="V571" s="20"/>
      <c r="W571" s="20"/>
      <c r="X571" s="20"/>
      <c r="Y571" s="20"/>
      <c r="Z571" s="20"/>
      <c r="AA571" s="20"/>
    </row>
    <row r="572" spans="1:27" ht="17.25" customHeight="1">
      <c r="A572" s="57"/>
      <c r="B572" s="57"/>
      <c r="C572" s="57"/>
      <c r="D572" s="57"/>
      <c r="E572" s="57"/>
      <c r="F572" s="57"/>
      <c r="G572" s="57"/>
      <c r="H572" s="20"/>
      <c r="I572" s="20"/>
      <c r="J572" s="20"/>
      <c r="K572" s="20"/>
      <c r="L572" s="20"/>
      <c r="M572" s="20"/>
      <c r="N572" s="20"/>
      <c r="O572" s="20"/>
      <c r="P572" s="20"/>
      <c r="Q572" s="20"/>
      <c r="R572" s="20"/>
      <c r="S572" s="20"/>
      <c r="T572" s="20"/>
      <c r="U572" s="20"/>
      <c r="V572" s="20"/>
      <c r="W572" s="20"/>
      <c r="X572" s="20"/>
      <c r="Y572" s="20"/>
      <c r="Z572" s="20"/>
      <c r="AA572" s="20"/>
    </row>
    <row r="573" spans="1:27" ht="17.25" customHeight="1">
      <c r="A573" s="57"/>
      <c r="B573" s="57"/>
      <c r="C573" s="57"/>
      <c r="D573" s="57"/>
      <c r="E573" s="57"/>
      <c r="F573" s="57"/>
      <c r="G573" s="57"/>
      <c r="H573" s="20"/>
      <c r="I573" s="20"/>
      <c r="J573" s="20"/>
      <c r="K573" s="20"/>
      <c r="L573" s="20"/>
      <c r="M573" s="20"/>
      <c r="N573" s="20"/>
      <c r="O573" s="20"/>
      <c r="P573" s="20"/>
      <c r="Q573" s="20"/>
      <c r="R573" s="20"/>
      <c r="S573" s="20"/>
      <c r="T573" s="20"/>
      <c r="U573" s="20"/>
      <c r="V573" s="20"/>
      <c r="W573" s="20"/>
      <c r="X573" s="20"/>
      <c r="Y573" s="20"/>
      <c r="Z573" s="20"/>
      <c r="AA573" s="20"/>
    </row>
    <row r="574" spans="1:27" ht="17.25" customHeight="1">
      <c r="A574" s="57"/>
      <c r="B574" s="57"/>
      <c r="C574" s="57"/>
      <c r="D574" s="57"/>
      <c r="E574" s="57"/>
      <c r="F574" s="57"/>
      <c r="G574" s="57"/>
      <c r="H574" s="20"/>
      <c r="I574" s="20"/>
      <c r="J574" s="20"/>
      <c r="K574" s="20"/>
      <c r="L574" s="20"/>
      <c r="M574" s="20"/>
      <c r="N574" s="20"/>
      <c r="O574" s="20"/>
      <c r="P574" s="20"/>
      <c r="Q574" s="20"/>
      <c r="R574" s="20"/>
      <c r="S574" s="20"/>
      <c r="T574" s="20"/>
      <c r="U574" s="20"/>
      <c r="V574" s="20"/>
      <c r="W574" s="20"/>
      <c r="X574" s="20"/>
      <c r="Y574" s="20"/>
      <c r="Z574" s="20"/>
      <c r="AA574" s="20"/>
    </row>
    <row r="575" spans="1:27" ht="17.25" customHeight="1">
      <c r="A575" s="57"/>
      <c r="B575" s="57"/>
      <c r="C575" s="57"/>
      <c r="D575" s="57"/>
      <c r="E575" s="57"/>
      <c r="F575" s="57"/>
      <c r="G575" s="57"/>
      <c r="H575" s="20"/>
      <c r="I575" s="20"/>
      <c r="J575" s="20"/>
      <c r="K575" s="20"/>
      <c r="L575" s="20"/>
      <c r="M575" s="20"/>
      <c r="N575" s="20"/>
      <c r="O575" s="20"/>
      <c r="P575" s="20"/>
      <c r="Q575" s="20"/>
      <c r="R575" s="20"/>
      <c r="S575" s="20"/>
      <c r="T575" s="20"/>
      <c r="U575" s="20"/>
      <c r="V575" s="20"/>
      <c r="W575" s="20"/>
      <c r="X575" s="20"/>
      <c r="Y575" s="20"/>
      <c r="Z575" s="20"/>
      <c r="AA575" s="20"/>
    </row>
    <row r="576" spans="1:27" ht="17.25" customHeight="1">
      <c r="A576" s="57"/>
      <c r="B576" s="57"/>
      <c r="C576" s="57"/>
      <c r="D576" s="57"/>
      <c r="E576" s="57"/>
      <c r="F576" s="57"/>
      <c r="G576" s="57"/>
      <c r="H576" s="20"/>
      <c r="I576" s="20"/>
      <c r="J576" s="20"/>
      <c r="K576" s="20"/>
      <c r="L576" s="20"/>
      <c r="M576" s="20"/>
      <c r="N576" s="20"/>
      <c r="O576" s="20"/>
      <c r="P576" s="20"/>
      <c r="Q576" s="20"/>
      <c r="R576" s="20"/>
      <c r="S576" s="20"/>
      <c r="T576" s="20"/>
      <c r="U576" s="20"/>
      <c r="V576" s="20"/>
      <c r="W576" s="20"/>
      <c r="X576" s="20"/>
      <c r="Y576" s="20"/>
      <c r="Z576" s="20"/>
      <c r="AA576" s="20"/>
    </row>
    <row r="577" spans="1:27" ht="17.25" customHeight="1">
      <c r="A577" s="57"/>
      <c r="B577" s="57"/>
      <c r="C577" s="57"/>
      <c r="D577" s="57"/>
      <c r="E577" s="57"/>
      <c r="F577" s="57"/>
      <c r="G577" s="57"/>
      <c r="H577" s="20"/>
      <c r="I577" s="20"/>
      <c r="J577" s="20"/>
      <c r="K577" s="20"/>
      <c r="L577" s="20"/>
      <c r="M577" s="20"/>
      <c r="N577" s="20"/>
      <c r="O577" s="20"/>
      <c r="P577" s="20"/>
      <c r="Q577" s="20"/>
      <c r="R577" s="20"/>
      <c r="S577" s="20"/>
      <c r="T577" s="20"/>
      <c r="U577" s="20"/>
      <c r="V577" s="20"/>
      <c r="W577" s="20"/>
      <c r="X577" s="20"/>
      <c r="Y577" s="20"/>
      <c r="Z577" s="20"/>
      <c r="AA577" s="20"/>
    </row>
    <row r="578" spans="1:27" ht="17.25" customHeight="1">
      <c r="A578" s="57"/>
      <c r="B578" s="57"/>
      <c r="C578" s="57"/>
      <c r="D578" s="57"/>
      <c r="E578" s="57"/>
      <c r="F578" s="57"/>
      <c r="G578" s="57"/>
      <c r="H578" s="20"/>
      <c r="I578" s="20"/>
      <c r="J578" s="20"/>
      <c r="K578" s="20"/>
      <c r="L578" s="20"/>
      <c r="M578" s="20"/>
      <c r="N578" s="20"/>
      <c r="O578" s="20"/>
      <c r="P578" s="20"/>
      <c r="Q578" s="20"/>
      <c r="R578" s="20"/>
      <c r="S578" s="20"/>
      <c r="T578" s="20"/>
      <c r="U578" s="20"/>
      <c r="V578" s="20"/>
      <c r="W578" s="20"/>
      <c r="X578" s="20"/>
      <c r="Y578" s="20"/>
      <c r="Z578" s="20"/>
      <c r="AA578" s="20"/>
    </row>
    <row r="579" spans="1:27" ht="17.25" customHeight="1">
      <c r="A579" s="57"/>
      <c r="B579" s="57"/>
      <c r="C579" s="57"/>
      <c r="D579" s="57"/>
      <c r="E579" s="57"/>
      <c r="F579" s="57"/>
      <c r="G579" s="57"/>
      <c r="H579" s="20"/>
      <c r="I579" s="20"/>
      <c r="J579" s="20"/>
      <c r="K579" s="20"/>
      <c r="L579" s="20"/>
      <c r="M579" s="20"/>
      <c r="N579" s="20"/>
      <c r="O579" s="20"/>
      <c r="P579" s="20"/>
      <c r="Q579" s="20"/>
      <c r="R579" s="20"/>
      <c r="S579" s="20"/>
      <c r="T579" s="20"/>
      <c r="U579" s="20"/>
      <c r="V579" s="20"/>
      <c r="W579" s="20"/>
      <c r="X579" s="20"/>
      <c r="Y579" s="20"/>
      <c r="Z579" s="20"/>
      <c r="AA579" s="20"/>
    </row>
    <row r="580" spans="1:27" ht="17.25" customHeight="1">
      <c r="A580" s="57"/>
      <c r="B580" s="57"/>
      <c r="C580" s="57"/>
      <c r="D580" s="57"/>
      <c r="E580" s="57"/>
      <c r="F580" s="57"/>
      <c r="G580" s="57"/>
      <c r="H580" s="20"/>
      <c r="I580" s="20"/>
      <c r="J580" s="20"/>
      <c r="K580" s="20"/>
      <c r="L580" s="20"/>
      <c r="M580" s="20"/>
      <c r="N580" s="20"/>
      <c r="O580" s="20"/>
      <c r="P580" s="20"/>
      <c r="Q580" s="20"/>
      <c r="R580" s="20"/>
      <c r="S580" s="20"/>
      <c r="T580" s="20"/>
      <c r="U580" s="20"/>
      <c r="V580" s="20"/>
      <c r="W580" s="20"/>
      <c r="X580" s="20"/>
      <c r="Y580" s="20"/>
      <c r="Z580" s="20"/>
      <c r="AA580" s="20"/>
    </row>
    <row r="581" spans="1:27" ht="17.25" customHeight="1">
      <c r="A581" s="57"/>
      <c r="B581" s="57"/>
      <c r="C581" s="57"/>
      <c r="D581" s="57"/>
      <c r="E581" s="57"/>
      <c r="F581" s="57"/>
      <c r="G581" s="57"/>
      <c r="H581" s="20"/>
      <c r="I581" s="20"/>
      <c r="J581" s="20"/>
      <c r="K581" s="20"/>
      <c r="L581" s="20"/>
      <c r="M581" s="20"/>
      <c r="N581" s="20"/>
      <c r="O581" s="20"/>
      <c r="P581" s="20"/>
      <c r="Q581" s="20"/>
      <c r="R581" s="20"/>
      <c r="S581" s="20"/>
      <c r="T581" s="20"/>
      <c r="U581" s="20"/>
      <c r="V581" s="20"/>
      <c r="W581" s="20"/>
      <c r="X581" s="20"/>
      <c r="Y581" s="20"/>
      <c r="Z581" s="20"/>
      <c r="AA581" s="20"/>
    </row>
    <row r="582" spans="1:27" ht="17.25" customHeight="1">
      <c r="A582" s="57"/>
      <c r="B582" s="57"/>
      <c r="C582" s="57"/>
      <c r="D582" s="57"/>
      <c r="E582" s="57"/>
      <c r="F582" s="57"/>
      <c r="G582" s="57"/>
      <c r="H582" s="20"/>
      <c r="I582" s="20"/>
      <c r="J582" s="20"/>
      <c r="K582" s="20"/>
      <c r="L582" s="20"/>
      <c r="M582" s="20"/>
      <c r="N582" s="20"/>
      <c r="O582" s="20"/>
      <c r="P582" s="20"/>
      <c r="Q582" s="20"/>
      <c r="R582" s="20"/>
      <c r="S582" s="20"/>
      <c r="T582" s="20"/>
      <c r="U582" s="20"/>
      <c r="V582" s="20"/>
      <c r="W582" s="20"/>
      <c r="X582" s="20"/>
      <c r="Y582" s="20"/>
      <c r="Z582" s="20"/>
      <c r="AA582" s="20"/>
    </row>
    <row r="583" spans="1:27" ht="17.25" customHeight="1">
      <c r="A583" s="57"/>
      <c r="B583" s="57"/>
      <c r="C583" s="57"/>
      <c r="D583" s="57"/>
      <c r="E583" s="57"/>
      <c r="F583" s="57"/>
      <c r="G583" s="57"/>
      <c r="H583" s="20"/>
      <c r="I583" s="20"/>
      <c r="J583" s="20"/>
      <c r="K583" s="20"/>
      <c r="L583" s="20"/>
      <c r="M583" s="20"/>
      <c r="N583" s="20"/>
      <c r="O583" s="20"/>
      <c r="P583" s="20"/>
      <c r="Q583" s="20"/>
      <c r="R583" s="20"/>
      <c r="S583" s="20"/>
      <c r="T583" s="20"/>
      <c r="U583" s="20"/>
      <c r="V583" s="20"/>
      <c r="W583" s="20"/>
      <c r="X583" s="20"/>
      <c r="Y583" s="20"/>
      <c r="Z583" s="20"/>
      <c r="AA583" s="20"/>
    </row>
    <row r="584" spans="1:27" ht="17.25" customHeight="1">
      <c r="A584" s="57"/>
      <c r="B584" s="57"/>
      <c r="C584" s="57"/>
      <c r="D584" s="57"/>
      <c r="E584" s="57"/>
      <c r="F584" s="57"/>
      <c r="G584" s="57"/>
      <c r="H584" s="20"/>
      <c r="I584" s="20"/>
      <c r="J584" s="20"/>
      <c r="K584" s="20"/>
      <c r="L584" s="20"/>
      <c r="M584" s="20"/>
      <c r="N584" s="20"/>
      <c r="O584" s="20"/>
      <c r="P584" s="20"/>
      <c r="Q584" s="20"/>
      <c r="R584" s="20"/>
      <c r="S584" s="20"/>
      <c r="T584" s="20"/>
      <c r="U584" s="20"/>
      <c r="V584" s="20"/>
      <c r="W584" s="20"/>
      <c r="X584" s="20"/>
      <c r="Y584" s="20"/>
      <c r="Z584" s="20"/>
      <c r="AA584" s="20"/>
    </row>
    <row r="585" spans="1:27" ht="17.25" customHeight="1">
      <c r="A585" s="57"/>
      <c r="B585" s="57"/>
      <c r="C585" s="57"/>
      <c r="D585" s="57"/>
      <c r="E585" s="57"/>
      <c r="F585" s="57"/>
      <c r="G585" s="57"/>
      <c r="H585" s="20"/>
      <c r="I585" s="20"/>
      <c r="J585" s="20"/>
      <c r="K585" s="20"/>
      <c r="L585" s="20"/>
      <c r="M585" s="20"/>
      <c r="N585" s="20"/>
      <c r="O585" s="20"/>
      <c r="P585" s="20"/>
      <c r="Q585" s="20"/>
      <c r="R585" s="20"/>
      <c r="S585" s="20"/>
      <c r="T585" s="20"/>
      <c r="U585" s="20"/>
      <c r="V585" s="20"/>
      <c r="W585" s="20"/>
      <c r="X585" s="20"/>
      <c r="Y585" s="20"/>
      <c r="Z585" s="20"/>
      <c r="AA585" s="20"/>
    </row>
    <row r="586" spans="1:27" ht="17.25" customHeight="1">
      <c r="A586" s="57"/>
      <c r="B586" s="57"/>
      <c r="C586" s="57"/>
      <c r="D586" s="57"/>
      <c r="E586" s="57"/>
      <c r="F586" s="57"/>
      <c r="G586" s="57"/>
      <c r="H586" s="20"/>
      <c r="I586" s="20"/>
      <c r="J586" s="20"/>
      <c r="K586" s="20"/>
      <c r="L586" s="20"/>
      <c r="M586" s="20"/>
      <c r="N586" s="20"/>
      <c r="O586" s="20"/>
      <c r="P586" s="20"/>
      <c r="Q586" s="20"/>
      <c r="R586" s="20"/>
      <c r="S586" s="20"/>
      <c r="T586" s="20"/>
      <c r="U586" s="20"/>
      <c r="V586" s="20"/>
      <c r="W586" s="20"/>
      <c r="X586" s="20"/>
      <c r="Y586" s="20"/>
      <c r="Z586" s="20"/>
      <c r="AA586" s="20"/>
    </row>
    <row r="587" spans="1:27" ht="17.25" customHeight="1">
      <c r="A587" s="57"/>
      <c r="B587" s="57"/>
      <c r="C587" s="57"/>
      <c r="D587" s="57"/>
      <c r="E587" s="57"/>
      <c r="F587" s="57"/>
      <c r="G587" s="57"/>
      <c r="H587" s="20"/>
      <c r="I587" s="20"/>
      <c r="J587" s="20"/>
      <c r="K587" s="20"/>
      <c r="L587" s="20"/>
      <c r="M587" s="20"/>
      <c r="N587" s="20"/>
      <c r="O587" s="20"/>
      <c r="P587" s="20"/>
      <c r="Q587" s="20"/>
      <c r="R587" s="20"/>
      <c r="S587" s="20"/>
      <c r="T587" s="20"/>
      <c r="U587" s="20"/>
      <c r="V587" s="20"/>
      <c r="W587" s="20"/>
      <c r="X587" s="20"/>
      <c r="Y587" s="20"/>
      <c r="Z587" s="20"/>
      <c r="AA587" s="20"/>
    </row>
    <row r="588" spans="1:27" ht="17.25" customHeight="1">
      <c r="A588" s="57"/>
      <c r="B588" s="57"/>
      <c r="C588" s="57"/>
      <c r="D588" s="57"/>
      <c r="E588" s="57"/>
      <c r="F588" s="57"/>
      <c r="G588" s="57"/>
      <c r="H588" s="20"/>
      <c r="I588" s="20"/>
      <c r="J588" s="20"/>
      <c r="K588" s="20"/>
      <c r="L588" s="20"/>
      <c r="M588" s="20"/>
      <c r="N588" s="20"/>
      <c r="O588" s="20"/>
      <c r="P588" s="20"/>
      <c r="Q588" s="20"/>
      <c r="R588" s="20"/>
      <c r="S588" s="20"/>
      <c r="T588" s="20"/>
      <c r="U588" s="20"/>
      <c r="V588" s="20"/>
      <c r="W588" s="20"/>
      <c r="X588" s="20"/>
      <c r="Y588" s="20"/>
      <c r="Z588" s="20"/>
      <c r="AA588" s="20"/>
    </row>
    <row r="589" spans="1:27" ht="17.25" customHeight="1">
      <c r="A589" s="57"/>
      <c r="B589" s="57"/>
      <c r="C589" s="57"/>
      <c r="D589" s="57"/>
      <c r="E589" s="57"/>
      <c r="F589" s="57"/>
      <c r="G589" s="57"/>
      <c r="H589" s="20"/>
      <c r="I589" s="20"/>
      <c r="J589" s="20"/>
      <c r="K589" s="20"/>
      <c r="L589" s="20"/>
      <c r="M589" s="20"/>
      <c r="N589" s="20"/>
      <c r="O589" s="20"/>
      <c r="P589" s="20"/>
      <c r="Q589" s="20"/>
      <c r="R589" s="20"/>
      <c r="S589" s="20"/>
      <c r="T589" s="20"/>
      <c r="U589" s="20"/>
      <c r="V589" s="20"/>
      <c r="W589" s="20"/>
      <c r="X589" s="20"/>
      <c r="Y589" s="20"/>
      <c r="Z589" s="20"/>
      <c r="AA589" s="20"/>
    </row>
    <row r="590" spans="1:27" ht="17.25" customHeight="1">
      <c r="A590" s="57"/>
      <c r="B590" s="57"/>
      <c r="C590" s="57"/>
      <c r="D590" s="57"/>
      <c r="E590" s="57"/>
      <c r="F590" s="57"/>
      <c r="G590" s="57"/>
      <c r="H590" s="20"/>
      <c r="I590" s="20"/>
      <c r="J590" s="20"/>
      <c r="K590" s="20"/>
      <c r="L590" s="20"/>
      <c r="M590" s="20"/>
      <c r="N590" s="20"/>
      <c r="O590" s="20"/>
      <c r="P590" s="20"/>
      <c r="Q590" s="20"/>
      <c r="R590" s="20"/>
      <c r="S590" s="20"/>
      <c r="T590" s="20"/>
      <c r="U590" s="20"/>
      <c r="V590" s="20"/>
      <c r="W590" s="20"/>
      <c r="X590" s="20"/>
      <c r="Y590" s="20"/>
      <c r="Z590" s="20"/>
      <c r="AA590" s="20"/>
    </row>
    <row r="591" spans="1:27" ht="17.25" customHeight="1">
      <c r="A591" s="57"/>
      <c r="B591" s="57"/>
      <c r="C591" s="57"/>
      <c r="D591" s="57"/>
      <c r="E591" s="57"/>
      <c r="F591" s="57"/>
      <c r="G591" s="57"/>
      <c r="H591" s="20"/>
      <c r="I591" s="20"/>
      <c r="J591" s="20"/>
      <c r="K591" s="20"/>
      <c r="L591" s="20"/>
      <c r="M591" s="20"/>
      <c r="N591" s="20"/>
      <c r="O591" s="20"/>
      <c r="P591" s="20"/>
      <c r="Q591" s="20"/>
      <c r="R591" s="20"/>
      <c r="S591" s="20"/>
      <c r="T591" s="20"/>
      <c r="U591" s="20"/>
      <c r="V591" s="20"/>
      <c r="W591" s="20"/>
      <c r="X591" s="20"/>
      <c r="Y591" s="20"/>
      <c r="Z591" s="20"/>
      <c r="AA591" s="20"/>
    </row>
    <row r="592" spans="1:27" ht="17.25" customHeight="1">
      <c r="A592" s="57"/>
      <c r="B592" s="57"/>
      <c r="C592" s="57"/>
      <c r="D592" s="57"/>
      <c r="E592" s="57"/>
      <c r="F592" s="57"/>
      <c r="G592" s="57"/>
      <c r="H592" s="20"/>
      <c r="I592" s="20"/>
      <c r="J592" s="20"/>
      <c r="K592" s="20"/>
      <c r="L592" s="20"/>
      <c r="M592" s="20"/>
      <c r="N592" s="20"/>
      <c r="O592" s="20"/>
      <c r="P592" s="20"/>
      <c r="Q592" s="20"/>
      <c r="R592" s="20"/>
      <c r="S592" s="20"/>
      <c r="T592" s="20"/>
      <c r="U592" s="20"/>
      <c r="V592" s="20"/>
      <c r="W592" s="20"/>
      <c r="X592" s="20"/>
      <c r="Y592" s="20"/>
      <c r="Z592" s="20"/>
      <c r="AA592" s="20"/>
    </row>
    <row r="593" spans="1:27" ht="17.25" customHeight="1">
      <c r="A593" s="57"/>
      <c r="B593" s="57"/>
      <c r="C593" s="57"/>
      <c r="D593" s="57"/>
      <c r="E593" s="57"/>
      <c r="F593" s="57"/>
      <c r="G593" s="57"/>
      <c r="H593" s="20"/>
      <c r="I593" s="20"/>
      <c r="J593" s="20"/>
      <c r="K593" s="20"/>
      <c r="L593" s="20"/>
      <c r="M593" s="20"/>
      <c r="N593" s="20"/>
      <c r="O593" s="20"/>
      <c r="P593" s="20"/>
      <c r="Q593" s="20"/>
      <c r="R593" s="20"/>
      <c r="S593" s="20"/>
      <c r="T593" s="20"/>
      <c r="U593" s="20"/>
      <c r="V593" s="20"/>
      <c r="W593" s="20"/>
      <c r="X593" s="20"/>
      <c r="Y593" s="20"/>
      <c r="Z593" s="20"/>
      <c r="AA593" s="20"/>
    </row>
    <row r="594" spans="1:27" ht="17.25" customHeight="1">
      <c r="A594" s="57"/>
      <c r="B594" s="57"/>
      <c r="C594" s="57"/>
      <c r="D594" s="57"/>
      <c r="E594" s="57"/>
      <c r="F594" s="57"/>
      <c r="G594" s="57"/>
      <c r="H594" s="20"/>
      <c r="I594" s="20"/>
      <c r="J594" s="20"/>
      <c r="K594" s="20"/>
      <c r="L594" s="20"/>
      <c r="M594" s="20"/>
      <c r="N594" s="20"/>
      <c r="O594" s="20"/>
      <c r="P594" s="20"/>
      <c r="Q594" s="20"/>
      <c r="R594" s="20"/>
      <c r="S594" s="20"/>
      <c r="T594" s="20"/>
      <c r="U594" s="20"/>
      <c r="V594" s="20"/>
      <c r="W594" s="20"/>
      <c r="X594" s="20"/>
      <c r="Y594" s="20"/>
      <c r="Z594" s="20"/>
      <c r="AA594" s="20"/>
    </row>
    <row r="595" spans="1:27" ht="17.25" customHeight="1">
      <c r="A595" s="57"/>
      <c r="B595" s="57"/>
      <c r="C595" s="57"/>
      <c r="D595" s="57"/>
      <c r="E595" s="57"/>
      <c r="F595" s="57"/>
      <c r="G595" s="57"/>
      <c r="H595" s="20"/>
      <c r="I595" s="20"/>
      <c r="J595" s="20"/>
      <c r="K595" s="20"/>
      <c r="L595" s="20"/>
      <c r="M595" s="20"/>
      <c r="N595" s="20"/>
      <c r="O595" s="20"/>
      <c r="P595" s="20"/>
      <c r="Q595" s="20"/>
      <c r="R595" s="20"/>
      <c r="S595" s="20"/>
      <c r="T595" s="20"/>
      <c r="U595" s="20"/>
      <c r="V595" s="20"/>
      <c r="W595" s="20"/>
      <c r="X595" s="20"/>
      <c r="Y595" s="20"/>
      <c r="Z595" s="20"/>
      <c r="AA595" s="20"/>
    </row>
    <row r="596" spans="1:27" ht="17.25" customHeight="1">
      <c r="A596" s="57"/>
      <c r="B596" s="57"/>
      <c r="C596" s="57"/>
      <c r="D596" s="57"/>
      <c r="E596" s="57"/>
      <c r="F596" s="57"/>
      <c r="G596" s="57"/>
      <c r="H596" s="20"/>
      <c r="I596" s="20"/>
      <c r="J596" s="20"/>
      <c r="K596" s="20"/>
      <c r="L596" s="20"/>
      <c r="M596" s="20"/>
      <c r="N596" s="20"/>
      <c r="O596" s="20"/>
      <c r="P596" s="20"/>
      <c r="Q596" s="20"/>
      <c r="R596" s="20"/>
      <c r="S596" s="20"/>
      <c r="T596" s="20"/>
      <c r="U596" s="20"/>
      <c r="V596" s="20"/>
      <c r="W596" s="20"/>
      <c r="X596" s="20"/>
      <c r="Y596" s="20"/>
      <c r="Z596" s="20"/>
      <c r="AA596" s="20"/>
    </row>
    <row r="597" spans="1:27" ht="17.25" customHeight="1">
      <c r="A597" s="57"/>
      <c r="B597" s="57"/>
      <c r="C597" s="57"/>
      <c r="D597" s="57"/>
      <c r="E597" s="57"/>
      <c r="F597" s="57"/>
      <c r="G597" s="57"/>
      <c r="H597" s="20"/>
      <c r="I597" s="20"/>
      <c r="J597" s="20"/>
      <c r="K597" s="20"/>
      <c r="L597" s="20"/>
      <c r="M597" s="20"/>
      <c r="N597" s="20"/>
      <c r="O597" s="20"/>
      <c r="P597" s="20"/>
      <c r="Q597" s="20"/>
      <c r="R597" s="20"/>
      <c r="S597" s="20"/>
      <c r="T597" s="20"/>
      <c r="U597" s="20"/>
      <c r="V597" s="20"/>
      <c r="W597" s="20"/>
      <c r="X597" s="20"/>
      <c r="Y597" s="20"/>
      <c r="Z597" s="20"/>
      <c r="AA597" s="20"/>
    </row>
    <row r="598" spans="1:27" ht="17.25" customHeight="1">
      <c r="A598" s="57"/>
      <c r="B598" s="57"/>
      <c r="C598" s="57"/>
      <c r="D598" s="57"/>
      <c r="E598" s="57"/>
      <c r="F598" s="57"/>
      <c r="G598" s="57"/>
      <c r="H598" s="20"/>
      <c r="I598" s="20"/>
      <c r="J598" s="20"/>
      <c r="K598" s="20"/>
      <c r="L598" s="20"/>
      <c r="M598" s="20"/>
      <c r="N598" s="20"/>
      <c r="O598" s="20"/>
      <c r="P598" s="20"/>
      <c r="Q598" s="20"/>
      <c r="R598" s="20"/>
      <c r="S598" s="20"/>
      <c r="T598" s="20"/>
      <c r="U598" s="20"/>
      <c r="V598" s="20"/>
      <c r="W598" s="20"/>
      <c r="X598" s="20"/>
      <c r="Y598" s="20"/>
      <c r="Z598" s="20"/>
      <c r="AA598" s="20"/>
    </row>
    <row r="599" spans="1:27" ht="17.25" customHeight="1">
      <c r="A599" s="57"/>
      <c r="B599" s="57"/>
      <c r="C599" s="57"/>
      <c r="D599" s="57"/>
      <c r="E599" s="57"/>
      <c r="F599" s="57"/>
      <c r="G599" s="57"/>
      <c r="H599" s="20"/>
      <c r="I599" s="20"/>
      <c r="J599" s="20"/>
      <c r="K599" s="20"/>
      <c r="L599" s="20"/>
      <c r="M599" s="20"/>
      <c r="N599" s="20"/>
      <c r="O599" s="20"/>
      <c r="P599" s="20"/>
      <c r="Q599" s="20"/>
      <c r="R599" s="20"/>
      <c r="S599" s="20"/>
      <c r="T599" s="20"/>
      <c r="U599" s="20"/>
      <c r="V599" s="20"/>
      <c r="W599" s="20"/>
      <c r="X599" s="20"/>
      <c r="Y599" s="20"/>
      <c r="Z599" s="20"/>
      <c r="AA599" s="20"/>
    </row>
    <row r="600" spans="1:27" ht="17.25" customHeight="1">
      <c r="A600" s="57"/>
      <c r="B600" s="57"/>
      <c r="C600" s="57"/>
      <c r="D600" s="57"/>
      <c r="E600" s="57"/>
      <c r="F600" s="57"/>
      <c r="G600" s="57"/>
      <c r="H600" s="20"/>
      <c r="I600" s="20"/>
      <c r="J600" s="20"/>
      <c r="K600" s="20"/>
      <c r="L600" s="20"/>
      <c r="M600" s="20"/>
      <c r="N600" s="20"/>
      <c r="O600" s="20"/>
      <c r="P600" s="20"/>
      <c r="Q600" s="20"/>
      <c r="R600" s="20"/>
      <c r="S600" s="20"/>
      <c r="T600" s="20"/>
      <c r="U600" s="20"/>
      <c r="V600" s="20"/>
      <c r="W600" s="20"/>
      <c r="X600" s="20"/>
      <c r="Y600" s="20"/>
      <c r="Z600" s="20"/>
      <c r="AA600" s="20"/>
    </row>
    <row r="601" spans="1:27" ht="17.25" customHeight="1">
      <c r="A601" s="57"/>
      <c r="B601" s="57"/>
      <c r="C601" s="57"/>
      <c r="D601" s="57"/>
      <c r="E601" s="57"/>
      <c r="F601" s="57"/>
      <c r="G601" s="57"/>
      <c r="H601" s="20"/>
      <c r="I601" s="20"/>
      <c r="J601" s="20"/>
      <c r="K601" s="20"/>
      <c r="L601" s="20"/>
      <c r="M601" s="20"/>
      <c r="N601" s="20"/>
      <c r="O601" s="20"/>
      <c r="P601" s="20"/>
      <c r="Q601" s="20"/>
      <c r="R601" s="20"/>
      <c r="S601" s="20"/>
      <c r="T601" s="20"/>
      <c r="U601" s="20"/>
      <c r="V601" s="20"/>
      <c r="W601" s="20"/>
      <c r="X601" s="20"/>
      <c r="Y601" s="20"/>
      <c r="Z601" s="20"/>
      <c r="AA601" s="20"/>
    </row>
    <row r="602" spans="1:27" ht="17.25" customHeight="1">
      <c r="A602" s="57"/>
      <c r="B602" s="57"/>
      <c r="C602" s="57"/>
      <c r="D602" s="57"/>
      <c r="E602" s="57"/>
      <c r="F602" s="57"/>
      <c r="G602" s="57"/>
      <c r="H602" s="20"/>
      <c r="I602" s="20"/>
      <c r="J602" s="20"/>
      <c r="K602" s="20"/>
      <c r="L602" s="20"/>
      <c r="M602" s="20"/>
      <c r="N602" s="20"/>
      <c r="O602" s="20"/>
      <c r="P602" s="20"/>
      <c r="Q602" s="20"/>
      <c r="R602" s="20"/>
      <c r="S602" s="20"/>
      <c r="T602" s="20"/>
      <c r="U602" s="20"/>
      <c r="V602" s="20"/>
      <c r="W602" s="20"/>
      <c r="X602" s="20"/>
      <c r="Y602" s="20"/>
      <c r="Z602" s="20"/>
      <c r="AA602" s="20"/>
    </row>
    <row r="603" spans="1:27" ht="17.25" customHeight="1">
      <c r="A603" s="57"/>
      <c r="B603" s="57"/>
      <c r="C603" s="57"/>
      <c r="D603" s="57"/>
      <c r="E603" s="57"/>
      <c r="F603" s="57"/>
      <c r="G603" s="57"/>
      <c r="H603" s="20"/>
      <c r="I603" s="20"/>
      <c r="J603" s="20"/>
      <c r="K603" s="20"/>
      <c r="L603" s="20"/>
      <c r="M603" s="20"/>
      <c r="N603" s="20"/>
      <c r="O603" s="20"/>
      <c r="P603" s="20"/>
      <c r="Q603" s="20"/>
      <c r="R603" s="20"/>
      <c r="S603" s="20"/>
      <c r="T603" s="20"/>
      <c r="U603" s="20"/>
      <c r="V603" s="20"/>
      <c r="W603" s="20"/>
      <c r="X603" s="20"/>
      <c r="Y603" s="20"/>
      <c r="Z603" s="20"/>
      <c r="AA603" s="20"/>
    </row>
    <row r="604" spans="1:27" ht="17.25" customHeight="1">
      <c r="A604" s="57"/>
      <c r="B604" s="57"/>
      <c r="C604" s="57"/>
      <c r="D604" s="57"/>
      <c r="E604" s="57"/>
      <c r="F604" s="57"/>
      <c r="G604" s="57"/>
      <c r="H604" s="20"/>
      <c r="I604" s="20"/>
      <c r="J604" s="20"/>
      <c r="K604" s="20"/>
      <c r="L604" s="20"/>
      <c r="M604" s="20"/>
      <c r="N604" s="20"/>
      <c r="O604" s="20"/>
      <c r="P604" s="20"/>
      <c r="Q604" s="20"/>
      <c r="R604" s="20"/>
      <c r="S604" s="20"/>
      <c r="T604" s="20"/>
      <c r="U604" s="20"/>
      <c r="V604" s="20"/>
      <c r="W604" s="20"/>
      <c r="X604" s="20"/>
      <c r="Y604" s="20"/>
      <c r="Z604" s="20"/>
      <c r="AA604" s="20"/>
    </row>
    <row r="605" spans="1:27" ht="17.25" customHeight="1">
      <c r="A605" s="57"/>
      <c r="B605" s="57"/>
      <c r="C605" s="57"/>
      <c r="D605" s="57"/>
      <c r="E605" s="57"/>
      <c r="F605" s="57"/>
      <c r="G605" s="57"/>
      <c r="H605" s="20"/>
      <c r="I605" s="20"/>
      <c r="J605" s="20"/>
      <c r="K605" s="20"/>
      <c r="L605" s="20"/>
      <c r="M605" s="20"/>
      <c r="N605" s="20"/>
      <c r="O605" s="20"/>
      <c r="P605" s="20"/>
      <c r="Q605" s="20"/>
      <c r="R605" s="20"/>
      <c r="S605" s="20"/>
      <c r="T605" s="20"/>
      <c r="U605" s="20"/>
      <c r="V605" s="20"/>
      <c r="W605" s="20"/>
      <c r="X605" s="20"/>
      <c r="Y605" s="20"/>
      <c r="Z605" s="20"/>
      <c r="AA605" s="20"/>
    </row>
    <row r="606" spans="1:27" ht="17.25" customHeight="1">
      <c r="A606" s="57"/>
      <c r="B606" s="57"/>
      <c r="C606" s="57"/>
      <c r="D606" s="57"/>
      <c r="E606" s="57"/>
      <c r="F606" s="57"/>
      <c r="G606" s="57"/>
      <c r="H606" s="20"/>
      <c r="I606" s="20"/>
      <c r="J606" s="20"/>
      <c r="K606" s="20"/>
      <c r="L606" s="20"/>
      <c r="M606" s="20"/>
      <c r="N606" s="20"/>
      <c r="O606" s="20"/>
      <c r="P606" s="20"/>
      <c r="Q606" s="20"/>
      <c r="R606" s="20"/>
      <c r="S606" s="20"/>
      <c r="T606" s="20"/>
      <c r="U606" s="20"/>
      <c r="V606" s="20"/>
      <c r="W606" s="20"/>
      <c r="X606" s="20"/>
      <c r="Y606" s="20"/>
      <c r="Z606" s="20"/>
      <c r="AA606" s="20"/>
    </row>
    <row r="607" spans="1:27" ht="17.25" customHeight="1">
      <c r="A607" s="57"/>
      <c r="B607" s="57"/>
      <c r="C607" s="57"/>
      <c r="D607" s="57"/>
      <c r="E607" s="57"/>
      <c r="F607" s="57"/>
      <c r="G607" s="57"/>
      <c r="H607" s="20"/>
      <c r="I607" s="20"/>
      <c r="J607" s="20"/>
      <c r="K607" s="20"/>
      <c r="L607" s="20"/>
      <c r="M607" s="20"/>
      <c r="N607" s="20"/>
      <c r="O607" s="20"/>
      <c r="P607" s="20"/>
      <c r="Q607" s="20"/>
      <c r="R607" s="20"/>
      <c r="S607" s="20"/>
      <c r="T607" s="20"/>
      <c r="U607" s="20"/>
      <c r="V607" s="20"/>
      <c r="W607" s="20"/>
      <c r="X607" s="20"/>
      <c r="Y607" s="20"/>
      <c r="Z607" s="20"/>
      <c r="AA607" s="20"/>
    </row>
    <row r="608" spans="1:27" ht="17.25" customHeight="1">
      <c r="A608" s="57"/>
      <c r="B608" s="57"/>
      <c r="C608" s="57"/>
      <c r="D608" s="57"/>
      <c r="E608" s="57"/>
      <c r="F608" s="57"/>
      <c r="G608" s="57"/>
      <c r="H608" s="20"/>
      <c r="I608" s="20"/>
      <c r="J608" s="20"/>
      <c r="K608" s="20"/>
      <c r="L608" s="20"/>
      <c r="M608" s="20"/>
      <c r="N608" s="20"/>
      <c r="O608" s="20"/>
      <c r="P608" s="20"/>
      <c r="Q608" s="20"/>
      <c r="R608" s="20"/>
      <c r="S608" s="20"/>
      <c r="T608" s="20"/>
      <c r="U608" s="20"/>
      <c r="V608" s="20"/>
      <c r="W608" s="20"/>
      <c r="X608" s="20"/>
      <c r="Y608" s="20"/>
      <c r="Z608" s="20"/>
      <c r="AA608" s="20"/>
    </row>
    <row r="609" spans="1:27" ht="17.25" customHeight="1">
      <c r="A609" s="57"/>
      <c r="B609" s="57"/>
      <c r="C609" s="57"/>
      <c r="D609" s="57"/>
      <c r="E609" s="57"/>
      <c r="F609" s="57"/>
      <c r="G609" s="57"/>
      <c r="H609" s="20"/>
      <c r="I609" s="20"/>
      <c r="J609" s="20"/>
      <c r="K609" s="20"/>
      <c r="L609" s="20"/>
      <c r="M609" s="20"/>
      <c r="N609" s="20"/>
      <c r="O609" s="20"/>
      <c r="P609" s="20"/>
      <c r="Q609" s="20"/>
      <c r="R609" s="20"/>
      <c r="S609" s="20"/>
      <c r="T609" s="20"/>
      <c r="U609" s="20"/>
      <c r="V609" s="20"/>
      <c r="W609" s="20"/>
      <c r="X609" s="20"/>
      <c r="Y609" s="20"/>
      <c r="Z609" s="20"/>
      <c r="AA609" s="20"/>
    </row>
    <row r="610" spans="1:27" ht="17.25" customHeight="1">
      <c r="A610" s="57"/>
      <c r="B610" s="57"/>
      <c r="C610" s="57"/>
      <c r="D610" s="57"/>
      <c r="E610" s="57"/>
      <c r="F610" s="57"/>
      <c r="G610" s="57"/>
      <c r="H610" s="20"/>
      <c r="I610" s="20"/>
      <c r="J610" s="20"/>
      <c r="K610" s="20"/>
      <c r="L610" s="20"/>
      <c r="M610" s="20"/>
      <c r="N610" s="20"/>
      <c r="O610" s="20"/>
      <c r="P610" s="20"/>
      <c r="Q610" s="20"/>
      <c r="R610" s="20"/>
      <c r="S610" s="20"/>
      <c r="T610" s="20"/>
      <c r="U610" s="20"/>
      <c r="V610" s="20"/>
      <c r="W610" s="20"/>
      <c r="X610" s="20"/>
      <c r="Y610" s="20"/>
      <c r="Z610" s="20"/>
      <c r="AA610" s="20"/>
    </row>
    <row r="611" spans="1:27" ht="17.25" customHeight="1">
      <c r="A611" s="57"/>
      <c r="B611" s="57"/>
      <c r="C611" s="57"/>
      <c r="D611" s="57"/>
      <c r="E611" s="57"/>
      <c r="F611" s="57"/>
      <c r="G611" s="57"/>
      <c r="H611" s="20"/>
      <c r="I611" s="20"/>
      <c r="J611" s="20"/>
      <c r="K611" s="20"/>
      <c r="L611" s="20"/>
      <c r="M611" s="20"/>
      <c r="N611" s="20"/>
      <c r="O611" s="20"/>
      <c r="P611" s="20"/>
      <c r="Q611" s="20"/>
      <c r="R611" s="20"/>
      <c r="S611" s="20"/>
      <c r="T611" s="20"/>
      <c r="U611" s="20"/>
      <c r="V611" s="20"/>
      <c r="W611" s="20"/>
      <c r="X611" s="20"/>
      <c r="Y611" s="20"/>
      <c r="Z611" s="20"/>
      <c r="AA611" s="20"/>
    </row>
    <row r="612" spans="1:27" ht="17.25" customHeight="1">
      <c r="A612" s="57"/>
      <c r="B612" s="57"/>
      <c r="C612" s="57"/>
      <c r="D612" s="57"/>
      <c r="E612" s="57"/>
      <c r="F612" s="57"/>
      <c r="G612" s="57"/>
      <c r="H612" s="20"/>
      <c r="I612" s="20"/>
      <c r="J612" s="20"/>
      <c r="K612" s="20"/>
      <c r="L612" s="20"/>
      <c r="M612" s="20"/>
      <c r="N612" s="20"/>
      <c r="O612" s="20"/>
      <c r="P612" s="20"/>
      <c r="Q612" s="20"/>
      <c r="R612" s="20"/>
      <c r="S612" s="20"/>
      <c r="T612" s="20"/>
      <c r="U612" s="20"/>
      <c r="V612" s="20"/>
      <c r="W612" s="20"/>
      <c r="X612" s="20"/>
      <c r="Y612" s="20"/>
      <c r="Z612" s="20"/>
      <c r="AA612" s="20"/>
    </row>
    <row r="613" spans="1:27" ht="17.25" customHeight="1">
      <c r="A613" s="57"/>
      <c r="B613" s="57"/>
      <c r="C613" s="57"/>
      <c r="D613" s="57"/>
      <c r="E613" s="57"/>
      <c r="F613" s="57"/>
      <c r="G613" s="57"/>
      <c r="H613" s="20"/>
      <c r="I613" s="20"/>
      <c r="J613" s="20"/>
      <c r="K613" s="20"/>
      <c r="L613" s="20"/>
      <c r="M613" s="20"/>
      <c r="N613" s="20"/>
      <c r="O613" s="20"/>
      <c r="P613" s="20"/>
      <c r="Q613" s="20"/>
      <c r="R613" s="20"/>
      <c r="S613" s="20"/>
      <c r="T613" s="20"/>
      <c r="U613" s="20"/>
      <c r="V613" s="20"/>
      <c r="W613" s="20"/>
      <c r="X613" s="20"/>
      <c r="Y613" s="20"/>
      <c r="Z613" s="20"/>
      <c r="AA613" s="20"/>
    </row>
    <row r="614" spans="1:27" ht="17.25" customHeight="1">
      <c r="A614" s="57"/>
      <c r="B614" s="57"/>
      <c r="C614" s="57"/>
      <c r="D614" s="57"/>
      <c r="E614" s="57"/>
      <c r="F614" s="57"/>
      <c r="G614" s="57"/>
      <c r="H614" s="20"/>
      <c r="I614" s="20"/>
      <c r="J614" s="20"/>
      <c r="K614" s="20"/>
      <c r="L614" s="20"/>
      <c r="M614" s="20"/>
      <c r="N614" s="20"/>
      <c r="O614" s="20"/>
      <c r="P614" s="20"/>
      <c r="Q614" s="20"/>
      <c r="R614" s="20"/>
      <c r="S614" s="20"/>
      <c r="T614" s="20"/>
      <c r="U614" s="20"/>
      <c r="V614" s="20"/>
      <c r="W614" s="20"/>
      <c r="X614" s="20"/>
      <c r="Y614" s="20"/>
      <c r="Z614" s="20"/>
      <c r="AA614" s="20"/>
    </row>
    <row r="615" spans="1:27" ht="17.25" customHeight="1">
      <c r="A615" s="57"/>
      <c r="B615" s="57"/>
      <c r="C615" s="57"/>
      <c r="D615" s="57"/>
      <c r="E615" s="57"/>
      <c r="F615" s="57"/>
      <c r="G615" s="57"/>
      <c r="H615" s="20"/>
      <c r="I615" s="20"/>
      <c r="J615" s="20"/>
      <c r="K615" s="20"/>
      <c r="L615" s="20"/>
      <c r="M615" s="20"/>
      <c r="N615" s="20"/>
      <c r="O615" s="20"/>
      <c r="P615" s="20"/>
      <c r="Q615" s="20"/>
      <c r="R615" s="20"/>
      <c r="S615" s="20"/>
      <c r="T615" s="20"/>
      <c r="U615" s="20"/>
      <c r="V615" s="20"/>
      <c r="W615" s="20"/>
      <c r="X615" s="20"/>
      <c r="Y615" s="20"/>
      <c r="Z615" s="20"/>
      <c r="AA615" s="20"/>
    </row>
    <row r="616" spans="1:27" ht="17.25" customHeight="1">
      <c r="A616" s="57"/>
      <c r="B616" s="57"/>
      <c r="C616" s="57"/>
      <c r="D616" s="57"/>
      <c r="E616" s="57"/>
      <c r="F616" s="57"/>
      <c r="G616" s="57"/>
      <c r="H616" s="20"/>
      <c r="I616" s="20"/>
      <c r="J616" s="20"/>
      <c r="K616" s="20"/>
      <c r="L616" s="20"/>
      <c r="M616" s="20"/>
      <c r="N616" s="20"/>
      <c r="O616" s="20"/>
      <c r="P616" s="20"/>
      <c r="Q616" s="20"/>
      <c r="R616" s="20"/>
      <c r="S616" s="20"/>
      <c r="T616" s="20"/>
      <c r="U616" s="20"/>
      <c r="V616" s="20"/>
      <c r="W616" s="20"/>
      <c r="X616" s="20"/>
      <c r="Y616" s="20"/>
      <c r="Z616" s="20"/>
      <c r="AA616" s="20"/>
    </row>
    <row r="617" spans="1:27" ht="17.25" customHeight="1">
      <c r="A617" s="57"/>
      <c r="B617" s="57"/>
      <c r="C617" s="57"/>
      <c r="D617" s="57"/>
      <c r="E617" s="57"/>
      <c r="F617" s="57"/>
      <c r="G617" s="57"/>
      <c r="H617" s="20"/>
      <c r="I617" s="20"/>
      <c r="J617" s="20"/>
      <c r="K617" s="20"/>
      <c r="L617" s="20"/>
      <c r="M617" s="20"/>
      <c r="N617" s="20"/>
      <c r="O617" s="20"/>
      <c r="P617" s="20"/>
      <c r="Q617" s="20"/>
      <c r="R617" s="20"/>
      <c r="S617" s="20"/>
      <c r="T617" s="20"/>
      <c r="U617" s="20"/>
      <c r="V617" s="20"/>
      <c r="W617" s="20"/>
      <c r="X617" s="20"/>
      <c r="Y617" s="20"/>
      <c r="Z617" s="20"/>
      <c r="AA617" s="20"/>
    </row>
    <row r="618" spans="1:27" ht="17.25" customHeight="1">
      <c r="A618" s="57"/>
      <c r="B618" s="57"/>
      <c r="C618" s="57"/>
      <c r="D618" s="57"/>
      <c r="E618" s="57"/>
      <c r="F618" s="57"/>
      <c r="G618" s="57"/>
      <c r="H618" s="20"/>
      <c r="I618" s="20"/>
      <c r="J618" s="20"/>
      <c r="K618" s="20"/>
      <c r="L618" s="20"/>
      <c r="M618" s="20"/>
      <c r="N618" s="20"/>
      <c r="O618" s="20"/>
      <c r="P618" s="20"/>
      <c r="Q618" s="20"/>
      <c r="R618" s="20"/>
      <c r="S618" s="20"/>
      <c r="T618" s="20"/>
      <c r="U618" s="20"/>
      <c r="V618" s="20"/>
      <c r="W618" s="20"/>
      <c r="X618" s="20"/>
      <c r="Y618" s="20"/>
      <c r="Z618" s="20"/>
      <c r="AA618" s="20"/>
    </row>
    <row r="619" spans="1:27" ht="17.25" customHeight="1">
      <c r="A619" s="57"/>
      <c r="B619" s="57"/>
      <c r="C619" s="57"/>
      <c r="D619" s="57"/>
      <c r="E619" s="57"/>
      <c r="F619" s="57"/>
      <c r="G619" s="57"/>
      <c r="H619" s="20"/>
      <c r="I619" s="20"/>
      <c r="J619" s="20"/>
      <c r="K619" s="20"/>
      <c r="L619" s="20"/>
      <c r="M619" s="20"/>
      <c r="N619" s="20"/>
      <c r="O619" s="20"/>
      <c r="P619" s="20"/>
      <c r="Q619" s="20"/>
      <c r="R619" s="20"/>
      <c r="S619" s="20"/>
      <c r="T619" s="20"/>
      <c r="U619" s="20"/>
      <c r="V619" s="20"/>
      <c r="W619" s="20"/>
      <c r="X619" s="20"/>
      <c r="Y619" s="20"/>
      <c r="Z619" s="20"/>
      <c r="AA619" s="20"/>
    </row>
    <row r="620" spans="1:27" ht="17.25" customHeight="1">
      <c r="A620" s="57"/>
      <c r="B620" s="57"/>
      <c r="C620" s="57"/>
      <c r="D620" s="57"/>
      <c r="E620" s="57"/>
      <c r="F620" s="57"/>
      <c r="G620" s="57"/>
      <c r="H620" s="20"/>
      <c r="I620" s="20"/>
      <c r="J620" s="20"/>
      <c r="K620" s="20"/>
      <c r="L620" s="20"/>
      <c r="M620" s="20"/>
      <c r="N620" s="20"/>
      <c r="O620" s="20"/>
      <c r="P620" s="20"/>
      <c r="Q620" s="20"/>
      <c r="R620" s="20"/>
      <c r="S620" s="20"/>
      <c r="T620" s="20"/>
      <c r="U620" s="20"/>
      <c r="V620" s="20"/>
      <c r="W620" s="20"/>
      <c r="X620" s="20"/>
      <c r="Y620" s="20"/>
      <c r="Z620" s="20"/>
      <c r="AA620" s="20"/>
    </row>
    <row r="621" spans="1:27" ht="17.25" customHeight="1">
      <c r="A621" s="57"/>
      <c r="B621" s="57"/>
      <c r="C621" s="57"/>
      <c r="D621" s="57"/>
      <c r="E621" s="57"/>
      <c r="F621" s="57"/>
      <c r="G621" s="57"/>
      <c r="H621" s="20"/>
      <c r="I621" s="20"/>
      <c r="J621" s="20"/>
      <c r="K621" s="20"/>
      <c r="L621" s="20"/>
      <c r="M621" s="20"/>
      <c r="N621" s="20"/>
      <c r="O621" s="20"/>
      <c r="P621" s="20"/>
      <c r="Q621" s="20"/>
      <c r="R621" s="20"/>
      <c r="S621" s="20"/>
      <c r="T621" s="20"/>
      <c r="U621" s="20"/>
      <c r="V621" s="20"/>
      <c r="W621" s="20"/>
      <c r="X621" s="20"/>
      <c r="Y621" s="20"/>
      <c r="Z621" s="20"/>
      <c r="AA621" s="20"/>
    </row>
    <row r="622" spans="1:27" ht="17.25" customHeight="1">
      <c r="A622" s="57"/>
      <c r="B622" s="57"/>
      <c r="C622" s="57"/>
      <c r="D622" s="57"/>
      <c r="E622" s="57"/>
      <c r="F622" s="57"/>
      <c r="G622" s="57"/>
      <c r="H622" s="20"/>
      <c r="I622" s="20"/>
      <c r="J622" s="20"/>
      <c r="K622" s="20"/>
      <c r="L622" s="20"/>
      <c r="M622" s="20"/>
      <c r="N622" s="20"/>
      <c r="O622" s="20"/>
      <c r="P622" s="20"/>
      <c r="Q622" s="20"/>
      <c r="R622" s="20"/>
      <c r="S622" s="20"/>
      <c r="T622" s="20"/>
      <c r="U622" s="20"/>
      <c r="V622" s="20"/>
      <c r="W622" s="20"/>
      <c r="X622" s="20"/>
      <c r="Y622" s="20"/>
      <c r="Z622" s="20"/>
      <c r="AA622" s="20"/>
    </row>
    <row r="623" spans="1:27" ht="17.25" customHeight="1">
      <c r="A623" s="57"/>
      <c r="B623" s="57"/>
      <c r="C623" s="57"/>
      <c r="D623" s="57"/>
      <c r="E623" s="57"/>
      <c r="F623" s="57"/>
      <c r="G623" s="57"/>
      <c r="H623" s="20"/>
      <c r="I623" s="20"/>
      <c r="J623" s="20"/>
      <c r="K623" s="20"/>
      <c r="L623" s="20"/>
      <c r="M623" s="20"/>
      <c r="N623" s="20"/>
      <c r="O623" s="20"/>
      <c r="P623" s="20"/>
      <c r="Q623" s="20"/>
      <c r="R623" s="20"/>
      <c r="S623" s="20"/>
      <c r="T623" s="20"/>
      <c r="U623" s="20"/>
      <c r="V623" s="20"/>
      <c r="W623" s="20"/>
      <c r="X623" s="20"/>
      <c r="Y623" s="20"/>
      <c r="Z623" s="20"/>
      <c r="AA623" s="20"/>
    </row>
    <row r="624" spans="1:27" ht="17.25" customHeight="1">
      <c r="A624" s="57"/>
      <c r="B624" s="57"/>
      <c r="C624" s="57"/>
      <c r="D624" s="57"/>
      <c r="E624" s="57"/>
      <c r="F624" s="57"/>
      <c r="G624" s="57"/>
      <c r="H624" s="20"/>
      <c r="I624" s="20"/>
      <c r="J624" s="20"/>
      <c r="K624" s="20"/>
      <c r="L624" s="20"/>
      <c r="M624" s="20"/>
      <c r="N624" s="20"/>
      <c r="O624" s="20"/>
      <c r="P624" s="20"/>
      <c r="Q624" s="20"/>
      <c r="R624" s="20"/>
      <c r="S624" s="20"/>
      <c r="T624" s="20"/>
      <c r="U624" s="20"/>
      <c r="V624" s="20"/>
      <c r="W624" s="20"/>
      <c r="X624" s="20"/>
      <c r="Y624" s="20"/>
      <c r="Z624" s="20"/>
      <c r="AA624" s="20"/>
    </row>
    <row r="625" spans="1:27" ht="17.25" customHeight="1">
      <c r="A625" s="57"/>
      <c r="B625" s="57"/>
      <c r="C625" s="57"/>
      <c r="D625" s="57"/>
      <c r="E625" s="57"/>
      <c r="F625" s="57"/>
      <c r="G625" s="57"/>
      <c r="H625" s="20"/>
      <c r="I625" s="20"/>
      <c r="J625" s="20"/>
      <c r="K625" s="20"/>
      <c r="L625" s="20"/>
      <c r="M625" s="20"/>
      <c r="N625" s="20"/>
      <c r="O625" s="20"/>
      <c r="P625" s="20"/>
      <c r="Q625" s="20"/>
      <c r="R625" s="20"/>
      <c r="S625" s="20"/>
      <c r="T625" s="20"/>
      <c r="U625" s="20"/>
      <c r="V625" s="20"/>
      <c r="W625" s="20"/>
      <c r="X625" s="20"/>
      <c r="Y625" s="20"/>
      <c r="Z625" s="20"/>
      <c r="AA625" s="20"/>
    </row>
    <row r="626" spans="1:27" ht="17.25" customHeight="1">
      <c r="A626" s="57"/>
      <c r="B626" s="57"/>
      <c r="C626" s="57"/>
      <c r="D626" s="57"/>
      <c r="E626" s="57"/>
      <c r="F626" s="57"/>
      <c r="G626" s="57"/>
      <c r="H626" s="20"/>
      <c r="I626" s="20"/>
      <c r="J626" s="20"/>
      <c r="K626" s="20"/>
      <c r="L626" s="20"/>
      <c r="M626" s="20"/>
      <c r="N626" s="20"/>
      <c r="O626" s="20"/>
      <c r="P626" s="20"/>
      <c r="Q626" s="20"/>
      <c r="R626" s="20"/>
      <c r="S626" s="20"/>
      <c r="T626" s="20"/>
      <c r="U626" s="20"/>
      <c r="V626" s="20"/>
      <c r="W626" s="20"/>
      <c r="X626" s="20"/>
      <c r="Y626" s="20"/>
      <c r="Z626" s="20"/>
      <c r="AA626" s="20"/>
    </row>
    <row r="627" spans="1:27" ht="17.25" customHeight="1">
      <c r="A627" s="57"/>
      <c r="B627" s="57"/>
      <c r="C627" s="57"/>
      <c r="D627" s="57"/>
      <c r="E627" s="57"/>
      <c r="F627" s="57"/>
      <c r="G627" s="57"/>
      <c r="H627" s="20"/>
      <c r="I627" s="20"/>
      <c r="J627" s="20"/>
      <c r="K627" s="20"/>
      <c r="L627" s="20"/>
      <c r="M627" s="20"/>
      <c r="N627" s="20"/>
      <c r="O627" s="20"/>
      <c r="P627" s="20"/>
      <c r="Q627" s="20"/>
      <c r="R627" s="20"/>
      <c r="S627" s="20"/>
      <c r="T627" s="20"/>
      <c r="U627" s="20"/>
      <c r="V627" s="20"/>
      <c r="W627" s="20"/>
      <c r="X627" s="20"/>
      <c r="Y627" s="20"/>
      <c r="Z627" s="20"/>
      <c r="AA627" s="20"/>
    </row>
    <row r="628" spans="1:27" ht="17.25" customHeight="1">
      <c r="A628" s="57"/>
      <c r="B628" s="57"/>
      <c r="C628" s="57"/>
      <c r="D628" s="57"/>
      <c r="E628" s="57"/>
      <c r="F628" s="57"/>
      <c r="G628" s="57"/>
      <c r="H628" s="20"/>
      <c r="I628" s="20"/>
      <c r="J628" s="20"/>
      <c r="K628" s="20"/>
      <c r="L628" s="20"/>
      <c r="M628" s="20"/>
      <c r="N628" s="20"/>
      <c r="O628" s="20"/>
      <c r="P628" s="20"/>
      <c r="Q628" s="20"/>
      <c r="R628" s="20"/>
      <c r="S628" s="20"/>
      <c r="T628" s="20"/>
      <c r="U628" s="20"/>
      <c r="V628" s="20"/>
      <c r="W628" s="20"/>
      <c r="X628" s="20"/>
      <c r="Y628" s="20"/>
      <c r="Z628" s="20"/>
      <c r="AA628" s="20"/>
    </row>
    <row r="629" spans="1:27" ht="17.25" customHeight="1">
      <c r="A629" s="57"/>
      <c r="B629" s="57"/>
      <c r="C629" s="57"/>
      <c r="D629" s="57"/>
      <c r="E629" s="57"/>
      <c r="F629" s="57"/>
      <c r="G629" s="57"/>
      <c r="H629" s="20"/>
      <c r="I629" s="20"/>
      <c r="J629" s="20"/>
      <c r="K629" s="20"/>
      <c r="L629" s="20"/>
      <c r="M629" s="20"/>
      <c r="N629" s="20"/>
      <c r="O629" s="20"/>
      <c r="P629" s="20"/>
      <c r="Q629" s="20"/>
      <c r="R629" s="20"/>
      <c r="S629" s="20"/>
      <c r="T629" s="20"/>
      <c r="U629" s="20"/>
      <c r="V629" s="20"/>
      <c r="W629" s="20"/>
      <c r="X629" s="20"/>
      <c r="Y629" s="20"/>
      <c r="Z629" s="20"/>
      <c r="AA629" s="20"/>
    </row>
    <row r="630" spans="1:27" ht="17.25" customHeight="1">
      <c r="A630" s="57"/>
      <c r="B630" s="57"/>
      <c r="C630" s="57"/>
      <c r="D630" s="57"/>
      <c r="E630" s="57"/>
      <c r="F630" s="57"/>
      <c r="G630" s="57"/>
      <c r="H630" s="20"/>
      <c r="I630" s="20"/>
      <c r="J630" s="20"/>
      <c r="K630" s="20"/>
      <c r="L630" s="20"/>
      <c r="M630" s="20"/>
      <c r="N630" s="20"/>
      <c r="O630" s="20"/>
      <c r="P630" s="20"/>
      <c r="Q630" s="20"/>
      <c r="R630" s="20"/>
      <c r="S630" s="20"/>
      <c r="T630" s="20"/>
      <c r="U630" s="20"/>
      <c r="V630" s="20"/>
      <c r="W630" s="20"/>
      <c r="X630" s="20"/>
      <c r="Y630" s="20"/>
      <c r="Z630" s="20"/>
      <c r="AA630" s="20"/>
    </row>
    <row r="631" spans="1:27" ht="17.25" customHeight="1">
      <c r="A631" s="57"/>
      <c r="B631" s="57"/>
      <c r="C631" s="57"/>
      <c r="D631" s="57"/>
      <c r="E631" s="57"/>
      <c r="F631" s="57"/>
      <c r="G631" s="57"/>
      <c r="H631" s="20"/>
      <c r="I631" s="20"/>
      <c r="J631" s="20"/>
      <c r="K631" s="20"/>
      <c r="L631" s="20"/>
      <c r="M631" s="20"/>
      <c r="N631" s="20"/>
      <c r="O631" s="20"/>
      <c r="P631" s="20"/>
      <c r="Q631" s="20"/>
      <c r="R631" s="20"/>
      <c r="S631" s="20"/>
      <c r="T631" s="20"/>
      <c r="U631" s="20"/>
      <c r="V631" s="20"/>
      <c r="W631" s="20"/>
      <c r="X631" s="20"/>
      <c r="Y631" s="20"/>
      <c r="Z631" s="20"/>
      <c r="AA631" s="20"/>
    </row>
    <row r="632" spans="1:27" ht="17.25" customHeight="1">
      <c r="A632" s="57"/>
      <c r="B632" s="57"/>
      <c r="C632" s="57"/>
      <c r="D632" s="57"/>
      <c r="E632" s="57"/>
      <c r="F632" s="57"/>
      <c r="G632" s="57"/>
      <c r="H632" s="20"/>
      <c r="I632" s="20"/>
      <c r="J632" s="20"/>
      <c r="K632" s="20"/>
      <c r="L632" s="20"/>
      <c r="M632" s="20"/>
      <c r="N632" s="20"/>
      <c r="O632" s="20"/>
      <c r="P632" s="20"/>
      <c r="Q632" s="20"/>
      <c r="R632" s="20"/>
      <c r="S632" s="20"/>
      <c r="T632" s="20"/>
      <c r="U632" s="20"/>
      <c r="V632" s="20"/>
      <c r="W632" s="20"/>
      <c r="X632" s="20"/>
      <c r="Y632" s="20"/>
      <c r="Z632" s="20"/>
      <c r="AA632" s="20"/>
    </row>
    <row r="633" spans="1:27" ht="17.25" customHeight="1">
      <c r="A633" s="57"/>
      <c r="B633" s="57"/>
      <c r="C633" s="57"/>
      <c r="D633" s="57"/>
      <c r="E633" s="57"/>
      <c r="F633" s="57"/>
      <c r="G633" s="57"/>
      <c r="H633" s="20"/>
      <c r="I633" s="20"/>
      <c r="J633" s="20"/>
      <c r="K633" s="20"/>
      <c r="L633" s="20"/>
      <c r="M633" s="20"/>
      <c r="N633" s="20"/>
      <c r="O633" s="20"/>
      <c r="P633" s="20"/>
      <c r="Q633" s="20"/>
      <c r="R633" s="20"/>
      <c r="S633" s="20"/>
      <c r="T633" s="20"/>
      <c r="U633" s="20"/>
      <c r="V633" s="20"/>
      <c r="W633" s="20"/>
      <c r="X633" s="20"/>
      <c r="Y633" s="20"/>
      <c r="Z633" s="20"/>
      <c r="AA633" s="20"/>
    </row>
    <row r="634" spans="1:27" ht="17.25" customHeight="1">
      <c r="A634" s="57"/>
      <c r="B634" s="57"/>
      <c r="C634" s="57"/>
      <c r="D634" s="57"/>
      <c r="E634" s="57"/>
      <c r="F634" s="57"/>
      <c r="G634" s="57"/>
      <c r="H634" s="20"/>
      <c r="I634" s="20"/>
      <c r="J634" s="20"/>
      <c r="K634" s="20"/>
      <c r="L634" s="20"/>
      <c r="M634" s="20"/>
      <c r="N634" s="20"/>
      <c r="O634" s="20"/>
      <c r="P634" s="20"/>
      <c r="Q634" s="20"/>
      <c r="R634" s="20"/>
      <c r="S634" s="20"/>
      <c r="T634" s="20"/>
      <c r="U634" s="20"/>
      <c r="V634" s="20"/>
      <c r="W634" s="20"/>
      <c r="X634" s="20"/>
      <c r="Y634" s="20"/>
      <c r="Z634" s="20"/>
      <c r="AA634" s="20"/>
    </row>
    <row r="635" spans="1:27" ht="17.25" customHeight="1">
      <c r="A635" s="57"/>
      <c r="B635" s="57"/>
      <c r="C635" s="57"/>
      <c r="D635" s="57"/>
      <c r="E635" s="57"/>
      <c r="F635" s="57"/>
      <c r="G635" s="57"/>
      <c r="H635" s="20"/>
      <c r="I635" s="20"/>
      <c r="J635" s="20"/>
      <c r="K635" s="20"/>
      <c r="L635" s="20"/>
      <c r="M635" s="20"/>
      <c r="N635" s="20"/>
      <c r="O635" s="20"/>
      <c r="P635" s="20"/>
      <c r="Q635" s="20"/>
      <c r="R635" s="20"/>
      <c r="S635" s="20"/>
      <c r="T635" s="20"/>
      <c r="U635" s="20"/>
      <c r="V635" s="20"/>
      <c r="W635" s="20"/>
      <c r="X635" s="20"/>
      <c r="Y635" s="20"/>
      <c r="Z635" s="20"/>
      <c r="AA635" s="20"/>
    </row>
    <row r="636" spans="1:27" ht="17.25" customHeight="1">
      <c r="A636" s="57"/>
      <c r="B636" s="57"/>
      <c r="C636" s="57"/>
      <c r="D636" s="57"/>
      <c r="E636" s="57"/>
      <c r="F636" s="57"/>
      <c r="G636" s="57"/>
      <c r="H636" s="20"/>
      <c r="I636" s="20"/>
      <c r="J636" s="20"/>
      <c r="K636" s="20"/>
      <c r="L636" s="20"/>
      <c r="M636" s="20"/>
      <c r="N636" s="20"/>
      <c r="O636" s="20"/>
      <c r="P636" s="20"/>
      <c r="Q636" s="20"/>
      <c r="R636" s="20"/>
      <c r="S636" s="20"/>
      <c r="T636" s="20"/>
      <c r="U636" s="20"/>
      <c r="V636" s="20"/>
      <c r="W636" s="20"/>
      <c r="X636" s="20"/>
      <c r="Y636" s="20"/>
      <c r="Z636" s="20"/>
      <c r="AA636" s="20"/>
    </row>
    <row r="637" spans="1:27" ht="17.25" customHeight="1">
      <c r="A637" s="57"/>
      <c r="B637" s="57"/>
      <c r="C637" s="57"/>
      <c r="D637" s="57"/>
      <c r="E637" s="57"/>
      <c r="F637" s="57"/>
      <c r="G637" s="57"/>
      <c r="H637" s="20"/>
      <c r="I637" s="20"/>
      <c r="J637" s="20"/>
      <c r="K637" s="20"/>
      <c r="L637" s="20"/>
      <c r="M637" s="20"/>
      <c r="N637" s="20"/>
      <c r="O637" s="20"/>
      <c r="P637" s="20"/>
      <c r="Q637" s="20"/>
      <c r="R637" s="20"/>
      <c r="S637" s="20"/>
      <c r="T637" s="20"/>
      <c r="U637" s="20"/>
      <c r="V637" s="20"/>
      <c r="W637" s="20"/>
      <c r="X637" s="20"/>
      <c r="Y637" s="20"/>
      <c r="Z637" s="20"/>
      <c r="AA637" s="20"/>
    </row>
    <row r="638" spans="1:27" ht="17.25" customHeight="1">
      <c r="A638" s="57"/>
      <c r="B638" s="57"/>
      <c r="C638" s="57"/>
      <c r="D638" s="57"/>
      <c r="E638" s="57"/>
      <c r="F638" s="57"/>
      <c r="G638" s="57"/>
      <c r="H638" s="20"/>
      <c r="I638" s="20"/>
      <c r="J638" s="20"/>
      <c r="K638" s="20"/>
      <c r="L638" s="20"/>
      <c r="M638" s="20"/>
      <c r="N638" s="20"/>
      <c r="O638" s="20"/>
      <c r="P638" s="20"/>
      <c r="Q638" s="20"/>
      <c r="R638" s="20"/>
      <c r="S638" s="20"/>
      <c r="T638" s="20"/>
      <c r="U638" s="20"/>
      <c r="V638" s="20"/>
      <c r="W638" s="20"/>
      <c r="X638" s="20"/>
      <c r="Y638" s="20"/>
      <c r="Z638" s="20"/>
      <c r="AA638" s="20"/>
    </row>
    <row r="639" spans="1:27" ht="17.25" customHeight="1">
      <c r="A639" s="57"/>
      <c r="B639" s="57"/>
      <c r="C639" s="57"/>
      <c r="D639" s="57"/>
      <c r="E639" s="57"/>
      <c r="F639" s="57"/>
      <c r="G639" s="57"/>
      <c r="H639" s="20"/>
      <c r="I639" s="20"/>
      <c r="J639" s="20"/>
      <c r="K639" s="20"/>
      <c r="L639" s="20"/>
      <c r="M639" s="20"/>
      <c r="N639" s="20"/>
      <c r="O639" s="20"/>
      <c r="P639" s="20"/>
      <c r="Q639" s="20"/>
      <c r="R639" s="20"/>
      <c r="S639" s="20"/>
      <c r="T639" s="20"/>
      <c r="U639" s="20"/>
      <c r="V639" s="20"/>
      <c r="W639" s="20"/>
      <c r="X639" s="20"/>
      <c r="Y639" s="20"/>
      <c r="Z639" s="20"/>
      <c r="AA639" s="20"/>
    </row>
    <row r="640" spans="1:27" ht="17.25" customHeight="1">
      <c r="A640" s="57"/>
      <c r="B640" s="57"/>
      <c r="C640" s="57"/>
      <c r="D640" s="57"/>
      <c r="E640" s="57"/>
      <c r="F640" s="57"/>
      <c r="G640" s="57"/>
      <c r="H640" s="20"/>
      <c r="I640" s="20"/>
      <c r="J640" s="20"/>
      <c r="K640" s="20"/>
      <c r="L640" s="20"/>
      <c r="M640" s="20"/>
      <c r="N640" s="20"/>
      <c r="O640" s="20"/>
      <c r="P640" s="20"/>
      <c r="Q640" s="20"/>
      <c r="R640" s="20"/>
      <c r="S640" s="20"/>
      <c r="T640" s="20"/>
      <c r="U640" s="20"/>
      <c r="V640" s="20"/>
      <c r="W640" s="20"/>
      <c r="X640" s="20"/>
      <c r="Y640" s="20"/>
      <c r="Z640" s="20"/>
      <c r="AA640" s="20"/>
    </row>
    <row r="641" spans="1:27" ht="17.25" customHeight="1">
      <c r="A641" s="57"/>
      <c r="B641" s="57"/>
      <c r="C641" s="57"/>
      <c r="D641" s="57"/>
      <c r="E641" s="57"/>
      <c r="F641" s="57"/>
      <c r="G641" s="57"/>
      <c r="H641" s="20"/>
      <c r="I641" s="20"/>
      <c r="J641" s="20"/>
      <c r="K641" s="20"/>
      <c r="L641" s="20"/>
      <c r="M641" s="20"/>
      <c r="N641" s="20"/>
      <c r="O641" s="20"/>
      <c r="P641" s="20"/>
      <c r="Q641" s="20"/>
      <c r="R641" s="20"/>
      <c r="S641" s="20"/>
      <c r="T641" s="20"/>
      <c r="U641" s="20"/>
      <c r="V641" s="20"/>
      <c r="W641" s="20"/>
      <c r="X641" s="20"/>
      <c r="Y641" s="20"/>
      <c r="Z641" s="20"/>
      <c r="AA641" s="20"/>
    </row>
    <row r="642" spans="1:27" ht="17.25" customHeight="1">
      <c r="A642" s="57"/>
      <c r="B642" s="57"/>
      <c r="C642" s="57"/>
      <c r="D642" s="57"/>
      <c r="E642" s="57"/>
      <c r="F642" s="57"/>
      <c r="G642" s="57"/>
      <c r="H642" s="20"/>
      <c r="I642" s="20"/>
      <c r="J642" s="20"/>
      <c r="K642" s="20"/>
      <c r="L642" s="20"/>
      <c r="M642" s="20"/>
      <c r="N642" s="20"/>
      <c r="O642" s="20"/>
      <c r="P642" s="20"/>
      <c r="Q642" s="20"/>
      <c r="R642" s="20"/>
      <c r="S642" s="20"/>
      <c r="T642" s="20"/>
      <c r="U642" s="20"/>
      <c r="V642" s="20"/>
      <c r="W642" s="20"/>
      <c r="X642" s="20"/>
      <c r="Y642" s="20"/>
      <c r="Z642" s="20"/>
      <c r="AA642" s="20"/>
    </row>
    <row r="643" spans="1:27" ht="17.25" customHeight="1">
      <c r="A643" s="57"/>
      <c r="B643" s="57"/>
      <c r="C643" s="57"/>
      <c r="D643" s="57"/>
      <c r="E643" s="57"/>
      <c r="F643" s="57"/>
      <c r="G643" s="57"/>
      <c r="H643" s="20"/>
      <c r="I643" s="20"/>
      <c r="J643" s="20"/>
      <c r="K643" s="20"/>
      <c r="L643" s="20"/>
      <c r="M643" s="20"/>
      <c r="N643" s="20"/>
      <c r="O643" s="20"/>
      <c r="P643" s="20"/>
      <c r="Q643" s="20"/>
      <c r="R643" s="20"/>
      <c r="S643" s="20"/>
      <c r="T643" s="20"/>
      <c r="U643" s="20"/>
      <c r="V643" s="20"/>
      <c r="W643" s="20"/>
      <c r="X643" s="20"/>
      <c r="Y643" s="20"/>
      <c r="Z643" s="20"/>
      <c r="AA643" s="20"/>
    </row>
    <row r="644" spans="1:27" ht="17.25" customHeight="1">
      <c r="A644" s="57"/>
      <c r="B644" s="57"/>
      <c r="C644" s="57"/>
      <c r="D644" s="57"/>
      <c r="E644" s="57"/>
      <c r="F644" s="57"/>
      <c r="G644" s="57"/>
      <c r="H644" s="20"/>
      <c r="I644" s="20"/>
      <c r="J644" s="20"/>
      <c r="K644" s="20"/>
      <c r="L644" s="20"/>
      <c r="M644" s="20"/>
      <c r="N644" s="20"/>
      <c r="O644" s="20"/>
      <c r="P644" s="20"/>
      <c r="Q644" s="20"/>
      <c r="R644" s="20"/>
      <c r="S644" s="20"/>
      <c r="T644" s="20"/>
      <c r="U644" s="20"/>
      <c r="V644" s="20"/>
      <c r="W644" s="20"/>
      <c r="X644" s="20"/>
      <c r="Y644" s="20"/>
      <c r="Z644" s="20"/>
      <c r="AA644" s="20"/>
    </row>
    <row r="645" spans="1:27" ht="17.25" customHeight="1">
      <c r="A645" s="57"/>
      <c r="B645" s="57"/>
      <c r="C645" s="57"/>
      <c r="D645" s="57"/>
      <c r="E645" s="57"/>
      <c r="F645" s="57"/>
      <c r="G645" s="57"/>
      <c r="H645" s="20"/>
      <c r="I645" s="20"/>
      <c r="J645" s="20"/>
      <c r="K645" s="20"/>
      <c r="L645" s="20"/>
      <c r="M645" s="20"/>
      <c r="N645" s="20"/>
      <c r="O645" s="20"/>
      <c r="P645" s="20"/>
      <c r="Q645" s="20"/>
      <c r="R645" s="20"/>
      <c r="S645" s="20"/>
      <c r="T645" s="20"/>
      <c r="U645" s="20"/>
      <c r="V645" s="20"/>
      <c r="W645" s="20"/>
      <c r="X645" s="20"/>
      <c r="Y645" s="20"/>
      <c r="Z645" s="20"/>
      <c r="AA645" s="20"/>
    </row>
    <row r="646" spans="1:27" ht="17.25" customHeight="1">
      <c r="A646" s="57"/>
      <c r="B646" s="57"/>
      <c r="C646" s="57"/>
      <c r="D646" s="57"/>
      <c r="E646" s="57"/>
      <c r="F646" s="57"/>
      <c r="G646" s="57"/>
      <c r="H646" s="20"/>
      <c r="I646" s="20"/>
      <c r="J646" s="20"/>
      <c r="K646" s="20"/>
      <c r="L646" s="20"/>
      <c r="M646" s="20"/>
      <c r="N646" s="20"/>
      <c r="O646" s="20"/>
      <c r="P646" s="20"/>
      <c r="Q646" s="20"/>
      <c r="R646" s="20"/>
      <c r="S646" s="20"/>
      <c r="T646" s="20"/>
      <c r="U646" s="20"/>
      <c r="V646" s="20"/>
      <c r="W646" s="20"/>
      <c r="X646" s="20"/>
      <c r="Y646" s="20"/>
      <c r="Z646" s="20"/>
      <c r="AA646" s="20"/>
    </row>
    <row r="647" spans="1:27" ht="17.25" customHeight="1">
      <c r="A647" s="57"/>
      <c r="B647" s="57"/>
      <c r="C647" s="57"/>
      <c r="D647" s="57"/>
      <c r="E647" s="57"/>
      <c r="F647" s="57"/>
      <c r="G647" s="57"/>
      <c r="H647" s="20"/>
      <c r="I647" s="20"/>
      <c r="J647" s="20"/>
      <c r="K647" s="20"/>
      <c r="L647" s="20"/>
      <c r="M647" s="20"/>
      <c r="N647" s="20"/>
      <c r="O647" s="20"/>
      <c r="P647" s="20"/>
      <c r="Q647" s="20"/>
      <c r="R647" s="20"/>
      <c r="S647" s="20"/>
      <c r="T647" s="20"/>
      <c r="U647" s="20"/>
      <c r="V647" s="20"/>
      <c r="W647" s="20"/>
      <c r="X647" s="20"/>
      <c r="Y647" s="20"/>
      <c r="Z647" s="20"/>
      <c r="AA647" s="20"/>
    </row>
    <row r="648" spans="1:27" ht="17.25" customHeight="1">
      <c r="A648" s="57"/>
      <c r="B648" s="57"/>
      <c r="C648" s="57"/>
      <c r="D648" s="57"/>
      <c r="E648" s="57"/>
      <c r="F648" s="57"/>
      <c r="G648" s="57"/>
      <c r="H648" s="20"/>
      <c r="I648" s="20"/>
      <c r="J648" s="20"/>
      <c r="K648" s="20"/>
      <c r="L648" s="20"/>
      <c r="M648" s="20"/>
      <c r="N648" s="20"/>
      <c r="O648" s="20"/>
      <c r="P648" s="20"/>
      <c r="Q648" s="20"/>
      <c r="R648" s="20"/>
      <c r="S648" s="20"/>
      <c r="T648" s="20"/>
      <c r="U648" s="20"/>
      <c r="V648" s="20"/>
      <c r="W648" s="20"/>
      <c r="X648" s="20"/>
      <c r="Y648" s="20"/>
      <c r="Z648" s="20"/>
      <c r="AA648" s="20"/>
    </row>
    <row r="649" spans="1:27" ht="17.25" customHeight="1">
      <c r="A649" s="57"/>
      <c r="B649" s="57"/>
      <c r="C649" s="57"/>
      <c r="D649" s="57"/>
      <c r="E649" s="57"/>
      <c r="F649" s="57"/>
      <c r="G649" s="57"/>
      <c r="H649" s="20"/>
      <c r="I649" s="20"/>
      <c r="J649" s="20"/>
      <c r="K649" s="20"/>
      <c r="L649" s="20"/>
      <c r="M649" s="20"/>
      <c r="N649" s="20"/>
      <c r="O649" s="20"/>
      <c r="P649" s="20"/>
      <c r="Q649" s="20"/>
      <c r="R649" s="20"/>
      <c r="S649" s="20"/>
      <c r="T649" s="20"/>
      <c r="U649" s="20"/>
      <c r="V649" s="20"/>
      <c r="W649" s="20"/>
      <c r="X649" s="20"/>
      <c r="Y649" s="20"/>
      <c r="Z649" s="20"/>
      <c r="AA649" s="20"/>
    </row>
    <row r="650" spans="1:27" ht="17.25" customHeight="1">
      <c r="A650" s="57"/>
      <c r="B650" s="57"/>
      <c r="C650" s="57"/>
      <c r="D650" s="57"/>
      <c r="E650" s="57"/>
      <c r="F650" s="57"/>
      <c r="G650" s="57"/>
      <c r="H650" s="20"/>
      <c r="I650" s="20"/>
      <c r="J650" s="20"/>
      <c r="K650" s="20"/>
      <c r="L650" s="20"/>
      <c r="M650" s="20"/>
      <c r="N650" s="20"/>
      <c r="O650" s="20"/>
      <c r="P650" s="20"/>
      <c r="Q650" s="20"/>
      <c r="R650" s="20"/>
      <c r="S650" s="20"/>
      <c r="T650" s="20"/>
      <c r="U650" s="20"/>
      <c r="V650" s="20"/>
      <c r="W650" s="20"/>
      <c r="X650" s="20"/>
      <c r="Y650" s="20"/>
      <c r="Z650" s="20"/>
      <c r="AA650" s="20"/>
    </row>
    <row r="651" spans="1:27" ht="17.25" customHeight="1">
      <c r="A651" s="57"/>
      <c r="B651" s="57"/>
      <c r="C651" s="57"/>
      <c r="D651" s="57"/>
      <c r="E651" s="57"/>
      <c r="F651" s="57"/>
      <c r="G651" s="57"/>
      <c r="H651" s="20"/>
      <c r="I651" s="20"/>
      <c r="J651" s="20"/>
      <c r="K651" s="20"/>
      <c r="L651" s="20"/>
      <c r="M651" s="20"/>
      <c r="N651" s="20"/>
      <c r="O651" s="20"/>
      <c r="P651" s="20"/>
      <c r="Q651" s="20"/>
      <c r="R651" s="20"/>
      <c r="S651" s="20"/>
      <c r="T651" s="20"/>
      <c r="U651" s="20"/>
      <c r="V651" s="20"/>
      <c r="W651" s="20"/>
      <c r="X651" s="20"/>
      <c r="Y651" s="20"/>
      <c r="Z651" s="20"/>
      <c r="AA651" s="20"/>
    </row>
    <row r="652" spans="1:27" ht="17.25" customHeight="1">
      <c r="A652" s="57"/>
      <c r="B652" s="57"/>
      <c r="C652" s="57"/>
      <c r="D652" s="57"/>
      <c r="E652" s="57"/>
      <c r="F652" s="57"/>
      <c r="G652" s="57"/>
      <c r="H652" s="20"/>
      <c r="I652" s="20"/>
      <c r="J652" s="20"/>
      <c r="K652" s="20"/>
      <c r="L652" s="20"/>
      <c r="M652" s="20"/>
      <c r="N652" s="20"/>
      <c r="O652" s="20"/>
      <c r="P652" s="20"/>
      <c r="Q652" s="20"/>
      <c r="R652" s="20"/>
      <c r="S652" s="20"/>
      <c r="T652" s="20"/>
      <c r="U652" s="20"/>
      <c r="V652" s="20"/>
      <c r="W652" s="20"/>
      <c r="X652" s="20"/>
      <c r="Y652" s="20"/>
      <c r="Z652" s="20"/>
      <c r="AA652" s="20"/>
    </row>
    <row r="653" spans="1:27" ht="17.25" customHeight="1">
      <c r="A653" s="57"/>
      <c r="B653" s="57"/>
      <c r="C653" s="57"/>
      <c r="D653" s="57"/>
      <c r="E653" s="57"/>
      <c r="F653" s="57"/>
      <c r="G653" s="57"/>
      <c r="H653" s="20"/>
      <c r="I653" s="20"/>
      <c r="J653" s="20"/>
      <c r="K653" s="20"/>
      <c r="L653" s="20"/>
      <c r="M653" s="20"/>
      <c r="N653" s="20"/>
      <c r="O653" s="20"/>
      <c r="P653" s="20"/>
      <c r="Q653" s="20"/>
      <c r="R653" s="20"/>
      <c r="S653" s="20"/>
      <c r="T653" s="20"/>
      <c r="U653" s="20"/>
      <c r="V653" s="20"/>
      <c r="W653" s="20"/>
      <c r="X653" s="20"/>
      <c r="Y653" s="20"/>
      <c r="Z653" s="20"/>
      <c r="AA653" s="20"/>
    </row>
    <row r="654" spans="1:27" ht="17.25" customHeight="1">
      <c r="A654" s="57"/>
      <c r="B654" s="57"/>
      <c r="C654" s="57"/>
      <c r="D654" s="57"/>
      <c r="E654" s="57"/>
      <c r="F654" s="57"/>
      <c r="G654" s="57"/>
      <c r="H654" s="20"/>
      <c r="I654" s="20"/>
      <c r="J654" s="20"/>
      <c r="K654" s="20"/>
      <c r="L654" s="20"/>
      <c r="M654" s="20"/>
      <c r="N654" s="20"/>
      <c r="O654" s="20"/>
      <c r="P654" s="20"/>
      <c r="Q654" s="20"/>
      <c r="R654" s="20"/>
      <c r="S654" s="20"/>
      <c r="T654" s="20"/>
      <c r="U654" s="20"/>
      <c r="V654" s="20"/>
      <c r="W654" s="20"/>
      <c r="X654" s="20"/>
      <c r="Y654" s="20"/>
      <c r="Z654" s="20"/>
      <c r="AA654" s="20"/>
    </row>
    <row r="655" spans="1:27" ht="17.25" customHeight="1">
      <c r="A655" s="57"/>
      <c r="B655" s="57"/>
      <c r="C655" s="57"/>
      <c r="D655" s="57"/>
      <c r="E655" s="57"/>
      <c r="F655" s="57"/>
      <c r="G655" s="57"/>
      <c r="H655" s="20"/>
      <c r="I655" s="20"/>
      <c r="J655" s="20"/>
      <c r="K655" s="20"/>
      <c r="L655" s="20"/>
      <c r="M655" s="20"/>
      <c r="N655" s="20"/>
      <c r="O655" s="20"/>
      <c r="P655" s="20"/>
      <c r="Q655" s="20"/>
      <c r="R655" s="20"/>
      <c r="S655" s="20"/>
      <c r="T655" s="20"/>
      <c r="U655" s="20"/>
      <c r="V655" s="20"/>
      <c r="W655" s="20"/>
      <c r="X655" s="20"/>
      <c r="Y655" s="20"/>
      <c r="Z655" s="20"/>
      <c r="AA655" s="20"/>
    </row>
    <row r="656" spans="1:27" ht="17.25" customHeight="1">
      <c r="A656" s="57"/>
      <c r="B656" s="57"/>
      <c r="C656" s="57"/>
      <c r="D656" s="57"/>
      <c r="E656" s="57"/>
      <c r="F656" s="57"/>
      <c r="G656" s="57"/>
      <c r="H656" s="20"/>
      <c r="I656" s="20"/>
      <c r="J656" s="20"/>
      <c r="K656" s="20"/>
      <c r="L656" s="20"/>
      <c r="M656" s="20"/>
      <c r="N656" s="20"/>
      <c r="O656" s="20"/>
      <c r="P656" s="20"/>
      <c r="Q656" s="20"/>
      <c r="R656" s="20"/>
      <c r="S656" s="20"/>
      <c r="T656" s="20"/>
      <c r="U656" s="20"/>
      <c r="V656" s="20"/>
      <c r="W656" s="20"/>
      <c r="X656" s="20"/>
      <c r="Y656" s="20"/>
      <c r="Z656" s="20"/>
      <c r="AA656" s="20"/>
    </row>
    <row r="657" spans="1:27" ht="17.25" customHeight="1">
      <c r="A657" s="57"/>
      <c r="B657" s="57"/>
      <c r="C657" s="57"/>
      <c r="D657" s="57"/>
      <c r="E657" s="57"/>
      <c r="F657" s="57"/>
      <c r="G657" s="57"/>
      <c r="H657" s="20"/>
      <c r="I657" s="20"/>
      <c r="J657" s="20"/>
      <c r="K657" s="20"/>
      <c r="L657" s="20"/>
      <c r="M657" s="20"/>
      <c r="N657" s="20"/>
      <c r="O657" s="20"/>
      <c r="P657" s="20"/>
      <c r="Q657" s="20"/>
      <c r="R657" s="20"/>
      <c r="S657" s="20"/>
      <c r="T657" s="20"/>
      <c r="U657" s="20"/>
      <c r="V657" s="20"/>
      <c r="W657" s="20"/>
      <c r="X657" s="20"/>
      <c r="Y657" s="20"/>
      <c r="Z657" s="20"/>
      <c r="AA657" s="20"/>
    </row>
    <row r="658" spans="1:27" ht="17.25" customHeight="1">
      <c r="A658" s="57"/>
      <c r="B658" s="57"/>
      <c r="C658" s="57"/>
      <c r="D658" s="57"/>
      <c r="E658" s="57"/>
      <c r="F658" s="57"/>
      <c r="G658" s="57"/>
      <c r="H658" s="20"/>
      <c r="I658" s="20"/>
      <c r="J658" s="20"/>
      <c r="K658" s="20"/>
      <c r="L658" s="20"/>
      <c r="M658" s="20"/>
      <c r="N658" s="20"/>
      <c r="O658" s="20"/>
      <c r="P658" s="20"/>
      <c r="Q658" s="20"/>
      <c r="R658" s="20"/>
      <c r="S658" s="20"/>
      <c r="T658" s="20"/>
      <c r="U658" s="20"/>
      <c r="V658" s="20"/>
      <c r="W658" s="20"/>
      <c r="X658" s="20"/>
      <c r="Y658" s="20"/>
      <c r="Z658" s="20"/>
      <c r="AA658" s="20"/>
    </row>
    <row r="659" spans="1:27" ht="17.25" customHeight="1">
      <c r="A659" s="57"/>
      <c r="B659" s="57"/>
      <c r="C659" s="57"/>
      <c r="D659" s="57"/>
      <c r="E659" s="57"/>
      <c r="F659" s="57"/>
      <c r="G659" s="57"/>
      <c r="H659" s="20"/>
      <c r="I659" s="20"/>
      <c r="J659" s="20"/>
      <c r="K659" s="20"/>
      <c r="L659" s="20"/>
      <c r="M659" s="20"/>
      <c r="N659" s="20"/>
      <c r="O659" s="20"/>
      <c r="P659" s="20"/>
      <c r="Q659" s="20"/>
      <c r="R659" s="20"/>
      <c r="S659" s="20"/>
      <c r="T659" s="20"/>
      <c r="U659" s="20"/>
      <c r="V659" s="20"/>
      <c r="W659" s="20"/>
      <c r="X659" s="20"/>
      <c r="Y659" s="20"/>
      <c r="Z659" s="20"/>
      <c r="AA659" s="20"/>
    </row>
    <row r="660" spans="1:27" ht="17.25" customHeight="1">
      <c r="A660" s="57"/>
      <c r="B660" s="57"/>
      <c r="C660" s="57"/>
      <c r="D660" s="57"/>
      <c r="E660" s="57"/>
      <c r="F660" s="57"/>
      <c r="G660" s="57"/>
      <c r="H660" s="20"/>
      <c r="I660" s="20"/>
      <c r="J660" s="20"/>
      <c r="K660" s="20"/>
      <c r="L660" s="20"/>
      <c r="M660" s="20"/>
      <c r="N660" s="20"/>
      <c r="O660" s="20"/>
      <c r="P660" s="20"/>
      <c r="Q660" s="20"/>
      <c r="R660" s="20"/>
      <c r="S660" s="20"/>
      <c r="T660" s="20"/>
      <c r="U660" s="20"/>
      <c r="V660" s="20"/>
      <c r="W660" s="20"/>
      <c r="X660" s="20"/>
      <c r="Y660" s="20"/>
      <c r="Z660" s="20"/>
      <c r="AA660" s="20"/>
    </row>
    <row r="661" spans="1:27" ht="17.25" customHeight="1">
      <c r="A661" s="57"/>
      <c r="B661" s="57"/>
      <c r="C661" s="57"/>
      <c r="D661" s="57"/>
      <c r="E661" s="57"/>
      <c r="F661" s="57"/>
      <c r="G661" s="57"/>
      <c r="H661" s="20"/>
      <c r="I661" s="20"/>
      <c r="J661" s="20"/>
      <c r="K661" s="20"/>
      <c r="L661" s="20"/>
      <c r="M661" s="20"/>
      <c r="N661" s="20"/>
      <c r="O661" s="20"/>
      <c r="P661" s="20"/>
      <c r="Q661" s="20"/>
      <c r="R661" s="20"/>
      <c r="S661" s="20"/>
      <c r="T661" s="20"/>
      <c r="U661" s="20"/>
      <c r="V661" s="20"/>
      <c r="W661" s="20"/>
      <c r="X661" s="20"/>
      <c r="Y661" s="20"/>
      <c r="Z661" s="20"/>
      <c r="AA661" s="20"/>
    </row>
    <row r="662" spans="1:27" ht="17.25" customHeight="1">
      <c r="A662" s="57"/>
      <c r="B662" s="57"/>
      <c r="C662" s="57"/>
      <c r="D662" s="57"/>
      <c r="E662" s="57"/>
      <c r="F662" s="57"/>
      <c r="G662" s="57"/>
      <c r="H662" s="20"/>
      <c r="I662" s="20"/>
      <c r="J662" s="20"/>
      <c r="K662" s="20"/>
      <c r="L662" s="20"/>
      <c r="M662" s="20"/>
      <c r="N662" s="20"/>
      <c r="O662" s="20"/>
      <c r="P662" s="20"/>
      <c r="Q662" s="20"/>
      <c r="R662" s="20"/>
      <c r="S662" s="20"/>
      <c r="T662" s="20"/>
      <c r="U662" s="20"/>
      <c r="V662" s="20"/>
      <c r="W662" s="20"/>
      <c r="X662" s="20"/>
      <c r="Y662" s="20"/>
      <c r="Z662" s="20"/>
      <c r="AA662" s="20"/>
    </row>
    <row r="663" spans="1:27" ht="17.25" customHeight="1">
      <c r="A663" s="57"/>
      <c r="B663" s="57"/>
      <c r="C663" s="57"/>
      <c r="D663" s="57"/>
      <c r="E663" s="57"/>
      <c r="F663" s="57"/>
      <c r="G663" s="57"/>
      <c r="H663" s="20"/>
      <c r="I663" s="20"/>
      <c r="J663" s="20"/>
      <c r="K663" s="20"/>
      <c r="L663" s="20"/>
      <c r="M663" s="20"/>
      <c r="N663" s="20"/>
      <c r="O663" s="20"/>
      <c r="P663" s="20"/>
      <c r="Q663" s="20"/>
      <c r="R663" s="20"/>
      <c r="S663" s="20"/>
      <c r="T663" s="20"/>
      <c r="U663" s="20"/>
      <c r="V663" s="20"/>
      <c r="W663" s="20"/>
      <c r="X663" s="20"/>
      <c r="Y663" s="20"/>
      <c r="Z663" s="20"/>
      <c r="AA663" s="20"/>
    </row>
    <row r="664" spans="1:27" ht="17.25" customHeight="1">
      <c r="A664" s="57"/>
      <c r="B664" s="57"/>
      <c r="C664" s="57"/>
      <c r="D664" s="57"/>
      <c r="E664" s="57"/>
      <c r="F664" s="57"/>
      <c r="G664" s="57"/>
      <c r="H664" s="20"/>
      <c r="I664" s="20"/>
      <c r="J664" s="20"/>
      <c r="K664" s="20"/>
      <c r="L664" s="20"/>
      <c r="M664" s="20"/>
      <c r="N664" s="20"/>
      <c r="O664" s="20"/>
      <c r="P664" s="20"/>
      <c r="Q664" s="20"/>
      <c r="R664" s="20"/>
      <c r="S664" s="20"/>
      <c r="T664" s="20"/>
      <c r="U664" s="20"/>
      <c r="V664" s="20"/>
      <c r="W664" s="20"/>
      <c r="X664" s="20"/>
      <c r="Y664" s="20"/>
      <c r="Z664" s="20"/>
      <c r="AA664" s="20"/>
    </row>
    <row r="665" spans="1:27" ht="17.25" customHeight="1">
      <c r="A665" s="57"/>
      <c r="B665" s="57"/>
      <c r="C665" s="57"/>
      <c r="D665" s="57"/>
      <c r="E665" s="57"/>
      <c r="F665" s="57"/>
      <c r="G665" s="57"/>
      <c r="H665" s="20"/>
      <c r="I665" s="20"/>
      <c r="J665" s="20"/>
      <c r="K665" s="20"/>
      <c r="L665" s="20"/>
      <c r="M665" s="20"/>
      <c r="N665" s="20"/>
      <c r="O665" s="20"/>
      <c r="P665" s="20"/>
      <c r="Q665" s="20"/>
      <c r="R665" s="20"/>
      <c r="S665" s="20"/>
      <c r="T665" s="20"/>
      <c r="U665" s="20"/>
      <c r="V665" s="20"/>
      <c r="W665" s="20"/>
      <c r="X665" s="20"/>
      <c r="Y665" s="20"/>
      <c r="Z665" s="20"/>
      <c r="AA665" s="20"/>
    </row>
    <row r="666" spans="1:27" ht="17.25" customHeight="1">
      <c r="A666" s="57"/>
      <c r="B666" s="57"/>
      <c r="C666" s="57"/>
      <c r="D666" s="57"/>
      <c r="E666" s="57"/>
      <c r="F666" s="57"/>
      <c r="G666" s="57"/>
      <c r="H666" s="20"/>
      <c r="I666" s="20"/>
      <c r="J666" s="20"/>
      <c r="K666" s="20"/>
      <c r="L666" s="20"/>
      <c r="M666" s="20"/>
      <c r="N666" s="20"/>
      <c r="O666" s="20"/>
      <c r="P666" s="20"/>
      <c r="Q666" s="20"/>
      <c r="R666" s="20"/>
      <c r="S666" s="20"/>
      <c r="T666" s="20"/>
      <c r="U666" s="20"/>
      <c r="V666" s="20"/>
      <c r="W666" s="20"/>
      <c r="X666" s="20"/>
      <c r="Y666" s="20"/>
      <c r="Z666" s="20"/>
      <c r="AA666" s="20"/>
    </row>
    <row r="667" spans="1:27" ht="17.25" customHeight="1">
      <c r="A667" s="57"/>
      <c r="B667" s="57"/>
      <c r="C667" s="57"/>
      <c r="D667" s="57"/>
      <c r="E667" s="57"/>
      <c r="F667" s="57"/>
      <c r="G667" s="57"/>
      <c r="H667" s="20"/>
      <c r="I667" s="20"/>
      <c r="J667" s="20"/>
      <c r="K667" s="20"/>
      <c r="L667" s="20"/>
      <c r="M667" s="20"/>
      <c r="N667" s="20"/>
      <c r="O667" s="20"/>
      <c r="P667" s="20"/>
      <c r="Q667" s="20"/>
      <c r="R667" s="20"/>
      <c r="S667" s="20"/>
      <c r="T667" s="20"/>
      <c r="U667" s="20"/>
      <c r="V667" s="20"/>
      <c r="W667" s="20"/>
      <c r="X667" s="20"/>
      <c r="Y667" s="20"/>
      <c r="Z667" s="20"/>
      <c r="AA667" s="20"/>
    </row>
    <row r="668" spans="1:27" ht="17.25" customHeight="1">
      <c r="A668" s="57"/>
      <c r="B668" s="57"/>
      <c r="C668" s="57"/>
      <c r="D668" s="57"/>
      <c r="E668" s="57"/>
      <c r="F668" s="57"/>
      <c r="G668" s="57"/>
      <c r="H668" s="20"/>
      <c r="I668" s="20"/>
      <c r="J668" s="20"/>
      <c r="K668" s="20"/>
      <c r="L668" s="20"/>
      <c r="M668" s="20"/>
      <c r="N668" s="20"/>
      <c r="O668" s="20"/>
      <c r="P668" s="20"/>
      <c r="Q668" s="20"/>
      <c r="R668" s="20"/>
      <c r="S668" s="20"/>
      <c r="T668" s="20"/>
      <c r="U668" s="20"/>
      <c r="V668" s="20"/>
      <c r="W668" s="20"/>
      <c r="X668" s="20"/>
      <c r="Y668" s="20"/>
      <c r="Z668" s="20"/>
      <c r="AA668" s="20"/>
    </row>
    <row r="669" spans="1:27" ht="17.25" customHeight="1">
      <c r="A669" s="57"/>
      <c r="B669" s="57"/>
      <c r="C669" s="57"/>
      <c r="D669" s="57"/>
      <c r="E669" s="57"/>
      <c r="F669" s="57"/>
      <c r="G669" s="57"/>
      <c r="H669" s="20"/>
      <c r="I669" s="20"/>
      <c r="J669" s="20"/>
      <c r="K669" s="20"/>
      <c r="L669" s="20"/>
      <c r="M669" s="20"/>
      <c r="N669" s="20"/>
      <c r="O669" s="20"/>
      <c r="P669" s="20"/>
      <c r="Q669" s="20"/>
      <c r="R669" s="20"/>
      <c r="S669" s="20"/>
      <c r="T669" s="20"/>
      <c r="U669" s="20"/>
      <c r="V669" s="20"/>
      <c r="W669" s="20"/>
      <c r="X669" s="20"/>
      <c r="Y669" s="20"/>
      <c r="Z669" s="20"/>
      <c r="AA669" s="20"/>
    </row>
    <row r="670" spans="1:27" ht="17.25" customHeight="1">
      <c r="A670" s="57"/>
      <c r="B670" s="57"/>
      <c r="C670" s="57"/>
      <c r="D670" s="57"/>
      <c r="E670" s="57"/>
      <c r="F670" s="57"/>
      <c r="G670" s="57"/>
      <c r="H670" s="20"/>
      <c r="I670" s="20"/>
      <c r="J670" s="20"/>
      <c r="K670" s="20"/>
      <c r="L670" s="20"/>
      <c r="M670" s="20"/>
      <c r="N670" s="20"/>
      <c r="O670" s="20"/>
      <c r="P670" s="20"/>
      <c r="Q670" s="20"/>
      <c r="R670" s="20"/>
      <c r="S670" s="20"/>
      <c r="T670" s="20"/>
      <c r="U670" s="20"/>
      <c r="V670" s="20"/>
      <c r="W670" s="20"/>
      <c r="X670" s="20"/>
      <c r="Y670" s="20"/>
      <c r="Z670" s="20"/>
      <c r="AA670" s="20"/>
    </row>
    <row r="671" spans="1:27" ht="17.25" customHeight="1">
      <c r="A671" s="57"/>
      <c r="B671" s="57"/>
      <c r="C671" s="57"/>
      <c r="D671" s="57"/>
      <c r="E671" s="57"/>
      <c r="F671" s="57"/>
      <c r="G671" s="57"/>
      <c r="H671" s="20"/>
      <c r="I671" s="20"/>
      <c r="J671" s="20"/>
      <c r="K671" s="20"/>
      <c r="L671" s="20"/>
      <c r="M671" s="20"/>
      <c r="N671" s="20"/>
      <c r="O671" s="20"/>
      <c r="P671" s="20"/>
      <c r="Q671" s="20"/>
      <c r="R671" s="20"/>
      <c r="S671" s="20"/>
      <c r="T671" s="20"/>
      <c r="U671" s="20"/>
      <c r="V671" s="20"/>
      <c r="W671" s="20"/>
      <c r="X671" s="20"/>
      <c r="Y671" s="20"/>
      <c r="Z671" s="20"/>
      <c r="AA671" s="20"/>
    </row>
    <row r="672" spans="1:27" ht="17.25" customHeight="1">
      <c r="A672" s="57"/>
      <c r="B672" s="57"/>
      <c r="C672" s="57"/>
      <c r="D672" s="57"/>
      <c r="E672" s="57"/>
      <c r="F672" s="57"/>
      <c r="G672" s="57"/>
      <c r="H672" s="20"/>
      <c r="I672" s="20"/>
      <c r="J672" s="20"/>
      <c r="K672" s="20"/>
      <c r="L672" s="20"/>
      <c r="M672" s="20"/>
      <c r="N672" s="20"/>
      <c r="O672" s="20"/>
      <c r="P672" s="20"/>
      <c r="Q672" s="20"/>
      <c r="R672" s="20"/>
      <c r="S672" s="20"/>
      <c r="T672" s="20"/>
      <c r="U672" s="20"/>
      <c r="V672" s="20"/>
      <c r="W672" s="20"/>
      <c r="X672" s="20"/>
      <c r="Y672" s="20"/>
      <c r="Z672" s="20"/>
      <c r="AA672" s="20"/>
    </row>
    <row r="673" spans="1:27" ht="17.25" customHeight="1">
      <c r="A673" s="57"/>
      <c r="B673" s="57"/>
      <c r="C673" s="57"/>
      <c r="D673" s="57"/>
      <c r="E673" s="57"/>
      <c r="F673" s="57"/>
      <c r="G673" s="57"/>
      <c r="H673" s="20"/>
      <c r="I673" s="20"/>
      <c r="J673" s="20"/>
      <c r="K673" s="20"/>
      <c r="L673" s="20"/>
      <c r="M673" s="20"/>
      <c r="N673" s="20"/>
      <c r="O673" s="20"/>
      <c r="P673" s="20"/>
      <c r="Q673" s="20"/>
      <c r="R673" s="20"/>
      <c r="S673" s="20"/>
      <c r="T673" s="20"/>
      <c r="U673" s="20"/>
      <c r="V673" s="20"/>
      <c r="W673" s="20"/>
      <c r="X673" s="20"/>
      <c r="Y673" s="20"/>
      <c r="Z673" s="20"/>
      <c r="AA673" s="20"/>
    </row>
    <row r="674" spans="1:27" ht="17.25" customHeight="1">
      <c r="A674" s="57"/>
      <c r="B674" s="57"/>
      <c r="C674" s="57"/>
      <c r="D674" s="57"/>
      <c r="E674" s="57"/>
      <c r="F674" s="57"/>
      <c r="G674" s="57"/>
      <c r="H674" s="20"/>
      <c r="I674" s="20"/>
      <c r="J674" s="20"/>
      <c r="K674" s="20"/>
      <c r="L674" s="20"/>
      <c r="M674" s="20"/>
      <c r="N674" s="20"/>
      <c r="O674" s="20"/>
      <c r="P674" s="20"/>
      <c r="Q674" s="20"/>
      <c r="R674" s="20"/>
      <c r="S674" s="20"/>
      <c r="T674" s="20"/>
      <c r="U674" s="20"/>
      <c r="V674" s="20"/>
      <c r="W674" s="20"/>
      <c r="X674" s="20"/>
      <c r="Y674" s="20"/>
      <c r="Z674" s="20"/>
      <c r="AA674" s="20"/>
    </row>
    <row r="675" spans="1:27" ht="17.25" customHeight="1">
      <c r="A675" s="57"/>
      <c r="B675" s="57"/>
      <c r="C675" s="57"/>
      <c r="D675" s="57"/>
      <c r="E675" s="57"/>
      <c r="F675" s="57"/>
      <c r="G675" s="57"/>
      <c r="H675" s="20"/>
      <c r="I675" s="20"/>
      <c r="J675" s="20"/>
      <c r="K675" s="20"/>
      <c r="L675" s="20"/>
      <c r="M675" s="20"/>
      <c r="N675" s="20"/>
      <c r="O675" s="20"/>
      <c r="P675" s="20"/>
      <c r="Q675" s="20"/>
      <c r="R675" s="20"/>
      <c r="S675" s="20"/>
      <c r="T675" s="20"/>
      <c r="U675" s="20"/>
      <c r="V675" s="20"/>
      <c r="W675" s="20"/>
      <c r="X675" s="20"/>
      <c r="Y675" s="20"/>
      <c r="Z675" s="20"/>
      <c r="AA675" s="20"/>
    </row>
    <row r="676" spans="1:27" ht="17.25" customHeight="1">
      <c r="A676" s="57"/>
      <c r="B676" s="57"/>
      <c r="C676" s="57"/>
      <c r="D676" s="57"/>
      <c r="E676" s="57"/>
      <c r="F676" s="57"/>
      <c r="G676" s="57"/>
      <c r="H676" s="20"/>
      <c r="I676" s="20"/>
      <c r="J676" s="20"/>
      <c r="K676" s="20"/>
      <c r="L676" s="20"/>
      <c r="M676" s="20"/>
      <c r="N676" s="20"/>
      <c r="O676" s="20"/>
      <c r="P676" s="20"/>
      <c r="Q676" s="20"/>
      <c r="R676" s="20"/>
      <c r="S676" s="20"/>
      <c r="T676" s="20"/>
      <c r="U676" s="20"/>
      <c r="V676" s="20"/>
      <c r="W676" s="20"/>
      <c r="X676" s="20"/>
      <c r="Y676" s="20"/>
      <c r="Z676" s="20"/>
      <c r="AA676" s="20"/>
    </row>
    <row r="677" spans="1:27" ht="17.25" customHeight="1">
      <c r="A677" s="57"/>
      <c r="B677" s="57"/>
      <c r="C677" s="57"/>
      <c r="D677" s="57"/>
      <c r="E677" s="57"/>
      <c r="F677" s="57"/>
      <c r="G677" s="57"/>
      <c r="H677" s="20"/>
      <c r="I677" s="20"/>
      <c r="J677" s="20"/>
      <c r="K677" s="20"/>
      <c r="L677" s="20"/>
      <c r="M677" s="20"/>
      <c r="N677" s="20"/>
      <c r="O677" s="20"/>
      <c r="P677" s="20"/>
      <c r="Q677" s="20"/>
      <c r="R677" s="20"/>
      <c r="S677" s="20"/>
      <c r="T677" s="20"/>
      <c r="U677" s="20"/>
      <c r="V677" s="20"/>
      <c r="W677" s="20"/>
      <c r="X677" s="20"/>
      <c r="Y677" s="20"/>
      <c r="Z677" s="20"/>
      <c r="AA677" s="20"/>
    </row>
    <row r="678" spans="1:27" ht="17.25" customHeight="1">
      <c r="A678" s="57"/>
      <c r="B678" s="57"/>
      <c r="C678" s="57"/>
      <c r="D678" s="57"/>
      <c r="E678" s="57"/>
      <c r="F678" s="57"/>
      <c r="G678" s="57"/>
      <c r="H678" s="20"/>
      <c r="I678" s="20"/>
      <c r="J678" s="20"/>
      <c r="K678" s="20"/>
      <c r="L678" s="20"/>
      <c r="M678" s="20"/>
      <c r="N678" s="20"/>
      <c r="O678" s="20"/>
      <c r="P678" s="20"/>
      <c r="Q678" s="20"/>
      <c r="R678" s="20"/>
      <c r="S678" s="20"/>
      <c r="T678" s="20"/>
      <c r="U678" s="20"/>
      <c r="V678" s="20"/>
      <c r="W678" s="20"/>
      <c r="X678" s="20"/>
      <c r="Y678" s="20"/>
      <c r="Z678" s="20"/>
      <c r="AA678" s="20"/>
    </row>
    <row r="679" spans="1:27" ht="17.25" customHeight="1">
      <c r="A679" s="57"/>
      <c r="B679" s="57"/>
      <c r="C679" s="57"/>
      <c r="D679" s="57"/>
      <c r="E679" s="57"/>
      <c r="F679" s="57"/>
      <c r="G679" s="57"/>
      <c r="H679" s="20"/>
      <c r="I679" s="20"/>
      <c r="J679" s="20"/>
      <c r="K679" s="20"/>
      <c r="L679" s="20"/>
      <c r="M679" s="20"/>
      <c r="N679" s="20"/>
      <c r="O679" s="20"/>
      <c r="P679" s="20"/>
      <c r="Q679" s="20"/>
      <c r="R679" s="20"/>
      <c r="S679" s="20"/>
      <c r="T679" s="20"/>
      <c r="U679" s="20"/>
      <c r="V679" s="20"/>
      <c r="W679" s="20"/>
      <c r="X679" s="20"/>
      <c r="Y679" s="20"/>
      <c r="Z679" s="20"/>
      <c r="AA679" s="20"/>
    </row>
    <row r="680" spans="1:27" ht="17.25" customHeight="1">
      <c r="A680" s="57"/>
      <c r="B680" s="57"/>
      <c r="C680" s="57"/>
      <c r="D680" s="57"/>
      <c r="E680" s="57"/>
      <c r="F680" s="57"/>
      <c r="G680" s="57"/>
      <c r="H680" s="20"/>
      <c r="I680" s="20"/>
      <c r="J680" s="20"/>
      <c r="K680" s="20"/>
      <c r="L680" s="20"/>
      <c r="M680" s="20"/>
      <c r="N680" s="20"/>
      <c r="O680" s="20"/>
      <c r="P680" s="20"/>
      <c r="Q680" s="20"/>
      <c r="R680" s="20"/>
      <c r="S680" s="20"/>
      <c r="T680" s="20"/>
      <c r="U680" s="20"/>
      <c r="V680" s="20"/>
      <c r="W680" s="20"/>
      <c r="X680" s="20"/>
      <c r="Y680" s="20"/>
      <c r="Z680" s="20"/>
      <c r="AA680" s="20"/>
    </row>
    <row r="681" spans="1:27" ht="17.25" customHeight="1">
      <c r="A681" s="57"/>
      <c r="B681" s="57"/>
      <c r="C681" s="57"/>
      <c r="D681" s="57"/>
      <c r="E681" s="57"/>
      <c r="F681" s="57"/>
      <c r="G681" s="57"/>
      <c r="H681" s="20"/>
      <c r="I681" s="20"/>
      <c r="J681" s="20"/>
      <c r="K681" s="20"/>
      <c r="L681" s="20"/>
      <c r="M681" s="20"/>
      <c r="N681" s="20"/>
      <c r="O681" s="20"/>
      <c r="P681" s="20"/>
      <c r="Q681" s="20"/>
      <c r="R681" s="20"/>
      <c r="S681" s="20"/>
      <c r="T681" s="20"/>
      <c r="U681" s="20"/>
      <c r="V681" s="20"/>
      <c r="W681" s="20"/>
      <c r="X681" s="20"/>
      <c r="Y681" s="20"/>
      <c r="Z681" s="20"/>
      <c r="AA681" s="20"/>
    </row>
    <row r="682" spans="1:27" ht="17.25" customHeight="1">
      <c r="A682" s="57"/>
      <c r="B682" s="57"/>
      <c r="C682" s="57"/>
      <c r="D682" s="57"/>
      <c r="E682" s="57"/>
      <c r="F682" s="57"/>
      <c r="G682" s="57"/>
      <c r="H682" s="20"/>
      <c r="I682" s="20"/>
      <c r="J682" s="20"/>
      <c r="K682" s="20"/>
      <c r="L682" s="20"/>
      <c r="M682" s="20"/>
      <c r="N682" s="20"/>
      <c r="O682" s="20"/>
      <c r="P682" s="20"/>
      <c r="Q682" s="20"/>
      <c r="R682" s="20"/>
      <c r="S682" s="20"/>
      <c r="T682" s="20"/>
      <c r="U682" s="20"/>
      <c r="V682" s="20"/>
      <c r="W682" s="20"/>
      <c r="X682" s="20"/>
      <c r="Y682" s="20"/>
      <c r="Z682" s="20"/>
      <c r="AA682" s="20"/>
    </row>
    <row r="683" spans="1:27" ht="17.25" customHeight="1">
      <c r="A683" s="57"/>
      <c r="B683" s="57"/>
      <c r="C683" s="57"/>
      <c r="D683" s="57"/>
      <c r="E683" s="57"/>
      <c r="F683" s="57"/>
      <c r="G683" s="57"/>
      <c r="H683" s="20"/>
      <c r="I683" s="20"/>
      <c r="J683" s="20"/>
      <c r="K683" s="20"/>
      <c r="L683" s="20"/>
      <c r="M683" s="20"/>
      <c r="N683" s="20"/>
      <c r="O683" s="20"/>
      <c r="P683" s="20"/>
      <c r="Q683" s="20"/>
      <c r="R683" s="20"/>
      <c r="S683" s="20"/>
      <c r="T683" s="20"/>
      <c r="U683" s="20"/>
      <c r="V683" s="20"/>
      <c r="W683" s="20"/>
      <c r="X683" s="20"/>
      <c r="Y683" s="20"/>
      <c r="Z683" s="20"/>
      <c r="AA683" s="20"/>
    </row>
    <row r="684" spans="1:27" ht="17.25" customHeight="1">
      <c r="A684" s="57"/>
      <c r="B684" s="57"/>
      <c r="C684" s="57"/>
      <c r="D684" s="57"/>
      <c r="E684" s="57"/>
      <c r="F684" s="57"/>
      <c r="G684" s="57"/>
      <c r="H684" s="20"/>
      <c r="I684" s="20"/>
      <c r="J684" s="20"/>
      <c r="K684" s="20"/>
      <c r="L684" s="20"/>
      <c r="M684" s="20"/>
      <c r="N684" s="20"/>
      <c r="O684" s="20"/>
      <c r="P684" s="20"/>
      <c r="Q684" s="20"/>
      <c r="R684" s="20"/>
      <c r="S684" s="20"/>
      <c r="T684" s="20"/>
      <c r="U684" s="20"/>
      <c r="V684" s="20"/>
      <c r="W684" s="20"/>
      <c r="X684" s="20"/>
      <c r="Y684" s="20"/>
      <c r="Z684" s="20"/>
      <c r="AA684" s="20"/>
    </row>
    <row r="685" spans="1:27" ht="17.25" customHeight="1">
      <c r="A685" s="57"/>
      <c r="B685" s="57"/>
      <c r="C685" s="57"/>
      <c r="D685" s="57"/>
      <c r="E685" s="57"/>
      <c r="F685" s="57"/>
      <c r="G685" s="57"/>
      <c r="H685" s="20"/>
      <c r="I685" s="20"/>
      <c r="J685" s="20"/>
      <c r="K685" s="20"/>
      <c r="L685" s="20"/>
      <c r="M685" s="20"/>
      <c r="N685" s="20"/>
      <c r="O685" s="20"/>
      <c r="P685" s="20"/>
      <c r="Q685" s="20"/>
      <c r="R685" s="20"/>
      <c r="S685" s="20"/>
      <c r="T685" s="20"/>
      <c r="U685" s="20"/>
      <c r="V685" s="20"/>
      <c r="W685" s="20"/>
      <c r="X685" s="20"/>
      <c r="Y685" s="20"/>
      <c r="Z685" s="20"/>
      <c r="AA685" s="20"/>
    </row>
    <row r="686" spans="1:27" ht="17.25" customHeight="1">
      <c r="A686" s="57"/>
      <c r="B686" s="57"/>
      <c r="C686" s="57"/>
      <c r="D686" s="57"/>
      <c r="E686" s="57"/>
      <c r="F686" s="57"/>
      <c r="G686" s="57"/>
      <c r="H686" s="20"/>
      <c r="I686" s="20"/>
      <c r="J686" s="20"/>
      <c r="K686" s="20"/>
      <c r="L686" s="20"/>
      <c r="M686" s="20"/>
      <c r="N686" s="20"/>
      <c r="O686" s="20"/>
      <c r="P686" s="20"/>
      <c r="Q686" s="20"/>
      <c r="R686" s="20"/>
      <c r="S686" s="20"/>
      <c r="T686" s="20"/>
      <c r="U686" s="20"/>
      <c r="V686" s="20"/>
      <c r="W686" s="20"/>
      <c r="X686" s="20"/>
      <c r="Y686" s="20"/>
      <c r="Z686" s="20"/>
      <c r="AA686" s="20"/>
    </row>
    <row r="687" spans="1:27" ht="17.25" customHeight="1">
      <c r="A687" s="57"/>
      <c r="B687" s="57"/>
      <c r="C687" s="57"/>
      <c r="D687" s="57"/>
      <c r="E687" s="57"/>
      <c r="F687" s="57"/>
      <c r="G687" s="57"/>
      <c r="H687" s="20"/>
      <c r="I687" s="20"/>
      <c r="J687" s="20"/>
      <c r="K687" s="20"/>
      <c r="L687" s="20"/>
      <c r="M687" s="20"/>
      <c r="N687" s="20"/>
      <c r="O687" s="20"/>
      <c r="P687" s="20"/>
      <c r="Q687" s="20"/>
      <c r="R687" s="20"/>
      <c r="S687" s="20"/>
      <c r="T687" s="20"/>
      <c r="U687" s="20"/>
      <c r="V687" s="20"/>
      <c r="W687" s="20"/>
      <c r="X687" s="20"/>
      <c r="Y687" s="20"/>
      <c r="Z687" s="20"/>
      <c r="AA687" s="20"/>
    </row>
    <row r="688" spans="1:27" ht="17.25" customHeight="1">
      <c r="A688" s="57"/>
      <c r="B688" s="57"/>
      <c r="C688" s="57"/>
      <c r="D688" s="57"/>
      <c r="E688" s="57"/>
      <c r="F688" s="57"/>
      <c r="G688" s="57"/>
      <c r="H688" s="20"/>
      <c r="I688" s="20"/>
      <c r="J688" s="20"/>
      <c r="K688" s="20"/>
      <c r="L688" s="20"/>
      <c r="M688" s="20"/>
      <c r="N688" s="20"/>
      <c r="O688" s="20"/>
      <c r="P688" s="20"/>
      <c r="Q688" s="20"/>
      <c r="R688" s="20"/>
      <c r="S688" s="20"/>
      <c r="T688" s="20"/>
      <c r="U688" s="20"/>
      <c r="V688" s="20"/>
      <c r="W688" s="20"/>
      <c r="X688" s="20"/>
      <c r="Y688" s="20"/>
      <c r="Z688" s="20"/>
      <c r="AA688" s="20"/>
    </row>
    <row r="689" spans="1:27" ht="17.25" customHeight="1">
      <c r="A689" s="57"/>
      <c r="B689" s="57"/>
      <c r="C689" s="57"/>
      <c r="D689" s="57"/>
      <c r="E689" s="57"/>
      <c r="F689" s="57"/>
      <c r="G689" s="57"/>
      <c r="H689" s="20"/>
      <c r="I689" s="20"/>
      <c r="J689" s="20"/>
      <c r="K689" s="20"/>
      <c r="L689" s="20"/>
      <c r="M689" s="20"/>
      <c r="N689" s="20"/>
      <c r="O689" s="20"/>
      <c r="P689" s="20"/>
      <c r="Q689" s="20"/>
      <c r="R689" s="20"/>
      <c r="S689" s="20"/>
      <c r="T689" s="20"/>
      <c r="U689" s="20"/>
      <c r="V689" s="20"/>
      <c r="W689" s="20"/>
      <c r="X689" s="20"/>
      <c r="Y689" s="20"/>
      <c r="Z689" s="20"/>
      <c r="AA689" s="20"/>
    </row>
    <row r="690" spans="1:27" ht="17.25" customHeight="1">
      <c r="A690" s="57"/>
      <c r="B690" s="57"/>
      <c r="C690" s="57"/>
      <c r="D690" s="57"/>
      <c r="E690" s="57"/>
      <c r="F690" s="57"/>
      <c r="G690" s="57"/>
      <c r="H690" s="20"/>
      <c r="I690" s="20"/>
      <c r="J690" s="20"/>
      <c r="K690" s="20"/>
      <c r="L690" s="20"/>
      <c r="M690" s="20"/>
      <c r="N690" s="20"/>
      <c r="O690" s="20"/>
      <c r="P690" s="20"/>
      <c r="Q690" s="20"/>
      <c r="R690" s="20"/>
      <c r="S690" s="20"/>
      <c r="T690" s="20"/>
      <c r="U690" s="20"/>
      <c r="V690" s="20"/>
      <c r="W690" s="20"/>
      <c r="X690" s="20"/>
      <c r="Y690" s="20"/>
      <c r="Z690" s="20"/>
      <c r="AA690" s="20"/>
    </row>
    <row r="691" spans="1:27" ht="17.25" customHeight="1">
      <c r="A691" s="57"/>
      <c r="B691" s="57"/>
      <c r="C691" s="57"/>
      <c r="D691" s="57"/>
      <c r="E691" s="57"/>
      <c r="F691" s="57"/>
      <c r="G691" s="57"/>
      <c r="H691" s="20"/>
      <c r="I691" s="20"/>
      <c r="J691" s="20"/>
      <c r="K691" s="20"/>
      <c r="L691" s="20"/>
      <c r="M691" s="20"/>
      <c r="N691" s="20"/>
      <c r="O691" s="20"/>
      <c r="P691" s="20"/>
      <c r="Q691" s="20"/>
      <c r="R691" s="20"/>
      <c r="S691" s="20"/>
      <c r="T691" s="20"/>
      <c r="U691" s="20"/>
      <c r="V691" s="20"/>
      <c r="W691" s="20"/>
      <c r="X691" s="20"/>
      <c r="Y691" s="20"/>
      <c r="Z691" s="20"/>
      <c r="AA691" s="20"/>
    </row>
    <row r="692" spans="1:27" ht="17.25" customHeight="1">
      <c r="A692" s="57"/>
      <c r="B692" s="57"/>
      <c r="C692" s="57"/>
      <c r="D692" s="57"/>
      <c r="E692" s="57"/>
      <c r="F692" s="57"/>
      <c r="G692" s="57"/>
      <c r="H692" s="20"/>
      <c r="I692" s="20"/>
      <c r="J692" s="20"/>
      <c r="K692" s="20"/>
      <c r="L692" s="20"/>
      <c r="M692" s="20"/>
      <c r="N692" s="20"/>
      <c r="O692" s="20"/>
      <c r="P692" s="20"/>
      <c r="Q692" s="20"/>
      <c r="R692" s="20"/>
      <c r="S692" s="20"/>
      <c r="T692" s="20"/>
      <c r="U692" s="20"/>
      <c r="V692" s="20"/>
      <c r="W692" s="20"/>
      <c r="X692" s="20"/>
      <c r="Y692" s="20"/>
      <c r="Z692" s="20"/>
      <c r="AA692" s="20"/>
    </row>
    <row r="693" spans="1:27" ht="17.25" customHeight="1">
      <c r="A693" s="57"/>
      <c r="B693" s="57"/>
      <c r="C693" s="57"/>
      <c r="D693" s="57"/>
      <c r="E693" s="57"/>
      <c r="F693" s="57"/>
      <c r="G693" s="57"/>
      <c r="H693" s="20"/>
      <c r="I693" s="20"/>
      <c r="J693" s="20"/>
      <c r="K693" s="20"/>
      <c r="L693" s="20"/>
      <c r="M693" s="20"/>
      <c r="N693" s="20"/>
      <c r="O693" s="20"/>
      <c r="P693" s="20"/>
      <c r="Q693" s="20"/>
      <c r="R693" s="20"/>
      <c r="S693" s="20"/>
      <c r="T693" s="20"/>
      <c r="U693" s="20"/>
      <c r="V693" s="20"/>
      <c r="W693" s="20"/>
      <c r="X693" s="20"/>
      <c r="Y693" s="20"/>
      <c r="Z693" s="20"/>
      <c r="AA693" s="20"/>
    </row>
    <row r="694" spans="1:27" ht="17.25" customHeight="1">
      <c r="A694" s="57"/>
      <c r="B694" s="57"/>
      <c r="C694" s="57"/>
      <c r="D694" s="57"/>
      <c r="E694" s="57"/>
      <c r="F694" s="57"/>
      <c r="G694" s="57"/>
      <c r="H694" s="20"/>
      <c r="I694" s="20"/>
      <c r="J694" s="20"/>
      <c r="K694" s="20"/>
      <c r="L694" s="20"/>
      <c r="M694" s="20"/>
      <c r="N694" s="20"/>
      <c r="O694" s="20"/>
      <c r="P694" s="20"/>
      <c r="Q694" s="20"/>
      <c r="R694" s="20"/>
      <c r="S694" s="20"/>
      <c r="T694" s="20"/>
      <c r="U694" s="20"/>
      <c r="V694" s="20"/>
      <c r="W694" s="20"/>
      <c r="X694" s="20"/>
      <c r="Y694" s="20"/>
      <c r="Z694" s="20"/>
      <c r="AA694" s="20"/>
    </row>
    <row r="695" spans="1:27" ht="17.25" customHeight="1">
      <c r="A695" s="57"/>
      <c r="B695" s="57"/>
      <c r="C695" s="57"/>
      <c r="D695" s="57"/>
      <c r="E695" s="57"/>
      <c r="F695" s="57"/>
      <c r="G695" s="57"/>
      <c r="H695" s="20"/>
      <c r="I695" s="20"/>
      <c r="J695" s="20"/>
      <c r="K695" s="20"/>
      <c r="L695" s="20"/>
      <c r="M695" s="20"/>
      <c r="N695" s="20"/>
      <c r="O695" s="20"/>
      <c r="P695" s="20"/>
      <c r="Q695" s="20"/>
      <c r="R695" s="20"/>
      <c r="S695" s="20"/>
      <c r="T695" s="20"/>
      <c r="U695" s="20"/>
      <c r="V695" s="20"/>
      <c r="W695" s="20"/>
      <c r="X695" s="20"/>
      <c r="Y695" s="20"/>
      <c r="Z695" s="20"/>
      <c r="AA695" s="20"/>
    </row>
    <row r="696" spans="1:27" ht="17.25" customHeight="1">
      <c r="A696" s="57"/>
      <c r="B696" s="57"/>
      <c r="C696" s="57"/>
      <c r="D696" s="57"/>
      <c r="E696" s="57"/>
      <c r="F696" s="57"/>
      <c r="G696" s="57"/>
      <c r="H696" s="20"/>
      <c r="I696" s="20"/>
      <c r="J696" s="20"/>
      <c r="K696" s="20"/>
      <c r="L696" s="20"/>
      <c r="M696" s="20"/>
      <c r="N696" s="20"/>
      <c r="O696" s="20"/>
      <c r="P696" s="20"/>
      <c r="Q696" s="20"/>
      <c r="R696" s="20"/>
      <c r="S696" s="20"/>
      <c r="T696" s="20"/>
      <c r="U696" s="20"/>
      <c r="V696" s="20"/>
      <c r="W696" s="20"/>
      <c r="X696" s="20"/>
      <c r="Y696" s="20"/>
      <c r="Z696" s="20"/>
      <c r="AA696" s="20"/>
    </row>
    <row r="697" spans="1:27" ht="17.25" customHeight="1">
      <c r="A697" s="57"/>
      <c r="B697" s="57"/>
      <c r="C697" s="57"/>
      <c r="D697" s="57"/>
      <c r="E697" s="57"/>
      <c r="F697" s="57"/>
      <c r="G697" s="57"/>
      <c r="H697" s="20"/>
      <c r="I697" s="20"/>
      <c r="J697" s="20"/>
      <c r="K697" s="20"/>
      <c r="L697" s="20"/>
      <c r="M697" s="20"/>
      <c r="N697" s="20"/>
      <c r="O697" s="20"/>
      <c r="P697" s="20"/>
      <c r="Q697" s="20"/>
      <c r="R697" s="20"/>
      <c r="S697" s="20"/>
      <c r="T697" s="20"/>
      <c r="U697" s="20"/>
      <c r="V697" s="20"/>
      <c r="W697" s="20"/>
      <c r="X697" s="20"/>
      <c r="Y697" s="20"/>
      <c r="Z697" s="20"/>
      <c r="AA697" s="20"/>
    </row>
    <row r="698" spans="1:27" ht="17.25" customHeight="1">
      <c r="A698" s="57"/>
      <c r="B698" s="57"/>
      <c r="C698" s="57"/>
      <c r="D698" s="57"/>
      <c r="E698" s="57"/>
      <c r="F698" s="57"/>
      <c r="G698" s="57"/>
      <c r="H698" s="20"/>
      <c r="I698" s="20"/>
      <c r="J698" s="20"/>
      <c r="K698" s="20"/>
      <c r="L698" s="20"/>
      <c r="M698" s="20"/>
      <c r="N698" s="20"/>
      <c r="O698" s="20"/>
      <c r="P698" s="20"/>
      <c r="Q698" s="20"/>
      <c r="R698" s="20"/>
      <c r="S698" s="20"/>
      <c r="T698" s="20"/>
      <c r="U698" s="20"/>
      <c r="V698" s="20"/>
      <c r="W698" s="20"/>
      <c r="X698" s="20"/>
      <c r="Y698" s="20"/>
      <c r="Z698" s="20"/>
      <c r="AA698" s="20"/>
    </row>
    <row r="699" spans="1:27" ht="17.25" customHeight="1">
      <c r="A699" s="57"/>
      <c r="B699" s="57"/>
      <c r="C699" s="57"/>
      <c r="D699" s="57"/>
      <c r="E699" s="57"/>
      <c r="F699" s="57"/>
      <c r="G699" s="57"/>
      <c r="H699" s="20"/>
      <c r="I699" s="20"/>
      <c r="J699" s="20"/>
      <c r="K699" s="20"/>
      <c r="L699" s="20"/>
      <c r="M699" s="20"/>
      <c r="N699" s="20"/>
      <c r="O699" s="20"/>
      <c r="P699" s="20"/>
      <c r="Q699" s="20"/>
      <c r="R699" s="20"/>
      <c r="S699" s="20"/>
      <c r="T699" s="20"/>
      <c r="U699" s="20"/>
      <c r="V699" s="20"/>
      <c r="W699" s="20"/>
      <c r="X699" s="20"/>
      <c r="Y699" s="20"/>
      <c r="Z699" s="20"/>
      <c r="AA699" s="20"/>
    </row>
    <row r="700" spans="1:27" ht="17.25" customHeight="1">
      <c r="A700" s="57"/>
      <c r="B700" s="57"/>
      <c r="C700" s="57"/>
      <c r="D700" s="57"/>
      <c r="E700" s="57"/>
      <c r="F700" s="57"/>
      <c r="G700" s="57"/>
      <c r="H700" s="20"/>
      <c r="I700" s="20"/>
      <c r="J700" s="20"/>
      <c r="K700" s="20"/>
      <c r="L700" s="20"/>
      <c r="M700" s="20"/>
      <c r="N700" s="20"/>
      <c r="O700" s="20"/>
      <c r="P700" s="20"/>
      <c r="Q700" s="20"/>
      <c r="R700" s="20"/>
      <c r="S700" s="20"/>
      <c r="T700" s="20"/>
      <c r="U700" s="20"/>
      <c r="V700" s="20"/>
      <c r="W700" s="20"/>
      <c r="X700" s="20"/>
      <c r="Y700" s="20"/>
      <c r="Z700" s="20"/>
      <c r="AA700" s="20"/>
    </row>
    <row r="701" spans="1:27" ht="17.25" customHeight="1">
      <c r="A701" s="57"/>
      <c r="B701" s="57"/>
      <c r="C701" s="57"/>
      <c r="D701" s="57"/>
      <c r="E701" s="57"/>
      <c r="F701" s="57"/>
      <c r="G701" s="57"/>
      <c r="H701" s="20"/>
      <c r="I701" s="20"/>
      <c r="J701" s="20"/>
      <c r="K701" s="20"/>
      <c r="L701" s="20"/>
      <c r="M701" s="20"/>
      <c r="N701" s="20"/>
      <c r="O701" s="20"/>
      <c r="P701" s="20"/>
      <c r="Q701" s="20"/>
      <c r="R701" s="20"/>
      <c r="S701" s="20"/>
      <c r="T701" s="20"/>
      <c r="U701" s="20"/>
      <c r="V701" s="20"/>
      <c r="W701" s="20"/>
      <c r="X701" s="20"/>
      <c r="Y701" s="20"/>
      <c r="Z701" s="20"/>
      <c r="AA701" s="20"/>
    </row>
    <row r="702" spans="1:27" ht="17.25" customHeight="1">
      <c r="A702" s="57"/>
      <c r="B702" s="57"/>
      <c r="C702" s="57"/>
      <c r="D702" s="57"/>
      <c r="E702" s="57"/>
      <c r="F702" s="57"/>
      <c r="G702" s="57"/>
      <c r="H702" s="20"/>
      <c r="I702" s="20"/>
      <c r="J702" s="20"/>
      <c r="K702" s="20"/>
      <c r="L702" s="20"/>
      <c r="M702" s="20"/>
      <c r="N702" s="20"/>
      <c r="O702" s="20"/>
      <c r="P702" s="20"/>
      <c r="Q702" s="20"/>
      <c r="R702" s="20"/>
      <c r="S702" s="20"/>
      <c r="T702" s="20"/>
      <c r="U702" s="20"/>
      <c r="V702" s="20"/>
      <c r="W702" s="20"/>
      <c r="X702" s="20"/>
      <c r="Y702" s="20"/>
      <c r="Z702" s="20"/>
      <c r="AA702" s="20"/>
    </row>
    <row r="703" spans="1:27" ht="17.25" customHeight="1">
      <c r="A703" s="57"/>
      <c r="B703" s="57"/>
      <c r="C703" s="57"/>
      <c r="D703" s="57"/>
      <c r="E703" s="57"/>
      <c r="F703" s="57"/>
      <c r="G703" s="57"/>
      <c r="H703" s="20"/>
      <c r="I703" s="20"/>
      <c r="J703" s="20"/>
      <c r="K703" s="20"/>
      <c r="L703" s="20"/>
      <c r="M703" s="20"/>
      <c r="N703" s="20"/>
      <c r="O703" s="20"/>
      <c r="P703" s="20"/>
      <c r="Q703" s="20"/>
      <c r="R703" s="20"/>
      <c r="S703" s="20"/>
      <c r="T703" s="20"/>
      <c r="U703" s="20"/>
      <c r="V703" s="20"/>
      <c r="W703" s="20"/>
      <c r="X703" s="20"/>
      <c r="Y703" s="20"/>
      <c r="Z703" s="20"/>
      <c r="AA703" s="20"/>
    </row>
    <row r="704" spans="1:27" ht="17.25" customHeight="1">
      <c r="A704" s="57"/>
      <c r="B704" s="57"/>
      <c r="C704" s="57"/>
      <c r="D704" s="57"/>
      <c r="E704" s="57"/>
      <c r="F704" s="57"/>
      <c r="G704" s="57"/>
      <c r="H704" s="20"/>
      <c r="I704" s="20"/>
      <c r="J704" s="20"/>
      <c r="K704" s="20"/>
      <c r="L704" s="20"/>
      <c r="M704" s="20"/>
      <c r="N704" s="20"/>
      <c r="O704" s="20"/>
      <c r="P704" s="20"/>
      <c r="Q704" s="20"/>
      <c r="R704" s="20"/>
      <c r="S704" s="20"/>
      <c r="T704" s="20"/>
      <c r="U704" s="20"/>
      <c r="V704" s="20"/>
      <c r="W704" s="20"/>
      <c r="X704" s="20"/>
      <c r="Y704" s="20"/>
      <c r="Z704" s="20"/>
      <c r="AA704" s="20"/>
    </row>
    <row r="705" spans="1:27" ht="17.25" customHeight="1">
      <c r="A705" s="57"/>
      <c r="B705" s="57"/>
      <c r="C705" s="57"/>
      <c r="D705" s="57"/>
      <c r="E705" s="57"/>
      <c r="F705" s="57"/>
      <c r="G705" s="57"/>
      <c r="H705" s="20"/>
      <c r="I705" s="20"/>
      <c r="J705" s="20"/>
      <c r="K705" s="20"/>
      <c r="L705" s="20"/>
      <c r="M705" s="20"/>
      <c r="N705" s="20"/>
      <c r="O705" s="20"/>
      <c r="P705" s="20"/>
      <c r="Q705" s="20"/>
      <c r="R705" s="20"/>
      <c r="S705" s="20"/>
      <c r="T705" s="20"/>
      <c r="U705" s="20"/>
      <c r="V705" s="20"/>
      <c r="W705" s="20"/>
      <c r="X705" s="20"/>
      <c r="Y705" s="20"/>
      <c r="Z705" s="20"/>
      <c r="AA705" s="20"/>
    </row>
    <row r="706" spans="1:27" ht="17.25" customHeight="1">
      <c r="A706" s="57"/>
      <c r="B706" s="57"/>
      <c r="C706" s="57"/>
      <c r="D706" s="57"/>
      <c r="E706" s="57"/>
      <c r="F706" s="57"/>
      <c r="G706" s="57"/>
      <c r="H706" s="20"/>
      <c r="I706" s="20"/>
      <c r="J706" s="20"/>
      <c r="K706" s="20"/>
      <c r="L706" s="20"/>
      <c r="M706" s="20"/>
      <c r="N706" s="20"/>
      <c r="O706" s="20"/>
      <c r="P706" s="20"/>
      <c r="Q706" s="20"/>
      <c r="R706" s="20"/>
      <c r="S706" s="20"/>
      <c r="T706" s="20"/>
      <c r="U706" s="20"/>
      <c r="V706" s="20"/>
      <c r="W706" s="20"/>
      <c r="X706" s="20"/>
      <c r="Y706" s="20"/>
      <c r="Z706" s="20"/>
      <c r="AA706" s="20"/>
    </row>
    <row r="707" spans="1:27" ht="17.25" customHeight="1">
      <c r="A707" s="57"/>
      <c r="B707" s="57"/>
      <c r="C707" s="57"/>
      <c r="D707" s="57"/>
      <c r="E707" s="57"/>
      <c r="F707" s="57"/>
      <c r="G707" s="57"/>
      <c r="H707" s="20"/>
      <c r="I707" s="20"/>
      <c r="J707" s="20"/>
      <c r="K707" s="20"/>
      <c r="L707" s="20"/>
      <c r="M707" s="20"/>
      <c r="N707" s="20"/>
      <c r="O707" s="20"/>
      <c r="P707" s="20"/>
      <c r="Q707" s="20"/>
      <c r="R707" s="20"/>
      <c r="S707" s="20"/>
      <c r="T707" s="20"/>
      <c r="U707" s="20"/>
      <c r="V707" s="20"/>
      <c r="W707" s="20"/>
      <c r="X707" s="20"/>
      <c r="Y707" s="20"/>
      <c r="Z707" s="20"/>
      <c r="AA707" s="20"/>
    </row>
    <row r="708" spans="1:27" ht="17.25" customHeight="1">
      <c r="A708" s="57"/>
      <c r="B708" s="57"/>
      <c r="C708" s="57"/>
      <c r="D708" s="57"/>
      <c r="E708" s="57"/>
      <c r="F708" s="57"/>
      <c r="G708" s="57"/>
      <c r="H708" s="20"/>
      <c r="I708" s="20"/>
      <c r="J708" s="20"/>
      <c r="K708" s="20"/>
      <c r="L708" s="20"/>
      <c r="M708" s="20"/>
      <c r="N708" s="20"/>
      <c r="O708" s="20"/>
      <c r="P708" s="20"/>
      <c r="Q708" s="20"/>
      <c r="R708" s="20"/>
      <c r="S708" s="20"/>
      <c r="T708" s="20"/>
      <c r="U708" s="20"/>
      <c r="V708" s="20"/>
      <c r="W708" s="20"/>
      <c r="X708" s="20"/>
      <c r="Y708" s="20"/>
      <c r="Z708" s="20"/>
      <c r="AA708" s="20"/>
    </row>
    <row r="709" spans="1:27" ht="17.25" customHeight="1">
      <c r="A709" s="57"/>
      <c r="B709" s="57"/>
      <c r="C709" s="57"/>
      <c r="D709" s="57"/>
      <c r="E709" s="57"/>
      <c r="F709" s="57"/>
      <c r="G709" s="57"/>
      <c r="H709" s="20"/>
      <c r="I709" s="20"/>
      <c r="J709" s="20"/>
      <c r="K709" s="20"/>
      <c r="L709" s="20"/>
      <c r="M709" s="20"/>
      <c r="N709" s="20"/>
      <c r="O709" s="20"/>
      <c r="P709" s="20"/>
      <c r="Q709" s="20"/>
      <c r="R709" s="20"/>
      <c r="S709" s="20"/>
      <c r="T709" s="20"/>
      <c r="U709" s="20"/>
      <c r="V709" s="20"/>
      <c r="W709" s="20"/>
      <c r="X709" s="20"/>
      <c r="Y709" s="20"/>
      <c r="Z709" s="20"/>
      <c r="AA709" s="20"/>
    </row>
    <row r="710" spans="1:27" ht="17.25" customHeight="1">
      <c r="A710" s="57"/>
      <c r="B710" s="57"/>
      <c r="C710" s="57"/>
      <c r="D710" s="57"/>
      <c r="E710" s="57"/>
      <c r="F710" s="57"/>
      <c r="G710" s="57"/>
      <c r="H710" s="20"/>
      <c r="I710" s="20"/>
      <c r="J710" s="20"/>
      <c r="K710" s="20"/>
      <c r="L710" s="20"/>
      <c r="M710" s="20"/>
      <c r="N710" s="20"/>
      <c r="O710" s="20"/>
      <c r="P710" s="20"/>
      <c r="Q710" s="20"/>
      <c r="R710" s="20"/>
      <c r="S710" s="20"/>
      <c r="T710" s="20"/>
      <c r="U710" s="20"/>
      <c r="V710" s="20"/>
      <c r="W710" s="20"/>
      <c r="X710" s="20"/>
      <c r="Y710" s="20"/>
      <c r="Z710" s="20"/>
      <c r="AA710" s="20"/>
    </row>
    <row r="711" spans="1:27" ht="17.25" customHeight="1">
      <c r="A711" s="57"/>
      <c r="B711" s="57"/>
      <c r="C711" s="57"/>
      <c r="D711" s="57"/>
      <c r="E711" s="57"/>
      <c r="F711" s="57"/>
      <c r="G711" s="57"/>
      <c r="H711" s="20"/>
      <c r="I711" s="20"/>
      <c r="J711" s="20"/>
      <c r="K711" s="20"/>
      <c r="L711" s="20"/>
      <c r="M711" s="20"/>
      <c r="N711" s="20"/>
      <c r="O711" s="20"/>
      <c r="P711" s="20"/>
      <c r="Q711" s="20"/>
      <c r="R711" s="20"/>
      <c r="S711" s="20"/>
      <c r="T711" s="20"/>
      <c r="U711" s="20"/>
      <c r="V711" s="20"/>
      <c r="W711" s="20"/>
      <c r="X711" s="20"/>
      <c r="Y711" s="20"/>
      <c r="Z711" s="20"/>
      <c r="AA711" s="20"/>
    </row>
    <row r="712" spans="1:27" ht="17.25" customHeight="1">
      <c r="A712" s="57"/>
      <c r="B712" s="57"/>
      <c r="C712" s="57"/>
      <c r="D712" s="57"/>
      <c r="E712" s="57"/>
      <c r="F712" s="57"/>
      <c r="G712" s="57"/>
      <c r="H712" s="20"/>
      <c r="I712" s="20"/>
      <c r="J712" s="20"/>
      <c r="K712" s="20"/>
      <c r="L712" s="20"/>
      <c r="M712" s="20"/>
      <c r="N712" s="20"/>
      <c r="O712" s="20"/>
      <c r="P712" s="20"/>
      <c r="Q712" s="20"/>
      <c r="R712" s="20"/>
      <c r="S712" s="20"/>
      <c r="T712" s="20"/>
      <c r="U712" s="20"/>
      <c r="V712" s="20"/>
      <c r="W712" s="20"/>
      <c r="X712" s="20"/>
      <c r="Y712" s="20"/>
      <c r="Z712" s="20"/>
      <c r="AA712" s="20"/>
    </row>
    <row r="713" spans="1:27" ht="17.25" customHeight="1">
      <c r="A713" s="57"/>
      <c r="B713" s="57"/>
      <c r="C713" s="57"/>
      <c r="D713" s="57"/>
      <c r="E713" s="57"/>
      <c r="F713" s="57"/>
      <c r="G713" s="57"/>
      <c r="H713" s="20"/>
      <c r="I713" s="20"/>
      <c r="J713" s="20"/>
      <c r="K713" s="20"/>
      <c r="L713" s="20"/>
      <c r="M713" s="20"/>
      <c r="N713" s="20"/>
      <c r="O713" s="20"/>
      <c r="P713" s="20"/>
      <c r="Q713" s="20"/>
      <c r="R713" s="20"/>
      <c r="S713" s="20"/>
      <c r="T713" s="20"/>
      <c r="U713" s="20"/>
      <c r="V713" s="20"/>
      <c r="W713" s="20"/>
      <c r="X713" s="20"/>
      <c r="Y713" s="20"/>
      <c r="Z713" s="20"/>
      <c r="AA713" s="20"/>
    </row>
    <row r="714" spans="1:27" ht="17.25" customHeight="1">
      <c r="A714" s="57"/>
      <c r="B714" s="57"/>
      <c r="C714" s="57"/>
      <c r="D714" s="57"/>
      <c r="E714" s="57"/>
      <c r="F714" s="57"/>
      <c r="G714" s="57"/>
      <c r="H714" s="20"/>
      <c r="I714" s="20"/>
      <c r="J714" s="20"/>
      <c r="K714" s="20"/>
      <c r="L714" s="20"/>
      <c r="M714" s="20"/>
      <c r="N714" s="20"/>
      <c r="O714" s="20"/>
      <c r="P714" s="20"/>
      <c r="Q714" s="20"/>
      <c r="R714" s="20"/>
      <c r="S714" s="20"/>
      <c r="T714" s="20"/>
      <c r="U714" s="20"/>
      <c r="V714" s="20"/>
      <c r="W714" s="20"/>
      <c r="X714" s="20"/>
      <c r="Y714" s="20"/>
      <c r="Z714" s="20"/>
      <c r="AA714" s="20"/>
    </row>
    <row r="715" spans="1:27" ht="17.25" customHeight="1">
      <c r="A715" s="57"/>
      <c r="B715" s="57"/>
      <c r="C715" s="57"/>
      <c r="D715" s="57"/>
      <c r="E715" s="57"/>
      <c r="F715" s="57"/>
      <c r="G715" s="57"/>
      <c r="H715" s="20"/>
      <c r="I715" s="20"/>
      <c r="J715" s="20"/>
      <c r="K715" s="20"/>
      <c r="L715" s="20"/>
      <c r="M715" s="20"/>
      <c r="N715" s="20"/>
      <c r="O715" s="20"/>
      <c r="P715" s="20"/>
      <c r="Q715" s="20"/>
      <c r="R715" s="20"/>
      <c r="S715" s="20"/>
      <c r="T715" s="20"/>
      <c r="U715" s="20"/>
      <c r="V715" s="20"/>
      <c r="W715" s="20"/>
      <c r="X715" s="20"/>
      <c r="Y715" s="20"/>
      <c r="Z715" s="20"/>
      <c r="AA715" s="20"/>
    </row>
    <row r="716" spans="1:27" ht="17.25" customHeight="1">
      <c r="A716" s="57"/>
      <c r="B716" s="57"/>
      <c r="C716" s="57"/>
      <c r="D716" s="57"/>
      <c r="E716" s="57"/>
      <c r="F716" s="57"/>
      <c r="G716" s="57"/>
      <c r="H716" s="20"/>
      <c r="I716" s="20"/>
      <c r="J716" s="20"/>
      <c r="K716" s="20"/>
      <c r="L716" s="20"/>
      <c r="M716" s="20"/>
      <c r="N716" s="20"/>
      <c r="O716" s="20"/>
      <c r="P716" s="20"/>
      <c r="Q716" s="20"/>
      <c r="R716" s="20"/>
      <c r="S716" s="20"/>
      <c r="T716" s="20"/>
      <c r="U716" s="20"/>
      <c r="V716" s="20"/>
      <c r="W716" s="20"/>
      <c r="X716" s="20"/>
      <c r="Y716" s="20"/>
      <c r="Z716" s="20"/>
      <c r="AA716" s="20"/>
    </row>
    <row r="717" spans="1:27" ht="17.25" customHeight="1">
      <c r="A717" s="57"/>
      <c r="B717" s="57"/>
      <c r="C717" s="57"/>
      <c r="D717" s="57"/>
      <c r="E717" s="57"/>
      <c r="F717" s="57"/>
      <c r="G717" s="57"/>
      <c r="H717" s="20"/>
      <c r="I717" s="20"/>
      <c r="J717" s="20"/>
      <c r="K717" s="20"/>
      <c r="L717" s="20"/>
      <c r="M717" s="20"/>
      <c r="N717" s="20"/>
      <c r="O717" s="20"/>
      <c r="P717" s="20"/>
      <c r="Q717" s="20"/>
      <c r="R717" s="20"/>
      <c r="S717" s="20"/>
      <c r="T717" s="20"/>
      <c r="U717" s="20"/>
      <c r="V717" s="20"/>
      <c r="W717" s="20"/>
      <c r="X717" s="20"/>
      <c r="Y717" s="20"/>
      <c r="Z717" s="20"/>
      <c r="AA717" s="20"/>
    </row>
    <row r="718" spans="1:27" ht="17.25" customHeight="1">
      <c r="A718" s="57"/>
      <c r="B718" s="57"/>
      <c r="C718" s="57"/>
      <c r="D718" s="57"/>
      <c r="E718" s="57"/>
      <c r="F718" s="57"/>
      <c r="G718" s="57"/>
      <c r="H718" s="20"/>
      <c r="I718" s="20"/>
      <c r="J718" s="20"/>
      <c r="K718" s="20"/>
      <c r="L718" s="20"/>
      <c r="M718" s="20"/>
      <c r="N718" s="20"/>
      <c r="O718" s="20"/>
      <c r="P718" s="20"/>
      <c r="Q718" s="20"/>
      <c r="R718" s="20"/>
      <c r="S718" s="20"/>
      <c r="T718" s="20"/>
      <c r="U718" s="20"/>
      <c r="V718" s="20"/>
      <c r="W718" s="20"/>
      <c r="X718" s="20"/>
      <c r="Y718" s="20"/>
      <c r="Z718" s="20"/>
      <c r="AA718" s="20"/>
    </row>
    <row r="719" spans="1:27" ht="17.25" customHeight="1">
      <c r="A719" s="57"/>
      <c r="B719" s="57"/>
      <c r="C719" s="57"/>
      <c r="D719" s="57"/>
      <c r="E719" s="57"/>
      <c r="F719" s="57"/>
      <c r="G719" s="57"/>
      <c r="H719" s="20"/>
      <c r="I719" s="20"/>
      <c r="J719" s="20"/>
      <c r="K719" s="20"/>
      <c r="L719" s="20"/>
      <c r="M719" s="20"/>
      <c r="N719" s="20"/>
      <c r="O719" s="20"/>
      <c r="P719" s="20"/>
      <c r="Q719" s="20"/>
      <c r="R719" s="20"/>
      <c r="S719" s="20"/>
      <c r="T719" s="20"/>
      <c r="U719" s="20"/>
      <c r="V719" s="20"/>
      <c r="W719" s="20"/>
      <c r="X719" s="20"/>
      <c r="Y719" s="20"/>
      <c r="Z719" s="20"/>
      <c r="AA719" s="20"/>
    </row>
    <row r="720" spans="1:27" ht="17.25" customHeight="1">
      <c r="A720" s="57"/>
      <c r="B720" s="57"/>
      <c r="C720" s="57"/>
      <c r="D720" s="57"/>
      <c r="E720" s="57"/>
      <c r="F720" s="57"/>
      <c r="G720" s="57"/>
      <c r="H720" s="20"/>
      <c r="I720" s="20"/>
      <c r="J720" s="20"/>
      <c r="K720" s="20"/>
      <c r="L720" s="20"/>
      <c r="M720" s="20"/>
      <c r="N720" s="20"/>
      <c r="O720" s="20"/>
      <c r="P720" s="20"/>
      <c r="Q720" s="20"/>
      <c r="R720" s="20"/>
      <c r="S720" s="20"/>
      <c r="T720" s="20"/>
      <c r="U720" s="20"/>
      <c r="V720" s="20"/>
      <c r="W720" s="20"/>
      <c r="X720" s="20"/>
      <c r="Y720" s="20"/>
      <c r="Z720" s="20"/>
      <c r="AA720" s="20"/>
    </row>
    <row r="721" spans="1:27" ht="17.25" customHeight="1">
      <c r="A721" s="57"/>
      <c r="B721" s="57"/>
      <c r="C721" s="57"/>
      <c r="D721" s="57"/>
      <c r="E721" s="57"/>
      <c r="F721" s="57"/>
      <c r="G721" s="57"/>
      <c r="H721" s="20"/>
      <c r="I721" s="20"/>
      <c r="J721" s="20"/>
      <c r="K721" s="20"/>
      <c r="L721" s="20"/>
      <c r="M721" s="20"/>
      <c r="N721" s="20"/>
      <c r="O721" s="20"/>
      <c r="P721" s="20"/>
      <c r="Q721" s="20"/>
      <c r="R721" s="20"/>
      <c r="S721" s="20"/>
      <c r="T721" s="20"/>
      <c r="U721" s="20"/>
      <c r="V721" s="20"/>
      <c r="W721" s="20"/>
      <c r="X721" s="20"/>
      <c r="Y721" s="20"/>
      <c r="Z721" s="20"/>
      <c r="AA721" s="20"/>
    </row>
    <row r="722" spans="1:27" ht="17.25" customHeight="1">
      <c r="A722" s="57"/>
      <c r="B722" s="57"/>
      <c r="C722" s="57"/>
      <c r="D722" s="57"/>
      <c r="E722" s="57"/>
      <c r="F722" s="57"/>
      <c r="G722" s="57"/>
      <c r="H722" s="20"/>
      <c r="I722" s="20"/>
      <c r="J722" s="20"/>
      <c r="K722" s="20"/>
      <c r="L722" s="20"/>
      <c r="M722" s="20"/>
      <c r="N722" s="20"/>
      <c r="O722" s="20"/>
      <c r="P722" s="20"/>
      <c r="Q722" s="20"/>
      <c r="R722" s="20"/>
      <c r="S722" s="20"/>
      <c r="T722" s="20"/>
      <c r="U722" s="20"/>
      <c r="V722" s="20"/>
      <c r="W722" s="20"/>
      <c r="X722" s="20"/>
      <c r="Y722" s="20"/>
      <c r="Z722" s="20"/>
      <c r="AA722" s="20"/>
    </row>
    <row r="723" spans="1:27" ht="17.25" customHeight="1">
      <c r="A723" s="57"/>
      <c r="B723" s="57"/>
      <c r="C723" s="57"/>
      <c r="D723" s="57"/>
      <c r="E723" s="57"/>
      <c r="F723" s="57"/>
      <c r="G723" s="57"/>
      <c r="H723" s="20"/>
      <c r="I723" s="20"/>
      <c r="J723" s="20"/>
      <c r="K723" s="20"/>
      <c r="L723" s="20"/>
      <c r="M723" s="20"/>
      <c r="N723" s="20"/>
      <c r="O723" s="20"/>
      <c r="P723" s="20"/>
      <c r="Q723" s="20"/>
      <c r="R723" s="20"/>
      <c r="S723" s="20"/>
      <c r="T723" s="20"/>
      <c r="U723" s="20"/>
      <c r="V723" s="20"/>
      <c r="W723" s="20"/>
      <c r="X723" s="20"/>
      <c r="Y723" s="20"/>
      <c r="Z723" s="20"/>
      <c r="AA723" s="20"/>
    </row>
    <row r="724" spans="1:27" ht="17.25" customHeight="1">
      <c r="A724" s="57"/>
      <c r="B724" s="57"/>
      <c r="C724" s="57"/>
      <c r="D724" s="57"/>
      <c r="E724" s="57"/>
      <c r="F724" s="57"/>
      <c r="G724" s="57"/>
      <c r="H724" s="20"/>
      <c r="I724" s="20"/>
      <c r="J724" s="20"/>
      <c r="K724" s="20"/>
      <c r="L724" s="20"/>
      <c r="M724" s="20"/>
      <c r="N724" s="20"/>
      <c r="O724" s="20"/>
      <c r="P724" s="20"/>
      <c r="Q724" s="20"/>
      <c r="R724" s="20"/>
      <c r="S724" s="20"/>
      <c r="T724" s="20"/>
      <c r="U724" s="20"/>
      <c r="V724" s="20"/>
      <c r="W724" s="20"/>
      <c r="X724" s="20"/>
      <c r="Y724" s="20"/>
      <c r="Z724" s="20"/>
      <c r="AA724" s="20"/>
    </row>
    <row r="725" spans="1:27" ht="17.25" customHeight="1">
      <c r="A725" s="57"/>
      <c r="B725" s="57"/>
      <c r="C725" s="57"/>
      <c r="D725" s="57"/>
      <c r="E725" s="57"/>
      <c r="F725" s="57"/>
      <c r="G725" s="57"/>
      <c r="H725" s="20"/>
      <c r="I725" s="20"/>
      <c r="J725" s="20"/>
      <c r="K725" s="20"/>
      <c r="L725" s="20"/>
      <c r="M725" s="20"/>
      <c r="N725" s="20"/>
      <c r="O725" s="20"/>
      <c r="P725" s="20"/>
      <c r="Q725" s="20"/>
      <c r="R725" s="20"/>
      <c r="S725" s="20"/>
      <c r="T725" s="20"/>
      <c r="U725" s="20"/>
      <c r="V725" s="20"/>
      <c r="W725" s="20"/>
      <c r="X725" s="20"/>
      <c r="Y725" s="20"/>
      <c r="Z725" s="20"/>
      <c r="AA725" s="20"/>
    </row>
    <row r="726" spans="1:27" ht="17.25" customHeight="1">
      <c r="A726" s="57"/>
      <c r="B726" s="57"/>
      <c r="C726" s="57"/>
      <c r="D726" s="57"/>
      <c r="E726" s="57"/>
      <c r="F726" s="57"/>
      <c r="G726" s="57"/>
      <c r="H726" s="20"/>
      <c r="I726" s="20"/>
      <c r="J726" s="20"/>
      <c r="K726" s="20"/>
      <c r="L726" s="20"/>
      <c r="M726" s="20"/>
      <c r="N726" s="20"/>
      <c r="O726" s="20"/>
      <c r="P726" s="20"/>
      <c r="Q726" s="20"/>
      <c r="R726" s="20"/>
      <c r="S726" s="20"/>
      <c r="T726" s="20"/>
      <c r="U726" s="20"/>
      <c r="V726" s="20"/>
      <c r="W726" s="20"/>
      <c r="X726" s="20"/>
      <c r="Y726" s="20"/>
      <c r="Z726" s="20"/>
      <c r="AA726" s="20"/>
    </row>
    <row r="727" spans="1:27" ht="17.25" customHeight="1">
      <c r="A727" s="57"/>
      <c r="B727" s="57"/>
      <c r="C727" s="57"/>
      <c r="D727" s="57"/>
      <c r="E727" s="57"/>
      <c r="F727" s="57"/>
      <c r="G727" s="57"/>
      <c r="H727" s="20"/>
      <c r="I727" s="20"/>
      <c r="J727" s="20"/>
      <c r="K727" s="20"/>
      <c r="L727" s="20"/>
      <c r="M727" s="20"/>
      <c r="N727" s="20"/>
      <c r="O727" s="20"/>
      <c r="P727" s="20"/>
      <c r="Q727" s="20"/>
      <c r="R727" s="20"/>
      <c r="S727" s="20"/>
      <c r="T727" s="20"/>
      <c r="U727" s="20"/>
      <c r="V727" s="20"/>
      <c r="W727" s="20"/>
      <c r="X727" s="20"/>
      <c r="Y727" s="20"/>
      <c r="Z727" s="20"/>
      <c r="AA727" s="20"/>
    </row>
    <row r="728" spans="1:27" ht="17.25" customHeight="1">
      <c r="A728" s="57"/>
      <c r="B728" s="57"/>
      <c r="C728" s="57"/>
      <c r="D728" s="57"/>
      <c r="E728" s="57"/>
      <c r="F728" s="57"/>
      <c r="G728" s="57"/>
      <c r="H728" s="20"/>
      <c r="I728" s="20"/>
      <c r="J728" s="20"/>
      <c r="K728" s="20"/>
      <c r="L728" s="20"/>
      <c r="M728" s="20"/>
      <c r="N728" s="20"/>
      <c r="O728" s="20"/>
      <c r="P728" s="20"/>
      <c r="Q728" s="20"/>
      <c r="R728" s="20"/>
      <c r="S728" s="20"/>
      <c r="T728" s="20"/>
      <c r="U728" s="20"/>
      <c r="V728" s="20"/>
      <c r="W728" s="20"/>
      <c r="X728" s="20"/>
      <c r="Y728" s="20"/>
      <c r="Z728" s="20"/>
      <c r="AA728" s="20"/>
    </row>
    <row r="729" spans="1:27" ht="17.25" customHeight="1">
      <c r="A729" s="57"/>
      <c r="B729" s="57"/>
      <c r="C729" s="57"/>
      <c r="D729" s="57"/>
      <c r="E729" s="57"/>
      <c r="F729" s="57"/>
      <c r="G729" s="57"/>
      <c r="H729" s="20"/>
      <c r="I729" s="20"/>
      <c r="J729" s="20"/>
      <c r="K729" s="20"/>
      <c r="L729" s="20"/>
      <c r="M729" s="20"/>
      <c r="N729" s="20"/>
      <c r="O729" s="20"/>
      <c r="P729" s="20"/>
      <c r="Q729" s="20"/>
      <c r="R729" s="20"/>
      <c r="S729" s="20"/>
      <c r="T729" s="20"/>
      <c r="U729" s="20"/>
      <c r="V729" s="20"/>
      <c r="W729" s="20"/>
      <c r="X729" s="20"/>
      <c r="Y729" s="20"/>
      <c r="Z729" s="20"/>
      <c r="AA729" s="20"/>
    </row>
    <row r="730" spans="1:27" ht="17.25" customHeight="1">
      <c r="A730" s="57"/>
      <c r="B730" s="57"/>
      <c r="C730" s="57"/>
      <c r="D730" s="57"/>
      <c r="E730" s="57"/>
      <c r="F730" s="57"/>
      <c r="G730" s="57"/>
      <c r="H730" s="20"/>
      <c r="I730" s="20"/>
      <c r="J730" s="20"/>
      <c r="K730" s="20"/>
      <c r="L730" s="20"/>
      <c r="M730" s="20"/>
      <c r="N730" s="20"/>
      <c r="O730" s="20"/>
      <c r="P730" s="20"/>
      <c r="Q730" s="20"/>
      <c r="R730" s="20"/>
      <c r="S730" s="20"/>
      <c r="T730" s="20"/>
      <c r="U730" s="20"/>
      <c r="V730" s="20"/>
      <c r="W730" s="20"/>
      <c r="X730" s="20"/>
      <c r="Y730" s="20"/>
      <c r="Z730" s="20"/>
      <c r="AA730" s="20"/>
    </row>
    <row r="731" spans="1:27" ht="17.25" customHeight="1">
      <c r="A731" s="57"/>
      <c r="B731" s="57"/>
      <c r="C731" s="57"/>
      <c r="D731" s="57"/>
      <c r="E731" s="57"/>
      <c r="F731" s="57"/>
      <c r="G731" s="57"/>
      <c r="H731" s="20"/>
      <c r="I731" s="20"/>
      <c r="J731" s="20"/>
      <c r="K731" s="20"/>
      <c r="L731" s="20"/>
      <c r="M731" s="20"/>
      <c r="N731" s="20"/>
      <c r="O731" s="20"/>
      <c r="P731" s="20"/>
      <c r="Q731" s="20"/>
      <c r="R731" s="20"/>
      <c r="S731" s="20"/>
      <c r="T731" s="20"/>
      <c r="U731" s="20"/>
      <c r="V731" s="20"/>
      <c r="W731" s="20"/>
      <c r="X731" s="20"/>
      <c r="Y731" s="20"/>
      <c r="Z731" s="20"/>
      <c r="AA731" s="20"/>
    </row>
    <row r="732" spans="1:27" ht="17.25" customHeight="1">
      <c r="A732" s="57"/>
      <c r="B732" s="57"/>
      <c r="C732" s="57"/>
      <c r="D732" s="57"/>
      <c r="E732" s="57"/>
      <c r="F732" s="57"/>
      <c r="G732" s="57"/>
      <c r="H732" s="20"/>
      <c r="I732" s="20"/>
      <c r="J732" s="20"/>
      <c r="K732" s="20"/>
      <c r="L732" s="20"/>
      <c r="M732" s="20"/>
      <c r="N732" s="20"/>
      <c r="O732" s="20"/>
      <c r="P732" s="20"/>
      <c r="Q732" s="20"/>
      <c r="R732" s="20"/>
      <c r="S732" s="20"/>
      <c r="T732" s="20"/>
      <c r="U732" s="20"/>
      <c r="V732" s="20"/>
      <c r="W732" s="20"/>
      <c r="X732" s="20"/>
      <c r="Y732" s="20"/>
      <c r="Z732" s="20"/>
      <c r="AA732" s="20"/>
    </row>
    <row r="733" spans="1:27" ht="17.25" customHeight="1">
      <c r="A733" s="57"/>
      <c r="B733" s="57"/>
      <c r="C733" s="57"/>
      <c r="D733" s="57"/>
      <c r="E733" s="57"/>
      <c r="F733" s="57"/>
      <c r="G733" s="57"/>
      <c r="H733" s="20"/>
      <c r="I733" s="20"/>
      <c r="J733" s="20"/>
      <c r="K733" s="20"/>
      <c r="L733" s="20"/>
      <c r="M733" s="20"/>
      <c r="N733" s="20"/>
      <c r="O733" s="20"/>
      <c r="P733" s="20"/>
      <c r="Q733" s="20"/>
      <c r="R733" s="20"/>
      <c r="S733" s="20"/>
      <c r="T733" s="20"/>
      <c r="U733" s="20"/>
      <c r="V733" s="20"/>
      <c r="W733" s="20"/>
      <c r="X733" s="20"/>
      <c r="Y733" s="20"/>
      <c r="Z733" s="20"/>
      <c r="AA733" s="20"/>
    </row>
    <row r="734" spans="1:27" ht="17.25" customHeight="1">
      <c r="A734" s="57"/>
      <c r="B734" s="57"/>
      <c r="C734" s="57"/>
      <c r="D734" s="57"/>
      <c r="E734" s="57"/>
      <c r="F734" s="57"/>
      <c r="G734" s="57"/>
      <c r="H734" s="20"/>
      <c r="I734" s="20"/>
      <c r="J734" s="20"/>
      <c r="K734" s="20"/>
      <c r="L734" s="20"/>
      <c r="M734" s="20"/>
      <c r="N734" s="20"/>
      <c r="O734" s="20"/>
      <c r="P734" s="20"/>
      <c r="Q734" s="20"/>
      <c r="R734" s="20"/>
      <c r="S734" s="20"/>
      <c r="T734" s="20"/>
      <c r="U734" s="20"/>
      <c r="V734" s="20"/>
      <c r="W734" s="20"/>
      <c r="X734" s="20"/>
      <c r="Y734" s="20"/>
      <c r="Z734" s="20"/>
      <c r="AA734" s="20"/>
    </row>
    <row r="735" spans="1:27" ht="17.25" customHeight="1">
      <c r="A735" s="57"/>
      <c r="B735" s="57"/>
      <c r="C735" s="57"/>
      <c r="D735" s="57"/>
      <c r="E735" s="57"/>
      <c r="F735" s="57"/>
      <c r="G735" s="57"/>
      <c r="H735" s="20"/>
      <c r="I735" s="20"/>
      <c r="J735" s="20"/>
      <c r="K735" s="20"/>
      <c r="L735" s="20"/>
      <c r="M735" s="20"/>
      <c r="N735" s="20"/>
      <c r="O735" s="20"/>
      <c r="P735" s="20"/>
      <c r="Q735" s="20"/>
      <c r="R735" s="20"/>
      <c r="S735" s="20"/>
      <c r="T735" s="20"/>
      <c r="U735" s="20"/>
      <c r="V735" s="20"/>
      <c r="W735" s="20"/>
      <c r="X735" s="20"/>
      <c r="Y735" s="20"/>
      <c r="Z735" s="20"/>
      <c r="AA735" s="20"/>
    </row>
    <row r="736" spans="1:27" ht="17.25" customHeight="1">
      <c r="A736" s="57"/>
      <c r="B736" s="57"/>
      <c r="C736" s="57"/>
      <c r="D736" s="57"/>
      <c r="E736" s="57"/>
      <c r="F736" s="57"/>
      <c r="G736" s="57"/>
      <c r="H736" s="20"/>
      <c r="I736" s="20"/>
      <c r="J736" s="20"/>
      <c r="K736" s="20"/>
      <c r="L736" s="20"/>
      <c r="M736" s="20"/>
      <c r="N736" s="20"/>
      <c r="O736" s="20"/>
      <c r="P736" s="20"/>
      <c r="Q736" s="20"/>
      <c r="R736" s="20"/>
      <c r="S736" s="20"/>
      <c r="T736" s="20"/>
      <c r="U736" s="20"/>
      <c r="V736" s="20"/>
      <c r="W736" s="20"/>
      <c r="X736" s="20"/>
      <c r="Y736" s="20"/>
      <c r="Z736" s="20"/>
      <c r="AA736" s="20"/>
    </row>
    <row r="737" spans="1:27" ht="17.25" customHeight="1">
      <c r="A737" s="57"/>
      <c r="B737" s="57"/>
      <c r="C737" s="57"/>
      <c r="D737" s="57"/>
      <c r="E737" s="57"/>
      <c r="F737" s="57"/>
      <c r="G737" s="57"/>
      <c r="H737" s="20"/>
      <c r="I737" s="20"/>
      <c r="J737" s="20"/>
      <c r="K737" s="20"/>
      <c r="L737" s="20"/>
      <c r="M737" s="20"/>
      <c r="N737" s="20"/>
      <c r="O737" s="20"/>
      <c r="P737" s="20"/>
      <c r="Q737" s="20"/>
      <c r="R737" s="20"/>
      <c r="S737" s="20"/>
      <c r="T737" s="20"/>
      <c r="U737" s="20"/>
      <c r="V737" s="20"/>
      <c r="W737" s="20"/>
      <c r="X737" s="20"/>
      <c r="Y737" s="20"/>
      <c r="Z737" s="20"/>
      <c r="AA737" s="20"/>
    </row>
    <row r="738" spans="1:27" ht="17.25" customHeight="1">
      <c r="A738" s="57"/>
      <c r="B738" s="57"/>
      <c r="C738" s="57"/>
      <c r="D738" s="57"/>
      <c r="E738" s="57"/>
      <c r="F738" s="57"/>
      <c r="G738" s="57"/>
      <c r="H738" s="20"/>
      <c r="I738" s="20"/>
      <c r="J738" s="20"/>
      <c r="K738" s="20"/>
      <c r="L738" s="20"/>
      <c r="M738" s="20"/>
      <c r="N738" s="20"/>
      <c r="O738" s="20"/>
      <c r="P738" s="20"/>
      <c r="Q738" s="20"/>
      <c r="R738" s="20"/>
      <c r="S738" s="20"/>
      <c r="T738" s="20"/>
      <c r="U738" s="20"/>
      <c r="V738" s="20"/>
      <c r="W738" s="20"/>
      <c r="X738" s="20"/>
      <c r="Y738" s="20"/>
      <c r="Z738" s="20"/>
      <c r="AA738" s="20"/>
    </row>
    <row r="739" spans="1:27" ht="17.25" customHeight="1">
      <c r="A739" s="57"/>
      <c r="B739" s="57"/>
      <c r="C739" s="57"/>
      <c r="D739" s="57"/>
      <c r="E739" s="57"/>
      <c r="F739" s="57"/>
      <c r="G739" s="57"/>
      <c r="H739" s="20"/>
      <c r="I739" s="20"/>
      <c r="J739" s="20"/>
      <c r="K739" s="20"/>
      <c r="L739" s="20"/>
      <c r="M739" s="20"/>
      <c r="N739" s="20"/>
      <c r="O739" s="20"/>
      <c r="P739" s="20"/>
      <c r="Q739" s="20"/>
      <c r="R739" s="20"/>
      <c r="S739" s="20"/>
      <c r="T739" s="20"/>
      <c r="U739" s="20"/>
      <c r="V739" s="20"/>
      <c r="W739" s="20"/>
      <c r="X739" s="20"/>
      <c r="Y739" s="20"/>
      <c r="Z739" s="20"/>
      <c r="AA739" s="20"/>
    </row>
    <row r="740" spans="1:27" ht="17.25" customHeight="1">
      <c r="A740" s="57"/>
      <c r="B740" s="57"/>
      <c r="C740" s="57"/>
      <c r="D740" s="57"/>
      <c r="E740" s="57"/>
      <c r="F740" s="57"/>
      <c r="G740" s="57"/>
      <c r="H740" s="20"/>
      <c r="I740" s="20"/>
      <c r="J740" s="20"/>
      <c r="K740" s="20"/>
      <c r="L740" s="20"/>
      <c r="M740" s="20"/>
      <c r="N740" s="20"/>
      <c r="O740" s="20"/>
      <c r="P740" s="20"/>
      <c r="Q740" s="20"/>
      <c r="R740" s="20"/>
      <c r="S740" s="20"/>
      <c r="T740" s="20"/>
      <c r="U740" s="20"/>
      <c r="V740" s="20"/>
      <c r="W740" s="20"/>
      <c r="X740" s="20"/>
      <c r="Y740" s="20"/>
      <c r="Z740" s="20"/>
      <c r="AA740" s="20"/>
    </row>
    <row r="741" spans="1:27" ht="17.25" customHeight="1">
      <c r="A741" s="57"/>
      <c r="B741" s="57"/>
      <c r="C741" s="57"/>
      <c r="D741" s="57"/>
      <c r="E741" s="57"/>
      <c r="F741" s="57"/>
      <c r="G741" s="57"/>
      <c r="H741" s="20"/>
      <c r="I741" s="20"/>
      <c r="J741" s="20"/>
      <c r="K741" s="20"/>
      <c r="L741" s="20"/>
      <c r="M741" s="20"/>
      <c r="N741" s="20"/>
      <c r="O741" s="20"/>
      <c r="P741" s="20"/>
      <c r="Q741" s="20"/>
      <c r="R741" s="20"/>
      <c r="S741" s="20"/>
      <c r="T741" s="20"/>
      <c r="U741" s="20"/>
      <c r="V741" s="20"/>
      <c r="W741" s="20"/>
      <c r="X741" s="20"/>
      <c r="Y741" s="20"/>
      <c r="Z741" s="20"/>
      <c r="AA741" s="20"/>
    </row>
    <row r="742" spans="1:27" ht="17.25" customHeight="1">
      <c r="A742" s="57"/>
      <c r="B742" s="57"/>
      <c r="C742" s="57"/>
      <c r="D742" s="57"/>
      <c r="E742" s="57"/>
      <c r="F742" s="57"/>
      <c r="G742" s="57"/>
      <c r="H742" s="20"/>
      <c r="I742" s="20"/>
      <c r="J742" s="20"/>
      <c r="K742" s="20"/>
      <c r="L742" s="20"/>
      <c r="M742" s="20"/>
      <c r="N742" s="20"/>
      <c r="O742" s="20"/>
      <c r="P742" s="20"/>
      <c r="Q742" s="20"/>
      <c r="R742" s="20"/>
      <c r="S742" s="20"/>
      <c r="T742" s="20"/>
      <c r="U742" s="20"/>
      <c r="V742" s="20"/>
      <c r="W742" s="20"/>
      <c r="X742" s="20"/>
      <c r="Y742" s="20"/>
      <c r="Z742" s="20"/>
      <c r="AA742" s="20"/>
    </row>
    <row r="743" spans="1:27" ht="17.25" customHeight="1">
      <c r="A743" s="57"/>
      <c r="B743" s="57"/>
      <c r="C743" s="57"/>
      <c r="D743" s="57"/>
      <c r="E743" s="57"/>
      <c r="F743" s="57"/>
      <c r="G743" s="57"/>
      <c r="H743" s="20"/>
      <c r="I743" s="20"/>
      <c r="J743" s="20"/>
      <c r="K743" s="20"/>
      <c r="L743" s="20"/>
      <c r="M743" s="20"/>
      <c r="N743" s="20"/>
      <c r="O743" s="20"/>
      <c r="P743" s="20"/>
      <c r="Q743" s="20"/>
      <c r="R743" s="20"/>
      <c r="S743" s="20"/>
      <c r="T743" s="20"/>
      <c r="U743" s="20"/>
      <c r="V743" s="20"/>
      <c r="W743" s="20"/>
      <c r="X743" s="20"/>
      <c r="Y743" s="20"/>
      <c r="Z743" s="20"/>
      <c r="AA743" s="20"/>
    </row>
    <row r="744" spans="1:27" ht="17.25" customHeight="1">
      <c r="A744" s="57"/>
      <c r="B744" s="57"/>
      <c r="C744" s="57"/>
      <c r="D744" s="57"/>
      <c r="E744" s="57"/>
      <c r="F744" s="57"/>
      <c r="G744" s="57"/>
      <c r="H744" s="20"/>
      <c r="I744" s="20"/>
      <c r="J744" s="20"/>
      <c r="K744" s="20"/>
      <c r="L744" s="20"/>
      <c r="M744" s="20"/>
      <c r="N744" s="20"/>
      <c r="O744" s="20"/>
      <c r="P744" s="20"/>
      <c r="Q744" s="20"/>
      <c r="R744" s="20"/>
      <c r="S744" s="20"/>
      <c r="T744" s="20"/>
      <c r="U744" s="20"/>
      <c r="V744" s="20"/>
      <c r="W744" s="20"/>
      <c r="X744" s="20"/>
      <c r="Y744" s="20"/>
      <c r="Z744" s="20"/>
      <c r="AA744" s="20"/>
    </row>
    <row r="745" spans="1:27" ht="17.25" customHeight="1">
      <c r="A745" s="57"/>
      <c r="B745" s="57"/>
      <c r="C745" s="57"/>
      <c r="D745" s="57"/>
      <c r="E745" s="57"/>
      <c r="F745" s="57"/>
      <c r="G745" s="57"/>
      <c r="H745" s="20"/>
      <c r="I745" s="20"/>
      <c r="J745" s="20"/>
      <c r="K745" s="20"/>
      <c r="L745" s="20"/>
      <c r="M745" s="20"/>
      <c r="N745" s="20"/>
      <c r="O745" s="20"/>
      <c r="P745" s="20"/>
      <c r="Q745" s="20"/>
      <c r="R745" s="20"/>
      <c r="S745" s="20"/>
      <c r="T745" s="20"/>
      <c r="U745" s="20"/>
      <c r="V745" s="20"/>
      <c r="W745" s="20"/>
      <c r="X745" s="20"/>
      <c r="Y745" s="20"/>
      <c r="Z745" s="20"/>
      <c r="AA745" s="20"/>
    </row>
    <row r="746" spans="1:27" ht="17.25" customHeight="1">
      <c r="A746" s="57"/>
      <c r="B746" s="57"/>
      <c r="C746" s="57"/>
      <c r="D746" s="57"/>
      <c r="E746" s="57"/>
      <c r="F746" s="57"/>
      <c r="G746" s="57"/>
      <c r="H746" s="20"/>
      <c r="I746" s="20"/>
      <c r="J746" s="20"/>
      <c r="K746" s="20"/>
      <c r="L746" s="20"/>
      <c r="M746" s="20"/>
      <c r="N746" s="20"/>
      <c r="O746" s="20"/>
      <c r="P746" s="20"/>
      <c r="Q746" s="20"/>
      <c r="R746" s="20"/>
      <c r="S746" s="20"/>
      <c r="T746" s="20"/>
      <c r="U746" s="20"/>
      <c r="V746" s="20"/>
      <c r="W746" s="20"/>
      <c r="X746" s="20"/>
      <c r="Y746" s="20"/>
      <c r="Z746" s="20"/>
      <c r="AA746" s="20"/>
    </row>
    <row r="747" spans="1:27" ht="17.25" customHeight="1">
      <c r="A747" s="57"/>
      <c r="B747" s="57"/>
      <c r="C747" s="57"/>
      <c r="D747" s="57"/>
      <c r="E747" s="57"/>
      <c r="F747" s="57"/>
      <c r="G747" s="57"/>
      <c r="H747" s="20"/>
      <c r="I747" s="20"/>
      <c r="J747" s="20"/>
      <c r="K747" s="20"/>
      <c r="L747" s="20"/>
      <c r="M747" s="20"/>
      <c r="N747" s="20"/>
      <c r="O747" s="20"/>
      <c r="P747" s="20"/>
      <c r="Q747" s="20"/>
      <c r="R747" s="20"/>
      <c r="S747" s="20"/>
      <c r="T747" s="20"/>
      <c r="U747" s="20"/>
      <c r="V747" s="20"/>
      <c r="W747" s="20"/>
      <c r="X747" s="20"/>
      <c r="Y747" s="20"/>
      <c r="Z747" s="20"/>
      <c r="AA747" s="20"/>
    </row>
    <row r="748" spans="1:27" ht="17.25" customHeight="1">
      <c r="A748" s="57"/>
      <c r="B748" s="57"/>
      <c r="C748" s="57"/>
      <c r="D748" s="57"/>
      <c r="E748" s="57"/>
      <c r="F748" s="57"/>
      <c r="G748" s="57"/>
      <c r="H748" s="20"/>
      <c r="I748" s="20"/>
      <c r="J748" s="20"/>
      <c r="K748" s="20"/>
      <c r="L748" s="20"/>
      <c r="M748" s="20"/>
      <c r="N748" s="20"/>
      <c r="O748" s="20"/>
      <c r="P748" s="20"/>
      <c r="Q748" s="20"/>
      <c r="R748" s="20"/>
      <c r="S748" s="20"/>
      <c r="T748" s="20"/>
      <c r="U748" s="20"/>
      <c r="V748" s="20"/>
      <c r="W748" s="20"/>
      <c r="X748" s="20"/>
      <c r="Y748" s="20"/>
      <c r="Z748" s="20"/>
      <c r="AA748" s="20"/>
    </row>
    <row r="749" spans="1:27" ht="17.25" customHeight="1">
      <c r="A749" s="57"/>
      <c r="B749" s="57"/>
      <c r="C749" s="57"/>
      <c r="D749" s="57"/>
      <c r="E749" s="57"/>
      <c r="F749" s="57"/>
      <c r="G749" s="57"/>
      <c r="H749" s="20"/>
      <c r="I749" s="20"/>
      <c r="J749" s="20"/>
      <c r="K749" s="20"/>
      <c r="L749" s="20"/>
      <c r="M749" s="20"/>
      <c r="N749" s="20"/>
      <c r="O749" s="20"/>
      <c r="P749" s="20"/>
      <c r="Q749" s="20"/>
      <c r="R749" s="20"/>
      <c r="S749" s="20"/>
      <c r="T749" s="20"/>
      <c r="U749" s="20"/>
      <c r="V749" s="20"/>
      <c r="W749" s="20"/>
      <c r="X749" s="20"/>
      <c r="Y749" s="20"/>
      <c r="Z749" s="20"/>
      <c r="AA749" s="20"/>
    </row>
    <row r="750" spans="1:27" ht="17.25" customHeight="1">
      <c r="A750" s="57"/>
      <c r="B750" s="57"/>
      <c r="C750" s="57"/>
      <c r="D750" s="57"/>
      <c r="E750" s="57"/>
      <c r="F750" s="57"/>
      <c r="G750" s="57"/>
      <c r="H750" s="20"/>
      <c r="I750" s="20"/>
      <c r="J750" s="20"/>
      <c r="K750" s="20"/>
      <c r="L750" s="20"/>
      <c r="M750" s="20"/>
      <c r="N750" s="20"/>
      <c r="O750" s="20"/>
      <c r="P750" s="20"/>
      <c r="Q750" s="20"/>
      <c r="R750" s="20"/>
      <c r="S750" s="20"/>
      <c r="T750" s="20"/>
      <c r="U750" s="20"/>
      <c r="V750" s="20"/>
      <c r="W750" s="20"/>
      <c r="X750" s="20"/>
      <c r="Y750" s="20"/>
      <c r="Z750" s="20"/>
      <c r="AA750" s="20"/>
    </row>
    <row r="751" spans="1:27" ht="17.25" customHeight="1">
      <c r="A751" s="57"/>
      <c r="B751" s="57"/>
      <c r="C751" s="57"/>
      <c r="D751" s="57"/>
      <c r="E751" s="57"/>
      <c r="F751" s="57"/>
      <c r="G751" s="57"/>
      <c r="H751" s="20"/>
      <c r="I751" s="20"/>
      <c r="J751" s="20"/>
      <c r="K751" s="20"/>
      <c r="L751" s="20"/>
      <c r="M751" s="20"/>
      <c r="N751" s="20"/>
      <c r="O751" s="20"/>
      <c r="P751" s="20"/>
      <c r="Q751" s="20"/>
      <c r="R751" s="20"/>
      <c r="S751" s="20"/>
      <c r="T751" s="20"/>
      <c r="U751" s="20"/>
      <c r="V751" s="20"/>
      <c r="W751" s="20"/>
      <c r="X751" s="20"/>
      <c r="Y751" s="20"/>
      <c r="Z751" s="20"/>
      <c r="AA751" s="20"/>
    </row>
    <row r="752" spans="1:27" ht="17.25" customHeight="1">
      <c r="A752" s="57"/>
      <c r="B752" s="57"/>
      <c r="C752" s="57"/>
      <c r="D752" s="57"/>
      <c r="E752" s="57"/>
      <c r="F752" s="57"/>
      <c r="G752" s="57"/>
      <c r="H752" s="20"/>
      <c r="I752" s="20"/>
      <c r="J752" s="20"/>
      <c r="K752" s="20"/>
      <c r="L752" s="20"/>
      <c r="M752" s="20"/>
      <c r="N752" s="20"/>
      <c r="O752" s="20"/>
      <c r="P752" s="20"/>
      <c r="Q752" s="20"/>
      <c r="R752" s="20"/>
      <c r="S752" s="20"/>
      <c r="T752" s="20"/>
      <c r="U752" s="20"/>
      <c r="V752" s="20"/>
      <c r="W752" s="20"/>
      <c r="X752" s="20"/>
      <c r="Y752" s="20"/>
      <c r="Z752" s="20"/>
      <c r="AA752" s="20"/>
    </row>
    <row r="753" spans="1:27" ht="17.25" customHeight="1">
      <c r="A753" s="57"/>
      <c r="B753" s="57"/>
      <c r="C753" s="57"/>
      <c r="D753" s="57"/>
      <c r="E753" s="57"/>
      <c r="F753" s="57"/>
      <c r="G753" s="57"/>
      <c r="H753" s="20"/>
      <c r="I753" s="20"/>
      <c r="J753" s="20"/>
      <c r="K753" s="20"/>
      <c r="L753" s="20"/>
      <c r="M753" s="20"/>
      <c r="N753" s="20"/>
      <c r="O753" s="20"/>
      <c r="P753" s="20"/>
      <c r="Q753" s="20"/>
      <c r="R753" s="20"/>
      <c r="S753" s="20"/>
      <c r="T753" s="20"/>
      <c r="U753" s="20"/>
      <c r="V753" s="20"/>
      <c r="W753" s="20"/>
      <c r="X753" s="20"/>
      <c r="Y753" s="20"/>
      <c r="Z753" s="20"/>
      <c r="AA753" s="20"/>
    </row>
    <row r="754" spans="1:27" ht="17.25" customHeight="1">
      <c r="A754" s="57"/>
      <c r="B754" s="57"/>
      <c r="C754" s="57"/>
      <c r="D754" s="57"/>
      <c r="E754" s="57"/>
      <c r="F754" s="57"/>
      <c r="G754" s="57"/>
      <c r="H754" s="20"/>
      <c r="I754" s="20"/>
      <c r="J754" s="20"/>
      <c r="K754" s="20"/>
      <c r="L754" s="20"/>
      <c r="M754" s="20"/>
      <c r="N754" s="20"/>
      <c r="O754" s="20"/>
      <c r="P754" s="20"/>
      <c r="Q754" s="20"/>
      <c r="R754" s="20"/>
      <c r="S754" s="20"/>
      <c r="T754" s="20"/>
      <c r="U754" s="20"/>
      <c r="V754" s="20"/>
      <c r="W754" s="20"/>
      <c r="X754" s="20"/>
      <c r="Y754" s="20"/>
      <c r="Z754" s="20"/>
      <c r="AA754" s="20"/>
    </row>
    <row r="755" spans="1:27" ht="17.25" customHeight="1">
      <c r="A755" s="57"/>
      <c r="B755" s="57"/>
      <c r="C755" s="57"/>
      <c r="D755" s="57"/>
      <c r="E755" s="57"/>
      <c r="F755" s="57"/>
      <c r="G755" s="57"/>
      <c r="H755" s="20"/>
      <c r="I755" s="20"/>
      <c r="J755" s="20"/>
      <c r="K755" s="20"/>
      <c r="L755" s="20"/>
      <c r="M755" s="20"/>
      <c r="N755" s="20"/>
      <c r="O755" s="20"/>
      <c r="P755" s="20"/>
      <c r="Q755" s="20"/>
      <c r="R755" s="20"/>
      <c r="S755" s="20"/>
      <c r="T755" s="20"/>
      <c r="U755" s="20"/>
      <c r="V755" s="20"/>
      <c r="W755" s="20"/>
      <c r="X755" s="20"/>
      <c r="Y755" s="20"/>
      <c r="Z755" s="20"/>
      <c r="AA755" s="20"/>
    </row>
    <row r="756" spans="1:27" ht="17.25" customHeight="1">
      <c r="A756" s="57"/>
      <c r="B756" s="57"/>
      <c r="C756" s="57"/>
      <c r="D756" s="57"/>
      <c r="E756" s="57"/>
      <c r="F756" s="57"/>
      <c r="G756" s="57"/>
      <c r="H756" s="20"/>
      <c r="I756" s="20"/>
      <c r="J756" s="20"/>
      <c r="K756" s="20"/>
      <c r="L756" s="20"/>
      <c r="M756" s="20"/>
      <c r="N756" s="20"/>
      <c r="O756" s="20"/>
      <c r="P756" s="20"/>
      <c r="Q756" s="20"/>
      <c r="R756" s="20"/>
      <c r="S756" s="20"/>
      <c r="T756" s="20"/>
      <c r="U756" s="20"/>
      <c r="V756" s="20"/>
      <c r="W756" s="20"/>
      <c r="X756" s="20"/>
      <c r="Y756" s="20"/>
      <c r="Z756" s="20"/>
      <c r="AA756" s="20"/>
    </row>
    <row r="757" spans="1:27" ht="17.25" customHeight="1">
      <c r="A757" s="57"/>
      <c r="B757" s="57"/>
      <c r="C757" s="57"/>
      <c r="D757" s="57"/>
      <c r="E757" s="57"/>
      <c r="F757" s="57"/>
      <c r="G757" s="57"/>
      <c r="H757" s="20"/>
      <c r="I757" s="20"/>
      <c r="J757" s="20"/>
      <c r="K757" s="20"/>
      <c r="L757" s="20"/>
      <c r="M757" s="20"/>
      <c r="N757" s="20"/>
      <c r="O757" s="20"/>
      <c r="P757" s="20"/>
      <c r="Q757" s="20"/>
      <c r="R757" s="20"/>
      <c r="S757" s="20"/>
      <c r="T757" s="20"/>
      <c r="U757" s="20"/>
      <c r="V757" s="20"/>
      <c r="W757" s="20"/>
      <c r="X757" s="20"/>
      <c r="Y757" s="20"/>
      <c r="Z757" s="20"/>
      <c r="AA757" s="20"/>
    </row>
    <row r="758" spans="1:27" ht="17.25" customHeight="1">
      <c r="A758" s="57"/>
      <c r="B758" s="57"/>
      <c r="C758" s="57"/>
      <c r="D758" s="57"/>
      <c r="E758" s="57"/>
      <c r="F758" s="57"/>
      <c r="G758" s="57"/>
      <c r="H758" s="20"/>
      <c r="I758" s="20"/>
      <c r="J758" s="20"/>
      <c r="K758" s="20"/>
      <c r="L758" s="20"/>
      <c r="M758" s="20"/>
      <c r="N758" s="20"/>
      <c r="O758" s="20"/>
      <c r="P758" s="20"/>
      <c r="Q758" s="20"/>
      <c r="R758" s="20"/>
      <c r="S758" s="20"/>
      <c r="T758" s="20"/>
      <c r="U758" s="20"/>
      <c r="V758" s="20"/>
      <c r="W758" s="20"/>
      <c r="X758" s="20"/>
      <c r="Y758" s="20"/>
      <c r="Z758" s="20"/>
      <c r="AA758" s="20"/>
    </row>
    <row r="759" spans="1:27" ht="17.25" customHeight="1">
      <c r="A759" s="57"/>
      <c r="B759" s="57"/>
      <c r="C759" s="57"/>
      <c r="D759" s="57"/>
      <c r="E759" s="57"/>
      <c r="F759" s="57"/>
      <c r="G759" s="57"/>
      <c r="H759" s="20"/>
      <c r="I759" s="20"/>
      <c r="J759" s="20"/>
      <c r="K759" s="20"/>
      <c r="L759" s="20"/>
      <c r="M759" s="20"/>
      <c r="N759" s="20"/>
      <c r="O759" s="20"/>
      <c r="P759" s="20"/>
      <c r="Q759" s="20"/>
      <c r="R759" s="20"/>
      <c r="S759" s="20"/>
      <c r="T759" s="20"/>
      <c r="U759" s="20"/>
      <c r="V759" s="20"/>
      <c r="W759" s="20"/>
      <c r="X759" s="20"/>
      <c r="Y759" s="20"/>
      <c r="Z759" s="20"/>
      <c r="AA759" s="20"/>
    </row>
    <row r="760" spans="1:27" ht="17.25" customHeight="1">
      <c r="A760" s="57"/>
      <c r="B760" s="57"/>
      <c r="C760" s="57"/>
      <c r="D760" s="57"/>
      <c r="E760" s="57"/>
      <c r="F760" s="57"/>
      <c r="G760" s="57"/>
      <c r="H760" s="20"/>
      <c r="I760" s="20"/>
      <c r="J760" s="20"/>
      <c r="K760" s="20"/>
      <c r="L760" s="20"/>
      <c r="M760" s="20"/>
      <c r="N760" s="20"/>
      <c r="O760" s="20"/>
      <c r="P760" s="20"/>
      <c r="Q760" s="20"/>
      <c r="R760" s="20"/>
      <c r="S760" s="20"/>
      <c r="T760" s="20"/>
      <c r="U760" s="20"/>
      <c r="V760" s="20"/>
      <c r="W760" s="20"/>
      <c r="X760" s="20"/>
      <c r="Y760" s="20"/>
      <c r="Z760" s="20"/>
      <c r="AA760" s="20"/>
    </row>
    <row r="761" spans="1:27" ht="17.25" customHeight="1">
      <c r="A761" s="57"/>
      <c r="B761" s="57"/>
      <c r="C761" s="57"/>
      <c r="D761" s="57"/>
      <c r="E761" s="57"/>
      <c r="F761" s="57"/>
      <c r="G761" s="57"/>
      <c r="H761" s="20"/>
      <c r="I761" s="20"/>
      <c r="J761" s="20"/>
      <c r="K761" s="20"/>
      <c r="L761" s="20"/>
      <c r="M761" s="20"/>
      <c r="N761" s="20"/>
      <c r="O761" s="20"/>
      <c r="P761" s="20"/>
      <c r="Q761" s="20"/>
      <c r="R761" s="20"/>
      <c r="S761" s="20"/>
      <c r="T761" s="20"/>
      <c r="U761" s="20"/>
      <c r="V761" s="20"/>
      <c r="W761" s="20"/>
      <c r="X761" s="20"/>
      <c r="Y761" s="20"/>
      <c r="Z761" s="20"/>
      <c r="AA761" s="20"/>
    </row>
    <row r="762" spans="1:27" ht="17.25" customHeight="1">
      <c r="A762" s="57"/>
      <c r="B762" s="57"/>
      <c r="C762" s="57"/>
      <c r="D762" s="57"/>
      <c r="E762" s="57"/>
      <c r="F762" s="57"/>
      <c r="G762" s="57"/>
      <c r="H762" s="20"/>
      <c r="I762" s="20"/>
      <c r="J762" s="20"/>
      <c r="K762" s="20"/>
      <c r="L762" s="20"/>
      <c r="M762" s="20"/>
      <c r="N762" s="20"/>
      <c r="O762" s="20"/>
      <c r="P762" s="20"/>
      <c r="Q762" s="20"/>
      <c r="R762" s="20"/>
      <c r="S762" s="20"/>
      <c r="T762" s="20"/>
      <c r="U762" s="20"/>
      <c r="V762" s="20"/>
      <c r="W762" s="20"/>
      <c r="X762" s="20"/>
      <c r="Y762" s="20"/>
      <c r="Z762" s="20"/>
      <c r="AA762" s="20"/>
    </row>
    <row r="763" spans="1:27" ht="17.25" customHeight="1">
      <c r="A763" s="57"/>
      <c r="B763" s="57"/>
      <c r="C763" s="57"/>
      <c r="D763" s="57"/>
      <c r="E763" s="57"/>
      <c r="F763" s="57"/>
      <c r="G763" s="57"/>
      <c r="H763" s="20"/>
      <c r="I763" s="20"/>
      <c r="J763" s="20"/>
      <c r="K763" s="20"/>
      <c r="L763" s="20"/>
      <c r="M763" s="20"/>
      <c r="N763" s="20"/>
      <c r="O763" s="20"/>
      <c r="P763" s="20"/>
      <c r="Q763" s="20"/>
      <c r="R763" s="20"/>
      <c r="S763" s="20"/>
      <c r="T763" s="20"/>
      <c r="U763" s="20"/>
      <c r="V763" s="20"/>
      <c r="W763" s="20"/>
      <c r="X763" s="20"/>
      <c r="Y763" s="20"/>
      <c r="Z763" s="20"/>
      <c r="AA763" s="20"/>
    </row>
    <row r="764" spans="1:27" ht="17.25" customHeight="1">
      <c r="A764" s="57"/>
      <c r="B764" s="57"/>
      <c r="C764" s="57"/>
      <c r="D764" s="57"/>
      <c r="E764" s="57"/>
      <c r="F764" s="57"/>
      <c r="G764" s="57"/>
      <c r="H764" s="20"/>
      <c r="I764" s="20"/>
      <c r="J764" s="20"/>
      <c r="K764" s="20"/>
      <c r="L764" s="20"/>
      <c r="M764" s="20"/>
      <c r="N764" s="20"/>
      <c r="O764" s="20"/>
      <c r="P764" s="20"/>
      <c r="Q764" s="20"/>
      <c r="R764" s="20"/>
      <c r="S764" s="20"/>
      <c r="T764" s="20"/>
      <c r="U764" s="20"/>
      <c r="V764" s="20"/>
      <c r="W764" s="20"/>
      <c r="X764" s="20"/>
      <c r="Y764" s="20"/>
      <c r="Z764" s="20"/>
      <c r="AA764" s="20"/>
    </row>
    <row r="765" spans="1:27" ht="17.25" customHeight="1">
      <c r="A765" s="57"/>
      <c r="B765" s="57"/>
      <c r="C765" s="57"/>
      <c r="D765" s="57"/>
      <c r="E765" s="57"/>
      <c r="F765" s="57"/>
      <c r="G765" s="57"/>
      <c r="H765" s="20"/>
      <c r="I765" s="20"/>
      <c r="J765" s="20"/>
      <c r="K765" s="20"/>
      <c r="L765" s="20"/>
      <c r="M765" s="20"/>
      <c r="N765" s="20"/>
      <c r="O765" s="20"/>
      <c r="P765" s="20"/>
      <c r="Q765" s="20"/>
      <c r="R765" s="20"/>
      <c r="S765" s="20"/>
      <c r="T765" s="20"/>
      <c r="U765" s="20"/>
      <c r="V765" s="20"/>
      <c r="W765" s="20"/>
      <c r="X765" s="20"/>
      <c r="Y765" s="20"/>
      <c r="Z765" s="20"/>
      <c r="AA765" s="20"/>
    </row>
    <row r="766" spans="1:27" ht="17.25" customHeight="1">
      <c r="A766" s="57"/>
      <c r="B766" s="57"/>
      <c r="C766" s="57"/>
      <c r="D766" s="57"/>
      <c r="E766" s="57"/>
      <c r="F766" s="57"/>
      <c r="G766" s="57"/>
      <c r="H766" s="20"/>
      <c r="I766" s="20"/>
      <c r="J766" s="20"/>
      <c r="K766" s="20"/>
      <c r="L766" s="20"/>
      <c r="M766" s="20"/>
      <c r="N766" s="20"/>
      <c r="O766" s="20"/>
      <c r="P766" s="20"/>
      <c r="Q766" s="20"/>
      <c r="R766" s="20"/>
      <c r="S766" s="20"/>
      <c r="T766" s="20"/>
      <c r="U766" s="20"/>
      <c r="V766" s="20"/>
      <c r="W766" s="20"/>
      <c r="X766" s="20"/>
      <c r="Y766" s="20"/>
      <c r="Z766" s="20"/>
      <c r="AA766" s="20"/>
    </row>
    <row r="767" spans="1:27" ht="17.25" customHeight="1">
      <c r="A767" s="57"/>
      <c r="B767" s="57"/>
      <c r="C767" s="57"/>
      <c r="D767" s="57"/>
      <c r="E767" s="57"/>
      <c r="F767" s="57"/>
      <c r="G767" s="57"/>
      <c r="H767" s="20"/>
      <c r="I767" s="20"/>
      <c r="J767" s="20"/>
      <c r="K767" s="20"/>
      <c r="L767" s="20"/>
      <c r="M767" s="20"/>
      <c r="N767" s="20"/>
      <c r="O767" s="20"/>
      <c r="P767" s="20"/>
      <c r="Q767" s="20"/>
      <c r="R767" s="20"/>
      <c r="S767" s="20"/>
      <c r="T767" s="20"/>
      <c r="U767" s="20"/>
      <c r="V767" s="20"/>
      <c r="W767" s="20"/>
      <c r="X767" s="20"/>
      <c r="Y767" s="20"/>
      <c r="Z767" s="20"/>
      <c r="AA767" s="20"/>
    </row>
    <row r="768" spans="1:27" ht="17.25" customHeight="1">
      <c r="A768" s="57"/>
      <c r="B768" s="57"/>
      <c r="C768" s="57"/>
      <c r="D768" s="57"/>
      <c r="E768" s="57"/>
      <c r="F768" s="57"/>
      <c r="G768" s="57"/>
      <c r="H768" s="20"/>
      <c r="I768" s="20"/>
      <c r="J768" s="20"/>
      <c r="K768" s="20"/>
      <c r="L768" s="20"/>
      <c r="M768" s="20"/>
      <c r="N768" s="20"/>
      <c r="O768" s="20"/>
      <c r="P768" s="20"/>
      <c r="Q768" s="20"/>
      <c r="R768" s="20"/>
      <c r="S768" s="20"/>
      <c r="T768" s="20"/>
      <c r="U768" s="20"/>
      <c r="V768" s="20"/>
      <c r="W768" s="20"/>
      <c r="X768" s="20"/>
      <c r="Y768" s="20"/>
      <c r="Z768" s="20"/>
      <c r="AA768" s="20"/>
    </row>
    <row r="769" spans="1:27" ht="17.25" customHeight="1">
      <c r="A769" s="57"/>
      <c r="B769" s="57"/>
      <c r="C769" s="57"/>
      <c r="D769" s="57"/>
      <c r="E769" s="57"/>
      <c r="F769" s="57"/>
      <c r="G769" s="57"/>
      <c r="H769" s="20"/>
      <c r="I769" s="20"/>
      <c r="J769" s="20"/>
      <c r="K769" s="20"/>
      <c r="L769" s="20"/>
      <c r="M769" s="20"/>
      <c r="N769" s="20"/>
      <c r="O769" s="20"/>
      <c r="P769" s="20"/>
      <c r="Q769" s="20"/>
      <c r="R769" s="20"/>
      <c r="S769" s="20"/>
      <c r="T769" s="20"/>
      <c r="U769" s="20"/>
      <c r="V769" s="20"/>
      <c r="W769" s="20"/>
      <c r="X769" s="20"/>
      <c r="Y769" s="20"/>
      <c r="Z769" s="20"/>
      <c r="AA769" s="20"/>
    </row>
    <row r="770" spans="1:27" ht="17.25" customHeight="1">
      <c r="A770" s="57"/>
      <c r="B770" s="57"/>
      <c r="C770" s="57"/>
      <c r="D770" s="57"/>
      <c r="E770" s="57"/>
      <c r="F770" s="57"/>
      <c r="G770" s="57"/>
      <c r="H770" s="20"/>
      <c r="I770" s="20"/>
      <c r="J770" s="20"/>
      <c r="K770" s="20"/>
      <c r="L770" s="20"/>
      <c r="M770" s="20"/>
      <c r="N770" s="20"/>
      <c r="O770" s="20"/>
      <c r="P770" s="20"/>
      <c r="Q770" s="20"/>
      <c r="R770" s="20"/>
      <c r="S770" s="20"/>
      <c r="T770" s="20"/>
      <c r="U770" s="20"/>
      <c r="V770" s="20"/>
      <c r="W770" s="20"/>
      <c r="X770" s="20"/>
      <c r="Y770" s="20"/>
      <c r="Z770" s="20"/>
      <c r="AA770" s="20"/>
    </row>
    <row r="771" spans="1:27" ht="17.25" customHeight="1">
      <c r="A771" s="57"/>
      <c r="B771" s="57"/>
      <c r="C771" s="57"/>
      <c r="D771" s="57"/>
      <c r="E771" s="57"/>
      <c r="F771" s="57"/>
      <c r="G771" s="57"/>
      <c r="H771" s="20"/>
      <c r="I771" s="20"/>
      <c r="J771" s="20"/>
      <c r="K771" s="20"/>
      <c r="L771" s="20"/>
      <c r="M771" s="20"/>
      <c r="N771" s="20"/>
      <c r="O771" s="20"/>
      <c r="P771" s="20"/>
      <c r="Q771" s="20"/>
      <c r="R771" s="20"/>
      <c r="S771" s="20"/>
      <c r="T771" s="20"/>
      <c r="U771" s="20"/>
      <c r="V771" s="20"/>
      <c r="W771" s="20"/>
      <c r="X771" s="20"/>
      <c r="Y771" s="20"/>
      <c r="Z771" s="20"/>
      <c r="AA771" s="20"/>
    </row>
    <row r="772" spans="1:27" ht="17.25" customHeight="1">
      <c r="A772" s="57"/>
      <c r="B772" s="57"/>
      <c r="C772" s="57"/>
      <c r="D772" s="57"/>
      <c r="E772" s="57"/>
      <c r="F772" s="57"/>
      <c r="G772" s="57"/>
      <c r="H772" s="20"/>
      <c r="I772" s="20"/>
      <c r="J772" s="20"/>
      <c r="K772" s="20"/>
      <c r="L772" s="20"/>
      <c r="M772" s="20"/>
      <c r="N772" s="20"/>
      <c r="O772" s="20"/>
      <c r="P772" s="20"/>
      <c r="Q772" s="20"/>
      <c r="R772" s="20"/>
      <c r="S772" s="20"/>
      <c r="T772" s="20"/>
      <c r="U772" s="20"/>
      <c r="V772" s="20"/>
      <c r="W772" s="20"/>
      <c r="X772" s="20"/>
      <c r="Y772" s="20"/>
      <c r="Z772" s="20"/>
      <c r="AA772" s="20"/>
    </row>
    <row r="773" spans="1:27" ht="17.25" customHeight="1">
      <c r="A773" s="57"/>
      <c r="B773" s="57"/>
      <c r="C773" s="57"/>
      <c r="D773" s="57"/>
      <c r="E773" s="57"/>
      <c r="F773" s="57"/>
      <c r="G773" s="57"/>
      <c r="H773" s="20"/>
      <c r="I773" s="20"/>
      <c r="J773" s="20"/>
      <c r="K773" s="20"/>
      <c r="L773" s="20"/>
      <c r="M773" s="20"/>
      <c r="N773" s="20"/>
      <c r="O773" s="20"/>
      <c r="P773" s="20"/>
      <c r="Q773" s="20"/>
      <c r="R773" s="20"/>
      <c r="S773" s="20"/>
      <c r="T773" s="20"/>
      <c r="U773" s="20"/>
      <c r="V773" s="20"/>
      <c r="W773" s="20"/>
      <c r="X773" s="20"/>
      <c r="Y773" s="20"/>
      <c r="Z773" s="20"/>
      <c r="AA773" s="20"/>
    </row>
    <row r="774" spans="1:27" ht="17.25" customHeight="1">
      <c r="A774" s="57"/>
      <c r="B774" s="57"/>
      <c r="C774" s="57"/>
      <c r="D774" s="57"/>
      <c r="E774" s="57"/>
      <c r="F774" s="57"/>
      <c r="G774" s="57"/>
      <c r="H774" s="20"/>
      <c r="I774" s="20"/>
      <c r="J774" s="20"/>
      <c r="K774" s="20"/>
      <c r="L774" s="20"/>
      <c r="M774" s="20"/>
      <c r="N774" s="20"/>
      <c r="O774" s="20"/>
      <c r="P774" s="20"/>
      <c r="Q774" s="20"/>
      <c r="R774" s="20"/>
      <c r="S774" s="20"/>
      <c r="T774" s="20"/>
      <c r="U774" s="20"/>
      <c r="V774" s="20"/>
      <c r="W774" s="20"/>
      <c r="X774" s="20"/>
      <c r="Y774" s="20"/>
      <c r="Z774" s="20"/>
      <c r="AA774" s="20"/>
    </row>
    <row r="775" spans="1:27" ht="17.25" customHeight="1">
      <c r="A775" s="57"/>
      <c r="B775" s="57"/>
      <c r="C775" s="57"/>
      <c r="D775" s="57"/>
      <c r="E775" s="57"/>
      <c r="F775" s="57"/>
      <c r="G775" s="57"/>
      <c r="H775" s="20"/>
      <c r="I775" s="20"/>
      <c r="J775" s="20"/>
      <c r="K775" s="20"/>
      <c r="L775" s="20"/>
      <c r="M775" s="20"/>
      <c r="N775" s="20"/>
      <c r="O775" s="20"/>
      <c r="P775" s="20"/>
      <c r="Q775" s="20"/>
      <c r="R775" s="20"/>
      <c r="S775" s="20"/>
      <c r="T775" s="20"/>
      <c r="U775" s="20"/>
      <c r="V775" s="20"/>
      <c r="W775" s="20"/>
      <c r="X775" s="20"/>
      <c r="Y775" s="20"/>
      <c r="Z775" s="20"/>
      <c r="AA775" s="20"/>
    </row>
    <row r="776" spans="1:27" ht="17.25" customHeight="1">
      <c r="A776" s="57"/>
      <c r="B776" s="57"/>
      <c r="C776" s="57"/>
      <c r="D776" s="57"/>
      <c r="E776" s="57"/>
      <c r="F776" s="57"/>
      <c r="G776" s="57"/>
      <c r="H776" s="20"/>
      <c r="I776" s="20"/>
      <c r="J776" s="20"/>
      <c r="K776" s="20"/>
      <c r="L776" s="20"/>
      <c r="M776" s="20"/>
      <c r="N776" s="20"/>
      <c r="O776" s="20"/>
      <c r="P776" s="20"/>
      <c r="Q776" s="20"/>
      <c r="R776" s="20"/>
      <c r="S776" s="20"/>
      <c r="T776" s="20"/>
      <c r="U776" s="20"/>
      <c r="V776" s="20"/>
      <c r="W776" s="20"/>
      <c r="X776" s="20"/>
      <c r="Y776" s="20"/>
      <c r="Z776" s="20"/>
      <c r="AA776" s="20"/>
    </row>
    <row r="777" spans="1:27" ht="17.25" customHeight="1">
      <c r="A777" s="57"/>
      <c r="B777" s="57"/>
      <c r="C777" s="57"/>
      <c r="D777" s="57"/>
      <c r="E777" s="57"/>
      <c r="F777" s="57"/>
      <c r="G777" s="57"/>
      <c r="H777" s="20"/>
      <c r="I777" s="20"/>
      <c r="J777" s="20"/>
      <c r="K777" s="20"/>
      <c r="L777" s="20"/>
      <c r="M777" s="20"/>
      <c r="N777" s="20"/>
      <c r="O777" s="20"/>
      <c r="P777" s="20"/>
      <c r="Q777" s="20"/>
      <c r="R777" s="20"/>
      <c r="S777" s="20"/>
      <c r="T777" s="20"/>
      <c r="U777" s="20"/>
      <c r="V777" s="20"/>
      <c r="W777" s="20"/>
      <c r="X777" s="20"/>
      <c r="Y777" s="20"/>
      <c r="Z777" s="20"/>
      <c r="AA777" s="20"/>
    </row>
    <row r="778" spans="1:27" ht="17.25" customHeight="1">
      <c r="A778" s="57"/>
      <c r="B778" s="57"/>
      <c r="C778" s="57"/>
      <c r="D778" s="57"/>
      <c r="E778" s="57"/>
      <c r="F778" s="57"/>
      <c r="G778" s="57"/>
      <c r="H778" s="20"/>
      <c r="I778" s="20"/>
      <c r="J778" s="20"/>
      <c r="K778" s="20"/>
      <c r="L778" s="20"/>
      <c r="M778" s="20"/>
      <c r="N778" s="20"/>
      <c r="O778" s="20"/>
      <c r="P778" s="20"/>
      <c r="Q778" s="20"/>
      <c r="R778" s="20"/>
      <c r="S778" s="20"/>
      <c r="T778" s="20"/>
      <c r="U778" s="20"/>
      <c r="V778" s="20"/>
      <c r="W778" s="20"/>
      <c r="X778" s="20"/>
      <c r="Y778" s="20"/>
      <c r="Z778" s="20"/>
      <c r="AA778" s="20"/>
    </row>
    <row r="779" spans="1:27" ht="17.25" customHeight="1">
      <c r="A779" s="57"/>
      <c r="B779" s="57"/>
      <c r="C779" s="57"/>
      <c r="D779" s="57"/>
      <c r="E779" s="57"/>
      <c r="F779" s="57"/>
      <c r="G779" s="57"/>
      <c r="H779" s="20"/>
      <c r="I779" s="20"/>
      <c r="J779" s="20"/>
      <c r="K779" s="20"/>
      <c r="L779" s="20"/>
      <c r="M779" s="20"/>
      <c r="N779" s="20"/>
      <c r="O779" s="20"/>
      <c r="P779" s="20"/>
      <c r="Q779" s="20"/>
      <c r="R779" s="20"/>
      <c r="S779" s="20"/>
      <c r="T779" s="20"/>
      <c r="U779" s="20"/>
      <c r="V779" s="20"/>
      <c r="W779" s="20"/>
      <c r="X779" s="20"/>
      <c r="Y779" s="20"/>
      <c r="Z779" s="20"/>
      <c r="AA779" s="20"/>
    </row>
    <row r="780" spans="1:27" ht="17.25" customHeight="1">
      <c r="A780" s="57"/>
      <c r="B780" s="57"/>
      <c r="C780" s="57"/>
      <c r="D780" s="57"/>
      <c r="E780" s="57"/>
      <c r="F780" s="57"/>
      <c r="G780" s="57"/>
      <c r="H780" s="20"/>
      <c r="I780" s="20"/>
      <c r="J780" s="20"/>
      <c r="K780" s="20"/>
      <c r="L780" s="20"/>
      <c r="M780" s="20"/>
      <c r="N780" s="20"/>
      <c r="O780" s="20"/>
      <c r="P780" s="20"/>
      <c r="Q780" s="20"/>
      <c r="R780" s="20"/>
      <c r="S780" s="20"/>
      <c r="T780" s="20"/>
      <c r="U780" s="20"/>
      <c r="V780" s="20"/>
      <c r="W780" s="20"/>
      <c r="X780" s="20"/>
      <c r="Y780" s="20"/>
      <c r="Z780" s="20"/>
      <c r="AA780" s="20"/>
    </row>
    <row r="781" spans="1:27" ht="17.25" customHeight="1">
      <c r="A781" s="57"/>
      <c r="B781" s="57"/>
      <c r="C781" s="57"/>
      <c r="D781" s="57"/>
      <c r="E781" s="57"/>
      <c r="F781" s="57"/>
      <c r="G781" s="57"/>
      <c r="H781" s="20"/>
      <c r="I781" s="20"/>
      <c r="J781" s="20"/>
      <c r="K781" s="20"/>
      <c r="L781" s="20"/>
      <c r="M781" s="20"/>
      <c r="N781" s="20"/>
      <c r="O781" s="20"/>
      <c r="P781" s="20"/>
      <c r="Q781" s="20"/>
      <c r="R781" s="20"/>
      <c r="S781" s="20"/>
      <c r="T781" s="20"/>
      <c r="U781" s="20"/>
      <c r="V781" s="20"/>
      <c r="W781" s="20"/>
      <c r="X781" s="20"/>
      <c r="Y781" s="20"/>
      <c r="Z781" s="20"/>
      <c r="AA781" s="20"/>
    </row>
    <row r="782" spans="1:27" ht="17.25" customHeight="1">
      <c r="A782" s="57"/>
      <c r="B782" s="57"/>
      <c r="C782" s="57"/>
      <c r="D782" s="57"/>
      <c r="E782" s="57"/>
      <c r="F782" s="57"/>
      <c r="G782" s="57"/>
      <c r="H782" s="20"/>
      <c r="I782" s="20"/>
      <c r="J782" s="20"/>
      <c r="K782" s="20"/>
      <c r="L782" s="20"/>
      <c r="M782" s="20"/>
      <c r="N782" s="20"/>
      <c r="O782" s="20"/>
      <c r="P782" s="20"/>
      <c r="Q782" s="20"/>
      <c r="R782" s="20"/>
      <c r="S782" s="20"/>
      <c r="T782" s="20"/>
      <c r="U782" s="20"/>
      <c r="V782" s="20"/>
      <c r="W782" s="20"/>
      <c r="X782" s="20"/>
      <c r="Y782" s="20"/>
      <c r="Z782" s="20"/>
      <c r="AA782" s="20"/>
    </row>
    <row r="783" spans="1:27" ht="17.25" customHeight="1">
      <c r="A783" s="57"/>
      <c r="B783" s="57"/>
      <c r="C783" s="57"/>
      <c r="D783" s="57"/>
      <c r="E783" s="57"/>
      <c r="F783" s="57"/>
      <c r="G783" s="57"/>
      <c r="H783" s="20"/>
      <c r="I783" s="20"/>
      <c r="J783" s="20"/>
      <c r="K783" s="20"/>
      <c r="L783" s="20"/>
      <c r="M783" s="20"/>
      <c r="N783" s="20"/>
      <c r="O783" s="20"/>
      <c r="P783" s="20"/>
      <c r="Q783" s="20"/>
      <c r="R783" s="20"/>
      <c r="S783" s="20"/>
      <c r="T783" s="20"/>
      <c r="U783" s="20"/>
      <c r="V783" s="20"/>
      <c r="W783" s="20"/>
      <c r="X783" s="20"/>
      <c r="Y783" s="20"/>
      <c r="Z783" s="20"/>
      <c r="AA783" s="20"/>
    </row>
    <row r="784" spans="1:27" ht="17.25" customHeight="1">
      <c r="A784" s="57"/>
      <c r="B784" s="57"/>
      <c r="C784" s="57"/>
      <c r="D784" s="57"/>
      <c r="E784" s="57"/>
      <c r="F784" s="57"/>
      <c r="G784" s="57"/>
      <c r="H784" s="20"/>
      <c r="I784" s="20"/>
      <c r="J784" s="20"/>
      <c r="K784" s="20"/>
      <c r="L784" s="20"/>
      <c r="M784" s="20"/>
      <c r="N784" s="20"/>
      <c r="O784" s="20"/>
      <c r="P784" s="20"/>
      <c r="Q784" s="20"/>
      <c r="R784" s="20"/>
      <c r="S784" s="20"/>
      <c r="T784" s="20"/>
      <c r="U784" s="20"/>
      <c r="V784" s="20"/>
      <c r="W784" s="20"/>
      <c r="X784" s="20"/>
      <c r="Y784" s="20"/>
      <c r="Z784" s="20"/>
      <c r="AA784" s="20"/>
    </row>
    <row r="785" spans="1:27" ht="17.25" customHeight="1">
      <c r="A785" s="57"/>
      <c r="B785" s="57"/>
      <c r="C785" s="57"/>
      <c r="D785" s="57"/>
      <c r="E785" s="57"/>
      <c r="F785" s="57"/>
      <c r="G785" s="57"/>
      <c r="H785" s="20"/>
      <c r="I785" s="20"/>
      <c r="J785" s="20"/>
      <c r="K785" s="20"/>
      <c r="L785" s="20"/>
      <c r="M785" s="20"/>
      <c r="N785" s="20"/>
      <c r="O785" s="20"/>
      <c r="P785" s="20"/>
      <c r="Q785" s="20"/>
      <c r="R785" s="20"/>
      <c r="S785" s="20"/>
      <c r="T785" s="20"/>
      <c r="U785" s="20"/>
      <c r="V785" s="20"/>
      <c r="W785" s="20"/>
      <c r="X785" s="20"/>
      <c r="Y785" s="20"/>
      <c r="Z785" s="20"/>
      <c r="AA785" s="20"/>
    </row>
    <row r="786" spans="1:27" ht="17.25" customHeight="1">
      <c r="A786" s="57"/>
      <c r="B786" s="57"/>
      <c r="C786" s="57"/>
      <c r="D786" s="57"/>
      <c r="E786" s="57"/>
      <c r="F786" s="57"/>
      <c r="G786" s="57"/>
      <c r="H786" s="20"/>
      <c r="I786" s="20"/>
      <c r="J786" s="20"/>
      <c r="K786" s="20"/>
      <c r="L786" s="20"/>
      <c r="M786" s="20"/>
      <c r="N786" s="20"/>
      <c r="O786" s="20"/>
      <c r="P786" s="20"/>
      <c r="Q786" s="20"/>
      <c r="R786" s="20"/>
      <c r="S786" s="20"/>
      <c r="T786" s="20"/>
      <c r="U786" s="20"/>
      <c r="V786" s="20"/>
      <c r="W786" s="20"/>
      <c r="X786" s="20"/>
      <c r="Y786" s="20"/>
      <c r="Z786" s="20"/>
      <c r="AA786" s="20"/>
    </row>
    <row r="787" spans="1:27" ht="17.25" customHeight="1">
      <c r="A787" s="57"/>
      <c r="B787" s="57"/>
      <c r="C787" s="57"/>
      <c r="D787" s="57"/>
      <c r="E787" s="57"/>
      <c r="F787" s="57"/>
      <c r="G787" s="57"/>
      <c r="H787" s="20"/>
      <c r="I787" s="20"/>
      <c r="J787" s="20"/>
      <c r="K787" s="20"/>
      <c r="L787" s="20"/>
      <c r="M787" s="20"/>
      <c r="N787" s="20"/>
      <c r="O787" s="20"/>
      <c r="P787" s="20"/>
      <c r="Q787" s="20"/>
      <c r="R787" s="20"/>
      <c r="S787" s="20"/>
      <c r="T787" s="20"/>
      <c r="U787" s="20"/>
      <c r="V787" s="20"/>
      <c r="W787" s="20"/>
      <c r="X787" s="20"/>
      <c r="Y787" s="20"/>
      <c r="Z787" s="20"/>
      <c r="AA787" s="20"/>
    </row>
    <row r="788" spans="1:27" ht="17.25" customHeight="1">
      <c r="A788" s="57"/>
      <c r="B788" s="57"/>
      <c r="C788" s="57"/>
      <c r="D788" s="57"/>
      <c r="E788" s="57"/>
      <c r="F788" s="57"/>
      <c r="G788" s="57"/>
      <c r="H788" s="20"/>
      <c r="I788" s="20"/>
      <c r="J788" s="20"/>
      <c r="K788" s="20"/>
      <c r="L788" s="20"/>
      <c r="M788" s="20"/>
      <c r="N788" s="20"/>
      <c r="O788" s="20"/>
      <c r="P788" s="20"/>
      <c r="Q788" s="20"/>
      <c r="R788" s="20"/>
      <c r="S788" s="20"/>
      <c r="T788" s="20"/>
      <c r="U788" s="20"/>
      <c r="V788" s="20"/>
      <c r="W788" s="20"/>
      <c r="X788" s="20"/>
      <c r="Y788" s="20"/>
      <c r="Z788" s="20"/>
      <c r="AA788" s="20"/>
    </row>
    <row r="789" spans="1:27" ht="17.25" customHeight="1">
      <c r="A789" s="57"/>
      <c r="B789" s="57"/>
      <c r="C789" s="57"/>
      <c r="D789" s="57"/>
      <c r="E789" s="57"/>
      <c r="F789" s="57"/>
      <c r="G789" s="57"/>
      <c r="H789" s="20"/>
      <c r="I789" s="20"/>
      <c r="J789" s="20"/>
      <c r="K789" s="20"/>
      <c r="L789" s="20"/>
      <c r="M789" s="20"/>
      <c r="N789" s="20"/>
      <c r="O789" s="20"/>
      <c r="P789" s="20"/>
      <c r="Q789" s="20"/>
      <c r="R789" s="20"/>
      <c r="S789" s="20"/>
      <c r="T789" s="20"/>
      <c r="U789" s="20"/>
      <c r="V789" s="20"/>
      <c r="W789" s="20"/>
      <c r="X789" s="20"/>
      <c r="Y789" s="20"/>
      <c r="Z789" s="20"/>
      <c r="AA789" s="20"/>
    </row>
    <row r="790" spans="1:27" ht="17.25" customHeight="1">
      <c r="A790" s="57"/>
      <c r="B790" s="57"/>
      <c r="C790" s="57"/>
      <c r="D790" s="57"/>
      <c r="E790" s="57"/>
      <c r="F790" s="57"/>
      <c r="G790" s="57"/>
      <c r="H790" s="20"/>
      <c r="I790" s="20"/>
      <c r="J790" s="20"/>
      <c r="K790" s="20"/>
      <c r="L790" s="20"/>
      <c r="M790" s="20"/>
      <c r="N790" s="20"/>
      <c r="O790" s="20"/>
      <c r="P790" s="20"/>
      <c r="Q790" s="20"/>
      <c r="R790" s="20"/>
      <c r="S790" s="20"/>
      <c r="T790" s="20"/>
      <c r="U790" s="20"/>
      <c r="V790" s="20"/>
      <c r="W790" s="20"/>
      <c r="X790" s="20"/>
      <c r="Y790" s="20"/>
      <c r="Z790" s="20"/>
      <c r="AA790" s="20"/>
    </row>
    <row r="791" spans="1:27" ht="17.25" customHeight="1">
      <c r="A791" s="57"/>
      <c r="B791" s="57"/>
      <c r="C791" s="57"/>
      <c r="D791" s="57"/>
      <c r="E791" s="57"/>
      <c r="F791" s="57"/>
      <c r="G791" s="57"/>
      <c r="H791" s="20"/>
      <c r="I791" s="20"/>
      <c r="J791" s="20"/>
      <c r="K791" s="20"/>
      <c r="L791" s="20"/>
      <c r="M791" s="20"/>
      <c r="N791" s="20"/>
      <c r="O791" s="20"/>
      <c r="P791" s="20"/>
      <c r="Q791" s="20"/>
      <c r="R791" s="20"/>
      <c r="S791" s="20"/>
      <c r="T791" s="20"/>
      <c r="U791" s="20"/>
      <c r="V791" s="20"/>
      <c r="W791" s="20"/>
      <c r="X791" s="20"/>
      <c r="Y791" s="20"/>
      <c r="Z791" s="20"/>
      <c r="AA791" s="20"/>
    </row>
    <row r="792" spans="1:27" ht="17.25" customHeight="1">
      <c r="A792" s="57"/>
      <c r="B792" s="57"/>
      <c r="C792" s="57"/>
      <c r="D792" s="57"/>
      <c r="E792" s="57"/>
      <c r="F792" s="57"/>
      <c r="G792" s="57"/>
      <c r="H792" s="20"/>
      <c r="I792" s="20"/>
      <c r="J792" s="20"/>
      <c r="K792" s="20"/>
      <c r="L792" s="20"/>
      <c r="M792" s="20"/>
      <c r="N792" s="20"/>
      <c r="O792" s="20"/>
      <c r="P792" s="20"/>
      <c r="Q792" s="20"/>
      <c r="R792" s="20"/>
      <c r="S792" s="20"/>
      <c r="T792" s="20"/>
      <c r="U792" s="20"/>
      <c r="V792" s="20"/>
      <c r="W792" s="20"/>
      <c r="X792" s="20"/>
      <c r="Y792" s="20"/>
      <c r="Z792" s="20"/>
      <c r="AA792" s="20"/>
    </row>
    <row r="793" spans="1:27" ht="17.25" customHeight="1">
      <c r="A793" s="57"/>
      <c r="B793" s="57"/>
      <c r="C793" s="57"/>
      <c r="D793" s="57"/>
      <c r="E793" s="57"/>
      <c r="F793" s="57"/>
      <c r="G793" s="57"/>
      <c r="H793" s="20"/>
      <c r="I793" s="20"/>
      <c r="J793" s="20"/>
      <c r="K793" s="20"/>
      <c r="L793" s="20"/>
      <c r="M793" s="20"/>
      <c r="N793" s="20"/>
      <c r="O793" s="20"/>
      <c r="P793" s="20"/>
      <c r="Q793" s="20"/>
      <c r="R793" s="20"/>
      <c r="S793" s="20"/>
      <c r="T793" s="20"/>
      <c r="U793" s="20"/>
      <c r="V793" s="20"/>
      <c r="W793" s="20"/>
      <c r="X793" s="20"/>
      <c r="Y793" s="20"/>
      <c r="Z793" s="20"/>
      <c r="AA793" s="20"/>
    </row>
    <row r="794" spans="1:27" ht="17.25" customHeight="1">
      <c r="A794" s="57"/>
      <c r="B794" s="57"/>
      <c r="C794" s="57"/>
      <c r="D794" s="57"/>
      <c r="E794" s="57"/>
      <c r="F794" s="57"/>
      <c r="G794" s="57"/>
      <c r="H794" s="20"/>
      <c r="I794" s="20"/>
      <c r="J794" s="20"/>
      <c r="K794" s="20"/>
      <c r="L794" s="20"/>
      <c r="M794" s="20"/>
      <c r="N794" s="20"/>
      <c r="O794" s="20"/>
      <c r="P794" s="20"/>
      <c r="Q794" s="20"/>
      <c r="R794" s="20"/>
      <c r="S794" s="20"/>
      <c r="T794" s="20"/>
      <c r="U794" s="20"/>
      <c r="V794" s="20"/>
      <c r="W794" s="20"/>
      <c r="X794" s="20"/>
      <c r="Y794" s="20"/>
      <c r="Z794" s="20"/>
      <c r="AA794" s="20"/>
    </row>
    <row r="795" spans="1:27" ht="17.25" customHeight="1">
      <c r="A795" s="57"/>
      <c r="B795" s="57"/>
      <c r="C795" s="57"/>
      <c r="D795" s="57"/>
      <c r="E795" s="57"/>
      <c r="F795" s="57"/>
      <c r="G795" s="57"/>
      <c r="H795" s="20"/>
      <c r="I795" s="20"/>
      <c r="J795" s="20"/>
      <c r="K795" s="20"/>
      <c r="L795" s="20"/>
      <c r="M795" s="20"/>
      <c r="N795" s="20"/>
      <c r="O795" s="20"/>
      <c r="P795" s="20"/>
      <c r="Q795" s="20"/>
      <c r="R795" s="20"/>
      <c r="S795" s="20"/>
      <c r="T795" s="20"/>
      <c r="U795" s="20"/>
      <c r="V795" s="20"/>
      <c r="W795" s="20"/>
      <c r="X795" s="20"/>
      <c r="Y795" s="20"/>
      <c r="Z795" s="20"/>
      <c r="AA795" s="20"/>
    </row>
    <row r="796" spans="1:27" ht="17.25" customHeight="1">
      <c r="A796" s="57"/>
      <c r="B796" s="57"/>
      <c r="C796" s="57"/>
      <c r="D796" s="57"/>
      <c r="E796" s="57"/>
      <c r="F796" s="57"/>
      <c r="G796" s="57"/>
      <c r="H796" s="20"/>
      <c r="I796" s="20"/>
      <c r="J796" s="20"/>
      <c r="K796" s="20"/>
      <c r="L796" s="20"/>
      <c r="M796" s="20"/>
      <c r="N796" s="20"/>
      <c r="O796" s="20"/>
      <c r="P796" s="20"/>
      <c r="Q796" s="20"/>
      <c r="R796" s="20"/>
      <c r="S796" s="20"/>
      <c r="T796" s="20"/>
      <c r="U796" s="20"/>
      <c r="V796" s="20"/>
      <c r="W796" s="20"/>
      <c r="X796" s="20"/>
      <c r="Y796" s="20"/>
      <c r="Z796" s="20"/>
      <c r="AA796" s="20"/>
    </row>
    <row r="797" spans="1:27" ht="17.25" customHeight="1">
      <c r="A797" s="57"/>
      <c r="B797" s="57"/>
      <c r="C797" s="57"/>
      <c r="D797" s="57"/>
      <c r="E797" s="57"/>
      <c r="F797" s="57"/>
      <c r="G797" s="57"/>
      <c r="H797" s="20"/>
      <c r="I797" s="20"/>
      <c r="J797" s="20"/>
      <c r="K797" s="20"/>
      <c r="L797" s="20"/>
      <c r="M797" s="20"/>
      <c r="N797" s="20"/>
      <c r="O797" s="20"/>
      <c r="P797" s="20"/>
      <c r="Q797" s="20"/>
      <c r="R797" s="20"/>
      <c r="S797" s="20"/>
      <c r="T797" s="20"/>
      <c r="U797" s="20"/>
      <c r="V797" s="20"/>
      <c r="W797" s="20"/>
      <c r="X797" s="20"/>
      <c r="Y797" s="20"/>
      <c r="Z797" s="20"/>
      <c r="AA797" s="20"/>
    </row>
    <row r="798" spans="1:27" ht="17.25" customHeight="1">
      <c r="A798" s="57"/>
      <c r="B798" s="57"/>
      <c r="C798" s="57"/>
      <c r="D798" s="57"/>
      <c r="E798" s="57"/>
      <c r="F798" s="57"/>
      <c r="G798" s="57"/>
      <c r="H798" s="20"/>
      <c r="I798" s="20"/>
      <c r="J798" s="20"/>
      <c r="K798" s="20"/>
      <c r="L798" s="20"/>
      <c r="M798" s="20"/>
      <c r="N798" s="20"/>
      <c r="O798" s="20"/>
      <c r="P798" s="20"/>
      <c r="Q798" s="20"/>
      <c r="R798" s="20"/>
      <c r="S798" s="20"/>
      <c r="T798" s="20"/>
      <c r="U798" s="20"/>
      <c r="V798" s="20"/>
      <c r="W798" s="20"/>
      <c r="X798" s="20"/>
      <c r="Y798" s="20"/>
      <c r="Z798" s="20"/>
      <c r="AA798" s="20"/>
    </row>
    <row r="799" spans="1:27" ht="17.25" customHeight="1">
      <c r="A799" s="57"/>
      <c r="B799" s="57"/>
      <c r="C799" s="57"/>
      <c r="D799" s="57"/>
      <c r="E799" s="57"/>
      <c r="F799" s="57"/>
      <c r="G799" s="57"/>
      <c r="H799" s="20"/>
      <c r="I799" s="20"/>
      <c r="J799" s="20"/>
      <c r="K799" s="20"/>
      <c r="L799" s="20"/>
      <c r="M799" s="20"/>
      <c r="N799" s="20"/>
      <c r="O799" s="20"/>
      <c r="P799" s="20"/>
      <c r="Q799" s="20"/>
      <c r="R799" s="20"/>
      <c r="S799" s="20"/>
      <c r="T799" s="20"/>
      <c r="U799" s="20"/>
      <c r="V799" s="20"/>
      <c r="W799" s="20"/>
      <c r="X799" s="20"/>
      <c r="Y799" s="20"/>
      <c r="Z799" s="20"/>
      <c r="AA799" s="20"/>
    </row>
    <row r="800" spans="1:27" ht="17.25" customHeight="1">
      <c r="A800" s="57"/>
      <c r="B800" s="57"/>
      <c r="C800" s="57"/>
      <c r="D800" s="57"/>
      <c r="E800" s="57"/>
      <c r="F800" s="57"/>
      <c r="G800" s="57"/>
      <c r="H800" s="20"/>
      <c r="I800" s="20"/>
      <c r="J800" s="20"/>
      <c r="K800" s="20"/>
      <c r="L800" s="20"/>
      <c r="M800" s="20"/>
      <c r="N800" s="20"/>
      <c r="O800" s="20"/>
      <c r="P800" s="20"/>
      <c r="Q800" s="20"/>
      <c r="R800" s="20"/>
      <c r="S800" s="20"/>
      <c r="T800" s="20"/>
      <c r="U800" s="20"/>
      <c r="V800" s="20"/>
      <c r="W800" s="20"/>
      <c r="X800" s="20"/>
      <c r="Y800" s="20"/>
      <c r="Z800" s="20"/>
      <c r="AA800" s="20"/>
    </row>
    <row r="801" spans="1:27" ht="17.25" customHeight="1">
      <c r="A801" s="57"/>
      <c r="B801" s="57"/>
      <c r="C801" s="57"/>
      <c r="D801" s="57"/>
      <c r="E801" s="57"/>
      <c r="F801" s="57"/>
      <c r="G801" s="57"/>
      <c r="H801" s="20"/>
      <c r="I801" s="20"/>
      <c r="J801" s="20"/>
      <c r="K801" s="20"/>
      <c r="L801" s="20"/>
      <c r="M801" s="20"/>
      <c r="N801" s="20"/>
      <c r="O801" s="20"/>
      <c r="P801" s="20"/>
      <c r="Q801" s="20"/>
      <c r="R801" s="20"/>
      <c r="S801" s="20"/>
      <c r="T801" s="20"/>
      <c r="U801" s="20"/>
      <c r="V801" s="20"/>
      <c r="W801" s="20"/>
      <c r="X801" s="20"/>
      <c r="Y801" s="20"/>
      <c r="Z801" s="20"/>
      <c r="AA801" s="20"/>
    </row>
    <row r="802" spans="1:27" ht="17.25" customHeight="1">
      <c r="A802" s="57"/>
      <c r="B802" s="57"/>
      <c r="C802" s="57"/>
      <c r="D802" s="57"/>
      <c r="E802" s="57"/>
      <c r="F802" s="57"/>
      <c r="G802" s="57"/>
      <c r="H802" s="20"/>
      <c r="I802" s="20"/>
      <c r="J802" s="20"/>
      <c r="K802" s="20"/>
      <c r="L802" s="20"/>
      <c r="M802" s="20"/>
      <c r="N802" s="20"/>
      <c r="O802" s="20"/>
      <c r="P802" s="20"/>
      <c r="Q802" s="20"/>
      <c r="R802" s="20"/>
      <c r="S802" s="20"/>
      <c r="T802" s="20"/>
      <c r="U802" s="20"/>
      <c r="V802" s="20"/>
      <c r="W802" s="20"/>
      <c r="X802" s="20"/>
      <c r="Y802" s="20"/>
      <c r="Z802" s="20"/>
      <c r="AA802" s="20"/>
    </row>
    <row r="803" spans="1:27" ht="17.25" customHeight="1">
      <c r="A803" s="57"/>
      <c r="B803" s="57"/>
      <c r="C803" s="57"/>
      <c r="D803" s="57"/>
      <c r="E803" s="57"/>
      <c r="F803" s="57"/>
      <c r="G803" s="57"/>
      <c r="H803" s="20"/>
      <c r="I803" s="20"/>
      <c r="J803" s="20"/>
      <c r="K803" s="20"/>
      <c r="L803" s="20"/>
      <c r="M803" s="20"/>
      <c r="N803" s="20"/>
      <c r="O803" s="20"/>
      <c r="P803" s="20"/>
      <c r="Q803" s="20"/>
      <c r="R803" s="20"/>
      <c r="S803" s="20"/>
      <c r="T803" s="20"/>
      <c r="U803" s="20"/>
      <c r="V803" s="20"/>
      <c r="W803" s="20"/>
      <c r="X803" s="20"/>
      <c r="Y803" s="20"/>
      <c r="Z803" s="20"/>
      <c r="AA803" s="20"/>
    </row>
    <row r="804" spans="1:27" ht="17.25" customHeight="1">
      <c r="A804" s="57"/>
      <c r="B804" s="57"/>
      <c r="C804" s="57"/>
      <c r="D804" s="57"/>
      <c r="E804" s="57"/>
      <c r="F804" s="57"/>
      <c r="G804" s="57"/>
      <c r="H804" s="20"/>
      <c r="I804" s="20"/>
      <c r="J804" s="20"/>
      <c r="K804" s="20"/>
      <c r="L804" s="20"/>
      <c r="M804" s="20"/>
      <c r="N804" s="20"/>
      <c r="O804" s="20"/>
      <c r="P804" s="20"/>
      <c r="Q804" s="20"/>
      <c r="R804" s="20"/>
      <c r="S804" s="20"/>
      <c r="T804" s="20"/>
      <c r="U804" s="20"/>
      <c r="V804" s="20"/>
      <c r="W804" s="20"/>
      <c r="X804" s="20"/>
      <c r="Y804" s="20"/>
      <c r="Z804" s="20"/>
      <c r="AA804" s="20"/>
    </row>
    <row r="805" spans="1:27" ht="17.25" customHeight="1">
      <c r="A805" s="57"/>
      <c r="B805" s="57"/>
      <c r="C805" s="57"/>
      <c r="D805" s="57"/>
      <c r="E805" s="57"/>
      <c r="F805" s="57"/>
      <c r="G805" s="57"/>
      <c r="H805" s="20"/>
      <c r="I805" s="20"/>
      <c r="J805" s="20"/>
      <c r="K805" s="20"/>
      <c r="L805" s="20"/>
      <c r="M805" s="20"/>
      <c r="N805" s="20"/>
      <c r="O805" s="20"/>
      <c r="P805" s="20"/>
      <c r="Q805" s="20"/>
      <c r="R805" s="20"/>
      <c r="S805" s="20"/>
      <c r="T805" s="20"/>
      <c r="U805" s="20"/>
      <c r="V805" s="20"/>
      <c r="W805" s="20"/>
      <c r="X805" s="20"/>
      <c r="Y805" s="20"/>
      <c r="Z805" s="20"/>
      <c r="AA805" s="20"/>
    </row>
    <row r="806" spans="1:27" ht="17.25" customHeight="1">
      <c r="A806" s="57"/>
      <c r="B806" s="57"/>
      <c r="C806" s="57"/>
      <c r="D806" s="57"/>
      <c r="E806" s="57"/>
      <c r="F806" s="57"/>
      <c r="G806" s="57"/>
      <c r="H806" s="20"/>
      <c r="I806" s="20"/>
      <c r="J806" s="20"/>
      <c r="K806" s="20"/>
      <c r="L806" s="20"/>
      <c r="M806" s="20"/>
      <c r="N806" s="20"/>
      <c r="O806" s="20"/>
      <c r="P806" s="20"/>
      <c r="Q806" s="20"/>
      <c r="R806" s="20"/>
      <c r="S806" s="20"/>
      <c r="T806" s="20"/>
      <c r="U806" s="20"/>
      <c r="V806" s="20"/>
      <c r="W806" s="20"/>
      <c r="X806" s="20"/>
      <c r="Y806" s="20"/>
      <c r="Z806" s="20"/>
      <c r="AA806" s="20"/>
    </row>
    <row r="807" spans="1:27" ht="17.25" customHeight="1">
      <c r="A807" s="57"/>
      <c r="B807" s="57"/>
      <c r="C807" s="57"/>
      <c r="D807" s="57"/>
      <c r="E807" s="57"/>
      <c r="F807" s="57"/>
      <c r="G807" s="57"/>
      <c r="H807" s="20"/>
      <c r="I807" s="20"/>
      <c r="J807" s="20"/>
      <c r="K807" s="20"/>
      <c r="L807" s="20"/>
      <c r="M807" s="20"/>
      <c r="N807" s="20"/>
      <c r="O807" s="20"/>
      <c r="P807" s="20"/>
      <c r="Q807" s="20"/>
      <c r="R807" s="20"/>
      <c r="S807" s="20"/>
      <c r="T807" s="20"/>
      <c r="U807" s="20"/>
      <c r="V807" s="20"/>
      <c r="W807" s="20"/>
      <c r="X807" s="20"/>
      <c r="Y807" s="20"/>
      <c r="Z807" s="20"/>
      <c r="AA807" s="20"/>
    </row>
    <row r="808" spans="1:27" ht="17.25" customHeight="1">
      <c r="A808" s="57"/>
      <c r="B808" s="57"/>
      <c r="C808" s="57"/>
      <c r="D808" s="57"/>
      <c r="E808" s="57"/>
      <c r="F808" s="57"/>
      <c r="G808" s="57"/>
      <c r="H808" s="20"/>
      <c r="I808" s="20"/>
      <c r="J808" s="20"/>
      <c r="K808" s="20"/>
      <c r="L808" s="20"/>
      <c r="M808" s="20"/>
      <c r="N808" s="20"/>
      <c r="O808" s="20"/>
      <c r="P808" s="20"/>
      <c r="Q808" s="20"/>
      <c r="R808" s="20"/>
      <c r="S808" s="20"/>
      <c r="T808" s="20"/>
      <c r="U808" s="20"/>
      <c r="V808" s="20"/>
      <c r="W808" s="20"/>
      <c r="X808" s="20"/>
      <c r="Y808" s="20"/>
      <c r="Z808" s="20"/>
      <c r="AA808" s="20"/>
    </row>
    <row r="809" spans="1:27" ht="17.25" customHeight="1">
      <c r="A809" s="57"/>
      <c r="B809" s="57"/>
      <c r="C809" s="57"/>
      <c r="D809" s="57"/>
      <c r="E809" s="57"/>
      <c r="F809" s="57"/>
      <c r="G809" s="57"/>
      <c r="H809" s="20"/>
      <c r="I809" s="20"/>
      <c r="J809" s="20"/>
      <c r="K809" s="20"/>
      <c r="L809" s="20"/>
      <c r="M809" s="20"/>
      <c r="N809" s="20"/>
      <c r="O809" s="20"/>
      <c r="P809" s="20"/>
      <c r="Q809" s="20"/>
      <c r="R809" s="20"/>
      <c r="S809" s="20"/>
      <c r="T809" s="20"/>
      <c r="U809" s="20"/>
      <c r="V809" s="20"/>
      <c r="W809" s="20"/>
      <c r="X809" s="20"/>
      <c r="Y809" s="20"/>
      <c r="Z809" s="20"/>
      <c r="AA809" s="20"/>
    </row>
    <row r="810" spans="1:27" ht="17.25" customHeight="1">
      <c r="A810" s="57"/>
      <c r="B810" s="57"/>
      <c r="C810" s="57"/>
      <c r="D810" s="57"/>
      <c r="E810" s="57"/>
      <c r="F810" s="57"/>
      <c r="G810" s="57"/>
      <c r="H810" s="20"/>
      <c r="I810" s="20"/>
      <c r="J810" s="20"/>
      <c r="K810" s="20"/>
      <c r="L810" s="20"/>
      <c r="M810" s="20"/>
      <c r="N810" s="20"/>
      <c r="O810" s="20"/>
      <c r="P810" s="20"/>
      <c r="Q810" s="20"/>
      <c r="R810" s="20"/>
      <c r="S810" s="20"/>
      <c r="T810" s="20"/>
      <c r="U810" s="20"/>
      <c r="V810" s="20"/>
      <c r="W810" s="20"/>
      <c r="X810" s="20"/>
      <c r="Y810" s="20"/>
      <c r="Z810" s="20"/>
      <c r="AA810" s="20"/>
    </row>
    <row r="811" spans="1:27" ht="17.25" customHeight="1">
      <c r="A811" s="57"/>
      <c r="B811" s="57"/>
      <c r="C811" s="57"/>
      <c r="D811" s="57"/>
      <c r="E811" s="57"/>
      <c r="F811" s="57"/>
      <c r="G811" s="57"/>
      <c r="H811" s="20"/>
      <c r="I811" s="20"/>
      <c r="J811" s="20"/>
      <c r="K811" s="20"/>
      <c r="L811" s="20"/>
      <c r="M811" s="20"/>
      <c r="N811" s="20"/>
      <c r="O811" s="20"/>
      <c r="P811" s="20"/>
      <c r="Q811" s="20"/>
      <c r="R811" s="20"/>
      <c r="S811" s="20"/>
      <c r="T811" s="20"/>
      <c r="U811" s="20"/>
      <c r="V811" s="20"/>
      <c r="W811" s="20"/>
      <c r="X811" s="20"/>
      <c r="Y811" s="20"/>
      <c r="Z811" s="20"/>
      <c r="AA811" s="20"/>
    </row>
    <row r="812" spans="1:27" ht="17.25" customHeight="1">
      <c r="A812" s="57"/>
      <c r="B812" s="57"/>
      <c r="C812" s="57"/>
      <c r="D812" s="57"/>
      <c r="E812" s="57"/>
      <c r="F812" s="57"/>
      <c r="G812" s="57"/>
      <c r="H812" s="20"/>
      <c r="I812" s="20"/>
      <c r="J812" s="20"/>
      <c r="K812" s="20"/>
      <c r="L812" s="20"/>
      <c r="M812" s="20"/>
      <c r="N812" s="20"/>
      <c r="O812" s="20"/>
      <c r="P812" s="20"/>
      <c r="Q812" s="20"/>
      <c r="R812" s="20"/>
      <c r="S812" s="20"/>
      <c r="T812" s="20"/>
      <c r="U812" s="20"/>
      <c r="V812" s="20"/>
      <c r="W812" s="20"/>
      <c r="X812" s="20"/>
      <c r="Y812" s="20"/>
      <c r="Z812" s="20"/>
      <c r="AA812" s="20"/>
    </row>
    <row r="813" spans="1:27" ht="17.25" customHeight="1">
      <c r="A813" s="57"/>
      <c r="B813" s="57"/>
      <c r="C813" s="57"/>
      <c r="D813" s="57"/>
      <c r="E813" s="57"/>
      <c r="F813" s="57"/>
      <c r="G813" s="57"/>
      <c r="H813" s="20"/>
      <c r="I813" s="20"/>
      <c r="J813" s="20"/>
      <c r="K813" s="20"/>
      <c r="L813" s="20"/>
      <c r="M813" s="20"/>
      <c r="N813" s="20"/>
      <c r="O813" s="20"/>
      <c r="P813" s="20"/>
      <c r="Q813" s="20"/>
      <c r="R813" s="20"/>
      <c r="S813" s="20"/>
      <c r="T813" s="20"/>
      <c r="U813" s="20"/>
      <c r="V813" s="20"/>
      <c r="W813" s="20"/>
      <c r="X813" s="20"/>
      <c r="Y813" s="20"/>
      <c r="Z813" s="20"/>
      <c r="AA813" s="20"/>
    </row>
    <row r="814" spans="1:27" ht="17.25" customHeight="1">
      <c r="A814" s="57"/>
      <c r="B814" s="57"/>
      <c r="C814" s="57"/>
      <c r="D814" s="57"/>
      <c r="E814" s="57"/>
      <c r="F814" s="57"/>
      <c r="G814" s="57"/>
      <c r="H814" s="20"/>
      <c r="I814" s="20"/>
      <c r="J814" s="20"/>
      <c r="K814" s="20"/>
      <c r="L814" s="20"/>
      <c r="M814" s="20"/>
      <c r="N814" s="20"/>
      <c r="O814" s="20"/>
      <c r="P814" s="20"/>
      <c r="Q814" s="20"/>
      <c r="R814" s="20"/>
      <c r="S814" s="20"/>
      <c r="T814" s="20"/>
      <c r="U814" s="20"/>
      <c r="V814" s="20"/>
      <c r="W814" s="20"/>
      <c r="X814" s="20"/>
      <c r="Y814" s="20"/>
      <c r="Z814" s="20"/>
      <c r="AA814" s="20"/>
    </row>
    <row r="815" spans="1:27" ht="17.25" customHeight="1">
      <c r="A815" s="57"/>
      <c r="B815" s="57"/>
      <c r="C815" s="57"/>
      <c r="D815" s="57"/>
      <c r="E815" s="57"/>
      <c r="F815" s="57"/>
      <c r="G815" s="57"/>
      <c r="H815" s="20"/>
      <c r="I815" s="20"/>
      <c r="J815" s="20"/>
      <c r="K815" s="20"/>
      <c r="L815" s="20"/>
      <c r="M815" s="20"/>
      <c r="N815" s="20"/>
      <c r="O815" s="20"/>
      <c r="P815" s="20"/>
      <c r="Q815" s="20"/>
      <c r="R815" s="20"/>
      <c r="S815" s="20"/>
      <c r="T815" s="20"/>
      <c r="U815" s="20"/>
      <c r="V815" s="20"/>
      <c r="W815" s="20"/>
      <c r="X815" s="20"/>
      <c r="Y815" s="20"/>
      <c r="Z815" s="20"/>
      <c r="AA815" s="20"/>
    </row>
    <row r="816" spans="1:27" ht="17.25" customHeight="1">
      <c r="A816" s="57"/>
      <c r="B816" s="57"/>
      <c r="C816" s="57"/>
      <c r="D816" s="57"/>
      <c r="E816" s="57"/>
      <c r="F816" s="57"/>
      <c r="G816" s="57"/>
      <c r="H816" s="20"/>
      <c r="I816" s="20"/>
      <c r="J816" s="20"/>
      <c r="K816" s="20"/>
      <c r="L816" s="20"/>
      <c r="M816" s="20"/>
      <c r="N816" s="20"/>
      <c r="O816" s="20"/>
      <c r="P816" s="20"/>
      <c r="Q816" s="20"/>
      <c r="R816" s="20"/>
      <c r="S816" s="20"/>
      <c r="T816" s="20"/>
      <c r="U816" s="20"/>
      <c r="V816" s="20"/>
      <c r="W816" s="20"/>
      <c r="X816" s="20"/>
      <c r="Y816" s="20"/>
      <c r="Z816" s="20"/>
      <c r="AA816" s="20"/>
    </row>
    <row r="817" spans="1:27" ht="17.25" customHeight="1">
      <c r="A817" s="57"/>
      <c r="B817" s="57"/>
      <c r="C817" s="57"/>
      <c r="D817" s="57"/>
      <c r="E817" s="57"/>
      <c r="F817" s="57"/>
      <c r="G817" s="57"/>
      <c r="H817" s="20"/>
      <c r="I817" s="20"/>
      <c r="J817" s="20"/>
      <c r="K817" s="20"/>
      <c r="L817" s="20"/>
      <c r="M817" s="20"/>
      <c r="N817" s="20"/>
      <c r="O817" s="20"/>
      <c r="P817" s="20"/>
      <c r="Q817" s="20"/>
      <c r="R817" s="20"/>
      <c r="S817" s="20"/>
      <c r="T817" s="20"/>
      <c r="U817" s="20"/>
      <c r="V817" s="20"/>
      <c r="W817" s="20"/>
      <c r="X817" s="20"/>
      <c r="Y817" s="20"/>
      <c r="Z817" s="20"/>
      <c r="AA817" s="20"/>
    </row>
    <row r="818" spans="1:27" ht="17.25" customHeight="1">
      <c r="A818" s="57"/>
      <c r="B818" s="57"/>
      <c r="C818" s="57"/>
      <c r="D818" s="57"/>
      <c r="E818" s="57"/>
      <c r="F818" s="57"/>
      <c r="G818" s="57"/>
      <c r="H818" s="20"/>
      <c r="I818" s="20"/>
      <c r="J818" s="20"/>
      <c r="K818" s="20"/>
      <c r="L818" s="20"/>
      <c r="M818" s="20"/>
      <c r="N818" s="20"/>
      <c r="O818" s="20"/>
      <c r="P818" s="20"/>
      <c r="Q818" s="20"/>
      <c r="R818" s="20"/>
      <c r="S818" s="20"/>
      <c r="T818" s="20"/>
      <c r="U818" s="20"/>
      <c r="V818" s="20"/>
      <c r="W818" s="20"/>
      <c r="X818" s="20"/>
      <c r="Y818" s="20"/>
      <c r="Z818" s="20"/>
      <c r="AA818" s="20"/>
    </row>
    <row r="819" spans="1:27" ht="17.25" customHeight="1">
      <c r="A819" s="57"/>
      <c r="B819" s="57"/>
      <c r="C819" s="57"/>
      <c r="D819" s="57"/>
      <c r="E819" s="57"/>
      <c r="F819" s="57"/>
      <c r="G819" s="57"/>
      <c r="H819" s="20"/>
      <c r="I819" s="20"/>
      <c r="J819" s="20"/>
      <c r="K819" s="20"/>
      <c r="L819" s="20"/>
      <c r="M819" s="20"/>
      <c r="N819" s="20"/>
      <c r="O819" s="20"/>
      <c r="P819" s="20"/>
      <c r="Q819" s="20"/>
      <c r="R819" s="20"/>
      <c r="S819" s="20"/>
      <c r="T819" s="20"/>
      <c r="U819" s="20"/>
      <c r="V819" s="20"/>
      <c r="W819" s="20"/>
      <c r="X819" s="20"/>
      <c r="Y819" s="20"/>
      <c r="Z819" s="20"/>
      <c r="AA819" s="20"/>
    </row>
    <row r="820" spans="1:27" ht="17.25" customHeight="1">
      <c r="A820" s="57"/>
      <c r="B820" s="57"/>
      <c r="C820" s="57"/>
      <c r="D820" s="57"/>
      <c r="E820" s="57"/>
      <c r="F820" s="57"/>
      <c r="G820" s="57"/>
      <c r="H820" s="20"/>
      <c r="I820" s="20"/>
      <c r="J820" s="20"/>
      <c r="K820" s="20"/>
      <c r="L820" s="20"/>
      <c r="M820" s="20"/>
      <c r="N820" s="20"/>
      <c r="O820" s="20"/>
      <c r="P820" s="20"/>
      <c r="Q820" s="20"/>
      <c r="R820" s="20"/>
      <c r="S820" s="20"/>
      <c r="T820" s="20"/>
      <c r="U820" s="20"/>
      <c r="V820" s="20"/>
      <c r="W820" s="20"/>
      <c r="X820" s="20"/>
      <c r="Y820" s="20"/>
      <c r="Z820" s="20"/>
      <c r="AA820" s="20"/>
    </row>
    <row r="821" spans="1:27" ht="17.25" customHeight="1">
      <c r="A821" s="57"/>
      <c r="B821" s="57"/>
      <c r="C821" s="57"/>
      <c r="D821" s="57"/>
      <c r="E821" s="57"/>
      <c r="F821" s="57"/>
      <c r="G821" s="57"/>
      <c r="H821" s="20"/>
      <c r="I821" s="20"/>
      <c r="J821" s="20"/>
      <c r="K821" s="20"/>
      <c r="L821" s="20"/>
      <c r="M821" s="20"/>
      <c r="N821" s="20"/>
      <c r="O821" s="20"/>
      <c r="P821" s="20"/>
      <c r="Q821" s="20"/>
      <c r="R821" s="20"/>
      <c r="S821" s="20"/>
      <c r="T821" s="20"/>
      <c r="U821" s="20"/>
      <c r="V821" s="20"/>
      <c r="W821" s="20"/>
      <c r="X821" s="20"/>
      <c r="Y821" s="20"/>
      <c r="Z821" s="20"/>
      <c r="AA821" s="20"/>
    </row>
    <row r="822" spans="1:27" ht="17.25" customHeight="1">
      <c r="A822" s="57"/>
      <c r="B822" s="57"/>
      <c r="C822" s="57"/>
      <c r="D822" s="57"/>
      <c r="E822" s="57"/>
      <c r="F822" s="57"/>
      <c r="G822" s="57"/>
      <c r="H822" s="20"/>
      <c r="I822" s="20"/>
      <c r="J822" s="20"/>
      <c r="K822" s="20"/>
      <c r="L822" s="20"/>
      <c r="M822" s="20"/>
      <c r="N822" s="20"/>
      <c r="O822" s="20"/>
      <c r="P822" s="20"/>
      <c r="Q822" s="20"/>
      <c r="R822" s="20"/>
      <c r="S822" s="20"/>
      <c r="T822" s="20"/>
      <c r="U822" s="20"/>
      <c r="V822" s="20"/>
      <c r="W822" s="20"/>
      <c r="X822" s="20"/>
      <c r="Y822" s="20"/>
      <c r="Z822" s="20"/>
      <c r="AA822" s="20"/>
    </row>
    <row r="823" spans="1:27" ht="17.25" customHeight="1">
      <c r="A823" s="57"/>
      <c r="B823" s="57"/>
      <c r="C823" s="57"/>
      <c r="D823" s="57"/>
      <c r="E823" s="57"/>
      <c r="F823" s="57"/>
      <c r="G823" s="57"/>
      <c r="H823" s="20"/>
      <c r="I823" s="20"/>
      <c r="J823" s="20"/>
      <c r="K823" s="20"/>
      <c r="L823" s="20"/>
      <c r="M823" s="20"/>
      <c r="N823" s="20"/>
      <c r="O823" s="20"/>
      <c r="P823" s="20"/>
      <c r="Q823" s="20"/>
      <c r="R823" s="20"/>
      <c r="S823" s="20"/>
      <c r="T823" s="20"/>
      <c r="U823" s="20"/>
      <c r="V823" s="20"/>
      <c r="W823" s="20"/>
      <c r="X823" s="20"/>
      <c r="Y823" s="20"/>
      <c r="Z823" s="20"/>
      <c r="AA823" s="20"/>
    </row>
    <row r="824" spans="1:27" ht="17.25" customHeight="1">
      <c r="A824" s="57"/>
      <c r="B824" s="57"/>
      <c r="C824" s="57"/>
      <c r="D824" s="57"/>
      <c r="E824" s="57"/>
      <c r="F824" s="57"/>
      <c r="G824" s="57"/>
      <c r="H824" s="20"/>
      <c r="I824" s="20"/>
      <c r="J824" s="20"/>
      <c r="K824" s="20"/>
      <c r="L824" s="20"/>
      <c r="M824" s="20"/>
      <c r="N824" s="20"/>
      <c r="O824" s="20"/>
      <c r="P824" s="20"/>
      <c r="Q824" s="20"/>
      <c r="R824" s="20"/>
      <c r="S824" s="20"/>
      <c r="T824" s="20"/>
      <c r="U824" s="20"/>
      <c r="V824" s="20"/>
      <c r="W824" s="20"/>
      <c r="X824" s="20"/>
      <c r="Y824" s="20"/>
      <c r="Z824" s="20"/>
      <c r="AA824" s="20"/>
    </row>
    <row r="825" spans="1:27" ht="17.25" customHeight="1">
      <c r="A825" s="57"/>
      <c r="B825" s="57"/>
      <c r="C825" s="57"/>
      <c r="D825" s="57"/>
      <c r="E825" s="57"/>
      <c r="F825" s="57"/>
      <c r="G825" s="57"/>
      <c r="H825" s="20"/>
      <c r="I825" s="20"/>
      <c r="J825" s="20"/>
      <c r="K825" s="20"/>
      <c r="L825" s="20"/>
      <c r="M825" s="20"/>
      <c r="N825" s="20"/>
      <c r="O825" s="20"/>
      <c r="P825" s="20"/>
      <c r="Q825" s="20"/>
      <c r="R825" s="20"/>
      <c r="S825" s="20"/>
      <c r="T825" s="20"/>
      <c r="U825" s="20"/>
      <c r="V825" s="20"/>
      <c r="W825" s="20"/>
      <c r="X825" s="20"/>
      <c r="Y825" s="20"/>
      <c r="Z825" s="20"/>
      <c r="AA825" s="20"/>
    </row>
    <row r="826" spans="1:27" ht="17.25" customHeight="1">
      <c r="A826" s="57"/>
      <c r="B826" s="57"/>
      <c r="C826" s="57"/>
      <c r="D826" s="57"/>
      <c r="E826" s="57"/>
      <c r="F826" s="57"/>
      <c r="G826" s="57"/>
      <c r="H826" s="20"/>
      <c r="I826" s="20"/>
      <c r="J826" s="20"/>
      <c r="K826" s="20"/>
      <c r="L826" s="20"/>
      <c r="M826" s="20"/>
      <c r="N826" s="20"/>
      <c r="O826" s="20"/>
      <c r="P826" s="20"/>
      <c r="Q826" s="20"/>
      <c r="R826" s="20"/>
      <c r="S826" s="20"/>
      <c r="T826" s="20"/>
      <c r="U826" s="20"/>
      <c r="V826" s="20"/>
      <c r="W826" s="20"/>
      <c r="X826" s="20"/>
      <c r="Y826" s="20"/>
      <c r="Z826" s="20"/>
      <c r="AA826" s="20"/>
    </row>
    <row r="827" spans="1:27" ht="17.25" customHeight="1">
      <c r="A827" s="57"/>
      <c r="B827" s="57"/>
      <c r="C827" s="57"/>
      <c r="D827" s="57"/>
      <c r="E827" s="57"/>
      <c r="F827" s="57"/>
      <c r="G827" s="57"/>
      <c r="H827" s="20"/>
      <c r="I827" s="20"/>
      <c r="J827" s="20"/>
      <c r="K827" s="20"/>
      <c r="L827" s="20"/>
      <c r="M827" s="20"/>
      <c r="N827" s="20"/>
      <c r="O827" s="20"/>
      <c r="P827" s="20"/>
      <c r="Q827" s="20"/>
      <c r="R827" s="20"/>
      <c r="S827" s="20"/>
      <c r="T827" s="20"/>
      <c r="U827" s="20"/>
      <c r="V827" s="20"/>
      <c r="W827" s="20"/>
      <c r="X827" s="20"/>
      <c r="Y827" s="20"/>
      <c r="Z827" s="20"/>
      <c r="AA827" s="20"/>
    </row>
    <row r="828" spans="1:27" ht="17.25" customHeight="1">
      <c r="A828" s="57"/>
      <c r="B828" s="57"/>
      <c r="C828" s="57"/>
      <c r="D828" s="57"/>
      <c r="E828" s="57"/>
      <c r="F828" s="57"/>
      <c r="G828" s="57"/>
      <c r="H828" s="20"/>
      <c r="I828" s="20"/>
      <c r="J828" s="20"/>
      <c r="K828" s="20"/>
      <c r="L828" s="20"/>
      <c r="M828" s="20"/>
      <c r="N828" s="20"/>
      <c r="O828" s="20"/>
      <c r="P828" s="20"/>
      <c r="Q828" s="20"/>
      <c r="R828" s="20"/>
      <c r="S828" s="20"/>
      <c r="T828" s="20"/>
      <c r="U828" s="20"/>
      <c r="V828" s="20"/>
      <c r="W828" s="20"/>
      <c r="X828" s="20"/>
      <c r="Y828" s="20"/>
      <c r="Z828" s="20"/>
      <c r="AA828" s="20"/>
    </row>
    <row r="829" spans="1:27" ht="17.25" customHeight="1">
      <c r="A829" s="57"/>
      <c r="B829" s="57"/>
      <c r="C829" s="57"/>
      <c r="D829" s="57"/>
      <c r="E829" s="57"/>
      <c r="F829" s="57"/>
      <c r="G829" s="57"/>
      <c r="H829" s="20"/>
      <c r="I829" s="20"/>
      <c r="J829" s="20"/>
      <c r="K829" s="20"/>
      <c r="L829" s="20"/>
      <c r="M829" s="20"/>
      <c r="N829" s="20"/>
      <c r="O829" s="20"/>
      <c r="P829" s="20"/>
      <c r="Q829" s="20"/>
      <c r="R829" s="20"/>
      <c r="S829" s="20"/>
      <c r="T829" s="20"/>
      <c r="U829" s="20"/>
      <c r="V829" s="20"/>
      <c r="W829" s="20"/>
      <c r="X829" s="20"/>
      <c r="Y829" s="20"/>
      <c r="Z829" s="20"/>
      <c r="AA829" s="20"/>
    </row>
    <row r="830" spans="1:27" ht="17.25" customHeight="1">
      <c r="A830" s="57"/>
      <c r="B830" s="57"/>
      <c r="C830" s="57"/>
      <c r="D830" s="57"/>
      <c r="E830" s="57"/>
      <c r="F830" s="57"/>
      <c r="G830" s="57"/>
      <c r="H830" s="20"/>
      <c r="I830" s="20"/>
      <c r="J830" s="20"/>
      <c r="K830" s="20"/>
      <c r="L830" s="20"/>
      <c r="M830" s="20"/>
      <c r="N830" s="20"/>
      <c r="O830" s="20"/>
      <c r="P830" s="20"/>
      <c r="Q830" s="20"/>
      <c r="R830" s="20"/>
      <c r="S830" s="20"/>
      <c r="T830" s="20"/>
      <c r="U830" s="20"/>
      <c r="V830" s="20"/>
      <c r="W830" s="20"/>
      <c r="X830" s="20"/>
      <c r="Y830" s="20"/>
      <c r="Z830" s="20"/>
      <c r="AA830" s="20"/>
    </row>
    <row r="831" spans="1:27" ht="17.25" customHeight="1">
      <c r="A831" s="57"/>
      <c r="B831" s="57"/>
      <c r="C831" s="57"/>
      <c r="D831" s="57"/>
      <c r="E831" s="57"/>
      <c r="F831" s="57"/>
      <c r="G831" s="57"/>
      <c r="H831" s="20"/>
      <c r="I831" s="20"/>
      <c r="J831" s="20"/>
      <c r="K831" s="20"/>
      <c r="L831" s="20"/>
      <c r="M831" s="20"/>
      <c r="N831" s="20"/>
      <c r="O831" s="20"/>
      <c r="P831" s="20"/>
      <c r="Q831" s="20"/>
      <c r="R831" s="20"/>
      <c r="S831" s="20"/>
      <c r="T831" s="20"/>
      <c r="U831" s="20"/>
      <c r="V831" s="20"/>
      <c r="W831" s="20"/>
      <c r="X831" s="20"/>
      <c r="Y831" s="20"/>
      <c r="Z831" s="20"/>
      <c r="AA831" s="20"/>
    </row>
    <row r="832" spans="1:27" ht="17.25" customHeight="1">
      <c r="A832" s="57"/>
      <c r="B832" s="57"/>
      <c r="C832" s="57"/>
      <c r="D832" s="57"/>
      <c r="E832" s="57"/>
      <c r="F832" s="57"/>
      <c r="G832" s="57"/>
      <c r="H832" s="20"/>
      <c r="I832" s="20"/>
      <c r="J832" s="20"/>
      <c r="K832" s="20"/>
      <c r="L832" s="20"/>
      <c r="M832" s="20"/>
      <c r="N832" s="20"/>
      <c r="O832" s="20"/>
      <c r="P832" s="20"/>
      <c r="Q832" s="20"/>
      <c r="R832" s="20"/>
      <c r="S832" s="20"/>
      <c r="T832" s="20"/>
      <c r="U832" s="20"/>
      <c r="V832" s="20"/>
      <c r="W832" s="20"/>
      <c r="X832" s="20"/>
      <c r="Y832" s="20"/>
      <c r="Z832" s="20"/>
      <c r="AA832" s="20"/>
    </row>
    <row r="833" spans="1:27" ht="17.25" customHeight="1">
      <c r="A833" s="57"/>
      <c r="B833" s="57"/>
      <c r="C833" s="57"/>
      <c r="D833" s="57"/>
      <c r="E833" s="57"/>
      <c r="F833" s="57"/>
      <c r="G833" s="57"/>
      <c r="H833" s="20"/>
      <c r="I833" s="20"/>
      <c r="J833" s="20"/>
      <c r="K833" s="20"/>
      <c r="L833" s="20"/>
      <c r="M833" s="20"/>
      <c r="N833" s="20"/>
      <c r="O833" s="20"/>
      <c r="P833" s="20"/>
      <c r="Q833" s="20"/>
      <c r="R833" s="20"/>
      <c r="S833" s="20"/>
      <c r="T833" s="20"/>
      <c r="U833" s="20"/>
      <c r="V833" s="20"/>
      <c r="W833" s="20"/>
      <c r="X833" s="20"/>
      <c r="Y833" s="20"/>
      <c r="Z833" s="20"/>
      <c r="AA833" s="20"/>
    </row>
    <row r="834" spans="1:27" ht="17.25" customHeight="1">
      <c r="A834" s="57"/>
      <c r="B834" s="57"/>
      <c r="C834" s="57"/>
      <c r="D834" s="57"/>
      <c r="E834" s="57"/>
      <c r="F834" s="57"/>
      <c r="G834" s="57"/>
      <c r="H834" s="20"/>
      <c r="I834" s="20"/>
      <c r="J834" s="20"/>
      <c r="K834" s="20"/>
      <c r="L834" s="20"/>
      <c r="M834" s="20"/>
      <c r="N834" s="20"/>
      <c r="O834" s="20"/>
      <c r="P834" s="20"/>
      <c r="Q834" s="20"/>
      <c r="R834" s="20"/>
      <c r="S834" s="20"/>
      <c r="T834" s="20"/>
      <c r="U834" s="20"/>
      <c r="V834" s="20"/>
      <c r="W834" s="20"/>
      <c r="X834" s="20"/>
      <c r="Y834" s="20"/>
      <c r="Z834" s="20"/>
      <c r="AA834" s="20"/>
    </row>
    <row r="835" spans="1:27" ht="17.25" customHeight="1">
      <c r="A835" s="57"/>
      <c r="B835" s="57"/>
      <c r="C835" s="57"/>
      <c r="D835" s="57"/>
      <c r="E835" s="57"/>
      <c r="F835" s="57"/>
      <c r="G835" s="57"/>
      <c r="H835" s="20"/>
      <c r="I835" s="20"/>
      <c r="J835" s="20"/>
      <c r="K835" s="20"/>
      <c r="L835" s="20"/>
      <c r="M835" s="20"/>
      <c r="N835" s="20"/>
      <c r="O835" s="20"/>
      <c r="P835" s="20"/>
      <c r="Q835" s="20"/>
      <c r="R835" s="20"/>
      <c r="S835" s="20"/>
      <c r="T835" s="20"/>
      <c r="U835" s="20"/>
      <c r="V835" s="20"/>
      <c r="W835" s="20"/>
      <c r="X835" s="20"/>
      <c r="Y835" s="20"/>
      <c r="Z835" s="20"/>
      <c r="AA835" s="20"/>
    </row>
    <row r="836" spans="1:27" ht="17.25" customHeight="1">
      <c r="A836" s="57"/>
      <c r="B836" s="57"/>
      <c r="C836" s="57"/>
      <c r="D836" s="57"/>
      <c r="E836" s="57"/>
      <c r="F836" s="57"/>
      <c r="G836" s="57"/>
      <c r="H836" s="20"/>
      <c r="I836" s="20"/>
      <c r="J836" s="20"/>
      <c r="K836" s="20"/>
      <c r="L836" s="20"/>
      <c r="M836" s="20"/>
      <c r="N836" s="20"/>
      <c r="O836" s="20"/>
      <c r="P836" s="20"/>
      <c r="Q836" s="20"/>
      <c r="R836" s="20"/>
      <c r="S836" s="20"/>
      <c r="T836" s="20"/>
      <c r="U836" s="20"/>
      <c r="V836" s="20"/>
      <c r="W836" s="20"/>
      <c r="X836" s="20"/>
      <c r="Y836" s="20"/>
      <c r="Z836" s="20"/>
      <c r="AA836" s="20"/>
    </row>
    <row r="837" spans="1:27" ht="17.25" customHeight="1">
      <c r="A837" s="57"/>
      <c r="B837" s="57"/>
      <c r="C837" s="57"/>
      <c r="D837" s="57"/>
      <c r="E837" s="57"/>
      <c r="F837" s="57"/>
      <c r="G837" s="57"/>
      <c r="H837" s="20"/>
      <c r="I837" s="20"/>
      <c r="J837" s="20"/>
      <c r="K837" s="20"/>
      <c r="L837" s="20"/>
      <c r="M837" s="20"/>
      <c r="N837" s="20"/>
      <c r="O837" s="20"/>
      <c r="P837" s="20"/>
      <c r="Q837" s="20"/>
      <c r="R837" s="20"/>
      <c r="S837" s="20"/>
      <c r="T837" s="20"/>
      <c r="U837" s="20"/>
      <c r="V837" s="20"/>
      <c r="W837" s="20"/>
      <c r="X837" s="20"/>
      <c r="Y837" s="20"/>
      <c r="Z837" s="20"/>
      <c r="AA837" s="20"/>
    </row>
    <row r="838" spans="1:27" ht="17.25" customHeight="1">
      <c r="A838" s="57"/>
      <c r="B838" s="57"/>
      <c r="C838" s="57"/>
      <c r="D838" s="57"/>
      <c r="E838" s="57"/>
      <c r="F838" s="57"/>
      <c r="G838" s="57"/>
      <c r="H838" s="20"/>
      <c r="I838" s="20"/>
      <c r="J838" s="20"/>
      <c r="K838" s="20"/>
      <c r="L838" s="20"/>
      <c r="M838" s="20"/>
      <c r="N838" s="20"/>
      <c r="O838" s="20"/>
      <c r="P838" s="20"/>
      <c r="Q838" s="20"/>
      <c r="R838" s="20"/>
      <c r="S838" s="20"/>
      <c r="T838" s="20"/>
      <c r="U838" s="20"/>
      <c r="V838" s="20"/>
      <c r="W838" s="20"/>
      <c r="X838" s="20"/>
      <c r="Y838" s="20"/>
      <c r="Z838" s="20"/>
      <c r="AA838" s="20"/>
    </row>
    <row r="839" spans="1:27" ht="17.25" customHeight="1">
      <c r="A839" s="57"/>
      <c r="B839" s="57"/>
      <c r="C839" s="57"/>
      <c r="D839" s="57"/>
      <c r="E839" s="57"/>
      <c r="F839" s="57"/>
      <c r="G839" s="57"/>
      <c r="H839" s="20"/>
      <c r="I839" s="20"/>
      <c r="J839" s="20"/>
      <c r="K839" s="20"/>
      <c r="L839" s="20"/>
      <c r="M839" s="20"/>
      <c r="N839" s="20"/>
      <c r="O839" s="20"/>
      <c r="P839" s="20"/>
      <c r="Q839" s="20"/>
      <c r="R839" s="20"/>
      <c r="S839" s="20"/>
      <c r="T839" s="20"/>
      <c r="U839" s="20"/>
      <c r="V839" s="20"/>
      <c r="W839" s="20"/>
      <c r="X839" s="20"/>
      <c r="Y839" s="20"/>
      <c r="Z839" s="20"/>
      <c r="AA839" s="20"/>
    </row>
    <row r="840" spans="1:27" ht="17.25" customHeight="1">
      <c r="A840" s="57"/>
      <c r="B840" s="57"/>
      <c r="C840" s="57"/>
      <c r="D840" s="57"/>
      <c r="E840" s="57"/>
      <c r="F840" s="57"/>
      <c r="G840" s="57"/>
      <c r="H840" s="20"/>
      <c r="I840" s="20"/>
      <c r="J840" s="20"/>
      <c r="K840" s="20"/>
      <c r="L840" s="20"/>
      <c r="M840" s="20"/>
      <c r="N840" s="20"/>
      <c r="O840" s="20"/>
      <c r="P840" s="20"/>
      <c r="Q840" s="20"/>
      <c r="R840" s="20"/>
      <c r="S840" s="20"/>
      <c r="T840" s="20"/>
      <c r="U840" s="20"/>
      <c r="V840" s="20"/>
      <c r="W840" s="20"/>
      <c r="X840" s="20"/>
      <c r="Y840" s="20"/>
      <c r="Z840" s="20"/>
      <c r="AA840" s="20"/>
    </row>
    <row r="841" spans="1:27" ht="17.25" customHeight="1">
      <c r="A841" s="57"/>
      <c r="B841" s="57"/>
      <c r="C841" s="57"/>
      <c r="D841" s="57"/>
      <c r="E841" s="57"/>
      <c r="F841" s="57"/>
      <c r="G841" s="57"/>
      <c r="H841" s="20"/>
      <c r="I841" s="20"/>
      <c r="J841" s="20"/>
      <c r="K841" s="20"/>
      <c r="L841" s="20"/>
      <c r="M841" s="20"/>
      <c r="N841" s="20"/>
      <c r="O841" s="20"/>
      <c r="P841" s="20"/>
      <c r="Q841" s="20"/>
      <c r="R841" s="20"/>
      <c r="S841" s="20"/>
      <c r="T841" s="20"/>
      <c r="U841" s="20"/>
      <c r="V841" s="20"/>
      <c r="W841" s="20"/>
      <c r="X841" s="20"/>
      <c r="Y841" s="20"/>
      <c r="Z841" s="20"/>
      <c r="AA841" s="20"/>
    </row>
    <row r="842" spans="1:27" ht="17.25" customHeight="1">
      <c r="A842" s="57"/>
      <c r="B842" s="57"/>
      <c r="C842" s="57"/>
      <c r="D842" s="57"/>
      <c r="E842" s="57"/>
      <c r="F842" s="57"/>
      <c r="G842" s="57"/>
      <c r="H842" s="20"/>
      <c r="I842" s="20"/>
      <c r="J842" s="20"/>
      <c r="K842" s="20"/>
      <c r="L842" s="20"/>
      <c r="M842" s="20"/>
      <c r="N842" s="20"/>
      <c r="O842" s="20"/>
      <c r="P842" s="20"/>
      <c r="Q842" s="20"/>
      <c r="R842" s="20"/>
      <c r="S842" s="20"/>
      <c r="T842" s="20"/>
      <c r="U842" s="20"/>
      <c r="V842" s="20"/>
      <c r="W842" s="20"/>
      <c r="X842" s="20"/>
      <c r="Y842" s="20"/>
      <c r="Z842" s="20"/>
      <c r="AA842" s="20"/>
    </row>
    <row r="843" spans="1:27" ht="17.25" customHeight="1">
      <c r="A843" s="57"/>
      <c r="B843" s="57"/>
      <c r="C843" s="57"/>
      <c r="D843" s="57"/>
      <c r="E843" s="57"/>
      <c r="F843" s="57"/>
      <c r="G843" s="57"/>
      <c r="H843" s="20"/>
      <c r="I843" s="20"/>
      <c r="J843" s="20"/>
      <c r="K843" s="20"/>
      <c r="L843" s="20"/>
      <c r="M843" s="20"/>
      <c r="N843" s="20"/>
      <c r="O843" s="20"/>
      <c r="P843" s="20"/>
      <c r="Q843" s="20"/>
      <c r="R843" s="20"/>
      <c r="S843" s="20"/>
      <c r="T843" s="20"/>
      <c r="U843" s="20"/>
      <c r="V843" s="20"/>
      <c r="W843" s="20"/>
      <c r="X843" s="20"/>
      <c r="Y843" s="20"/>
      <c r="Z843" s="20"/>
      <c r="AA843" s="20"/>
    </row>
    <row r="844" spans="1:27" ht="17.25" customHeight="1">
      <c r="A844" s="57"/>
      <c r="B844" s="57"/>
      <c r="C844" s="57"/>
      <c r="D844" s="57"/>
      <c r="E844" s="57"/>
      <c r="F844" s="57"/>
      <c r="G844" s="57"/>
      <c r="H844" s="20"/>
      <c r="I844" s="20"/>
      <c r="J844" s="20"/>
      <c r="K844" s="20"/>
      <c r="L844" s="20"/>
      <c r="M844" s="20"/>
      <c r="N844" s="20"/>
      <c r="O844" s="20"/>
      <c r="P844" s="20"/>
      <c r="Q844" s="20"/>
      <c r="R844" s="20"/>
      <c r="S844" s="20"/>
      <c r="T844" s="20"/>
      <c r="U844" s="20"/>
      <c r="V844" s="20"/>
      <c r="W844" s="20"/>
      <c r="X844" s="20"/>
      <c r="Y844" s="20"/>
      <c r="Z844" s="20"/>
      <c r="AA844" s="20"/>
    </row>
    <row r="845" spans="1:27" ht="17.25" customHeight="1">
      <c r="A845" s="57"/>
      <c r="B845" s="57"/>
      <c r="C845" s="57"/>
      <c r="D845" s="57"/>
      <c r="E845" s="57"/>
      <c r="F845" s="57"/>
      <c r="G845" s="57"/>
      <c r="H845" s="20"/>
      <c r="I845" s="20"/>
      <c r="J845" s="20"/>
      <c r="K845" s="20"/>
      <c r="L845" s="20"/>
      <c r="M845" s="20"/>
      <c r="N845" s="20"/>
      <c r="O845" s="20"/>
      <c r="P845" s="20"/>
      <c r="Q845" s="20"/>
      <c r="R845" s="20"/>
      <c r="S845" s="20"/>
      <c r="T845" s="20"/>
      <c r="U845" s="20"/>
      <c r="V845" s="20"/>
      <c r="W845" s="20"/>
      <c r="X845" s="20"/>
      <c r="Y845" s="20"/>
      <c r="Z845" s="20"/>
      <c r="AA845" s="20"/>
    </row>
    <row r="846" spans="1:27" ht="17.25" customHeight="1">
      <c r="A846" s="57"/>
      <c r="B846" s="57"/>
      <c r="C846" s="57"/>
      <c r="D846" s="57"/>
      <c r="E846" s="57"/>
      <c r="F846" s="57"/>
      <c r="G846" s="57"/>
      <c r="H846" s="20"/>
      <c r="I846" s="20"/>
      <c r="J846" s="20"/>
      <c r="K846" s="20"/>
      <c r="L846" s="20"/>
      <c r="M846" s="20"/>
      <c r="N846" s="20"/>
      <c r="O846" s="20"/>
      <c r="P846" s="20"/>
      <c r="Q846" s="20"/>
      <c r="R846" s="20"/>
      <c r="S846" s="20"/>
      <c r="T846" s="20"/>
      <c r="U846" s="20"/>
      <c r="V846" s="20"/>
      <c r="W846" s="20"/>
      <c r="X846" s="20"/>
      <c r="Y846" s="20"/>
      <c r="Z846" s="20"/>
      <c r="AA846" s="20"/>
    </row>
    <row r="847" spans="1:27" ht="17.25" customHeight="1">
      <c r="A847" s="57"/>
      <c r="B847" s="57"/>
      <c r="C847" s="57"/>
      <c r="D847" s="57"/>
      <c r="E847" s="57"/>
      <c r="F847" s="57"/>
      <c r="G847" s="57"/>
      <c r="H847" s="20"/>
      <c r="I847" s="20"/>
      <c r="J847" s="20"/>
      <c r="K847" s="20"/>
      <c r="L847" s="20"/>
      <c r="M847" s="20"/>
      <c r="N847" s="20"/>
      <c r="O847" s="20"/>
      <c r="P847" s="20"/>
      <c r="Q847" s="20"/>
      <c r="R847" s="20"/>
      <c r="S847" s="20"/>
      <c r="T847" s="20"/>
      <c r="U847" s="20"/>
      <c r="V847" s="20"/>
      <c r="W847" s="20"/>
      <c r="X847" s="20"/>
      <c r="Y847" s="20"/>
      <c r="Z847" s="20"/>
      <c r="AA847" s="20"/>
    </row>
    <row r="848" spans="1:27" ht="17.25" customHeight="1">
      <c r="A848" s="57"/>
      <c r="B848" s="57"/>
      <c r="C848" s="57"/>
      <c r="D848" s="57"/>
      <c r="E848" s="57"/>
      <c r="F848" s="57"/>
      <c r="G848" s="57"/>
      <c r="H848" s="20"/>
      <c r="I848" s="20"/>
      <c r="J848" s="20"/>
      <c r="K848" s="20"/>
      <c r="L848" s="20"/>
      <c r="M848" s="20"/>
      <c r="N848" s="20"/>
      <c r="O848" s="20"/>
      <c r="P848" s="20"/>
      <c r="Q848" s="20"/>
      <c r="R848" s="20"/>
      <c r="S848" s="20"/>
      <c r="T848" s="20"/>
      <c r="U848" s="20"/>
      <c r="V848" s="20"/>
      <c r="W848" s="20"/>
      <c r="X848" s="20"/>
      <c r="Y848" s="20"/>
      <c r="Z848" s="20"/>
      <c r="AA848" s="20"/>
    </row>
    <row r="849" spans="1:27" ht="17.25" customHeight="1">
      <c r="A849" s="57"/>
      <c r="B849" s="57"/>
      <c r="C849" s="57"/>
      <c r="D849" s="57"/>
      <c r="E849" s="57"/>
      <c r="F849" s="57"/>
      <c r="G849" s="57"/>
      <c r="H849" s="20"/>
      <c r="I849" s="20"/>
      <c r="J849" s="20"/>
      <c r="K849" s="20"/>
      <c r="L849" s="20"/>
      <c r="M849" s="20"/>
      <c r="N849" s="20"/>
      <c r="O849" s="20"/>
      <c r="P849" s="20"/>
      <c r="Q849" s="20"/>
      <c r="R849" s="20"/>
      <c r="S849" s="20"/>
      <c r="T849" s="20"/>
      <c r="U849" s="20"/>
      <c r="V849" s="20"/>
      <c r="W849" s="20"/>
      <c r="X849" s="20"/>
      <c r="Y849" s="20"/>
      <c r="Z849" s="20"/>
      <c r="AA849" s="20"/>
    </row>
    <row r="850" spans="1:27" ht="17.25" customHeight="1">
      <c r="A850" s="57"/>
      <c r="B850" s="57"/>
      <c r="C850" s="57"/>
      <c r="D850" s="57"/>
      <c r="E850" s="57"/>
      <c r="F850" s="57"/>
      <c r="G850" s="57"/>
      <c r="H850" s="20"/>
      <c r="I850" s="20"/>
      <c r="J850" s="20"/>
      <c r="K850" s="20"/>
      <c r="L850" s="20"/>
      <c r="M850" s="20"/>
      <c r="N850" s="20"/>
      <c r="O850" s="20"/>
      <c r="P850" s="20"/>
      <c r="Q850" s="20"/>
      <c r="R850" s="20"/>
      <c r="S850" s="20"/>
      <c r="T850" s="20"/>
      <c r="U850" s="20"/>
      <c r="V850" s="20"/>
      <c r="W850" s="20"/>
      <c r="X850" s="20"/>
      <c r="Y850" s="20"/>
      <c r="Z850" s="20"/>
      <c r="AA850" s="20"/>
    </row>
    <row r="851" spans="1:27" ht="17.25" customHeight="1">
      <c r="A851" s="57"/>
      <c r="B851" s="57"/>
      <c r="C851" s="57"/>
      <c r="D851" s="57"/>
      <c r="E851" s="57"/>
      <c r="F851" s="57"/>
      <c r="G851" s="57"/>
      <c r="H851" s="20"/>
      <c r="I851" s="20"/>
      <c r="J851" s="20"/>
      <c r="K851" s="20"/>
      <c r="L851" s="20"/>
      <c r="M851" s="20"/>
      <c r="N851" s="20"/>
      <c r="O851" s="20"/>
      <c r="P851" s="20"/>
      <c r="Q851" s="20"/>
      <c r="R851" s="20"/>
      <c r="S851" s="20"/>
      <c r="T851" s="20"/>
      <c r="U851" s="20"/>
      <c r="V851" s="20"/>
      <c r="W851" s="20"/>
      <c r="X851" s="20"/>
      <c r="Y851" s="20"/>
      <c r="Z851" s="20"/>
      <c r="AA851" s="20"/>
    </row>
    <row r="852" spans="1:27" ht="17.25" customHeight="1">
      <c r="A852" s="57"/>
      <c r="B852" s="57"/>
      <c r="C852" s="57"/>
      <c r="D852" s="57"/>
      <c r="E852" s="57"/>
      <c r="F852" s="57"/>
      <c r="G852" s="57"/>
      <c r="H852" s="20"/>
      <c r="I852" s="20"/>
      <c r="J852" s="20"/>
      <c r="K852" s="20"/>
      <c r="L852" s="20"/>
      <c r="M852" s="20"/>
      <c r="N852" s="20"/>
      <c r="O852" s="20"/>
      <c r="P852" s="20"/>
      <c r="Q852" s="20"/>
      <c r="R852" s="20"/>
      <c r="S852" s="20"/>
      <c r="T852" s="20"/>
      <c r="U852" s="20"/>
      <c r="V852" s="20"/>
      <c r="W852" s="20"/>
      <c r="X852" s="20"/>
      <c r="Y852" s="20"/>
      <c r="Z852" s="20"/>
      <c r="AA852" s="20"/>
    </row>
    <row r="853" spans="1:27" ht="17.25" customHeight="1">
      <c r="A853" s="57"/>
      <c r="B853" s="57"/>
      <c r="C853" s="57"/>
      <c r="D853" s="57"/>
      <c r="E853" s="57"/>
      <c r="F853" s="57"/>
      <c r="G853" s="57"/>
      <c r="H853" s="20"/>
      <c r="I853" s="20"/>
      <c r="J853" s="20"/>
      <c r="K853" s="20"/>
      <c r="L853" s="20"/>
      <c r="M853" s="20"/>
      <c r="N853" s="20"/>
      <c r="O853" s="20"/>
      <c r="P853" s="20"/>
      <c r="Q853" s="20"/>
      <c r="R853" s="20"/>
      <c r="S853" s="20"/>
      <c r="T853" s="20"/>
      <c r="U853" s="20"/>
      <c r="V853" s="20"/>
      <c r="W853" s="20"/>
      <c r="X853" s="20"/>
      <c r="Y853" s="20"/>
      <c r="Z853" s="20"/>
      <c r="AA853" s="20"/>
    </row>
    <row r="854" spans="1:27" ht="17.25" customHeight="1">
      <c r="A854" s="57"/>
      <c r="B854" s="57"/>
      <c r="C854" s="57"/>
      <c r="D854" s="57"/>
      <c r="E854" s="57"/>
      <c r="F854" s="57"/>
      <c r="G854" s="57"/>
      <c r="H854" s="20"/>
      <c r="I854" s="20"/>
      <c r="J854" s="20"/>
      <c r="K854" s="20"/>
      <c r="L854" s="20"/>
      <c r="M854" s="20"/>
      <c r="N854" s="20"/>
      <c r="O854" s="20"/>
      <c r="P854" s="20"/>
      <c r="Q854" s="20"/>
      <c r="R854" s="20"/>
      <c r="S854" s="20"/>
      <c r="T854" s="20"/>
      <c r="U854" s="20"/>
      <c r="V854" s="20"/>
      <c r="W854" s="20"/>
      <c r="X854" s="20"/>
      <c r="Y854" s="20"/>
      <c r="Z854" s="20"/>
      <c r="AA854" s="20"/>
    </row>
    <row r="855" spans="1:27" ht="17.25" customHeight="1">
      <c r="A855" s="57"/>
      <c r="B855" s="57"/>
      <c r="C855" s="57"/>
      <c r="D855" s="57"/>
      <c r="E855" s="57"/>
      <c r="F855" s="57"/>
      <c r="G855" s="57"/>
      <c r="H855" s="20"/>
      <c r="I855" s="20"/>
      <c r="J855" s="20"/>
      <c r="K855" s="20"/>
      <c r="L855" s="20"/>
      <c r="M855" s="20"/>
      <c r="N855" s="20"/>
      <c r="O855" s="20"/>
      <c r="P855" s="20"/>
      <c r="Q855" s="20"/>
      <c r="R855" s="20"/>
      <c r="S855" s="20"/>
      <c r="T855" s="20"/>
      <c r="U855" s="20"/>
      <c r="V855" s="20"/>
      <c r="W855" s="20"/>
      <c r="X855" s="20"/>
      <c r="Y855" s="20"/>
      <c r="Z855" s="20"/>
      <c r="AA855" s="20"/>
    </row>
    <row r="856" spans="1:27" ht="17.25" customHeight="1">
      <c r="A856" s="57"/>
      <c r="B856" s="57"/>
      <c r="C856" s="57"/>
      <c r="D856" s="57"/>
      <c r="E856" s="57"/>
      <c r="F856" s="57"/>
      <c r="G856" s="57"/>
      <c r="H856" s="20"/>
      <c r="I856" s="20"/>
      <c r="J856" s="20"/>
      <c r="K856" s="20"/>
      <c r="L856" s="20"/>
      <c r="M856" s="20"/>
      <c r="N856" s="20"/>
      <c r="O856" s="20"/>
      <c r="P856" s="20"/>
      <c r="Q856" s="20"/>
      <c r="R856" s="20"/>
      <c r="S856" s="20"/>
      <c r="T856" s="20"/>
      <c r="U856" s="20"/>
      <c r="V856" s="20"/>
      <c r="W856" s="20"/>
      <c r="X856" s="20"/>
      <c r="Y856" s="20"/>
      <c r="Z856" s="20"/>
      <c r="AA856" s="20"/>
    </row>
    <row r="857" spans="1:27" ht="17.25" customHeight="1">
      <c r="A857" s="57"/>
      <c r="B857" s="57"/>
      <c r="C857" s="57"/>
      <c r="D857" s="57"/>
      <c r="E857" s="57"/>
      <c r="F857" s="57"/>
      <c r="G857" s="57"/>
      <c r="H857" s="20"/>
      <c r="I857" s="20"/>
      <c r="J857" s="20"/>
      <c r="K857" s="20"/>
      <c r="L857" s="20"/>
      <c r="M857" s="20"/>
      <c r="N857" s="20"/>
      <c r="O857" s="20"/>
      <c r="P857" s="20"/>
      <c r="Q857" s="20"/>
      <c r="R857" s="20"/>
      <c r="S857" s="20"/>
      <c r="T857" s="20"/>
      <c r="U857" s="20"/>
      <c r="V857" s="20"/>
      <c r="W857" s="20"/>
      <c r="X857" s="20"/>
      <c r="Y857" s="20"/>
      <c r="Z857" s="20"/>
      <c r="AA857" s="20"/>
    </row>
    <row r="858" spans="1:27" ht="17.25" customHeight="1">
      <c r="A858" s="57"/>
      <c r="B858" s="57"/>
      <c r="C858" s="57"/>
      <c r="D858" s="57"/>
      <c r="E858" s="57"/>
      <c r="F858" s="57"/>
      <c r="G858" s="57"/>
      <c r="H858" s="20"/>
      <c r="I858" s="20"/>
      <c r="J858" s="20"/>
      <c r="K858" s="20"/>
      <c r="L858" s="20"/>
      <c r="M858" s="20"/>
      <c r="N858" s="20"/>
      <c r="O858" s="20"/>
      <c r="P858" s="20"/>
      <c r="Q858" s="20"/>
      <c r="R858" s="20"/>
      <c r="S858" s="20"/>
      <c r="T858" s="20"/>
      <c r="U858" s="20"/>
      <c r="V858" s="20"/>
      <c r="W858" s="20"/>
      <c r="X858" s="20"/>
      <c r="Y858" s="20"/>
      <c r="Z858" s="20"/>
      <c r="AA858" s="20"/>
    </row>
    <row r="859" spans="1:27" ht="17.25" customHeight="1">
      <c r="A859" s="57"/>
      <c r="B859" s="57"/>
      <c r="C859" s="57"/>
      <c r="D859" s="57"/>
      <c r="E859" s="57"/>
      <c r="F859" s="57"/>
      <c r="G859" s="57"/>
      <c r="H859" s="20"/>
      <c r="I859" s="20"/>
      <c r="J859" s="20"/>
      <c r="K859" s="20"/>
      <c r="L859" s="20"/>
      <c r="M859" s="20"/>
      <c r="N859" s="20"/>
      <c r="O859" s="20"/>
      <c r="P859" s="20"/>
      <c r="Q859" s="20"/>
      <c r="R859" s="20"/>
      <c r="S859" s="20"/>
      <c r="T859" s="20"/>
      <c r="U859" s="20"/>
      <c r="V859" s="20"/>
      <c r="W859" s="20"/>
      <c r="X859" s="20"/>
      <c r="Y859" s="20"/>
      <c r="Z859" s="20"/>
      <c r="AA859" s="20"/>
    </row>
    <row r="860" spans="1:27" ht="17.25" customHeight="1">
      <c r="A860" s="57"/>
      <c r="B860" s="57"/>
      <c r="C860" s="57"/>
      <c r="D860" s="57"/>
      <c r="E860" s="57"/>
      <c r="F860" s="57"/>
      <c r="G860" s="57"/>
      <c r="H860" s="20"/>
      <c r="I860" s="20"/>
      <c r="J860" s="20"/>
      <c r="K860" s="20"/>
      <c r="L860" s="20"/>
      <c r="M860" s="20"/>
      <c r="N860" s="20"/>
      <c r="O860" s="20"/>
      <c r="P860" s="20"/>
      <c r="Q860" s="20"/>
      <c r="R860" s="20"/>
      <c r="S860" s="20"/>
      <c r="T860" s="20"/>
      <c r="U860" s="20"/>
      <c r="V860" s="20"/>
      <c r="W860" s="20"/>
      <c r="X860" s="20"/>
      <c r="Y860" s="20"/>
      <c r="Z860" s="20"/>
      <c r="AA860" s="20"/>
    </row>
    <row r="861" spans="1:27" ht="17.25" customHeight="1">
      <c r="A861" s="57"/>
      <c r="B861" s="57"/>
      <c r="C861" s="57"/>
      <c r="D861" s="57"/>
      <c r="E861" s="57"/>
      <c r="F861" s="57"/>
      <c r="G861" s="57"/>
      <c r="H861" s="20"/>
      <c r="I861" s="20"/>
      <c r="J861" s="20"/>
      <c r="K861" s="20"/>
      <c r="L861" s="20"/>
      <c r="M861" s="20"/>
      <c r="N861" s="20"/>
      <c r="O861" s="20"/>
      <c r="P861" s="20"/>
      <c r="Q861" s="20"/>
      <c r="R861" s="20"/>
      <c r="S861" s="20"/>
      <c r="T861" s="20"/>
      <c r="U861" s="20"/>
      <c r="V861" s="20"/>
      <c r="W861" s="20"/>
      <c r="X861" s="20"/>
      <c r="Y861" s="20"/>
      <c r="Z861" s="20"/>
      <c r="AA861" s="20"/>
    </row>
    <row r="862" spans="1:27" ht="17.25" customHeight="1">
      <c r="A862" s="57"/>
      <c r="B862" s="57"/>
      <c r="C862" s="57"/>
      <c r="D862" s="57"/>
      <c r="E862" s="57"/>
      <c r="F862" s="57"/>
      <c r="G862" s="57"/>
      <c r="H862" s="20"/>
      <c r="I862" s="20"/>
      <c r="J862" s="20"/>
      <c r="K862" s="20"/>
      <c r="L862" s="20"/>
      <c r="M862" s="20"/>
      <c r="N862" s="20"/>
      <c r="O862" s="20"/>
      <c r="P862" s="20"/>
      <c r="Q862" s="20"/>
      <c r="R862" s="20"/>
      <c r="S862" s="20"/>
      <c r="T862" s="20"/>
      <c r="U862" s="20"/>
      <c r="V862" s="20"/>
      <c r="W862" s="20"/>
      <c r="X862" s="20"/>
      <c r="Y862" s="20"/>
      <c r="Z862" s="20"/>
      <c r="AA862" s="20"/>
    </row>
    <row r="863" spans="1:27" ht="17.25" customHeight="1">
      <c r="A863" s="57"/>
      <c r="B863" s="57"/>
      <c r="C863" s="57"/>
      <c r="D863" s="57"/>
      <c r="E863" s="57"/>
      <c r="F863" s="57"/>
      <c r="G863" s="57"/>
      <c r="H863" s="20"/>
      <c r="I863" s="20"/>
      <c r="J863" s="20"/>
      <c r="K863" s="20"/>
      <c r="L863" s="20"/>
      <c r="M863" s="20"/>
      <c r="N863" s="20"/>
      <c r="O863" s="20"/>
      <c r="P863" s="20"/>
      <c r="Q863" s="20"/>
      <c r="R863" s="20"/>
      <c r="S863" s="20"/>
      <c r="T863" s="20"/>
      <c r="U863" s="20"/>
      <c r="V863" s="20"/>
      <c r="W863" s="20"/>
      <c r="X863" s="20"/>
      <c r="Y863" s="20"/>
      <c r="Z863" s="20"/>
      <c r="AA863" s="20"/>
    </row>
    <row r="864" spans="1:27" ht="17.25" customHeight="1">
      <c r="A864" s="57"/>
      <c r="B864" s="57"/>
      <c r="C864" s="57"/>
      <c r="D864" s="57"/>
      <c r="E864" s="57"/>
      <c r="F864" s="57"/>
      <c r="G864" s="57"/>
      <c r="H864" s="20"/>
      <c r="I864" s="20"/>
      <c r="J864" s="20"/>
      <c r="K864" s="20"/>
      <c r="L864" s="20"/>
      <c r="M864" s="20"/>
      <c r="N864" s="20"/>
      <c r="O864" s="20"/>
      <c r="P864" s="20"/>
      <c r="Q864" s="20"/>
      <c r="R864" s="20"/>
      <c r="S864" s="20"/>
      <c r="T864" s="20"/>
      <c r="U864" s="20"/>
      <c r="V864" s="20"/>
      <c r="W864" s="20"/>
      <c r="X864" s="20"/>
      <c r="Y864" s="20"/>
      <c r="Z864" s="20"/>
      <c r="AA864" s="20"/>
    </row>
    <row r="865" spans="1:27" ht="17.25" customHeight="1">
      <c r="A865" s="57"/>
      <c r="B865" s="57"/>
      <c r="C865" s="57"/>
      <c r="D865" s="57"/>
      <c r="E865" s="57"/>
      <c r="F865" s="57"/>
      <c r="G865" s="57"/>
      <c r="H865" s="20"/>
      <c r="I865" s="20"/>
      <c r="J865" s="20"/>
      <c r="K865" s="20"/>
      <c r="L865" s="20"/>
      <c r="M865" s="20"/>
      <c r="N865" s="20"/>
      <c r="O865" s="20"/>
      <c r="P865" s="20"/>
      <c r="Q865" s="20"/>
      <c r="R865" s="20"/>
      <c r="S865" s="20"/>
      <c r="T865" s="20"/>
      <c r="U865" s="20"/>
      <c r="V865" s="20"/>
      <c r="W865" s="20"/>
      <c r="X865" s="20"/>
      <c r="Y865" s="20"/>
      <c r="Z865" s="20"/>
      <c r="AA865" s="20"/>
    </row>
    <row r="866" spans="1:27" ht="17.25" customHeight="1">
      <c r="A866" s="57"/>
      <c r="B866" s="57"/>
      <c r="C866" s="57"/>
      <c r="D866" s="57"/>
      <c r="E866" s="57"/>
      <c r="F866" s="57"/>
      <c r="G866" s="57"/>
      <c r="H866" s="20"/>
      <c r="I866" s="20"/>
      <c r="J866" s="20"/>
      <c r="K866" s="20"/>
      <c r="L866" s="20"/>
      <c r="M866" s="20"/>
      <c r="N866" s="20"/>
      <c r="O866" s="20"/>
      <c r="P866" s="20"/>
      <c r="Q866" s="20"/>
      <c r="R866" s="20"/>
      <c r="S866" s="20"/>
      <c r="T866" s="20"/>
      <c r="U866" s="20"/>
      <c r="V866" s="20"/>
      <c r="W866" s="20"/>
      <c r="X866" s="20"/>
      <c r="Y866" s="20"/>
      <c r="Z866" s="20"/>
      <c r="AA866" s="20"/>
    </row>
    <row r="867" spans="1:27" ht="17.25" customHeight="1">
      <c r="A867" s="57"/>
      <c r="B867" s="57"/>
      <c r="C867" s="57"/>
      <c r="D867" s="57"/>
      <c r="E867" s="57"/>
      <c r="F867" s="57"/>
      <c r="G867" s="57"/>
      <c r="H867" s="20"/>
      <c r="I867" s="20"/>
      <c r="J867" s="20"/>
      <c r="K867" s="20"/>
      <c r="L867" s="20"/>
      <c r="M867" s="20"/>
      <c r="N867" s="20"/>
      <c r="O867" s="20"/>
      <c r="P867" s="20"/>
      <c r="Q867" s="20"/>
      <c r="R867" s="20"/>
      <c r="S867" s="20"/>
      <c r="T867" s="20"/>
      <c r="U867" s="20"/>
      <c r="V867" s="20"/>
      <c r="W867" s="20"/>
      <c r="X867" s="20"/>
      <c r="Y867" s="20"/>
      <c r="Z867" s="20"/>
      <c r="AA867" s="20"/>
    </row>
    <row r="868" spans="1:27" ht="17.25" customHeight="1">
      <c r="A868" s="57"/>
      <c r="B868" s="57"/>
      <c r="C868" s="57"/>
      <c r="D868" s="57"/>
      <c r="E868" s="57"/>
      <c r="F868" s="57"/>
      <c r="G868" s="57"/>
      <c r="H868" s="20"/>
      <c r="I868" s="20"/>
      <c r="J868" s="20"/>
      <c r="K868" s="20"/>
      <c r="L868" s="20"/>
      <c r="M868" s="20"/>
      <c r="N868" s="20"/>
      <c r="O868" s="20"/>
      <c r="P868" s="20"/>
      <c r="Q868" s="20"/>
      <c r="R868" s="20"/>
      <c r="S868" s="20"/>
      <c r="T868" s="20"/>
      <c r="U868" s="20"/>
      <c r="V868" s="20"/>
      <c r="W868" s="20"/>
      <c r="X868" s="20"/>
      <c r="Y868" s="20"/>
      <c r="Z868" s="20"/>
      <c r="AA868" s="20"/>
    </row>
    <row r="869" spans="1:27" ht="17.25" customHeight="1">
      <c r="A869" s="57"/>
      <c r="B869" s="57"/>
      <c r="C869" s="57"/>
      <c r="D869" s="57"/>
      <c r="E869" s="57"/>
      <c r="F869" s="57"/>
      <c r="G869" s="57"/>
      <c r="H869" s="20"/>
      <c r="I869" s="20"/>
      <c r="J869" s="20"/>
      <c r="K869" s="20"/>
      <c r="L869" s="20"/>
      <c r="M869" s="20"/>
      <c r="N869" s="20"/>
      <c r="O869" s="20"/>
      <c r="P869" s="20"/>
      <c r="Q869" s="20"/>
      <c r="R869" s="20"/>
      <c r="S869" s="20"/>
      <c r="T869" s="20"/>
      <c r="U869" s="20"/>
      <c r="V869" s="20"/>
      <c r="W869" s="20"/>
      <c r="X869" s="20"/>
      <c r="Y869" s="20"/>
      <c r="Z869" s="20"/>
      <c r="AA869" s="20"/>
    </row>
    <row r="870" spans="1:27" ht="17.25" customHeight="1">
      <c r="A870" s="57"/>
      <c r="B870" s="57"/>
      <c r="C870" s="57"/>
      <c r="D870" s="57"/>
      <c r="E870" s="57"/>
      <c r="F870" s="57"/>
      <c r="G870" s="57"/>
      <c r="H870" s="20"/>
      <c r="I870" s="20"/>
      <c r="J870" s="20"/>
      <c r="K870" s="20"/>
      <c r="L870" s="20"/>
      <c r="M870" s="20"/>
      <c r="N870" s="20"/>
      <c r="O870" s="20"/>
      <c r="P870" s="20"/>
      <c r="Q870" s="20"/>
      <c r="R870" s="20"/>
      <c r="S870" s="20"/>
      <c r="T870" s="20"/>
      <c r="U870" s="20"/>
      <c r="V870" s="20"/>
      <c r="W870" s="20"/>
      <c r="X870" s="20"/>
      <c r="Y870" s="20"/>
      <c r="Z870" s="20"/>
      <c r="AA870" s="20"/>
    </row>
    <row r="871" spans="1:27" ht="17.25" customHeight="1">
      <c r="A871" s="57"/>
      <c r="B871" s="57"/>
      <c r="C871" s="57"/>
      <c r="D871" s="57"/>
      <c r="E871" s="57"/>
      <c r="F871" s="57"/>
      <c r="G871" s="57"/>
      <c r="H871" s="20"/>
      <c r="I871" s="20"/>
      <c r="J871" s="20"/>
      <c r="K871" s="20"/>
      <c r="L871" s="20"/>
      <c r="M871" s="20"/>
      <c r="N871" s="20"/>
      <c r="O871" s="20"/>
      <c r="P871" s="20"/>
      <c r="Q871" s="20"/>
      <c r="R871" s="20"/>
      <c r="S871" s="20"/>
      <c r="T871" s="20"/>
      <c r="U871" s="20"/>
      <c r="V871" s="20"/>
      <c r="W871" s="20"/>
      <c r="X871" s="20"/>
      <c r="Y871" s="20"/>
      <c r="Z871" s="20"/>
      <c r="AA871" s="20"/>
    </row>
    <row r="872" spans="1:27" ht="17.25" customHeight="1">
      <c r="A872" s="57"/>
      <c r="B872" s="57"/>
      <c r="C872" s="57"/>
      <c r="D872" s="57"/>
      <c r="E872" s="57"/>
      <c r="F872" s="57"/>
      <c r="G872" s="57"/>
      <c r="H872" s="20"/>
      <c r="I872" s="20"/>
      <c r="J872" s="20"/>
      <c r="K872" s="20"/>
      <c r="L872" s="20"/>
      <c r="M872" s="20"/>
      <c r="N872" s="20"/>
      <c r="O872" s="20"/>
      <c r="P872" s="20"/>
      <c r="Q872" s="20"/>
      <c r="R872" s="20"/>
      <c r="S872" s="20"/>
      <c r="T872" s="20"/>
      <c r="U872" s="20"/>
      <c r="V872" s="20"/>
      <c r="W872" s="20"/>
      <c r="X872" s="20"/>
      <c r="Y872" s="20"/>
      <c r="Z872" s="20"/>
      <c r="AA872" s="20"/>
    </row>
    <row r="873" spans="1:27" ht="17.25" customHeight="1">
      <c r="A873" s="57"/>
      <c r="B873" s="57"/>
      <c r="C873" s="57"/>
      <c r="D873" s="57"/>
      <c r="E873" s="57"/>
      <c r="F873" s="57"/>
      <c r="G873" s="57"/>
      <c r="H873" s="20"/>
      <c r="I873" s="20"/>
      <c r="J873" s="20"/>
      <c r="K873" s="20"/>
      <c r="L873" s="20"/>
      <c r="M873" s="20"/>
      <c r="N873" s="20"/>
      <c r="O873" s="20"/>
      <c r="P873" s="20"/>
      <c r="Q873" s="20"/>
      <c r="R873" s="20"/>
      <c r="S873" s="20"/>
      <c r="T873" s="20"/>
      <c r="U873" s="20"/>
      <c r="V873" s="20"/>
      <c r="W873" s="20"/>
      <c r="X873" s="20"/>
      <c r="Y873" s="20"/>
      <c r="Z873" s="20"/>
      <c r="AA873" s="20"/>
    </row>
    <row r="874" spans="1:27" ht="17.25" customHeight="1">
      <c r="A874" s="57"/>
      <c r="B874" s="57"/>
      <c r="C874" s="57"/>
      <c r="D874" s="57"/>
      <c r="E874" s="57"/>
      <c r="F874" s="57"/>
      <c r="G874" s="57"/>
      <c r="H874" s="20"/>
      <c r="I874" s="20"/>
      <c r="J874" s="20"/>
      <c r="K874" s="20"/>
      <c r="L874" s="20"/>
      <c r="M874" s="20"/>
      <c r="N874" s="20"/>
      <c r="O874" s="20"/>
      <c r="P874" s="20"/>
      <c r="Q874" s="20"/>
      <c r="R874" s="20"/>
      <c r="S874" s="20"/>
      <c r="T874" s="20"/>
      <c r="U874" s="20"/>
      <c r="V874" s="20"/>
      <c r="W874" s="20"/>
      <c r="X874" s="20"/>
      <c r="Y874" s="20"/>
      <c r="Z874" s="20"/>
      <c r="AA874" s="20"/>
    </row>
    <row r="875" spans="1:27" ht="17.25" customHeight="1">
      <c r="A875" s="57"/>
      <c r="B875" s="57"/>
      <c r="C875" s="57"/>
      <c r="D875" s="57"/>
      <c r="E875" s="57"/>
      <c r="F875" s="57"/>
      <c r="G875" s="57"/>
      <c r="H875" s="20"/>
      <c r="I875" s="20"/>
      <c r="J875" s="20"/>
      <c r="K875" s="20"/>
      <c r="L875" s="20"/>
      <c r="M875" s="20"/>
      <c r="N875" s="20"/>
      <c r="O875" s="20"/>
      <c r="P875" s="20"/>
      <c r="Q875" s="20"/>
      <c r="R875" s="20"/>
      <c r="S875" s="20"/>
      <c r="T875" s="20"/>
      <c r="U875" s="20"/>
      <c r="V875" s="20"/>
      <c r="W875" s="20"/>
      <c r="X875" s="20"/>
      <c r="Y875" s="20"/>
      <c r="Z875" s="20"/>
      <c r="AA875" s="20"/>
    </row>
    <row r="876" spans="1:27" ht="17.25" customHeight="1">
      <c r="A876" s="57"/>
      <c r="B876" s="57"/>
      <c r="C876" s="57"/>
      <c r="D876" s="57"/>
      <c r="E876" s="57"/>
      <c r="F876" s="57"/>
      <c r="G876" s="57"/>
      <c r="H876" s="20"/>
      <c r="I876" s="20"/>
      <c r="J876" s="20"/>
      <c r="K876" s="20"/>
      <c r="L876" s="20"/>
      <c r="M876" s="20"/>
      <c r="N876" s="20"/>
      <c r="O876" s="20"/>
      <c r="P876" s="20"/>
      <c r="Q876" s="20"/>
      <c r="R876" s="20"/>
      <c r="S876" s="20"/>
      <c r="T876" s="20"/>
      <c r="U876" s="20"/>
      <c r="V876" s="20"/>
      <c r="W876" s="20"/>
      <c r="X876" s="20"/>
      <c r="Y876" s="20"/>
      <c r="Z876" s="20"/>
      <c r="AA876" s="20"/>
    </row>
    <row r="877" spans="1:27" ht="17.25" customHeight="1">
      <c r="A877" s="57"/>
      <c r="B877" s="57"/>
      <c r="C877" s="57"/>
      <c r="D877" s="57"/>
      <c r="E877" s="57"/>
      <c r="F877" s="57"/>
      <c r="G877" s="57"/>
      <c r="H877" s="20"/>
      <c r="I877" s="20"/>
      <c r="J877" s="20"/>
      <c r="K877" s="20"/>
      <c r="L877" s="20"/>
      <c r="M877" s="20"/>
      <c r="N877" s="20"/>
      <c r="O877" s="20"/>
      <c r="P877" s="20"/>
      <c r="Q877" s="20"/>
      <c r="R877" s="20"/>
      <c r="S877" s="20"/>
      <c r="T877" s="20"/>
      <c r="U877" s="20"/>
      <c r="V877" s="20"/>
      <c r="W877" s="20"/>
      <c r="X877" s="20"/>
      <c r="Y877" s="20"/>
      <c r="Z877" s="20"/>
      <c r="AA877" s="20"/>
    </row>
    <row r="878" spans="1:27" ht="17.25" customHeight="1">
      <c r="A878" s="57"/>
      <c r="B878" s="57"/>
      <c r="C878" s="57"/>
      <c r="D878" s="57"/>
      <c r="E878" s="57"/>
      <c r="F878" s="57"/>
      <c r="G878" s="57"/>
      <c r="H878" s="20"/>
      <c r="I878" s="20"/>
      <c r="J878" s="20"/>
      <c r="K878" s="20"/>
      <c r="L878" s="20"/>
      <c r="M878" s="20"/>
      <c r="N878" s="20"/>
      <c r="O878" s="20"/>
      <c r="P878" s="20"/>
      <c r="Q878" s="20"/>
      <c r="R878" s="20"/>
      <c r="S878" s="20"/>
      <c r="T878" s="20"/>
      <c r="U878" s="20"/>
      <c r="V878" s="20"/>
      <c r="W878" s="20"/>
      <c r="X878" s="20"/>
      <c r="Y878" s="20"/>
      <c r="Z878" s="20"/>
      <c r="AA878" s="20"/>
    </row>
    <row r="879" spans="1:27" ht="17.25" customHeight="1">
      <c r="A879" s="57"/>
      <c r="B879" s="57"/>
      <c r="C879" s="57"/>
      <c r="D879" s="57"/>
      <c r="E879" s="57"/>
      <c r="F879" s="57"/>
      <c r="G879" s="57"/>
      <c r="H879" s="20"/>
      <c r="I879" s="20"/>
      <c r="J879" s="20"/>
      <c r="K879" s="20"/>
      <c r="L879" s="20"/>
      <c r="M879" s="20"/>
      <c r="N879" s="20"/>
      <c r="O879" s="20"/>
      <c r="P879" s="20"/>
      <c r="Q879" s="20"/>
      <c r="R879" s="20"/>
      <c r="S879" s="20"/>
      <c r="T879" s="20"/>
      <c r="U879" s="20"/>
      <c r="V879" s="20"/>
      <c r="W879" s="20"/>
      <c r="X879" s="20"/>
      <c r="Y879" s="20"/>
      <c r="Z879" s="20"/>
      <c r="AA879" s="20"/>
    </row>
    <row r="880" spans="1:27" ht="17.25" customHeight="1">
      <c r="A880" s="57"/>
      <c r="B880" s="57"/>
      <c r="C880" s="57"/>
      <c r="D880" s="57"/>
      <c r="E880" s="57"/>
      <c r="F880" s="57"/>
      <c r="G880" s="57"/>
      <c r="H880" s="20"/>
      <c r="I880" s="20"/>
      <c r="J880" s="20"/>
      <c r="K880" s="20"/>
      <c r="L880" s="20"/>
      <c r="M880" s="20"/>
      <c r="N880" s="20"/>
      <c r="O880" s="20"/>
      <c r="P880" s="20"/>
      <c r="Q880" s="20"/>
      <c r="R880" s="20"/>
      <c r="S880" s="20"/>
      <c r="T880" s="20"/>
      <c r="U880" s="20"/>
      <c r="V880" s="20"/>
      <c r="W880" s="20"/>
      <c r="X880" s="20"/>
      <c r="Y880" s="20"/>
      <c r="Z880" s="20"/>
      <c r="AA880" s="20"/>
    </row>
    <row r="881" spans="1:27" ht="17.25" customHeight="1">
      <c r="A881" s="57"/>
      <c r="B881" s="57"/>
      <c r="C881" s="57"/>
      <c r="D881" s="57"/>
      <c r="E881" s="57"/>
      <c r="F881" s="57"/>
      <c r="G881" s="57"/>
      <c r="H881" s="20"/>
      <c r="I881" s="20"/>
      <c r="J881" s="20"/>
      <c r="K881" s="20"/>
      <c r="L881" s="20"/>
      <c r="M881" s="20"/>
      <c r="N881" s="20"/>
      <c r="O881" s="20"/>
      <c r="P881" s="20"/>
      <c r="Q881" s="20"/>
      <c r="R881" s="20"/>
      <c r="S881" s="20"/>
      <c r="T881" s="20"/>
      <c r="U881" s="20"/>
      <c r="V881" s="20"/>
      <c r="W881" s="20"/>
      <c r="X881" s="20"/>
      <c r="Y881" s="20"/>
      <c r="Z881" s="20"/>
      <c r="AA881" s="20"/>
    </row>
    <row r="882" spans="1:27" ht="17.25" customHeight="1">
      <c r="A882" s="57"/>
      <c r="B882" s="57"/>
      <c r="C882" s="57"/>
      <c r="D882" s="57"/>
      <c r="E882" s="57"/>
      <c r="F882" s="57"/>
      <c r="G882" s="57"/>
      <c r="H882" s="20"/>
      <c r="I882" s="20"/>
      <c r="J882" s="20"/>
      <c r="K882" s="20"/>
      <c r="L882" s="20"/>
      <c r="M882" s="20"/>
      <c r="N882" s="20"/>
      <c r="O882" s="20"/>
      <c r="P882" s="20"/>
      <c r="Q882" s="20"/>
      <c r="R882" s="20"/>
      <c r="S882" s="20"/>
      <c r="T882" s="20"/>
      <c r="U882" s="20"/>
      <c r="V882" s="20"/>
      <c r="W882" s="20"/>
      <c r="X882" s="20"/>
      <c r="Y882" s="20"/>
      <c r="Z882" s="20"/>
      <c r="AA882" s="20"/>
    </row>
    <row r="883" spans="1:27" ht="17.25" customHeight="1">
      <c r="A883" s="57"/>
      <c r="B883" s="57"/>
      <c r="C883" s="57"/>
      <c r="D883" s="57"/>
      <c r="E883" s="57"/>
      <c r="F883" s="57"/>
      <c r="G883" s="57"/>
      <c r="H883" s="20"/>
      <c r="I883" s="20"/>
      <c r="J883" s="20"/>
      <c r="K883" s="20"/>
      <c r="L883" s="20"/>
      <c r="M883" s="20"/>
      <c r="N883" s="20"/>
      <c r="O883" s="20"/>
      <c r="P883" s="20"/>
      <c r="Q883" s="20"/>
      <c r="R883" s="20"/>
      <c r="S883" s="20"/>
      <c r="T883" s="20"/>
      <c r="U883" s="20"/>
      <c r="V883" s="20"/>
      <c r="W883" s="20"/>
      <c r="X883" s="20"/>
      <c r="Y883" s="20"/>
      <c r="Z883" s="20"/>
      <c r="AA883" s="20"/>
    </row>
    <row r="884" spans="1:27" ht="17.25" customHeight="1">
      <c r="A884" s="57"/>
      <c r="B884" s="57"/>
      <c r="C884" s="57"/>
      <c r="D884" s="57"/>
      <c r="E884" s="57"/>
      <c r="F884" s="57"/>
      <c r="G884" s="57"/>
      <c r="H884" s="20"/>
      <c r="I884" s="20"/>
      <c r="J884" s="20"/>
      <c r="K884" s="20"/>
      <c r="L884" s="20"/>
      <c r="M884" s="20"/>
      <c r="N884" s="20"/>
      <c r="O884" s="20"/>
      <c r="P884" s="20"/>
      <c r="Q884" s="20"/>
      <c r="R884" s="20"/>
      <c r="S884" s="20"/>
      <c r="T884" s="20"/>
      <c r="U884" s="20"/>
      <c r="V884" s="20"/>
      <c r="W884" s="20"/>
      <c r="X884" s="20"/>
      <c r="Y884" s="20"/>
      <c r="Z884" s="20"/>
      <c r="AA884" s="20"/>
    </row>
    <row r="885" spans="1:27" ht="17.25" customHeight="1">
      <c r="A885" s="57"/>
      <c r="B885" s="57"/>
      <c r="C885" s="57"/>
      <c r="D885" s="57"/>
      <c r="E885" s="57"/>
      <c r="F885" s="57"/>
      <c r="G885" s="57"/>
      <c r="H885" s="20"/>
      <c r="I885" s="20"/>
      <c r="J885" s="20"/>
      <c r="K885" s="20"/>
      <c r="L885" s="20"/>
      <c r="M885" s="20"/>
      <c r="N885" s="20"/>
      <c r="O885" s="20"/>
      <c r="P885" s="20"/>
      <c r="Q885" s="20"/>
      <c r="R885" s="20"/>
      <c r="S885" s="20"/>
      <c r="T885" s="20"/>
      <c r="U885" s="20"/>
      <c r="V885" s="20"/>
      <c r="W885" s="20"/>
      <c r="X885" s="20"/>
      <c r="Y885" s="20"/>
      <c r="Z885" s="20"/>
      <c r="AA885" s="20"/>
    </row>
    <row r="886" spans="1:27" ht="17.25" customHeight="1">
      <c r="A886" s="57"/>
      <c r="B886" s="57"/>
      <c r="C886" s="57"/>
      <c r="D886" s="57"/>
      <c r="E886" s="57"/>
      <c r="F886" s="57"/>
      <c r="G886" s="57"/>
      <c r="H886" s="20"/>
      <c r="I886" s="20"/>
      <c r="J886" s="20"/>
      <c r="K886" s="20"/>
      <c r="L886" s="20"/>
      <c r="M886" s="20"/>
      <c r="N886" s="20"/>
      <c r="O886" s="20"/>
      <c r="P886" s="20"/>
      <c r="Q886" s="20"/>
      <c r="R886" s="20"/>
      <c r="S886" s="20"/>
      <c r="T886" s="20"/>
      <c r="U886" s="20"/>
      <c r="V886" s="20"/>
      <c r="W886" s="20"/>
      <c r="X886" s="20"/>
      <c r="Y886" s="20"/>
      <c r="Z886" s="20"/>
      <c r="AA886" s="20"/>
    </row>
    <row r="887" spans="1:27" ht="17.25" customHeight="1">
      <c r="A887" s="57"/>
      <c r="B887" s="57"/>
      <c r="C887" s="57"/>
      <c r="D887" s="57"/>
      <c r="E887" s="57"/>
      <c r="F887" s="57"/>
      <c r="G887" s="57"/>
      <c r="H887" s="20"/>
      <c r="I887" s="20"/>
      <c r="J887" s="20"/>
      <c r="K887" s="20"/>
      <c r="L887" s="20"/>
      <c r="M887" s="20"/>
      <c r="N887" s="20"/>
      <c r="O887" s="20"/>
      <c r="P887" s="20"/>
      <c r="Q887" s="20"/>
      <c r="R887" s="20"/>
      <c r="S887" s="20"/>
      <c r="T887" s="20"/>
      <c r="U887" s="20"/>
      <c r="V887" s="20"/>
      <c r="W887" s="20"/>
      <c r="X887" s="20"/>
      <c r="Y887" s="20"/>
      <c r="Z887" s="20"/>
      <c r="AA887" s="20"/>
    </row>
    <row r="888" spans="1:27" ht="17.25" customHeight="1">
      <c r="A888" s="57"/>
      <c r="B888" s="57"/>
      <c r="C888" s="57"/>
      <c r="D888" s="57"/>
      <c r="E888" s="57"/>
      <c r="F888" s="57"/>
      <c r="G888" s="57"/>
      <c r="H888" s="20"/>
      <c r="I888" s="20"/>
      <c r="J888" s="20"/>
      <c r="K888" s="20"/>
      <c r="L888" s="20"/>
      <c r="M888" s="20"/>
      <c r="N888" s="20"/>
      <c r="O888" s="20"/>
      <c r="P888" s="20"/>
      <c r="Q888" s="20"/>
      <c r="R888" s="20"/>
      <c r="S888" s="20"/>
      <c r="T888" s="20"/>
      <c r="U888" s="20"/>
      <c r="V888" s="20"/>
      <c r="W888" s="20"/>
      <c r="X888" s="20"/>
      <c r="Y888" s="20"/>
      <c r="Z888" s="20"/>
      <c r="AA888" s="20"/>
    </row>
    <row r="889" spans="1:27" ht="17.25" customHeight="1">
      <c r="A889" s="57"/>
      <c r="B889" s="57"/>
      <c r="C889" s="57"/>
      <c r="D889" s="57"/>
      <c r="E889" s="57"/>
      <c r="F889" s="57"/>
      <c r="G889" s="57"/>
      <c r="H889" s="20"/>
      <c r="I889" s="20"/>
      <c r="J889" s="20"/>
      <c r="K889" s="20"/>
      <c r="L889" s="20"/>
      <c r="M889" s="20"/>
      <c r="N889" s="20"/>
      <c r="O889" s="20"/>
      <c r="P889" s="20"/>
      <c r="Q889" s="20"/>
      <c r="R889" s="20"/>
      <c r="S889" s="20"/>
      <c r="T889" s="20"/>
      <c r="U889" s="20"/>
      <c r="V889" s="20"/>
      <c r="W889" s="20"/>
      <c r="X889" s="20"/>
      <c r="Y889" s="20"/>
      <c r="Z889" s="20"/>
      <c r="AA889" s="20"/>
    </row>
    <row r="890" spans="1:27" ht="17.25" customHeight="1">
      <c r="A890" s="57"/>
      <c r="B890" s="57"/>
      <c r="C890" s="57"/>
      <c r="D890" s="57"/>
      <c r="E890" s="57"/>
      <c r="F890" s="57"/>
      <c r="G890" s="57"/>
      <c r="H890" s="20"/>
      <c r="I890" s="20"/>
      <c r="J890" s="20"/>
      <c r="K890" s="20"/>
      <c r="L890" s="20"/>
      <c r="M890" s="20"/>
      <c r="N890" s="20"/>
      <c r="O890" s="20"/>
      <c r="P890" s="20"/>
      <c r="Q890" s="20"/>
      <c r="R890" s="20"/>
      <c r="S890" s="20"/>
      <c r="T890" s="20"/>
      <c r="U890" s="20"/>
      <c r="V890" s="20"/>
      <c r="W890" s="20"/>
      <c r="X890" s="20"/>
      <c r="Y890" s="20"/>
      <c r="Z890" s="20"/>
      <c r="AA890" s="20"/>
    </row>
    <row r="891" spans="1:27" ht="17.25" customHeight="1">
      <c r="A891" s="57"/>
      <c r="B891" s="57"/>
      <c r="C891" s="57"/>
      <c r="D891" s="57"/>
      <c r="E891" s="57"/>
      <c r="F891" s="57"/>
      <c r="G891" s="57"/>
      <c r="H891" s="20"/>
      <c r="I891" s="20"/>
      <c r="J891" s="20"/>
      <c r="K891" s="20"/>
      <c r="L891" s="20"/>
      <c r="M891" s="20"/>
      <c r="N891" s="20"/>
      <c r="O891" s="20"/>
      <c r="P891" s="20"/>
      <c r="Q891" s="20"/>
      <c r="R891" s="20"/>
      <c r="S891" s="20"/>
      <c r="T891" s="20"/>
      <c r="U891" s="20"/>
      <c r="V891" s="20"/>
      <c r="W891" s="20"/>
      <c r="X891" s="20"/>
      <c r="Y891" s="20"/>
      <c r="Z891" s="20"/>
      <c r="AA891" s="20"/>
    </row>
    <row r="892" spans="1:27" ht="17.25" customHeight="1">
      <c r="A892" s="57"/>
      <c r="B892" s="57"/>
      <c r="C892" s="57"/>
      <c r="D892" s="57"/>
      <c r="E892" s="57"/>
      <c r="F892" s="57"/>
      <c r="G892" s="57"/>
      <c r="H892" s="20"/>
      <c r="I892" s="20"/>
      <c r="J892" s="20"/>
      <c r="K892" s="20"/>
      <c r="L892" s="20"/>
      <c r="M892" s="20"/>
      <c r="N892" s="20"/>
      <c r="O892" s="20"/>
      <c r="P892" s="20"/>
      <c r="Q892" s="20"/>
      <c r="R892" s="20"/>
      <c r="S892" s="20"/>
      <c r="T892" s="20"/>
      <c r="U892" s="20"/>
      <c r="V892" s="20"/>
      <c r="W892" s="20"/>
      <c r="X892" s="20"/>
      <c r="Y892" s="20"/>
      <c r="Z892" s="20"/>
      <c r="AA892" s="20"/>
    </row>
    <row r="893" spans="1:27" ht="17.25" customHeight="1">
      <c r="A893" s="57"/>
      <c r="B893" s="57"/>
      <c r="C893" s="57"/>
      <c r="D893" s="57"/>
      <c r="E893" s="57"/>
      <c r="F893" s="57"/>
      <c r="G893" s="57"/>
      <c r="H893" s="20"/>
      <c r="I893" s="20"/>
      <c r="J893" s="20"/>
      <c r="K893" s="20"/>
      <c r="L893" s="20"/>
      <c r="M893" s="20"/>
      <c r="N893" s="20"/>
      <c r="O893" s="20"/>
      <c r="P893" s="20"/>
      <c r="Q893" s="20"/>
      <c r="R893" s="20"/>
      <c r="S893" s="20"/>
      <c r="T893" s="20"/>
      <c r="U893" s="20"/>
      <c r="V893" s="20"/>
      <c r="W893" s="20"/>
      <c r="X893" s="20"/>
      <c r="Y893" s="20"/>
      <c r="Z893" s="20"/>
      <c r="AA893" s="20"/>
    </row>
    <row r="894" spans="1:27" ht="17.25" customHeight="1">
      <c r="A894" s="57"/>
      <c r="B894" s="57"/>
      <c r="C894" s="57"/>
      <c r="D894" s="57"/>
      <c r="E894" s="57"/>
      <c r="F894" s="57"/>
      <c r="G894" s="57"/>
      <c r="H894" s="20"/>
      <c r="I894" s="20"/>
      <c r="J894" s="20"/>
      <c r="K894" s="20"/>
      <c r="L894" s="20"/>
      <c r="M894" s="20"/>
      <c r="N894" s="20"/>
      <c r="O894" s="20"/>
      <c r="P894" s="20"/>
      <c r="Q894" s="20"/>
      <c r="R894" s="20"/>
      <c r="S894" s="20"/>
      <c r="T894" s="20"/>
      <c r="U894" s="20"/>
      <c r="V894" s="20"/>
      <c r="W894" s="20"/>
      <c r="X894" s="20"/>
      <c r="Y894" s="20"/>
      <c r="Z894" s="20"/>
      <c r="AA894" s="20"/>
    </row>
    <row r="895" spans="1:27" ht="17.25" customHeight="1">
      <c r="A895" s="57"/>
      <c r="B895" s="57"/>
      <c r="C895" s="57"/>
      <c r="D895" s="57"/>
      <c r="E895" s="57"/>
      <c r="F895" s="57"/>
      <c r="G895" s="57"/>
      <c r="H895" s="20"/>
      <c r="I895" s="20"/>
      <c r="J895" s="20"/>
      <c r="K895" s="20"/>
      <c r="L895" s="20"/>
      <c r="M895" s="20"/>
      <c r="N895" s="20"/>
      <c r="O895" s="20"/>
      <c r="P895" s="20"/>
      <c r="Q895" s="20"/>
      <c r="R895" s="20"/>
      <c r="S895" s="20"/>
      <c r="T895" s="20"/>
      <c r="U895" s="20"/>
      <c r="V895" s="20"/>
      <c r="W895" s="20"/>
      <c r="X895" s="20"/>
      <c r="Y895" s="20"/>
      <c r="Z895" s="20"/>
      <c r="AA895" s="20"/>
    </row>
    <row r="896" spans="1:27" ht="17.25" customHeight="1">
      <c r="A896" s="57"/>
      <c r="B896" s="57"/>
      <c r="C896" s="57"/>
      <c r="D896" s="57"/>
      <c r="E896" s="57"/>
      <c r="F896" s="57"/>
      <c r="G896" s="57"/>
      <c r="H896" s="20"/>
      <c r="I896" s="20"/>
      <c r="J896" s="20"/>
      <c r="K896" s="20"/>
      <c r="L896" s="20"/>
      <c r="M896" s="20"/>
      <c r="N896" s="20"/>
      <c r="O896" s="20"/>
      <c r="P896" s="20"/>
      <c r="Q896" s="20"/>
      <c r="R896" s="20"/>
      <c r="S896" s="20"/>
      <c r="T896" s="20"/>
      <c r="U896" s="20"/>
      <c r="V896" s="20"/>
      <c r="W896" s="20"/>
      <c r="X896" s="20"/>
      <c r="Y896" s="20"/>
      <c r="Z896" s="20"/>
      <c r="AA896" s="20"/>
    </row>
    <row r="897" spans="1:27" ht="17.25" customHeight="1">
      <c r="A897" s="57"/>
      <c r="B897" s="57"/>
      <c r="C897" s="57"/>
      <c r="D897" s="57"/>
      <c r="E897" s="57"/>
      <c r="F897" s="57"/>
      <c r="G897" s="57"/>
      <c r="H897" s="20"/>
      <c r="I897" s="20"/>
      <c r="J897" s="20"/>
      <c r="K897" s="20"/>
      <c r="L897" s="20"/>
      <c r="M897" s="20"/>
      <c r="N897" s="20"/>
      <c r="O897" s="20"/>
      <c r="P897" s="20"/>
      <c r="Q897" s="20"/>
      <c r="R897" s="20"/>
      <c r="S897" s="20"/>
      <c r="T897" s="20"/>
      <c r="U897" s="20"/>
      <c r="V897" s="20"/>
      <c r="W897" s="20"/>
      <c r="X897" s="20"/>
      <c r="Y897" s="20"/>
      <c r="Z897" s="20"/>
      <c r="AA897" s="20"/>
    </row>
    <row r="898" spans="1:27" ht="17.25" customHeight="1">
      <c r="A898" s="57"/>
      <c r="B898" s="57"/>
      <c r="C898" s="57"/>
      <c r="D898" s="57"/>
      <c r="E898" s="57"/>
      <c r="F898" s="57"/>
      <c r="G898" s="57"/>
      <c r="H898" s="20"/>
      <c r="I898" s="20"/>
      <c r="J898" s="20"/>
      <c r="K898" s="20"/>
      <c r="L898" s="20"/>
      <c r="M898" s="20"/>
      <c r="N898" s="20"/>
      <c r="O898" s="20"/>
      <c r="P898" s="20"/>
      <c r="Q898" s="20"/>
      <c r="R898" s="20"/>
      <c r="S898" s="20"/>
      <c r="T898" s="20"/>
      <c r="U898" s="20"/>
      <c r="V898" s="20"/>
      <c r="W898" s="20"/>
      <c r="X898" s="20"/>
      <c r="Y898" s="20"/>
      <c r="Z898" s="20"/>
      <c r="AA898" s="20"/>
    </row>
    <row r="899" spans="1:27" ht="17.25" customHeight="1">
      <c r="A899" s="57"/>
      <c r="B899" s="57"/>
      <c r="C899" s="57"/>
      <c r="D899" s="57"/>
      <c r="E899" s="57"/>
      <c r="F899" s="57"/>
      <c r="G899" s="57"/>
      <c r="H899" s="20"/>
      <c r="I899" s="20"/>
      <c r="J899" s="20"/>
      <c r="K899" s="20"/>
      <c r="L899" s="20"/>
      <c r="M899" s="20"/>
      <c r="N899" s="20"/>
      <c r="O899" s="20"/>
      <c r="P899" s="20"/>
      <c r="Q899" s="20"/>
      <c r="R899" s="20"/>
      <c r="S899" s="20"/>
      <c r="T899" s="20"/>
      <c r="U899" s="20"/>
      <c r="V899" s="20"/>
      <c r="W899" s="20"/>
      <c r="X899" s="20"/>
      <c r="Y899" s="20"/>
      <c r="Z899" s="20"/>
      <c r="AA899" s="20"/>
    </row>
    <row r="900" spans="1:27" ht="17.25" customHeight="1">
      <c r="A900" s="57"/>
      <c r="B900" s="57"/>
      <c r="C900" s="57"/>
      <c r="D900" s="57"/>
      <c r="E900" s="57"/>
      <c r="F900" s="57"/>
      <c r="G900" s="57"/>
      <c r="H900" s="20"/>
      <c r="I900" s="20"/>
      <c r="J900" s="20"/>
      <c r="K900" s="20"/>
      <c r="L900" s="20"/>
      <c r="M900" s="20"/>
      <c r="N900" s="20"/>
      <c r="O900" s="20"/>
      <c r="P900" s="20"/>
      <c r="Q900" s="20"/>
      <c r="R900" s="20"/>
      <c r="S900" s="20"/>
      <c r="T900" s="20"/>
      <c r="U900" s="20"/>
      <c r="V900" s="20"/>
      <c r="W900" s="20"/>
      <c r="X900" s="20"/>
      <c r="Y900" s="20"/>
      <c r="Z900" s="20"/>
      <c r="AA900" s="20"/>
    </row>
    <row r="901" spans="1:27" ht="17.25" customHeight="1">
      <c r="A901" s="57"/>
      <c r="B901" s="57"/>
      <c r="C901" s="57"/>
      <c r="D901" s="57"/>
      <c r="E901" s="57"/>
      <c r="F901" s="57"/>
      <c r="G901" s="57"/>
      <c r="H901" s="20"/>
      <c r="I901" s="20"/>
      <c r="J901" s="20"/>
      <c r="K901" s="20"/>
      <c r="L901" s="20"/>
      <c r="M901" s="20"/>
      <c r="N901" s="20"/>
      <c r="O901" s="20"/>
      <c r="P901" s="20"/>
      <c r="Q901" s="20"/>
      <c r="R901" s="20"/>
      <c r="S901" s="20"/>
      <c r="T901" s="20"/>
      <c r="U901" s="20"/>
      <c r="V901" s="20"/>
      <c r="W901" s="20"/>
      <c r="X901" s="20"/>
      <c r="Y901" s="20"/>
      <c r="Z901" s="20"/>
      <c r="AA901" s="20"/>
    </row>
    <row r="902" spans="1:27" ht="17.25" customHeight="1">
      <c r="A902" s="57"/>
      <c r="B902" s="57"/>
      <c r="C902" s="57"/>
      <c r="D902" s="57"/>
      <c r="E902" s="57"/>
      <c r="F902" s="57"/>
      <c r="G902" s="57"/>
      <c r="H902" s="20"/>
      <c r="I902" s="20"/>
      <c r="J902" s="20"/>
      <c r="K902" s="20"/>
      <c r="L902" s="20"/>
      <c r="M902" s="20"/>
      <c r="N902" s="20"/>
      <c r="O902" s="20"/>
      <c r="P902" s="20"/>
      <c r="Q902" s="20"/>
      <c r="R902" s="20"/>
      <c r="S902" s="20"/>
      <c r="T902" s="20"/>
      <c r="U902" s="20"/>
      <c r="V902" s="20"/>
      <c r="W902" s="20"/>
      <c r="X902" s="20"/>
      <c r="Y902" s="20"/>
      <c r="Z902" s="20"/>
      <c r="AA902" s="20"/>
    </row>
    <row r="903" spans="1:27" ht="17.25" customHeight="1">
      <c r="A903" s="57"/>
      <c r="B903" s="57"/>
      <c r="C903" s="57"/>
      <c r="D903" s="57"/>
      <c r="E903" s="57"/>
      <c r="F903" s="57"/>
      <c r="G903" s="57"/>
      <c r="H903" s="20"/>
      <c r="I903" s="20"/>
      <c r="J903" s="20"/>
      <c r="K903" s="20"/>
      <c r="L903" s="20"/>
      <c r="M903" s="20"/>
      <c r="N903" s="20"/>
      <c r="O903" s="20"/>
      <c r="P903" s="20"/>
      <c r="Q903" s="20"/>
      <c r="R903" s="20"/>
      <c r="S903" s="20"/>
      <c r="T903" s="20"/>
      <c r="U903" s="20"/>
      <c r="V903" s="20"/>
      <c r="W903" s="20"/>
      <c r="X903" s="20"/>
      <c r="Y903" s="20"/>
      <c r="Z903" s="20"/>
      <c r="AA903" s="20"/>
    </row>
    <row r="904" spans="1:27" ht="17.25" customHeight="1">
      <c r="A904" s="57"/>
      <c r="B904" s="57"/>
      <c r="C904" s="57"/>
      <c r="D904" s="57"/>
      <c r="E904" s="57"/>
      <c r="F904" s="57"/>
      <c r="G904" s="57"/>
      <c r="H904" s="20"/>
      <c r="I904" s="20"/>
      <c r="J904" s="20"/>
      <c r="K904" s="20"/>
      <c r="L904" s="20"/>
      <c r="M904" s="20"/>
      <c r="N904" s="20"/>
      <c r="O904" s="20"/>
      <c r="P904" s="20"/>
      <c r="Q904" s="20"/>
      <c r="R904" s="20"/>
      <c r="S904" s="20"/>
      <c r="T904" s="20"/>
      <c r="U904" s="20"/>
      <c r="V904" s="20"/>
      <c r="W904" s="20"/>
      <c r="X904" s="20"/>
      <c r="Y904" s="20"/>
      <c r="Z904" s="20"/>
      <c r="AA904" s="20"/>
    </row>
    <row r="905" spans="1:27" ht="17.25" customHeight="1">
      <c r="A905" s="57"/>
      <c r="B905" s="57"/>
      <c r="C905" s="57"/>
      <c r="D905" s="57"/>
      <c r="E905" s="57"/>
      <c r="F905" s="57"/>
      <c r="G905" s="57"/>
      <c r="H905" s="20"/>
      <c r="I905" s="20"/>
      <c r="J905" s="20"/>
      <c r="K905" s="20"/>
      <c r="L905" s="20"/>
      <c r="M905" s="20"/>
      <c r="N905" s="20"/>
      <c r="O905" s="20"/>
      <c r="P905" s="20"/>
      <c r="Q905" s="20"/>
      <c r="R905" s="20"/>
      <c r="S905" s="20"/>
      <c r="T905" s="20"/>
      <c r="U905" s="20"/>
      <c r="V905" s="20"/>
      <c r="W905" s="20"/>
      <c r="X905" s="20"/>
      <c r="Y905" s="20"/>
      <c r="Z905" s="20"/>
      <c r="AA905" s="20"/>
    </row>
    <row r="906" spans="1:27" ht="17.25" customHeight="1">
      <c r="A906" s="57"/>
      <c r="B906" s="57"/>
      <c r="C906" s="57"/>
      <c r="D906" s="57"/>
      <c r="E906" s="57"/>
      <c r="F906" s="57"/>
      <c r="G906" s="57"/>
      <c r="H906" s="20"/>
      <c r="I906" s="20"/>
      <c r="J906" s="20"/>
      <c r="K906" s="20"/>
      <c r="L906" s="20"/>
      <c r="M906" s="20"/>
      <c r="N906" s="20"/>
      <c r="O906" s="20"/>
      <c r="P906" s="20"/>
      <c r="Q906" s="20"/>
      <c r="R906" s="20"/>
      <c r="S906" s="20"/>
      <c r="T906" s="20"/>
      <c r="U906" s="20"/>
      <c r="V906" s="20"/>
      <c r="W906" s="20"/>
      <c r="X906" s="20"/>
      <c r="Y906" s="20"/>
      <c r="Z906" s="20"/>
      <c r="AA906" s="20"/>
    </row>
    <row r="907" spans="1:27" ht="17.25" customHeight="1">
      <c r="A907" s="57"/>
      <c r="B907" s="57"/>
      <c r="C907" s="57"/>
      <c r="D907" s="57"/>
      <c r="E907" s="57"/>
      <c r="F907" s="57"/>
      <c r="G907" s="57"/>
      <c r="H907" s="20"/>
      <c r="I907" s="20"/>
      <c r="J907" s="20"/>
      <c r="K907" s="20"/>
      <c r="L907" s="20"/>
      <c r="M907" s="20"/>
      <c r="N907" s="20"/>
      <c r="O907" s="20"/>
      <c r="P907" s="20"/>
      <c r="Q907" s="20"/>
      <c r="R907" s="20"/>
      <c r="S907" s="20"/>
      <c r="T907" s="20"/>
      <c r="U907" s="20"/>
      <c r="V907" s="20"/>
      <c r="W907" s="20"/>
      <c r="X907" s="20"/>
      <c r="Y907" s="20"/>
      <c r="Z907" s="20"/>
      <c r="AA907" s="20"/>
    </row>
    <row r="908" spans="1:27" ht="17.25" customHeight="1">
      <c r="A908" s="57"/>
      <c r="B908" s="57"/>
      <c r="C908" s="57"/>
      <c r="D908" s="57"/>
      <c r="E908" s="57"/>
      <c r="F908" s="57"/>
      <c r="G908" s="57"/>
      <c r="H908" s="20"/>
      <c r="I908" s="20"/>
      <c r="J908" s="20"/>
      <c r="K908" s="20"/>
      <c r="L908" s="20"/>
      <c r="M908" s="20"/>
      <c r="N908" s="20"/>
      <c r="O908" s="20"/>
      <c r="P908" s="20"/>
      <c r="Q908" s="20"/>
      <c r="R908" s="20"/>
      <c r="S908" s="20"/>
      <c r="T908" s="20"/>
      <c r="U908" s="20"/>
      <c r="V908" s="20"/>
      <c r="W908" s="20"/>
      <c r="X908" s="20"/>
      <c r="Y908" s="20"/>
      <c r="Z908" s="20"/>
      <c r="AA908" s="20"/>
    </row>
    <row r="909" spans="1:27" ht="17.25" customHeight="1">
      <c r="A909" s="57"/>
      <c r="B909" s="57"/>
      <c r="C909" s="57"/>
      <c r="D909" s="57"/>
      <c r="E909" s="57"/>
      <c r="F909" s="57"/>
      <c r="G909" s="57"/>
      <c r="H909" s="20"/>
      <c r="I909" s="20"/>
      <c r="J909" s="20"/>
      <c r="K909" s="20"/>
      <c r="L909" s="20"/>
      <c r="M909" s="20"/>
      <c r="N909" s="20"/>
      <c r="O909" s="20"/>
      <c r="P909" s="20"/>
      <c r="Q909" s="20"/>
      <c r="R909" s="20"/>
      <c r="S909" s="20"/>
      <c r="T909" s="20"/>
      <c r="U909" s="20"/>
      <c r="V909" s="20"/>
      <c r="W909" s="20"/>
      <c r="X909" s="20"/>
      <c r="Y909" s="20"/>
      <c r="Z909" s="20"/>
      <c r="AA909" s="20"/>
    </row>
    <row r="910" spans="1:27" ht="17.25" customHeight="1">
      <c r="A910" s="57"/>
      <c r="B910" s="57"/>
      <c r="C910" s="57"/>
      <c r="D910" s="57"/>
      <c r="E910" s="57"/>
      <c r="F910" s="57"/>
      <c r="G910" s="57"/>
      <c r="H910" s="20"/>
      <c r="I910" s="20"/>
      <c r="J910" s="20"/>
      <c r="K910" s="20"/>
      <c r="L910" s="20"/>
      <c r="M910" s="20"/>
      <c r="N910" s="20"/>
      <c r="O910" s="20"/>
      <c r="P910" s="20"/>
      <c r="Q910" s="20"/>
      <c r="R910" s="20"/>
      <c r="S910" s="20"/>
      <c r="T910" s="20"/>
      <c r="U910" s="20"/>
      <c r="V910" s="20"/>
      <c r="W910" s="20"/>
      <c r="X910" s="20"/>
      <c r="Y910" s="20"/>
      <c r="Z910" s="20"/>
      <c r="AA910" s="20"/>
    </row>
    <row r="911" spans="1:27" ht="17.25" customHeight="1">
      <c r="A911" s="57"/>
      <c r="B911" s="57"/>
      <c r="C911" s="57"/>
      <c r="D911" s="57"/>
      <c r="E911" s="57"/>
      <c r="F911" s="57"/>
      <c r="G911" s="57"/>
      <c r="H911" s="20"/>
      <c r="I911" s="20"/>
      <c r="J911" s="20"/>
      <c r="K911" s="20"/>
      <c r="L911" s="20"/>
      <c r="M911" s="20"/>
      <c r="N911" s="20"/>
      <c r="O911" s="20"/>
      <c r="P911" s="20"/>
      <c r="Q911" s="20"/>
      <c r="R911" s="20"/>
      <c r="S911" s="20"/>
      <c r="T911" s="20"/>
      <c r="U911" s="20"/>
      <c r="V911" s="20"/>
      <c r="W911" s="20"/>
      <c r="X911" s="20"/>
      <c r="Y911" s="20"/>
      <c r="Z911" s="20"/>
      <c r="AA911" s="20"/>
    </row>
    <row r="912" spans="1:27" ht="17.25" customHeight="1">
      <c r="A912" s="57"/>
      <c r="B912" s="57"/>
      <c r="C912" s="57"/>
      <c r="D912" s="57"/>
      <c r="E912" s="57"/>
      <c r="F912" s="57"/>
      <c r="G912" s="57"/>
      <c r="H912" s="20"/>
      <c r="I912" s="20"/>
      <c r="J912" s="20"/>
      <c r="K912" s="20"/>
      <c r="L912" s="20"/>
      <c r="M912" s="20"/>
      <c r="N912" s="20"/>
      <c r="O912" s="20"/>
      <c r="P912" s="20"/>
      <c r="Q912" s="20"/>
      <c r="R912" s="20"/>
      <c r="S912" s="20"/>
      <c r="T912" s="20"/>
      <c r="U912" s="20"/>
      <c r="V912" s="20"/>
      <c r="W912" s="20"/>
      <c r="X912" s="20"/>
      <c r="Y912" s="20"/>
      <c r="Z912" s="20"/>
      <c r="AA912" s="20"/>
    </row>
    <row r="913" spans="1:27" ht="17.25" customHeight="1">
      <c r="A913" s="57"/>
      <c r="B913" s="57"/>
      <c r="C913" s="57"/>
      <c r="D913" s="57"/>
      <c r="E913" s="57"/>
      <c r="F913" s="57"/>
      <c r="G913" s="57"/>
      <c r="H913" s="20"/>
      <c r="I913" s="20"/>
      <c r="J913" s="20"/>
      <c r="K913" s="20"/>
      <c r="L913" s="20"/>
      <c r="M913" s="20"/>
      <c r="N913" s="20"/>
      <c r="O913" s="20"/>
      <c r="P913" s="20"/>
      <c r="Q913" s="20"/>
      <c r="R913" s="20"/>
      <c r="S913" s="20"/>
      <c r="T913" s="20"/>
      <c r="U913" s="20"/>
      <c r="V913" s="20"/>
      <c r="W913" s="20"/>
      <c r="X913" s="20"/>
      <c r="Y913" s="20"/>
      <c r="Z913" s="20"/>
      <c r="AA913" s="20"/>
    </row>
    <row r="914" spans="1:27" ht="17.25" customHeight="1">
      <c r="A914" s="57"/>
      <c r="B914" s="57"/>
      <c r="C914" s="57"/>
      <c r="D914" s="57"/>
      <c r="E914" s="57"/>
      <c r="F914" s="57"/>
      <c r="G914" s="57"/>
      <c r="H914" s="20"/>
      <c r="I914" s="20"/>
      <c r="J914" s="20"/>
      <c r="K914" s="20"/>
      <c r="L914" s="20"/>
      <c r="M914" s="20"/>
      <c r="N914" s="20"/>
      <c r="O914" s="20"/>
      <c r="P914" s="20"/>
      <c r="Q914" s="20"/>
      <c r="R914" s="20"/>
      <c r="S914" s="20"/>
      <c r="T914" s="20"/>
      <c r="U914" s="20"/>
      <c r="V914" s="20"/>
      <c r="W914" s="20"/>
      <c r="X914" s="20"/>
      <c r="Y914" s="20"/>
      <c r="Z914" s="20"/>
      <c r="AA914" s="20"/>
    </row>
    <row r="915" spans="1:27" ht="17.25" customHeight="1">
      <c r="A915" s="57"/>
      <c r="B915" s="57"/>
      <c r="C915" s="57"/>
      <c r="D915" s="57"/>
      <c r="E915" s="57"/>
      <c r="F915" s="57"/>
      <c r="G915" s="57"/>
      <c r="H915" s="20"/>
      <c r="I915" s="20"/>
      <c r="J915" s="20"/>
      <c r="K915" s="20"/>
      <c r="L915" s="20"/>
      <c r="M915" s="20"/>
      <c r="N915" s="20"/>
      <c r="O915" s="20"/>
      <c r="P915" s="20"/>
      <c r="Q915" s="20"/>
      <c r="R915" s="20"/>
      <c r="S915" s="20"/>
      <c r="T915" s="20"/>
      <c r="U915" s="20"/>
      <c r="V915" s="20"/>
      <c r="W915" s="20"/>
      <c r="X915" s="20"/>
      <c r="Y915" s="20"/>
      <c r="Z915" s="20"/>
      <c r="AA915" s="20"/>
    </row>
    <row r="916" spans="1:27" ht="17.25" customHeight="1">
      <c r="A916" s="57"/>
      <c r="B916" s="57"/>
      <c r="C916" s="57"/>
      <c r="D916" s="57"/>
      <c r="E916" s="57"/>
      <c r="F916" s="57"/>
      <c r="G916" s="57"/>
      <c r="H916" s="20"/>
      <c r="I916" s="20"/>
      <c r="J916" s="20"/>
      <c r="K916" s="20"/>
      <c r="L916" s="20"/>
      <c r="M916" s="20"/>
      <c r="N916" s="20"/>
      <c r="O916" s="20"/>
      <c r="P916" s="20"/>
      <c r="Q916" s="20"/>
      <c r="R916" s="20"/>
      <c r="S916" s="20"/>
      <c r="T916" s="20"/>
      <c r="U916" s="20"/>
      <c r="V916" s="20"/>
      <c r="W916" s="20"/>
      <c r="X916" s="20"/>
      <c r="Y916" s="20"/>
      <c r="Z916" s="20"/>
      <c r="AA916" s="20"/>
    </row>
    <row r="917" spans="1:27" ht="17.25" customHeight="1">
      <c r="A917" s="57"/>
      <c r="B917" s="57"/>
      <c r="C917" s="57"/>
      <c r="D917" s="57"/>
      <c r="E917" s="57"/>
      <c r="F917" s="57"/>
      <c r="G917" s="57"/>
      <c r="H917" s="20"/>
      <c r="I917" s="20"/>
      <c r="J917" s="20"/>
      <c r="K917" s="20"/>
      <c r="L917" s="20"/>
      <c r="M917" s="20"/>
      <c r="N917" s="20"/>
      <c r="O917" s="20"/>
      <c r="P917" s="20"/>
      <c r="Q917" s="20"/>
      <c r="R917" s="20"/>
      <c r="S917" s="20"/>
      <c r="T917" s="20"/>
      <c r="U917" s="20"/>
      <c r="V917" s="20"/>
      <c r="W917" s="20"/>
      <c r="X917" s="20"/>
      <c r="Y917" s="20"/>
      <c r="Z917" s="20"/>
      <c r="AA917" s="20"/>
    </row>
    <row r="918" spans="1:27" ht="17.25" customHeight="1">
      <c r="A918" s="57"/>
      <c r="B918" s="57"/>
      <c r="C918" s="57"/>
      <c r="D918" s="57"/>
      <c r="E918" s="57"/>
      <c r="F918" s="57"/>
      <c r="G918" s="57"/>
      <c r="H918" s="20"/>
      <c r="I918" s="20"/>
      <c r="J918" s="20"/>
      <c r="K918" s="20"/>
      <c r="L918" s="20"/>
      <c r="M918" s="20"/>
      <c r="N918" s="20"/>
      <c r="O918" s="20"/>
      <c r="P918" s="20"/>
      <c r="Q918" s="20"/>
      <c r="R918" s="20"/>
      <c r="S918" s="20"/>
      <c r="T918" s="20"/>
      <c r="U918" s="20"/>
      <c r="V918" s="20"/>
      <c r="W918" s="20"/>
      <c r="X918" s="20"/>
      <c r="Y918" s="20"/>
      <c r="Z918" s="20"/>
      <c r="AA918" s="20"/>
    </row>
    <row r="919" spans="1:27" ht="17.25" customHeight="1">
      <c r="A919" s="57"/>
      <c r="B919" s="57"/>
      <c r="C919" s="57"/>
      <c r="D919" s="57"/>
      <c r="E919" s="57"/>
      <c r="F919" s="57"/>
      <c r="G919" s="57"/>
      <c r="H919" s="20"/>
      <c r="I919" s="20"/>
      <c r="J919" s="20"/>
      <c r="K919" s="20"/>
      <c r="L919" s="20"/>
      <c r="M919" s="20"/>
      <c r="N919" s="20"/>
      <c r="O919" s="20"/>
      <c r="P919" s="20"/>
      <c r="Q919" s="20"/>
      <c r="R919" s="20"/>
      <c r="S919" s="20"/>
      <c r="T919" s="20"/>
      <c r="U919" s="20"/>
      <c r="V919" s="20"/>
      <c r="W919" s="20"/>
      <c r="X919" s="20"/>
      <c r="Y919" s="20"/>
      <c r="Z919" s="20"/>
      <c r="AA919" s="20"/>
    </row>
    <row r="920" spans="1:27" ht="17.25" customHeight="1">
      <c r="A920" s="57"/>
      <c r="B920" s="57"/>
      <c r="C920" s="57"/>
      <c r="D920" s="57"/>
      <c r="E920" s="57"/>
      <c r="F920" s="57"/>
      <c r="G920" s="57"/>
      <c r="H920" s="20"/>
      <c r="I920" s="20"/>
      <c r="J920" s="20"/>
      <c r="K920" s="20"/>
      <c r="L920" s="20"/>
      <c r="M920" s="20"/>
      <c r="N920" s="20"/>
      <c r="O920" s="20"/>
      <c r="P920" s="20"/>
      <c r="Q920" s="20"/>
      <c r="R920" s="20"/>
      <c r="S920" s="20"/>
      <c r="T920" s="20"/>
      <c r="U920" s="20"/>
      <c r="V920" s="20"/>
      <c r="W920" s="20"/>
      <c r="X920" s="20"/>
      <c r="Y920" s="20"/>
      <c r="Z920" s="20"/>
      <c r="AA920" s="20"/>
    </row>
    <row r="921" spans="1:27" ht="17.25" customHeight="1">
      <c r="A921" s="57"/>
      <c r="B921" s="57"/>
      <c r="C921" s="57"/>
      <c r="D921" s="57"/>
      <c r="E921" s="57"/>
      <c r="F921" s="57"/>
      <c r="G921" s="57"/>
      <c r="H921" s="20"/>
      <c r="I921" s="20"/>
      <c r="J921" s="20"/>
      <c r="K921" s="20"/>
      <c r="L921" s="20"/>
      <c r="M921" s="20"/>
      <c r="N921" s="20"/>
      <c r="O921" s="20"/>
      <c r="P921" s="20"/>
      <c r="Q921" s="20"/>
      <c r="R921" s="20"/>
      <c r="S921" s="20"/>
      <c r="T921" s="20"/>
      <c r="U921" s="20"/>
      <c r="V921" s="20"/>
      <c r="W921" s="20"/>
      <c r="X921" s="20"/>
      <c r="Y921" s="20"/>
      <c r="Z921" s="20"/>
      <c r="AA921" s="20"/>
    </row>
    <row r="922" spans="1:27" ht="17.25" customHeight="1">
      <c r="A922" s="57"/>
      <c r="B922" s="57"/>
      <c r="C922" s="57"/>
      <c r="D922" s="57"/>
      <c r="E922" s="57"/>
      <c r="F922" s="57"/>
      <c r="G922" s="57"/>
      <c r="H922" s="20"/>
      <c r="I922" s="20"/>
      <c r="J922" s="20"/>
      <c r="K922" s="20"/>
      <c r="L922" s="20"/>
      <c r="M922" s="20"/>
      <c r="N922" s="20"/>
      <c r="O922" s="20"/>
      <c r="P922" s="20"/>
      <c r="Q922" s="20"/>
      <c r="R922" s="20"/>
      <c r="S922" s="20"/>
      <c r="T922" s="20"/>
      <c r="U922" s="20"/>
      <c r="V922" s="20"/>
      <c r="W922" s="20"/>
      <c r="X922" s="20"/>
      <c r="Y922" s="20"/>
      <c r="Z922" s="20"/>
      <c r="AA922" s="20"/>
    </row>
    <row r="923" spans="1:27" ht="17.25" customHeight="1">
      <c r="A923" s="57"/>
      <c r="B923" s="57"/>
      <c r="C923" s="57"/>
      <c r="D923" s="57"/>
      <c r="E923" s="57"/>
      <c r="F923" s="57"/>
      <c r="G923" s="57"/>
      <c r="H923" s="20"/>
      <c r="I923" s="20"/>
      <c r="J923" s="20"/>
      <c r="K923" s="20"/>
      <c r="L923" s="20"/>
      <c r="M923" s="20"/>
      <c r="N923" s="20"/>
      <c r="O923" s="20"/>
      <c r="P923" s="20"/>
      <c r="Q923" s="20"/>
      <c r="R923" s="20"/>
      <c r="S923" s="20"/>
      <c r="T923" s="20"/>
      <c r="U923" s="20"/>
      <c r="V923" s="20"/>
      <c r="W923" s="20"/>
      <c r="X923" s="20"/>
      <c r="Y923" s="20"/>
      <c r="Z923" s="20"/>
      <c r="AA923" s="20"/>
    </row>
    <row r="924" spans="1:27" ht="17.25" customHeight="1">
      <c r="A924" s="57"/>
      <c r="B924" s="57"/>
      <c r="C924" s="57"/>
      <c r="D924" s="57"/>
      <c r="E924" s="57"/>
      <c r="F924" s="57"/>
      <c r="G924" s="57"/>
      <c r="H924" s="20"/>
      <c r="I924" s="20"/>
      <c r="J924" s="20"/>
      <c r="K924" s="20"/>
      <c r="L924" s="20"/>
      <c r="M924" s="20"/>
      <c r="N924" s="20"/>
      <c r="O924" s="20"/>
      <c r="P924" s="20"/>
      <c r="Q924" s="20"/>
      <c r="R924" s="20"/>
      <c r="S924" s="20"/>
      <c r="T924" s="20"/>
      <c r="U924" s="20"/>
      <c r="V924" s="20"/>
      <c r="W924" s="20"/>
      <c r="X924" s="20"/>
      <c r="Y924" s="20"/>
      <c r="Z924" s="20"/>
      <c r="AA924" s="20"/>
    </row>
    <row r="925" spans="1:27" ht="17.25" customHeight="1">
      <c r="A925" s="57"/>
      <c r="B925" s="57"/>
      <c r="C925" s="57"/>
      <c r="D925" s="57"/>
      <c r="E925" s="57"/>
      <c r="F925" s="57"/>
      <c r="G925" s="57"/>
      <c r="H925" s="20"/>
      <c r="I925" s="20"/>
      <c r="J925" s="20"/>
      <c r="K925" s="20"/>
      <c r="L925" s="20"/>
      <c r="M925" s="20"/>
      <c r="N925" s="20"/>
      <c r="O925" s="20"/>
      <c r="P925" s="20"/>
      <c r="Q925" s="20"/>
      <c r="R925" s="20"/>
      <c r="S925" s="20"/>
      <c r="T925" s="20"/>
      <c r="U925" s="20"/>
      <c r="V925" s="20"/>
      <c r="W925" s="20"/>
      <c r="X925" s="20"/>
      <c r="Y925" s="20"/>
      <c r="Z925" s="20"/>
      <c r="AA925" s="20"/>
    </row>
    <row r="926" spans="1:27" ht="17.25" customHeight="1">
      <c r="A926" s="57"/>
      <c r="B926" s="57"/>
      <c r="C926" s="57"/>
      <c r="D926" s="57"/>
      <c r="E926" s="57"/>
      <c r="F926" s="57"/>
      <c r="G926" s="57"/>
      <c r="H926" s="20"/>
      <c r="I926" s="20"/>
      <c r="J926" s="20"/>
      <c r="K926" s="20"/>
      <c r="L926" s="20"/>
      <c r="M926" s="20"/>
      <c r="N926" s="20"/>
      <c r="O926" s="20"/>
      <c r="P926" s="20"/>
      <c r="Q926" s="20"/>
      <c r="R926" s="20"/>
      <c r="S926" s="20"/>
      <c r="T926" s="20"/>
      <c r="U926" s="20"/>
      <c r="V926" s="20"/>
      <c r="W926" s="20"/>
      <c r="X926" s="20"/>
      <c r="Y926" s="20"/>
      <c r="Z926" s="20"/>
      <c r="AA926" s="20"/>
    </row>
    <row r="927" spans="1:27" ht="17.25" customHeight="1">
      <c r="A927" s="57"/>
      <c r="B927" s="57"/>
      <c r="C927" s="57"/>
      <c r="D927" s="57"/>
      <c r="E927" s="57"/>
      <c r="F927" s="57"/>
      <c r="G927" s="57"/>
      <c r="H927" s="20"/>
      <c r="I927" s="20"/>
      <c r="J927" s="20"/>
      <c r="K927" s="20"/>
      <c r="L927" s="20"/>
      <c r="M927" s="20"/>
      <c r="N927" s="20"/>
      <c r="O927" s="20"/>
      <c r="P927" s="20"/>
      <c r="Q927" s="20"/>
      <c r="R927" s="20"/>
      <c r="S927" s="20"/>
      <c r="T927" s="20"/>
      <c r="U927" s="20"/>
      <c r="V927" s="20"/>
      <c r="W927" s="20"/>
      <c r="X927" s="20"/>
      <c r="Y927" s="20"/>
      <c r="Z927" s="20"/>
      <c r="AA927" s="20"/>
    </row>
    <row r="928" spans="1:27" ht="17.25" customHeight="1">
      <c r="A928" s="57"/>
      <c r="B928" s="57"/>
      <c r="C928" s="57"/>
      <c r="D928" s="57"/>
      <c r="E928" s="57"/>
      <c r="F928" s="57"/>
      <c r="G928" s="57"/>
      <c r="H928" s="20"/>
      <c r="I928" s="20"/>
      <c r="J928" s="20"/>
      <c r="K928" s="20"/>
      <c r="L928" s="20"/>
      <c r="M928" s="20"/>
      <c r="N928" s="20"/>
      <c r="O928" s="20"/>
      <c r="P928" s="20"/>
      <c r="Q928" s="20"/>
      <c r="R928" s="20"/>
      <c r="S928" s="20"/>
      <c r="T928" s="20"/>
      <c r="U928" s="20"/>
      <c r="V928" s="20"/>
      <c r="W928" s="20"/>
      <c r="X928" s="20"/>
      <c r="Y928" s="20"/>
      <c r="Z928" s="20"/>
      <c r="AA928" s="20"/>
    </row>
    <row r="929" spans="1:27" ht="17.25" customHeight="1">
      <c r="A929" s="57"/>
      <c r="B929" s="57"/>
      <c r="C929" s="57"/>
      <c r="D929" s="57"/>
      <c r="E929" s="57"/>
      <c r="F929" s="57"/>
      <c r="G929" s="57"/>
      <c r="H929" s="20"/>
      <c r="I929" s="20"/>
      <c r="J929" s="20"/>
      <c r="K929" s="20"/>
      <c r="L929" s="20"/>
      <c r="M929" s="20"/>
      <c r="N929" s="20"/>
      <c r="O929" s="20"/>
      <c r="P929" s="20"/>
      <c r="Q929" s="20"/>
      <c r="R929" s="20"/>
      <c r="S929" s="20"/>
      <c r="T929" s="20"/>
      <c r="U929" s="20"/>
      <c r="V929" s="20"/>
      <c r="W929" s="20"/>
      <c r="X929" s="20"/>
      <c r="Y929" s="20"/>
      <c r="Z929" s="20"/>
      <c r="AA929" s="20"/>
    </row>
    <row r="930" spans="1:27" ht="17.25" customHeight="1">
      <c r="A930" s="57"/>
      <c r="B930" s="57"/>
      <c r="C930" s="57"/>
      <c r="D930" s="57"/>
      <c r="E930" s="57"/>
      <c r="F930" s="57"/>
      <c r="G930" s="57"/>
      <c r="H930" s="20"/>
      <c r="I930" s="20"/>
      <c r="J930" s="20"/>
      <c r="K930" s="20"/>
      <c r="L930" s="20"/>
      <c r="M930" s="20"/>
      <c r="N930" s="20"/>
      <c r="O930" s="20"/>
      <c r="P930" s="20"/>
      <c r="Q930" s="20"/>
      <c r="R930" s="20"/>
      <c r="S930" s="20"/>
      <c r="T930" s="20"/>
      <c r="U930" s="20"/>
      <c r="V930" s="20"/>
      <c r="W930" s="20"/>
      <c r="X930" s="20"/>
      <c r="Y930" s="20"/>
      <c r="Z930" s="20"/>
      <c r="AA930" s="20"/>
    </row>
    <row r="931" spans="1:27" ht="17.25" customHeight="1">
      <c r="A931" s="57"/>
      <c r="B931" s="57"/>
      <c r="C931" s="57"/>
      <c r="D931" s="57"/>
      <c r="E931" s="57"/>
      <c r="F931" s="57"/>
      <c r="G931" s="57"/>
      <c r="H931" s="20"/>
      <c r="I931" s="20"/>
      <c r="J931" s="20"/>
      <c r="K931" s="20"/>
      <c r="L931" s="20"/>
      <c r="M931" s="20"/>
      <c r="N931" s="20"/>
      <c r="O931" s="20"/>
      <c r="P931" s="20"/>
      <c r="Q931" s="20"/>
      <c r="R931" s="20"/>
      <c r="S931" s="20"/>
      <c r="T931" s="20"/>
      <c r="U931" s="20"/>
      <c r="V931" s="20"/>
      <c r="W931" s="20"/>
      <c r="X931" s="20"/>
      <c r="Y931" s="20"/>
      <c r="Z931" s="20"/>
      <c r="AA931" s="20"/>
    </row>
    <row r="932" spans="1:27" ht="17.25" customHeight="1">
      <c r="A932" s="57"/>
      <c r="B932" s="57"/>
      <c r="C932" s="57"/>
      <c r="D932" s="57"/>
      <c r="E932" s="57"/>
      <c r="F932" s="57"/>
      <c r="G932" s="57"/>
      <c r="H932" s="20"/>
      <c r="I932" s="20"/>
      <c r="J932" s="20"/>
      <c r="K932" s="20"/>
      <c r="L932" s="20"/>
      <c r="M932" s="20"/>
      <c r="N932" s="20"/>
      <c r="O932" s="20"/>
      <c r="P932" s="20"/>
      <c r="Q932" s="20"/>
      <c r="R932" s="20"/>
      <c r="S932" s="20"/>
      <c r="T932" s="20"/>
      <c r="U932" s="20"/>
      <c r="V932" s="20"/>
      <c r="W932" s="20"/>
      <c r="X932" s="20"/>
      <c r="Y932" s="20"/>
      <c r="Z932" s="20"/>
      <c r="AA932" s="20"/>
    </row>
    <row r="933" spans="1:27" ht="17.25" customHeight="1">
      <c r="A933" s="57"/>
      <c r="B933" s="57"/>
      <c r="C933" s="57"/>
      <c r="D933" s="57"/>
      <c r="E933" s="57"/>
      <c r="F933" s="57"/>
      <c r="G933" s="57"/>
      <c r="H933" s="20"/>
      <c r="I933" s="20"/>
      <c r="J933" s="20"/>
      <c r="K933" s="20"/>
      <c r="L933" s="20"/>
      <c r="M933" s="20"/>
      <c r="N933" s="20"/>
      <c r="O933" s="20"/>
      <c r="P933" s="20"/>
      <c r="Q933" s="20"/>
      <c r="R933" s="20"/>
      <c r="S933" s="20"/>
      <c r="T933" s="20"/>
      <c r="U933" s="20"/>
      <c r="V933" s="20"/>
      <c r="W933" s="20"/>
      <c r="X933" s="20"/>
      <c r="Y933" s="20"/>
      <c r="Z933" s="20"/>
      <c r="AA933" s="20"/>
    </row>
    <row r="934" spans="1:27" ht="17.25" customHeight="1">
      <c r="A934" s="57"/>
      <c r="B934" s="57"/>
      <c r="C934" s="57"/>
      <c r="D934" s="57"/>
      <c r="E934" s="57"/>
      <c r="F934" s="57"/>
      <c r="G934" s="57"/>
      <c r="H934" s="20"/>
      <c r="I934" s="20"/>
      <c r="J934" s="20"/>
      <c r="K934" s="20"/>
      <c r="L934" s="20"/>
      <c r="M934" s="20"/>
      <c r="N934" s="20"/>
      <c r="O934" s="20"/>
      <c r="P934" s="20"/>
      <c r="Q934" s="20"/>
      <c r="R934" s="20"/>
      <c r="S934" s="20"/>
      <c r="T934" s="20"/>
      <c r="U934" s="20"/>
      <c r="V934" s="20"/>
      <c r="W934" s="20"/>
      <c r="X934" s="20"/>
      <c r="Y934" s="20"/>
      <c r="Z934" s="20"/>
      <c r="AA934" s="20"/>
    </row>
    <row r="935" spans="1:27" ht="17.25" customHeight="1">
      <c r="A935" s="57"/>
      <c r="B935" s="57"/>
      <c r="C935" s="57"/>
      <c r="D935" s="57"/>
      <c r="E935" s="57"/>
      <c r="F935" s="57"/>
      <c r="G935" s="57"/>
      <c r="H935" s="20"/>
      <c r="I935" s="20"/>
      <c r="J935" s="20"/>
      <c r="K935" s="20"/>
      <c r="L935" s="20"/>
      <c r="M935" s="20"/>
      <c r="N935" s="20"/>
      <c r="O935" s="20"/>
      <c r="P935" s="20"/>
      <c r="Q935" s="20"/>
      <c r="R935" s="20"/>
      <c r="S935" s="20"/>
      <c r="T935" s="20"/>
      <c r="U935" s="20"/>
      <c r="V935" s="20"/>
      <c r="W935" s="20"/>
      <c r="X935" s="20"/>
      <c r="Y935" s="20"/>
      <c r="Z935" s="20"/>
      <c r="AA935" s="20"/>
    </row>
    <row r="936" spans="1:27" ht="17.25" customHeight="1">
      <c r="A936" s="57"/>
      <c r="B936" s="57"/>
      <c r="C936" s="57"/>
      <c r="D936" s="57"/>
      <c r="E936" s="57"/>
      <c r="F936" s="57"/>
      <c r="G936" s="57"/>
      <c r="H936" s="20"/>
      <c r="I936" s="20"/>
      <c r="J936" s="20"/>
      <c r="K936" s="20"/>
      <c r="L936" s="20"/>
      <c r="M936" s="20"/>
      <c r="N936" s="20"/>
      <c r="O936" s="20"/>
      <c r="P936" s="20"/>
      <c r="Q936" s="20"/>
      <c r="R936" s="20"/>
      <c r="S936" s="20"/>
      <c r="T936" s="20"/>
      <c r="U936" s="20"/>
      <c r="V936" s="20"/>
      <c r="W936" s="20"/>
      <c r="X936" s="20"/>
      <c r="Y936" s="20"/>
      <c r="Z936" s="20"/>
      <c r="AA936" s="20"/>
    </row>
    <row r="937" spans="1:27" ht="17.25" customHeight="1">
      <c r="A937" s="57"/>
      <c r="B937" s="57"/>
      <c r="C937" s="57"/>
      <c r="D937" s="57"/>
      <c r="E937" s="57"/>
      <c r="F937" s="57"/>
      <c r="G937" s="57"/>
      <c r="H937" s="20"/>
      <c r="I937" s="20"/>
      <c r="J937" s="20"/>
      <c r="K937" s="20"/>
      <c r="L937" s="20"/>
      <c r="M937" s="20"/>
      <c r="N937" s="20"/>
      <c r="O937" s="20"/>
      <c r="P937" s="20"/>
      <c r="Q937" s="20"/>
      <c r="R937" s="20"/>
      <c r="S937" s="20"/>
      <c r="T937" s="20"/>
      <c r="U937" s="20"/>
      <c r="V937" s="20"/>
      <c r="W937" s="20"/>
      <c r="X937" s="20"/>
      <c r="Y937" s="20"/>
      <c r="Z937" s="20"/>
      <c r="AA937" s="20"/>
    </row>
    <row r="938" spans="1:27" ht="17.25" customHeight="1">
      <c r="A938" s="57"/>
      <c r="B938" s="57"/>
      <c r="C938" s="57"/>
      <c r="D938" s="57"/>
      <c r="E938" s="57"/>
      <c r="F938" s="57"/>
      <c r="G938" s="57"/>
      <c r="H938" s="20"/>
      <c r="I938" s="20"/>
      <c r="J938" s="20"/>
      <c r="K938" s="20"/>
      <c r="L938" s="20"/>
      <c r="M938" s="20"/>
      <c r="N938" s="20"/>
      <c r="O938" s="20"/>
      <c r="P938" s="20"/>
      <c r="Q938" s="20"/>
      <c r="R938" s="20"/>
      <c r="S938" s="20"/>
      <c r="T938" s="20"/>
      <c r="U938" s="20"/>
      <c r="V938" s="20"/>
      <c r="W938" s="20"/>
      <c r="X938" s="20"/>
      <c r="Y938" s="20"/>
      <c r="Z938" s="20"/>
      <c r="AA938" s="20"/>
    </row>
    <row r="939" spans="1:27" ht="17.25" customHeight="1">
      <c r="A939" s="57"/>
      <c r="B939" s="57"/>
      <c r="C939" s="57"/>
      <c r="D939" s="57"/>
      <c r="E939" s="57"/>
      <c r="F939" s="57"/>
      <c r="G939" s="57"/>
      <c r="H939" s="20"/>
      <c r="I939" s="20"/>
      <c r="J939" s="20"/>
      <c r="K939" s="20"/>
      <c r="L939" s="20"/>
      <c r="M939" s="20"/>
      <c r="N939" s="20"/>
      <c r="O939" s="20"/>
      <c r="P939" s="20"/>
      <c r="Q939" s="20"/>
      <c r="R939" s="20"/>
      <c r="S939" s="20"/>
      <c r="T939" s="20"/>
      <c r="U939" s="20"/>
      <c r="V939" s="20"/>
      <c r="W939" s="20"/>
      <c r="X939" s="20"/>
      <c r="Y939" s="20"/>
      <c r="Z939" s="20"/>
      <c r="AA939" s="20"/>
    </row>
    <row r="940" spans="1:27" ht="17.25" customHeight="1">
      <c r="A940" s="57"/>
      <c r="B940" s="57"/>
      <c r="C940" s="57"/>
      <c r="D940" s="57"/>
      <c r="E940" s="57"/>
      <c r="F940" s="57"/>
      <c r="G940" s="57"/>
      <c r="H940" s="20"/>
      <c r="I940" s="20"/>
      <c r="J940" s="20"/>
      <c r="K940" s="20"/>
      <c r="L940" s="20"/>
      <c r="M940" s="20"/>
      <c r="N940" s="20"/>
      <c r="O940" s="20"/>
      <c r="P940" s="20"/>
      <c r="Q940" s="20"/>
      <c r="R940" s="20"/>
      <c r="S940" s="20"/>
      <c r="T940" s="20"/>
      <c r="U940" s="20"/>
      <c r="V940" s="20"/>
      <c r="W940" s="20"/>
      <c r="X940" s="20"/>
      <c r="Y940" s="20"/>
      <c r="Z940" s="20"/>
      <c r="AA940" s="20"/>
    </row>
    <row r="941" spans="1:27" ht="17.25" customHeight="1">
      <c r="A941" s="57"/>
      <c r="B941" s="57"/>
      <c r="C941" s="57"/>
      <c r="D941" s="57"/>
      <c r="E941" s="57"/>
      <c r="F941" s="57"/>
      <c r="G941" s="57"/>
      <c r="H941" s="20"/>
      <c r="I941" s="20"/>
      <c r="J941" s="20"/>
      <c r="K941" s="20"/>
      <c r="L941" s="20"/>
      <c r="M941" s="20"/>
      <c r="N941" s="20"/>
      <c r="O941" s="20"/>
      <c r="P941" s="20"/>
      <c r="Q941" s="20"/>
      <c r="R941" s="20"/>
      <c r="S941" s="20"/>
      <c r="T941" s="20"/>
      <c r="U941" s="20"/>
      <c r="V941" s="20"/>
      <c r="W941" s="20"/>
      <c r="X941" s="20"/>
      <c r="Y941" s="20"/>
      <c r="Z941" s="20"/>
      <c r="AA941" s="20"/>
    </row>
    <row r="942" spans="1:27" ht="17.25" customHeight="1">
      <c r="A942" s="57"/>
      <c r="B942" s="57"/>
      <c r="C942" s="57"/>
      <c r="D942" s="57"/>
      <c r="E942" s="57"/>
      <c r="F942" s="57"/>
      <c r="G942" s="57"/>
      <c r="H942" s="20"/>
      <c r="I942" s="20"/>
      <c r="J942" s="20"/>
      <c r="K942" s="20"/>
      <c r="L942" s="20"/>
      <c r="M942" s="20"/>
      <c r="N942" s="20"/>
      <c r="O942" s="20"/>
      <c r="P942" s="20"/>
      <c r="Q942" s="20"/>
      <c r="R942" s="20"/>
      <c r="S942" s="20"/>
      <c r="T942" s="20"/>
      <c r="U942" s="20"/>
      <c r="V942" s="20"/>
      <c r="W942" s="20"/>
      <c r="X942" s="20"/>
      <c r="Y942" s="20"/>
      <c r="Z942" s="20"/>
      <c r="AA942" s="20"/>
    </row>
    <row r="943" spans="1:27" ht="17.25" customHeight="1">
      <c r="A943" s="57"/>
      <c r="B943" s="57"/>
      <c r="C943" s="57"/>
      <c r="D943" s="57"/>
      <c r="E943" s="57"/>
      <c r="F943" s="57"/>
      <c r="G943" s="57"/>
      <c r="H943" s="20"/>
      <c r="I943" s="20"/>
      <c r="J943" s="20"/>
      <c r="K943" s="20"/>
      <c r="L943" s="20"/>
      <c r="M943" s="20"/>
      <c r="N943" s="20"/>
      <c r="O943" s="20"/>
      <c r="P943" s="20"/>
      <c r="Q943" s="20"/>
      <c r="R943" s="20"/>
      <c r="S943" s="20"/>
      <c r="T943" s="20"/>
      <c r="U943" s="20"/>
      <c r="V943" s="20"/>
      <c r="W943" s="20"/>
      <c r="X943" s="20"/>
      <c r="Y943" s="20"/>
      <c r="Z943" s="20"/>
      <c r="AA943" s="20"/>
    </row>
    <row r="944" spans="1:27" ht="17.25" customHeight="1">
      <c r="A944" s="57"/>
      <c r="B944" s="57"/>
      <c r="C944" s="57"/>
      <c r="D944" s="57"/>
      <c r="E944" s="57"/>
      <c r="F944" s="57"/>
      <c r="G944" s="57"/>
      <c r="H944" s="20"/>
      <c r="I944" s="20"/>
      <c r="J944" s="20"/>
      <c r="K944" s="20"/>
      <c r="L944" s="20"/>
      <c r="M944" s="20"/>
      <c r="N944" s="20"/>
      <c r="O944" s="20"/>
      <c r="P944" s="20"/>
      <c r="Q944" s="20"/>
      <c r="R944" s="20"/>
      <c r="S944" s="20"/>
      <c r="T944" s="20"/>
      <c r="U944" s="20"/>
      <c r="V944" s="20"/>
      <c r="W944" s="20"/>
      <c r="X944" s="20"/>
      <c r="Y944" s="20"/>
      <c r="Z944" s="20"/>
      <c r="AA944" s="20"/>
    </row>
    <row r="945" spans="1:27" ht="17.25" customHeight="1">
      <c r="A945" s="57"/>
      <c r="B945" s="57"/>
      <c r="C945" s="57"/>
      <c r="D945" s="57"/>
      <c r="E945" s="57"/>
      <c r="F945" s="57"/>
      <c r="G945" s="57"/>
      <c r="H945" s="20"/>
      <c r="I945" s="20"/>
      <c r="J945" s="20"/>
      <c r="K945" s="20"/>
      <c r="L945" s="20"/>
      <c r="M945" s="20"/>
      <c r="N945" s="20"/>
      <c r="O945" s="20"/>
      <c r="P945" s="20"/>
      <c r="Q945" s="20"/>
      <c r="R945" s="20"/>
      <c r="S945" s="20"/>
      <c r="T945" s="20"/>
      <c r="U945" s="20"/>
      <c r="V945" s="20"/>
      <c r="W945" s="20"/>
      <c r="X945" s="20"/>
      <c r="Y945" s="20"/>
      <c r="Z945" s="20"/>
      <c r="AA945" s="20"/>
    </row>
    <row r="946" spans="1:27" ht="17.25" customHeight="1">
      <c r="A946" s="57"/>
      <c r="B946" s="57"/>
      <c r="C946" s="57"/>
      <c r="D946" s="57"/>
      <c r="E946" s="57"/>
      <c r="F946" s="57"/>
      <c r="G946" s="57"/>
      <c r="H946" s="20"/>
      <c r="I946" s="20"/>
      <c r="J946" s="20"/>
      <c r="K946" s="20"/>
      <c r="L946" s="20"/>
      <c r="M946" s="20"/>
      <c r="N946" s="20"/>
      <c r="O946" s="20"/>
      <c r="P946" s="20"/>
      <c r="Q946" s="20"/>
      <c r="R946" s="20"/>
      <c r="S946" s="20"/>
      <c r="T946" s="20"/>
      <c r="U946" s="20"/>
      <c r="V946" s="20"/>
      <c r="W946" s="20"/>
      <c r="X946" s="20"/>
      <c r="Y946" s="20"/>
      <c r="Z946" s="20"/>
      <c r="AA946" s="20"/>
    </row>
    <row r="947" spans="1:27" ht="17.25" customHeight="1">
      <c r="A947" s="57"/>
      <c r="B947" s="57"/>
      <c r="C947" s="57"/>
      <c r="D947" s="57"/>
      <c r="E947" s="57"/>
      <c r="F947" s="57"/>
      <c r="G947" s="57"/>
      <c r="H947" s="20"/>
      <c r="I947" s="20"/>
      <c r="J947" s="20"/>
      <c r="K947" s="20"/>
      <c r="L947" s="20"/>
      <c r="M947" s="20"/>
      <c r="N947" s="20"/>
      <c r="O947" s="20"/>
      <c r="P947" s="20"/>
      <c r="Q947" s="20"/>
      <c r="R947" s="20"/>
      <c r="S947" s="20"/>
      <c r="T947" s="20"/>
      <c r="U947" s="20"/>
      <c r="V947" s="20"/>
      <c r="W947" s="20"/>
      <c r="X947" s="20"/>
      <c r="Y947" s="20"/>
      <c r="Z947" s="20"/>
      <c r="AA947" s="20"/>
    </row>
    <row r="948" spans="1:27" ht="17.25" customHeight="1">
      <c r="A948" s="57"/>
      <c r="B948" s="57"/>
      <c r="C948" s="57"/>
      <c r="D948" s="57"/>
      <c r="E948" s="57"/>
      <c r="F948" s="57"/>
      <c r="G948" s="57"/>
      <c r="H948" s="20"/>
      <c r="I948" s="20"/>
      <c r="J948" s="20"/>
      <c r="K948" s="20"/>
      <c r="L948" s="20"/>
      <c r="M948" s="20"/>
      <c r="N948" s="20"/>
      <c r="O948" s="20"/>
      <c r="P948" s="20"/>
      <c r="Q948" s="20"/>
      <c r="R948" s="20"/>
      <c r="S948" s="20"/>
      <c r="T948" s="20"/>
      <c r="U948" s="20"/>
      <c r="V948" s="20"/>
      <c r="W948" s="20"/>
      <c r="X948" s="20"/>
      <c r="Y948" s="20"/>
      <c r="Z948" s="20"/>
      <c r="AA948" s="20"/>
    </row>
    <row r="949" spans="1:27" ht="17.25" customHeight="1">
      <c r="A949" s="57"/>
      <c r="B949" s="57"/>
      <c r="C949" s="57"/>
      <c r="D949" s="57"/>
      <c r="E949" s="57"/>
      <c r="F949" s="57"/>
      <c r="G949" s="57"/>
      <c r="H949" s="20"/>
      <c r="I949" s="20"/>
      <c r="J949" s="20"/>
      <c r="K949" s="20"/>
      <c r="L949" s="20"/>
      <c r="M949" s="20"/>
      <c r="N949" s="20"/>
      <c r="O949" s="20"/>
      <c r="P949" s="20"/>
      <c r="Q949" s="20"/>
      <c r="R949" s="20"/>
      <c r="S949" s="20"/>
      <c r="T949" s="20"/>
      <c r="U949" s="20"/>
      <c r="V949" s="20"/>
      <c r="W949" s="20"/>
      <c r="X949" s="20"/>
      <c r="Y949" s="20"/>
      <c r="Z949" s="20"/>
      <c r="AA949" s="20"/>
    </row>
    <row r="950" spans="1:27" ht="17.25" customHeight="1">
      <c r="A950" s="57"/>
      <c r="B950" s="57"/>
      <c r="C950" s="57"/>
      <c r="D950" s="57"/>
      <c r="E950" s="57"/>
      <c r="F950" s="57"/>
      <c r="G950" s="57"/>
      <c r="H950" s="20"/>
      <c r="I950" s="20"/>
      <c r="J950" s="20"/>
      <c r="K950" s="20"/>
      <c r="L950" s="20"/>
      <c r="M950" s="20"/>
      <c r="N950" s="20"/>
      <c r="O950" s="20"/>
      <c r="P950" s="20"/>
      <c r="Q950" s="20"/>
      <c r="R950" s="20"/>
      <c r="S950" s="20"/>
      <c r="T950" s="20"/>
      <c r="U950" s="20"/>
      <c r="V950" s="20"/>
      <c r="W950" s="20"/>
      <c r="X950" s="20"/>
      <c r="Y950" s="20"/>
      <c r="Z950" s="20"/>
      <c r="AA950" s="20"/>
    </row>
    <row r="951" spans="1:27" ht="17.25" customHeight="1">
      <c r="A951" s="57"/>
      <c r="B951" s="57"/>
      <c r="C951" s="57"/>
      <c r="D951" s="57"/>
      <c r="E951" s="57"/>
      <c r="F951" s="57"/>
      <c r="G951" s="57"/>
      <c r="H951" s="20"/>
      <c r="I951" s="20"/>
      <c r="J951" s="20"/>
      <c r="K951" s="20"/>
      <c r="L951" s="20"/>
      <c r="M951" s="20"/>
      <c r="N951" s="20"/>
      <c r="O951" s="20"/>
      <c r="P951" s="20"/>
      <c r="Q951" s="20"/>
      <c r="R951" s="20"/>
      <c r="S951" s="20"/>
      <c r="T951" s="20"/>
      <c r="U951" s="20"/>
      <c r="V951" s="20"/>
      <c r="W951" s="20"/>
      <c r="X951" s="20"/>
      <c r="Y951" s="20"/>
      <c r="Z951" s="20"/>
      <c r="AA951" s="20"/>
    </row>
    <row r="952" spans="1:27" ht="17.25" customHeight="1">
      <c r="A952" s="57"/>
      <c r="B952" s="57"/>
      <c r="C952" s="57"/>
      <c r="D952" s="57"/>
      <c r="E952" s="57"/>
      <c r="F952" s="57"/>
      <c r="G952" s="57"/>
      <c r="H952" s="20"/>
      <c r="I952" s="20"/>
      <c r="J952" s="20"/>
      <c r="K952" s="20"/>
      <c r="L952" s="20"/>
      <c r="M952" s="20"/>
      <c r="N952" s="20"/>
      <c r="O952" s="20"/>
      <c r="P952" s="20"/>
      <c r="Q952" s="20"/>
      <c r="R952" s="20"/>
      <c r="S952" s="20"/>
      <c r="T952" s="20"/>
      <c r="U952" s="20"/>
      <c r="V952" s="20"/>
      <c r="W952" s="20"/>
      <c r="X952" s="20"/>
      <c r="Y952" s="20"/>
      <c r="Z952" s="20"/>
      <c r="AA952" s="20"/>
    </row>
    <row r="953" spans="1:27" ht="17.25" customHeight="1">
      <c r="A953" s="57"/>
      <c r="B953" s="57"/>
      <c r="C953" s="57"/>
      <c r="D953" s="57"/>
      <c r="E953" s="57"/>
      <c r="F953" s="57"/>
      <c r="G953" s="57"/>
      <c r="H953" s="20"/>
      <c r="I953" s="20"/>
      <c r="J953" s="20"/>
      <c r="K953" s="20"/>
      <c r="L953" s="20"/>
      <c r="M953" s="20"/>
      <c r="N953" s="20"/>
      <c r="O953" s="20"/>
      <c r="P953" s="20"/>
      <c r="Q953" s="20"/>
      <c r="R953" s="20"/>
      <c r="S953" s="20"/>
      <c r="T953" s="20"/>
      <c r="U953" s="20"/>
      <c r="V953" s="20"/>
      <c r="W953" s="20"/>
      <c r="X953" s="20"/>
      <c r="Y953" s="20"/>
      <c r="Z953" s="20"/>
      <c r="AA953" s="20"/>
    </row>
    <row r="954" spans="1:27" ht="17.25" customHeight="1">
      <c r="A954" s="57"/>
      <c r="B954" s="57"/>
      <c r="C954" s="57"/>
      <c r="D954" s="57"/>
      <c r="E954" s="57"/>
      <c r="F954" s="57"/>
      <c r="G954" s="57"/>
      <c r="H954" s="20"/>
      <c r="I954" s="20"/>
      <c r="J954" s="20"/>
      <c r="K954" s="20"/>
      <c r="L954" s="20"/>
      <c r="M954" s="20"/>
      <c r="N954" s="20"/>
      <c r="O954" s="20"/>
      <c r="P954" s="20"/>
      <c r="Q954" s="20"/>
      <c r="R954" s="20"/>
      <c r="S954" s="20"/>
      <c r="T954" s="20"/>
      <c r="U954" s="20"/>
      <c r="V954" s="20"/>
      <c r="W954" s="20"/>
      <c r="X954" s="20"/>
      <c r="Y954" s="20"/>
      <c r="Z954" s="20"/>
      <c r="AA954" s="20"/>
    </row>
    <row r="955" spans="1:27" ht="17.25" customHeight="1">
      <c r="A955" s="57"/>
      <c r="B955" s="57"/>
      <c r="C955" s="57"/>
      <c r="D955" s="57"/>
      <c r="E955" s="57"/>
      <c r="F955" s="57"/>
      <c r="G955" s="57"/>
      <c r="H955" s="20"/>
      <c r="I955" s="20"/>
      <c r="J955" s="20"/>
      <c r="K955" s="20"/>
      <c r="L955" s="20"/>
      <c r="M955" s="20"/>
      <c r="N955" s="20"/>
      <c r="O955" s="20"/>
      <c r="P955" s="20"/>
      <c r="Q955" s="20"/>
      <c r="R955" s="20"/>
      <c r="S955" s="20"/>
      <c r="T955" s="20"/>
      <c r="U955" s="20"/>
      <c r="V955" s="20"/>
      <c r="W955" s="20"/>
      <c r="X955" s="20"/>
      <c r="Y955" s="20"/>
      <c r="Z955" s="20"/>
      <c r="AA955" s="20"/>
    </row>
    <row r="956" spans="1:27" ht="17.25" customHeight="1">
      <c r="A956" s="57"/>
      <c r="B956" s="57"/>
      <c r="C956" s="57"/>
      <c r="D956" s="57"/>
      <c r="E956" s="57"/>
      <c r="F956" s="57"/>
      <c r="G956" s="57"/>
      <c r="H956" s="20"/>
      <c r="I956" s="20"/>
      <c r="J956" s="20"/>
      <c r="K956" s="20"/>
      <c r="L956" s="20"/>
      <c r="M956" s="20"/>
      <c r="N956" s="20"/>
      <c r="O956" s="20"/>
      <c r="P956" s="20"/>
      <c r="Q956" s="20"/>
      <c r="R956" s="20"/>
      <c r="S956" s="20"/>
      <c r="T956" s="20"/>
      <c r="U956" s="20"/>
      <c r="V956" s="20"/>
      <c r="W956" s="20"/>
      <c r="X956" s="20"/>
      <c r="Y956" s="20"/>
      <c r="Z956" s="20"/>
      <c r="AA956" s="20"/>
    </row>
    <row r="957" spans="1:27" ht="17.25" customHeight="1">
      <c r="A957" s="57"/>
      <c r="B957" s="57"/>
      <c r="C957" s="57"/>
      <c r="D957" s="57"/>
      <c r="E957" s="57"/>
      <c r="F957" s="57"/>
      <c r="G957" s="57"/>
      <c r="H957" s="20"/>
      <c r="I957" s="20"/>
      <c r="J957" s="20"/>
      <c r="K957" s="20"/>
      <c r="L957" s="20"/>
      <c r="M957" s="20"/>
      <c r="N957" s="20"/>
      <c r="O957" s="20"/>
      <c r="P957" s="20"/>
      <c r="Q957" s="20"/>
      <c r="R957" s="20"/>
      <c r="S957" s="20"/>
      <c r="T957" s="20"/>
      <c r="U957" s="20"/>
      <c r="V957" s="20"/>
      <c r="W957" s="20"/>
      <c r="X957" s="20"/>
      <c r="Y957" s="20"/>
      <c r="Z957" s="20"/>
      <c r="AA957" s="20"/>
    </row>
    <row r="958" spans="1:27" ht="17.25" customHeight="1">
      <c r="A958" s="57"/>
      <c r="B958" s="57"/>
      <c r="C958" s="57"/>
      <c r="D958" s="57"/>
      <c r="E958" s="57"/>
      <c r="F958" s="57"/>
      <c r="G958" s="57"/>
      <c r="H958" s="20"/>
      <c r="I958" s="20"/>
      <c r="J958" s="20"/>
      <c r="K958" s="20"/>
      <c r="L958" s="20"/>
      <c r="M958" s="20"/>
      <c r="N958" s="20"/>
      <c r="O958" s="20"/>
      <c r="P958" s="20"/>
      <c r="Q958" s="20"/>
      <c r="R958" s="20"/>
      <c r="S958" s="20"/>
      <c r="T958" s="20"/>
      <c r="U958" s="20"/>
      <c r="V958" s="20"/>
      <c r="W958" s="20"/>
      <c r="X958" s="20"/>
      <c r="Y958" s="20"/>
      <c r="Z958" s="20"/>
      <c r="AA958" s="20"/>
    </row>
    <row r="959" spans="1:27" ht="17.25" customHeight="1">
      <c r="A959" s="57"/>
      <c r="B959" s="57"/>
      <c r="C959" s="57"/>
      <c r="D959" s="57"/>
      <c r="E959" s="57"/>
      <c r="F959" s="57"/>
      <c r="G959" s="57"/>
      <c r="H959" s="20"/>
      <c r="I959" s="20"/>
      <c r="J959" s="20"/>
      <c r="K959" s="20"/>
      <c r="L959" s="20"/>
      <c r="M959" s="20"/>
      <c r="N959" s="20"/>
      <c r="O959" s="20"/>
      <c r="P959" s="20"/>
      <c r="Q959" s="20"/>
      <c r="R959" s="20"/>
      <c r="S959" s="20"/>
      <c r="T959" s="20"/>
      <c r="U959" s="20"/>
      <c r="V959" s="20"/>
      <c r="W959" s="20"/>
      <c r="X959" s="20"/>
      <c r="Y959" s="20"/>
      <c r="Z959" s="20"/>
      <c r="AA959" s="20"/>
    </row>
    <row r="960" spans="1:27" ht="17.25" customHeight="1">
      <c r="A960" s="57"/>
      <c r="B960" s="57"/>
      <c r="C960" s="57"/>
      <c r="D960" s="57"/>
      <c r="E960" s="57"/>
      <c r="F960" s="57"/>
      <c r="G960" s="57"/>
      <c r="H960" s="20"/>
      <c r="I960" s="20"/>
      <c r="J960" s="20"/>
      <c r="K960" s="20"/>
      <c r="L960" s="20"/>
      <c r="M960" s="20"/>
      <c r="N960" s="20"/>
      <c r="O960" s="20"/>
      <c r="P960" s="20"/>
      <c r="Q960" s="20"/>
      <c r="R960" s="20"/>
      <c r="S960" s="20"/>
      <c r="T960" s="20"/>
      <c r="U960" s="20"/>
      <c r="V960" s="20"/>
      <c r="W960" s="20"/>
      <c r="X960" s="20"/>
      <c r="Y960" s="20"/>
      <c r="Z960" s="20"/>
      <c r="AA960" s="20"/>
    </row>
    <row r="961" spans="1:27" ht="17.25" customHeight="1">
      <c r="A961" s="57"/>
      <c r="B961" s="57"/>
      <c r="C961" s="57"/>
      <c r="D961" s="57"/>
      <c r="E961" s="57"/>
      <c r="F961" s="57"/>
      <c r="G961" s="57"/>
      <c r="H961" s="20"/>
      <c r="I961" s="20"/>
      <c r="J961" s="20"/>
      <c r="K961" s="20"/>
      <c r="L961" s="20"/>
      <c r="M961" s="20"/>
      <c r="N961" s="20"/>
      <c r="O961" s="20"/>
      <c r="P961" s="20"/>
      <c r="Q961" s="20"/>
      <c r="R961" s="20"/>
      <c r="S961" s="20"/>
      <c r="T961" s="20"/>
      <c r="U961" s="20"/>
      <c r="V961" s="20"/>
      <c r="W961" s="20"/>
      <c r="X961" s="20"/>
      <c r="Y961" s="20"/>
      <c r="Z961" s="20"/>
      <c r="AA961" s="20"/>
    </row>
    <row r="962" spans="1:27" ht="17.25" customHeight="1">
      <c r="A962" s="57"/>
      <c r="B962" s="57"/>
      <c r="C962" s="57"/>
      <c r="D962" s="57"/>
      <c r="E962" s="57"/>
      <c r="F962" s="57"/>
      <c r="G962" s="57"/>
      <c r="H962" s="20"/>
      <c r="I962" s="20"/>
      <c r="J962" s="20"/>
      <c r="K962" s="20"/>
      <c r="L962" s="20"/>
      <c r="M962" s="20"/>
      <c r="N962" s="20"/>
      <c r="O962" s="20"/>
      <c r="P962" s="20"/>
      <c r="Q962" s="20"/>
      <c r="R962" s="20"/>
      <c r="S962" s="20"/>
      <c r="T962" s="20"/>
      <c r="U962" s="20"/>
      <c r="V962" s="20"/>
      <c r="W962" s="20"/>
      <c r="X962" s="20"/>
      <c r="Y962" s="20"/>
      <c r="Z962" s="20"/>
      <c r="AA962" s="20"/>
    </row>
    <row r="963" spans="1:27" ht="17.25" customHeight="1">
      <c r="A963" s="57"/>
      <c r="B963" s="57"/>
      <c r="C963" s="57"/>
      <c r="D963" s="57"/>
      <c r="E963" s="57"/>
      <c r="F963" s="57"/>
      <c r="G963" s="57"/>
      <c r="H963" s="20"/>
      <c r="I963" s="20"/>
      <c r="J963" s="20"/>
      <c r="K963" s="20"/>
      <c r="L963" s="20"/>
      <c r="M963" s="20"/>
      <c r="N963" s="20"/>
      <c r="O963" s="20"/>
      <c r="P963" s="20"/>
      <c r="Q963" s="20"/>
      <c r="R963" s="20"/>
      <c r="S963" s="20"/>
      <c r="T963" s="20"/>
      <c r="U963" s="20"/>
      <c r="V963" s="20"/>
      <c r="W963" s="20"/>
      <c r="X963" s="20"/>
      <c r="Y963" s="20"/>
      <c r="Z963" s="20"/>
      <c r="AA963" s="20"/>
    </row>
    <row r="964" spans="1:27" ht="17.25" customHeight="1">
      <c r="A964" s="57"/>
      <c r="B964" s="57"/>
      <c r="C964" s="57"/>
      <c r="D964" s="57"/>
      <c r="E964" s="57"/>
      <c r="F964" s="57"/>
      <c r="G964" s="57"/>
      <c r="H964" s="20"/>
      <c r="I964" s="20"/>
      <c r="J964" s="20"/>
      <c r="K964" s="20"/>
      <c r="L964" s="20"/>
      <c r="M964" s="20"/>
      <c r="N964" s="20"/>
      <c r="O964" s="20"/>
      <c r="P964" s="20"/>
      <c r="Q964" s="20"/>
      <c r="R964" s="20"/>
      <c r="S964" s="20"/>
      <c r="T964" s="20"/>
      <c r="U964" s="20"/>
      <c r="V964" s="20"/>
      <c r="W964" s="20"/>
      <c r="X964" s="20"/>
      <c r="Y964" s="20"/>
      <c r="Z964" s="20"/>
      <c r="AA964" s="20"/>
    </row>
    <row r="965" spans="1:27" ht="17.25" customHeight="1">
      <c r="A965" s="57"/>
      <c r="B965" s="57"/>
      <c r="C965" s="57"/>
      <c r="D965" s="57"/>
      <c r="E965" s="57"/>
      <c r="F965" s="57"/>
      <c r="G965" s="57"/>
      <c r="H965" s="20"/>
      <c r="I965" s="20"/>
      <c r="J965" s="20"/>
      <c r="K965" s="20"/>
      <c r="L965" s="20"/>
      <c r="M965" s="20"/>
      <c r="N965" s="20"/>
      <c r="O965" s="20"/>
      <c r="P965" s="20"/>
      <c r="Q965" s="20"/>
      <c r="R965" s="20"/>
      <c r="S965" s="20"/>
      <c r="T965" s="20"/>
      <c r="U965" s="20"/>
      <c r="V965" s="20"/>
      <c r="W965" s="20"/>
      <c r="X965" s="20"/>
      <c r="Y965" s="20"/>
      <c r="Z965" s="20"/>
      <c r="AA965" s="20"/>
    </row>
    <row r="966" spans="1:27" ht="17.25" customHeight="1">
      <c r="A966" s="57"/>
      <c r="B966" s="57"/>
      <c r="C966" s="57"/>
      <c r="D966" s="57"/>
      <c r="E966" s="57"/>
      <c r="F966" s="57"/>
      <c r="G966" s="57"/>
      <c r="H966" s="20"/>
      <c r="I966" s="20"/>
      <c r="J966" s="20"/>
      <c r="K966" s="20"/>
      <c r="L966" s="20"/>
      <c r="M966" s="20"/>
      <c r="N966" s="20"/>
      <c r="O966" s="20"/>
      <c r="P966" s="20"/>
      <c r="Q966" s="20"/>
      <c r="R966" s="20"/>
      <c r="S966" s="20"/>
      <c r="T966" s="20"/>
      <c r="U966" s="20"/>
      <c r="V966" s="20"/>
      <c r="W966" s="20"/>
      <c r="X966" s="20"/>
      <c r="Y966" s="20"/>
      <c r="Z966" s="20"/>
      <c r="AA966" s="20"/>
    </row>
    <row r="967" spans="1:27" ht="17.25" customHeight="1">
      <c r="A967" s="57"/>
      <c r="B967" s="57"/>
      <c r="C967" s="57"/>
      <c r="D967" s="57"/>
      <c r="E967" s="57"/>
      <c r="F967" s="57"/>
      <c r="G967" s="57"/>
      <c r="H967" s="20"/>
      <c r="I967" s="20"/>
      <c r="J967" s="20"/>
      <c r="K967" s="20"/>
      <c r="L967" s="20"/>
      <c r="M967" s="20"/>
      <c r="N967" s="20"/>
      <c r="O967" s="20"/>
      <c r="P967" s="20"/>
      <c r="Q967" s="20"/>
      <c r="R967" s="20"/>
      <c r="S967" s="20"/>
      <c r="T967" s="20"/>
      <c r="U967" s="20"/>
      <c r="V967" s="20"/>
      <c r="W967" s="20"/>
      <c r="X967" s="20"/>
      <c r="Y967" s="20"/>
      <c r="Z967" s="20"/>
      <c r="AA967" s="20"/>
    </row>
    <row r="968" spans="1:27" ht="17.25" customHeight="1">
      <c r="A968" s="57"/>
      <c r="B968" s="57"/>
      <c r="C968" s="57"/>
      <c r="D968" s="57"/>
      <c r="E968" s="57"/>
      <c r="F968" s="57"/>
      <c r="G968" s="57"/>
      <c r="H968" s="20"/>
      <c r="I968" s="20"/>
      <c r="J968" s="20"/>
      <c r="K968" s="20"/>
      <c r="L968" s="20"/>
      <c r="M968" s="20"/>
      <c r="N968" s="20"/>
      <c r="O968" s="20"/>
      <c r="P968" s="20"/>
      <c r="Q968" s="20"/>
      <c r="R968" s="20"/>
      <c r="S968" s="20"/>
      <c r="T968" s="20"/>
      <c r="U968" s="20"/>
      <c r="V968" s="20"/>
      <c r="W968" s="20"/>
      <c r="X968" s="20"/>
      <c r="Y968" s="20"/>
      <c r="Z968" s="20"/>
      <c r="AA968" s="20"/>
    </row>
    <row r="969" spans="1:27" ht="17.25" customHeight="1">
      <c r="A969" s="57"/>
      <c r="B969" s="57"/>
      <c r="C969" s="57"/>
      <c r="D969" s="57"/>
      <c r="E969" s="57"/>
      <c r="F969" s="57"/>
      <c r="G969" s="57"/>
      <c r="H969" s="20"/>
      <c r="I969" s="20"/>
      <c r="J969" s="20"/>
      <c r="K969" s="20"/>
      <c r="L969" s="20"/>
      <c r="M969" s="20"/>
      <c r="N969" s="20"/>
      <c r="O969" s="20"/>
      <c r="P969" s="20"/>
      <c r="Q969" s="20"/>
      <c r="R969" s="20"/>
      <c r="S969" s="20"/>
      <c r="T969" s="20"/>
      <c r="U969" s="20"/>
      <c r="V969" s="20"/>
      <c r="W969" s="20"/>
      <c r="X969" s="20"/>
      <c r="Y969" s="20"/>
      <c r="Z969" s="20"/>
      <c r="AA969" s="20"/>
    </row>
    <row r="970" spans="1:27" ht="17.25" customHeight="1">
      <c r="A970" s="57"/>
      <c r="B970" s="57"/>
      <c r="C970" s="57"/>
      <c r="D970" s="57"/>
      <c r="E970" s="57"/>
      <c r="F970" s="57"/>
      <c r="G970" s="57"/>
      <c r="H970" s="20"/>
      <c r="I970" s="20"/>
      <c r="J970" s="20"/>
      <c r="K970" s="20"/>
      <c r="L970" s="20"/>
      <c r="M970" s="20"/>
      <c r="N970" s="20"/>
      <c r="O970" s="20"/>
      <c r="P970" s="20"/>
      <c r="Q970" s="20"/>
      <c r="R970" s="20"/>
      <c r="S970" s="20"/>
      <c r="T970" s="20"/>
      <c r="U970" s="20"/>
      <c r="V970" s="20"/>
      <c r="W970" s="20"/>
      <c r="X970" s="20"/>
      <c r="Y970" s="20"/>
      <c r="Z970" s="20"/>
      <c r="AA970" s="20"/>
    </row>
    <row r="971" spans="1:27" ht="17.25" customHeight="1">
      <c r="A971" s="57"/>
      <c r="B971" s="57"/>
      <c r="C971" s="57"/>
      <c r="D971" s="57"/>
      <c r="E971" s="57"/>
      <c r="F971" s="57"/>
      <c r="G971" s="57"/>
      <c r="H971" s="20"/>
      <c r="I971" s="20"/>
      <c r="J971" s="20"/>
      <c r="K971" s="20"/>
      <c r="L971" s="20"/>
      <c r="M971" s="20"/>
      <c r="N971" s="20"/>
      <c r="O971" s="20"/>
      <c r="P971" s="20"/>
      <c r="Q971" s="20"/>
      <c r="R971" s="20"/>
      <c r="S971" s="20"/>
      <c r="T971" s="20"/>
      <c r="U971" s="20"/>
      <c r="V971" s="20"/>
      <c r="W971" s="20"/>
      <c r="X971" s="20"/>
      <c r="Y971" s="20"/>
      <c r="Z971" s="20"/>
      <c r="AA971" s="20"/>
    </row>
    <row r="972" spans="1:27" ht="17.25" customHeight="1">
      <c r="A972" s="57"/>
      <c r="B972" s="57"/>
      <c r="C972" s="57"/>
      <c r="D972" s="57"/>
      <c r="E972" s="57"/>
      <c r="F972" s="57"/>
      <c r="G972" s="57"/>
      <c r="H972" s="20"/>
      <c r="I972" s="20"/>
      <c r="J972" s="20"/>
      <c r="K972" s="20"/>
      <c r="L972" s="20"/>
      <c r="M972" s="20"/>
      <c r="N972" s="20"/>
      <c r="O972" s="20"/>
      <c r="P972" s="20"/>
      <c r="Q972" s="20"/>
      <c r="R972" s="20"/>
      <c r="S972" s="20"/>
      <c r="T972" s="20"/>
      <c r="U972" s="20"/>
      <c r="V972" s="20"/>
      <c r="W972" s="20"/>
      <c r="X972" s="20"/>
      <c r="Y972" s="20"/>
      <c r="Z972" s="20"/>
      <c r="AA972" s="20"/>
    </row>
    <row r="973" spans="1:27" ht="17.25" customHeight="1">
      <c r="A973" s="57"/>
      <c r="B973" s="57"/>
      <c r="C973" s="57"/>
      <c r="D973" s="57"/>
      <c r="E973" s="57"/>
      <c r="F973" s="57"/>
      <c r="G973" s="57"/>
      <c r="H973" s="20"/>
      <c r="I973" s="20"/>
      <c r="J973" s="20"/>
      <c r="K973" s="20"/>
      <c r="L973" s="20"/>
      <c r="M973" s="20"/>
      <c r="N973" s="20"/>
      <c r="O973" s="20"/>
      <c r="P973" s="20"/>
      <c r="Q973" s="20"/>
      <c r="R973" s="20"/>
      <c r="S973" s="20"/>
      <c r="T973" s="20"/>
      <c r="U973" s="20"/>
      <c r="V973" s="20"/>
      <c r="W973" s="20"/>
      <c r="X973" s="20"/>
      <c r="Y973" s="20"/>
      <c r="Z973" s="20"/>
      <c r="AA973" s="20"/>
    </row>
    <row r="974" spans="1:27" ht="17.25" customHeight="1">
      <c r="A974" s="57"/>
      <c r="B974" s="57"/>
      <c r="C974" s="57"/>
      <c r="D974" s="57"/>
      <c r="E974" s="57"/>
      <c r="F974" s="57"/>
      <c r="G974" s="57"/>
      <c r="H974" s="20"/>
      <c r="I974" s="20"/>
      <c r="J974" s="20"/>
      <c r="K974" s="20"/>
      <c r="L974" s="20"/>
      <c r="M974" s="20"/>
      <c r="N974" s="20"/>
      <c r="O974" s="20"/>
      <c r="P974" s="20"/>
      <c r="Q974" s="20"/>
      <c r="R974" s="20"/>
      <c r="S974" s="20"/>
      <c r="T974" s="20"/>
      <c r="U974" s="20"/>
      <c r="V974" s="20"/>
      <c r="W974" s="20"/>
      <c r="X974" s="20"/>
      <c r="Y974" s="20"/>
      <c r="Z974" s="20"/>
      <c r="AA974" s="20"/>
    </row>
    <row r="975" spans="1:27" ht="17.25" customHeight="1">
      <c r="A975" s="57"/>
      <c r="B975" s="57"/>
      <c r="C975" s="57"/>
      <c r="D975" s="57"/>
      <c r="E975" s="57"/>
      <c r="F975" s="57"/>
      <c r="G975" s="57"/>
      <c r="H975" s="20"/>
      <c r="I975" s="20"/>
      <c r="J975" s="20"/>
      <c r="K975" s="20"/>
      <c r="L975" s="20"/>
      <c r="M975" s="20"/>
      <c r="N975" s="20"/>
      <c r="O975" s="20"/>
      <c r="P975" s="20"/>
      <c r="Q975" s="20"/>
      <c r="R975" s="20"/>
      <c r="S975" s="20"/>
      <c r="T975" s="20"/>
      <c r="U975" s="20"/>
      <c r="V975" s="20"/>
      <c r="W975" s="20"/>
      <c r="X975" s="20"/>
      <c r="Y975" s="20"/>
      <c r="Z975" s="20"/>
      <c r="AA975" s="20"/>
    </row>
    <row r="976" spans="1:27" ht="17.25" customHeight="1">
      <c r="A976" s="57"/>
      <c r="B976" s="57"/>
      <c r="C976" s="57"/>
      <c r="D976" s="57"/>
      <c r="E976" s="57"/>
      <c r="F976" s="57"/>
      <c r="G976" s="57"/>
      <c r="H976" s="20"/>
      <c r="I976" s="20"/>
      <c r="J976" s="20"/>
      <c r="K976" s="20"/>
      <c r="L976" s="20"/>
      <c r="M976" s="20"/>
      <c r="N976" s="20"/>
      <c r="O976" s="20"/>
      <c r="P976" s="20"/>
      <c r="Q976" s="20"/>
      <c r="R976" s="20"/>
      <c r="S976" s="20"/>
      <c r="T976" s="20"/>
      <c r="U976" s="20"/>
      <c r="V976" s="20"/>
      <c r="W976" s="20"/>
      <c r="X976" s="20"/>
      <c r="Y976" s="20"/>
      <c r="Z976" s="20"/>
      <c r="AA976" s="20"/>
    </row>
    <row r="977" spans="1:27" ht="17.25" customHeight="1">
      <c r="A977" s="57"/>
      <c r="B977" s="57"/>
      <c r="C977" s="57"/>
      <c r="D977" s="57"/>
      <c r="E977" s="57"/>
      <c r="F977" s="57"/>
      <c r="G977" s="57"/>
      <c r="H977" s="20"/>
      <c r="I977" s="20"/>
      <c r="J977" s="20"/>
      <c r="K977" s="20"/>
      <c r="L977" s="20"/>
      <c r="M977" s="20"/>
      <c r="N977" s="20"/>
      <c r="O977" s="20"/>
      <c r="P977" s="20"/>
      <c r="Q977" s="20"/>
      <c r="R977" s="20"/>
      <c r="S977" s="20"/>
      <c r="T977" s="20"/>
      <c r="U977" s="20"/>
      <c r="V977" s="20"/>
      <c r="W977" s="20"/>
      <c r="X977" s="20"/>
      <c r="Y977" s="20"/>
      <c r="Z977" s="20"/>
      <c r="AA977" s="20"/>
    </row>
    <row r="978" spans="1:27" ht="17.25" customHeight="1">
      <c r="A978" s="57"/>
      <c r="B978" s="57"/>
      <c r="C978" s="57"/>
      <c r="D978" s="57"/>
      <c r="E978" s="57"/>
      <c r="F978" s="57"/>
      <c r="G978" s="57"/>
      <c r="H978" s="20"/>
      <c r="I978" s="20"/>
      <c r="J978" s="20"/>
      <c r="K978" s="20"/>
      <c r="L978" s="20"/>
      <c r="M978" s="20"/>
      <c r="N978" s="20"/>
      <c r="O978" s="20"/>
      <c r="P978" s="20"/>
      <c r="Q978" s="20"/>
      <c r="R978" s="20"/>
      <c r="S978" s="20"/>
      <c r="T978" s="20"/>
      <c r="U978" s="20"/>
      <c r="V978" s="20"/>
      <c r="W978" s="20"/>
      <c r="X978" s="20"/>
      <c r="Y978" s="20"/>
      <c r="Z978" s="20"/>
      <c r="AA978" s="20"/>
    </row>
    <row r="979" spans="1:27" ht="17.25" customHeight="1">
      <c r="A979" s="57"/>
      <c r="B979" s="57"/>
      <c r="C979" s="57"/>
      <c r="D979" s="57"/>
      <c r="E979" s="57"/>
      <c r="F979" s="57"/>
      <c r="G979" s="57"/>
      <c r="H979" s="20"/>
      <c r="I979" s="20"/>
      <c r="J979" s="20"/>
      <c r="K979" s="20"/>
      <c r="L979" s="20"/>
      <c r="M979" s="20"/>
      <c r="N979" s="20"/>
      <c r="O979" s="20"/>
      <c r="P979" s="20"/>
      <c r="Q979" s="20"/>
      <c r="R979" s="20"/>
      <c r="S979" s="20"/>
      <c r="T979" s="20"/>
      <c r="U979" s="20"/>
      <c r="V979" s="20"/>
      <c r="W979" s="20"/>
      <c r="X979" s="20"/>
      <c r="Y979" s="20"/>
      <c r="Z979" s="20"/>
      <c r="AA979" s="20"/>
    </row>
    <row r="980" spans="1:27" ht="17.25" customHeight="1">
      <c r="A980" s="57"/>
      <c r="B980" s="57"/>
      <c r="C980" s="57"/>
      <c r="D980" s="57"/>
      <c r="E980" s="57"/>
      <c r="F980" s="57"/>
      <c r="G980" s="57"/>
      <c r="H980" s="20"/>
      <c r="I980" s="20"/>
      <c r="J980" s="20"/>
      <c r="K980" s="20"/>
      <c r="L980" s="20"/>
      <c r="M980" s="20"/>
      <c r="N980" s="20"/>
      <c r="O980" s="20"/>
      <c r="P980" s="20"/>
      <c r="Q980" s="20"/>
      <c r="R980" s="20"/>
      <c r="S980" s="20"/>
      <c r="T980" s="20"/>
      <c r="U980" s="20"/>
      <c r="V980" s="20"/>
      <c r="W980" s="20"/>
      <c r="X980" s="20"/>
      <c r="Y980" s="20"/>
      <c r="Z980" s="20"/>
      <c r="AA980" s="20"/>
    </row>
    <row r="981" spans="1:27" ht="17.25" customHeight="1">
      <c r="A981" s="57"/>
      <c r="B981" s="57"/>
      <c r="C981" s="57"/>
      <c r="D981" s="57"/>
      <c r="E981" s="57"/>
      <c r="F981" s="57"/>
      <c r="G981" s="57"/>
      <c r="H981" s="20"/>
      <c r="I981" s="20"/>
      <c r="J981" s="20"/>
      <c r="K981" s="20"/>
      <c r="L981" s="20"/>
      <c r="M981" s="20"/>
      <c r="N981" s="20"/>
      <c r="O981" s="20"/>
      <c r="P981" s="20"/>
      <c r="Q981" s="20"/>
      <c r="R981" s="20"/>
      <c r="S981" s="20"/>
      <c r="T981" s="20"/>
      <c r="U981" s="20"/>
      <c r="V981" s="20"/>
      <c r="W981" s="20"/>
      <c r="X981" s="20"/>
      <c r="Y981" s="20"/>
      <c r="Z981" s="20"/>
      <c r="AA981" s="20"/>
    </row>
    <row r="982" spans="1:27" ht="17.25" customHeight="1">
      <c r="A982" s="57"/>
      <c r="B982" s="57"/>
      <c r="C982" s="57"/>
      <c r="D982" s="57"/>
      <c r="E982" s="57"/>
      <c r="F982" s="57"/>
      <c r="G982" s="57"/>
      <c r="H982" s="20"/>
      <c r="I982" s="20"/>
      <c r="J982" s="20"/>
      <c r="K982" s="20"/>
      <c r="L982" s="20"/>
      <c r="M982" s="20"/>
      <c r="N982" s="20"/>
      <c r="O982" s="20"/>
      <c r="P982" s="20"/>
      <c r="Q982" s="20"/>
      <c r="R982" s="20"/>
      <c r="S982" s="20"/>
      <c r="T982" s="20"/>
      <c r="U982" s="20"/>
      <c r="V982" s="20"/>
      <c r="W982" s="20"/>
      <c r="X982" s="20"/>
      <c r="Y982" s="20"/>
      <c r="Z982" s="20"/>
      <c r="AA982" s="20"/>
    </row>
    <row r="983" spans="1:27" ht="17.25" customHeight="1">
      <c r="A983" s="57"/>
      <c r="B983" s="57"/>
      <c r="C983" s="57"/>
      <c r="D983" s="57"/>
      <c r="E983" s="57"/>
      <c r="F983" s="57"/>
      <c r="G983" s="57"/>
      <c r="H983" s="20"/>
      <c r="I983" s="20"/>
      <c r="J983" s="20"/>
      <c r="K983" s="20"/>
      <c r="L983" s="20"/>
      <c r="M983" s="20"/>
      <c r="N983" s="20"/>
      <c r="O983" s="20"/>
      <c r="P983" s="20"/>
      <c r="Q983" s="20"/>
      <c r="R983" s="20"/>
      <c r="S983" s="20"/>
      <c r="T983" s="20"/>
      <c r="U983" s="20"/>
      <c r="V983" s="20"/>
      <c r="W983" s="20"/>
      <c r="X983" s="20"/>
      <c r="Y983" s="20"/>
      <c r="Z983" s="20"/>
      <c r="AA983" s="20"/>
    </row>
    <row r="984" spans="1:27" ht="17.25" customHeight="1">
      <c r="A984" s="57"/>
      <c r="B984" s="57"/>
      <c r="C984" s="57"/>
      <c r="D984" s="57"/>
      <c r="E984" s="57"/>
      <c r="F984" s="57"/>
      <c r="G984" s="57"/>
      <c r="H984" s="20"/>
      <c r="I984" s="20"/>
      <c r="J984" s="20"/>
      <c r="K984" s="20"/>
      <c r="L984" s="20"/>
      <c r="M984" s="20"/>
      <c r="N984" s="20"/>
      <c r="O984" s="20"/>
      <c r="P984" s="20"/>
      <c r="Q984" s="20"/>
      <c r="R984" s="20"/>
      <c r="S984" s="20"/>
      <c r="T984" s="20"/>
      <c r="U984" s="20"/>
      <c r="V984" s="20"/>
      <c r="W984" s="20"/>
      <c r="X984" s="20"/>
      <c r="Y984" s="20"/>
      <c r="Z984" s="20"/>
      <c r="AA984" s="20"/>
    </row>
    <row r="985" spans="1:27" ht="17.25" customHeight="1">
      <c r="A985" s="57"/>
      <c r="B985" s="57"/>
      <c r="C985" s="57"/>
      <c r="D985" s="57"/>
      <c r="E985" s="57"/>
      <c r="F985" s="57"/>
      <c r="G985" s="57"/>
      <c r="H985" s="20"/>
      <c r="I985" s="20"/>
      <c r="J985" s="20"/>
      <c r="K985" s="20"/>
      <c r="L985" s="20"/>
      <c r="M985" s="20"/>
      <c r="N985" s="20"/>
      <c r="O985" s="20"/>
      <c r="P985" s="20"/>
      <c r="Q985" s="20"/>
      <c r="R985" s="20"/>
      <c r="S985" s="20"/>
      <c r="T985" s="20"/>
      <c r="U985" s="20"/>
      <c r="V985" s="20"/>
      <c r="W985" s="20"/>
      <c r="X985" s="20"/>
      <c r="Y985" s="20"/>
      <c r="Z985" s="20"/>
      <c r="AA985" s="20"/>
    </row>
    <row r="986" spans="1:27" ht="17.25" customHeight="1">
      <c r="A986" s="57"/>
      <c r="B986" s="57"/>
      <c r="C986" s="57"/>
      <c r="D986" s="57"/>
      <c r="E986" s="57"/>
      <c r="F986" s="57"/>
      <c r="G986" s="57"/>
      <c r="H986" s="20"/>
      <c r="I986" s="20"/>
      <c r="J986" s="20"/>
      <c r="K986" s="20"/>
      <c r="L986" s="20"/>
      <c r="M986" s="20"/>
      <c r="N986" s="20"/>
      <c r="O986" s="20"/>
      <c r="P986" s="20"/>
      <c r="Q986" s="20"/>
      <c r="R986" s="20"/>
      <c r="S986" s="20"/>
      <c r="T986" s="20"/>
      <c r="U986" s="20"/>
      <c r="V986" s="20"/>
      <c r="W986" s="20"/>
      <c r="X986" s="20"/>
      <c r="Y986" s="20"/>
      <c r="Z986" s="20"/>
      <c r="AA986" s="20"/>
    </row>
    <row r="987" spans="1:27" ht="17.25" customHeight="1">
      <c r="A987" s="57"/>
      <c r="B987" s="57"/>
      <c r="C987" s="57"/>
      <c r="D987" s="57"/>
      <c r="E987" s="57"/>
      <c r="F987" s="57"/>
      <c r="G987" s="57"/>
      <c r="H987" s="20"/>
      <c r="I987" s="20"/>
      <c r="J987" s="20"/>
      <c r="K987" s="20"/>
      <c r="L987" s="20"/>
      <c r="M987" s="20"/>
      <c r="N987" s="20"/>
      <c r="O987" s="20"/>
      <c r="P987" s="20"/>
      <c r="Q987" s="20"/>
      <c r="R987" s="20"/>
      <c r="S987" s="20"/>
      <c r="T987" s="20"/>
      <c r="U987" s="20"/>
      <c r="V987" s="20"/>
      <c r="W987" s="20"/>
      <c r="X987" s="20"/>
      <c r="Y987" s="20"/>
      <c r="Z987" s="20"/>
      <c r="AA987" s="20"/>
    </row>
    <row r="988" spans="1:27" ht="17.25" customHeight="1">
      <c r="A988" s="57"/>
      <c r="B988" s="57"/>
      <c r="C988" s="57"/>
      <c r="D988" s="57"/>
      <c r="E988" s="57"/>
      <c r="F988" s="57"/>
      <c r="G988" s="57"/>
      <c r="H988" s="20"/>
      <c r="I988" s="20"/>
      <c r="J988" s="20"/>
      <c r="K988" s="20"/>
      <c r="L988" s="20"/>
      <c r="M988" s="20"/>
      <c r="N988" s="20"/>
      <c r="O988" s="20"/>
      <c r="P988" s="20"/>
      <c r="Q988" s="20"/>
      <c r="R988" s="20"/>
      <c r="S988" s="20"/>
      <c r="T988" s="20"/>
      <c r="U988" s="20"/>
      <c r="V988" s="20"/>
      <c r="W988" s="20"/>
      <c r="X988" s="20"/>
      <c r="Y988" s="20"/>
      <c r="Z988" s="20"/>
      <c r="AA988" s="20"/>
    </row>
    <row r="989" spans="1:27" ht="17.25" customHeight="1">
      <c r="A989" s="57"/>
      <c r="B989" s="57"/>
      <c r="C989" s="57"/>
      <c r="D989" s="57"/>
      <c r="E989" s="57"/>
      <c r="F989" s="57"/>
      <c r="G989" s="57"/>
      <c r="H989" s="20"/>
      <c r="I989" s="20"/>
      <c r="J989" s="20"/>
      <c r="K989" s="20"/>
      <c r="L989" s="20"/>
      <c r="M989" s="20"/>
      <c r="N989" s="20"/>
      <c r="O989" s="20"/>
      <c r="P989" s="20"/>
      <c r="Q989" s="20"/>
      <c r="R989" s="20"/>
      <c r="S989" s="20"/>
      <c r="T989" s="20"/>
      <c r="U989" s="20"/>
      <c r="V989" s="20"/>
      <c r="W989" s="20"/>
      <c r="X989" s="20"/>
      <c r="Y989" s="20"/>
      <c r="Z989" s="20"/>
      <c r="AA989" s="20"/>
    </row>
    <row r="990" spans="1:27" ht="17.25" customHeight="1">
      <c r="A990" s="57"/>
      <c r="B990" s="57"/>
      <c r="C990" s="57"/>
      <c r="D990" s="57"/>
      <c r="E990" s="57"/>
      <c r="F990" s="57"/>
      <c r="G990" s="57"/>
      <c r="H990" s="20"/>
      <c r="I990" s="20"/>
      <c r="J990" s="20"/>
      <c r="K990" s="20"/>
      <c r="L990" s="20"/>
      <c r="M990" s="20"/>
      <c r="N990" s="20"/>
      <c r="O990" s="20"/>
      <c r="P990" s="20"/>
      <c r="Q990" s="20"/>
      <c r="R990" s="20"/>
      <c r="S990" s="20"/>
      <c r="T990" s="20"/>
      <c r="U990" s="20"/>
      <c r="V990" s="20"/>
      <c r="W990" s="20"/>
      <c r="X990" s="20"/>
      <c r="Y990" s="20"/>
      <c r="Z990" s="20"/>
      <c r="AA990" s="20"/>
    </row>
    <row r="991" spans="1:27" ht="17.25" customHeight="1">
      <c r="A991" s="57"/>
      <c r="B991" s="57"/>
      <c r="C991" s="57"/>
      <c r="D991" s="57"/>
      <c r="E991" s="57"/>
      <c r="F991" s="57"/>
      <c r="G991" s="57"/>
      <c r="H991" s="20"/>
      <c r="I991" s="20"/>
      <c r="J991" s="20"/>
      <c r="K991" s="20"/>
      <c r="L991" s="20"/>
      <c r="M991" s="20"/>
      <c r="N991" s="20"/>
      <c r="O991" s="20"/>
      <c r="P991" s="20"/>
      <c r="Q991" s="20"/>
      <c r="R991" s="20"/>
      <c r="S991" s="20"/>
      <c r="T991" s="20"/>
      <c r="U991" s="20"/>
      <c r="V991" s="20"/>
      <c r="W991" s="20"/>
      <c r="X991" s="20"/>
      <c r="Y991" s="20"/>
      <c r="Z991" s="20"/>
      <c r="AA991" s="20"/>
    </row>
    <row r="992" spans="1:27" ht="17.25" customHeight="1">
      <c r="A992" s="57"/>
      <c r="B992" s="57"/>
      <c r="C992" s="57"/>
      <c r="D992" s="57"/>
      <c r="E992" s="57"/>
      <c r="F992" s="57"/>
      <c r="G992" s="57"/>
      <c r="H992" s="20"/>
      <c r="I992" s="20"/>
      <c r="J992" s="20"/>
      <c r="K992" s="20"/>
      <c r="L992" s="20"/>
      <c r="M992" s="20"/>
      <c r="N992" s="20"/>
      <c r="O992" s="20"/>
      <c r="P992" s="20"/>
      <c r="Q992" s="20"/>
      <c r="R992" s="20"/>
      <c r="S992" s="20"/>
      <c r="T992" s="20"/>
      <c r="U992" s="20"/>
      <c r="V992" s="20"/>
      <c r="W992" s="20"/>
      <c r="X992" s="20"/>
      <c r="Y992" s="20"/>
      <c r="Z992" s="20"/>
      <c r="AA992" s="20"/>
    </row>
    <row r="993" spans="1:27" ht="17.25" customHeight="1">
      <c r="A993" s="57"/>
      <c r="B993" s="57"/>
      <c r="C993" s="57"/>
      <c r="D993" s="57"/>
      <c r="E993" s="57"/>
      <c r="F993" s="57"/>
      <c r="G993" s="57"/>
      <c r="H993" s="20"/>
      <c r="I993" s="20"/>
      <c r="J993" s="20"/>
      <c r="K993" s="20"/>
      <c r="L993" s="20"/>
      <c r="M993" s="20"/>
      <c r="N993" s="20"/>
      <c r="O993" s="20"/>
      <c r="P993" s="20"/>
      <c r="Q993" s="20"/>
      <c r="R993" s="20"/>
      <c r="S993" s="20"/>
      <c r="T993" s="20"/>
      <c r="U993" s="20"/>
      <c r="V993" s="20"/>
      <c r="W993" s="20"/>
      <c r="X993" s="20"/>
      <c r="Y993" s="20"/>
      <c r="Z993" s="20"/>
      <c r="AA993" s="20"/>
    </row>
    <row r="994" spans="1:27" ht="17.25" customHeight="1">
      <c r="A994" s="57"/>
      <c r="B994" s="57"/>
      <c r="C994" s="57"/>
      <c r="D994" s="57"/>
      <c r="E994" s="57"/>
      <c r="F994" s="57"/>
      <c r="G994" s="57"/>
      <c r="H994" s="20"/>
      <c r="I994" s="20"/>
      <c r="J994" s="20"/>
      <c r="K994" s="20"/>
      <c r="L994" s="20"/>
      <c r="M994" s="20"/>
      <c r="N994" s="20"/>
      <c r="O994" s="20"/>
      <c r="P994" s="20"/>
      <c r="Q994" s="20"/>
      <c r="R994" s="20"/>
      <c r="S994" s="20"/>
      <c r="T994" s="20"/>
      <c r="U994" s="20"/>
      <c r="V994" s="20"/>
      <c r="W994" s="20"/>
      <c r="X994" s="20"/>
      <c r="Y994" s="20"/>
      <c r="Z994" s="20"/>
      <c r="AA994" s="20"/>
    </row>
    <row r="995" spans="1:27" ht="17.25" customHeight="1">
      <c r="A995" s="57"/>
      <c r="B995" s="57"/>
      <c r="C995" s="57"/>
      <c r="D995" s="57"/>
      <c r="E995" s="57"/>
      <c r="F995" s="57"/>
      <c r="G995" s="57"/>
      <c r="H995" s="20"/>
      <c r="I995" s="20"/>
      <c r="J995" s="20"/>
      <c r="K995" s="20"/>
      <c r="L995" s="20"/>
      <c r="M995" s="20"/>
      <c r="N995" s="20"/>
      <c r="O995" s="20"/>
      <c r="P995" s="20"/>
      <c r="Q995" s="20"/>
      <c r="R995" s="20"/>
      <c r="S995" s="20"/>
      <c r="T995" s="20"/>
      <c r="U995" s="20"/>
      <c r="V995" s="20"/>
      <c r="W995" s="20"/>
      <c r="X995" s="20"/>
      <c r="Y995" s="20"/>
      <c r="Z995" s="20"/>
      <c r="AA995" s="20"/>
    </row>
    <row r="996" spans="1:27" ht="17.25" customHeight="1">
      <c r="A996" s="57"/>
      <c r="B996" s="57"/>
      <c r="C996" s="57"/>
      <c r="D996" s="57"/>
      <c r="E996" s="57"/>
      <c r="F996" s="57"/>
      <c r="G996" s="57"/>
      <c r="H996" s="20"/>
      <c r="I996" s="20"/>
      <c r="J996" s="20"/>
      <c r="K996" s="20"/>
      <c r="L996" s="20"/>
      <c r="M996" s="20"/>
      <c r="N996" s="20"/>
      <c r="O996" s="20"/>
      <c r="P996" s="20"/>
      <c r="Q996" s="20"/>
      <c r="R996" s="20"/>
      <c r="S996" s="20"/>
      <c r="T996" s="20"/>
      <c r="U996" s="20"/>
      <c r="V996" s="20"/>
      <c r="W996" s="20"/>
      <c r="X996" s="20"/>
      <c r="Y996" s="20"/>
      <c r="Z996" s="20"/>
      <c r="AA996" s="20"/>
    </row>
    <row r="997" spans="1:27" ht="17.25" customHeight="1">
      <c r="A997" s="57"/>
      <c r="B997" s="57"/>
      <c r="C997" s="57"/>
      <c r="D997" s="57"/>
      <c r="E997" s="57"/>
      <c r="F997" s="57"/>
      <c r="G997" s="57"/>
      <c r="H997" s="20"/>
      <c r="I997" s="20"/>
      <c r="J997" s="20"/>
      <c r="K997" s="20"/>
      <c r="L997" s="20"/>
      <c r="M997" s="20"/>
      <c r="N997" s="20"/>
      <c r="O997" s="20"/>
      <c r="P997" s="20"/>
      <c r="Q997" s="20"/>
      <c r="R997" s="20"/>
      <c r="S997" s="20"/>
      <c r="T997" s="20"/>
      <c r="U997" s="20"/>
      <c r="V997" s="20"/>
      <c r="W997" s="20"/>
      <c r="X997" s="20"/>
      <c r="Y997" s="20"/>
      <c r="Z997" s="20"/>
      <c r="AA997" s="20"/>
    </row>
    <row r="998" spans="1:27" ht="17.25" customHeight="1">
      <c r="A998" s="57"/>
      <c r="B998" s="57"/>
      <c r="C998" s="57"/>
      <c r="D998" s="57"/>
      <c r="E998" s="57"/>
      <c r="F998" s="57"/>
      <c r="G998" s="57"/>
      <c r="H998" s="20"/>
      <c r="I998" s="20"/>
      <c r="J998" s="20"/>
      <c r="K998" s="20"/>
      <c r="L998" s="20"/>
      <c r="M998" s="20"/>
      <c r="N998" s="20"/>
      <c r="O998" s="20"/>
      <c r="P998" s="20"/>
      <c r="Q998" s="20"/>
      <c r="R998" s="20"/>
      <c r="S998" s="20"/>
      <c r="T998" s="20"/>
      <c r="U998" s="20"/>
      <c r="V998" s="20"/>
      <c r="W998" s="20"/>
      <c r="X998" s="20"/>
      <c r="Y998" s="20"/>
      <c r="Z998" s="20"/>
      <c r="AA998" s="20"/>
    </row>
    <row r="999" spans="1:27" ht="17.25" customHeight="1">
      <c r="A999" s="57"/>
      <c r="B999" s="57"/>
      <c r="C999" s="57"/>
      <c r="D999" s="57"/>
      <c r="E999" s="57"/>
      <c r="F999" s="57"/>
      <c r="G999" s="57"/>
      <c r="H999" s="20"/>
      <c r="I999" s="20"/>
      <c r="J999" s="20"/>
      <c r="K999" s="20"/>
      <c r="L999" s="20"/>
      <c r="M999" s="20"/>
      <c r="N999" s="20"/>
      <c r="O999" s="20"/>
      <c r="P999" s="20"/>
      <c r="Q999" s="20"/>
      <c r="R999" s="20"/>
      <c r="S999" s="20"/>
      <c r="T999" s="20"/>
      <c r="U999" s="20"/>
      <c r="V999" s="20"/>
      <c r="W999" s="20"/>
      <c r="X999" s="20"/>
      <c r="Y999" s="20"/>
      <c r="Z999" s="20"/>
      <c r="AA999" s="20"/>
    </row>
    <row r="1000" spans="1:27" ht="17.25" customHeight="1">
      <c r="A1000" s="57"/>
      <c r="B1000" s="57"/>
      <c r="C1000" s="57"/>
      <c r="D1000" s="57"/>
      <c r="E1000" s="57"/>
      <c r="F1000" s="57"/>
      <c r="G1000" s="57"/>
      <c r="H1000" s="20"/>
      <c r="I1000" s="20"/>
      <c r="J1000" s="20"/>
      <c r="K1000" s="20"/>
      <c r="L1000" s="20"/>
      <c r="M1000" s="20"/>
      <c r="N1000" s="20"/>
      <c r="O1000" s="20"/>
      <c r="P1000" s="20"/>
      <c r="Q1000" s="20"/>
      <c r="R1000" s="20"/>
      <c r="S1000" s="20"/>
      <c r="T1000" s="20"/>
      <c r="U1000" s="20"/>
      <c r="V1000" s="20"/>
      <c r="W1000" s="20"/>
      <c r="X1000" s="20"/>
      <c r="Y1000" s="20"/>
      <c r="Z1000" s="20"/>
      <c r="AA1000" s="20"/>
    </row>
  </sheetData>
  <conditionalFormatting sqref="B3:B6">
    <cfRule type="containsBlanks" dxfId="36" priority="2">
      <formula>LEN(TRIM(B3))=0</formula>
    </cfRule>
  </conditionalFormatting>
  <conditionalFormatting sqref="F3:F5 A3:E6 G3:G7 C7:E7">
    <cfRule type="containsBlanks" dxfId="35" priority="1">
      <formula>LEN(TRIM(A3))=0</formula>
    </cfRule>
  </conditionalFormatting>
  <conditionalFormatting sqref="G2">
    <cfRule type="containsBlanks" dxfId="34" priority="3">
      <formula>LEN(TRIM(G2))=0</formula>
    </cfRule>
  </conditionalFormatting>
  <dataValidations count="1">
    <dataValidation type="list" allowBlank="1" showErrorMessage="1" sqref="B3:B143" xr:uid="{00000000-0002-0000-1500-000000000000}">
      <formula1>"NaturalGas,DistrictHeating"</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1500-000001000000}">
          <x14:formula1>
            <xm:f>Drop_downs!$J$3:$J$6</xm:f>
          </x14:formula1>
          <xm:sqref>B2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sheetPr>
  <dimension ref="A1:Z1124"/>
  <sheetViews>
    <sheetView workbookViewId="0">
      <selection activeCell="A18" sqref="A18"/>
    </sheetView>
  </sheetViews>
  <sheetFormatPr baseColWidth="10" defaultColWidth="11.28515625" defaultRowHeight="15" customHeight="1"/>
  <cols>
    <col min="1" max="1" width="61.28515625" customWidth="1"/>
    <col min="2" max="2" width="29.42578125" customWidth="1"/>
    <col min="3" max="3" width="27.42578125" customWidth="1"/>
    <col min="4" max="4" width="41.28515625" customWidth="1"/>
    <col min="5" max="5" width="24.7109375" customWidth="1"/>
    <col min="6" max="26" width="8.85546875" customWidth="1"/>
  </cols>
  <sheetData>
    <row r="1" spans="1:26" ht="45.75" customHeight="1">
      <c r="A1" s="40" t="s">
        <v>4814</v>
      </c>
      <c r="B1" s="231" t="s">
        <v>5155</v>
      </c>
      <c r="C1" s="226"/>
      <c r="D1" s="226"/>
      <c r="E1" s="227"/>
      <c r="F1" s="102"/>
      <c r="G1" s="102"/>
      <c r="H1" s="20"/>
      <c r="I1" s="20"/>
      <c r="J1" s="20"/>
      <c r="K1" s="20"/>
      <c r="L1" s="20"/>
      <c r="M1" s="20"/>
      <c r="N1" s="20"/>
      <c r="O1" s="20"/>
      <c r="P1" s="20"/>
      <c r="Q1" s="20"/>
      <c r="R1" s="20"/>
      <c r="S1" s="20"/>
      <c r="T1" s="20"/>
      <c r="U1" s="20"/>
      <c r="V1" s="20"/>
      <c r="W1" s="20"/>
      <c r="X1" s="20"/>
      <c r="Y1" s="20"/>
      <c r="Z1" s="20"/>
    </row>
    <row r="2" spans="1:26" ht="17.25" customHeight="1">
      <c r="A2" s="41" t="s">
        <v>4832</v>
      </c>
      <c r="B2" s="42" t="s">
        <v>77</v>
      </c>
      <c r="C2" s="41" t="s">
        <v>78</v>
      </c>
      <c r="D2" s="43" t="s">
        <v>5156</v>
      </c>
      <c r="E2" s="44" t="s">
        <v>80</v>
      </c>
      <c r="F2" s="103"/>
      <c r="G2" s="20"/>
      <c r="H2" s="20"/>
      <c r="I2" s="20"/>
      <c r="J2" s="20"/>
      <c r="K2" s="20"/>
      <c r="L2" s="20"/>
      <c r="M2" s="20"/>
      <c r="N2" s="20"/>
      <c r="O2" s="20"/>
      <c r="P2" s="20"/>
      <c r="Q2" s="20"/>
      <c r="R2" s="20"/>
      <c r="S2" s="20"/>
      <c r="T2" s="20"/>
      <c r="U2" s="20"/>
      <c r="V2" s="20"/>
      <c r="W2" s="20"/>
      <c r="X2" s="20"/>
      <c r="Y2" s="20"/>
      <c r="Z2" s="20"/>
    </row>
    <row r="3" spans="1:26" ht="14.25" customHeight="1">
      <c r="A3" s="104"/>
      <c r="B3" s="66"/>
      <c r="C3" s="66"/>
      <c r="D3" s="66"/>
      <c r="E3" s="66"/>
      <c r="F3" s="20"/>
      <c r="G3" s="20"/>
      <c r="H3" s="20"/>
      <c r="I3" s="20"/>
      <c r="J3" s="20"/>
      <c r="K3" s="20"/>
      <c r="L3" s="20"/>
      <c r="M3" s="20"/>
      <c r="N3" s="20"/>
      <c r="O3" s="20"/>
      <c r="P3" s="20"/>
      <c r="Q3" s="20"/>
      <c r="R3" s="20"/>
      <c r="S3" s="20"/>
      <c r="T3" s="20"/>
      <c r="U3" s="20"/>
      <c r="V3" s="20"/>
      <c r="W3" s="20"/>
      <c r="X3" s="20"/>
      <c r="Y3" s="20"/>
      <c r="Z3" s="20"/>
    </row>
    <row r="4" spans="1:26" ht="17.25" customHeight="1">
      <c r="A4" s="104"/>
      <c r="B4" s="66"/>
      <c r="C4" s="66"/>
      <c r="D4" s="66"/>
      <c r="E4" s="66"/>
      <c r="F4" s="20"/>
      <c r="G4" s="20"/>
      <c r="H4" s="20"/>
      <c r="I4" s="20"/>
      <c r="J4" s="20"/>
      <c r="K4" s="20"/>
      <c r="L4" s="20"/>
      <c r="M4" s="20"/>
      <c r="N4" s="20"/>
      <c r="O4" s="20"/>
      <c r="P4" s="20"/>
      <c r="Q4" s="20"/>
      <c r="R4" s="20"/>
      <c r="S4" s="20"/>
      <c r="T4" s="20"/>
      <c r="U4" s="20"/>
      <c r="V4" s="20"/>
      <c r="W4" s="20"/>
      <c r="X4" s="20"/>
      <c r="Y4" s="20"/>
      <c r="Z4" s="20"/>
    </row>
    <row r="5" spans="1:26" ht="17.25" customHeight="1">
      <c r="A5" s="104"/>
      <c r="B5" s="66"/>
      <c r="C5" s="66"/>
      <c r="D5" s="66"/>
      <c r="E5" s="66"/>
      <c r="F5" s="20"/>
      <c r="G5" s="20"/>
      <c r="H5" s="20"/>
      <c r="I5" s="20"/>
      <c r="J5" s="20"/>
      <c r="K5" s="20"/>
      <c r="L5" s="20"/>
      <c r="M5" s="20"/>
      <c r="N5" s="20"/>
      <c r="O5" s="20"/>
      <c r="P5" s="20"/>
      <c r="Q5" s="20"/>
      <c r="R5" s="20"/>
      <c r="S5" s="20"/>
      <c r="T5" s="20"/>
      <c r="U5" s="20"/>
      <c r="V5" s="20"/>
      <c r="W5" s="20"/>
      <c r="X5" s="20"/>
      <c r="Y5" s="20"/>
      <c r="Z5" s="20"/>
    </row>
    <row r="6" spans="1:26" ht="17.25" customHeight="1">
      <c r="A6" s="104"/>
      <c r="B6" s="66"/>
      <c r="C6" s="66"/>
      <c r="D6" s="66"/>
      <c r="E6" s="66"/>
      <c r="F6" s="20"/>
      <c r="G6" s="20"/>
      <c r="H6" s="20"/>
      <c r="I6" s="20"/>
      <c r="J6" s="20"/>
      <c r="K6" s="20"/>
      <c r="L6" s="20"/>
      <c r="M6" s="20"/>
      <c r="N6" s="20"/>
      <c r="O6" s="20"/>
      <c r="P6" s="20"/>
      <c r="Q6" s="20"/>
      <c r="R6" s="20"/>
      <c r="S6" s="20"/>
      <c r="T6" s="20"/>
      <c r="U6" s="20"/>
      <c r="V6" s="20"/>
      <c r="W6" s="20"/>
      <c r="X6" s="20"/>
      <c r="Y6" s="20"/>
      <c r="Z6" s="20"/>
    </row>
    <row r="7" spans="1:26" ht="17.25" customHeight="1">
      <c r="A7" s="104"/>
      <c r="B7" s="66"/>
      <c r="C7" s="66"/>
      <c r="D7" s="66"/>
      <c r="E7" s="66"/>
      <c r="F7" s="20"/>
      <c r="G7" s="20"/>
      <c r="H7" s="20"/>
      <c r="I7" s="20"/>
      <c r="J7" s="20"/>
      <c r="K7" s="20"/>
      <c r="L7" s="20"/>
      <c r="M7" s="20"/>
      <c r="N7" s="20"/>
      <c r="O7" s="20"/>
      <c r="P7" s="20"/>
      <c r="Q7" s="20"/>
      <c r="R7" s="20"/>
      <c r="S7" s="20"/>
      <c r="T7" s="20"/>
      <c r="U7" s="20"/>
      <c r="V7" s="20"/>
      <c r="W7" s="20"/>
      <c r="X7" s="20"/>
      <c r="Y7" s="20"/>
      <c r="Z7" s="20"/>
    </row>
    <row r="8" spans="1:26" ht="17.25" customHeight="1">
      <c r="A8" s="104"/>
      <c r="B8" s="66"/>
      <c r="C8" s="66"/>
      <c r="D8" s="66"/>
      <c r="E8" s="66"/>
      <c r="F8" s="20"/>
      <c r="G8" s="20"/>
      <c r="H8" s="20"/>
      <c r="I8" s="20"/>
      <c r="J8" s="20"/>
      <c r="K8" s="20"/>
      <c r="L8" s="20"/>
      <c r="M8" s="20"/>
      <c r="N8" s="20"/>
      <c r="O8" s="20"/>
      <c r="P8" s="20"/>
      <c r="Q8" s="20"/>
      <c r="R8" s="20"/>
      <c r="S8" s="20"/>
      <c r="T8" s="20"/>
      <c r="U8" s="20"/>
      <c r="V8" s="20"/>
      <c r="W8" s="20"/>
      <c r="X8" s="20"/>
      <c r="Y8" s="20"/>
      <c r="Z8" s="20"/>
    </row>
    <row r="9" spans="1:26" ht="17.25" customHeight="1">
      <c r="A9" s="104"/>
      <c r="B9" s="66"/>
      <c r="C9" s="66"/>
      <c r="D9" s="66"/>
      <c r="E9" s="66"/>
      <c r="F9" s="20"/>
      <c r="G9" s="20"/>
      <c r="H9" s="20"/>
      <c r="I9" s="20"/>
      <c r="J9" s="20"/>
      <c r="K9" s="20"/>
      <c r="L9" s="20"/>
      <c r="M9" s="20"/>
      <c r="N9" s="20"/>
      <c r="O9" s="20"/>
      <c r="P9" s="20"/>
      <c r="Q9" s="20"/>
      <c r="R9" s="20"/>
      <c r="S9" s="20"/>
      <c r="T9" s="20"/>
      <c r="U9" s="20"/>
      <c r="V9" s="20"/>
      <c r="W9" s="20"/>
      <c r="X9" s="20"/>
      <c r="Y9" s="20"/>
      <c r="Z9" s="20"/>
    </row>
    <row r="10" spans="1:26" ht="17.25" customHeight="1">
      <c r="A10" s="104"/>
      <c r="B10" s="66"/>
      <c r="C10" s="66"/>
      <c r="D10" s="66"/>
      <c r="E10" s="66"/>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04"/>
      <c r="B11" s="66"/>
      <c r="C11" s="66"/>
      <c r="D11" s="66"/>
      <c r="E11" s="66"/>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04"/>
      <c r="B12" s="66"/>
      <c r="C12" s="66"/>
      <c r="D12" s="66"/>
      <c r="E12" s="66"/>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04"/>
      <c r="B13" s="66"/>
      <c r="C13" s="66"/>
      <c r="D13" s="66"/>
      <c r="E13" s="66"/>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04"/>
      <c r="B14" s="66"/>
      <c r="C14" s="66"/>
      <c r="D14" s="66"/>
      <c r="E14" s="66"/>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04"/>
      <c r="B15" s="66"/>
      <c r="C15" s="66"/>
      <c r="D15" s="66"/>
      <c r="E15" s="66"/>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04"/>
      <c r="B16" s="66"/>
      <c r="C16" s="66"/>
      <c r="D16" s="66"/>
      <c r="E16" s="66"/>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04"/>
      <c r="B17" s="66"/>
      <c r="C17" s="66"/>
      <c r="D17" s="66"/>
      <c r="E17" s="66"/>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04"/>
      <c r="B18" s="66"/>
      <c r="C18" s="66"/>
      <c r="D18" s="66"/>
      <c r="E18" s="66"/>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04"/>
      <c r="B19" s="66"/>
      <c r="C19" s="66"/>
      <c r="D19" s="66"/>
      <c r="E19" s="66"/>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04"/>
      <c r="B20" s="66"/>
      <c r="C20" s="66"/>
      <c r="D20" s="66"/>
      <c r="E20" s="66"/>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04"/>
      <c r="B21" s="66"/>
      <c r="C21" s="66"/>
      <c r="D21" s="66"/>
      <c r="E21" s="66"/>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04"/>
      <c r="B22" s="66"/>
      <c r="C22" s="66"/>
      <c r="D22" s="66"/>
      <c r="E22" s="66"/>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04"/>
      <c r="B23" s="66"/>
      <c r="C23" s="66"/>
      <c r="D23" s="66"/>
      <c r="E23" s="66"/>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04"/>
      <c r="B24" s="66"/>
      <c r="C24" s="66"/>
      <c r="D24" s="66"/>
      <c r="E24" s="66"/>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04"/>
      <c r="B25" s="66"/>
      <c r="C25" s="66"/>
      <c r="D25" s="66"/>
      <c r="E25" s="66"/>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04"/>
      <c r="B26" s="66"/>
      <c r="C26" s="66"/>
      <c r="D26" s="66"/>
      <c r="E26" s="66"/>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04"/>
      <c r="B27" s="66"/>
      <c r="C27" s="66"/>
      <c r="D27" s="66"/>
      <c r="E27" s="66"/>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04"/>
      <c r="B28" s="66"/>
      <c r="C28" s="66"/>
      <c r="D28" s="66"/>
      <c r="E28" s="66"/>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04"/>
      <c r="B29" s="66"/>
      <c r="C29" s="66"/>
      <c r="D29" s="66"/>
      <c r="E29" s="66"/>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04"/>
      <c r="B30" s="66"/>
      <c r="C30" s="66"/>
      <c r="D30" s="66"/>
      <c r="E30" s="66"/>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04"/>
      <c r="B31" s="66"/>
      <c r="C31" s="66"/>
      <c r="D31" s="66"/>
      <c r="E31" s="66"/>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04"/>
      <c r="B32" s="66"/>
      <c r="C32" s="66"/>
      <c r="D32" s="66"/>
      <c r="E32" s="66"/>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04"/>
      <c r="B33" s="66"/>
      <c r="C33" s="66"/>
      <c r="D33" s="66"/>
      <c r="E33" s="66"/>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04"/>
      <c r="B34" s="66"/>
      <c r="C34" s="66"/>
      <c r="D34" s="66"/>
      <c r="E34" s="66"/>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04"/>
      <c r="B35" s="66"/>
      <c r="C35" s="66"/>
      <c r="D35" s="66"/>
      <c r="E35" s="66"/>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04"/>
      <c r="B36" s="66"/>
      <c r="C36" s="66"/>
      <c r="D36" s="66"/>
      <c r="E36" s="66"/>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04"/>
      <c r="B37" s="66"/>
      <c r="C37" s="66"/>
      <c r="D37" s="66"/>
      <c r="E37" s="66"/>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04"/>
      <c r="B38" s="66"/>
      <c r="C38" s="66"/>
      <c r="D38" s="66"/>
      <c r="E38" s="66"/>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04"/>
      <c r="B39" s="66"/>
      <c r="C39" s="66"/>
      <c r="D39" s="66"/>
      <c r="E39" s="66"/>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04"/>
      <c r="B40" s="66"/>
      <c r="C40" s="66"/>
      <c r="D40" s="66"/>
      <c r="E40" s="66"/>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04"/>
      <c r="B41" s="66"/>
      <c r="C41" s="66"/>
      <c r="D41" s="66"/>
      <c r="E41" s="66"/>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04"/>
      <c r="B42" s="66"/>
      <c r="C42" s="66"/>
      <c r="D42" s="66"/>
      <c r="E42" s="66"/>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04"/>
      <c r="B43" s="66"/>
      <c r="C43" s="66"/>
      <c r="D43" s="66"/>
      <c r="E43" s="66"/>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04"/>
      <c r="B44" s="66"/>
      <c r="C44" s="66"/>
      <c r="D44" s="66"/>
      <c r="E44" s="66"/>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04"/>
      <c r="B45" s="66"/>
      <c r="C45" s="66"/>
      <c r="D45" s="66"/>
      <c r="E45" s="66"/>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04"/>
      <c r="B46" s="66"/>
      <c r="C46" s="66"/>
      <c r="D46" s="66"/>
      <c r="E46" s="66"/>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04"/>
      <c r="B47" s="66"/>
      <c r="C47" s="66"/>
      <c r="D47" s="66"/>
      <c r="E47" s="66"/>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04"/>
      <c r="B48" s="66"/>
      <c r="C48" s="66"/>
      <c r="D48" s="66"/>
      <c r="E48" s="66"/>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04"/>
      <c r="B49" s="66"/>
      <c r="C49" s="66"/>
      <c r="D49" s="66"/>
      <c r="E49" s="66"/>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04"/>
      <c r="B50" s="66"/>
      <c r="C50" s="66"/>
      <c r="D50" s="66"/>
      <c r="E50" s="66"/>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04"/>
      <c r="B51" s="66"/>
      <c r="C51" s="66"/>
      <c r="D51" s="66"/>
      <c r="E51" s="66"/>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04"/>
      <c r="B52" s="66"/>
      <c r="C52" s="66"/>
      <c r="D52" s="66"/>
      <c r="E52" s="66"/>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04"/>
      <c r="B53" s="66"/>
      <c r="C53" s="66"/>
      <c r="D53" s="66"/>
      <c r="E53" s="66"/>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04"/>
      <c r="B54" s="66"/>
      <c r="C54" s="66"/>
      <c r="D54" s="66"/>
      <c r="E54" s="66"/>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04"/>
      <c r="B55" s="66"/>
      <c r="C55" s="66"/>
      <c r="D55" s="66"/>
      <c r="E55" s="66"/>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104"/>
      <c r="B56" s="66"/>
      <c r="C56" s="66"/>
      <c r="D56" s="66"/>
      <c r="E56" s="66"/>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104"/>
      <c r="B57" s="66"/>
      <c r="C57" s="66"/>
      <c r="D57" s="66"/>
      <c r="E57" s="66"/>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104"/>
      <c r="B58" s="66"/>
      <c r="C58" s="66"/>
      <c r="D58" s="66"/>
      <c r="E58" s="66"/>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104"/>
      <c r="B59" s="66"/>
      <c r="C59" s="66"/>
      <c r="D59" s="66"/>
      <c r="E59" s="66"/>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104"/>
      <c r="B60" s="66"/>
      <c r="C60" s="66"/>
      <c r="D60" s="66"/>
      <c r="E60" s="66"/>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104"/>
      <c r="B61" s="66"/>
      <c r="C61" s="66"/>
      <c r="D61" s="66"/>
      <c r="E61" s="66"/>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104"/>
      <c r="B62" s="66"/>
      <c r="C62" s="66"/>
      <c r="D62" s="66"/>
      <c r="E62" s="66"/>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04"/>
      <c r="B63" s="66"/>
      <c r="C63" s="66"/>
      <c r="D63" s="66"/>
      <c r="E63" s="66"/>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104"/>
      <c r="B64" s="66"/>
      <c r="C64" s="66"/>
      <c r="D64" s="66"/>
      <c r="E64" s="66"/>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104"/>
      <c r="B65" s="66"/>
      <c r="C65" s="66"/>
      <c r="D65" s="66"/>
      <c r="E65" s="66"/>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104"/>
      <c r="B66" s="66"/>
      <c r="C66" s="66"/>
      <c r="D66" s="66"/>
      <c r="E66" s="66"/>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104"/>
      <c r="B67" s="66"/>
      <c r="C67" s="66"/>
      <c r="D67" s="66"/>
      <c r="E67" s="66"/>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104"/>
      <c r="B68" s="66"/>
      <c r="C68" s="66"/>
      <c r="D68" s="66"/>
      <c r="E68" s="66"/>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104"/>
      <c r="B69" s="66"/>
      <c r="C69" s="66"/>
      <c r="D69" s="66"/>
      <c r="E69" s="66"/>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104"/>
      <c r="B70" s="66"/>
      <c r="C70" s="66"/>
      <c r="D70" s="66"/>
      <c r="E70" s="66"/>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104"/>
      <c r="B71" s="66"/>
      <c r="C71" s="66"/>
      <c r="D71" s="66"/>
      <c r="E71" s="66"/>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104"/>
      <c r="B72" s="66"/>
      <c r="C72" s="66"/>
      <c r="D72" s="66"/>
      <c r="E72" s="66"/>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104"/>
      <c r="B73" s="66"/>
      <c r="C73" s="66"/>
      <c r="D73" s="66"/>
      <c r="E73" s="66"/>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104"/>
      <c r="B74" s="66"/>
      <c r="C74" s="66"/>
      <c r="D74" s="66"/>
      <c r="E74" s="66"/>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104"/>
      <c r="B75" s="66"/>
      <c r="C75" s="66"/>
      <c r="D75" s="66"/>
      <c r="E75" s="66"/>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104"/>
      <c r="B76" s="66"/>
      <c r="C76" s="66"/>
      <c r="D76" s="66"/>
      <c r="E76" s="66"/>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104"/>
      <c r="B77" s="66"/>
      <c r="C77" s="66"/>
      <c r="D77" s="66"/>
      <c r="E77" s="66"/>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104"/>
      <c r="B78" s="66"/>
      <c r="C78" s="66"/>
      <c r="D78" s="66"/>
      <c r="E78" s="66"/>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104"/>
      <c r="B79" s="66"/>
      <c r="C79" s="66"/>
      <c r="D79" s="66"/>
      <c r="E79" s="66"/>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104"/>
      <c r="B80" s="66"/>
      <c r="C80" s="66"/>
      <c r="D80" s="66"/>
      <c r="E80" s="66"/>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104"/>
      <c r="B81" s="66"/>
      <c r="C81" s="66"/>
      <c r="D81" s="66"/>
      <c r="E81" s="66"/>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104"/>
      <c r="B82" s="66"/>
      <c r="C82" s="66"/>
      <c r="D82" s="66"/>
      <c r="E82" s="66"/>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104"/>
      <c r="B83" s="66"/>
      <c r="C83" s="66"/>
      <c r="D83" s="66"/>
      <c r="E83" s="66"/>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104"/>
      <c r="B84" s="66"/>
      <c r="C84" s="66"/>
      <c r="D84" s="66"/>
      <c r="E84" s="66"/>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104"/>
      <c r="B85" s="66"/>
      <c r="C85" s="66"/>
      <c r="D85" s="66"/>
      <c r="E85" s="66"/>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104"/>
      <c r="B86" s="66"/>
      <c r="C86" s="66"/>
      <c r="D86" s="66"/>
      <c r="E86" s="66"/>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104"/>
      <c r="B87" s="66"/>
      <c r="C87" s="66"/>
      <c r="D87" s="66"/>
      <c r="E87" s="66"/>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104"/>
      <c r="B88" s="66"/>
      <c r="C88" s="66"/>
      <c r="D88" s="66"/>
      <c r="E88" s="66"/>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104"/>
      <c r="B89" s="66"/>
      <c r="C89" s="66"/>
      <c r="D89" s="66"/>
      <c r="E89" s="66"/>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104"/>
      <c r="B90" s="66"/>
      <c r="C90" s="66"/>
      <c r="D90" s="66"/>
      <c r="E90" s="66"/>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104"/>
      <c r="B91" s="66"/>
      <c r="C91" s="66"/>
      <c r="D91" s="66"/>
      <c r="E91" s="66"/>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104"/>
      <c r="B92" s="66"/>
      <c r="C92" s="66"/>
      <c r="D92" s="66"/>
      <c r="E92" s="66"/>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104"/>
      <c r="B93" s="66"/>
      <c r="C93" s="66"/>
      <c r="D93" s="66"/>
      <c r="E93" s="66"/>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104"/>
      <c r="B94" s="66"/>
      <c r="C94" s="66"/>
      <c r="D94" s="66"/>
      <c r="E94" s="66"/>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104"/>
      <c r="B95" s="66"/>
      <c r="C95" s="66"/>
      <c r="D95" s="66"/>
      <c r="E95" s="66"/>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104"/>
      <c r="B96" s="66"/>
      <c r="C96" s="66"/>
      <c r="D96" s="66"/>
      <c r="E96" s="66"/>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104"/>
      <c r="B97" s="66"/>
      <c r="C97" s="66"/>
      <c r="D97" s="66"/>
      <c r="E97" s="66"/>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104"/>
      <c r="B98" s="66"/>
      <c r="C98" s="66"/>
      <c r="D98" s="66"/>
      <c r="E98" s="66"/>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104"/>
      <c r="B99" s="66"/>
      <c r="C99" s="66"/>
      <c r="D99" s="66"/>
      <c r="E99" s="66"/>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104"/>
      <c r="B100" s="66"/>
      <c r="C100" s="66"/>
      <c r="D100" s="66"/>
      <c r="E100" s="66"/>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104"/>
      <c r="B101" s="66"/>
      <c r="C101" s="66"/>
      <c r="D101" s="66"/>
      <c r="E101" s="66"/>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104"/>
      <c r="B102" s="66"/>
      <c r="C102" s="66"/>
      <c r="D102" s="66"/>
      <c r="E102" s="66"/>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104"/>
      <c r="B103" s="66"/>
      <c r="C103" s="66"/>
      <c r="D103" s="66"/>
      <c r="E103" s="66"/>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104"/>
      <c r="B104" s="66"/>
      <c r="C104" s="66"/>
      <c r="D104" s="66"/>
      <c r="E104" s="66"/>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104"/>
      <c r="B105" s="66"/>
      <c r="C105" s="66"/>
      <c r="D105" s="66"/>
      <c r="E105" s="66"/>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104"/>
      <c r="B106" s="66"/>
      <c r="C106" s="66"/>
      <c r="D106" s="66"/>
      <c r="E106" s="66"/>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104"/>
      <c r="B107" s="66"/>
      <c r="C107" s="66"/>
      <c r="D107" s="66"/>
      <c r="E107" s="66"/>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104"/>
      <c r="B108" s="66"/>
      <c r="C108" s="66"/>
      <c r="D108" s="66"/>
      <c r="E108" s="66"/>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104"/>
      <c r="B109" s="66"/>
      <c r="C109" s="66"/>
      <c r="D109" s="66"/>
      <c r="E109" s="66"/>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104"/>
      <c r="B110" s="66"/>
      <c r="C110" s="66"/>
      <c r="D110" s="66"/>
      <c r="E110" s="66"/>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104"/>
      <c r="B111" s="66"/>
      <c r="C111" s="66"/>
      <c r="D111" s="66"/>
      <c r="E111" s="66"/>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104"/>
      <c r="B112" s="66"/>
      <c r="C112" s="66"/>
      <c r="D112" s="66"/>
      <c r="E112" s="66"/>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104"/>
      <c r="B113" s="66"/>
      <c r="C113" s="66"/>
      <c r="D113" s="66"/>
      <c r="E113" s="66"/>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104"/>
      <c r="B114" s="66"/>
      <c r="C114" s="66"/>
      <c r="D114" s="66"/>
      <c r="E114" s="66"/>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104"/>
      <c r="B115" s="66"/>
      <c r="C115" s="66"/>
      <c r="D115" s="66"/>
      <c r="E115" s="66"/>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104"/>
      <c r="B116" s="66"/>
      <c r="C116" s="66"/>
      <c r="D116" s="66"/>
      <c r="E116" s="66"/>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104"/>
      <c r="B117" s="66"/>
      <c r="C117" s="66"/>
      <c r="D117" s="66"/>
      <c r="E117" s="66"/>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104"/>
      <c r="B118" s="66"/>
      <c r="C118" s="66"/>
      <c r="D118" s="66"/>
      <c r="E118" s="66"/>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104"/>
      <c r="B119" s="66"/>
      <c r="C119" s="66"/>
      <c r="D119" s="66"/>
      <c r="E119" s="66"/>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104"/>
      <c r="B120" s="66"/>
      <c r="C120" s="66"/>
      <c r="D120" s="66"/>
      <c r="E120" s="66"/>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104"/>
      <c r="B121" s="66"/>
      <c r="C121" s="66"/>
      <c r="D121" s="66"/>
      <c r="E121" s="66"/>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104"/>
      <c r="B122" s="66"/>
      <c r="C122" s="66"/>
      <c r="D122" s="66"/>
      <c r="E122" s="66"/>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104"/>
      <c r="B123" s="66"/>
      <c r="C123" s="66"/>
      <c r="D123" s="66"/>
      <c r="E123" s="66"/>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104"/>
      <c r="B124" s="66"/>
      <c r="C124" s="66"/>
      <c r="D124" s="66"/>
      <c r="E124" s="66"/>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104"/>
      <c r="B125" s="66"/>
      <c r="C125" s="66"/>
      <c r="D125" s="66"/>
      <c r="E125" s="66"/>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104"/>
      <c r="B126" s="66"/>
      <c r="C126" s="66"/>
      <c r="D126" s="66"/>
      <c r="E126" s="66"/>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104"/>
      <c r="B127" s="66"/>
      <c r="C127" s="66"/>
      <c r="D127" s="66"/>
      <c r="E127" s="66"/>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104"/>
      <c r="B128" s="66"/>
      <c r="C128" s="66"/>
      <c r="D128" s="66"/>
      <c r="E128" s="66"/>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104"/>
      <c r="B129" s="66"/>
      <c r="C129" s="66"/>
      <c r="D129" s="66"/>
      <c r="E129" s="66"/>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104"/>
      <c r="B130" s="66"/>
      <c r="C130" s="66"/>
      <c r="D130" s="66"/>
      <c r="E130" s="66"/>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104"/>
      <c r="B131" s="66"/>
      <c r="C131" s="66"/>
      <c r="D131" s="66"/>
      <c r="E131" s="66"/>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104"/>
      <c r="B132" s="66"/>
      <c r="C132" s="66"/>
      <c r="D132" s="66"/>
      <c r="E132" s="66"/>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104"/>
      <c r="B133" s="66"/>
      <c r="C133" s="66"/>
      <c r="D133" s="66"/>
      <c r="E133" s="66"/>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104"/>
      <c r="B134" s="66"/>
      <c r="C134" s="66"/>
      <c r="D134" s="66"/>
      <c r="E134" s="66"/>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104"/>
      <c r="B135" s="66"/>
      <c r="C135" s="66"/>
      <c r="D135" s="66"/>
      <c r="E135" s="66"/>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104"/>
      <c r="B136" s="66"/>
      <c r="C136" s="66"/>
      <c r="D136" s="66"/>
      <c r="E136" s="66"/>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104"/>
      <c r="B137" s="66"/>
      <c r="C137" s="66"/>
      <c r="D137" s="66"/>
      <c r="E137" s="66"/>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104"/>
      <c r="B138" s="66"/>
      <c r="C138" s="66"/>
      <c r="D138" s="66"/>
      <c r="E138" s="66"/>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104"/>
      <c r="B139" s="66"/>
      <c r="C139" s="66"/>
      <c r="D139" s="66"/>
      <c r="E139" s="66"/>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104"/>
      <c r="B140" s="66"/>
      <c r="C140" s="66"/>
      <c r="D140" s="66"/>
      <c r="E140" s="66"/>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104"/>
      <c r="B141" s="66"/>
      <c r="C141" s="66"/>
      <c r="D141" s="66"/>
      <c r="E141" s="66"/>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104"/>
      <c r="B142" s="66"/>
      <c r="C142" s="66"/>
      <c r="D142" s="66"/>
      <c r="E142" s="66"/>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104"/>
      <c r="B143" s="66"/>
      <c r="C143" s="66"/>
      <c r="D143" s="66"/>
      <c r="E143" s="66"/>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104"/>
      <c r="B144" s="66"/>
      <c r="C144" s="66"/>
      <c r="D144" s="66"/>
      <c r="E144" s="66"/>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104"/>
      <c r="B145" s="66"/>
      <c r="C145" s="66"/>
      <c r="D145" s="66"/>
      <c r="E145" s="66"/>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104"/>
      <c r="B146" s="66"/>
      <c r="C146" s="66"/>
      <c r="D146" s="66"/>
      <c r="E146" s="66"/>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104"/>
      <c r="B147" s="66"/>
      <c r="C147" s="66"/>
      <c r="D147" s="66"/>
      <c r="E147" s="66"/>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104"/>
      <c r="B148" s="66"/>
      <c r="C148" s="66"/>
      <c r="D148" s="66"/>
      <c r="E148" s="66"/>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104"/>
      <c r="B149" s="66"/>
      <c r="C149" s="66"/>
      <c r="D149" s="66"/>
      <c r="E149" s="66"/>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104"/>
      <c r="B150" s="66"/>
      <c r="C150" s="66"/>
      <c r="D150" s="66"/>
      <c r="E150" s="66"/>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104"/>
      <c r="B151" s="66"/>
      <c r="C151" s="66"/>
      <c r="D151" s="66"/>
      <c r="E151" s="66"/>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104"/>
      <c r="B152" s="66"/>
      <c r="C152" s="66"/>
      <c r="D152" s="66"/>
      <c r="E152" s="66"/>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104"/>
      <c r="B153" s="66"/>
      <c r="C153" s="66"/>
      <c r="D153" s="66"/>
      <c r="E153" s="66"/>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104"/>
      <c r="B154" s="66"/>
      <c r="C154" s="66"/>
      <c r="D154" s="66"/>
      <c r="E154" s="66"/>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104"/>
      <c r="B155" s="66"/>
      <c r="C155" s="66"/>
      <c r="D155" s="66"/>
      <c r="E155" s="66"/>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104"/>
      <c r="B156" s="66"/>
      <c r="C156" s="66"/>
      <c r="D156" s="66"/>
      <c r="E156" s="66"/>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104"/>
      <c r="B157" s="66"/>
      <c r="C157" s="66"/>
      <c r="D157" s="66"/>
      <c r="E157" s="66"/>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104"/>
      <c r="B158" s="66"/>
      <c r="C158" s="66"/>
      <c r="D158" s="66"/>
      <c r="E158" s="66"/>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104"/>
      <c r="B159" s="66"/>
      <c r="C159" s="66"/>
      <c r="D159" s="66"/>
      <c r="E159" s="66"/>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104"/>
      <c r="B160" s="66"/>
      <c r="C160" s="66"/>
      <c r="D160" s="66"/>
      <c r="E160" s="66"/>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104"/>
      <c r="B161" s="66"/>
      <c r="C161" s="66"/>
      <c r="D161" s="66"/>
      <c r="E161" s="66"/>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104"/>
      <c r="B162" s="66"/>
      <c r="C162" s="66"/>
      <c r="D162" s="66"/>
      <c r="E162" s="66"/>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104"/>
      <c r="B163" s="66"/>
      <c r="C163" s="66"/>
      <c r="D163" s="66"/>
      <c r="E163" s="66"/>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104"/>
      <c r="B164" s="66"/>
      <c r="C164" s="66"/>
      <c r="D164" s="66"/>
      <c r="E164" s="66"/>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104"/>
      <c r="B165" s="66"/>
      <c r="C165" s="66"/>
      <c r="D165" s="66"/>
      <c r="E165" s="66"/>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104"/>
      <c r="B166" s="66"/>
      <c r="C166" s="66"/>
      <c r="D166" s="66"/>
      <c r="E166" s="66"/>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104"/>
      <c r="B167" s="66"/>
      <c r="C167" s="66"/>
      <c r="D167" s="66"/>
      <c r="E167" s="66"/>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104"/>
      <c r="B168" s="66"/>
      <c r="C168" s="66"/>
      <c r="D168" s="66"/>
      <c r="E168" s="66"/>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104"/>
      <c r="B169" s="66"/>
      <c r="C169" s="66"/>
      <c r="D169" s="66"/>
      <c r="E169" s="66"/>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104"/>
      <c r="B170" s="66"/>
      <c r="C170" s="66"/>
      <c r="D170" s="66"/>
      <c r="E170" s="66"/>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104"/>
      <c r="B171" s="66"/>
      <c r="C171" s="66"/>
      <c r="D171" s="66"/>
      <c r="E171" s="66"/>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104"/>
      <c r="B172" s="66"/>
      <c r="C172" s="66"/>
      <c r="D172" s="66"/>
      <c r="E172" s="66"/>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104"/>
      <c r="B173" s="66"/>
      <c r="C173" s="66"/>
      <c r="D173" s="66"/>
      <c r="E173" s="66"/>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104"/>
      <c r="B174" s="66"/>
      <c r="C174" s="66"/>
      <c r="D174" s="66"/>
      <c r="E174" s="66"/>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104"/>
      <c r="B175" s="66"/>
      <c r="C175" s="66"/>
      <c r="D175" s="66"/>
      <c r="E175" s="66"/>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104"/>
      <c r="B176" s="66"/>
      <c r="C176" s="66"/>
      <c r="D176" s="66"/>
      <c r="E176" s="66"/>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104"/>
      <c r="B177" s="66"/>
      <c r="C177" s="66"/>
      <c r="D177" s="66"/>
      <c r="E177" s="66"/>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104"/>
      <c r="B178" s="66"/>
      <c r="C178" s="66"/>
      <c r="D178" s="66"/>
      <c r="E178" s="66"/>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104"/>
      <c r="B179" s="66"/>
      <c r="C179" s="66"/>
      <c r="D179" s="66"/>
      <c r="E179" s="66"/>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104"/>
      <c r="B180" s="66"/>
      <c r="C180" s="66"/>
      <c r="D180" s="66"/>
      <c r="E180" s="66"/>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104"/>
      <c r="B181" s="66"/>
      <c r="C181" s="66"/>
      <c r="D181" s="66"/>
      <c r="E181" s="66"/>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104"/>
      <c r="B182" s="66"/>
      <c r="C182" s="66"/>
      <c r="D182" s="66"/>
      <c r="E182" s="66"/>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104"/>
      <c r="B183" s="66"/>
      <c r="C183" s="66"/>
      <c r="D183" s="66"/>
      <c r="E183" s="66"/>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104"/>
      <c r="B184" s="66"/>
      <c r="C184" s="66"/>
      <c r="D184" s="66"/>
      <c r="E184" s="66"/>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104"/>
      <c r="B185" s="66"/>
      <c r="C185" s="66"/>
      <c r="D185" s="66"/>
      <c r="E185" s="66"/>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104"/>
      <c r="B186" s="66"/>
      <c r="C186" s="66"/>
      <c r="D186" s="66"/>
      <c r="E186" s="66"/>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104"/>
      <c r="B187" s="66"/>
      <c r="C187" s="66"/>
      <c r="D187" s="66"/>
      <c r="E187" s="66"/>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104"/>
      <c r="B188" s="66"/>
      <c r="C188" s="66"/>
      <c r="D188" s="66"/>
      <c r="E188" s="66"/>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104"/>
      <c r="B189" s="66"/>
      <c r="C189" s="66"/>
      <c r="D189" s="66"/>
      <c r="E189" s="66"/>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104"/>
      <c r="B190" s="66"/>
      <c r="C190" s="66"/>
      <c r="D190" s="66"/>
      <c r="E190" s="66"/>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104"/>
      <c r="B191" s="66"/>
      <c r="C191" s="66"/>
      <c r="D191" s="66"/>
      <c r="E191" s="66"/>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104"/>
      <c r="B192" s="66"/>
      <c r="C192" s="66"/>
      <c r="D192" s="66"/>
      <c r="E192" s="66"/>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104"/>
      <c r="B193" s="66"/>
      <c r="C193" s="66"/>
      <c r="D193" s="66"/>
      <c r="E193" s="66"/>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104"/>
      <c r="B194" s="66"/>
      <c r="C194" s="66"/>
      <c r="D194" s="66"/>
      <c r="E194" s="66"/>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104"/>
      <c r="B195" s="66"/>
      <c r="C195" s="66"/>
      <c r="D195" s="66"/>
      <c r="E195" s="66"/>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104"/>
      <c r="B196" s="66"/>
      <c r="C196" s="66"/>
      <c r="D196" s="66"/>
      <c r="E196" s="66"/>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104"/>
      <c r="B197" s="66"/>
      <c r="C197" s="66"/>
      <c r="D197" s="66"/>
      <c r="E197" s="66"/>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104"/>
      <c r="B198" s="66"/>
      <c r="C198" s="66"/>
      <c r="D198" s="66"/>
      <c r="E198" s="66"/>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104"/>
      <c r="B199" s="66"/>
      <c r="C199" s="66"/>
      <c r="D199" s="66"/>
      <c r="E199" s="66"/>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104"/>
      <c r="B200" s="66"/>
      <c r="C200" s="66"/>
      <c r="D200" s="66"/>
      <c r="E200" s="66"/>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104"/>
      <c r="B201" s="66"/>
      <c r="C201" s="66"/>
      <c r="D201" s="66"/>
      <c r="E201" s="66"/>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104"/>
      <c r="B202" s="66"/>
      <c r="C202" s="66"/>
      <c r="D202" s="66"/>
      <c r="E202" s="66"/>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104"/>
      <c r="B203" s="66"/>
      <c r="C203" s="66"/>
      <c r="D203" s="66"/>
      <c r="E203" s="66"/>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104"/>
      <c r="B204" s="66"/>
      <c r="C204" s="66"/>
      <c r="D204" s="66"/>
      <c r="E204" s="66"/>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104"/>
      <c r="B205" s="66"/>
      <c r="C205" s="66"/>
      <c r="D205" s="66"/>
      <c r="E205" s="66"/>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104"/>
      <c r="B206" s="66"/>
      <c r="C206" s="66"/>
      <c r="D206" s="66"/>
      <c r="E206" s="66"/>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104"/>
      <c r="B207" s="66"/>
      <c r="C207" s="66"/>
      <c r="D207" s="66"/>
      <c r="E207" s="66"/>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104"/>
      <c r="B208" s="66"/>
      <c r="C208" s="66"/>
      <c r="D208" s="66"/>
      <c r="E208" s="66"/>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104"/>
      <c r="B209" s="66"/>
      <c r="C209" s="66"/>
      <c r="D209" s="66"/>
      <c r="E209" s="66"/>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104"/>
      <c r="B210" s="66"/>
      <c r="C210" s="66"/>
      <c r="D210" s="66"/>
      <c r="E210" s="66"/>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104"/>
      <c r="B211" s="66"/>
      <c r="C211" s="66"/>
      <c r="D211" s="66"/>
      <c r="E211" s="66"/>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104"/>
      <c r="B212" s="66"/>
      <c r="C212" s="66"/>
      <c r="D212" s="66"/>
      <c r="E212" s="66"/>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104"/>
      <c r="B213" s="66"/>
      <c r="C213" s="66"/>
      <c r="D213" s="66"/>
      <c r="E213" s="66"/>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104"/>
      <c r="B214" s="66"/>
      <c r="C214" s="66"/>
      <c r="D214" s="66"/>
      <c r="E214" s="66"/>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104"/>
      <c r="B215" s="66"/>
      <c r="C215" s="66"/>
      <c r="D215" s="66"/>
      <c r="E215" s="66"/>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104"/>
      <c r="B216" s="66"/>
      <c r="C216" s="66"/>
      <c r="D216" s="66"/>
      <c r="E216" s="66"/>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104"/>
      <c r="B217" s="66"/>
      <c r="C217" s="66"/>
      <c r="D217" s="66"/>
      <c r="E217" s="66"/>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104"/>
      <c r="B218" s="66"/>
      <c r="C218" s="66"/>
      <c r="D218" s="66"/>
      <c r="E218" s="66"/>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104"/>
      <c r="B219" s="66"/>
      <c r="C219" s="66"/>
      <c r="D219" s="66"/>
      <c r="E219" s="66"/>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104"/>
      <c r="B220" s="66"/>
      <c r="C220" s="66"/>
      <c r="D220" s="66"/>
      <c r="E220" s="66"/>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104"/>
      <c r="B221" s="66"/>
      <c r="C221" s="66"/>
      <c r="D221" s="66"/>
      <c r="E221" s="66"/>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104"/>
      <c r="B222" s="66"/>
      <c r="C222" s="66"/>
      <c r="D222" s="66"/>
      <c r="E222" s="66"/>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104"/>
      <c r="B223" s="66"/>
      <c r="C223" s="66"/>
      <c r="D223" s="66"/>
      <c r="E223" s="66"/>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104"/>
      <c r="B224" s="66"/>
      <c r="C224" s="66"/>
      <c r="D224" s="66"/>
      <c r="E224" s="66"/>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104"/>
      <c r="B225" s="66"/>
      <c r="C225" s="66"/>
      <c r="D225" s="66"/>
      <c r="E225" s="66"/>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104"/>
      <c r="B226" s="66"/>
      <c r="C226" s="66"/>
      <c r="D226" s="66"/>
      <c r="E226" s="66"/>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104"/>
      <c r="B227" s="66"/>
      <c r="C227" s="66"/>
      <c r="D227" s="66"/>
      <c r="E227" s="66"/>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104"/>
      <c r="B228" s="66"/>
      <c r="C228" s="66"/>
      <c r="D228" s="66"/>
      <c r="E228" s="66"/>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104"/>
      <c r="B229" s="66"/>
      <c r="C229" s="66"/>
      <c r="D229" s="66"/>
      <c r="E229" s="66"/>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104"/>
      <c r="B230" s="66"/>
      <c r="C230" s="66"/>
      <c r="D230" s="66"/>
      <c r="E230" s="66"/>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104"/>
      <c r="B231" s="66"/>
      <c r="C231" s="66"/>
      <c r="D231" s="66"/>
      <c r="E231" s="66"/>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104"/>
      <c r="B232" s="66"/>
      <c r="C232" s="66"/>
      <c r="D232" s="66"/>
      <c r="E232" s="66"/>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104"/>
      <c r="B233" s="66"/>
      <c r="C233" s="66"/>
      <c r="D233" s="66"/>
      <c r="E233" s="66"/>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104"/>
      <c r="B234" s="66"/>
      <c r="C234" s="66"/>
      <c r="D234" s="66"/>
      <c r="E234" s="66"/>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104"/>
      <c r="B235" s="66"/>
      <c r="C235" s="66"/>
      <c r="D235" s="66"/>
      <c r="E235" s="66"/>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104"/>
      <c r="B236" s="66"/>
      <c r="C236" s="66"/>
      <c r="D236" s="66"/>
      <c r="E236" s="66"/>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104"/>
      <c r="B237" s="66"/>
      <c r="C237" s="66"/>
      <c r="D237" s="66"/>
      <c r="E237" s="66"/>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104"/>
      <c r="B238" s="66"/>
      <c r="C238" s="66"/>
      <c r="D238" s="66"/>
      <c r="E238" s="66"/>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104"/>
      <c r="B239" s="66"/>
      <c r="C239" s="66"/>
      <c r="D239" s="66"/>
      <c r="E239" s="66"/>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104"/>
      <c r="B240" s="66"/>
      <c r="C240" s="66"/>
      <c r="D240" s="66"/>
      <c r="E240" s="66"/>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104"/>
      <c r="B241" s="66"/>
      <c r="C241" s="66"/>
      <c r="D241" s="66"/>
      <c r="E241" s="66"/>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104"/>
      <c r="B242" s="66"/>
      <c r="C242" s="66"/>
      <c r="D242" s="66"/>
      <c r="E242" s="66"/>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104"/>
      <c r="B243" s="66"/>
      <c r="C243" s="66"/>
      <c r="D243" s="66"/>
      <c r="E243" s="66"/>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104"/>
      <c r="B244" s="66"/>
      <c r="C244" s="66"/>
      <c r="D244" s="66"/>
      <c r="E244" s="66"/>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104"/>
      <c r="B245" s="66"/>
      <c r="C245" s="66"/>
      <c r="D245" s="66"/>
      <c r="E245" s="66"/>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104"/>
      <c r="B246" s="66"/>
      <c r="C246" s="66"/>
      <c r="D246" s="66"/>
      <c r="E246" s="66"/>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104"/>
      <c r="B247" s="66"/>
      <c r="C247" s="66"/>
      <c r="D247" s="66"/>
      <c r="E247" s="66"/>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104"/>
      <c r="B248" s="66"/>
      <c r="C248" s="66"/>
      <c r="D248" s="66"/>
      <c r="E248" s="66"/>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104"/>
      <c r="B249" s="66"/>
      <c r="C249" s="66"/>
      <c r="D249" s="66"/>
      <c r="E249" s="66"/>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104"/>
      <c r="B250" s="66"/>
      <c r="C250" s="66"/>
      <c r="D250" s="66"/>
      <c r="E250" s="66"/>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104"/>
      <c r="B251" s="66"/>
      <c r="C251" s="66"/>
      <c r="D251" s="66"/>
      <c r="E251" s="66"/>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104"/>
      <c r="B252" s="66"/>
      <c r="C252" s="66"/>
      <c r="D252" s="66"/>
      <c r="E252" s="66"/>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104"/>
      <c r="B253" s="66"/>
      <c r="C253" s="66"/>
      <c r="D253" s="66"/>
      <c r="E253" s="66"/>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104"/>
      <c r="B254" s="66"/>
      <c r="C254" s="66"/>
      <c r="D254" s="66"/>
      <c r="E254" s="66"/>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104"/>
      <c r="B255" s="66"/>
      <c r="C255" s="66"/>
      <c r="D255" s="66"/>
      <c r="E255" s="66"/>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104"/>
      <c r="B256" s="66"/>
      <c r="C256" s="66"/>
      <c r="D256" s="66"/>
      <c r="E256" s="66"/>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104"/>
      <c r="B257" s="66"/>
      <c r="C257" s="66"/>
      <c r="D257" s="66"/>
      <c r="E257" s="66"/>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104"/>
      <c r="B258" s="66"/>
      <c r="C258" s="66"/>
      <c r="D258" s="66"/>
      <c r="E258" s="66"/>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104"/>
      <c r="B259" s="66"/>
      <c r="C259" s="66"/>
      <c r="D259" s="66"/>
      <c r="E259" s="66"/>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104"/>
      <c r="B260" s="66"/>
      <c r="C260" s="66"/>
      <c r="D260" s="66"/>
      <c r="E260" s="66"/>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104"/>
      <c r="B261" s="66"/>
      <c r="C261" s="66"/>
      <c r="D261" s="66"/>
      <c r="E261" s="66"/>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104"/>
      <c r="B262" s="66"/>
      <c r="C262" s="66"/>
      <c r="D262" s="66"/>
      <c r="E262" s="66"/>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104"/>
      <c r="B263" s="66"/>
      <c r="C263" s="66"/>
      <c r="D263" s="66"/>
      <c r="E263" s="66"/>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104"/>
      <c r="B264" s="66"/>
      <c r="C264" s="66"/>
      <c r="D264" s="66"/>
      <c r="E264" s="66"/>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104"/>
      <c r="B265" s="66"/>
      <c r="C265" s="66"/>
      <c r="D265" s="66"/>
      <c r="E265" s="66"/>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104"/>
      <c r="B266" s="66"/>
      <c r="C266" s="66"/>
      <c r="D266" s="66"/>
      <c r="E266" s="66"/>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104"/>
      <c r="B267" s="66"/>
      <c r="C267" s="66"/>
      <c r="D267" s="66"/>
      <c r="E267" s="66"/>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104"/>
      <c r="B268" s="66"/>
      <c r="C268" s="66"/>
      <c r="D268" s="66"/>
      <c r="E268" s="66"/>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104"/>
      <c r="B269" s="66"/>
      <c r="C269" s="66"/>
      <c r="D269" s="66"/>
      <c r="E269" s="66"/>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104"/>
      <c r="B270" s="66"/>
      <c r="C270" s="66"/>
      <c r="D270" s="66"/>
      <c r="E270" s="66"/>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104"/>
      <c r="B271" s="66"/>
      <c r="C271" s="66"/>
      <c r="D271" s="66"/>
      <c r="E271" s="66"/>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104"/>
      <c r="B272" s="66"/>
      <c r="C272" s="66"/>
      <c r="D272" s="66"/>
      <c r="E272" s="66"/>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104"/>
      <c r="B273" s="66"/>
      <c r="C273" s="66"/>
      <c r="D273" s="66"/>
      <c r="E273" s="66"/>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104"/>
      <c r="B274" s="66"/>
      <c r="C274" s="66"/>
      <c r="D274" s="66"/>
      <c r="E274" s="66"/>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104"/>
      <c r="B275" s="66"/>
      <c r="C275" s="66"/>
      <c r="D275" s="66"/>
      <c r="E275" s="66"/>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104"/>
      <c r="B276" s="66"/>
      <c r="C276" s="66"/>
      <c r="D276" s="66"/>
      <c r="E276" s="66"/>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104"/>
      <c r="B277" s="66"/>
      <c r="C277" s="66"/>
      <c r="D277" s="66"/>
      <c r="E277" s="66"/>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104"/>
      <c r="B278" s="66"/>
      <c r="C278" s="66"/>
      <c r="D278" s="66"/>
      <c r="E278" s="66"/>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104"/>
      <c r="B279" s="66"/>
      <c r="C279" s="66"/>
      <c r="D279" s="66"/>
      <c r="E279" s="66"/>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104"/>
      <c r="B280" s="66"/>
      <c r="C280" s="66"/>
      <c r="D280" s="66"/>
      <c r="E280" s="66"/>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104"/>
      <c r="B281" s="66"/>
      <c r="C281" s="66"/>
      <c r="D281" s="66"/>
      <c r="E281" s="66"/>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104"/>
      <c r="B282" s="66"/>
      <c r="C282" s="66"/>
      <c r="D282" s="66"/>
      <c r="E282" s="66"/>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104"/>
      <c r="B283" s="66"/>
      <c r="C283" s="66"/>
      <c r="D283" s="66"/>
      <c r="E283" s="66"/>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104"/>
      <c r="B284" s="66"/>
      <c r="C284" s="66"/>
      <c r="D284" s="66"/>
      <c r="E284" s="66"/>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104"/>
      <c r="B285" s="66"/>
      <c r="C285" s="66"/>
      <c r="D285" s="66"/>
      <c r="E285" s="66"/>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104"/>
      <c r="B286" s="66"/>
      <c r="C286" s="66"/>
      <c r="D286" s="66"/>
      <c r="E286" s="66"/>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104"/>
      <c r="B287" s="66"/>
      <c r="C287" s="66"/>
      <c r="D287" s="66"/>
      <c r="E287" s="66"/>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104"/>
      <c r="B288" s="66"/>
      <c r="C288" s="66"/>
      <c r="D288" s="66"/>
      <c r="E288" s="66"/>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104"/>
      <c r="B289" s="66"/>
      <c r="C289" s="66"/>
      <c r="D289" s="66"/>
      <c r="E289" s="66"/>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104"/>
      <c r="B290" s="66"/>
      <c r="C290" s="66"/>
      <c r="D290" s="66"/>
      <c r="E290" s="66"/>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104"/>
      <c r="B291" s="66"/>
      <c r="C291" s="66"/>
      <c r="D291" s="66"/>
      <c r="E291" s="66"/>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104"/>
      <c r="B292" s="66"/>
      <c r="C292" s="66"/>
      <c r="D292" s="66"/>
      <c r="E292" s="66"/>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104"/>
      <c r="B293" s="66"/>
      <c r="C293" s="66"/>
      <c r="D293" s="66"/>
      <c r="E293" s="66"/>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104"/>
      <c r="B294" s="66"/>
      <c r="C294" s="66"/>
      <c r="D294" s="66"/>
      <c r="E294" s="66"/>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104"/>
      <c r="B295" s="66"/>
      <c r="C295" s="66"/>
      <c r="D295" s="66"/>
      <c r="E295" s="66"/>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104"/>
      <c r="B296" s="66"/>
      <c r="C296" s="66"/>
      <c r="D296" s="66"/>
      <c r="E296" s="66"/>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104"/>
      <c r="B297" s="66"/>
      <c r="C297" s="66"/>
      <c r="D297" s="66"/>
      <c r="E297" s="66"/>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104"/>
      <c r="B298" s="66"/>
      <c r="C298" s="66"/>
      <c r="D298" s="66"/>
      <c r="E298" s="66"/>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104"/>
      <c r="B299" s="66"/>
      <c r="C299" s="66"/>
      <c r="D299" s="66"/>
      <c r="E299" s="66"/>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104"/>
      <c r="B300" s="66"/>
      <c r="C300" s="66"/>
      <c r="D300" s="66"/>
      <c r="E300" s="66"/>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104"/>
      <c r="B301" s="66"/>
      <c r="C301" s="66"/>
      <c r="D301" s="66"/>
      <c r="E301" s="66"/>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104"/>
      <c r="B302" s="66"/>
      <c r="C302" s="66"/>
      <c r="D302" s="66"/>
      <c r="E302" s="66"/>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104"/>
      <c r="B303" s="66"/>
      <c r="C303" s="66"/>
      <c r="D303" s="66"/>
      <c r="E303" s="66"/>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104"/>
      <c r="B304" s="66"/>
      <c r="C304" s="66"/>
      <c r="D304" s="66"/>
      <c r="E304" s="66"/>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104"/>
      <c r="B305" s="66"/>
      <c r="C305" s="66"/>
      <c r="D305" s="66"/>
      <c r="E305" s="66"/>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104"/>
      <c r="B306" s="66"/>
      <c r="C306" s="66"/>
      <c r="D306" s="66"/>
      <c r="E306" s="66"/>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104"/>
      <c r="B307" s="66"/>
      <c r="C307" s="66"/>
      <c r="D307" s="66"/>
      <c r="E307" s="66"/>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104"/>
      <c r="B308" s="66"/>
      <c r="C308" s="66"/>
      <c r="D308" s="66"/>
      <c r="E308" s="66"/>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104"/>
      <c r="B309" s="66"/>
      <c r="C309" s="66"/>
      <c r="D309" s="66"/>
      <c r="E309" s="66"/>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104"/>
      <c r="B310" s="66"/>
      <c r="C310" s="66"/>
      <c r="D310" s="66"/>
      <c r="E310" s="66"/>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104"/>
      <c r="B311" s="66"/>
      <c r="C311" s="66"/>
      <c r="D311" s="66"/>
      <c r="E311" s="66"/>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104"/>
      <c r="B312" s="66"/>
      <c r="C312" s="66"/>
      <c r="D312" s="66"/>
      <c r="E312" s="66"/>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104"/>
      <c r="B313" s="66"/>
      <c r="C313" s="66"/>
      <c r="D313" s="66"/>
      <c r="E313" s="66"/>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104"/>
      <c r="B314" s="66"/>
      <c r="C314" s="66"/>
      <c r="D314" s="66"/>
      <c r="E314" s="66"/>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104"/>
      <c r="B315" s="66"/>
      <c r="C315" s="66"/>
      <c r="D315" s="66"/>
      <c r="E315" s="66"/>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104"/>
      <c r="B316" s="66"/>
      <c r="C316" s="66"/>
      <c r="D316" s="66"/>
      <c r="E316" s="66"/>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104"/>
      <c r="B317" s="66"/>
      <c r="C317" s="66"/>
      <c r="D317" s="66"/>
      <c r="E317" s="66"/>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104"/>
      <c r="B318" s="66"/>
      <c r="C318" s="66"/>
      <c r="D318" s="66"/>
      <c r="E318" s="66"/>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104"/>
      <c r="B319" s="66"/>
      <c r="C319" s="66"/>
      <c r="D319" s="66"/>
      <c r="E319" s="66"/>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104"/>
      <c r="B320" s="66"/>
      <c r="C320" s="66"/>
      <c r="D320" s="66"/>
      <c r="E320" s="66"/>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104"/>
      <c r="B321" s="66"/>
      <c r="C321" s="66"/>
      <c r="D321" s="66"/>
      <c r="E321" s="66"/>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104"/>
      <c r="B322" s="66"/>
      <c r="C322" s="66"/>
      <c r="D322" s="66"/>
      <c r="E322" s="66"/>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104"/>
      <c r="B323" s="66"/>
      <c r="C323" s="66"/>
      <c r="D323" s="66"/>
      <c r="E323" s="66"/>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104"/>
      <c r="B324" s="66"/>
      <c r="C324" s="66"/>
      <c r="D324" s="66"/>
      <c r="E324" s="66"/>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104"/>
      <c r="B325" s="66"/>
      <c r="C325" s="66"/>
      <c r="D325" s="66"/>
      <c r="E325" s="66"/>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104"/>
      <c r="B326" s="66"/>
      <c r="C326" s="66"/>
      <c r="D326" s="66"/>
      <c r="E326" s="66"/>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104"/>
      <c r="B327" s="66"/>
      <c r="C327" s="66"/>
      <c r="D327" s="66"/>
      <c r="E327" s="66"/>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104"/>
      <c r="B328" s="66"/>
      <c r="C328" s="66"/>
      <c r="D328" s="66"/>
      <c r="E328" s="66"/>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104"/>
      <c r="B329" s="66"/>
      <c r="C329" s="66"/>
      <c r="D329" s="66"/>
      <c r="E329" s="66"/>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104"/>
      <c r="B330" s="66"/>
      <c r="C330" s="66"/>
      <c r="D330" s="66"/>
      <c r="E330" s="66"/>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104"/>
      <c r="B331" s="66"/>
      <c r="C331" s="66"/>
      <c r="D331" s="66"/>
      <c r="E331" s="66"/>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104"/>
      <c r="B332" s="66"/>
      <c r="C332" s="66"/>
      <c r="D332" s="66"/>
      <c r="E332" s="66"/>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104"/>
      <c r="B333" s="66"/>
      <c r="C333" s="66"/>
      <c r="D333" s="66"/>
      <c r="E333" s="66"/>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104"/>
      <c r="B334" s="66"/>
      <c r="C334" s="66"/>
      <c r="D334" s="66"/>
      <c r="E334" s="66"/>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104"/>
      <c r="B335" s="66"/>
      <c r="C335" s="66"/>
      <c r="D335" s="66"/>
      <c r="E335" s="66"/>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104"/>
      <c r="B336" s="66"/>
      <c r="C336" s="66"/>
      <c r="D336" s="66"/>
      <c r="E336" s="66"/>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104"/>
      <c r="B337" s="66"/>
      <c r="C337" s="66"/>
      <c r="D337" s="66"/>
      <c r="E337" s="66"/>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104"/>
      <c r="B338" s="66"/>
      <c r="C338" s="66"/>
      <c r="D338" s="66"/>
      <c r="E338" s="66"/>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104"/>
      <c r="B339" s="66"/>
      <c r="C339" s="66"/>
      <c r="D339" s="66"/>
      <c r="E339" s="66"/>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104"/>
      <c r="B340" s="66"/>
      <c r="C340" s="66"/>
      <c r="D340" s="66"/>
      <c r="E340" s="66"/>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104"/>
      <c r="B341" s="66"/>
      <c r="C341" s="66"/>
      <c r="D341" s="66"/>
      <c r="E341" s="66"/>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104"/>
      <c r="B342" s="66"/>
      <c r="C342" s="66"/>
      <c r="D342" s="66"/>
      <c r="E342" s="66"/>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104"/>
      <c r="B343" s="66"/>
      <c r="C343" s="66"/>
      <c r="D343" s="66"/>
      <c r="E343" s="66"/>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104"/>
      <c r="B344" s="66"/>
      <c r="C344" s="66"/>
      <c r="D344" s="66"/>
      <c r="E344" s="66"/>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104"/>
      <c r="B345" s="66"/>
      <c r="C345" s="66"/>
      <c r="D345" s="66"/>
      <c r="E345" s="66"/>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104"/>
      <c r="B346" s="66"/>
      <c r="C346" s="66"/>
      <c r="D346" s="66"/>
      <c r="E346" s="66"/>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104"/>
      <c r="B347" s="66"/>
      <c r="C347" s="66"/>
      <c r="D347" s="66"/>
      <c r="E347" s="66"/>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104"/>
      <c r="B348" s="66"/>
      <c r="C348" s="66"/>
      <c r="D348" s="66"/>
      <c r="E348" s="66"/>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104"/>
      <c r="B349" s="66"/>
      <c r="C349" s="66"/>
      <c r="D349" s="66"/>
      <c r="E349" s="66"/>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104"/>
      <c r="B350" s="66"/>
      <c r="C350" s="66"/>
      <c r="D350" s="66"/>
      <c r="E350" s="66"/>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104"/>
      <c r="B351" s="66"/>
      <c r="C351" s="66"/>
      <c r="D351" s="66"/>
      <c r="E351" s="66"/>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104"/>
      <c r="B352" s="66"/>
      <c r="C352" s="66"/>
      <c r="D352" s="66"/>
      <c r="E352" s="66"/>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104"/>
      <c r="B353" s="66"/>
      <c r="C353" s="66"/>
      <c r="D353" s="66"/>
      <c r="E353" s="66"/>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104"/>
      <c r="B354" s="66"/>
      <c r="C354" s="66"/>
      <c r="D354" s="66"/>
      <c r="E354" s="66"/>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104"/>
      <c r="B355" s="66"/>
      <c r="C355" s="66"/>
      <c r="D355" s="66"/>
      <c r="E355" s="66"/>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104"/>
      <c r="B356" s="66"/>
      <c r="C356" s="66"/>
      <c r="D356" s="66"/>
      <c r="E356" s="66"/>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104"/>
      <c r="B357" s="66"/>
      <c r="C357" s="66"/>
      <c r="D357" s="66"/>
      <c r="E357" s="66"/>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104"/>
      <c r="B358" s="66"/>
      <c r="C358" s="66"/>
      <c r="D358" s="66"/>
      <c r="E358" s="66"/>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104"/>
      <c r="B359" s="66"/>
      <c r="C359" s="66"/>
      <c r="D359" s="66"/>
      <c r="E359" s="66"/>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104"/>
      <c r="B360" s="66"/>
      <c r="C360" s="66"/>
      <c r="D360" s="66"/>
      <c r="E360" s="66"/>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104"/>
      <c r="B361" s="66"/>
      <c r="C361" s="66"/>
      <c r="D361" s="66"/>
      <c r="E361" s="66"/>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104"/>
      <c r="B362" s="66"/>
      <c r="C362" s="66"/>
      <c r="D362" s="66"/>
      <c r="E362" s="66"/>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104"/>
      <c r="B363" s="66"/>
      <c r="C363" s="66"/>
      <c r="D363" s="66"/>
      <c r="E363" s="66"/>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104"/>
      <c r="B364" s="66"/>
      <c r="C364" s="66"/>
      <c r="D364" s="66"/>
      <c r="E364" s="66"/>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104"/>
      <c r="B365" s="66"/>
      <c r="C365" s="66"/>
      <c r="D365" s="66"/>
      <c r="E365" s="66"/>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104"/>
      <c r="B366" s="66"/>
      <c r="C366" s="66"/>
      <c r="D366" s="66"/>
      <c r="E366" s="66"/>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104"/>
      <c r="B367" s="66"/>
      <c r="C367" s="66"/>
      <c r="D367" s="66"/>
      <c r="E367" s="66"/>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104"/>
      <c r="B368" s="66"/>
      <c r="C368" s="66"/>
      <c r="D368" s="66"/>
      <c r="E368" s="66"/>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104"/>
      <c r="B369" s="66"/>
      <c r="C369" s="66"/>
      <c r="D369" s="66"/>
      <c r="E369" s="66"/>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104"/>
      <c r="B370" s="66"/>
      <c r="C370" s="66"/>
      <c r="D370" s="66"/>
      <c r="E370" s="66"/>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104"/>
      <c r="B371" s="66"/>
      <c r="C371" s="66"/>
      <c r="D371" s="66"/>
      <c r="E371" s="66"/>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104"/>
      <c r="B372" s="66"/>
      <c r="C372" s="66"/>
      <c r="D372" s="66"/>
      <c r="E372" s="66"/>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104"/>
      <c r="B373" s="66"/>
      <c r="C373" s="66"/>
      <c r="D373" s="66"/>
      <c r="E373" s="66"/>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104"/>
      <c r="B374" s="66"/>
      <c r="C374" s="66"/>
      <c r="D374" s="66"/>
      <c r="E374" s="66"/>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104"/>
      <c r="B375" s="66"/>
      <c r="C375" s="66"/>
      <c r="D375" s="66"/>
      <c r="E375" s="66"/>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104"/>
      <c r="B376" s="66"/>
      <c r="C376" s="66"/>
      <c r="D376" s="66"/>
      <c r="E376" s="66"/>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104"/>
      <c r="B377" s="66"/>
      <c r="C377" s="66"/>
      <c r="D377" s="66"/>
      <c r="E377" s="66"/>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104"/>
      <c r="B378" s="66"/>
      <c r="C378" s="66"/>
      <c r="D378" s="66"/>
      <c r="E378" s="66"/>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104"/>
      <c r="B379" s="66"/>
      <c r="C379" s="66"/>
      <c r="D379" s="66"/>
      <c r="E379" s="66"/>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104"/>
      <c r="B380" s="66"/>
      <c r="C380" s="66"/>
      <c r="D380" s="66"/>
      <c r="E380" s="66"/>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104"/>
      <c r="B381" s="66"/>
      <c r="C381" s="66"/>
      <c r="D381" s="66"/>
      <c r="E381" s="66"/>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104"/>
      <c r="B382" s="66"/>
      <c r="C382" s="66"/>
      <c r="D382" s="66"/>
      <c r="E382" s="66"/>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104"/>
      <c r="B383" s="66"/>
      <c r="C383" s="66"/>
      <c r="D383" s="66"/>
      <c r="E383" s="66"/>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104"/>
      <c r="B384" s="66"/>
      <c r="C384" s="66"/>
      <c r="D384" s="66"/>
      <c r="E384" s="66"/>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104"/>
      <c r="B385" s="66"/>
      <c r="C385" s="66"/>
      <c r="D385" s="66"/>
      <c r="E385" s="66"/>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104"/>
      <c r="B386" s="66"/>
      <c r="C386" s="66"/>
      <c r="D386" s="66"/>
      <c r="E386" s="66"/>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104"/>
      <c r="B387" s="66"/>
      <c r="C387" s="66"/>
      <c r="D387" s="66"/>
      <c r="E387" s="66"/>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104"/>
      <c r="B388" s="66"/>
      <c r="C388" s="66"/>
      <c r="D388" s="66"/>
      <c r="E388" s="66"/>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104"/>
      <c r="B389" s="66"/>
      <c r="C389" s="66"/>
      <c r="D389" s="66"/>
      <c r="E389" s="66"/>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104"/>
      <c r="B390" s="66"/>
      <c r="C390" s="66"/>
      <c r="D390" s="66"/>
      <c r="E390" s="66"/>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104"/>
      <c r="B391" s="66"/>
      <c r="C391" s="66"/>
      <c r="D391" s="66"/>
      <c r="E391" s="66"/>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104"/>
      <c r="B392" s="66"/>
      <c r="C392" s="66"/>
      <c r="D392" s="66"/>
      <c r="E392" s="66"/>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104"/>
      <c r="B393" s="66"/>
      <c r="C393" s="66"/>
      <c r="D393" s="66"/>
      <c r="E393" s="66"/>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104"/>
      <c r="B394" s="66"/>
      <c r="C394" s="66"/>
      <c r="D394" s="66"/>
      <c r="E394" s="66"/>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104"/>
      <c r="B395" s="66"/>
      <c r="C395" s="66"/>
      <c r="D395" s="66"/>
      <c r="E395" s="66"/>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104"/>
      <c r="B396" s="66"/>
      <c r="C396" s="66"/>
      <c r="D396" s="66"/>
      <c r="E396" s="66"/>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104"/>
      <c r="B397" s="66"/>
      <c r="C397" s="66"/>
      <c r="D397" s="66"/>
      <c r="E397" s="66"/>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104"/>
      <c r="B398" s="66"/>
      <c r="C398" s="66"/>
      <c r="D398" s="66"/>
      <c r="E398" s="66"/>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104"/>
      <c r="B399" s="66"/>
      <c r="C399" s="66"/>
      <c r="D399" s="66"/>
      <c r="E399" s="66"/>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104"/>
      <c r="B400" s="66"/>
      <c r="C400" s="66"/>
      <c r="D400" s="66"/>
      <c r="E400" s="66"/>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104"/>
      <c r="B401" s="66"/>
      <c r="C401" s="66"/>
      <c r="D401" s="66"/>
      <c r="E401" s="66"/>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104"/>
      <c r="B402" s="66"/>
      <c r="C402" s="66"/>
      <c r="D402" s="66"/>
      <c r="E402" s="66"/>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104"/>
      <c r="B403" s="66"/>
      <c r="C403" s="66"/>
      <c r="D403" s="66"/>
      <c r="E403" s="66"/>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104"/>
      <c r="B404" s="66"/>
      <c r="C404" s="66"/>
      <c r="D404" s="66"/>
      <c r="E404" s="66"/>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104"/>
      <c r="B405" s="66"/>
      <c r="C405" s="66"/>
      <c r="D405" s="66"/>
      <c r="E405" s="66"/>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104"/>
      <c r="B406" s="66"/>
      <c r="C406" s="66"/>
      <c r="D406" s="66"/>
      <c r="E406" s="66"/>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104"/>
      <c r="B407" s="66"/>
      <c r="C407" s="66"/>
      <c r="D407" s="66"/>
      <c r="E407" s="66"/>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104"/>
      <c r="B408" s="66"/>
      <c r="C408" s="66"/>
      <c r="D408" s="66"/>
      <c r="E408" s="66"/>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104"/>
      <c r="B409" s="66"/>
      <c r="C409" s="66"/>
      <c r="D409" s="66"/>
      <c r="E409" s="66"/>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104"/>
      <c r="B410" s="66"/>
      <c r="C410" s="66"/>
      <c r="D410" s="66"/>
      <c r="E410" s="66"/>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104"/>
      <c r="B411" s="66"/>
      <c r="C411" s="66"/>
      <c r="D411" s="66"/>
      <c r="E411" s="66"/>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104"/>
      <c r="B412" s="66"/>
      <c r="C412" s="66"/>
      <c r="D412" s="66"/>
      <c r="E412" s="66"/>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104"/>
      <c r="B413" s="66"/>
      <c r="C413" s="66"/>
      <c r="D413" s="66"/>
      <c r="E413" s="66"/>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104"/>
      <c r="B414" s="66"/>
      <c r="C414" s="66"/>
      <c r="D414" s="66"/>
      <c r="E414" s="66"/>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104"/>
      <c r="B415" s="66"/>
      <c r="C415" s="66"/>
      <c r="D415" s="66"/>
      <c r="E415" s="66"/>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104"/>
      <c r="B416" s="66"/>
      <c r="C416" s="66"/>
      <c r="D416" s="66"/>
      <c r="E416" s="66"/>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104"/>
      <c r="B417" s="66"/>
      <c r="C417" s="66"/>
      <c r="D417" s="66"/>
      <c r="E417" s="66"/>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104"/>
      <c r="B418" s="66"/>
      <c r="C418" s="66"/>
      <c r="D418" s="66"/>
      <c r="E418" s="66"/>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104"/>
      <c r="B419" s="66"/>
      <c r="C419" s="66"/>
      <c r="D419" s="66"/>
      <c r="E419" s="66"/>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104"/>
      <c r="B420" s="66"/>
      <c r="C420" s="66"/>
      <c r="D420" s="66"/>
      <c r="E420" s="66"/>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104"/>
      <c r="B421" s="66"/>
      <c r="C421" s="66"/>
      <c r="D421" s="66"/>
      <c r="E421" s="66"/>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104"/>
      <c r="B422" s="66"/>
      <c r="C422" s="66"/>
      <c r="D422" s="66"/>
      <c r="E422" s="66"/>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104"/>
      <c r="B423" s="66"/>
      <c r="C423" s="66"/>
      <c r="D423" s="66"/>
      <c r="E423" s="66"/>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104"/>
      <c r="B424" s="66"/>
      <c r="C424" s="66"/>
      <c r="D424" s="66"/>
      <c r="E424" s="66"/>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104"/>
      <c r="B425" s="66"/>
      <c r="C425" s="66"/>
      <c r="D425" s="66"/>
      <c r="E425" s="66"/>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104"/>
      <c r="B426" s="66"/>
      <c r="C426" s="66"/>
      <c r="D426" s="66"/>
      <c r="E426" s="66"/>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104"/>
      <c r="B427" s="66"/>
      <c r="C427" s="66"/>
      <c r="D427" s="66"/>
      <c r="E427" s="66"/>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104"/>
      <c r="B428" s="66"/>
      <c r="C428" s="66"/>
      <c r="D428" s="66"/>
      <c r="E428" s="66"/>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104"/>
      <c r="B429" s="66"/>
      <c r="C429" s="66"/>
      <c r="D429" s="66"/>
      <c r="E429" s="66"/>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104"/>
      <c r="B430" s="66"/>
      <c r="C430" s="66"/>
      <c r="D430" s="66"/>
      <c r="E430" s="66"/>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104"/>
      <c r="B431" s="66"/>
      <c r="C431" s="66"/>
      <c r="D431" s="66"/>
      <c r="E431" s="66"/>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104"/>
      <c r="B432" s="66"/>
      <c r="C432" s="66"/>
      <c r="D432" s="66"/>
      <c r="E432" s="66"/>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104"/>
      <c r="B433" s="66"/>
      <c r="C433" s="66"/>
      <c r="D433" s="66"/>
      <c r="E433" s="66"/>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104"/>
      <c r="B434" s="66"/>
      <c r="C434" s="66"/>
      <c r="D434" s="66"/>
      <c r="E434" s="66"/>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104"/>
      <c r="B435" s="66"/>
      <c r="C435" s="66"/>
      <c r="D435" s="66"/>
      <c r="E435" s="66"/>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104"/>
      <c r="B436" s="66"/>
      <c r="C436" s="66"/>
      <c r="D436" s="66"/>
      <c r="E436" s="66"/>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104"/>
      <c r="B437" s="66"/>
      <c r="C437" s="66"/>
      <c r="D437" s="66"/>
      <c r="E437" s="66"/>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104"/>
      <c r="B438" s="66"/>
      <c r="C438" s="66"/>
      <c r="D438" s="66"/>
      <c r="E438" s="66"/>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104"/>
      <c r="B439" s="66"/>
      <c r="C439" s="66"/>
      <c r="D439" s="66"/>
      <c r="E439" s="66"/>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104"/>
      <c r="B440" s="66"/>
      <c r="C440" s="66"/>
      <c r="D440" s="66"/>
      <c r="E440" s="66"/>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104"/>
      <c r="B441" s="66"/>
      <c r="C441" s="66"/>
      <c r="D441" s="66"/>
      <c r="E441" s="66"/>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104"/>
      <c r="B442" s="66"/>
      <c r="C442" s="66"/>
      <c r="D442" s="66"/>
      <c r="E442" s="66"/>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104"/>
      <c r="B443" s="66"/>
      <c r="C443" s="66"/>
      <c r="D443" s="66"/>
      <c r="E443" s="66"/>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104"/>
      <c r="B444" s="66"/>
      <c r="C444" s="66"/>
      <c r="D444" s="66"/>
      <c r="E444" s="66"/>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104"/>
      <c r="B445" s="66"/>
      <c r="C445" s="66"/>
      <c r="D445" s="66"/>
      <c r="E445" s="66"/>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104"/>
      <c r="B446" s="66"/>
      <c r="C446" s="66"/>
      <c r="D446" s="66"/>
      <c r="E446" s="66"/>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104"/>
      <c r="B447" s="66"/>
      <c r="C447" s="66"/>
      <c r="D447" s="66"/>
      <c r="E447" s="66"/>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104"/>
      <c r="B448" s="66"/>
      <c r="C448" s="66"/>
      <c r="D448" s="66"/>
      <c r="E448" s="66"/>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104"/>
      <c r="B449" s="66"/>
      <c r="C449" s="66"/>
      <c r="D449" s="66"/>
      <c r="E449" s="66"/>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104"/>
      <c r="B450" s="66"/>
      <c r="C450" s="66"/>
      <c r="D450" s="66"/>
      <c r="E450" s="66"/>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104"/>
      <c r="B451" s="66"/>
      <c r="C451" s="66"/>
      <c r="D451" s="66"/>
      <c r="E451" s="66"/>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104"/>
      <c r="B452" s="66"/>
      <c r="C452" s="66"/>
      <c r="D452" s="66"/>
      <c r="E452" s="66"/>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104"/>
      <c r="B453" s="66"/>
      <c r="C453" s="66"/>
      <c r="D453" s="66"/>
      <c r="E453" s="66"/>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104"/>
      <c r="B454" s="66"/>
      <c r="C454" s="66"/>
      <c r="D454" s="66"/>
      <c r="E454" s="66"/>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104"/>
      <c r="B455" s="66"/>
      <c r="C455" s="66"/>
      <c r="D455" s="66"/>
      <c r="E455" s="66"/>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104"/>
      <c r="B456" s="66"/>
      <c r="C456" s="66"/>
      <c r="D456" s="66"/>
      <c r="E456" s="66"/>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104"/>
      <c r="B457" s="66"/>
      <c r="C457" s="66"/>
      <c r="D457" s="66"/>
      <c r="E457" s="66"/>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104"/>
      <c r="B458" s="66"/>
      <c r="C458" s="66"/>
      <c r="D458" s="66"/>
      <c r="E458" s="66"/>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104"/>
      <c r="B459" s="66"/>
      <c r="C459" s="66"/>
      <c r="D459" s="66"/>
      <c r="E459" s="66"/>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104"/>
      <c r="B460" s="66"/>
      <c r="C460" s="66"/>
      <c r="D460" s="66"/>
      <c r="E460" s="66"/>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104"/>
      <c r="B461" s="66"/>
      <c r="C461" s="66"/>
      <c r="D461" s="66"/>
      <c r="E461" s="66"/>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104"/>
      <c r="B462" s="66"/>
      <c r="C462" s="66"/>
      <c r="D462" s="66"/>
      <c r="E462" s="66"/>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104"/>
      <c r="B463" s="66"/>
      <c r="C463" s="66"/>
      <c r="D463" s="66"/>
      <c r="E463" s="66"/>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104"/>
      <c r="B464" s="66"/>
      <c r="C464" s="66"/>
      <c r="D464" s="66"/>
      <c r="E464" s="66"/>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104"/>
      <c r="B465" s="66"/>
      <c r="C465" s="66"/>
      <c r="D465" s="66"/>
      <c r="E465" s="66"/>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104"/>
      <c r="B466" s="66"/>
      <c r="C466" s="66"/>
      <c r="D466" s="66"/>
      <c r="E466" s="66"/>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104"/>
      <c r="B467" s="66"/>
      <c r="C467" s="66"/>
      <c r="D467" s="66"/>
      <c r="E467" s="66"/>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104"/>
      <c r="B468" s="66"/>
      <c r="C468" s="66"/>
      <c r="D468" s="66"/>
      <c r="E468" s="66"/>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104"/>
      <c r="B469" s="66"/>
      <c r="C469" s="66"/>
      <c r="D469" s="66"/>
      <c r="E469" s="66"/>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104"/>
      <c r="B470" s="66"/>
      <c r="C470" s="66"/>
      <c r="D470" s="66"/>
      <c r="E470" s="66"/>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104"/>
      <c r="B471" s="66"/>
      <c r="C471" s="66"/>
      <c r="D471" s="66"/>
      <c r="E471" s="66"/>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104"/>
      <c r="B472" s="66"/>
      <c r="C472" s="66"/>
      <c r="D472" s="66"/>
      <c r="E472" s="66"/>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104"/>
      <c r="B473" s="66"/>
      <c r="C473" s="66"/>
      <c r="D473" s="66"/>
      <c r="E473" s="66"/>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104"/>
      <c r="B474" s="66"/>
      <c r="C474" s="66"/>
      <c r="D474" s="66"/>
      <c r="E474" s="66"/>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104"/>
      <c r="B475" s="66"/>
      <c r="C475" s="66"/>
      <c r="D475" s="66"/>
      <c r="E475" s="66"/>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104"/>
      <c r="B476" s="66"/>
      <c r="C476" s="66"/>
      <c r="D476" s="66"/>
      <c r="E476" s="66"/>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104"/>
      <c r="B477" s="66"/>
      <c r="C477" s="66"/>
      <c r="D477" s="66"/>
      <c r="E477" s="66"/>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104"/>
      <c r="B478" s="66"/>
      <c r="C478" s="66"/>
      <c r="D478" s="66"/>
      <c r="E478" s="66"/>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104"/>
      <c r="B479" s="66"/>
      <c r="C479" s="66"/>
      <c r="D479" s="66"/>
      <c r="E479" s="66"/>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104"/>
      <c r="B480" s="66"/>
      <c r="C480" s="66"/>
      <c r="D480" s="66"/>
      <c r="E480" s="66"/>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104"/>
      <c r="B481" s="66"/>
      <c r="C481" s="66"/>
      <c r="D481" s="66"/>
      <c r="E481" s="66"/>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104"/>
      <c r="B482" s="66"/>
      <c r="C482" s="66"/>
      <c r="D482" s="66"/>
      <c r="E482" s="66"/>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104"/>
      <c r="B483" s="66"/>
      <c r="C483" s="66"/>
      <c r="D483" s="66"/>
      <c r="E483" s="66"/>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104"/>
      <c r="B484" s="66"/>
      <c r="C484" s="66"/>
      <c r="D484" s="66"/>
      <c r="E484" s="66"/>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104"/>
      <c r="B485" s="66"/>
      <c r="C485" s="66"/>
      <c r="D485" s="66"/>
      <c r="E485" s="66"/>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104"/>
      <c r="B486" s="66"/>
      <c r="C486" s="66"/>
      <c r="D486" s="66"/>
      <c r="E486" s="66"/>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104"/>
      <c r="B487" s="66"/>
      <c r="C487" s="66"/>
      <c r="D487" s="66"/>
      <c r="E487" s="66"/>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104"/>
      <c r="B488" s="66"/>
      <c r="C488" s="66"/>
      <c r="D488" s="66"/>
      <c r="E488" s="66"/>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104"/>
      <c r="B489" s="66"/>
      <c r="C489" s="66"/>
      <c r="D489" s="66"/>
      <c r="E489" s="66"/>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104"/>
      <c r="B490" s="66"/>
      <c r="C490" s="66"/>
      <c r="D490" s="66"/>
      <c r="E490" s="66"/>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104"/>
      <c r="B491" s="66"/>
      <c r="C491" s="66"/>
      <c r="D491" s="66"/>
      <c r="E491" s="66"/>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104"/>
      <c r="B492" s="66"/>
      <c r="C492" s="66"/>
      <c r="D492" s="66"/>
      <c r="E492" s="66"/>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104"/>
      <c r="B493" s="66"/>
      <c r="C493" s="66"/>
      <c r="D493" s="66"/>
      <c r="E493" s="66"/>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104"/>
      <c r="B494" s="66"/>
      <c r="C494" s="66"/>
      <c r="D494" s="66"/>
      <c r="E494" s="66"/>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104"/>
      <c r="B495" s="66"/>
      <c r="C495" s="66"/>
      <c r="D495" s="66"/>
      <c r="E495" s="66"/>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104"/>
      <c r="B496" s="66"/>
      <c r="C496" s="66"/>
      <c r="D496" s="66"/>
      <c r="E496" s="66"/>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104"/>
      <c r="B497" s="66"/>
      <c r="C497" s="66"/>
      <c r="D497" s="66"/>
      <c r="E497" s="66"/>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104"/>
      <c r="B498" s="66"/>
      <c r="C498" s="66"/>
      <c r="D498" s="66"/>
      <c r="E498" s="66"/>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104"/>
      <c r="B499" s="66"/>
      <c r="C499" s="66"/>
      <c r="D499" s="66"/>
      <c r="E499" s="66"/>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104"/>
      <c r="B500" s="66"/>
      <c r="C500" s="66"/>
      <c r="D500" s="66"/>
      <c r="E500" s="66"/>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104"/>
      <c r="B501" s="66"/>
      <c r="C501" s="66"/>
      <c r="D501" s="66"/>
      <c r="E501" s="66"/>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104"/>
      <c r="B502" s="66"/>
      <c r="C502" s="66"/>
      <c r="D502" s="66"/>
      <c r="E502" s="66"/>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104"/>
      <c r="B503" s="66"/>
      <c r="C503" s="66"/>
      <c r="D503" s="66"/>
      <c r="E503" s="66"/>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104"/>
      <c r="B504" s="66"/>
      <c r="C504" s="66"/>
      <c r="D504" s="66"/>
      <c r="E504" s="66"/>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104"/>
      <c r="B505" s="66"/>
      <c r="C505" s="66"/>
      <c r="D505" s="66"/>
      <c r="E505" s="66"/>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104"/>
      <c r="B506" s="66"/>
      <c r="C506" s="66"/>
      <c r="D506" s="66"/>
      <c r="E506" s="66"/>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104"/>
      <c r="B507" s="66"/>
      <c r="C507" s="66"/>
      <c r="D507" s="66"/>
      <c r="E507" s="66"/>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104"/>
      <c r="B508" s="66"/>
      <c r="C508" s="66"/>
      <c r="D508" s="66"/>
      <c r="E508" s="66"/>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104"/>
      <c r="B509" s="66"/>
      <c r="C509" s="66"/>
      <c r="D509" s="66"/>
      <c r="E509" s="66"/>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104"/>
      <c r="B510" s="66"/>
      <c r="C510" s="66"/>
      <c r="D510" s="66"/>
      <c r="E510" s="66"/>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104"/>
      <c r="B511" s="66"/>
      <c r="C511" s="66"/>
      <c r="D511" s="66"/>
      <c r="E511" s="66"/>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104"/>
      <c r="B512" s="66"/>
      <c r="C512" s="66"/>
      <c r="D512" s="66"/>
      <c r="E512" s="66"/>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104"/>
      <c r="B513" s="66"/>
      <c r="C513" s="66"/>
      <c r="D513" s="66"/>
      <c r="E513" s="66"/>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104"/>
      <c r="B514" s="66"/>
      <c r="C514" s="66"/>
      <c r="D514" s="66"/>
      <c r="E514" s="66"/>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104"/>
      <c r="B515" s="66"/>
      <c r="C515" s="66"/>
      <c r="D515" s="66"/>
      <c r="E515" s="66"/>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104"/>
      <c r="B516" s="66"/>
      <c r="C516" s="66"/>
      <c r="D516" s="66"/>
      <c r="E516" s="66"/>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104"/>
      <c r="B517" s="66"/>
      <c r="C517" s="66"/>
      <c r="D517" s="66"/>
      <c r="E517" s="66"/>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104"/>
      <c r="B518" s="66"/>
      <c r="C518" s="66"/>
      <c r="D518" s="66"/>
      <c r="E518" s="66"/>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104"/>
      <c r="B519" s="66"/>
      <c r="C519" s="66"/>
      <c r="D519" s="66"/>
      <c r="E519" s="66"/>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104"/>
      <c r="B520" s="66"/>
      <c r="C520" s="66"/>
      <c r="D520" s="66"/>
      <c r="E520" s="66"/>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104"/>
      <c r="B521" s="66"/>
      <c r="C521" s="66"/>
      <c r="D521" s="66"/>
      <c r="E521" s="66"/>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104"/>
      <c r="B522" s="66"/>
      <c r="C522" s="66"/>
      <c r="D522" s="66"/>
      <c r="E522" s="66"/>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104"/>
      <c r="B523" s="66"/>
      <c r="C523" s="66"/>
      <c r="D523" s="66"/>
      <c r="E523" s="66"/>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104"/>
      <c r="B524" s="66"/>
      <c r="C524" s="66"/>
      <c r="D524" s="66"/>
      <c r="E524" s="66"/>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104"/>
      <c r="B525" s="66"/>
      <c r="C525" s="66"/>
      <c r="D525" s="66"/>
      <c r="E525" s="66"/>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104"/>
      <c r="B526" s="66"/>
      <c r="C526" s="66"/>
      <c r="D526" s="66"/>
      <c r="E526" s="66"/>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104"/>
      <c r="B527" s="66"/>
      <c r="C527" s="66"/>
      <c r="D527" s="66"/>
      <c r="E527" s="66"/>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104"/>
      <c r="B528" s="66"/>
      <c r="C528" s="66"/>
      <c r="D528" s="66"/>
      <c r="E528" s="66"/>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104"/>
      <c r="B529" s="66"/>
      <c r="C529" s="66"/>
      <c r="D529" s="66"/>
      <c r="E529" s="66"/>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104"/>
      <c r="B530" s="66"/>
      <c r="C530" s="66"/>
      <c r="D530" s="66"/>
      <c r="E530" s="66"/>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104"/>
      <c r="B531" s="66"/>
      <c r="C531" s="66"/>
      <c r="D531" s="66"/>
      <c r="E531" s="66"/>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104"/>
      <c r="B532" s="66"/>
      <c r="C532" s="66"/>
      <c r="D532" s="66"/>
      <c r="E532" s="66"/>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104"/>
      <c r="B533" s="66"/>
      <c r="C533" s="66"/>
      <c r="D533" s="66"/>
      <c r="E533" s="66"/>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104"/>
      <c r="B534" s="66"/>
      <c r="C534" s="66"/>
      <c r="D534" s="66"/>
      <c r="E534" s="66"/>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104"/>
      <c r="B535" s="66"/>
      <c r="C535" s="66"/>
      <c r="D535" s="66"/>
      <c r="E535" s="66"/>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104"/>
      <c r="B536" s="66"/>
      <c r="C536" s="66"/>
      <c r="D536" s="66"/>
      <c r="E536" s="66"/>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104"/>
      <c r="B537" s="66"/>
      <c r="C537" s="66"/>
      <c r="D537" s="66"/>
      <c r="E537" s="66"/>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104"/>
      <c r="B538" s="66"/>
      <c r="C538" s="66"/>
      <c r="D538" s="66"/>
      <c r="E538" s="66"/>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104"/>
      <c r="B539" s="66"/>
      <c r="C539" s="66"/>
      <c r="D539" s="66"/>
      <c r="E539" s="66"/>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104"/>
      <c r="B540" s="66"/>
      <c r="C540" s="66"/>
      <c r="D540" s="66"/>
      <c r="E540" s="66"/>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104"/>
      <c r="B541" s="66"/>
      <c r="C541" s="66"/>
      <c r="D541" s="66"/>
      <c r="E541" s="66"/>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104"/>
      <c r="B542" s="66"/>
      <c r="C542" s="66"/>
      <c r="D542" s="66"/>
      <c r="E542" s="66"/>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104"/>
      <c r="B543" s="66"/>
      <c r="C543" s="66"/>
      <c r="D543" s="66"/>
      <c r="E543" s="66"/>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104"/>
      <c r="B544" s="66"/>
      <c r="C544" s="66"/>
      <c r="D544" s="66"/>
      <c r="E544" s="66"/>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104"/>
      <c r="B545" s="66"/>
      <c r="C545" s="66"/>
      <c r="D545" s="66"/>
      <c r="E545" s="66"/>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104"/>
      <c r="B546" s="66"/>
      <c r="C546" s="66"/>
      <c r="D546" s="66"/>
      <c r="E546" s="66"/>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104"/>
      <c r="B547" s="66"/>
      <c r="C547" s="66"/>
      <c r="D547" s="66"/>
      <c r="E547" s="66"/>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104"/>
      <c r="B548" s="66"/>
      <c r="C548" s="66"/>
      <c r="D548" s="66"/>
      <c r="E548" s="66"/>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104"/>
      <c r="B549" s="66"/>
      <c r="C549" s="66"/>
      <c r="D549" s="66"/>
      <c r="E549" s="66"/>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104"/>
      <c r="B550" s="66"/>
      <c r="C550" s="66"/>
      <c r="D550" s="66"/>
      <c r="E550" s="66"/>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104"/>
      <c r="B551" s="66"/>
      <c r="C551" s="66"/>
      <c r="D551" s="66"/>
      <c r="E551" s="66"/>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104"/>
      <c r="B552" s="66"/>
      <c r="C552" s="66"/>
      <c r="D552" s="66"/>
      <c r="E552" s="66"/>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104"/>
      <c r="B553" s="66"/>
      <c r="C553" s="66"/>
      <c r="D553" s="66"/>
      <c r="E553" s="66"/>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104"/>
      <c r="B554" s="66"/>
      <c r="C554" s="66"/>
      <c r="D554" s="66"/>
      <c r="E554" s="66"/>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104"/>
      <c r="B555" s="66"/>
      <c r="C555" s="66"/>
      <c r="D555" s="66"/>
      <c r="E555" s="66"/>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104"/>
      <c r="B556" s="66"/>
      <c r="C556" s="66"/>
      <c r="D556" s="66"/>
      <c r="E556" s="66"/>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104"/>
      <c r="B557" s="66"/>
      <c r="C557" s="66"/>
      <c r="D557" s="66"/>
      <c r="E557" s="66"/>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104"/>
      <c r="B558" s="66"/>
      <c r="C558" s="66"/>
      <c r="D558" s="66"/>
      <c r="E558" s="66"/>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104"/>
      <c r="B559" s="66"/>
      <c r="C559" s="66"/>
      <c r="D559" s="66"/>
      <c r="E559" s="66"/>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104"/>
      <c r="B560" s="66"/>
      <c r="C560" s="66"/>
      <c r="D560" s="66"/>
      <c r="E560" s="66"/>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104"/>
      <c r="B561" s="66"/>
      <c r="C561" s="66"/>
      <c r="D561" s="66"/>
      <c r="E561" s="66"/>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104"/>
      <c r="B562" s="66"/>
      <c r="C562" s="66"/>
      <c r="D562" s="66"/>
      <c r="E562" s="66"/>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104"/>
      <c r="B563" s="66"/>
      <c r="C563" s="66"/>
      <c r="D563" s="66"/>
      <c r="E563" s="66"/>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104"/>
      <c r="B564" s="66"/>
      <c r="C564" s="66"/>
      <c r="D564" s="66"/>
      <c r="E564" s="66"/>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104"/>
      <c r="B565" s="66"/>
      <c r="C565" s="66"/>
      <c r="D565" s="66"/>
      <c r="E565" s="66"/>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104"/>
      <c r="B566" s="66"/>
      <c r="C566" s="66"/>
      <c r="D566" s="66"/>
      <c r="E566" s="66"/>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104"/>
      <c r="B567" s="66"/>
      <c r="C567" s="66"/>
      <c r="D567" s="66"/>
      <c r="E567" s="66"/>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104"/>
      <c r="B568" s="66"/>
      <c r="C568" s="66"/>
      <c r="D568" s="66"/>
      <c r="E568" s="66"/>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104"/>
      <c r="B569" s="66"/>
      <c r="C569" s="66"/>
      <c r="D569" s="66"/>
      <c r="E569" s="66"/>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104"/>
      <c r="B570" s="66"/>
      <c r="C570" s="66"/>
      <c r="D570" s="66"/>
      <c r="E570" s="66"/>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104"/>
      <c r="B571" s="66"/>
      <c r="C571" s="66"/>
      <c r="D571" s="66"/>
      <c r="E571" s="66"/>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104"/>
      <c r="B572" s="66"/>
      <c r="C572" s="66"/>
      <c r="D572" s="66"/>
      <c r="E572" s="66"/>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104"/>
      <c r="B573" s="66"/>
      <c r="C573" s="66"/>
      <c r="D573" s="66"/>
      <c r="E573" s="66"/>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104"/>
      <c r="B574" s="66"/>
      <c r="C574" s="66"/>
      <c r="D574" s="66"/>
      <c r="E574" s="66"/>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104"/>
      <c r="B575" s="66"/>
      <c r="C575" s="66"/>
      <c r="D575" s="66"/>
      <c r="E575" s="66"/>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104"/>
      <c r="B576" s="66"/>
      <c r="C576" s="66"/>
      <c r="D576" s="66"/>
      <c r="E576" s="66"/>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104"/>
      <c r="B577" s="66"/>
      <c r="C577" s="66"/>
      <c r="D577" s="66"/>
      <c r="E577" s="66"/>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104"/>
      <c r="B578" s="66"/>
      <c r="C578" s="66"/>
      <c r="D578" s="66"/>
      <c r="E578" s="66"/>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104"/>
      <c r="B579" s="66"/>
      <c r="C579" s="66"/>
      <c r="D579" s="66"/>
      <c r="E579" s="66"/>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104"/>
      <c r="B580" s="66"/>
      <c r="C580" s="66"/>
      <c r="D580" s="66"/>
      <c r="E580" s="66"/>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104"/>
      <c r="B581" s="66"/>
      <c r="C581" s="66"/>
      <c r="D581" s="66"/>
      <c r="E581" s="66"/>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104"/>
      <c r="B582" s="66"/>
      <c r="C582" s="66"/>
      <c r="D582" s="66"/>
      <c r="E582" s="66"/>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104"/>
      <c r="B583" s="66"/>
      <c r="C583" s="66"/>
      <c r="D583" s="66"/>
      <c r="E583" s="66"/>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104"/>
      <c r="B584" s="66"/>
      <c r="C584" s="66"/>
      <c r="D584" s="66"/>
      <c r="E584" s="66"/>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104"/>
      <c r="B585" s="66"/>
      <c r="C585" s="66"/>
      <c r="D585" s="66"/>
      <c r="E585" s="66"/>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104"/>
      <c r="B586" s="66"/>
      <c r="C586" s="66"/>
      <c r="D586" s="66"/>
      <c r="E586" s="66"/>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104"/>
      <c r="B587" s="66"/>
      <c r="C587" s="66"/>
      <c r="D587" s="66"/>
      <c r="E587" s="66"/>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104"/>
      <c r="B588" s="66"/>
      <c r="C588" s="66"/>
      <c r="D588" s="66"/>
      <c r="E588" s="66"/>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104"/>
      <c r="B589" s="66"/>
      <c r="C589" s="66"/>
      <c r="D589" s="66"/>
      <c r="E589" s="66"/>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104"/>
      <c r="B590" s="66"/>
      <c r="C590" s="66"/>
      <c r="D590" s="66"/>
      <c r="E590" s="66"/>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104"/>
      <c r="B591" s="66"/>
      <c r="C591" s="66"/>
      <c r="D591" s="66"/>
      <c r="E591" s="66"/>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104"/>
      <c r="B592" s="66"/>
      <c r="C592" s="66"/>
      <c r="D592" s="66"/>
      <c r="E592" s="66"/>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104"/>
      <c r="B593" s="66"/>
      <c r="C593" s="66"/>
      <c r="D593" s="66"/>
      <c r="E593" s="66"/>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104"/>
      <c r="B594" s="66"/>
      <c r="C594" s="66"/>
      <c r="D594" s="66"/>
      <c r="E594" s="66"/>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104"/>
      <c r="B595" s="66"/>
      <c r="C595" s="66"/>
      <c r="D595" s="66"/>
      <c r="E595" s="66"/>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104"/>
      <c r="B596" s="66"/>
      <c r="C596" s="66"/>
      <c r="D596" s="66"/>
      <c r="E596" s="66"/>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104"/>
      <c r="B597" s="66"/>
      <c r="C597" s="66"/>
      <c r="D597" s="66"/>
      <c r="E597" s="66"/>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104"/>
      <c r="B598" s="66"/>
      <c r="C598" s="66"/>
      <c r="D598" s="66"/>
      <c r="E598" s="66"/>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104"/>
      <c r="B599" s="66"/>
      <c r="C599" s="66"/>
      <c r="D599" s="66"/>
      <c r="E599" s="66"/>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104"/>
      <c r="B600" s="66"/>
      <c r="C600" s="66"/>
      <c r="D600" s="66"/>
      <c r="E600" s="66"/>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104"/>
      <c r="B601" s="66"/>
      <c r="C601" s="66"/>
      <c r="D601" s="66"/>
      <c r="E601" s="66"/>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104"/>
      <c r="B602" s="66"/>
      <c r="C602" s="66"/>
      <c r="D602" s="66"/>
      <c r="E602" s="66"/>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104"/>
      <c r="B603" s="66"/>
      <c r="C603" s="66"/>
      <c r="D603" s="66"/>
      <c r="E603" s="66"/>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104"/>
      <c r="B604" s="66"/>
      <c r="C604" s="66"/>
      <c r="D604" s="66"/>
      <c r="E604" s="66"/>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104"/>
      <c r="B605" s="66"/>
      <c r="C605" s="66"/>
      <c r="D605" s="66"/>
      <c r="E605" s="66"/>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104"/>
      <c r="B606" s="66"/>
      <c r="C606" s="66"/>
      <c r="D606" s="66"/>
      <c r="E606" s="66"/>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104"/>
      <c r="B607" s="66"/>
      <c r="C607" s="66"/>
      <c r="D607" s="66"/>
      <c r="E607" s="66"/>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104"/>
      <c r="B608" s="66"/>
      <c r="C608" s="66"/>
      <c r="D608" s="66"/>
      <c r="E608" s="66"/>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104"/>
      <c r="B609" s="66"/>
      <c r="C609" s="66"/>
      <c r="D609" s="66"/>
      <c r="E609" s="66"/>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104"/>
      <c r="B610" s="66"/>
      <c r="C610" s="66"/>
      <c r="D610" s="66"/>
      <c r="E610" s="66"/>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104"/>
      <c r="B611" s="66"/>
      <c r="C611" s="66"/>
      <c r="D611" s="66"/>
      <c r="E611" s="66"/>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104"/>
      <c r="B612" s="66"/>
      <c r="C612" s="66"/>
      <c r="D612" s="66"/>
      <c r="E612" s="66"/>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104"/>
      <c r="B613" s="66"/>
      <c r="C613" s="66"/>
      <c r="D613" s="66"/>
      <c r="E613" s="66"/>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104"/>
      <c r="B614" s="66"/>
      <c r="C614" s="66"/>
      <c r="D614" s="66"/>
      <c r="E614" s="66"/>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104"/>
      <c r="B615" s="66"/>
      <c r="C615" s="66"/>
      <c r="D615" s="66"/>
      <c r="E615" s="66"/>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104"/>
      <c r="B616" s="66"/>
      <c r="C616" s="66"/>
      <c r="D616" s="66"/>
      <c r="E616" s="66"/>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104"/>
      <c r="B617" s="66"/>
      <c r="C617" s="66"/>
      <c r="D617" s="66"/>
      <c r="E617" s="66"/>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104"/>
      <c r="B618" s="66"/>
      <c r="C618" s="66"/>
      <c r="D618" s="66"/>
      <c r="E618" s="66"/>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104"/>
      <c r="B619" s="66"/>
      <c r="C619" s="66"/>
      <c r="D619" s="66"/>
      <c r="E619" s="66"/>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104"/>
      <c r="B620" s="66"/>
      <c r="C620" s="66"/>
      <c r="D620" s="66"/>
      <c r="E620" s="66"/>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104"/>
      <c r="B621" s="66"/>
      <c r="C621" s="66"/>
      <c r="D621" s="66"/>
      <c r="E621" s="66"/>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104"/>
      <c r="B622" s="66"/>
      <c r="C622" s="66"/>
      <c r="D622" s="66"/>
      <c r="E622" s="66"/>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104"/>
      <c r="B623" s="66"/>
      <c r="C623" s="66"/>
      <c r="D623" s="66"/>
      <c r="E623" s="66"/>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104"/>
      <c r="B624" s="66"/>
      <c r="C624" s="66"/>
      <c r="D624" s="66"/>
      <c r="E624" s="66"/>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104"/>
      <c r="B625" s="66"/>
      <c r="C625" s="66"/>
      <c r="D625" s="66"/>
      <c r="E625" s="66"/>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104"/>
      <c r="B626" s="66"/>
      <c r="C626" s="66"/>
      <c r="D626" s="66"/>
      <c r="E626" s="66"/>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104"/>
      <c r="B627" s="66"/>
      <c r="C627" s="66"/>
      <c r="D627" s="66"/>
      <c r="E627" s="66"/>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104"/>
      <c r="B628" s="66"/>
      <c r="C628" s="66"/>
      <c r="D628" s="66"/>
      <c r="E628" s="66"/>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104"/>
      <c r="B629" s="66"/>
      <c r="C629" s="66"/>
      <c r="D629" s="66"/>
      <c r="E629" s="66"/>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104"/>
      <c r="B630" s="66"/>
      <c r="C630" s="66"/>
      <c r="D630" s="66"/>
      <c r="E630" s="66"/>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104"/>
      <c r="B631" s="66"/>
      <c r="C631" s="66"/>
      <c r="D631" s="66"/>
      <c r="E631" s="66"/>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104"/>
      <c r="B632" s="66"/>
      <c r="C632" s="66"/>
      <c r="D632" s="66"/>
      <c r="E632" s="66"/>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104"/>
      <c r="B633" s="66"/>
      <c r="C633" s="66"/>
      <c r="D633" s="66"/>
      <c r="E633" s="66"/>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104"/>
      <c r="B634" s="66"/>
      <c r="C634" s="66"/>
      <c r="D634" s="66"/>
      <c r="E634" s="66"/>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104"/>
      <c r="B635" s="66"/>
      <c r="C635" s="66"/>
      <c r="D635" s="66"/>
      <c r="E635" s="66"/>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104"/>
      <c r="B636" s="66"/>
      <c r="C636" s="66"/>
      <c r="D636" s="66"/>
      <c r="E636" s="66"/>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104"/>
      <c r="B637" s="66"/>
      <c r="C637" s="66"/>
      <c r="D637" s="66"/>
      <c r="E637" s="66"/>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104"/>
      <c r="B638" s="66"/>
      <c r="C638" s="66"/>
      <c r="D638" s="66"/>
      <c r="E638" s="66"/>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104"/>
      <c r="B639" s="66"/>
      <c r="C639" s="66"/>
      <c r="D639" s="66"/>
      <c r="E639" s="66"/>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104"/>
      <c r="B640" s="66"/>
      <c r="C640" s="66"/>
      <c r="D640" s="66"/>
      <c r="E640" s="66"/>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104"/>
      <c r="B641" s="66"/>
      <c r="C641" s="66"/>
      <c r="D641" s="66"/>
      <c r="E641" s="66"/>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104"/>
      <c r="B642" s="66"/>
      <c r="C642" s="66"/>
      <c r="D642" s="66"/>
      <c r="E642" s="66"/>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104"/>
      <c r="B643" s="66"/>
      <c r="C643" s="66"/>
      <c r="D643" s="66"/>
      <c r="E643" s="66"/>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104"/>
      <c r="B644" s="66"/>
      <c r="C644" s="66"/>
      <c r="D644" s="66"/>
      <c r="E644" s="66"/>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104"/>
      <c r="B645" s="66"/>
      <c r="C645" s="66"/>
      <c r="D645" s="66"/>
      <c r="E645" s="66"/>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104"/>
      <c r="B646" s="66"/>
      <c r="C646" s="66"/>
      <c r="D646" s="66"/>
      <c r="E646" s="66"/>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104"/>
      <c r="B647" s="66"/>
      <c r="C647" s="66"/>
      <c r="D647" s="66"/>
      <c r="E647" s="66"/>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104"/>
      <c r="B648" s="66"/>
      <c r="C648" s="66"/>
      <c r="D648" s="66"/>
      <c r="E648" s="66"/>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104"/>
      <c r="B649" s="66"/>
      <c r="C649" s="66"/>
      <c r="D649" s="66"/>
      <c r="E649" s="66"/>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104"/>
      <c r="B650" s="66"/>
      <c r="C650" s="66"/>
      <c r="D650" s="66"/>
      <c r="E650" s="66"/>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104"/>
      <c r="B651" s="66"/>
      <c r="C651" s="66"/>
      <c r="D651" s="66"/>
      <c r="E651" s="66"/>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104"/>
      <c r="B652" s="66"/>
      <c r="C652" s="66"/>
      <c r="D652" s="66"/>
      <c r="E652" s="66"/>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104"/>
      <c r="B653" s="66"/>
      <c r="C653" s="66"/>
      <c r="D653" s="66"/>
      <c r="E653" s="66"/>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104"/>
      <c r="B654" s="66"/>
      <c r="C654" s="66"/>
      <c r="D654" s="66"/>
      <c r="E654" s="66"/>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104"/>
      <c r="B655" s="66"/>
      <c r="C655" s="66"/>
      <c r="D655" s="66"/>
      <c r="E655" s="66"/>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104"/>
      <c r="B656" s="66"/>
      <c r="C656" s="66"/>
      <c r="D656" s="66"/>
      <c r="E656" s="66"/>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104"/>
      <c r="B657" s="66"/>
      <c r="C657" s="66"/>
      <c r="D657" s="66"/>
      <c r="E657" s="66"/>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104"/>
      <c r="B658" s="66"/>
      <c r="C658" s="66"/>
      <c r="D658" s="66"/>
      <c r="E658" s="66"/>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104"/>
      <c r="B659" s="66"/>
      <c r="C659" s="66"/>
      <c r="D659" s="66"/>
      <c r="E659" s="66"/>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104"/>
      <c r="B660" s="66"/>
      <c r="C660" s="66"/>
      <c r="D660" s="66"/>
      <c r="E660" s="66"/>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104"/>
      <c r="B661" s="66"/>
      <c r="C661" s="66"/>
      <c r="D661" s="66"/>
      <c r="E661" s="66"/>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104"/>
      <c r="B662" s="66"/>
      <c r="C662" s="66"/>
      <c r="D662" s="66"/>
      <c r="E662" s="66"/>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104"/>
      <c r="B663" s="66"/>
      <c r="C663" s="66"/>
      <c r="D663" s="66"/>
      <c r="E663" s="66"/>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104"/>
      <c r="B664" s="66"/>
      <c r="C664" s="66"/>
      <c r="D664" s="66"/>
      <c r="E664" s="66"/>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104"/>
      <c r="B665" s="66"/>
      <c r="C665" s="66"/>
      <c r="D665" s="66"/>
      <c r="E665" s="66"/>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104"/>
      <c r="B666" s="66"/>
      <c r="C666" s="66"/>
      <c r="D666" s="66"/>
      <c r="E666" s="66"/>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104"/>
      <c r="B667" s="66"/>
      <c r="C667" s="66"/>
      <c r="D667" s="66"/>
      <c r="E667" s="66"/>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104"/>
      <c r="B668" s="66"/>
      <c r="C668" s="66"/>
      <c r="D668" s="66"/>
      <c r="E668" s="66"/>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104"/>
      <c r="B669" s="66"/>
      <c r="C669" s="66"/>
      <c r="D669" s="66"/>
      <c r="E669" s="66"/>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104"/>
      <c r="B670" s="66"/>
      <c r="C670" s="66"/>
      <c r="D670" s="66"/>
      <c r="E670" s="66"/>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104"/>
      <c r="B671" s="66"/>
      <c r="C671" s="66"/>
      <c r="D671" s="66"/>
      <c r="E671" s="66"/>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104"/>
      <c r="B672" s="66"/>
      <c r="C672" s="66"/>
      <c r="D672" s="66"/>
      <c r="E672" s="66"/>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104"/>
      <c r="B673" s="66"/>
      <c r="C673" s="66"/>
      <c r="D673" s="66"/>
      <c r="E673" s="66"/>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104"/>
      <c r="B674" s="66"/>
      <c r="C674" s="66"/>
      <c r="D674" s="66"/>
      <c r="E674" s="66"/>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104"/>
      <c r="B675" s="66"/>
      <c r="C675" s="66"/>
      <c r="D675" s="66"/>
      <c r="E675" s="66"/>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104"/>
      <c r="B676" s="66"/>
      <c r="C676" s="66"/>
      <c r="D676" s="66"/>
      <c r="E676" s="66"/>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104"/>
      <c r="B677" s="66"/>
      <c r="C677" s="66"/>
      <c r="D677" s="66"/>
      <c r="E677" s="66"/>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104"/>
      <c r="B678" s="66"/>
      <c r="C678" s="66"/>
      <c r="D678" s="66"/>
      <c r="E678" s="66"/>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104"/>
      <c r="B679" s="66"/>
      <c r="C679" s="66"/>
      <c r="D679" s="66"/>
      <c r="E679" s="66"/>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104"/>
      <c r="B680" s="66"/>
      <c r="C680" s="66"/>
      <c r="D680" s="66"/>
      <c r="E680" s="66"/>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104"/>
      <c r="B681" s="66"/>
      <c r="C681" s="66"/>
      <c r="D681" s="66"/>
      <c r="E681" s="66"/>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104"/>
      <c r="B682" s="66"/>
      <c r="C682" s="66"/>
      <c r="D682" s="66"/>
      <c r="E682" s="66"/>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104"/>
      <c r="B683" s="66"/>
      <c r="C683" s="66"/>
      <c r="D683" s="66"/>
      <c r="E683" s="66"/>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104"/>
      <c r="B684" s="66"/>
      <c r="C684" s="66"/>
      <c r="D684" s="66"/>
      <c r="E684" s="66"/>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104"/>
      <c r="B685" s="66"/>
      <c r="C685" s="66"/>
      <c r="D685" s="66"/>
      <c r="E685" s="66"/>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104"/>
      <c r="B686" s="66"/>
      <c r="C686" s="66"/>
      <c r="D686" s="66"/>
      <c r="E686" s="66"/>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104"/>
      <c r="B687" s="66"/>
      <c r="C687" s="66"/>
      <c r="D687" s="66"/>
      <c r="E687" s="66"/>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104"/>
      <c r="B688" s="66"/>
      <c r="C688" s="66"/>
      <c r="D688" s="66"/>
      <c r="E688" s="66"/>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104"/>
      <c r="B689" s="66"/>
      <c r="C689" s="66"/>
      <c r="D689" s="66"/>
      <c r="E689" s="66"/>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104"/>
      <c r="B690" s="66"/>
      <c r="C690" s="66"/>
      <c r="D690" s="66"/>
      <c r="E690" s="66"/>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104"/>
      <c r="B691" s="66"/>
      <c r="C691" s="66"/>
      <c r="D691" s="66"/>
      <c r="E691" s="66"/>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104"/>
      <c r="B692" s="66"/>
      <c r="C692" s="66"/>
      <c r="D692" s="66"/>
      <c r="E692" s="66"/>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104"/>
      <c r="B693" s="66"/>
      <c r="C693" s="66"/>
      <c r="D693" s="66"/>
      <c r="E693" s="66"/>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104"/>
      <c r="B694" s="66"/>
      <c r="C694" s="66"/>
      <c r="D694" s="66"/>
      <c r="E694" s="66"/>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104"/>
      <c r="B695" s="66"/>
      <c r="C695" s="66"/>
      <c r="D695" s="66"/>
      <c r="E695" s="66"/>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104"/>
      <c r="B696" s="66"/>
      <c r="C696" s="66"/>
      <c r="D696" s="66"/>
      <c r="E696" s="66"/>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104"/>
      <c r="B697" s="66"/>
      <c r="C697" s="66"/>
      <c r="D697" s="66"/>
      <c r="E697" s="66"/>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104"/>
      <c r="B698" s="66"/>
      <c r="C698" s="66"/>
      <c r="D698" s="66"/>
      <c r="E698" s="66"/>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104"/>
      <c r="B699" s="66"/>
      <c r="C699" s="66"/>
      <c r="D699" s="66"/>
      <c r="E699" s="66"/>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104"/>
      <c r="B700" s="66"/>
      <c r="C700" s="66"/>
      <c r="D700" s="66"/>
      <c r="E700" s="66"/>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104"/>
      <c r="B701" s="66"/>
      <c r="C701" s="66"/>
      <c r="D701" s="66"/>
      <c r="E701" s="66"/>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104"/>
      <c r="B702" s="66"/>
      <c r="C702" s="66"/>
      <c r="D702" s="66"/>
      <c r="E702" s="66"/>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104"/>
      <c r="B703" s="66"/>
      <c r="C703" s="66"/>
      <c r="D703" s="66"/>
      <c r="E703" s="66"/>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104"/>
      <c r="B704" s="66"/>
      <c r="C704" s="66"/>
      <c r="D704" s="66"/>
      <c r="E704" s="66"/>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104"/>
      <c r="B705" s="66"/>
      <c r="C705" s="66"/>
      <c r="D705" s="66"/>
      <c r="E705" s="66"/>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104"/>
      <c r="B706" s="66"/>
      <c r="C706" s="66"/>
      <c r="D706" s="66"/>
      <c r="E706" s="66"/>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104"/>
      <c r="B707" s="66"/>
      <c r="C707" s="66"/>
      <c r="D707" s="66"/>
      <c r="E707" s="66"/>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104"/>
      <c r="B708" s="66"/>
      <c r="C708" s="66"/>
      <c r="D708" s="66"/>
      <c r="E708" s="66"/>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104"/>
      <c r="B709" s="66"/>
      <c r="C709" s="66"/>
      <c r="D709" s="66"/>
      <c r="E709" s="66"/>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104"/>
      <c r="B710" s="66"/>
      <c r="C710" s="66"/>
      <c r="D710" s="66"/>
      <c r="E710" s="66"/>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104"/>
      <c r="B711" s="66"/>
      <c r="C711" s="66"/>
      <c r="D711" s="66"/>
      <c r="E711" s="66"/>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104"/>
      <c r="B712" s="66"/>
      <c r="C712" s="66"/>
      <c r="D712" s="66"/>
      <c r="E712" s="66"/>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104"/>
      <c r="B713" s="66"/>
      <c r="C713" s="66"/>
      <c r="D713" s="66"/>
      <c r="E713" s="66"/>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104"/>
      <c r="B714" s="66"/>
      <c r="C714" s="66"/>
      <c r="D714" s="66"/>
      <c r="E714" s="66"/>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104"/>
      <c r="B715" s="66"/>
      <c r="C715" s="66"/>
      <c r="D715" s="66"/>
      <c r="E715" s="66"/>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104"/>
      <c r="B716" s="66"/>
      <c r="C716" s="66"/>
      <c r="D716" s="66"/>
      <c r="E716" s="66"/>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104"/>
      <c r="B717" s="66"/>
      <c r="C717" s="66"/>
      <c r="D717" s="66"/>
      <c r="E717" s="66"/>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104"/>
      <c r="B718" s="66"/>
      <c r="C718" s="66"/>
      <c r="D718" s="66"/>
      <c r="E718" s="66"/>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104"/>
      <c r="B719" s="66"/>
      <c r="C719" s="66"/>
      <c r="D719" s="66"/>
      <c r="E719" s="66"/>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104"/>
      <c r="B720" s="66"/>
      <c r="C720" s="66"/>
      <c r="D720" s="66"/>
      <c r="E720" s="66"/>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104"/>
      <c r="B721" s="66"/>
      <c r="C721" s="66"/>
      <c r="D721" s="66"/>
      <c r="E721" s="66"/>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104"/>
      <c r="B722" s="66"/>
      <c r="C722" s="66"/>
      <c r="D722" s="66"/>
      <c r="E722" s="66"/>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104"/>
      <c r="B723" s="66"/>
      <c r="C723" s="66"/>
      <c r="D723" s="66"/>
      <c r="E723" s="66"/>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104"/>
      <c r="B724" s="66"/>
      <c r="C724" s="66"/>
      <c r="D724" s="66"/>
      <c r="E724" s="66"/>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104"/>
      <c r="B725" s="66"/>
      <c r="C725" s="66"/>
      <c r="D725" s="66"/>
      <c r="E725" s="66"/>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104"/>
      <c r="B726" s="66"/>
      <c r="C726" s="66"/>
      <c r="D726" s="66"/>
      <c r="E726" s="66"/>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104"/>
      <c r="B727" s="66"/>
      <c r="C727" s="66"/>
      <c r="D727" s="66"/>
      <c r="E727" s="66"/>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104"/>
      <c r="B728" s="66"/>
      <c r="C728" s="66"/>
      <c r="D728" s="66"/>
      <c r="E728" s="66"/>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104"/>
      <c r="B729" s="66"/>
      <c r="C729" s="66"/>
      <c r="D729" s="66"/>
      <c r="E729" s="66"/>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104"/>
      <c r="B730" s="66"/>
      <c r="C730" s="66"/>
      <c r="D730" s="66"/>
      <c r="E730" s="66"/>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104"/>
      <c r="B731" s="66"/>
      <c r="C731" s="66"/>
      <c r="D731" s="66"/>
      <c r="E731" s="66"/>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104"/>
      <c r="B732" s="66"/>
      <c r="C732" s="66"/>
      <c r="D732" s="66"/>
      <c r="E732" s="66"/>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104"/>
      <c r="B733" s="66"/>
      <c r="C733" s="66"/>
      <c r="D733" s="66"/>
      <c r="E733" s="66"/>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104"/>
      <c r="B734" s="66"/>
      <c r="C734" s="66"/>
      <c r="D734" s="66"/>
      <c r="E734" s="66"/>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104"/>
      <c r="B735" s="66"/>
      <c r="C735" s="66"/>
      <c r="D735" s="66"/>
      <c r="E735" s="66"/>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104"/>
      <c r="B736" s="66"/>
      <c r="C736" s="66"/>
      <c r="D736" s="66"/>
      <c r="E736" s="66"/>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104"/>
      <c r="B737" s="66"/>
      <c r="C737" s="66"/>
      <c r="D737" s="66"/>
      <c r="E737" s="66"/>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104"/>
      <c r="B738" s="66"/>
      <c r="C738" s="66"/>
      <c r="D738" s="66"/>
      <c r="E738" s="66"/>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104"/>
      <c r="B739" s="66"/>
      <c r="C739" s="66"/>
      <c r="D739" s="66"/>
      <c r="E739" s="66"/>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104"/>
      <c r="B740" s="66"/>
      <c r="C740" s="66"/>
      <c r="D740" s="66"/>
      <c r="E740" s="66"/>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104"/>
      <c r="B741" s="66"/>
      <c r="C741" s="66"/>
      <c r="D741" s="66"/>
      <c r="E741" s="66"/>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104"/>
      <c r="B742" s="66"/>
      <c r="C742" s="66"/>
      <c r="D742" s="66"/>
      <c r="E742" s="66"/>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104"/>
      <c r="B743" s="66"/>
      <c r="C743" s="66"/>
      <c r="D743" s="66"/>
      <c r="E743" s="66"/>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104"/>
      <c r="B744" s="66"/>
      <c r="C744" s="66"/>
      <c r="D744" s="66"/>
      <c r="E744" s="66"/>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104"/>
      <c r="B745" s="66"/>
      <c r="C745" s="66"/>
      <c r="D745" s="66"/>
      <c r="E745" s="66"/>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104"/>
      <c r="B746" s="66"/>
      <c r="C746" s="66"/>
      <c r="D746" s="66"/>
      <c r="E746" s="66"/>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104"/>
      <c r="B747" s="66"/>
      <c r="C747" s="66"/>
      <c r="D747" s="66"/>
      <c r="E747" s="66"/>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104"/>
      <c r="B748" s="66"/>
      <c r="C748" s="66"/>
      <c r="D748" s="66"/>
      <c r="E748" s="66"/>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104"/>
      <c r="B749" s="66"/>
      <c r="C749" s="66"/>
      <c r="D749" s="66"/>
      <c r="E749" s="66"/>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104"/>
      <c r="B750" s="66"/>
      <c r="C750" s="66"/>
      <c r="D750" s="66"/>
      <c r="E750" s="66"/>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104"/>
      <c r="B751" s="66"/>
      <c r="C751" s="66"/>
      <c r="D751" s="66"/>
      <c r="E751" s="66"/>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104"/>
      <c r="B752" s="66"/>
      <c r="C752" s="66"/>
      <c r="D752" s="66"/>
      <c r="E752" s="66"/>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104"/>
      <c r="B753" s="66"/>
      <c r="C753" s="66"/>
      <c r="D753" s="66"/>
      <c r="E753" s="66"/>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104"/>
      <c r="B754" s="66"/>
      <c r="C754" s="66"/>
      <c r="D754" s="66"/>
      <c r="E754" s="66"/>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104"/>
      <c r="B755" s="66"/>
      <c r="C755" s="66"/>
      <c r="D755" s="66"/>
      <c r="E755" s="66"/>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104"/>
      <c r="B756" s="66"/>
      <c r="C756" s="66"/>
      <c r="D756" s="66"/>
      <c r="E756" s="66"/>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104"/>
      <c r="B757" s="66"/>
      <c r="C757" s="66"/>
      <c r="D757" s="66"/>
      <c r="E757" s="66"/>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104"/>
      <c r="B758" s="66"/>
      <c r="C758" s="66"/>
      <c r="D758" s="66"/>
      <c r="E758" s="66"/>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104"/>
      <c r="B759" s="66"/>
      <c r="C759" s="66"/>
      <c r="D759" s="66"/>
      <c r="E759" s="66"/>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104"/>
      <c r="B760" s="66"/>
      <c r="C760" s="66"/>
      <c r="D760" s="66"/>
      <c r="E760" s="66"/>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104"/>
      <c r="B761" s="66"/>
      <c r="C761" s="66"/>
      <c r="D761" s="66"/>
      <c r="E761" s="66"/>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104"/>
      <c r="B762" s="66"/>
      <c r="C762" s="66"/>
      <c r="D762" s="66"/>
      <c r="E762" s="66"/>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104"/>
      <c r="B763" s="66"/>
      <c r="C763" s="66"/>
      <c r="D763" s="66"/>
      <c r="E763" s="66"/>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104"/>
      <c r="B764" s="66"/>
      <c r="C764" s="66"/>
      <c r="D764" s="66"/>
      <c r="E764" s="66"/>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104"/>
      <c r="B765" s="66"/>
      <c r="C765" s="66"/>
      <c r="D765" s="66"/>
      <c r="E765" s="66"/>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104"/>
      <c r="B766" s="66"/>
      <c r="C766" s="66"/>
      <c r="D766" s="66"/>
      <c r="E766" s="66"/>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104"/>
      <c r="B767" s="66"/>
      <c r="C767" s="66"/>
      <c r="D767" s="66"/>
      <c r="E767" s="66"/>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104"/>
      <c r="B768" s="66"/>
      <c r="C768" s="66"/>
      <c r="D768" s="66"/>
      <c r="E768" s="66"/>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104"/>
      <c r="B769" s="66"/>
      <c r="C769" s="66"/>
      <c r="D769" s="66"/>
      <c r="E769" s="66"/>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104"/>
      <c r="B770" s="66"/>
      <c r="C770" s="66"/>
      <c r="D770" s="66"/>
      <c r="E770" s="66"/>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104"/>
      <c r="B771" s="66"/>
      <c r="C771" s="66"/>
      <c r="D771" s="66"/>
      <c r="E771" s="66"/>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104"/>
      <c r="B772" s="66"/>
      <c r="C772" s="66"/>
      <c r="D772" s="66"/>
      <c r="E772" s="66"/>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104"/>
      <c r="B773" s="66"/>
      <c r="C773" s="66"/>
      <c r="D773" s="66"/>
      <c r="E773" s="66"/>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104"/>
      <c r="B774" s="66"/>
      <c r="C774" s="66"/>
      <c r="D774" s="66"/>
      <c r="E774" s="66"/>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104"/>
      <c r="B775" s="66"/>
      <c r="C775" s="66"/>
      <c r="D775" s="66"/>
      <c r="E775" s="66"/>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104"/>
      <c r="B776" s="66"/>
      <c r="C776" s="66"/>
      <c r="D776" s="66"/>
      <c r="E776" s="66"/>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104"/>
      <c r="B777" s="66"/>
      <c r="C777" s="66"/>
      <c r="D777" s="66"/>
      <c r="E777" s="66"/>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104"/>
      <c r="B778" s="66"/>
      <c r="C778" s="66"/>
      <c r="D778" s="66"/>
      <c r="E778" s="66"/>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104"/>
      <c r="B779" s="66"/>
      <c r="C779" s="66"/>
      <c r="D779" s="66"/>
      <c r="E779" s="66"/>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104"/>
      <c r="B780" s="66"/>
      <c r="C780" s="66"/>
      <c r="D780" s="66"/>
      <c r="E780" s="66"/>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104"/>
      <c r="B781" s="66"/>
      <c r="C781" s="66"/>
      <c r="D781" s="66"/>
      <c r="E781" s="66"/>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104"/>
      <c r="B782" s="66"/>
      <c r="C782" s="66"/>
      <c r="D782" s="66"/>
      <c r="E782" s="66"/>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104"/>
      <c r="B783" s="66"/>
      <c r="C783" s="66"/>
      <c r="D783" s="66"/>
      <c r="E783" s="66"/>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104"/>
      <c r="B784" s="66"/>
      <c r="C784" s="66"/>
      <c r="D784" s="66"/>
      <c r="E784" s="66"/>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104"/>
      <c r="B785" s="66"/>
      <c r="C785" s="66"/>
      <c r="D785" s="66"/>
      <c r="E785" s="66"/>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104"/>
      <c r="B786" s="66"/>
      <c r="C786" s="66"/>
      <c r="D786" s="66"/>
      <c r="E786" s="66"/>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104"/>
      <c r="B787" s="66"/>
      <c r="C787" s="66"/>
      <c r="D787" s="66"/>
      <c r="E787" s="66"/>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104"/>
      <c r="B788" s="66"/>
      <c r="C788" s="66"/>
      <c r="D788" s="66"/>
      <c r="E788" s="66"/>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104"/>
      <c r="B789" s="66"/>
      <c r="C789" s="66"/>
      <c r="D789" s="66"/>
      <c r="E789" s="66"/>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104"/>
      <c r="B790" s="66"/>
      <c r="C790" s="66"/>
      <c r="D790" s="66"/>
      <c r="E790" s="66"/>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104"/>
      <c r="B791" s="66"/>
      <c r="C791" s="66"/>
      <c r="D791" s="66"/>
      <c r="E791" s="66"/>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104"/>
      <c r="B792" s="66"/>
      <c r="C792" s="66"/>
      <c r="D792" s="66"/>
      <c r="E792" s="66"/>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104"/>
      <c r="B793" s="66"/>
      <c r="C793" s="66"/>
      <c r="D793" s="66"/>
      <c r="E793" s="66"/>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104"/>
      <c r="B794" s="66"/>
      <c r="C794" s="66"/>
      <c r="D794" s="66"/>
      <c r="E794" s="66"/>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104"/>
      <c r="B795" s="66"/>
      <c r="C795" s="66"/>
      <c r="D795" s="66"/>
      <c r="E795" s="66"/>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104"/>
      <c r="B796" s="66"/>
      <c r="C796" s="66"/>
      <c r="D796" s="66"/>
      <c r="E796" s="66"/>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104"/>
      <c r="B797" s="66"/>
      <c r="C797" s="66"/>
      <c r="D797" s="66"/>
      <c r="E797" s="66"/>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104"/>
      <c r="B798" s="66"/>
      <c r="C798" s="66"/>
      <c r="D798" s="66"/>
      <c r="E798" s="66"/>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104"/>
      <c r="B799" s="66"/>
      <c r="C799" s="66"/>
      <c r="D799" s="66"/>
      <c r="E799" s="66"/>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104"/>
      <c r="B800" s="66"/>
      <c r="C800" s="66"/>
      <c r="D800" s="66"/>
      <c r="E800" s="66"/>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104"/>
      <c r="B801" s="66"/>
      <c r="C801" s="66"/>
      <c r="D801" s="66"/>
      <c r="E801" s="66"/>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104"/>
      <c r="B802" s="66"/>
      <c r="C802" s="66"/>
      <c r="D802" s="66"/>
      <c r="E802" s="66"/>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104"/>
      <c r="B803" s="66"/>
      <c r="C803" s="66"/>
      <c r="D803" s="66"/>
      <c r="E803" s="66"/>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104"/>
      <c r="B804" s="66"/>
      <c r="C804" s="66"/>
      <c r="D804" s="66"/>
      <c r="E804" s="66"/>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104"/>
      <c r="B805" s="66"/>
      <c r="C805" s="66"/>
      <c r="D805" s="66"/>
      <c r="E805" s="66"/>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104"/>
      <c r="B806" s="66"/>
      <c r="C806" s="66"/>
      <c r="D806" s="66"/>
      <c r="E806" s="66"/>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104"/>
      <c r="B807" s="66"/>
      <c r="C807" s="66"/>
      <c r="D807" s="66"/>
      <c r="E807" s="66"/>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104"/>
      <c r="B808" s="66"/>
      <c r="C808" s="66"/>
      <c r="D808" s="66"/>
      <c r="E808" s="66"/>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104"/>
      <c r="B809" s="66"/>
      <c r="C809" s="66"/>
      <c r="D809" s="66"/>
      <c r="E809" s="66"/>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104"/>
      <c r="B810" s="66"/>
      <c r="C810" s="66"/>
      <c r="D810" s="66"/>
      <c r="E810" s="66"/>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104"/>
      <c r="B811" s="66"/>
      <c r="C811" s="66"/>
      <c r="D811" s="66"/>
      <c r="E811" s="66"/>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104"/>
      <c r="B812" s="66"/>
      <c r="C812" s="66"/>
      <c r="D812" s="66"/>
      <c r="E812" s="66"/>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104"/>
      <c r="B813" s="66"/>
      <c r="C813" s="66"/>
      <c r="D813" s="66"/>
      <c r="E813" s="66"/>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104"/>
      <c r="B814" s="66"/>
      <c r="C814" s="66"/>
      <c r="D814" s="66"/>
      <c r="E814" s="66"/>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104"/>
      <c r="B815" s="66"/>
      <c r="C815" s="66"/>
      <c r="D815" s="66"/>
      <c r="E815" s="66"/>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104"/>
      <c r="B816" s="66"/>
      <c r="C816" s="66"/>
      <c r="D816" s="66"/>
      <c r="E816" s="66"/>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104"/>
      <c r="B817" s="66"/>
      <c r="C817" s="66"/>
      <c r="D817" s="66"/>
      <c r="E817" s="66"/>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104"/>
      <c r="B818" s="66"/>
      <c r="C818" s="66"/>
      <c r="D818" s="66"/>
      <c r="E818" s="66"/>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104"/>
      <c r="B819" s="66"/>
      <c r="C819" s="66"/>
      <c r="D819" s="66"/>
      <c r="E819" s="66"/>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104"/>
      <c r="B820" s="66"/>
      <c r="C820" s="66"/>
      <c r="D820" s="66"/>
      <c r="E820" s="66"/>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104"/>
      <c r="B821" s="66"/>
      <c r="C821" s="66"/>
      <c r="D821" s="66"/>
      <c r="E821" s="66"/>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104"/>
      <c r="B822" s="66"/>
      <c r="C822" s="66"/>
      <c r="D822" s="66"/>
      <c r="E822" s="66"/>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104"/>
      <c r="B823" s="66"/>
      <c r="C823" s="66"/>
      <c r="D823" s="66"/>
      <c r="E823" s="66"/>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104"/>
      <c r="B824" s="66"/>
      <c r="C824" s="66"/>
      <c r="D824" s="66"/>
      <c r="E824" s="66"/>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104"/>
      <c r="B825" s="66"/>
      <c r="C825" s="66"/>
      <c r="D825" s="66"/>
      <c r="E825" s="66"/>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104"/>
      <c r="B826" s="66"/>
      <c r="C826" s="66"/>
      <c r="D826" s="66"/>
      <c r="E826" s="66"/>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104"/>
      <c r="B827" s="66"/>
      <c r="C827" s="66"/>
      <c r="D827" s="66"/>
      <c r="E827" s="66"/>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104"/>
      <c r="B828" s="66"/>
      <c r="C828" s="66"/>
      <c r="D828" s="66"/>
      <c r="E828" s="66"/>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104"/>
      <c r="B829" s="66"/>
      <c r="C829" s="66"/>
      <c r="D829" s="66"/>
      <c r="E829" s="66"/>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104"/>
      <c r="B830" s="66"/>
      <c r="C830" s="66"/>
      <c r="D830" s="66"/>
      <c r="E830" s="66"/>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104"/>
      <c r="B831" s="66"/>
      <c r="C831" s="66"/>
      <c r="D831" s="66"/>
      <c r="E831" s="66"/>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104"/>
      <c r="B832" s="66"/>
      <c r="C832" s="66"/>
      <c r="D832" s="66"/>
      <c r="E832" s="66"/>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104"/>
      <c r="B833" s="66"/>
      <c r="C833" s="66"/>
      <c r="D833" s="66"/>
      <c r="E833" s="66"/>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104"/>
      <c r="B834" s="66"/>
      <c r="C834" s="66"/>
      <c r="D834" s="66"/>
      <c r="E834" s="66"/>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104"/>
      <c r="B835" s="66"/>
      <c r="C835" s="66"/>
      <c r="D835" s="66"/>
      <c r="E835" s="66"/>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104"/>
      <c r="B836" s="66"/>
      <c r="C836" s="66"/>
      <c r="D836" s="66"/>
      <c r="E836" s="66"/>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104"/>
      <c r="B837" s="66"/>
      <c r="C837" s="66"/>
      <c r="D837" s="66"/>
      <c r="E837" s="66"/>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104"/>
      <c r="B838" s="66"/>
      <c r="C838" s="66"/>
      <c r="D838" s="66"/>
      <c r="E838" s="66"/>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104"/>
      <c r="B839" s="66"/>
      <c r="C839" s="66"/>
      <c r="D839" s="66"/>
      <c r="E839" s="66"/>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104"/>
      <c r="B840" s="66"/>
      <c r="C840" s="66"/>
      <c r="D840" s="66"/>
      <c r="E840" s="66"/>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104"/>
      <c r="B841" s="66"/>
      <c r="C841" s="66"/>
      <c r="D841" s="66"/>
      <c r="E841" s="66"/>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104"/>
      <c r="B842" s="66"/>
      <c r="C842" s="66"/>
      <c r="D842" s="66"/>
      <c r="E842" s="66"/>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104"/>
      <c r="B843" s="66"/>
      <c r="C843" s="66"/>
      <c r="D843" s="66"/>
      <c r="E843" s="66"/>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104"/>
      <c r="B844" s="66"/>
      <c r="C844" s="66"/>
      <c r="D844" s="66"/>
      <c r="E844" s="66"/>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104"/>
      <c r="B845" s="66"/>
      <c r="C845" s="66"/>
      <c r="D845" s="66"/>
      <c r="E845" s="66"/>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104"/>
      <c r="B846" s="66"/>
      <c r="C846" s="66"/>
      <c r="D846" s="66"/>
      <c r="E846" s="66"/>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104"/>
      <c r="B847" s="66"/>
      <c r="C847" s="66"/>
      <c r="D847" s="66"/>
      <c r="E847" s="66"/>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104"/>
      <c r="B848" s="66"/>
      <c r="C848" s="66"/>
      <c r="D848" s="66"/>
      <c r="E848" s="66"/>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104"/>
      <c r="B849" s="66"/>
      <c r="C849" s="66"/>
      <c r="D849" s="66"/>
      <c r="E849" s="66"/>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104"/>
      <c r="B850" s="66"/>
      <c r="C850" s="66"/>
      <c r="D850" s="66"/>
      <c r="E850" s="66"/>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104"/>
      <c r="B851" s="66"/>
      <c r="C851" s="66"/>
      <c r="D851" s="66"/>
      <c r="E851" s="66"/>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104"/>
      <c r="B852" s="66"/>
      <c r="C852" s="66"/>
      <c r="D852" s="66"/>
      <c r="E852" s="66"/>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104"/>
      <c r="B853" s="66"/>
      <c r="C853" s="66"/>
      <c r="D853" s="66"/>
      <c r="E853" s="66"/>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104"/>
      <c r="B854" s="66"/>
      <c r="C854" s="66"/>
      <c r="D854" s="66"/>
      <c r="E854" s="66"/>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104"/>
      <c r="B855" s="66"/>
      <c r="C855" s="66"/>
      <c r="D855" s="66"/>
      <c r="E855" s="66"/>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104"/>
      <c r="B856" s="66"/>
      <c r="C856" s="66"/>
      <c r="D856" s="66"/>
      <c r="E856" s="66"/>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104"/>
      <c r="B857" s="66"/>
      <c r="C857" s="66"/>
      <c r="D857" s="66"/>
      <c r="E857" s="66"/>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104"/>
      <c r="B858" s="66"/>
      <c r="C858" s="66"/>
      <c r="D858" s="66"/>
      <c r="E858" s="66"/>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104"/>
      <c r="B859" s="66"/>
      <c r="C859" s="66"/>
      <c r="D859" s="66"/>
      <c r="E859" s="66"/>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104"/>
      <c r="B860" s="66"/>
      <c r="C860" s="66"/>
      <c r="D860" s="66"/>
      <c r="E860" s="66"/>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104"/>
      <c r="B861" s="66"/>
      <c r="C861" s="66"/>
      <c r="D861" s="66"/>
      <c r="E861" s="66"/>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104"/>
      <c r="B862" s="66"/>
      <c r="C862" s="66"/>
      <c r="D862" s="66"/>
      <c r="E862" s="66"/>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104"/>
      <c r="B863" s="66"/>
      <c r="C863" s="66"/>
      <c r="D863" s="66"/>
      <c r="E863" s="66"/>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104"/>
      <c r="B864" s="66"/>
      <c r="C864" s="66"/>
      <c r="D864" s="66"/>
      <c r="E864" s="66"/>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104"/>
      <c r="B865" s="66"/>
      <c r="C865" s="66"/>
      <c r="D865" s="66"/>
      <c r="E865" s="66"/>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104"/>
      <c r="B866" s="66"/>
      <c r="C866" s="66"/>
      <c r="D866" s="66"/>
      <c r="E866" s="66"/>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104"/>
      <c r="B867" s="66"/>
      <c r="C867" s="66"/>
      <c r="D867" s="66"/>
      <c r="E867" s="66"/>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104"/>
      <c r="B868" s="66"/>
      <c r="C868" s="66"/>
      <c r="D868" s="66"/>
      <c r="E868" s="66"/>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104"/>
      <c r="B869" s="66"/>
      <c r="C869" s="66"/>
      <c r="D869" s="66"/>
      <c r="E869" s="66"/>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104"/>
      <c r="B870" s="66"/>
      <c r="C870" s="66"/>
      <c r="D870" s="66"/>
      <c r="E870" s="66"/>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104"/>
      <c r="B871" s="66"/>
      <c r="C871" s="66"/>
      <c r="D871" s="66"/>
      <c r="E871" s="66"/>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104"/>
      <c r="B872" s="66"/>
      <c r="C872" s="66"/>
      <c r="D872" s="66"/>
      <c r="E872" s="66"/>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104"/>
      <c r="B873" s="66"/>
      <c r="C873" s="66"/>
      <c r="D873" s="66"/>
      <c r="E873" s="66"/>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104"/>
      <c r="B874" s="66"/>
      <c r="C874" s="66"/>
      <c r="D874" s="66"/>
      <c r="E874" s="66"/>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104"/>
      <c r="B875" s="66"/>
      <c r="C875" s="66"/>
      <c r="D875" s="66"/>
      <c r="E875" s="66"/>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104"/>
      <c r="B876" s="66"/>
      <c r="C876" s="66"/>
      <c r="D876" s="66"/>
      <c r="E876" s="66"/>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104"/>
      <c r="B877" s="66"/>
      <c r="C877" s="66"/>
      <c r="D877" s="66"/>
      <c r="E877" s="66"/>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104"/>
      <c r="B878" s="66"/>
      <c r="C878" s="66"/>
      <c r="D878" s="66"/>
      <c r="E878" s="66"/>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104"/>
      <c r="B879" s="66"/>
      <c r="C879" s="66"/>
      <c r="D879" s="66"/>
      <c r="E879" s="66"/>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104"/>
      <c r="B880" s="66"/>
      <c r="C880" s="66"/>
      <c r="D880" s="66"/>
      <c r="E880" s="66"/>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104"/>
      <c r="B881" s="66"/>
      <c r="C881" s="66"/>
      <c r="D881" s="66"/>
      <c r="E881" s="66"/>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104"/>
      <c r="B882" s="66"/>
      <c r="C882" s="66"/>
      <c r="D882" s="66"/>
      <c r="E882" s="66"/>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104"/>
      <c r="B883" s="66"/>
      <c r="C883" s="66"/>
      <c r="D883" s="66"/>
      <c r="E883" s="66"/>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104"/>
      <c r="B884" s="66"/>
      <c r="C884" s="66"/>
      <c r="D884" s="66"/>
      <c r="E884" s="66"/>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104"/>
      <c r="B885" s="66"/>
      <c r="C885" s="66"/>
      <c r="D885" s="66"/>
      <c r="E885" s="66"/>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104"/>
      <c r="B886" s="66"/>
      <c r="C886" s="66"/>
      <c r="D886" s="66"/>
      <c r="E886" s="66"/>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104"/>
      <c r="B887" s="66"/>
      <c r="C887" s="66"/>
      <c r="D887" s="66"/>
      <c r="E887" s="66"/>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104"/>
      <c r="B888" s="66"/>
      <c r="C888" s="66"/>
      <c r="D888" s="66"/>
      <c r="E888" s="66"/>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104"/>
      <c r="B889" s="66"/>
      <c r="C889" s="66"/>
      <c r="D889" s="66"/>
      <c r="E889" s="66"/>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104"/>
      <c r="B890" s="66"/>
      <c r="C890" s="66"/>
      <c r="D890" s="66"/>
      <c r="E890" s="66"/>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104"/>
      <c r="B891" s="66"/>
      <c r="C891" s="66"/>
      <c r="D891" s="66"/>
      <c r="E891" s="66"/>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104"/>
      <c r="B892" s="66"/>
      <c r="C892" s="66"/>
      <c r="D892" s="66"/>
      <c r="E892" s="66"/>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104"/>
      <c r="B893" s="66"/>
      <c r="C893" s="66"/>
      <c r="D893" s="66"/>
      <c r="E893" s="66"/>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104"/>
      <c r="B894" s="66"/>
      <c r="C894" s="66"/>
      <c r="D894" s="66"/>
      <c r="E894" s="66"/>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104"/>
      <c r="B895" s="66"/>
      <c r="C895" s="66"/>
      <c r="D895" s="66"/>
      <c r="E895" s="66"/>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104"/>
      <c r="B896" s="66"/>
      <c r="C896" s="66"/>
      <c r="D896" s="66"/>
      <c r="E896" s="66"/>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104"/>
      <c r="B897" s="66"/>
      <c r="C897" s="66"/>
      <c r="D897" s="66"/>
      <c r="E897" s="66"/>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104"/>
      <c r="B898" s="66"/>
      <c r="C898" s="66"/>
      <c r="D898" s="66"/>
      <c r="E898" s="66"/>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104"/>
      <c r="B899" s="66"/>
      <c r="C899" s="66"/>
      <c r="D899" s="66"/>
      <c r="E899" s="66"/>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104"/>
      <c r="B900" s="66"/>
      <c r="C900" s="66"/>
      <c r="D900" s="66"/>
      <c r="E900" s="66"/>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104"/>
      <c r="B901" s="66"/>
      <c r="C901" s="66"/>
      <c r="D901" s="66"/>
      <c r="E901" s="66"/>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104"/>
      <c r="B902" s="66"/>
      <c r="C902" s="66"/>
      <c r="D902" s="66"/>
      <c r="E902" s="66"/>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104"/>
      <c r="B903" s="66"/>
      <c r="C903" s="66"/>
      <c r="D903" s="66"/>
      <c r="E903" s="66"/>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104"/>
      <c r="B904" s="66"/>
      <c r="C904" s="66"/>
      <c r="D904" s="66"/>
      <c r="E904" s="66"/>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104"/>
      <c r="B905" s="66"/>
      <c r="C905" s="66"/>
      <c r="D905" s="66"/>
      <c r="E905" s="66"/>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104"/>
      <c r="B906" s="66"/>
      <c r="C906" s="66"/>
      <c r="D906" s="66"/>
      <c r="E906" s="66"/>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104"/>
      <c r="B907" s="66"/>
      <c r="C907" s="66"/>
      <c r="D907" s="66"/>
      <c r="E907" s="66"/>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104"/>
      <c r="B908" s="66"/>
      <c r="C908" s="66"/>
      <c r="D908" s="66"/>
      <c r="E908" s="66"/>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104"/>
      <c r="B909" s="66"/>
      <c r="C909" s="66"/>
      <c r="D909" s="66"/>
      <c r="E909" s="66"/>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104"/>
      <c r="B910" s="66"/>
      <c r="C910" s="66"/>
      <c r="D910" s="66"/>
      <c r="E910" s="66"/>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104"/>
      <c r="B911" s="66"/>
      <c r="C911" s="66"/>
      <c r="D911" s="66"/>
      <c r="E911" s="66"/>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104"/>
      <c r="B912" s="66"/>
      <c r="C912" s="66"/>
      <c r="D912" s="66"/>
      <c r="E912" s="66"/>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104"/>
      <c r="B913" s="66"/>
      <c r="C913" s="66"/>
      <c r="D913" s="66"/>
      <c r="E913" s="66"/>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104"/>
      <c r="B914" s="66"/>
      <c r="C914" s="66"/>
      <c r="D914" s="66"/>
      <c r="E914" s="66"/>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104"/>
      <c r="B915" s="66"/>
      <c r="C915" s="66"/>
      <c r="D915" s="66"/>
      <c r="E915" s="66"/>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104"/>
      <c r="B916" s="66"/>
      <c r="C916" s="66"/>
      <c r="D916" s="66"/>
      <c r="E916" s="66"/>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104"/>
      <c r="B917" s="66"/>
      <c r="C917" s="66"/>
      <c r="D917" s="66"/>
      <c r="E917" s="66"/>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104"/>
      <c r="B918" s="66"/>
      <c r="C918" s="66"/>
      <c r="D918" s="66"/>
      <c r="E918" s="66"/>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104"/>
      <c r="B919" s="66"/>
      <c r="C919" s="66"/>
      <c r="D919" s="66"/>
      <c r="E919" s="66"/>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104"/>
      <c r="B920" s="66"/>
      <c r="C920" s="66"/>
      <c r="D920" s="66"/>
      <c r="E920" s="66"/>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104"/>
      <c r="B921" s="66"/>
      <c r="C921" s="66"/>
      <c r="D921" s="66"/>
      <c r="E921" s="66"/>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104"/>
      <c r="B922" s="66"/>
      <c r="C922" s="66"/>
      <c r="D922" s="66"/>
      <c r="E922" s="66"/>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104"/>
      <c r="B923" s="66"/>
      <c r="C923" s="66"/>
      <c r="D923" s="66"/>
      <c r="E923" s="66"/>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104"/>
      <c r="B924" s="66"/>
      <c r="C924" s="66"/>
      <c r="D924" s="66"/>
      <c r="E924" s="66"/>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104"/>
      <c r="B925" s="66"/>
      <c r="C925" s="66"/>
      <c r="D925" s="66"/>
      <c r="E925" s="66"/>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104"/>
      <c r="B926" s="66"/>
      <c r="C926" s="66"/>
      <c r="D926" s="66"/>
      <c r="E926" s="66"/>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104"/>
      <c r="B927" s="66"/>
      <c r="C927" s="66"/>
      <c r="D927" s="66"/>
      <c r="E927" s="66"/>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104"/>
      <c r="B928" s="66"/>
      <c r="C928" s="66"/>
      <c r="D928" s="66"/>
      <c r="E928" s="66"/>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104"/>
      <c r="B929" s="66"/>
      <c r="C929" s="66"/>
      <c r="D929" s="66"/>
      <c r="E929" s="66"/>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104"/>
      <c r="B930" s="66"/>
      <c r="C930" s="66"/>
      <c r="D930" s="66"/>
      <c r="E930" s="66"/>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104"/>
      <c r="B931" s="66"/>
      <c r="C931" s="66"/>
      <c r="D931" s="66"/>
      <c r="E931" s="66"/>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104"/>
      <c r="B932" s="66"/>
      <c r="C932" s="66"/>
      <c r="D932" s="66"/>
      <c r="E932" s="66"/>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104"/>
      <c r="B933" s="66"/>
      <c r="C933" s="66"/>
      <c r="D933" s="66"/>
      <c r="E933" s="66"/>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104"/>
      <c r="B934" s="66"/>
      <c r="C934" s="66"/>
      <c r="D934" s="66"/>
      <c r="E934" s="66"/>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104"/>
      <c r="B935" s="66"/>
      <c r="C935" s="66"/>
      <c r="D935" s="66"/>
      <c r="E935" s="66"/>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104"/>
      <c r="B936" s="66"/>
      <c r="C936" s="66"/>
      <c r="D936" s="66"/>
      <c r="E936" s="66"/>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104"/>
      <c r="B937" s="66"/>
      <c r="C937" s="66"/>
      <c r="D937" s="66"/>
      <c r="E937" s="66"/>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104"/>
      <c r="B938" s="66"/>
      <c r="C938" s="66"/>
      <c r="D938" s="66"/>
      <c r="E938" s="66"/>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104"/>
      <c r="B939" s="66"/>
      <c r="C939" s="66"/>
      <c r="D939" s="66"/>
      <c r="E939" s="66"/>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104"/>
      <c r="B940" s="66"/>
      <c r="C940" s="66"/>
      <c r="D940" s="66"/>
      <c r="E940" s="66"/>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104"/>
      <c r="B941" s="66"/>
      <c r="C941" s="66"/>
      <c r="D941" s="66"/>
      <c r="E941" s="66"/>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104"/>
      <c r="B942" s="66"/>
      <c r="C942" s="66"/>
      <c r="D942" s="66"/>
      <c r="E942" s="66"/>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104"/>
      <c r="B943" s="66"/>
      <c r="C943" s="66"/>
      <c r="D943" s="66"/>
      <c r="E943" s="66"/>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104"/>
      <c r="B944" s="66"/>
      <c r="C944" s="66"/>
      <c r="D944" s="66"/>
      <c r="E944" s="66"/>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104"/>
      <c r="B945" s="66"/>
      <c r="C945" s="66"/>
      <c r="D945" s="66"/>
      <c r="E945" s="66"/>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104"/>
      <c r="B946" s="66"/>
      <c r="C946" s="66"/>
      <c r="D946" s="66"/>
      <c r="E946" s="66"/>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104"/>
      <c r="B947" s="66"/>
      <c r="C947" s="66"/>
      <c r="D947" s="66"/>
      <c r="E947" s="66"/>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104"/>
      <c r="B948" s="66"/>
      <c r="C948" s="66"/>
      <c r="D948" s="66"/>
      <c r="E948" s="66"/>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104"/>
      <c r="B949" s="66"/>
      <c r="C949" s="66"/>
      <c r="D949" s="66"/>
      <c r="E949" s="66"/>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104"/>
      <c r="B950" s="66"/>
      <c r="C950" s="66"/>
      <c r="D950" s="66"/>
      <c r="E950" s="66"/>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104"/>
      <c r="B951" s="66"/>
      <c r="C951" s="66"/>
      <c r="D951" s="66"/>
      <c r="E951" s="66"/>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104"/>
      <c r="B952" s="66"/>
      <c r="C952" s="66"/>
      <c r="D952" s="66"/>
      <c r="E952" s="66"/>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104"/>
      <c r="B953" s="66"/>
      <c r="C953" s="66"/>
      <c r="D953" s="66"/>
      <c r="E953" s="66"/>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104"/>
      <c r="B954" s="66"/>
      <c r="C954" s="66"/>
      <c r="D954" s="66"/>
      <c r="E954" s="66"/>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104"/>
      <c r="B955" s="66"/>
      <c r="C955" s="66"/>
      <c r="D955" s="66"/>
      <c r="E955" s="66"/>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104"/>
      <c r="B956" s="66"/>
      <c r="C956" s="66"/>
      <c r="D956" s="66"/>
      <c r="E956" s="66"/>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104"/>
      <c r="B957" s="66"/>
      <c r="C957" s="66"/>
      <c r="D957" s="66"/>
      <c r="E957" s="66"/>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104"/>
      <c r="B958" s="66"/>
      <c r="C958" s="66"/>
      <c r="D958" s="66"/>
      <c r="E958" s="66"/>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104"/>
      <c r="B959" s="66"/>
      <c r="C959" s="66"/>
      <c r="D959" s="66"/>
      <c r="E959" s="66"/>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104"/>
      <c r="B960" s="66"/>
      <c r="C960" s="66"/>
      <c r="D960" s="66"/>
      <c r="E960" s="66"/>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104"/>
      <c r="B961" s="66"/>
      <c r="C961" s="66"/>
      <c r="D961" s="66"/>
      <c r="E961" s="66"/>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104"/>
      <c r="B962" s="66"/>
      <c r="C962" s="66"/>
      <c r="D962" s="66"/>
      <c r="E962" s="66"/>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104"/>
      <c r="B963" s="66"/>
      <c r="C963" s="66"/>
      <c r="D963" s="66"/>
      <c r="E963" s="66"/>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104"/>
      <c r="B964" s="66"/>
      <c r="C964" s="66"/>
      <c r="D964" s="66"/>
      <c r="E964" s="66"/>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104"/>
      <c r="B965" s="66"/>
      <c r="C965" s="66"/>
      <c r="D965" s="66"/>
      <c r="E965" s="66"/>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104"/>
      <c r="B966" s="66"/>
      <c r="C966" s="66"/>
      <c r="D966" s="66"/>
      <c r="E966" s="66"/>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104"/>
      <c r="B967" s="66"/>
      <c r="C967" s="66"/>
      <c r="D967" s="66"/>
      <c r="E967" s="66"/>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104"/>
      <c r="B968" s="66"/>
      <c r="C968" s="66"/>
      <c r="D968" s="66"/>
      <c r="E968" s="66"/>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104"/>
      <c r="B969" s="66"/>
      <c r="C969" s="66"/>
      <c r="D969" s="66"/>
      <c r="E969" s="66"/>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104"/>
      <c r="B970" s="66"/>
      <c r="C970" s="66"/>
      <c r="D970" s="66"/>
      <c r="E970" s="66"/>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104"/>
      <c r="B971" s="66"/>
      <c r="C971" s="66"/>
      <c r="D971" s="66"/>
      <c r="E971" s="66"/>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104"/>
      <c r="B972" s="66"/>
      <c r="C972" s="66"/>
      <c r="D972" s="66"/>
      <c r="E972" s="66"/>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104"/>
      <c r="B973" s="66"/>
      <c r="C973" s="66"/>
      <c r="D973" s="66"/>
      <c r="E973" s="66"/>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104"/>
      <c r="B974" s="66"/>
      <c r="C974" s="66"/>
      <c r="D974" s="66"/>
      <c r="E974" s="66"/>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104"/>
      <c r="B975" s="66"/>
      <c r="C975" s="66"/>
      <c r="D975" s="66"/>
      <c r="E975" s="66"/>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104"/>
      <c r="B976" s="66"/>
      <c r="C976" s="66"/>
      <c r="D976" s="66"/>
      <c r="E976" s="66"/>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104"/>
      <c r="B977" s="66"/>
      <c r="C977" s="66"/>
      <c r="D977" s="66"/>
      <c r="E977" s="66"/>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104"/>
      <c r="B978" s="66"/>
      <c r="C978" s="66"/>
      <c r="D978" s="66"/>
      <c r="E978" s="66"/>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104"/>
      <c r="B979" s="66"/>
      <c r="C979" s="66"/>
      <c r="D979" s="66"/>
      <c r="E979" s="66"/>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104"/>
      <c r="B980" s="66"/>
      <c r="C980" s="66"/>
      <c r="D980" s="66"/>
      <c r="E980" s="66"/>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104"/>
      <c r="B981" s="66"/>
      <c r="C981" s="66"/>
      <c r="D981" s="66"/>
      <c r="E981" s="66"/>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104"/>
      <c r="B982" s="66"/>
      <c r="C982" s="66"/>
      <c r="D982" s="66"/>
      <c r="E982" s="66"/>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104"/>
      <c r="B983" s="66"/>
      <c r="C983" s="66"/>
      <c r="D983" s="66"/>
      <c r="E983" s="66"/>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104"/>
      <c r="B984" s="66"/>
      <c r="C984" s="66"/>
      <c r="D984" s="66"/>
      <c r="E984" s="66"/>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104"/>
      <c r="B985" s="66"/>
      <c r="C985" s="66"/>
      <c r="D985" s="66"/>
      <c r="E985" s="66"/>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104"/>
      <c r="B986" s="66"/>
      <c r="C986" s="66"/>
      <c r="D986" s="66"/>
      <c r="E986" s="66"/>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104"/>
      <c r="B987" s="66"/>
      <c r="C987" s="66"/>
      <c r="D987" s="66"/>
      <c r="E987" s="66"/>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104"/>
      <c r="B988" s="66"/>
      <c r="C988" s="66"/>
      <c r="D988" s="66"/>
      <c r="E988" s="66"/>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104"/>
      <c r="B989" s="66"/>
      <c r="C989" s="66"/>
      <c r="D989" s="66"/>
      <c r="E989" s="66"/>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104"/>
      <c r="B990" s="66"/>
      <c r="C990" s="66"/>
      <c r="D990" s="66"/>
      <c r="E990" s="66"/>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104"/>
      <c r="B991" s="66"/>
      <c r="C991" s="66"/>
      <c r="D991" s="66"/>
      <c r="E991" s="66"/>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104"/>
      <c r="B992" s="66"/>
      <c r="C992" s="66"/>
      <c r="D992" s="66"/>
      <c r="E992" s="66"/>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104"/>
      <c r="B993" s="66"/>
      <c r="C993" s="66"/>
      <c r="D993" s="66"/>
      <c r="E993" s="66"/>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104"/>
      <c r="B994" s="66"/>
      <c r="C994" s="66"/>
      <c r="D994" s="66"/>
      <c r="E994" s="66"/>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104"/>
      <c r="B995" s="66"/>
      <c r="C995" s="66"/>
      <c r="D995" s="66"/>
      <c r="E995" s="66"/>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104"/>
      <c r="B996" s="66"/>
      <c r="C996" s="66"/>
      <c r="D996" s="66"/>
      <c r="E996" s="66"/>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104"/>
      <c r="B997" s="66"/>
      <c r="C997" s="66"/>
      <c r="D997" s="66"/>
      <c r="E997" s="66"/>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104"/>
      <c r="B998" s="66"/>
      <c r="C998" s="66"/>
      <c r="D998" s="66"/>
      <c r="E998" s="66"/>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104"/>
      <c r="B999" s="66"/>
      <c r="C999" s="66"/>
      <c r="D999" s="66"/>
      <c r="E999" s="66"/>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104"/>
      <c r="B1000" s="66"/>
      <c r="C1000" s="66"/>
      <c r="D1000" s="66"/>
      <c r="E1000" s="66"/>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7.25" customHeight="1">
      <c r="A1001" s="104"/>
      <c r="B1001" s="66"/>
      <c r="C1001" s="66"/>
      <c r="D1001" s="66"/>
      <c r="E1001" s="66"/>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row r="1002" spans="1:26" ht="17.25" customHeight="1">
      <c r="A1002" s="104"/>
      <c r="B1002" s="66"/>
      <c r="C1002" s="66"/>
      <c r="D1002" s="66"/>
      <c r="E1002" s="66"/>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row>
    <row r="1003" spans="1:26" ht="17.25" customHeight="1">
      <c r="A1003" s="104"/>
      <c r="B1003" s="66"/>
      <c r="C1003" s="66"/>
      <c r="D1003" s="66"/>
      <c r="E1003" s="66"/>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row>
    <row r="1004" spans="1:26" ht="17.25" customHeight="1">
      <c r="A1004" s="104"/>
      <c r="B1004" s="66"/>
      <c r="C1004" s="66"/>
      <c r="D1004" s="66"/>
      <c r="E1004" s="66"/>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row>
    <row r="1005" spans="1:26" ht="17.25" customHeight="1">
      <c r="A1005" s="104"/>
      <c r="B1005" s="66"/>
      <c r="C1005" s="66"/>
      <c r="D1005" s="66"/>
      <c r="E1005" s="66"/>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row>
    <row r="1006" spans="1:26" ht="17.25" customHeight="1">
      <c r="A1006" s="104"/>
      <c r="B1006" s="66"/>
      <c r="C1006" s="66"/>
      <c r="D1006" s="66"/>
      <c r="E1006" s="66"/>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row>
    <row r="1007" spans="1:26" ht="17.25" customHeight="1">
      <c r="A1007" s="104"/>
      <c r="B1007" s="66"/>
      <c r="C1007" s="66"/>
      <c r="D1007" s="66"/>
      <c r="E1007" s="66"/>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row>
    <row r="1008" spans="1:26" ht="17.25" customHeight="1">
      <c r="A1008" s="104"/>
      <c r="B1008" s="66"/>
      <c r="C1008" s="66"/>
      <c r="D1008" s="66"/>
      <c r="E1008" s="66"/>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row>
    <row r="1009" spans="1:26" ht="17.25" customHeight="1">
      <c r="A1009" s="104"/>
      <c r="B1009" s="66"/>
      <c r="C1009" s="66"/>
      <c r="D1009" s="66"/>
      <c r="E1009" s="66"/>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row>
    <row r="1010" spans="1:26" ht="17.25" customHeight="1">
      <c r="A1010" s="104"/>
      <c r="B1010" s="66"/>
      <c r="C1010" s="66"/>
      <c r="D1010" s="66"/>
      <c r="E1010" s="66"/>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row>
    <row r="1011" spans="1:26" ht="17.25" customHeight="1">
      <c r="A1011" s="104"/>
      <c r="B1011" s="66"/>
      <c r="C1011" s="66"/>
      <c r="D1011" s="66"/>
      <c r="E1011" s="66"/>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Z1011" s="105"/>
    </row>
    <row r="1012" spans="1:26" ht="17.25" customHeight="1">
      <c r="A1012" s="104"/>
      <c r="B1012" s="66"/>
      <c r="C1012" s="66"/>
      <c r="D1012" s="66"/>
      <c r="E1012" s="66"/>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Z1012" s="105"/>
    </row>
    <row r="1013" spans="1:26" ht="17.25" customHeight="1">
      <c r="A1013" s="104"/>
      <c r="B1013" s="66"/>
      <c r="C1013" s="66"/>
      <c r="D1013" s="66"/>
      <c r="E1013" s="66"/>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Z1013" s="105"/>
    </row>
    <row r="1014" spans="1:26" ht="17.25" customHeight="1">
      <c r="A1014" s="104"/>
      <c r="B1014" s="66"/>
      <c r="C1014" s="66"/>
      <c r="D1014" s="66"/>
      <c r="E1014" s="66"/>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Z1014" s="105"/>
    </row>
    <row r="1015" spans="1:26" ht="17.25" customHeight="1">
      <c r="A1015" s="104"/>
      <c r="B1015" s="66"/>
      <c r="C1015" s="66"/>
      <c r="D1015" s="66"/>
      <c r="E1015" s="66"/>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row>
    <row r="1016" spans="1:26" ht="17.25" customHeight="1">
      <c r="A1016" s="104"/>
      <c r="B1016" s="66"/>
      <c r="C1016" s="66"/>
      <c r="D1016" s="66"/>
      <c r="E1016" s="66"/>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Z1016" s="105"/>
    </row>
    <row r="1017" spans="1:26" ht="17.25" customHeight="1">
      <c r="A1017" s="104"/>
      <c r="B1017" s="66"/>
      <c r="C1017" s="66"/>
      <c r="D1017" s="66"/>
      <c r="E1017" s="66"/>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Z1017" s="105"/>
    </row>
    <row r="1018" spans="1:26" ht="17.25" customHeight="1">
      <c r="A1018" s="104"/>
      <c r="B1018" s="66"/>
      <c r="C1018" s="66"/>
      <c r="D1018" s="66"/>
      <c r="E1018" s="66"/>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Z1018" s="105"/>
    </row>
    <row r="1019" spans="1:26" ht="17.25" customHeight="1">
      <c r="A1019" s="104"/>
      <c r="B1019" s="66"/>
      <c r="C1019" s="66"/>
      <c r="D1019" s="66"/>
      <c r="E1019" s="66"/>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Z1019" s="105"/>
    </row>
    <row r="1020" spans="1:26" ht="17.25" customHeight="1">
      <c r="A1020" s="104"/>
      <c r="B1020" s="66"/>
      <c r="C1020" s="66"/>
      <c r="D1020" s="66"/>
      <c r="E1020" s="66"/>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Z1020" s="105"/>
    </row>
    <row r="1021" spans="1:26" ht="17.25" customHeight="1">
      <c r="A1021" s="104"/>
      <c r="B1021" s="66"/>
      <c r="C1021" s="66"/>
      <c r="D1021" s="66"/>
      <c r="E1021" s="66"/>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Z1021" s="105"/>
    </row>
    <row r="1022" spans="1:26" ht="17.25" customHeight="1">
      <c r="A1022" s="104"/>
      <c r="B1022" s="66"/>
      <c r="C1022" s="66"/>
      <c r="D1022" s="66"/>
      <c r="E1022" s="66"/>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Z1022" s="105"/>
    </row>
    <row r="1023" spans="1:26" ht="17.25" customHeight="1">
      <c r="A1023" s="104"/>
      <c r="B1023" s="66"/>
      <c r="C1023" s="66"/>
      <c r="D1023" s="66"/>
      <c r="E1023" s="66"/>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Z1023" s="105"/>
    </row>
    <row r="1024" spans="1:26" ht="17.25" customHeight="1">
      <c r="A1024" s="104"/>
      <c r="B1024" s="66"/>
      <c r="C1024" s="66"/>
      <c r="D1024" s="66"/>
      <c r="E1024" s="66"/>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Z1024" s="105"/>
    </row>
    <row r="1025" spans="1:26" ht="17.25" customHeight="1">
      <c r="A1025" s="104"/>
      <c r="B1025" s="66"/>
      <c r="C1025" s="66"/>
      <c r="D1025" s="66"/>
      <c r="E1025" s="66"/>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Z1025" s="105"/>
    </row>
    <row r="1026" spans="1:26" ht="17.25" customHeight="1">
      <c r="A1026" s="104"/>
      <c r="B1026" s="66"/>
      <c r="C1026" s="66"/>
      <c r="D1026" s="66"/>
      <c r="E1026" s="66"/>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Z1026" s="105"/>
    </row>
    <row r="1027" spans="1:26" ht="17.25" customHeight="1">
      <c r="A1027" s="104"/>
      <c r="B1027" s="66"/>
      <c r="C1027" s="66"/>
      <c r="D1027" s="66"/>
      <c r="E1027" s="66"/>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Z1027" s="105"/>
    </row>
    <row r="1028" spans="1:26" ht="17.25" customHeight="1">
      <c r="A1028" s="104"/>
      <c r="B1028" s="66"/>
      <c r="C1028" s="66"/>
      <c r="D1028" s="66"/>
      <c r="E1028" s="66"/>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Z1028" s="105"/>
    </row>
    <row r="1029" spans="1:26" ht="17.25" customHeight="1">
      <c r="A1029" s="104"/>
      <c r="B1029" s="66"/>
      <c r="C1029" s="66"/>
      <c r="D1029" s="66"/>
      <c r="E1029" s="66"/>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Z1029" s="105"/>
    </row>
    <row r="1030" spans="1:26" ht="17.25" customHeight="1">
      <c r="A1030" s="104"/>
      <c r="B1030" s="66"/>
      <c r="C1030" s="66"/>
      <c r="D1030" s="66"/>
      <c r="E1030" s="66"/>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Z1030" s="105"/>
    </row>
    <row r="1031" spans="1:26" ht="17.25" customHeight="1">
      <c r="A1031" s="104"/>
      <c r="B1031" s="66"/>
      <c r="C1031" s="66"/>
      <c r="D1031" s="66"/>
      <c r="E1031" s="66"/>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Z1031" s="105"/>
    </row>
    <row r="1032" spans="1:26" ht="17.25" customHeight="1">
      <c r="A1032" s="104"/>
      <c r="B1032" s="66"/>
      <c r="C1032" s="66"/>
      <c r="D1032" s="66"/>
      <c r="E1032" s="66"/>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Z1032" s="105"/>
    </row>
    <row r="1033" spans="1:26" ht="17.25" customHeight="1">
      <c r="A1033" s="104"/>
      <c r="B1033" s="66"/>
      <c r="C1033" s="66"/>
      <c r="D1033" s="66"/>
      <c r="E1033" s="66"/>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Z1033" s="105"/>
    </row>
    <row r="1034" spans="1:26" ht="17.25" customHeight="1">
      <c r="A1034" s="104"/>
      <c r="B1034" s="66"/>
      <c r="C1034" s="66"/>
      <c r="D1034" s="66"/>
      <c r="E1034" s="66"/>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Z1034" s="105"/>
    </row>
    <row r="1035" spans="1:26" ht="17.25" customHeight="1">
      <c r="A1035" s="104"/>
      <c r="B1035" s="66"/>
      <c r="C1035" s="66"/>
      <c r="D1035" s="66"/>
      <c r="E1035" s="66"/>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Z1035" s="105"/>
    </row>
    <row r="1036" spans="1:26" ht="17.25" customHeight="1">
      <c r="A1036" s="104"/>
      <c r="B1036" s="66"/>
      <c r="C1036" s="66"/>
      <c r="D1036" s="66"/>
      <c r="E1036" s="66"/>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Z1036" s="105"/>
    </row>
    <row r="1037" spans="1:26" ht="17.25" customHeight="1">
      <c r="A1037" s="104"/>
      <c r="B1037" s="66"/>
      <c r="C1037" s="66"/>
      <c r="D1037" s="66"/>
      <c r="E1037" s="66"/>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Z1037" s="105"/>
    </row>
    <row r="1038" spans="1:26" ht="17.25" customHeight="1">
      <c r="A1038" s="104"/>
      <c r="B1038" s="66"/>
      <c r="C1038" s="66"/>
      <c r="D1038" s="66"/>
      <c r="E1038" s="66"/>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Z1038" s="105"/>
    </row>
    <row r="1039" spans="1:26" ht="17.25" customHeight="1">
      <c r="A1039" s="104"/>
      <c r="B1039" s="66"/>
      <c r="C1039" s="66"/>
      <c r="D1039" s="66"/>
      <c r="E1039" s="66"/>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Z1039" s="105"/>
    </row>
    <row r="1040" spans="1:26" ht="17.25" customHeight="1">
      <c r="A1040" s="104"/>
      <c r="B1040" s="66"/>
      <c r="C1040" s="66"/>
      <c r="D1040" s="66"/>
      <c r="E1040" s="66"/>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Z1040" s="105"/>
    </row>
    <row r="1041" spans="1:26" ht="17.25" customHeight="1">
      <c r="A1041" s="104"/>
      <c r="B1041" s="66"/>
      <c r="C1041" s="66"/>
      <c r="D1041" s="66"/>
      <c r="E1041" s="66"/>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Z1041" s="105"/>
    </row>
    <row r="1042" spans="1:26" ht="17.25" customHeight="1">
      <c r="A1042" s="104"/>
      <c r="B1042" s="66"/>
      <c r="C1042" s="66"/>
      <c r="D1042" s="66"/>
      <c r="E1042" s="66"/>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Z1042" s="105"/>
    </row>
    <row r="1043" spans="1:26" ht="17.25" customHeight="1">
      <c r="A1043" s="104"/>
      <c r="B1043" s="66"/>
      <c r="C1043" s="66"/>
      <c r="D1043" s="66"/>
      <c r="E1043" s="66"/>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Z1043" s="105"/>
    </row>
    <row r="1044" spans="1:26" ht="17.25" customHeight="1">
      <c r="A1044" s="104"/>
      <c r="B1044" s="66"/>
      <c r="C1044" s="66"/>
      <c r="D1044" s="66"/>
      <c r="E1044" s="66"/>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Z1044" s="105"/>
    </row>
    <row r="1045" spans="1:26" ht="17.25" customHeight="1">
      <c r="A1045" s="104"/>
      <c r="B1045" s="66"/>
      <c r="C1045" s="66"/>
      <c r="D1045" s="66"/>
      <c r="E1045" s="66"/>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Z1045" s="105"/>
    </row>
    <row r="1046" spans="1:26" ht="17.25" customHeight="1">
      <c r="A1046" s="104"/>
      <c r="B1046" s="66"/>
      <c r="C1046" s="66"/>
      <c r="D1046" s="66"/>
      <c r="E1046" s="66"/>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Z1046" s="105"/>
    </row>
    <row r="1047" spans="1:26" ht="17.25" customHeight="1">
      <c r="A1047" s="104"/>
      <c r="B1047" s="66"/>
      <c r="C1047" s="66"/>
      <c r="D1047" s="66"/>
      <c r="E1047" s="66"/>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Z1047" s="105"/>
    </row>
    <row r="1048" spans="1:26" ht="17.25" customHeight="1">
      <c r="A1048" s="104"/>
      <c r="B1048" s="66"/>
      <c r="C1048" s="66"/>
      <c r="D1048" s="66"/>
      <c r="E1048" s="66"/>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Z1048" s="105"/>
    </row>
    <row r="1049" spans="1:26" ht="17.25" customHeight="1">
      <c r="A1049" s="104"/>
      <c r="B1049" s="66"/>
      <c r="C1049" s="66"/>
      <c r="D1049" s="66"/>
      <c r="E1049" s="66"/>
      <c r="F1049" s="105"/>
      <c r="G1049" s="105"/>
      <c r="H1049" s="105"/>
      <c r="I1049" s="105"/>
      <c r="J1049" s="105"/>
      <c r="K1049" s="105"/>
      <c r="L1049" s="105"/>
      <c r="M1049" s="105"/>
      <c r="N1049" s="105"/>
      <c r="O1049" s="105"/>
      <c r="P1049" s="105"/>
      <c r="Q1049" s="105"/>
      <c r="R1049" s="105"/>
      <c r="S1049" s="105"/>
      <c r="T1049" s="105"/>
      <c r="U1049" s="105"/>
      <c r="V1049" s="105"/>
      <c r="W1049" s="105"/>
      <c r="X1049" s="105"/>
      <c r="Y1049" s="105"/>
      <c r="Z1049" s="105"/>
    </row>
    <row r="1050" spans="1:26" ht="17.25" customHeight="1">
      <c r="A1050" s="104"/>
      <c r="B1050" s="66"/>
      <c r="C1050" s="66"/>
      <c r="D1050" s="66"/>
      <c r="E1050" s="66"/>
      <c r="F1050" s="105"/>
      <c r="G1050" s="105"/>
      <c r="H1050" s="105"/>
      <c r="I1050" s="105"/>
      <c r="J1050" s="105"/>
      <c r="K1050" s="105"/>
      <c r="L1050" s="105"/>
      <c r="M1050" s="105"/>
      <c r="N1050" s="105"/>
      <c r="O1050" s="105"/>
      <c r="P1050" s="105"/>
      <c r="Q1050" s="105"/>
      <c r="R1050" s="105"/>
      <c r="S1050" s="105"/>
      <c r="T1050" s="105"/>
      <c r="U1050" s="105"/>
      <c r="V1050" s="105"/>
      <c r="W1050" s="105"/>
      <c r="X1050" s="105"/>
      <c r="Y1050" s="105"/>
      <c r="Z1050" s="105"/>
    </row>
    <row r="1051" spans="1:26" ht="17.25" customHeight="1">
      <c r="A1051" s="104"/>
      <c r="B1051" s="66"/>
      <c r="C1051" s="66"/>
      <c r="D1051" s="66"/>
      <c r="E1051" s="66"/>
      <c r="F1051" s="105"/>
      <c r="G1051" s="105"/>
      <c r="H1051" s="105"/>
      <c r="I1051" s="105"/>
      <c r="J1051" s="105"/>
      <c r="K1051" s="105"/>
      <c r="L1051" s="105"/>
      <c r="M1051" s="105"/>
      <c r="N1051" s="105"/>
      <c r="O1051" s="105"/>
      <c r="P1051" s="105"/>
      <c r="Q1051" s="105"/>
      <c r="R1051" s="105"/>
      <c r="S1051" s="105"/>
      <c r="T1051" s="105"/>
      <c r="U1051" s="105"/>
      <c r="V1051" s="105"/>
      <c r="W1051" s="105"/>
      <c r="X1051" s="105"/>
      <c r="Y1051" s="105"/>
      <c r="Z1051" s="105"/>
    </row>
    <row r="1052" spans="1:26" ht="17.25" customHeight="1">
      <c r="A1052" s="104"/>
      <c r="B1052" s="66"/>
      <c r="C1052" s="66"/>
      <c r="D1052" s="66"/>
      <c r="E1052" s="66"/>
      <c r="F1052" s="105"/>
      <c r="G1052" s="105"/>
      <c r="H1052" s="105"/>
      <c r="I1052" s="105"/>
      <c r="J1052" s="105"/>
      <c r="K1052" s="105"/>
      <c r="L1052" s="105"/>
      <c r="M1052" s="105"/>
      <c r="N1052" s="105"/>
      <c r="O1052" s="105"/>
      <c r="P1052" s="105"/>
      <c r="Q1052" s="105"/>
      <c r="R1052" s="105"/>
      <c r="S1052" s="105"/>
      <c r="T1052" s="105"/>
      <c r="U1052" s="105"/>
      <c r="V1052" s="105"/>
      <c r="W1052" s="105"/>
      <c r="X1052" s="105"/>
      <c r="Y1052" s="105"/>
      <c r="Z1052" s="105"/>
    </row>
    <row r="1053" spans="1:26" ht="17.25" customHeight="1">
      <c r="A1053" s="104"/>
      <c r="B1053" s="66"/>
      <c r="C1053" s="66"/>
      <c r="D1053" s="66"/>
      <c r="E1053" s="66"/>
      <c r="F1053" s="105"/>
      <c r="G1053" s="105"/>
      <c r="H1053" s="105"/>
      <c r="I1053" s="105"/>
      <c r="J1053" s="105"/>
      <c r="K1053" s="105"/>
      <c r="L1053" s="105"/>
      <c r="M1053" s="105"/>
      <c r="N1053" s="105"/>
      <c r="O1053" s="105"/>
      <c r="P1053" s="105"/>
      <c r="Q1053" s="105"/>
      <c r="R1053" s="105"/>
      <c r="S1053" s="105"/>
      <c r="T1053" s="105"/>
      <c r="U1053" s="105"/>
      <c r="V1053" s="105"/>
      <c r="W1053" s="105"/>
      <c r="X1053" s="105"/>
      <c r="Y1053" s="105"/>
      <c r="Z1053" s="105"/>
    </row>
    <row r="1054" spans="1:26" ht="17.25" customHeight="1">
      <c r="A1054" s="104"/>
      <c r="B1054" s="66"/>
      <c r="C1054" s="66"/>
      <c r="D1054" s="66"/>
      <c r="E1054" s="66"/>
      <c r="F1054" s="105"/>
      <c r="G1054" s="105"/>
      <c r="H1054" s="105"/>
      <c r="I1054" s="105"/>
      <c r="J1054" s="105"/>
      <c r="K1054" s="105"/>
      <c r="L1054" s="105"/>
      <c r="M1054" s="105"/>
      <c r="N1054" s="105"/>
      <c r="O1054" s="105"/>
      <c r="P1054" s="105"/>
      <c r="Q1054" s="105"/>
      <c r="R1054" s="105"/>
      <c r="S1054" s="105"/>
      <c r="T1054" s="105"/>
      <c r="U1054" s="105"/>
      <c r="V1054" s="105"/>
      <c r="W1054" s="105"/>
      <c r="X1054" s="105"/>
      <c r="Y1054" s="105"/>
      <c r="Z1054" s="105"/>
    </row>
    <row r="1055" spans="1:26" ht="17.25" customHeight="1">
      <c r="A1055" s="104"/>
      <c r="B1055" s="66"/>
      <c r="C1055" s="66"/>
      <c r="D1055" s="66"/>
      <c r="E1055" s="66"/>
      <c r="F1055" s="105"/>
      <c r="G1055" s="105"/>
      <c r="H1055" s="105"/>
      <c r="I1055" s="105"/>
      <c r="J1055" s="105"/>
      <c r="K1055" s="105"/>
      <c r="L1055" s="105"/>
      <c r="M1055" s="105"/>
      <c r="N1055" s="105"/>
      <c r="O1055" s="105"/>
      <c r="P1055" s="105"/>
      <c r="Q1055" s="105"/>
      <c r="R1055" s="105"/>
      <c r="S1055" s="105"/>
      <c r="T1055" s="105"/>
      <c r="U1055" s="105"/>
      <c r="V1055" s="105"/>
      <c r="W1055" s="105"/>
      <c r="X1055" s="105"/>
      <c r="Y1055" s="105"/>
      <c r="Z1055" s="105"/>
    </row>
    <row r="1056" spans="1:26" ht="17.25" customHeight="1">
      <c r="A1056" s="104"/>
      <c r="B1056" s="66"/>
      <c r="C1056" s="66"/>
      <c r="D1056" s="66"/>
      <c r="E1056" s="66"/>
      <c r="F1056" s="105"/>
      <c r="G1056" s="105"/>
      <c r="H1056" s="105"/>
      <c r="I1056" s="105"/>
      <c r="J1056" s="105"/>
      <c r="K1056" s="105"/>
      <c r="L1056" s="105"/>
      <c r="M1056" s="105"/>
      <c r="N1056" s="105"/>
      <c r="O1056" s="105"/>
      <c r="P1056" s="105"/>
      <c r="Q1056" s="105"/>
      <c r="R1056" s="105"/>
      <c r="S1056" s="105"/>
      <c r="T1056" s="105"/>
      <c r="U1056" s="105"/>
      <c r="V1056" s="105"/>
      <c r="W1056" s="105"/>
      <c r="X1056" s="105"/>
      <c r="Y1056" s="105"/>
      <c r="Z1056" s="105"/>
    </row>
    <row r="1057" spans="1:26" ht="17.25" customHeight="1">
      <c r="A1057" s="104"/>
      <c r="B1057" s="66"/>
      <c r="C1057" s="66"/>
      <c r="D1057" s="66"/>
      <c r="E1057" s="66"/>
      <c r="F1057" s="105"/>
      <c r="G1057" s="105"/>
      <c r="H1057" s="105"/>
      <c r="I1057" s="105"/>
      <c r="J1057" s="105"/>
      <c r="K1057" s="105"/>
      <c r="L1057" s="105"/>
      <c r="M1057" s="105"/>
      <c r="N1057" s="105"/>
      <c r="O1057" s="105"/>
      <c r="P1057" s="105"/>
      <c r="Q1057" s="105"/>
      <c r="R1057" s="105"/>
      <c r="S1057" s="105"/>
      <c r="T1057" s="105"/>
      <c r="U1057" s="105"/>
      <c r="V1057" s="105"/>
      <c r="W1057" s="105"/>
      <c r="X1057" s="105"/>
      <c r="Y1057" s="105"/>
      <c r="Z1057" s="105"/>
    </row>
    <row r="1058" spans="1:26" ht="17.25" customHeight="1">
      <c r="A1058" s="104"/>
      <c r="B1058" s="66"/>
      <c r="C1058" s="66"/>
      <c r="D1058" s="66"/>
      <c r="E1058" s="66"/>
      <c r="F1058" s="105"/>
      <c r="G1058" s="105"/>
      <c r="H1058" s="105"/>
      <c r="I1058" s="105"/>
      <c r="J1058" s="105"/>
      <c r="K1058" s="105"/>
      <c r="L1058" s="105"/>
      <c r="M1058" s="105"/>
      <c r="N1058" s="105"/>
      <c r="O1058" s="105"/>
      <c r="P1058" s="105"/>
      <c r="Q1058" s="105"/>
      <c r="R1058" s="105"/>
      <c r="S1058" s="105"/>
      <c r="T1058" s="105"/>
      <c r="U1058" s="105"/>
      <c r="V1058" s="105"/>
      <c r="W1058" s="105"/>
      <c r="X1058" s="105"/>
      <c r="Y1058" s="105"/>
      <c r="Z1058" s="105"/>
    </row>
    <row r="1059" spans="1:26" ht="17.25" customHeight="1">
      <c r="A1059" s="104"/>
      <c r="B1059" s="66"/>
      <c r="C1059" s="66"/>
      <c r="D1059" s="66"/>
      <c r="E1059" s="66"/>
      <c r="F1059" s="105"/>
      <c r="G1059" s="105"/>
      <c r="H1059" s="105"/>
      <c r="I1059" s="105"/>
      <c r="J1059" s="105"/>
      <c r="K1059" s="105"/>
      <c r="L1059" s="105"/>
      <c r="M1059" s="105"/>
      <c r="N1059" s="105"/>
      <c r="O1059" s="105"/>
      <c r="P1059" s="105"/>
      <c r="Q1059" s="105"/>
      <c r="R1059" s="105"/>
      <c r="S1059" s="105"/>
      <c r="T1059" s="105"/>
      <c r="U1059" s="105"/>
      <c r="V1059" s="105"/>
      <c r="W1059" s="105"/>
      <c r="X1059" s="105"/>
      <c r="Y1059" s="105"/>
      <c r="Z1059" s="105"/>
    </row>
    <row r="1060" spans="1:26" ht="17.25" customHeight="1">
      <c r="A1060" s="104"/>
      <c r="B1060" s="66"/>
      <c r="C1060" s="66"/>
      <c r="D1060" s="66"/>
      <c r="E1060" s="66"/>
      <c r="F1060" s="105"/>
      <c r="G1060" s="105"/>
      <c r="H1060" s="105"/>
      <c r="I1060" s="105"/>
      <c r="J1060" s="105"/>
      <c r="K1060" s="105"/>
      <c r="L1060" s="105"/>
      <c r="M1060" s="105"/>
      <c r="N1060" s="105"/>
      <c r="O1060" s="105"/>
      <c r="P1060" s="105"/>
      <c r="Q1060" s="105"/>
      <c r="R1060" s="105"/>
      <c r="S1060" s="105"/>
      <c r="T1060" s="105"/>
      <c r="U1060" s="105"/>
      <c r="V1060" s="105"/>
      <c r="W1060" s="105"/>
      <c r="X1060" s="105"/>
      <c r="Y1060" s="105"/>
      <c r="Z1060" s="105"/>
    </row>
    <row r="1061" spans="1:26" ht="17.25" customHeight="1">
      <c r="A1061" s="104"/>
      <c r="B1061" s="66"/>
      <c r="C1061" s="66"/>
      <c r="D1061" s="66"/>
      <c r="E1061" s="66"/>
      <c r="F1061" s="105"/>
      <c r="G1061" s="105"/>
      <c r="H1061" s="105"/>
      <c r="I1061" s="105"/>
      <c r="J1061" s="105"/>
      <c r="K1061" s="105"/>
      <c r="L1061" s="105"/>
      <c r="M1061" s="105"/>
      <c r="N1061" s="105"/>
      <c r="O1061" s="105"/>
      <c r="P1061" s="105"/>
      <c r="Q1061" s="105"/>
      <c r="R1061" s="105"/>
      <c r="S1061" s="105"/>
      <c r="T1061" s="105"/>
      <c r="U1061" s="105"/>
      <c r="V1061" s="105"/>
      <c r="W1061" s="105"/>
      <c r="X1061" s="105"/>
      <c r="Y1061" s="105"/>
      <c r="Z1061" s="105"/>
    </row>
    <row r="1062" spans="1:26" ht="17.25" customHeight="1">
      <c r="A1062" s="104"/>
      <c r="B1062" s="66"/>
      <c r="C1062" s="66"/>
      <c r="D1062" s="66"/>
      <c r="E1062" s="66"/>
      <c r="F1062" s="105"/>
      <c r="G1062" s="105"/>
      <c r="H1062" s="105"/>
      <c r="I1062" s="105"/>
      <c r="J1062" s="105"/>
      <c r="K1062" s="105"/>
      <c r="L1062" s="105"/>
      <c r="M1062" s="105"/>
      <c r="N1062" s="105"/>
      <c r="O1062" s="105"/>
      <c r="P1062" s="105"/>
      <c r="Q1062" s="105"/>
      <c r="R1062" s="105"/>
      <c r="S1062" s="105"/>
      <c r="T1062" s="105"/>
      <c r="U1062" s="105"/>
      <c r="V1062" s="105"/>
      <c r="W1062" s="105"/>
      <c r="X1062" s="105"/>
      <c r="Y1062" s="105"/>
      <c r="Z1062" s="105"/>
    </row>
    <row r="1063" spans="1:26" ht="17.25" customHeight="1">
      <c r="A1063" s="104"/>
      <c r="B1063" s="66"/>
      <c r="C1063" s="66"/>
      <c r="D1063" s="66"/>
      <c r="E1063" s="66"/>
      <c r="F1063" s="105"/>
      <c r="G1063" s="105"/>
      <c r="H1063" s="105"/>
      <c r="I1063" s="105"/>
      <c r="J1063" s="105"/>
      <c r="K1063" s="105"/>
      <c r="L1063" s="105"/>
      <c r="M1063" s="105"/>
      <c r="N1063" s="105"/>
      <c r="O1063" s="105"/>
      <c r="P1063" s="105"/>
      <c r="Q1063" s="105"/>
      <c r="R1063" s="105"/>
      <c r="S1063" s="105"/>
      <c r="T1063" s="105"/>
      <c r="U1063" s="105"/>
      <c r="V1063" s="105"/>
      <c r="W1063" s="105"/>
      <c r="X1063" s="105"/>
      <c r="Y1063" s="105"/>
      <c r="Z1063" s="105"/>
    </row>
    <row r="1064" spans="1:26" ht="17.25" customHeight="1">
      <c r="A1064" s="104"/>
      <c r="B1064" s="66"/>
      <c r="C1064" s="66"/>
      <c r="D1064" s="66"/>
      <c r="E1064" s="66"/>
      <c r="F1064" s="105"/>
      <c r="G1064" s="105"/>
      <c r="H1064" s="105"/>
      <c r="I1064" s="105"/>
      <c r="J1064" s="105"/>
      <c r="K1064" s="105"/>
      <c r="L1064" s="105"/>
      <c r="M1064" s="105"/>
      <c r="N1064" s="105"/>
      <c r="O1064" s="105"/>
      <c r="P1064" s="105"/>
      <c r="Q1064" s="105"/>
      <c r="R1064" s="105"/>
      <c r="S1064" s="105"/>
      <c r="T1064" s="105"/>
      <c r="U1064" s="105"/>
      <c r="V1064" s="105"/>
      <c r="W1064" s="105"/>
      <c r="X1064" s="105"/>
      <c r="Y1064" s="105"/>
      <c r="Z1064" s="105"/>
    </row>
    <row r="1065" spans="1:26" ht="17.25" customHeight="1">
      <c r="A1065" s="104"/>
      <c r="B1065" s="66"/>
      <c r="C1065" s="66"/>
      <c r="D1065" s="66"/>
      <c r="E1065" s="66"/>
      <c r="F1065" s="105"/>
      <c r="G1065" s="105"/>
      <c r="H1065" s="105"/>
      <c r="I1065" s="105"/>
      <c r="J1065" s="105"/>
      <c r="K1065" s="105"/>
      <c r="L1065" s="105"/>
      <c r="M1065" s="105"/>
      <c r="N1065" s="105"/>
      <c r="O1065" s="105"/>
      <c r="P1065" s="105"/>
      <c r="Q1065" s="105"/>
      <c r="R1065" s="105"/>
      <c r="S1065" s="105"/>
      <c r="T1065" s="105"/>
      <c r="U1065" s="105"/>
      <c r="V1065" s="105"/>
      <c r="W1065" s="105"/>
      <c r="X1065" s="105"/>
      <c r="Y1065" s="105"/>
      <c r="Z1065" s="105"/>
    </row>
    <row r="1066" spans="1:26" ht="17.25" customHeight="1">
      <c r="A1066" s="104"/>
      <c r="B1066" s="66"/>
      <c r="C1066" s="66"/>
      <c r="D1066" s="66"/>
      <c r="E1066" s="66"/>
      <c r="F1066" s="105"/>
      <c r="G1066" s="105"/>
      <c r="H1066" s="105"/>
      <c r="I1066" s="105"/>
      <c r="J1066" s="105"/>
      <c r="K1066" s="105"/>
      <c r="L1066" s="105"/>
      <c r="M1066" s="105"/>
      <c r="N1066" s="105"/>
      <c r="O1066" s="105"/>
      <c r="P1066" s="105"/>
      <c r="Q1066" s="105"/>
      <c r="R1066" s="105"/>
      <c r="S1066" s="105"/>
      <c r="T1066" s="105"/>
      <c r="U1066" s="105"/>
      <c r="V1066" s="105"/>
      <c r="W1066" s="105"/>
      <c r="X1066" s="105"/>
      <c r="Y1066" s="105"/>
      <c r="Z1066" s="105"/>
    </row>
    <row r="1067" spans="1:26" ht="17.25" customHeight="1">
      <c r="A1067" s="104"/>
      <c r="B1067" s="66"/>
      <c r="C1067" s="66"/>
      <c r="D1067" s="66"/>
      <c r="E1067" s="66"/>
      <c r="F1067" s="105"/>
      <c r="G1067" s="105"/>
      <c r="H1067" s="105"/>
      <c r="I1067" s="105"/>
      <c r="J1067" s="105"/>
      <c r="K1067" s="105"/>
      <c r="L1067" s="105"/>
      <c r="M1067" s="105"/>
      <c r="N1067" s="105"/>
      <c r="O1067" s="105"/>
      <c r="P1067" s="105"/>
      <c r="Q1067" s="105"/>
      <c r="R1067" s="105"/>
      <c r="S1067" s="105"/>
      <c r="T1067" s="105"/>
      <c r="U1067" s="105"/>
      <c r="V1067" s="105"/>
      <c r="W1067" s="105"/>
      <c r="X1067" s="105"/>
      <c r="Y1067" s="105"/>
      <c r="Z1067" s="105"/>
    </row>
    <row r="1068" spans="1:26" ht="17.25" customHeight="1">
      <c r="A1068" s="104"/>
      <c r="B1068" s="66"/>
      <c r="C1068" s="66"/>
      <c r="D1068" s="66"/>
      <c r="E1068" s="66"/>
      <c r="F1068" s="105"/>
      <c r="G1068" s="105"/>
      <c r="H1068" s="105"/>
      <c r="I1068" s="105"/>
      <c r="J1068" s="105"/>
      <c r="K1068" s="105"/>
      <c r="L1068" s="105"/>
      <c r="M1068" s="105"/>
      <c r="N1068" s="105"/>
      <c r="O1068" s="105"/>
      <c r="P1068" s="105"/>
      <c r="Q1068" s="105"/>
      <c r="R1068" s="105"/>
      <c r="S1068" s="105"/>
      <c r="T1068" s="105"/>
      <c r="U1068" s="105"/>
      <c r="V1068" s="105"/>
      <c r="W1068" s="105"/>
      <c r="X1068" s="105"/>
      <c r="Y1068" s="105"/>
      <c r="Z1068" s="105"/>
    </row>
    <row r="1069" spans="1:26" ht="17.25" customHeight="1">
      <c r="A1069" s="104"/>
      <c r="B1069" s="66"/>
      <c r="C1069" s="66"/>
      <c r="D1069" s="66"/>
      <c r="E1069" s="66"/>
      <c r="F1069" s="105"/>
      <c r="G1069" s="105"/>
      <c r="H1069" s="105"/>
      <c r="I1069" s="105"/>
      <c r="J1069" s="105"/>
      <c r="K1069" s="105"/>
      <c r="L1069" s="105"/>
      <c r="M1069" s="105"/>
      <c r="N1069" s="105"/>
      <c r="O1069" s="105"/>
      <c r="P1069" s="105"/>
      <c r="Q1069" s="105"/>
      <c r="R1069" s="105"/>
      <c r="S1069" s="105"/>
      <c r="T1069" s="105"/>
      <c r="U1069" s="105"/>
      <c r="V1069" s="105"/>
      <c r="W1069" s="105"/>
      <c r="X1069" s="105"/>
      <c r="Y1069" s="105"/>
      <c r="Z1069" s="105"/>
    </row>
    <row r="1070" spans="1:26" ht="17.25" customHeight="1">
      <c r="A1070" s="104"/>
      <c r="B1070" s="66"/>
      <c r="C1070" s="66"/>
      <c r="D1070" s="66"/>
      <c r="E1070" s="66"/>
      <c r="F1070" s="105"/>
      <c r="G1070" s="105"/>
      <c r="H1070" s="105"/>
      <c r="I1070" s="105"/>
      <c r="J1070" s="105"/>
      <c r="K1070" s="105"/>
      <c r="L1070" s="105"/>
      <c r="M1070" s="105"/>
      <c r="N1070" s="105"/>
      <c r="O1070" s="105"/>
      <c r="P1070" s="105"/>
      <c r="Q1070" s="105"/>
      <c r="R1070" s="105"/>
      <c r="S1070" s="105"/>
      <c r="T1070" s="105"/>
      <c r="U1070" s="105"/>
      <c r="V1070" s="105"/>
      <c r="W1070" s="105"/>
      <c r="X1070" s="105"/>
      <c r="Y1070" s="105"/>
      <c r="Z1070" s="105"/>
    </row>
    <row r="1071" spans="1:26" ht="17.25" customHeight="1">
      <c r="A1071" s="104"/>
      <c r="B1071" s="66"/>
      <c r="C1071" s="66"/>
      <c r="D1071" s="66"/>
      <c r="E1071" s="66"/>
      <c r="F1071" s="105"/>
      <c r="G1071" s="105"/>
      <c r="H1071" s="105"/>
      <c r="I1071" s="105"/>
      <c r="J1071" s="105"/>
      <c r="K1071" s="105"/>
      <c r="L1071" s="105"/>
      <c r="M1071" s="105"/>
      <c r="N1071" s="105"/>
      <c r="O1071" s="105"/>
      <c r="P1071" s="105"/>
      <c r="Q1071" s="105"/>
      <c r="R1071" s="105"/>
      <c r="S1071" s="105"/>
      <c r="T1071" s="105"/>
      <c r="U1071" s="105"/>
      <c r="V1071" s="105"/>
      <c r="W1071" s="105"/>
      <c r="X1071" s="105"/>
      <c r="Y1071" s="105"/>
      <c r="Z1071" s="105"/>
    </row>
    <row r="1072" spans="1:26" ht="17.25" customHeight="1">
      <c r="A1072" s="104"/>
      <c r="B1072" s="66"/>
      <c r="C1072" s="66"/>
      <c r="D1072" s="66"/>
      <c r="E1072" s="66"/>
      <c r="F1072" s="105"/>
      <c r="G1072" s="105"/>
      <c r="H1072" s="105"/>
      <c r="I1072" s="105"/>
      <c r="J1072" s="105"/>
      <c r="K1072" s="105"/>
      <c r="L1072" s="105"/>
      <c r="M1072" s="105"/>
      <c r="N1072" s="105"/>
      <c r="O1072" s="105"/>
      <c r="P1072" s="105"/>
      <c r="Q1072" s="105"/>
      <c r="R1072" s="105"/>
      <c r="S1072" s="105"/>
      <c r="T1072" s="105"/>
      <c r="U1072" s="105"/>
      <c r="V1072" s="105"/>
      <c r="W1072" s="105"/>
      <c r="X1072" s="105"/>
      <c r="Y1072" s="105"/>
      <c r="Z1072" s="105"/>
    </row>
    <row r="1073" spans="1:26" ht="17.25" customHeight="1">
      <c r="A1073" s="104"/>
      <c r="B1073" s="66"/>
      <c r="C1073" s="66"/>
      <c r="D1073" s="66"/>
      <c r="E1073" s="66"/>
      <c r="F1073" s="105"/>
      <c r="G1073" s="105"/>
      <c r="H1073" s="105"/>
      <c r="I1073" s="105"/>
      <c r="J1073" s="105"/>
      <c r="K1073" s="105"/>
      <c r="L1073" s="105"/>
      <c r="M1073" s="105"/>
      <c r="N1073" s="105"/>
      <c r="O1073" s="105"/>
      <c r="P1073" s="105"/>
      <c r="Q1073" s="105"/>
      <c r="R1073" s="105"/>
      <c r="S1073" s="105"/>
      <c r="T1073" s="105"/>
      <c r="U1073" s="105"/>
      <c r="V1073" s="105"/>
      <c r="W1073" s="105"/>
      <c r="X1073" s="105"/>
      <c r="Y1073" s="105"/>
      <c r="Z1073" s="105"/>
    </row>
    <row r="1074" spans="1:26" ht="17.25" customHeight="1">
      <c r="A1074" s="104"/>
      <c r="B1074" s="66"/>
      <c r="C1074" s="66"/>
      <c r="D1074" s="66"/>
      <c r="E1074" s="66"/>
      <c r="F1074" s="105"/>
      <c r="G1074" s="105"/>
      <c r="H1074" s="105"/>
      <c r="I1074" s="105"/>
      <c r="J1074" s="105"/>
      <c r="K1074" s="105"/>
      <c r="L1074" s="105"/>
      <c r="M1074" s="105"/>
      <c r="N1074" s="105"/>
      <c r="O1074" s="105"/>
      <c r="P1074" s="105"/>
      <c r="Q1074" s="105"/>
      <c r="R1074" s="105"/>
      <c r="S1074" s="105"/>
      <c r="T1074" s="105"/>
      <c r="U1074" s="105"/>
      <c r="V1074" s="105"/>
      <c r="W1074" s="105"/>
      <c r="X1074" s="105"/>
      <c r="Y1074" s="105"/>
      <c r="Z1074" s="105"/>
    </row>
    <row r="1075" spans="1:26" ht="17.25" customHeight="1">
      <c r="A1075" s="104"/>
      <c r="B1075" s="66"/>
      <c r="C1075" s="66"/>
      <c r="D1075" s="66"/>
      <c r="E1075" s="66"/>
      <c r="F1075" s="105"/>
      <c r="G1075" s="105"/>
      <c r="H1075" s="105"/>
      <c r="I1075" s="105"/>
      <c r="J1075" s="105"/>
      <c r="K1075" s="105"/>
      <c r="L1075" s="105"/>
      <c r="M1075" s="105"/>
      <c r="N1075" s="105"/>
      <c r="O1075" s="105"/>
      <c r="P1075" s="105"/>
      <c r="Q1075" s="105"/>
      <c r="R1075" s="105"/>
      <c r="S1075" s="105"/>
      <c r="T1075" s="105"/>
      <c r="U1075" s="105"/>
      <c r="V1075" s="105"/>
      <c r="W1075" s="105"/>
      <c r="X1075" s="105"/>
      <c r="Y1075" s="105"/>
      <c r="Z1075" s="105"/>
    </row>
    <row r="1076" spans="1:26" ht="17.25" customHeight="1">
      <c r="A1076" s="104"/>
      <c r="B1076" s="66"/>
      <c r="C1076" s="66"/>
      <c r="D1076" s="66"/>
      <c r="E1076" s="66"/>
      <c r="F1076" s="105"/>
      <c r="G1076" s="105"/>
      <c r="H1076" s="105"/>
      <c r="I1076" s="105"/>
      <c r="J1076" s="105"/>
      <c r="K1076" s="105"/>
      <c r="L1076" s="105"/>
      <c r="M1076" s="105"/>
      <c r="N1076" s="105"/>
      <c r="O1076" s="105"/>
      <c r="P1076" s="105"/>
      <c r="Q1076" s="105"/>
      <c r="R1076" s="105"/>
      <c r="S1076" s="105"/>
      <c r="T1076" s="105"/>
      <c r="U1076" s="105"/>
      <c r="V1076" s="105"/>
      <c r="W1076" s="105"/>
      <c r="X1076" s="105"/>
      <c r="Y1076" s="105"/>
      <c r="Z1076" s="105"/>
    </row>
    <row r="1077" spans="1:26" ht="17.25" customHeight="1">
      <c r="A1077" s="104"/>
      <c r="B1077" s="66"/>
      <c r="C1077" s="66"/>
      <c r="D1077" s="66"/>
      <c r="E1077" s="66"/>
      <c r="F1077" s="105"/>
      <c r="G1077" s="105"/>
      <c r="H1077" s="105"/>
      <c r="I1077" s="105"/>
      <c r="J1077" s="105"/>
      <c r="K1077" s="105"/>
      <c r="L1077" s="105"/>
      <c r="M1077" s="105"/>
      <c r="N1077" s="105"/>
      <c r="O1077" s="105"/>
      <c r="P1077" s="105"/>
      <c r="Q1077" s="105"/>
      <c r="R1077" s="105"/>
      <c r="S1077" s="105"/>
      <c r="T1077" s="105"/>
      <c r="U1077" s="105"/>
      <c r="V1077" s="105"/>
      <c r="W1077" s="105"/>
      <c r="X1077" s="105"/>
      <c r="Y1077" s="105"/>
      <c r="Z1077" s="105"/>
    </row>
    <row r="1078" spans="1:26" ht="17.25" customHeight="1">
      <c r="A1078" s="104"/>
      <c r="B1078" s="66"/>
      <c r="C1078" s="66"/>
      <c r="D1078" s="66"/>
      <c r="E1078" s="66"/>
      <c r="F1078" s="105"/>
      <c r="G1078" s="105"/>
      <c r="H1078" s="105"/>
      <c r="I1078" s="105"/>
      <c r="J1078" s="105"/>
      <c r="K1078" s="105"/>
      <c r="L1078" s="105"/>
      <c r="M1078" s="105"/>
      <c r="N1078" s="105"/>
      <c r="O1078" s="105"/>
      <c r="P1078" s="105"/>
      <c r="Q1078" s="105"/>
      <c r="R1078" s="105"/>
      <c r="S1078" s="105"/>
      <c r="T1078" s="105"/>
      <c r="U1078" s="105"/>
      <c r="V1078" s="105"/>
      <c r="W1078" s="105"/>
      <c r="X1078" s="105"/>
      <c r="Y1078" s="105"/>
      <c r="Z1078" s="105"/>
    </row>
    <row r="1079" spans="1:26" ht="17.25" customHeight="1">
      <c r="A1079" s="104"/>
      <c r="B1079" s="66"/>
      <c r="C1079" s="66"/>
      <c r="D1079" s="66"/>
      <c r="E1079" s="66"/>
      <c r="F1079" s="105"/>
      <c r="G1079" s="105"/>
      <c r="H1079" s="105"/>
      <c r="I1079" s="105"/>
      <c r="J1079" s="105"/>
      <c r="K1079" s="105"/>
      <c r="L1079" s="105"/>
      <c r="M1079" s="105"/>
      <c r="N1079" s="105"/>
      <c r="O1079" s="105"/>
      <c r="P1079" s="105"/>
      <c r="Q1079" s="105"/>
      <c r="R1079" s="105"/>
      <c r="S1079" s="105"/>
      <c r="T1079" s="105"/>
      <c r="U1079" s="105"/>
      <c r="V1079" s="105"/>
      <c r="W1079" s="105"/>
      <c r="X1079" s="105"/>
      <c r="Y1079" s="105"/>
      <c r="Z1079" s="105"/>
    </row>
    <row r="1080" spans="1:26" ht="17.25" customHeight="1">
      <c r="A1080" s="104"/>
      <c r="B1080" s="66"/>
      <c r="C1080" s="66"/>
      <c r="D1080" s="66"/>
      <c r="E1080" s="66"/>
      <c r="F1080" s="105"/>
      <c r="G1080" s="105"/>
      <c r="H1080" s="105"/>
      <c r="I1080" s="105"/>
      <c r="J1080" s="105"/>
      <c r="K1080" s="105"/>
      <c r="L1080" s="105"/>
      <c r="M1080" s="105"/>
      <c r="N1080" s="105"/>
      <c r="O1080" s="105"/>
      <c r="P1080" s="105"/>
      <c r="Q1080" s="105"/>
      <c r="R1080" s="105"/>
      <c r="S1080" s="105"/>
      <c r="T1080" s="105"/>
      <c r="U1080" s="105"/>
      <c r="V1080" s="105"/>
      <c r="W1080" s="105"/>
      <c r="X1080" s="105"/>
      <c r="Y1080" s="105"/>
      <c r="Z1080" s="105"/>
    </row>
    <row r="1081" spans="1:26" ht="17.25" customHeight="1">
      <c r="A1081" s="104"/>
      <c r="B1081" s="66"/>
      <c r="C1081" s="66"/>
      <c r="D1081" s="66"/>
      <c r="E1081" s="66"/>
      <c r="F1081" s="105"/>
      <c r="G1081" s="105"/>
      <c r="H1081" s="105"/>
      <c r="I1081" s="105"/>
      <c r="J1081" s="105"/>
      <c r="K1081" s="105"/>
      <c r="L1081" s="105"/>
      <c r="M1081" s="105"/>
      <c r="N1081" s="105"/>
      <c r="O1081" s="105"/>
      <c r="P1081" s="105"/>
      <c r="Q1081" s="105"/>
      <c r="R1081" s="105"/>
      <c r="S1081" s="105"/>
      <c r="T1081" s="105"/>
      <c r="U1081" s="105"/>
      <c r="V1081" s="105"/>
      <c r="W1081" s="105"/>
      <c r="X1081" s="105"/>
      <c r="Y1081" s="105"/>
      <c r="Z1081" s="105"/>
    </row>
    <row r="1082" spans="1:26" ht="17.25" customHeight="1">
      <c r="A1082" s="104"/>
      <c r="B1082" s="66"/>
      <c r="C1082" s="66"/>
      <c r="D1082" s="66"/>
      <c r="E1082" s="66"/>
      <c r="F1082" s="105"/>
      <c r="G1082" s="105"/>
      <c r="H1082" s="105"/>
      <c r="I1082" s="105"/>
      <c r="J1082" s="105"/>
      <c r="K1082" s="105"/>
      <c r="L1082" s="105"/>
      <c r="M1082" s="105"/>
      <c r="N1082" s="105"/>
      <c r="O1082" s="105"/>
      <c r="P1082" s="105"/>
      <c r="Q1082" s="105"/>
      <c r="R1082" s="105"/>
      <c r="S1082" s="105"/>
      <c r="T1082" s="105"/>
      <c r="U1082" s="105"/>
      <c r="V1082" s="105"/>
      <c r="W1082" s="105"/>
      <c r="X1082" s="105"/>
      <c r="Y1082" s="105"/>
      <c r="Z1082" s="105"/>
    </row>
    <row r="1083" spans="1:26" ht="17.25" customHeight="1">
      <c r="A1083" s="104"/>
      <c r="B1083" s="66"/>
      <c r="C1083" s="66"/>
      <c r="D1083" s="66"/>
      <c r="E1083" s="66"/>
      <c r="F1083" s="105"/>
      <c r="G1083" s="105"/>
      <c r="H1083" s="105"/>
      <c r="I1083" s="105"/>
      <c r="J1083" s="105"/>
      <c r="K1083" s="105"/>
      <c r="L1083" s="105"/>
      <c r="M1083" s="105"/>
      <c r="N1083" s="105"/>
      <c r="O1083" s="105"/>
      <c r="P1083" s="105"/>
      <c r="Q1083" s="105"/>
      <c r="R1083" s="105"/>
      <c r="S1083" s="105"/>
      <c r="T1083" s="105"/>
      <c r="U1083" s="105"/>
      <c r="V1083" s="105"/>
      <c r="W1083" s="105"/>
      <c r="X1083" s="105"/>
      <c r="Y1083" s="105"/>
      <c r="Z1083" s="105"/>
    </row>
    <row r="1084" spans="1:26" ht="17.25" customHeight="1">
      <c r="A1084" s="104"/>
      <c r="B1084" s="66"/>
      <c r="C1084" s="66"/>
      <c r="D1084" s="66"/>
      <c r="E1084" s="66"/>
      <c r="F1084" s="105"/>
      <c r="G1084" s="105"/>
      <c r="H1084" s="105"/>
      <c r="I1084" s="105"/>
      <c r="J1084" s="105"/>
      <c r="K1084" s="105"/>
      <c r="L1084" s="105"/>
      <c r="M1084" s="105"/>
      <c r="N1084" s="105"/>
      <c r="O1084" s="105"/>
      <c r="P1084" s="105"/>
      <c r="Q1084" s="105"/>
      <c r="R1084" s="105"/>
      <c r="S1084" s="105"/>
      <c r="T1084" s="105"/>
      <c r="U1084" s="105"/>
      <c r="V1084" s="105"/>
      <c r="W1084" s="105"/>
      <c r="X1084" s="105"/>
      <c r="Y1084" s="105"/>
      <c r="Z1084" s="105"/>
    </row>
    <row r="1085" spans="1:26" ht="17.25" customHeight="1">
      <c r="A1085" s="104"/>
      <c r="B1085" s="66"/>
      <c r="C1085" s="66"/>
      <c r="D1085" s="66"/>
      <c r="E1085" s="66"/>
      <c r="F1085" s="105"/>
      <c r="G1085" s="105"/>
      <c r="H1085" s="105"/>
      <c r="I1085" s="105"/>
      <c r="J1085" s="105"/>
      <c r="K1085" s="105"/>
      <c r="L1085" s="105"/>
      <c r="M1085" s="105"/>
      <c r="N1085" s="105"/>
      <c r="O1085" s="105"/>
      <c r="P1085" s="105"/>
      <c r="Q1085" s="105"/>
      <c r="R1085" s="105"/>
      <c r="S1085" s="105"/>
      <c r="T1085" s="105"/>
      <c r="U1085" s="105"/>
      <c r="V1085" s="105"/>
      <c r="W1085" s="105"/>
      <c r="X1085" s="105"/>
      <c r="Y1085" s="105"/>
      <c r="Z1085" s="105"/>
    </row>
    <row r="1086" spans="1:26" ht="17.25" customHeight="1">
      <c r="A1086" s="104"/>
      <c r="B1086" s="66"/>
      <c r="C1086" s="66"/>
      <c r="D1086" s="66"/>
      <c r="E1086" s="66"/>
      <c r="F1086" s="105"/>
      <c r="G1086" s="105"/>
      <c r="H1086" s="105"/>
      <c r="I1086" s="105"/>
      <c r="J1086" s="105"/>
      <c r="K1086" s="105"/>
      <c r="L1086" s="105"/>
      <c r="M1086" s="105"/>
      <c r="N1086" s="105"/>
      <c r="O1086" s="105"/>
      <c r="P1086" s="105"/>
      <c r="Q1086" s="105"/>
      <c r="R1086" s="105"/>
      <c r="S1086" s="105"/>
      <c r="T1086" s="105"/>
      <c r="U1086" s="105"/>
      <c r="V1086" s="105"/>
      <c r="W1086" s="105"/>
      <c r="X1086" s="105"/>
      <c r="Y1086" s="105"/>
      <c r="Z1086" s="105"/>
    </row>
    <row r="1087" spans="1:26" ht="17.25" customHeight="1">
      <c r="A1087" s="104"/>
      <c r="B1087" s="66"/>
      <c r="C1087" s="66"/>
      <c r="D1087" s="66"/>
      <c r="E1087" s="66"/>
      <c r="F1087" s="105"/>
      <c r="G1087" s="105"/>
      <c r="H1087" s="105"/>
      <c r="I1087" s="105"/>
      <c r="J1087" s="105"/>
      <c r="K1087" s="105"/>
      <c r="L1087" s="105"/>
      <c r="M1087" s="105"/>
      <c r="N1087" s="105"/>
      <c r="O1087" s="105"/>
      <c r="P1087" s="105"/>
      <c r="Q1087" s="105"/>
      <c r="R1087" s="105"/>
      <c r="S1087" s="105"/>
      <c r="T1087" s="105"/>
      <c r="U1087" s="105"/>
      <c r="V1087" s="105"/>
      <c r="W1087" s="105"/>
      <c r="X1087" s="105"/>
      <c r="Y1087" s="105"/>
      <c r="Z1087" s="105"/>
    </row>
    <row r="1088" spans="1:26" ht="17.25" customHeight="1">
      <c r="A1088" s="104"/>
      <c r="B1088" s="66"/>
      <c r="C1088" s="66"/>
      <c r="D1088" s="66"/>
      <c r="E1088" s="66"/>
      <c r="F1088" s="105"/>
      <c r="G1088" s="105"/>
      <c r="H1088" s="105"/>
      <c r="I1088" s="105"/>
      <c r="J1088" s="105"/>
      <c r="K1088" s="105"/>
      <c r="L1088" s="105"/>
      <c r="M1088" s="105"/>
      <c r="N1088" s="105"/>
      <c r="O1088" s="105"/>
      <c r="P1088" s="105"/>
      <c r="Q1088" s="105"/>
      <c r="R1088" s="105"/>
      <c r="S1088" s="105"/>
      <c r="T1088" s="105"/>
      <c r="U1088" s="105"/>
      <c r="V1088" s="105"/>
      <c r="W1088" s="105"/>
      <c r="X1088" s="105"/>
      <c r="Y1088" s="105"/>
      <c r="Z1088" s="105"/>
    </row>
    <row r="1089" spans="1:26" ht="17.25" customHeight="1">
      <c r="A1089" s="104"/>
      <c r="B1089" s="66"/>
      <c r="C1089" s="66"/>
      <c r="D1089" s="66"/>
      <c r="E1089" s="66"/>
      <c r="F1089" s="105"/>
      <c r="G1089" s="105"/>
      <c r="H1089" s="105"/>
      <c r="I1089" s="105"/>
      <c r="J1089" s="105"/>
      <c r="K1089" s="105"/>
      <c r="L1089" s="105"/>
      <c r="M1089" s="105"/>
      <c r="N1089" s="105"/>
      <c r="O1089" s="105"/>
      <c r="P1089" s="105"/>
      <c r="Q1089" s="105"/>
      <c r="R1089" s="105"/>
      <c r="S1089" s="105"/>
      <c r="T1089" s="105"/>
      <c r="U1089" s="105"/>
      <c r="V1089" s="105"/>
      <c r="W1089" s="105"/>
      <c r="X1089" s="105"/>
      <c r="Y1089" s="105"/>
      <c r="Z1089" s="105"/>
    </row>
    <row r="1090" spans="1:26" ht="17.25" customHeight="1">
      <c r="A1090" s="104"/>
      <c r="B1090" s="66"/>
      <c r="C1090" s="66"/>
      <c r="D1090" s="66"/>
      <c r="E1090" s="66"/>
      <c r="F1090" s="105"/>
      <c r="G1090" s="105"/>
      <c r="H1090" s="105"/>
      <c r="I1090" s="105"/>
      <c r="J1090" s="105"/>
      <c r="K1090" s="105"/>
      <c r="L1090" s="105"/>
      <c r="M1090" s="105"/>
      <c r="N1090" s="105"/>
      <c r="O1090" s="105"/>
      <c r="P1090" s="105"/>
      <c r="Q1090" s="105"/>
      <c r="R1090" s="105"/>
      <c r="S1090" s="105"/>
      <c r="T1090" s="105"/>
      <c r="U1090" s="105"/>
      <c r="V1090" s="105"/>
      <c r="W1090" s="105"/>
      <c r="X1090" s="105"/>
      <c r="Y1090" s="105"/>
      <c r="Z1090" s="105"/>
    </row>
    <row r="1091" spans="1:26" ht="17.25" customHeight="1">
      <c r="A1091" s="104"/>
      <c r="B1091" s="66"/>
      <c r="C1091" s="66"/>
      <c r="D1091" s="66"/>
      <c r="E1091" s="66"/>
      <c r="F1091" s="105"/>
      <c r="G1091" s="105"/>
      <c r="H1091" s="105"/>
      <c r="I1091" s="105"/>
      <c r="J1091" s="105"/>
      <c r="K1091" s="105"/>
      <c r="L1091" s="105"/>
      <c r="M1091" s="105"/>
      <c r="N1091" s="105"/>
      <c r="O1091" s="105"/>
      <c r="P1091" s="105"/>
      <c r="Q1091" s="105"/>
      <c r="R1091" s="105"/>
      <c r="S1091" s="105"/>
      <c r="T1091" s="105"/>
      <c r="U1091" s="105"/>
      <c r="V1091" s="105"/>
      <c r="W1091" s="105"/>
      <c r="X1091" s="105"/>
      <c r="Y1091" s="105"/>
      <c r="Z1091" s="105"/>
    </row>
    <row r="1092" spans="1:26" ht="17.25" customHeight="1">
      <c r="A1092" s="104"/>
      <c r="B1092" s="66"/>
      <c r="C1092" s="66"/>
      <c r="D1092" s="66"/>
      <c r="E1092" s="66"/>
      <c r="F1092" s="105"/>
      <c r="G1092" s="105"/>
      <c r="H1092" s="105"/>
      <c r="I1092" s="105"/>
      <c r="J1092" s="105"/>
      <c r="K1092" s="105"/>
      <c r="L1092" s="105"/>
      <c r="M1092" s="105"/>
      <c r="N1092" s="105"/>
      <c r="O1092" s="105"/>
      <c r="P1092" s="105"/>
      <c r="Q1092" s="105"/>
      <c r="R1092" s="105"/>
      <c r="S1092" s="105"/>
      <c r="T1092" s="105"/>
      <c r="U1092" s="105"/>
      <c r="V1092" s="105"/>
      <c r="W1092" s="105"/>
      <c r="X1092" s="105"/>
      <c r="Y1092" s="105"/>
      <c r="Z1092" s="105"/>
    </row>
    <row r="1093" spans="1:26" ht="17.25" customHeight="1">
      <c r="A1093" s="104"/>
      <c r="B1093" s="66"/>
      <c r="C1093" s="66"/>
      <c r="D1093" s="66"/>
      <c r="E1093" s="66"/>
      <c r="F1093" s="105"/>
      <c r="G1093" s="105"/>
      <c r="H1093" s="105"/>
      <c r="I1093" s="105"/>
      <c r="J1093" s="105"/>
      <c r="K1093" s="105"/>
      <c r="L1093" s="105"/>
      <c r="M1093" s="105"/>
      <c r="N1093" s="105"/>
      <c r="O1093" s="105"/>
      <c r="P1093" s="105"/>
      <c r="Q1093" s="105"/>
      <c r="R1093" s="105"/>
      <c r="S1093" s="105"/>
      <c r="T1093" s="105"/>
      <c r="U1093" s="105"/>
      <c r="V1093" s="105"/>
      <c r="W1093" s="105"/>
      <c r="X1093" s="105"/>
      <c r="Y1093" s="105"/>
      <c r="Z1093" s="105"/>
    </row>
    <row r="1094" spans="1:26" ht="17.25" customHeight="1">
      <c r="A1094" s="104"/>
      <c r="B1094" s="66"/>
      <c r="C1094" s="66"/>
      <c r="D1094" s="66"/>
      <c r="E1094" s="66"/>
      <c r="F1094" s="105"/>
      <c r="G1094" s="105"/>
      <c r="H1094" s="105"/>
      <c r="I1094" s="105"/>
      <c r="J1094" s="105"/>
      <c r="K1094" s="105"/>
      <c r="L1094" s="105"/>
      <c r="M1094" s="105"/>
      <c r="N1094" s="105"/>
      <c r="O1094" s="105"/>
      <c r="P1094" s="105"/>
      <c r="Q1094" s="105"/>
      <c r="R1094" s="105"/>
      <c r="S1094" s="105"/>
      <c r="T1094" s="105"/>
      <c r="U1094" s="105"/>
      <c r="V1094" s="105"/>
      <c r="W1094" s="105"/>
      <c r="X1094" s="105"/>
      <c r="Y1094" s="105"/>
      <c r="Z1094" s="105"/>
    </row>
    <row r="1095" spans="1:26" ht="17.25" customHeight="1">
      <c r="A1095" s="104"/>
      <c r="B1095" s="66"/>
      <c r="C1095" s="66"/>
      <c r="D1095" s="66"/>
      <c r="E1095" s="66"/>
      <c r="F1095" s="105"/>
      <c r="G1095" s="105"/>
      <c r="H1095" s="105"/>
      <c r="I1095" s="105"/>
      <c r="J1095" s="105"/>
      <c r="K1095" s="105"/>
      <c r="L1095" s="105"/>
      <c r="M1095" s="105"/>
      <c r="N1095" s="105"/>
      <c r="O1095" s="105"/>
      <c r="P1095" s="105"/>
      <c r="Q1095" s="105"/>
      <c r="R1095" s="105"/>
      <c r="S1095" s="105"/>
      <c r="T1095" s="105"/>
      <c r="U1095" s="105"/>
      <c r="V1095" s="105"/>
      <c r="W1095" s="105"/>
      <c r="X1095" s="105"/>
      <c r="Y1095" s="105"/>
      <c r="Z1095" s="105"/>
    </row>
    <row r="1096" spans="1:26" ht="17.25" customHeight="1">
      <c r="A1096" s="104"/>
      <c r="B1096" s="66"/>
      <c r="C1096" s="66"/>
      <c r="D1096" s="66"/>
      <c r="E1096" s="66"/>
      <c r="F1096" s="105"/>
      <c r="G1096" s="105"/>
      <c r="H1096" s="105"/>
      <c r="I1096" s="105"/>
      <c r="J1096" s="105"/>
      <c r="K1096" s="105"/>
      <c r="L1096" s="105"/>
      <c r="M1096" s="105"/>
      <c r="N1096" s="105"/>
      <c r="O1096" s="105"/>
      <c r="P1096" s="105"/>
      <c r="Q1096" s="105"/>
      <c r="R1096" s="105"/>
      <c r="S1096" s="105"/>
      <c r="T1096" s="105"/>
      <c r="U1096" s="105"/>
      <c r="V1096" s="105"/>
      <c r="W1096" s="105"/>
      <c r="X1096" s="105"/>
      <c r="Y1096" s="105"/>
      <c r="Z1096" s="105"/>
    </row>
    <row r="1097" spans="1:26" ht="17.25" customHeight="1">
      <c r="A1097" s="104"/>
      <c r="B1097" s="66"/>
      <c r="C1097" s="66"/>
      <c r="D1097" s="66"/>
      <c r="E1097" s="66"/>
      <c r="F1097" s="105"/>
      <c r="G1097" s="105"/>
      <c r="H1097" s="105"/>
      <c r="I1097" s="105"/>
      <c r="J1097" s="105"/>
      <c r="K1097" s="105"/>
      <c r="L1097" s="105"/>
      <c r="M1097" s="105"/>
      <c r="N1097" s="105"/>
      <c r="O1097" s="105"/>
      <c r="P1097" s="105"/>
      <c r="Q1097" s="105"/>
      <c r="R1097" s="105"/>
      <c r="S1097" s="105"/>
      <c r="T1097" s="105"/>
      <c r="U1097" s="105"/>
      <c r="V1097" s="105"/>
      <c r="W1097" s="105"/>
      <c r="X1097" s="105"/>
      <c r="Y1097" s="105"/>
      <c r="Z1097" s="105"/>
    </row>
    <row r="1098" spans="1:26" ht="17.25" customHeight="1">
      <c r="A1098" s="104"/>
      <c r="B1098" s="66"/>
      <c r="C1098" s="66"/>
      <c r="D1098" s="66"/>
      <c r="E1098" s="66"/>
      <c r="F1098" s="105"/>
      <c r="G1098" s="105"/>
      <c r="H1098" s="105"/>
      <c r="I1098" s="105"/>
      <c r="J1098" s="105"/>
      <c r="K1098" s="105"/>
      <c r="L1098" s="105"/>
      <c r="M1098" s="105"/>
      <c r="N1098" s="105"/>
      <c r="O1098" s="105"/>
      <c r="P1098" s="105"/>
      <c r="Q1098" s="105"/>
      <c r="R1098" s="105"/>
      <c r="S1098" s="105"/>
      <c r="T1098" s="105"/>
      <c r="U1098" s="105"/>
      <c r="V1098" s="105"/>
      <c r="W1098" s="105"/>
      <c r="X1098" s="105"/>
      <c r="Y1098" s="105"/>
      <c r="Z1098" s="105"/>
    </row>
    <row r="1099" spans="1:26" ht="17.25" customHeight="1">
      <c r="A1099" s="104"/>
      <c r="B1099" s="66"/>
      <c r="C1099" s="66"/>
      <c r="D1099" s="66"/>
      <c r="E1099" s="66"/>
      <c r="F1099" s="105"/>
      <c r="G1099" s="105"/>
      <c r="H1099" s="105"/>
      <c r="I1099" s="105"/>
      <c r="J1099" s="105"/>
      <c r="K1099" s="105"/>
      <c r="L1099" s="105"/>
      <c r="M1099" s="105"/>
      <c r="N1099" s="105"/>
      <c r="O1099" s="105"/>
      <c r="P1099" s="105"/>
      <c r="Q1099" s="105"/>
      <c r="R1099" s="105"/>
      <c r="S1099" s="105"/>
      <c r="T1099" s="105"/>
      <c r="U1099" s="105"/>
      <c r="V1099" s="105"/>
      <c r="W1099" s="105"/>
      <c r="X1099" s="105"/>
      <c r="Y1099" s="105"/>
      <c r="Z1099" s="105"/>
    </row>
    <row r="1100" spans="1:26" ht="17.25" customHeight="1">
      <c r="A1100" s="104"/>
      <c r="B1100" s="66"/>
      <c r="C1100" s="66"/>
      <c r="D1100" s="66"/>
      <c r="E1100" s="66"/>
      <c r="F1100" s="105"/>
      <c r="G1100" s="105"/>
      <c r="H1100" s="105"/>
      <c r="I1100" s="105"/>
      <c r="J1100" s="105"/>
      <c r="K1100" s="105"/>
      <c r="L1100" s="105"/>
      <c r="M1100" s="105"/>
      <c r="N1100" s="105"/>
      <c r="O1100" s="105"/>
      <c r="P1100" s="105"/>
      <c r="Q1100" s="105"/>
      <c r="R1100" s="105"/>
      <c r="S1100" s="105"/>
      <c r="T1100" s="105"/>
      <c r="U1100" s="105"/>
      <c r="V1100" s="105"/>
      <c r="W1100" s="105"/>
      <c r="X1100" s="105"/>
      <c r="Y1100" s="105"/>
      <c r="Z1100" s="105"/>
    </row>
    <row r="1101" spans="1:26" ht="17.25" customHeight="1">
      <c r="A1101" s="104"/>
      <c r="B1101" s="66"/>
      <c r="C1101" s="66"/>
      <c r="D1101" s="66"/>
      <c r="E1101" s="66"/>
      <c r="F1101" s="105"/>
      <c r="G1101" s="105"/>
      <c r="H1101" s="105"/>
      <c r="I1101" s="105"/>
      <c r="J1101" s="105"/>
      <c r="K1101" s="105"/>
      <c r="L1101" s="105"/>
      <c r="M1101" s="105"/>
      <c r="N1101" s="105"/>
      <c r="O1101" s="105"/>
      <c r="P1101" s="105"/>
      <c r="Q1101" s="105"/>
      <c r="R1101" s="105"/>
      <c r="S1101" s="105"/>
      <c r="T1101" s="105"/>
      <c r="U1101" s="105"/>
      <c r="V1101" s="105"/>
      <c r="W1101" s="105"/>
      <c r="X1101" s="105"/>
      <c r="Y1101" s="105"/>
      <c r="Z1101" s="105"/>
    </row>
    <row r="1102" spans="1:26" ht="17.25" customHeight="1">
      <c r="A1102" s="104"/>
      <c r="B1102" s="66"/>
      <c r="C1102" s="66"/>
      <c r="D1102" s="66"/>
      <c r="E1102" s="66"/>
      <c r="F1102" s="105"/>
      <c r="G1102" s="105"/>
      <c r="H1102" s="105"/>
      <c r="I1102" s="105"/>
      <c r="J1102" s="105"/>
      <c r="K1102" s="105"/>
      <c r="L1102" s="105"/>
      <c r="M1102" s="105"/>
      <c r="N1102" s="105"/>
      <c r="O1102" s="105"/>
      <c r="P1102" s="105"/>
      <c r="Q1102" s="105"/>
      <c r="R1102" s="105"/>
      <c r="S1102" s="105"/>
      <c r="T1102" s="105"/>
      <c r="U1102" s="105"/>
      <c r="V1102" s="105"/>
      <c r="W1102" s="105"/>
      <c r="X1102" s="105"/>
      <c r="Y1102" s="105"/>
      <c r="Z1102" s="105"/>
    </row>
    <row r="1103" spans="1:26" ht="17.25" customHeight="1">
      <c r="A1103" s="104"/>
      <c r="B1103" s="66"/>
      <c r="C1103" s="66"/>
      <c r="D1103" s="66"/>
      <c r="E1103" s="66"/>
      <c r="F1103" s="105"/>
      <c r="G1103" s="105"/>
      <c r="H1103" s="105"/>
      <c r="I1103" s="105"/>
      <c r="J1103" s="105"/>
      <c r="K1103" s="105"/>
      <c r="L1103" s="105"/>
      <c r="M1103" s="105"/>
      <c r="N1103" s="105"/>
      <c r="O1103" s="105"/>
      <c r="P1103" s="105"/>
      <c r="Q1103" s="105"/>
      <c r="R1103" s="105"/>
      <c r="S1103" s="105"/>
      <c r="T1103" s="105"/>
      <c r="U1103" s="105"/>
      <c r="V1103" s="105"/>
      <c r="W1103" s="105"/>
      <c r="X1103" s="105"/>
      <c r="Y1103" s="105"/>
      <c r="Z1103" s="105"/>
    </row>
    <row r="1104" spans="1:26" ht="17.25" customHeight="1">
      <c r="A1104" s="104"/>
      <c r="B1104" s="66"/>
      <c r="C1104" s="66"/>
      <c r="D1104" s="66"/>
      <c r="E1104" s="66"/>
      <c r="F1104" s="105"/>
      <c r="G1104" s="105"/>
      <c r="H1104" s="105"/>
      <c r="I1104" s="105"/>
      <c r="J1104" s="105"/>
      <c r="K1104" s="105"/>
      <c r="L1104" s="105"/>
      <c r="M1104" s="105"/>
      <c r="N1104" s="105"/>
      <c r="O1104" s="105"/>
      <c r="P1104" s="105"/>
      <c r="Q1104" s="105"/>
      <c r="R1104" s="105"/>
      <c r="S1104" s="105"/>
      <c r="T1104" s="105"/>
      <c r="U1104" s="105"/>
      <c r="V1104" s="105"/>
      <c r="W1104" s="105"/>
      <c r="X1104" s="105"/>
      <c r="Y1104" s="105"/>
      <c r="Z1104" s="105"/>
    </row>
    <row r="1105" spans="1:26" ht="17.25" customHeight="1">
      <c r="A1105" s="104"/>
      <c r="B1105" s="66"/>
      <c r="C1105" s="66"/>
      <c r="D1105" s="66"/>
      <c r="E1105" s="66"/>
      <c r="F1105" s="105"/>
      <c r="G1105" s="105"/>
      <c r="H1105" s="105"/>
      <c r="I1105" s="105"/>
      <c r="J1105" s="105"/>
      <c r="K1105" s="105"/>
      <c r="L1105" s="105"/>
      <c r="M1105" s="105"/>
      <c r="N1105" s="105"/>
      <c r="O1105" s="105"/>
      <c r="P1105" s="105"/>
      <c r="Q1105" s="105"/>
      <c r="R1105" s="105"/>
      <c r="S1105" s="105"/>
      <c r="T1105" s="105"/>
      <c r="U1105" s="105"/>
      <c r="V1105" s="105"/>
      <c r="W1105" s="105"/>
      <c r="X1105" s="105"/>
      <c r="Y1105" s="105"/>
      <c r="Z1105" s="105"/>
    </row>
    <row r="1106" spans="1:26" ht="17.25" customHeight="1">
      <c r="A1106" s="104"/>
      <c r="B1106" s="66"/>
      <c r="C1106" s="66"/>
      <c r="D1106" s="66"/>
      <c r="E1106" s="66"/>
      <c r="F1106" s="105"/>
      <c r="G1106" s="105"/>
      <c r="H1106" s="105"/>
      <c r="I1106" s="105"/>
      <c r="J1106" s="105"/>
      <c r="K1106" s="105"/>
      <c r="L1106" s="105"/>
      <c r="M1106" s="105"/>
      <c r="N1106" s="105"/>
      <c r="O1106" s="105"/>
      <c r="P1106" s="105"/>
      <c r="Q1106" s="105"/>
      <c r="R1106" s="105"/>
      <c r="S1106" s="105"/>
      <c r="T1106" s="105"/>
      <c r="U1106" s="105"/>
      <c r="V1106" s="105"/>
      <c r="W1106" s="105"/>
      <c r="X1106" s="105"/>
      <c r="Y1106" s="105"/>
      <c r="Z1106" s="105"/>
    </row>
    <row r="1107" spans="1:26" ht="17.25" customHeight="1">
      <c r="A1107" s="104"/>
      <c r="B1107" s="66"/>
      <c r="C1107" s="66"/>
      <c r="D1107" s="66"/>
      <c r="E1107" s="66"/>
      <c r="F1107" s="105"/>
      <c r="G1107" s="105"/>
      <c r="H1107" s="105"/>
      <c r="I1107" s="105"/>
      <c r="J1107" s="105"/>
      <c r="K1107" s="105"/>
      <c r="L1107" s="105"/>
      <c r="M1107" s="105"/>
      <c r="N1107" s="105"/>
      <c r="O1107" s="105"/>
      <c r="P1107" s="105"/>
      <c r="Q1107" s="105"/>
      <c r="R1107" s="105"/>
      <c r="S1107" s="105"/>
      <c r="T1107" s="105"/>
      <c r="U1107" s="105"/>
      <c r="V1107" s="105"/>
      <c r="W1107" s="105"/>
      <c r="X1107" s="105"/>
      <c r="Y1107" s="105"/>
      <c r="Z1107" s="105"/>
    </row>
    <row r="1108" spans="1:26" ht="17.25" customHeight="1">
      <c r="A1108" s="104"/>
      <c r="B1108" s="66"/>
      <c r="C1108" s="66"/>
      <c r="D1108" s="66"/>
      <c r="E1108" s="66"/>
      <c r="F1108" s="105"/>
      <c r="G1108" s="105"/>
      <c r="H1108" s="105"/>
      <c r="I1108" s="105"/>
      <c r="J1108" s="105"/>
      <c r="K1108" s="105"/>
      <c r="L1108" s="105"/>
      <c r="M1108" s="105"/>
      <c r="N1108" s="105"/>
      <c r="O1108" s="105"/>
      <c r="P1108" s="105"/>
      <c r="Q1108" s="105"/>
      <c r="R1108" s="105"/>
      <c r="S1108" s="105"/>
      <c r="T1108" s="105"/>
      <c r="U1108" s="105"/>
      <c r="V1108" s="105"/>
      <c r="W1108" s="105"/>
      <c r="X1108" s="105"/>
      <c r="Y1108" s="105"/>
      <c r="Z1108" s="105"/>
    </row>
    <row r="1109" spans="1:26" ht="17.25" customHeight="1">
      <c r="A1109" s="104"/>
      <c r="B1109" s="66"/>
      <c r="C1109" s="66"/>
      <c r="D1109" s="66"/>
      <c r="E1109" s="66"/>
      <c r="F1109" s="105"/>
      <c r="G1109" s="105"/>
      <c r="H1109" s="105"/>
      <c r="I1109" s="105"/>
      <c r="J1109" s="105"/>
      <c r="K1109" s="105"/>
      <c r="L1109" s="105"/>
      <c r="M1109" s="105"/>
      <c r="N1109" s="105"/>
      <c r="O1109" s="105"/>
      <c r="P1109" s="105"/>
      <c r="Q1109" s="105"/>
      <c r="R1109" s="105"/>
      <c r="S1109" s="105"/>
      <c r="T1109" s="105"/>
      <c r="U1109" s="105"/>
      <c r="V1109" s="105"/>
      <c r="W1109" s="105"/>
      <c r="X1109" s="105"/>
      <c r="Y1109" s="105"/>
      <c r="Z1109" s="105"/>
    </row>
    <row r="1110" spans="1:26" ht="17.25" customHeight="1">
      <c r="A1110" s="104"/>
      <c r="B1110" s="66"/>
      <c r="C1110" s="66"/>
      <c r="D1110" s="66"/>
      <c r="E1110" s="66"/>
      <c r="F1110" s="105"/>
      <c r="G1110" s="105"/>
      <c r="H1110" s="105"/>
      <c r="I1110" s="105"/>
      <c r="J1110" s="105"/>
      <c r="K1110" s="105"/>
      <c r="L1110" s="105"/>
      <c r="M1110" s="105"/>
      <c r="N1110" s="105"/>
      <c r="O1110" s="105"/>
      <c r="P1110" s="105"/>
      <c r="Q1110" s="105"/>
      <c r="R1110" s="105"/>
      <c r="S1110" s="105"/>
      <c r="T1110" s="105"/>
      <c r="U1110" s="105"/>
      <c r="V1110" s="105"/>
      <c r="W1110" s="105"/>
      <c r="X1110" s="105"/>
      <c r="Y1110" s="105"/>
      <c r="Z1110" s="105"/>
    </row>
    <row r="1111" spans="1:26" ht="17.25" customHeight="1">
      <c r="A1111" s="104"/>
      <c r="B1111" s="66"/>
      <c r="C1111" s="66"/>
      <c r="D1111" s="66"/>
      <c r="E1111" s="66"/>
      <c r="F1111" s="105"/>
      <c r="G1111" s="105"/>
      <c r="H1111" s="105"/>
      <c r="I1111" s="105"/>
      <c r="J1111" s="105"/>
      <c r="K1111" s="105"/>
      <c r="L1111" s="105"/>
      <c r="M1111" s="105"/>
      <c r="N1111" s="105"/>
      <c r="O1111" s="105"/>
      <c r="P1111" s="105"/>
      <c r="Q1111" s="105"/>
      <c r="R1111" s="105"/>
      <c r="S1111" s="105"/>
      <c r="T1111" s="105"/>
      <c r="U1111" s="105"/>
      <c r="V1111" s="105"/>
      <c r="W1111" s="105"/>
      <c r="X1111" s="105"/>
      <c r="Y1111" s="105"/>
      <c r="Z1111" s="105"/>
    </row>
    <row r="1112" spans="1:26" ht="17.25" customHeight="1">
      <c r="A1112" s="104"/>
      <c r="B1112" s="66"/>
      <c r="C1112" s="66"/>
      <c r="D1112" s="66"/>
      <c r="E1112" s="66"/>
      <c r="F1112" s="105"/>
      <c r="G1112" s="105"/>
      <c r="H1112" s="105"/>
      <c r="I1112" s="105"/>
      <c r="J1112" s="105"/>
      <c r="K1112" s="105"/>
      <c r="L1112" s="105"/>
      <c r="M1112" s="105"/>
      <c r="N1112" s="105"/>
      <c r="O1112" s="105"/>
      <c r="P1112" s="105"/>
      <c r="Q1112" s="105"/>
      <c r="R1112" s="105"/>
      <c r="S1112" s="105"/>
      <c r="T1112" s="105"/>
      <c r="U1112" s="105"/>
      <c r="V1112" s="105"/>
      <c r="W1112" s="105"/>
      <c r="X1112" s="105"/>
      <c r="Y1112" s="105"/>
      <c r="Z1112" s="105"/>
    </row>
    <row r="1113" spans="1:26" ht="17.25" customHeight="1">
      <c r="A1113" s="104"/>
      <c r="B1113" s="66"/>
      <c r="C1113" s="66"/>
      <c r="D1113" s="66"/>
      <c r="E1113" s="66"/>
      <c r="F1113" s="105"/>
      <c r="G1113" s="105"/>
      <c r="H1113" s="105"/>
      <c r="I1113" s="105"/>
      <c r="J1113" s="105"/>
      <c r="K1113" s="105"/>
      <c r="L1113" s="105"/>
      <c r="M1113" s="105"/>
      <c r="N1113" s="105"/>
      <c r="O1113" s="105"/>
      <c r="P1113" s="105"/>
      <c r="Q1113" s="105"/>
      <c r="R1113" s="105"/>
      <c r="S1113" s="105"/>
      <c r="T1113" s="105"/>
      <c r="U1113" s="105"/>
      <c r="V1113" s="105"/>
      <c r="W1113" s="105"/>
      <c r="X1113" s="105"/>
      <c r="Y1113" s="105"/>
      <c r="Z1113" s="105"/>
    </row>
    <row r="1114" spans="1:26" ht="17.25" customHeight="1">
      <c r="A1114" s="104"/>
      <c r="B1114" s="66"/>
      <c r="C1114" s="66"/>
      <c r="D1114" s="66"/>
      <c r="E1114" s="66"/>
      <c r="F1114" s="105"/>
      <c r="G1114" s="105"/>
      <c r="H1114" s="105"/>
      <c r="I1114" s="105"/>
      <c r="J1114" s="105"/>
      <c r="K1114" s="105"/>
      <c r="L1114" s="105"/>
      <c r="M1114" s="105"/>
      <c r="N1114" s="105"/>
      <c r="O1114" s="105"/>
      <c r="P1114" s="105"/>
      <c r="Q1114" s="105"/>
      <c r="R1114" s="105"/>
      <c r="S1114" s="105"/>
      <c r="T1114" s="105"/>
      <c r="U1114" s="105"/>
      <c r="V1114" s="105"/>
      <c r="W1114" s="105"/>
      <c r="X1114" s="105"/>
      <c r="Y1114" s="105"/>
      <c r="Z1114" s="105"/>
    </row>
    <row r="1115" spans="1:26" ht="17.25" customHeight="1">
      <c r="A1115" s="104"/>
      <c r="B1115" s="66"/>
      <c r="C1115" s="66"/>
      <c r="D1115" s="66"/>
      <c r="E1115" s="66"/>
      <c r="F1115" s="105"/>
      <c r="G1115" s="105"/>
      <c r="H1115" s="105"/>
      <c r="I1115" s="105"/>
      <c r="J1115" s="105"/>
      <c r="K1115" s="105"/>
      <c r="L1115" s="105"/>
      <c r="M1115" s="105"/>
      <c r="N1115" s="105"/>
      <c r="O1115" s="105"/>
      <c r="P1115" s="105"/>
      <c r="Q1115" s="105"/>
      <c r="R1115" s="105"/>
      <c r="S1115" s="105"/>
      <c r="T1115" s="105"/>
      <c r="U1115" s="105"/>
      <c r="V1115" s="105"/>
      <c r="W1115" s="105"/>
      <c r="X1115" s="105"/>
      <c r="Y1115" s="105"/>
      <c r="Z1115" s="105"/>
    </row>
    <row r="1116" spans="1:26" ht="17.25" customHeight="1">
      <c r="A1116" s="104"/>
      <c r="B1116" s="66"/>
      <c r="C1116" s="66"/>
      <c r="D1116" s="66"/>
      <c r="E1116" s="66"/>
      <c r="F1116" s="105"/>
      <c r="G1116" s="105"/>
      <c r="H1116" s="105"/>
      <c r="I1116" s="105"/>
      <c r="J1116" s="105"/>
      <c r="K1116" s="105"/>
      <c r="L1116" s="105"/>
      <c r="M1116" s="105"/>
      <c r="N1116" s="105"/>
      <c r="O1116" s="105"/>
      <c r="P1116" s="105"/>
      <c r="Q1116" s="105"/>
      <c r="R1116" s="105"/>
      <c r="S1116" s="105"/>
      <c r="T1116" s="105"/>
      <c r="U1116" s="105"/>
      <c r="V1116" s="105"/>
      <c r="W1116" s="105"/>
      <c r="X1116" s="105"/>
      <c r="Y1116" s="105"/>
      <c r="Z1116" s="105"/>
    </row>
    <row r="1117" spans="1:26" ht="17.25" customHeight="1">
      <c r="A1117" s="104"/>
      <c r="B1117" s="66"/>
      <c r="C1117" s="66"/>
      <c r="D1117" s="66"/>
      <c r="E1117" s="66"/>
      <c r="F1117" s="105"/>
      <c r="G1117" s="105"/>
      <c r="H1117" s="105"/>
      <c r="I1117" s="105"/>
      <c r="J1117" s="105"/>
      <c r="K1117" s="105"/>
      <c r="L1117" s="105"/>
      <c r="M1117" s="105"/>
      <c r="N1117" s="105"/>
      <c r="O1117" s="105"/>
      <c r="P1117" s="105"/>
      <c r="Q1117" s="105"/>
      <c r="R1117" s="105"/>
      <c r="S1117" s="105"/>
      <c r="T1117" s="105"/>
      <c r="U1117" s="105"/>
      <c r="V1117" s="105"/>
      <c r="W1117" s="105"/>
      <c r="X1117" s="105"/>
      <c r="Y1117" s="105"/>
      <c r="Z1117" s="105"/>
    </row>
    <row r="1118" spans="1:26" ht="17.25" customHeight="1">
      <c r="A1118" s="104"/>
      <c r="B1118" s="66"/>
      <c r="C1118" s="66"/>
      <c r="D1118" s="66"/>
      <c r="E1118" s="66"/>
      <c r="F1118" s="105"/>
      <c r="G1118" s="105"/>
      <c r="H1118" s="105"/>
      <c r="I1118" s="105"/>
      <c r="J1118" s="105"/>
      <c r="K1118" s="105"/>
      <c r="L1118" s="105"/>
      <c r="M1118" s="105"/>
      <c r="N1118" s="105"/>
      <c r="O1118" s="105"/>
      <c r="P1118" s="105"/>
      <c r="Q1118" s="105"/>
      <c r="R1118" s="105"/>
      <c r="S1118" s="105"/>
      <c r="T1118" s="105"/>
      <c r="U1118" s="105"/>
      <c r="V1118" s="105"/>
      <c r="W1118" s="105"/>
      <c r="X1118" s="105"/>
      <c r="Y1118" s="105"/>
      <c r="Z1118" s="105"/>
    </row>
    <row r="1119" spans="1:26" ht="17.25" customHeight="1">
      <c r="A1119" s="104"/>
      <c r="B1119" s="66"/>
      <c r="E1119" s="37"/>
      <c r="F1119" s="105"/>
      <c r="G1119" s="105"/>
      <c r="H1119" s="105"/>
      <c r="I1119" s="105"/>
      <c r="J1119" s="105"/>
      <c r="K1119" s="105"/>
      <c r="L1119" s="105"/>
      <c r="M1119" s="105"/>
      <c r="N1119" s="105"/>
      <c r="O1119" s="105"/>
      <c r="P1119" s="105"/>
      <c r="Q1119" s="105"/>
      <c r="R1119" s="105"/>
      <c r="S1119" s="105"/>
      <c r="T1119" s="105"/>
      <c r="U1119" s="105"/>
      <c r="V1119" s="105"/>
      <c r="W1119" s="105"/>
      <c r="X1119" s="105"/>
      <c r="Y1119" s="105"/>
      <c r="Z1119" s="105"/>
    </row>
    <row r="1120" spans="1:26" ht="17.25" customHeight="1">
      <c r="A1120" s="104"/>
      <c r="B1120" s="66"/>
      <c r="E1120" s="37"/>
      <c r="F1120" s="105"/>
      <c r="G1120" s="105"/>
      <c r="H1120" s="105"/>
      <c r="I1120" s="105"/>
      <c r="J1120" s="105"/>
      <c r="K1120" s="105"/>
      <c r="L1120" s="105"/>
      <c r="M1120" s="105"/>
      <c r="N1120" s="105"/>
      <c r="O1120" s="105"/>
      <c r="P1120" s="105"/>
      <c r="Q1120" s="105"/>
      <c r="R1120" s="105"/>
      <c r="S1120" s="105"/>
      <c r="T1120" s="105"/>
      <c r="U1120" s="105"/>
      <c r="V1120" s="105"/>
      <c r="W1120" s="105"/>
      <c r="X1120" s="105"/>
      <c r="Y1120" s="105"/>
      <c r="Z1120" s="105"/>
    </row>
    <row r="1121" spans="1:26" ht="17.25" customHeight="1">
      <c r="A1121" s="104"/>
      <c r="B1121" s="66"/>
      <c r="E1121" s="37"/>
      <c r="F1121" s="105"/>
      <c r="G1121" s="105"/>
      <c r="H1121" s="105"/>
      <c r="I1121" s="105"/>
      <c r="J1121" s="105"/>
      <c r="K1121" s="105"/>
      <c r="L1121" s="105"/>
      <c r="M1121" s="105"/>
      <c r="N1121" s="105"/>
      <c r="O1121" s="105"/>
      <c r="P1121" s="105"/>
      <c r="Q1121" s="105"/>
      <c r="R1121" s="105"/>
      <c r="S1121" s="105"/>
      <c r="T1121" s="105"/>
      <c r="U1121" s="105"/>
      <c r="V1121" s="105"/>
      <c r="W1121" s="105"/>
      <c r="X1121" s="105"/>
      <c r="Y1121" s="105"/>
      <c r="Z1121" s="105"/>
    </row>
    <row r="1122" spans="1:26" ht="17.25" customHeight="1">
      <c r="A1122" s="104"/>
      <c r="B1122" s="66"/>
      <c r="E1122" s="37"/>
      <c r="F1122" s="105"/>
      <c r="G1122" s="105"/>
      <c r="H1122" s="105"/>
      <c r="I1122" s="105"/>
      <c r="J1122" s="105"/>
      <c r="K1122" s="105"/>
      <c r="L1122" s="105"/>
      <c r="M1122" s="105"/>
      <c r="N1122" s="105"/>
      <c r="O1122" s="105"/>
      <c r="P1122" s="105"/>
      <c r="Q1122" s="105"/>
      <c r="R1122" s="105"/>
      <c r="S1122" s="105"/>
      <c r="T1122" s="105"/>
      <c r="U1122" s="105"/>
      <c r="V1122" s="105"/>
      <c r="W1122" s="105"/>
      <c r="X1122" s="105"/>
      <c r="Y1122" s="105"/>
      <c r="Z1122" s="105"/>
    </row>
    <row r="1123" spans="1:26" ht="17.25" customHeight="1">
      <c r="A1123" s="104"/>
      <c r="B1123" s="66"/>
      <c r="E1123" s="37"/>
      <c r="F1123" s="105"/>
      <c r="G1123" s="105"/>
      <c r="H1123" s="105"/>
      <c r="I1123" s="105"/>
      <c r="J1123" s="105"/>
      <c r="K1123" s="105"/>
      <c r="L1123" s="105"/>
      <c r="M1123" s="105"/>
      <c r="N1123" s="105"/>
      <c r="O1123" s="105"/>
      <c r="P1123" s="105"/>
      <c r="Q1123" s="105"/>
      <c r="R1123" s="105"/>
      <c r="S1123" s="105"/>
      <c r="T1123" s="105"/>
      <c r="U1123" s="105"/>
      <c r="V1123" s="105"/>
      <c r="W1123" s="105"/>
      <c r="X1123" s="105"/>
      <c r="Y1123" s="105"/>
      <c r="Z1123" s="105"/>
    </row>
    <row r="1124" spans="1:26" ht="17.25" customHeight="1">
      <c r="A1124" s="104"/>
      <c r="B1124" s="66"/>
      <c r="E1124" s="37"/>
      <c r="F1124" s="105"/>
      <c r="G1124" s="105"/>
      <c r="H1124" s="105"/>
      <c r="I1124" s="105"/>
      <c r="J1124" s="105"/>
      <c r="K1124" s="105"/>
      <c r="L1124" s="105"/>
      <c r="M1124" s="105"/>
      <c r="N1124" s="105"/>
      <c r="O1124" s="105"/>
      <c r="P1124" s="105"/>
      <c r="Q1124" s="105"/>
      <c r="R1124" s="105"/>
      <c r="S1124" s="105"/>
      <c r="T1124" s="105"/>
      <c r="U1124" s="105"/>
      <c r="V1124" s="105"/>
      <c r="W1124" s="105"/>
      <c r="X1124" s="105"/>
      <c r="Y1124" s="105"/>
      <c r="Z1124" s="105"/>
    </row>
  </sheetData>
  <mergeCells count="1">
    <mergeCell ref="B1:E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1600-000000000000}">
          <x14:formula1>
            <xm:f>Conditioning_constructor!$A$3:$A$80</xm:f>
          </x14:formula1>
          <xm:sqref>B3:C64 C65:C67</xm:sqref>
        </x14:dataValidation>
        <x14:dataValidation type="list" allowBlank="1" showErrorMessage="1" xr:uid="{00000000-0002-0000-1600-000001000000}">
          <x14:formula1>
            <xm:f>DHW_Constructor!$A$3:$A$91</xm:f>
          </x14:formula1>
          <xm:sqref>E3:E131</xm:sqref>
        </x14:dataValidation>
        <x14:dataValidation type="list" allowBlank="1" showErrorMessage="1" xr:uid="{00000000-0002-0000-1600-000002000000}">
          <x14:formula1>
            <xm:f>Ventilation_constructor!$A$3:$A$100</xm:f>
          </x14:formula1>
          <xm:sqref>D3:D111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7"/>
  </sheetPr>
  <dimension ref="A1:Z1000"/>
  <sheetViews>
    <sheetView workbookViewId="0">
      <pane xSplit="1" topLeftCell="B1" activePane="topRight" state="frozen"/>
      <selection pane="topRight" activeCell="C2" sqref="C2"/>
    </sheetView>
  </sheetViews>
  <sheetFormatPr baseColWidth="10" defaultColWidth="11.28515625" defaultRowHeight="15" customHeight="1"/>
  <cols>
    <col min="1" max="1" width="40.140625" customWidth="1"/>
    <col min="2" max="2" width="19.7109375" customWidth="1"/>
    <col min="3" max="3" width="11.42578125" customWidth="1"/>
    <col min="4" max="4" width="19" customWidth="1"/>
    <col min="5" max="5" width="11.42578125" customWidth="1"/>
    <col min="6" max="6" width="23.28515625" customWidth="1"/>
    <col min="7" max="14" width="23.140625" customWidth="1"/>
    <col min="15" max="15" width="67.42578125" hidden="1" customWidth="1"/>
    <col min="16" max="26" width="11.42578125" customWidth="1"/>
  </cols>
  <sheetData>
    <row r="1" spans="1:26" ht="39.75" customHeight="1">
      <c r="A1" s="39" t="s">
        <v>4812</v>
      </c>
      <c r="B1" s="232" t="s">
        <v>5157</v>
      </c>
      <c r="C1" s="226"/>
      <c r="D1" s="226"/>
      <c r="E1" s="226"/>
      <c r="F1" s="226"/>
      <c r="G1" s="226"/>
      <c r="H1" s="226"/>
      <c r="I1" s="226"/>
      <c r="J1" s="106"/>
      <c r="K1" s="106"/>
      <c r="L1" s="106"/>
      <c r="M1" s="107"/>
      <c r="N1" s="108"/>
      <c r="O1" s="109" t="s">
        <v>5158</v>
      </c>
      <c r="P1" s="109"/>
      <c r="Q1" s="108"/>
      <c r="R1" s="108"/>
      <c r="S1" s="108"/>
      <c r="T1" s="108"/>
      <c r="U1" s="108"/>
      <c r="V1" s="108"/>
      <c r="W1" s="108"/>
      <c r="X1" s="108"/>
      <c r="Y1" s="108"/>
      <c r="Z1" s="108"/>
    </row>
    <row r="2" spans="1:26" ht="17.25" customHeight="1">
      <c r="A2" s="110" t="s">
        <v>5159</v>
      </c>
      <c r="B2" s="111" t="s">
        <v>5160</v>
      </c>
      <c r="C2" s="111" t="s">
        <v>5161</v>
      </c>
      <c r="D2" s="111" t="s">
        <v>5162</v>
      </c>
      <c r="E2" s="111" t="s">
        <v>5163</v>
      </c>
      <c r="F2" s="111" t="s">
        <v>5164</v>
      </c>
      <c r="G2" s="111" t="s">
        <v>5165</v>
      </c>
      <c r="H2" s="111" t="s">
        <v>5166</v>
      </c>
      <c r="I2" s="111" t="s">
        <v>5167</v>
      </c>
      <c r="J2" s="111" t="s">
        <v>5168</v>
      </c>
      <c r="K2" s="111" t="s">
        <v>5169</v>
      </c>
      <c r="L2" s="111" t="s">
        <v>5170</v>
      </c>
      <c r="M2" s="112" t="s">
        <v>5171</v>
      </c>
      <c r="N2" s="20"/>
      <c r="O2" s="20" t="e">
        <f t="shared" ref="O2:O114" ca="1" si="0">_xludf.CONCAT("[",_xludf.TEXTJOIN(",",TRUE,B3,C3,D3,E3,F3,G3,H3,I3,J3,K3,L3,M3),"]")</f>
        <v>#NAME?</v>
      </c>
      <c r="P2" s="20"/>
      <c r="Q2" s="20"/>
      <c r="R2" s="20"/>
      <c r="S2" s="20"/>
      <c r="T2" s="20"/>
      <c r="U2" s="20"/>
      <c r="V2" s="20"/>
      <c r="W2" s="20"/>
      <c r="X2" s="20"/>
      <c r="Y2" s="20"/>
      <c r="Z2" s="20"/>
    </row>
    <row r="3" spans="1:26" ht="17.25" customHeight="1">
      <c r="A3" s="15" t="e">
        <f t="shared" ref="A3:A103" ca="1" si="1">O2</f>
        <v>#NAME?</v>
      </c>
      <c r="B3" s="15" t="s">
        <v>5172</v>
      </c>
      <c r="C3" s="15">
        <v>1.9E-2</v>
      </c>
      <c r="D3" s="15" t="s">
        <v>5172</v>
      </c>
      <c r="E3" s="15">
        <v>1.9E-2</v>
      </c>
      <c r="F3" s="15" t="s">
        <v>5172</v>
      </c>
      <c r="G3" s="15">
        <v>1.9E-2</v>
      </c>
      <c r="H3" s="15" t="s">
        <v>5172</v>
      </c>
      <c r="I3" s="15">
        <v>1.9E-2</v>
      </c>
      <c r="J3" s="15"/>
      <c r="L3" s="15"/>
      <c r="M3" s="47"/>
      <c r="N3" s="20"/>
      <c r="O3" s="20" t="e">
        <f t="shared" ca="1" si="0"/>
        <v>#NAME?</v>
      </c>
      <c r="P3" s="20"/>
      <c r="Q3" s="20"/>
      <c r="R3" s="20"/>
      <c r="S3" s="20"/>
      <c r="T3" s="20"/>
      <c r="U3" s="20"/>
      <c r="V3" s="20"/>
      <c r="W3" s="20"/>
      <c r="X3" s="20"/>
      <c r="Y3" s="20"/>
      <c r="Z3" s="20"/>
    </row>
    <row r="4" spans="1:26" ht="17.25" customHeight="1">
      <c r="A4" s="15" t="e">
        <f t="shared" ca="1" si="1"/>
        <v>#NAME?</v>
      </c>
      <c r="B4" s="15" t="s">
        <v>5173</v>
      </c>
      <c r="C4" s="15">
        <v>1.7000000000000001E-2</v>
      </c>
      <c r="D4" s="15"/>
      <c r="F4" s="15"/>
      <c r="H4" s="15"/>
      <c r="J4" s="15"/>
      <c r="L4" s="15"/>
      <c r="M4" s="47"/>
      <c r="N4" s="20"/>
      <c r="O4" s="20" t="e">
        <f t="shared" ca="1" si="0"/>
        <v>#NAME?</v>
      </c>
      <c r="P4" s="20"/>
      <c r="Q4" s="20"/>
      <c r="R4" s="20"/>
      <c r="S4" s="20"/>
      <c r="T4" s="20"/>
      <c r="U4" s="20"/>
      <c r="V4" s="20"/>
      <c r="W4" s="20"/>
      <c r="X4" s="20"/>
      <c r="Y4" s="20"/>
      <c r="Z4" s="20"/>
    </row>
    <row r="5" spans="1:26" ht="17.25" customHeight="1">
      <c r="A5" s="15" t="e">
        <f t="shared" ca="1" si="1"/>
        <v>#NAME?</v>
      </c>
      <c r="B5" s="15" t="s">
        <v>5174</v>
      </c>
      <c r="C5" s="15">
        <v>0.02</v>
      </c>
      <c r="D5" s="15" t="s">
        <v>5172</v>
      </c>
      <c r="E5" s="15">
        <v>0.03</v>
      </c>
      <c r="F5" s="15"/>
      <c r="H5" s="15"/>
      <c r="J5" s="15"/>
      <c r="L5" s="15"/>
      <c r="M5" s="47"/>
      <c r="N5" s="20"/>
      <c r="O5" s="20" t="e">
        <f t="shared" ca="1" si="0"/>
        <v>#NAME?</v>
      </c>
      <c r="P5" s="20"/>
      <c r="Q5" s="20"/>
      <c r="R5" s="20"/>
      <c r="S5" s="20"/>
      <c r="T5" s="20"/>
      <c r="U5" s="20"/>
      <c r="V5" s="20"/>
      <c r="W5" s="20"/>
      <c r="X5" s="20"/>
      <c r="Y5" s="20"/>
      <c r="Z5" s="20"/>
    </row>
    <row r="6" spans="1:26" ht="17.25" customHeight="1">
      <c r="A6" s="15" t="e">
        <f t="shared" ca="1" si="1"/>
        <v>#NAME?</v>
      </c>
      <c r="B6" s="15"/>
      <c r="D6" s="15"/>
      <c r="F6" s="15"/>
      <c r="H6" s="15"/>
      <c r="J6" s="15"/>
      <c r="L6" s="15"/>
      <c r="M6" s="47"/>
      <c r="N6" s="20"/>
      <c r="O6" s="20" t="e">
        <f t="shared" ca="1" si="0"/>
        <v>#NAME?</v>
      </c>
      <c r="P6" s="20"/>
      <c r="Q6" s="20"/>
      <c r="R6" s="20"/>
      <c r="S6" s="20"/>
      <c r="T6" s="20"/>
      <c r="U6" s="20"/>
      <c r="V6" s="20"/>
      <c r="W6" s="20"/>
      <c r="X6" s="20"/>
      <c r="Y6" s="20"/>
      <c r="Z6" s="20"/>
    </row>
    <row r="7" spans="1:26" ht="17.25" customHeight="1">
      <c r="A7" s="15" t="e">
        <f t="shared" ca="1" si="1"/>
        <v>#NAME?</v>
      </c>
      <c r="B7" s="15"/>
      <c r="D7" s="15"/>
      <c r="F7" s="15"/>
      <c r="H7" s="15"/>
      <c r="J7" s="15"/>
      <c r="L7" s="15"/>
      <c r="M7" s="47"/>
      <c r="N7" s="20"/>
      <c r="O7" s="20" t="e">
        <f t="shared" ca="1" si="0"/>
        <v>#NAME?</v>
      </c>
      <c r="P7" s="20"/>
      <c r="Q7" s="20"/>
      <c r="R7" s="20"/>
      <c r="S7" s="20"/>
      <c r="T7" s="20"/>
      <c r="U7" s="20"/>
      <c r="V7" s="20"/>
      <c r="W7" s="20"/>
      <c r="X7" s="20"/>
      <c r="Y7" s="20"/>
      <c r="Z7" s="20"/>
    </row>
    <row r="8" spans="1:26" ht="17.25" customHeight="1">
      <c r="A8" s="15" t="e">
        <f t="shared" ca="1" si="1"/>
        <v>#NAME?</v>
      </c>
      <c r="B8" s="15"/>
      <c r="D8" s="15"/>
      <c r="F8" s="15"/>
      <c r="H8" s="15"/>
      <c r="J8" s="15"/>
      <c r="L8" s="15"/>
      <c r="M8" s="47"/>
      <c r="N8" s="20"/>
      <c r="O8" s="20" t="e">
        <f t="shared" ca="1" si="0"/>
        <v>#NAME?</v>
      </c>
      <c r="P8" s="20"/>
      <c r="Q8" s="20"/>
      <c r="R8" s="20"/>
      <c r="S8" s="20"/>
      <c r="T8" s="20"/>
      <c r="U8" s="20"/>
      <c r="V8" s="20"/>
      <c r="W8" s="20"/>
      <c r="X8" s="20"/>
      <c r="Y8" s="20"/>
      <c r="Z8" s="20"/>
    </row>
    <row r="9" spans="1:26" ht="17.25" customHeight="1">
      <c r="A9" s="15" t="e">
        <f t="shared" ca="1" si="1"/>
        <v>#NAME?</v>
      </c>
      <c r="B9" s="15"/>
      <c r="D9" s="15"/>
      <c r="F9" s="15"/>
      <c r="H9" s="15"/>
      <c r="J9" s="15"/>
      <c r="L9" s="15"/>
      <c r="M9" s="47"/>
      <c r="N9" s="20"/>
      <c r="O9" s="20" t="e">
        <f t="shared" ca="1" si="0"/>
        <v>#NAME?</v>
      </c>
      <c r="P9" s="20"/>
      <c r="Q9" s="20"/>
      <c r="R9" s="20"/>
      <c r="S9" s="20"/>
      <c r="T9" s="20"/>
      <c r="U9" s="20"/>
      <c r="V9" s="20"/>
      <c r="W9" s="20"/>
      <c r="X9" s="20"/>
      <c r="Y9" s="20"/>
      <c r="Z9" s="20"/>
    </row>
    <row r="10" spans="1:26" ht="17.25" customHeight="1">
      <c r="A10" s="15" t="e">
        <f t="shared" ca="1" si="1"/>
        <v>#NAME?</v>
      </c>
      <c r="B10" s="15"/>
      <c r="D10" s="15"/>
      <c r="F10" s="15"/>
      <c r="H10" s="15"/>
      <c r="J10" s="15"/>
      <c r="L10" s="15"/>
      <c r="M10" s="47"/>
      <c r="N10" s="20"/>
      <c r="O10" s="20" t="e">
        <f t="shared" ca="1" si="0"/>
        <v>#NAME?</v>
      </c>
      <c r="P10" s="20"/>
      <c r="Q10" s="20"/>
      <c r="R10" s="20"/>
      <c r="S10" s="20"/>
      <c r="T10" s="20"/>
      <c r="U10" s="20"/>
      <c r="V10" s="20"/>
      <c r="W10" s="20"/>
      <c r="X10" s="20"/>
      <c r="Y10" s="20"/>
      <c r="Z10" s="20"/>
    </row>
    <row r="11" spans="1:26" ht="17.25" customHeight="1">
      <c r="A11" s="15" t="e">
        <f t="shared" ca="1" si="1"/>
        <v>#NAME?</v>
      </c>
      <c r="B11" s="15"/>
      <c r="D11" s="15"/>
      <c r="F11" s="15"/>
      <c r="H11" s="15"/>
      <c r="J11" s="15"/>
      <c r="L11" s="15"/>
      <c r="M11" s="47"/>
      <c r="N11" s="20"/>
      <c r="O11" s="20" t="e">
        <f t="shared" ca="1" si="0"/>
        <v>#NAME?</v>
      </c>
      <c r="P11" s="20"/>
      <c r="Q11" s="20"/>
      <c r="R11" s="20"/>
      <c r="S11" s="20"/>
      <c r="T11" s="20"/>
      <c r="U11" s="20"/>
      <c r="V11" s="20"/>
      <c r="W11" s="20"/>
      <c r="X11" s="20"/>
      <c r="Y11" s="20"/>
      <c r="Z11" s="20"/>
    </row>
    <row r="12" spans="1:26" ht="17.25" customHeight="1">
      <c r="A12" s="15" t="e">
        <f t="shared" ca="1" si="1"/>
        <v>#NAME?</v>
      </c>
      <c r="B12" s="15"/>
      <c r="D12" s="15"/>
      <c r="F12" s="15"/>
      <c r="H12" s="15"/>
      <c r="J12" s="15"/>
      <c r="L12" s="15"/>
      <c r="M12" s="47"/>
      <c r="N12" s="20"/>
      <c r="O12" s="20" t="e">
        <f t="shared" ca="1" si="0"/>
        <v>#NAME?</v>
      </c>
      <c r="P12" s="20"/>
      <c r="Q12" s="20"/>
      <c r="R12" s="20"/>
      <c r="S12" s="20"/>
      <c r="T12" s="20"/>
      <c r="U12" s="20"/>
      <c r="V12" s="20"/>
      <c r="W12" s="20"/>
      <c r="X12" s="20"/>
      <c r="Y12" s="20"/>
      <c r="Z12" s="20"/>
    </row>
    <row r="13" spans="1:26" ht="17.25" customHeight="1">
      <c r="A13" s="15" t="e">
        <f t="shared" ca="1" si="1"/>
        <v>#NAME?</v>
      </c>
      <c r="B13" s="15"/>
      <c r="D13" s="15"/>
      <c r="F13" s="15"/>
      <c r="H13" s="15"/>
      <c r="J13" s="15"/>
      <c r="L13" s="15"/>
      <c r="M13" s="47"/>
      <c r="N13" s="20"/>
      <c r="O13" s="20" t="e">
        <f t="shared" ca="1" si="0"/>
        <v>#NAME?</v>
      </c>
      <c r="P13" s="20"/>
      <c r="Q13" s="20"/>
      <c r="R13" s="20"/>
      <c r="S13" s="20"/>
      <c r="T13" s="20"/>
      <c r="U13" s="20"/>
      <c r="V13" s="20"/>
      <c r="W13" s="20"/>
      <c r="X13" s="20"/>
      <c r="Y13" s="20"/>
      <c r="Z13" s="20"/>
    </row>
    <row r="14" spans="1:26" ht="17.25" customHeight="1">
      <c r="A14" s="15" t="e">
        <f t="shared" ca="1" si="1"/>
        <v>#NAME?</v>
      </c>
      <c r="B14" s="15"/>
      <c r="D14" s="15"/>
      <c r="F14" s="15"/>
      <c r="H14" s="15"/>
      <c r="J14" s="15"/>
      <c r="L14" s="15"/>
      <c r="M14" s="47"/>
      <c r="N14" s="20"/>
      <c r="O14" s="20" t="e">
        <f t="shared" ca="1" si="0"/>
        <v>#NAME?</v>
      </c>
      <c r="P14" s="20"/>
      <c r="Q14" s="20"/>
      <c r="R14" s="20"/>
      <c r="S14" s="20"/>
      <c r="T14" s="20"/>
      <c r="U14" s="20"/>
      <c r="V14" s="20"/>
      <c r="W14" s="20"/>
      <c r="X14" s="20"/>
      <c r="Y14" s="20"/>
      <c r="Z14" s="20"/>
    </row>
    <row r="15" spans="1:26" ht="17.25" customHeight="1">
      <c r="A15" s="15" t="e">
        <f t="shared" ca="1" si="1"/>
        <v>#NAME?</v>
      </c>
      <c r="B15" s="15"/>
      <c r="D15" s="15"/>
      <c r="F15" s="15"/>
      <c r="H15" s="15"/>
      <c r="J15" s="15"/>
      <c r="L15" s="15"/>
      <c r="M15" s="47"/>
      <c r="N15" s="20"/>
      <c r="O15" s="20" t="e">
        <f t="shared" ca="1" si="0"/>
        <v>#NAME?</v>
      </c>
      <c r="P15" s="20"/>
      <c r="Q15" s="20"/>
      <c r="R15" s="20"/>
      <c r="S15" s="20"/>
      <c r="T15" s="20"/>
      <c r="U15" s="20"/>
      <c r="V15" s="20"/>
      <c r="W15" s="20"/>
      <c r="X15" s="20"/>
      <c r="Y15" s="20"/>
      <c r="Z15" s="20"/>
    </row>
    <row r="16" spans="1:26" ht="17.25" customHeight="1">
      <c r="A16" s="15" t="e">
        <f t="shared" ca="1" si="1"/>
        <v>#NAME?</v>
      </c>
      <c r="B16" s="15"/>
      <c r="D16" s="15"/>
      <c r="F16" s="15"/>
      <c r="H16" s="15"/>
      <c r="J16" s="15"/>
      <c r="L16" s="15"/>
      <c r="M16" s="47"/>
      <c r="N16" s="20"/>
      <c r="O16" s="20" t="e">
        <f t="shared" ca="1" si="0"/>
        <v>#NAME?</v>
      </c>
      <c r="P16" s="20"/>
      <c r="Q16" s="20"/>
      <c r="R16" s="20"/>
      <c r="S16" s="20"/>
      <c r="T16" s="20"/>
      <c r="U16" s="20"/>
      <c r="V16" s="20"/>
      <c r="W16" s="20"/>
      <c r="X16" s="20"/>
      <c r="Y16" s="20"/>
      <c r="Z16" s="20"/>
    </row>
    <row r="17" spans="1:26" ht="17.25" customHeight="1">
      <c r="A17" s="15" t="e">
        <f t="shared" ca="1" si="1"/>
        <v>#NAME?</v>
      </c>
      <c r="B17" s="15"/>
      <c r="D17" s="15"/>
      <c r="F17" s="15"/>
      <c r="H17" s="15"/>
      <c r="J17" s="15"/>
      <c r="L17" s="15"/>
      <c r="M17" s="47"/>
      <c r="N17" s="20"/>
      <c r="O17" s="20" t="e">
        <f t="shared" ca="1" si="0"/>
        <v>#NAME?</v>
      </c>
      <c r="P17" s="20"/>
      <c r="Q17" s="20"/>
      <c r="R17" s="20"/>
      <c r="S17" s="20"/>
      <c r="T17" s="20"/>
      <c r="U17" s="20"/>
      <c r="V17" s="20"/>
      <c r="W17" s="20"/>
      <c r="X17" s="20"/>
      <c r="Y17" s="20"/>
      <c r="Z17" s="20"/>
    </row>
    <row r="18" spans="1:26" ht="17.25" customHeight="1">
      <c r="A18" s="15" t="e">
        <f t="shared" ca="1" si="1"/>
        <v>#NAME?</v>
      </c>
      <c r="B18" s="15"/>
      <c r="D18" s="15"/>
      <c r="F18" s="15"/>
      <c r="H18" s="15"/>
      <c r="J18" s="15"/>
      <c r="L18" s="15"/>
      <c r="M18" s="47"/>
      <c r="N18" s="20"/>
      <c r="O18" s="20" t="e">
        <f t="shared" ca="1" si="0"/>
        <v>#NAME?</v>
      </c>
      <c r="P18" s="20"/>
      <c r="Q18" s="20"/>
      <c r="R18" s="20"/>
      <c r="S18" s="20"/>
      <c r="T18" s="20"/>
      <c r="U18" s="20"/>
      <c r="V18" s="20"/>
      <c r="W18" s="20"/>
      <c r="X18" s="20"/>
      <c r="Y18" s="20"/>
      <c r="Z18" s="20"/>
    </row>
    <row r="19" spans="1:26" ht="17.25" customHeight="1">
      <c r="A19" s="15" t="e">
        <f t="shared" ca="1" si="1"/>
        <v>#NAME?</v>
      </c>
      <c r="B19" s="15"/>
      <c r="D19" s="15"/>
      <c r="F19" s="15"/>
      <c r="H19" s="15"/>
      <c r="J19" s="15"/>
      <c r="L19" s="15"/>
      <c r="M19" s="47"/>
      <c r="N19" s="20"/>
      <c r="O19" s="20" t="e">
        <f t="shared" ca="1" si="0"/>
        <v>#NAME?</v>
      </c>
      <c r="P19" s="20"/>
      <c r="Q19" s="20"/>
      <c r="R19" s="20"/>
      <c r="S19" s="20"/>
      <c r="T19" s="20"/>
      <c r="U19" s="20"/>
      <c r="V19" s="20"/>
      <c r="W19" s="20"/>
      <c r="X19" s="20"/>
      <c r="Y19" s="20"/>
      <c r="Z19" s="20"/>
    </row>
    <row r="20" spans="1:26" ht="17.25" customHeight="1">
      <c r="A20" s="15" t="e">
        <f t="shared" ca="1" si="1"/>
        <v>#NAME?</v>
      </c>
      <c r="B20" s="15"/>
      <c r="D20" s="15"/>
      <c r="F20" s="15"/>
      <c r="H20" s="15"/>
      <c r="J20" s="15"/>
      <c r="L20" s="15"/>
      <c r="M20" s="47"/>
      <c r="N20" s="20"/>
      <c r="O20" s="20" t="e">
        <f t="shared" ca="1" si="0"/>
        <v>#NAME?</v>
      </c>
      <c r="P20" s="20"/>
      <c r="Q20" s="20"/>
      <c r="R20" s="20"/>
      <c r="S20" s="20"/>
      <c r="T20" s="20"/>
      <c r="U20" s="20"/>
      <c r="V20" s="20"/>
      <c r="W20" s="20"/>
      <c r="X20" s="20"/>
      <c r="Y20" s="20"/>
      <c r="Z20" s="20"/>
    </row>
    <row r="21" spans="1:26" ht="17.25" customHeight="1">
      <c r="A21" s="15" t="e">
        <f t="shared" ca="1" si="1"/>
        <v>#NAME?</v>
      </c>
      <c r="B21" s="15"/>
      <c r="D21" s="15"/>
      <c r="F21" s="15"/>
      <c r="H21" s="15"/>
      <c r="J21" s="15"/>
      <c r="L21" s="15"/>
      <c r="M21" s="47"/>
      <c r="N21" s="20"/>
      <c r="O21" s="20" t="e">
        <f t="shared" ca="1" si="0"/>
        <v>#NAME?</v>
      </c>
      <c r="P21" s="20"/>
      <c r="Q21" s="20"/>
      <c r="R21" s="20"/>
      <c r="S21" s="20"/>
      <c r="T21" s="20"/>
      <c r="U21" s="20"/>
      <c r="V21" s="20"/>
      <c r="W21" s="20"/>
      <c r="X21" s="20"/>
      <c r="Y21" s="20"/>
      <c r="Z21" s="20"/>
    </row>
    <row r="22" spans="1:26" ht="17.25" customHeight="1">
      <c r="A22" s="15" t="e">
        <f t="shared" ca="1" si="1"/>
        <v>#NAME?</v>
      </c>
      <c r="B22" s="15"/>
      <c r="D22" s="15"/>
      <c r="F22" s="15"/>
      <c r="H22" s="15"/>
      <c r="J22" s="15"/>
      <c r="L22" s="15"/>
      <c r="M22" s="47"/>
      <c r="N22" s="20"/>
      <c r="O22" s="20" t="e">
        <f t="shared" ca="1" si="0"/>
        <v>#NAME?</v>
      </c>
      <c r="P22" s="20"/>
      <c r="Q22" s="20"/>
      <c r="R22" s="20"/>
      <c r="S22" s="20"/>
      <c r="T22" s="20"/>
      <c r="U22" s="20"/>
      <c r="V22" s="20"/>
      <c r="W22" s="20"/>
      <c r="X22" s="20"/>
      <c r="Y22" s="20"/>
      <c r="Z22" s="20"/>
    </row>
    <row r="23" spans="1:26" ht="17.25" customHeight="1">
      <c r="A23" s="15" t="e">
        <f t="shared" ca="1" si="1"/>
        <v>#NAME?</v>
      </c>
      <c r="B23" s="15"/>
      <c r="D23" s="15"/>
      <c r="F23" s="15"/>
      <c r="H23" s="15"/>
      <c r="J23" s="15"/>
      <c r="L23" s="15"/>
      <c r="M23" s="47"/>
      <c r="N23" s="20"/>
      <c r="O23" s="20" t="e">
        <f t="shared" ca="1" si="0"/>
        <v>#NAME?</v>
      </c>
      <c r="P23" s="20"/>
      <c r="Q23" s="20"/>
      <c r="R23" s="20"/>
      <c r="S23" s="20"/>
      <c r="T23" s="20"/>
      <c r="U23" s="20"/>
      <c r="V23" s="20"/>
      <c r="W23" s="20"/>
      <c r="X23" s="20"/>
      <c r="Y23" s="20"/>
      <c r="Z23" s="20"/>
    </row>
    <row r="24" spans="1:26" ht="17.25" customHeight="1">
      <c r="A24" s="15" t="e">
        <f t="shared" ca="1" si="1"/>
        <v>#NAME?</v>
      </c>
      <c r="B24" s="15"/>
      <c r="D24" s="15"/>
      <c r="F24" s="15"/>
      <c r="H24" s="15"/>
      <c r="J24" s="15"/>
      <c r="L24" s="15"/>
      <c r="M24" s="47"/>
      <c r="N24" s="20"/>
      <c r="O24" s="20" t="e">
        <f t="shared" ca="1" si="0"/>
        <v>#NAME?</v>
      </c>
      <c r="P24" s="20"/>
      <c r="Q24" s="20"/>
      <c r="R24" s="20"/>
      <c r="S24" s="20"/>
      <c r="T24" s="20"/>
      <c r="U24" s="20"/>
      <c r="V24" s="20"/>
      <c r="W24" s="20"/>
      <c r="X24" s="20"/>
      <c r="Y24" s="20"/>
      <c r="Z24" s="20"/>
    </row>
    <row r="25" spans="1:26" ht="17.25" customHeight="1">
      <c r="A25" s="15" t="e">
        <f t="shared" ca="1" si="1"/>
        <v>#NAME?</v>
      </c>
      <c r="B25" s="15"/>
      <c r="D25" s="15"/>
      <c r="F25" s="15"/>
      <c r="H25" s="15"/>
      <c r="J25" s="15"/>
      <c r="L25" s="15"/>
      <c r="M25" s="47"/>
      <c r="N25" s="20"/>
      <c r="O25" s="20" t="e">
        <f t="shared" ca="1" si="0"/>
        <v>#NAME?</v>
      </c>
      <c r="P25" s="20"/>
      <c r="Q25" s="20"/>
      <c r="R25" s="20"/>
      <c r="S25" s="20"/>
      <c r="T25" s="20"/>
      <c r="U25" s="20"/>
      <c r="V25" s="20"/>
      <c r="W25" s="20"/>
      <c r="X25" s="20"/>
      <c r="Y25" s="20"/>
      <c r="Z25" s="20"/>
    </row>
    <row r="26" spans="1:26" ht="17.25" customHeight="1">
      <c r="A26" s="15" t="e">
        <f t="shared" ca="1" si="1"/>
        <v>#NAME?</v>
      </c>
      <c r="B26" s="15"/>
      <c r="D26" s="15"/>
      <c r="F26" s="15"/>
      <c r="H26" s="15"/>
      <c r="J26" s="15"/>
      <c r="L26" s="15"/>
      <c r="M26" s="47"/>
      <c r="N26" s="20"/>
      <c r="O26" s="20" t="e">
        <f t="shared" ca="1" si="0"/>
        <v>#NAME?</v>
      </c>
      <c r="P26" s="20"/>
      <c r="Q26" s="20"/>
      <c r="R26" s="20"/>
      <c r="S26" s="20"/>
      <c r="T26" s="20"/>
      <c r="U26" s="20"/>
      <c r="V26" s="20"/>
      <c r="W26" s="20"/>
      <c r="X26" s="20"/>
      <c r="Y26" s="20"/>
      <c r="Z26" s="20"/>
    </row>
    <row r="27" spans="1:26" ht="17.25" customHeight="1">
      <c r="A27" s="15" t="e">
        <f t="shared" ca="1" si="1"/>
        <v>#NAME?</v>
      </c>
      <c r="B27" s="15"/>
      <c r="D27" s="15"/>
      <c r="F27" s="15"/>
      <c r="H27" s="15"/>
      <c r="J27" s="15"/>
      <c r="L27" s="15"/>
      <c r="M27" s="47"/>
      <c r="N27" s="20"/>
      <c r="O27" s="20" t="e">
        <f t="shared" ca="1" si="0"/>
        <v>#NAME?</v>
      </c>
      <c r="P27" s="20"/>
      <c r="Q27" s="20"/>
      <c r="R27" s="20"/>
      <c r="S27" s="20"/>
      <c r="T27" s="20"/>
      <c r="U27" s="20"/>
      <c r="V27" s="20"/>
      <c r="W27" s="20"/>
      <c r="X27" s="20"/>
      <c r="Y27" s="20"/>
      <c r="Z27" s="20"/>
    </row>
    <row r="28" spans="1:26" ht="17.25" customHeight="1">
      <c r="A28" s="15" t="e">
        <f t="shared" ca="1" si="1"/>
        <v>#NAME?</v>
      </c>
      <c r="B28" s="15"/>
      <c r="D28" s="15"/>
      <c r="F28" s="15"/>
      <c r="H28" s="15"/>
      <c r="J28" s="15"/>
      <c r="L28" s="15"/>
      <c r="M28" s="47"/>
      <c r="N28" s="20"/>
      <c r="O28" s="20" t="e">
        <f t="shared" ca="1" si="0"/>
        <v>#NAME?</v>
      </c>
      <c r="P28" s="20"/>
      <c r="Q28" s="20"/>
      <c r="R28" s="20"/>
      <c r="S28" s="20"/>
      <c r="T28" s="20"/>
      <c r="U28" s="20"/>
      <c r="V28" s="20"/>
      <c r="W28" s="20"/>
      <c r="X28" s="20"/>
      <c r="Y28" s="20"/>
      <c r="Z28" s="20"/>
    </row>
    <row r="29" spans="1:26" ht="17.25" customHeight="1">
      <c r="A29" s="15" t="e">
        <f t="shared" ca="1" si="1"/>
        <v>#NAME?</v>
      </c>
      <c r="B29" s="15"/>
      <c r="D29" s="15"/>
      <c r="F29" s="15"/>
      <c r="H29" s="15"/>
      <c r="J29" s="15"/>
      <c r="L29" s="15"/>
      <c r="M29" s="47"/>
      <c r="N29" s="20"/>
      <c r="O29" s="20" t="e">
        <f t="shared" ca="1" si="0"/>
        <v>#NAME?</v>
      </c>
      <c r="P29" s="20"/>
      <c r="Q29" s="20"/>
      <c r="R29" s="20"/>
      <c r="S29" s="20"/>
      <c r="T29" s="20"/>
      <c r="U29" s="20"/>
      <c r="V29" s="20"/>
      <c r="W29" s="20"/>
      <c r="X29" s="20"/>
      <c r="Y29" s="20"/>
      <c r="Z29" s="20"/>
    </row>
    <row r="30" spans="1:26" ht="17.25" customHeight="1">
      <c r="A30" s="15" t="e">
        <f t="shared" ca="1" si="1"/>
        <v>#NAME?</v>
      </c>
      <c r="B30" s="15"/>
      <c r="D30" s="15"/>
      <c r="F30" s="15"/>
      <c r="H30" s="15"/>
      <c r="J30" s="15"/>
      <c r="L30" s="15"/>
      <c r="M30" s="47"/>
      <c r="N30" s="20"/>
      <c r="O30" s="20" t="e">
        <f t="shared" ca="1" si="0"/>
        <v>#NAME?</v>
      </c>
      <c r="P30" s="20"/>
      <c r="Q30" s="20"/>
      <c r="R30" s="20"/>
      <c r="S30" s="20"/>
      <c r="T30" s="20"/>
      <c r="U30" s="20"/>
      <c r="V30" s="20"/>
      <c r="W30" s="20"/>
      <c r="X30" s="20"/>
      <c r="Y30" s="20"/>
      <c r="Z30" s="20"/>
    </row>
    <row r="31" spans="1:26" ht="17.25" customHeight="1">
      <c r="A31" s="15" t="e">
        <f t="shared" ca="1" si="1"/>
        <v>#NAME?</v>
      </c>
      <c r="B31" s="15"/>
      <c r="D31" s="15"/>
      <c r="F31" s="15"/>
      <c r="H31" s="15"/>
      <c r="J31" s="15"/>
      <c r="L31" s="15"/>
      <c r="M31" s="47"/>
      <c r="N31" s="20"/>
      <c r="O31" s="20" t="e">
        <f t="shared" ca="1" si="0"/>
        <v>#NAME?</v>
      </c>
      <c r="P31" s="20"/>
      <c r="Q31" s="20"/>
      <c r="R31" s="20"/>
      <c r="S31" s="20"/>
      <c r="T31" s="20"/>
      <c r="U31" s="20"/>
      <c r="V31" s="20"/>
      <c r="W31" s="20"/>
      <c r="X31" s="20"/>
      <c r="Y31" s="20"/>
      <c r="Z31" s="20"/>
    </row>
    <row r="32" spans="1:26" ht="17.25" customHeight="1">
      <c r="A32" s="15" t="e">
        <f t="shared" ca="1" si="1"/>
        <v>#NAME?</v>
      </c>
      <c r="B32" s="15"/>
      <c r="D32" s="15"/>
      <c r="F32" s="15"/>
      <c r="H32" s="15"/>
      <c r="J32" s="15"/>
      <c r="L32" s="15"/>
      <c r="M32" s="47"/>
      <c r="N32" s="20"/>
      <c r="O32" s="20" t="e">
        <f t="shared" ca="1" si="0"/>
        <v>#NAME?</v>
      </c>
      <c r="P32" s="20"/>
      <c r="Q32" s="20"/>
      <c r="R32" s="20"/>
      <c r="S32" s="20"/>
      <c r="T32" s="20"/>
      <c r="U32" s="20"/>
      <c r="V32" s="20"/>
      <c r="W32" s="20"/>
      <c r="X32" s="20"/>
      <c r="Y32" s="20"/>
      <c r="Z32" s="20"/>
    </row>
    <row r="33" spans="1:26" ht="17.25" customHeight="1">
      <c r="A33" s="15" t="e">
        <f t="shared" ca="1" si="1"/>
        <v>#NAME?</v>
      </c>
      <c r="B33" s="15"/>
      <c r="D33" s="15"/>
      <c r="F33" s="15"/>
      <c r="H33" s="15"/>
      <c r="J33" s="15"/>
      <c r="L33" s="15"/>
      <c r="M33" s="47"/>
      <c r="N33" s="20"/>
      <c r="O33" s="20" t="e">
        <f t="shared" ca="1" si="0"/>
        <v>#NAME?</v>
      </c>
      <c r="P33" s="20"/>
      <c r="Q33" s="20"/>
      <c r="R33" s="20"/>
      <c r="S33" s="20"/>
      <c r="T33" s="20"/>
      <c r="U33" s="20"/>
      <c r="V33" s="20"/>
      <c r="W33" s="20"/>
      <c r="X33" s="20"/>
      <c r="Y33" s="20"/>
      <c r="Z33" s="20"/>
    </row>
    <row r="34" spans="1:26" ht="17.25" customHeight="1">
      <c r="A34" s="15" t="e">
        <f t="shared" ca="1" si="1"/>
        <v>#NAME?</v>
      </c>
      <c r="B34" s="15"/>
      <c r="D34" s="15"/>
      <c r="F34" s="15"/>
      <c r="H34" s="15"/>
      <c r="J34" s="15"/>
      <c r="L34" s="15"/>
      <c r="M34" s="47"/>
      <c r="N34" s="20"/>
      <c r="O34" s="20" t="e">
        <f t="shared" ca="1" si="0"/>
        <v>#NAME?</v>
      </c>
      <c r="P34" s="20"/>
      <c r="Q34" s="20"/>
      <c r="R34" s="20"/>
      <c r="S34" s="20"/>
      <c r="T34" s="20"/>
      <c r="U34" s="20"/>
      <c r="V34" s="20"/>
      <c r="W34" s="20"/>
      <c r="X34" s="20"/>
      <c r="Y34" s="20"/>
      <c r="Z34" s="20"/>
    </row>
    <row r="35" spans="1:26" ht="17.25" customHeight="1">
      <c r="A35" s="15" t="e">
        <f t="shared" ca="1" si="1"/>
        <v>#NAME?</v>
      </c>
      <c r="B35" s="15"/>
      <c r="D35" s="15"/>
      <c r="F35" s="15"/>
      <c r="H35" s="15"/>
      <c r="J35" s="15"/>
      <c r="L35" s="15"/>
      <c r="M35" s="47"/>
      <c r="N35" s="20"/>
      <c r="O35" s="20" t="e">
        <f t="shared" ca="1" si="0"/>
        <v>#NAME?</v>
      </c>
      <c r="P35" s="20"/>
      <c r="Q35" s="20"/>
      <c r="R35" s="20"/>
      <c r="S35" s="20"/>
      <c r="T35" s="20"/>
      <c r="U35" s="20"/>
      <c r="V35" s="20"/>
      <c r="W35" s="20"/>
      <c r="X35" s="20"/>
      <c r="Y35" s="20"/>
      <c r="Z35" s="20"/>
    </row>
    <row r="36" spans="1:26" ht="17.25" customHeight="1">
      <c r="A36" s="15" t="e">
        <f t="shared" ca="1" si="1"/>
        <v>#NAME?</v>
      </c>
      <c r="B36" s="15"/>
      <c r="D36" s="15"/>
      <c r="F36" s="15"/>
      <c r="H36" s="15"/>
      <c r="J36" s="15"/>
      <c r="L36" s="15"/>
      <c r="M36" s="47"/>
      <c r="N36" s="20"/>
      <c r="O36" s="20" t="e">
        <f t="shared" ca="1" si="0"/>
        <v>#NAME?</v>
      </c>
      <c r="P36" s="20"/>
      <c r="Q36" s="20"/>
      <c r="R36" s="20"/>
      <c r="S36" s="20"/>
      <c r="T36" s="20"/>
      <c r="U36" s="20"/>
      <c r="V36" s="20"/>
      <c r="W36" s="20"/>
      <c r="X36" s="20"/>
      <c r="Y36" s="20"/>
      <c r="Z36" s="20"/>
    </row>
    <row r="37" spans="1:26" ht="17.25" customHeight="1">
      <c r="A37" s="15" t="e">
        <f t="shared" ca="1" si="1"/>
        <v>#NAME?</v>
      </c>
      <c r="B37" s="15"/>
      <c r="D37" s="15"/>
      <c r="F37" s="15"/>
      <c r="H37" s="15"/>
      <c r="J37" s="15"/>
      <c r="L37" s="15"/>
      <c r="M37" s="47"/>
      <c r="N37" s="20"/>
      <c r="O37" s="20" t="e">
        <f t="shared" ca="1" si="0"/>
        <v>#NAME?</v>
      </c>
      <c r="P37" s="20"/>
      <c r="Q37" s="20"/>
      <c r="R37" s="20"/>
      <c r="S37" s="20"/>
      <c r="T37" s="20"/>
      <c r="U37" s="20"/>
      <c r="V37" s="20"/>
      <c r="W37" s="20"/>
      <c r="X37" s="20"/>
      <c r="Y37" s="20"/>
      <c r="Z37" s="20"/>
    </row>
    <row r="38" spans="1:26" ht="17.25" customHeight="1">
      <c r="A38" s="15" t="e">
        <f t="shared" ca="1" si="1"/>
        <v>#NAME?</v>
      </c>
      <c r="B38" s="15"/>
      <c r="D38" s="15"/>
      <c r="F38" s="15"/>
      <c r="H38" s="15"/>
      <c r="J38" s="15"/>
      <c r="L38" s="15"/>
      <c r="M38" s="47"/>
      <c r="N38" s="20"/>
      <c r="O38" s="20" t="e">
        <f t="shared" ca="1" si="0"/>
        <v>#NAME?</v>
      </c>
      <c r="P38" s="20"/>
      <c r="Q38" s="20"/>
      <c r="R38" s="20"/>
      <c r="S38" s="20"/>
      <c r="T38" s="20"/>
      <c r="U38" s="20"/>
      <c r="V38" s="20"/>
      <c r="W38" s="20"/>
      <c r="X38" s="20"/>
      <c r="Y38" s="20"/>
      <c r="Z38" s="20"/>
    </row>
    <row r="39" spans="1:26" ht="17.25" customHeight="1">
      <c r="A39" s="15" t="e">
        <f t="shared" ca="1" si="1"/>
        <v>#NAME?</v>
      </c>
      <c r="B39" s="15"/>
      <c r="D39" s="15"/>
      <c r="F39" s="15"/>
      <c r="H39" s="15"/>
      <c r="J39" s="15"/>
      <c r="L39" s="15"/>
      <c r="M39" s="47"/>
      <c r="N39" s="20"/>
      <c r="O39" s="20" t="e">
        <f t="shared" ca="1" si="0"/>
        <v>#NAME?</v>
      </c>
      <c r="P39" s="20"/>
      <c r="Q39" s="20"/>
      <c r="R39" s="20"/>
      <c r="S39" s="20"/>
      <c r="T39" s="20"/>
      <c r="U39" s="20"/>
      <c r="V39" s="20"/>
      <c r="W39" s="20"/>
      <c r="X39" s="20"/>
      <c r="Y39" s="20"/>
      <c r="Z39" s="20"/>
    </row>
    <row r="40" spans="1:26" ht="17.25" customHeight="1">
      <c r="A40" s="15" t="e">
        <f t="shared" ca="1" si="1"/>
        <v>#NAME?</v>
      </c>
      <c r="B40" s="15"/>
      <c r="D40" s="15"/>
      <c r="F40" s="15"/>
      <c r="H40" s="15"/>
      <c r="J40" s="15"/>
      <c r="L40" s="15"/>
      <c r="M40" s="47"/>
      <c r="N40" s="20"/>
      <c r="O40" s="20" t="e">
        <f t="shared" ca="1" si="0"/>
        <v>#NAME?</v>
      </c>
      <c r="P40" s="20"/>
      <c r="Q40" s="20"/>
      <c r="R40" s="20"/>
      <c r="S40" s="20"/>
      <c r="T40" s="20"/>
      <c r="U40" s="20"/>
      <c r="V40" s="20"/>
      <c r="W40" s="20"/>
      <c r="X40" s="20"/>
      <c r="Y40" s="20"/>
      <c r="Z40" s="20"/>
    </row>
    <row r="41" spans="1:26" ht="17.25" customHeight="1">
      <c r="A41" s="15" t="e">
        <f t="shared" ca="1" si="1"/>
        <v>#NAME?</v>
      </c>
      <c r="B41" s="15"/>
      <c r="D41" s="15"/>
      <c r="F41" s="15"/>
      <c r="H41" s="15"/>
      <c r="J41" s="15"/>
      <c r="L41" s="15"/>
      <c r="M41" s="47"/>
      <c r="N41" s="20"/>
      <c r="O41" s="20" t="e">
        <f t="shared" ca="1" si="0"/>
        <v>#NAME?</v>
      </c>
      <c r="P41" s="20"/>
      <c r="Q41" s="20"/>
      <c r="R41" s="20"/>
      <c r="S41" s="20"/>
      <c r="T41" s="20"/>
      <c r="U41" s="20"/>
      <c r="V41" s="20"/>
      <c r="W41" s="20"/>
      <c r="X41" s="20"/>
      <c r="Y41" s="20"/>
      <c r="Z41" s="20"/>
    </row>
    <row r="42" spans="1:26" ht="17.25" customHeight="1">
      <c r="A42" s="15" t="e">
        <f t="shared" ca="1" si="1"/>
        <v>#NAME?</v>
      </c>
      <c r="B42" s="15"/>
      <c r="D42" s="15"/>
      <c r="F42" s="15"/>
      <c r="H42" s="15"/>
      <c r="J42" s="15"/>
      <c r="L42" s="15"/>
      <c r="M42" s="47"/>
      <c r="N42" s="20"/>
      <c r="O42" s="20" t="e">
        <f t="shared" ca="1" si="0"/>
        <v>#NAME?</v>
      </c>
      <c r="P42" s="20"/>
      <c r="Q42" s="20"/>
      <c r="R42" s="20"/>
      <c r="S42" s="20"/>
      <c r="T42" s="20"/>
      <c r="U42" s="20"/>
      <c r="V42" s="20"/>
      <c r="W42" s="20"/>
      <c r="X42" s="20"/>
      <c r="Y42" s="20"/>
      <c r="Z42" s="20"/>
    </row>
    <row r="43" spans="1:26" ht="17.25" customHeight="1">
      <c r="A43" s="15" t="e">
        <f t="shared" ca="1" si="1"/>
        <v>#NAME?</v>
      </c>
      <c r="B43" s="15"/>
      <c r="D43" s="15"/>
      <c r="F43" s="15"/>
      <c r="H43" s="15"/>
      <c r="J43" s="15"/>
      <c r="L43" s="15"/>
      <c r="M43" s="47"/>
      <c r="N43" s="20"/>
      <c r="O43" s="20" t="e">
        <f t="shared" ca="1" si="0"/>
        <v>#NAME?</v>
      </c>
      <c r="P43" s="20"/>
      <c r="Q43" s="20"/>
      <c r="R43" s="20"/>
      <c r="S43" s="20"/>
      <c r="T43" s="20"/>
      <c r="U43" s="20"/>
      <c r="V43" s="20"/>
      <c r="W43" s="20"/>
      <c r="X43" s="20"/>
      <c r="Y43" s="20"/>
      <c r="Z43" s="20"/>
    </row>
    <row r="44" spans="1:26" ht="17.25" customHeight="1">
      <c r="A44" s="15" t="e">
        <f t="shared" ca="1" si="1"/>
        <v>#NAME?</v>
      </c>
      <c r="B44" s="15"/>
      <c r="D44" s="15"/>
      <c r="F44" s="15"/>
      <c r="H44" s="15"/>
      <c r="J44" s="15"/>
      <c r="L44" s="15"/>
      <c r="M44" s="47"/>
      <c r="N44" s="20"/>
      <c r="O44" s="20" t="e">
        <f t="shared" ca="1" si="0"/>
        <v>#NAME?</v>
      </c>
      <c r="P44" s="20"/>
      <c r="Q44" s="20"/>
      <c r="R44" s="20"/>
      <c r="S44" s="20"/>
      <c r="T44" s="20"/>
      <c r="U44" s="20"/>
      <c r="V44" s="20"/>
      <c r="W44" s="20"/>
      <c r="X44" s="20"/>
      <c r="Y44" s="20"/>
      <c r="Z44" s="20"/>
    </row>
    <row r="45" spans="1:26" ht="17.25" customHeight="1">
      <c r="A45" s="15" t="e">
        <f t="shared" ca="1" si="1"/>
        <v>#NAME?</v>
      </c>
      <c r="B45" s="15"/>
      <c r="D45" s="15"/>
      <c r="F45" s="15"/>
      <c r="H45" s="15"/>
      <c r="J45" s="15"/>
      <c r="L45" s="15"/>
      <c r="M45" s="47"/>
      <c r="N45" s="20"/>
      <c r="O45" s="20" t="e">
        <f t="shared" ca="1" si="0"/>
        <v>#NAME?</v>
      </c>
      <c r="P45" s="20"/>
      <c r="Q45" s="20"/>
      <c r="R45" s="20"/>
      <c r="S45" s="20"/>
      <c r="T45" s="20"/>
      <c r="U45" s="20"/>
      <c r="V45" s="20"/>
      <c r="W45" s="20"/>
      <c r="X45" s="20"/>
      <c r="Y45" s="20"/>
      <c r="Z45" s="20"/>
    </row>
    <row r="46" spans="1:26" ht="17.25" customHeight="1">
      <c r="A46" s="15" t="e">
        <f t="shared" ca="1" si="1"/>
        <v>#NAME?</v>
      </c>
      <c r="B46" s="15"/>
      <c r="D46" s="15"/>
      <c r="F46" s="15"/>
      <c r="H46" s="15"/>
      <c r="J46" s="15"/>
      <c r="L46" s="15"/>
      <c r="M46" s="47"/>
      <c r="N46" s="20"/>
      <c r="O46" s="20" t="e">
        <f t="shared" ca="1" si="0"/>
        <v>#NAME?</v>
      </c>
      <c r="P46" s="20"/>
      <c r="Q46" s="20"/>
      <c r="R46" s="20"/>
      <c r="S46" s="20"/>
      <c r="T46" s="20"/>
      <c r="U46" s="20"/>
      <c r="V46" s="20"/>
      <c r="W46" s="20"/>
      <c r="X46" s="20"/>
      <c r="Y46" s="20"/>
      <c r="Z46" s="20"/>
    </row>
    <row r="47" spans="1:26" ht="17.25" customHeight="1">
      <c r="A47" s="15" t="e">
        <f t="shared" ca="1" si="1"/>
        <v>#NAME?</v>
      </c>
      <c r="B47" s="15"/>
      <c r="D47" s="15"/>
      <c r="F47" s="15"/>
      <c r="H47" s="15"/>
      <c r="J47" s="15"/>
      <c r="L47" s="15"/>
      <c r="M47" s="47"/>
      <c r="N47" s="20"/>
      <c r="O47" s="20" t="e">
        <f t="shared" ca="1" si="0"/>
        <v>#NAME?</v>
      </c>
      <c r="P47" s="20"/>
      <c r="Q47" s="20"/>
      <c r="R47" s="20"/>
      <c r="S47" s="20"/>
      <c r="T47" s="20"/>
      <c r="U47" s="20"/>
      <c r="V47" s="20"/>
      <c r="W47" s="20"/>
      <c r="X47" s="20"/>
      <c r="Y47" s="20"/>
      <c r="Z47" s="20"/>
    </row>
    <row r="48" spans="1:26" ht="17.25" customHeight="1">
      <c r="A48" s="15" t="e">
        <f t="shared" ca="1" si="1"/>
        <v>#NAME?</v>
      </c>
      <c r="B48" s="15"/>
      <c r="D48" s="15"/>
      <c r="F48" s="15"/>
      <c r="H48" s="15"/>
      <c r="J48" s="15"/>
      <c r="L48" s="15"/>
      <c r="M48" s="47"/>
      <c r="N48" s="20"/>
      <c r="O48" s="20" t="e">
        <f t="shared" ca="1" si="0"/>
        <v>#NAME?</v>
      </c>
      <c r="P48" s="20"/>
      <c r="Q48" s="20"/>
      <c r="R48" s="20"/>
      <c r="S48" s="20"/>
      <c r="T48" s="20"/>
      <c r="U48" s="20"/>
      <c r="V48" s="20"/>
      <c r="W48" s="20"/>
      <c r="X48" s="20"/>
      <c r="Y48" s="20"/>
      <c r="Z48" s="20"/>
    </row>
    <row r="49" spans="1:26" ht="17.25" customHeight="1">
      <c r="A49" s="15" t="e">
        <f t="shared" ca="1" si="1"/>
        <v>#NAME?</v>
      </c>
      <c r="B49" s="15"/>
      <c r="D49" s="15"/>
      <c r="F49" s="15"/>
      <c r="H49" s="15"/>
      <c r="J49" s="15"/>
      <c r="L49" s="15"/>
      <c r="M49" s="47"/>
      <c r="N49" s="20"/>
      <c r="O49" s="20" t="e">
        <f t="shared" ca="1" si="0"/>
        <v>#NAME?</v>
      </c>
      <c r="P49" s="20"/>
      <c r="Q49" s="20"/>
      <c r="R49" s="20"/>
      <c r="S49" s="20"/>
      <c r="T49" s="20"/>
      <c r="U49" s="20"/>
      <c r="V49" s="20"/>
      <c r="W49" s="20"/>
      <c r="X49" s="20"/>
      <c r="Y49" s="20"/>
      <c r="Z49" s="20"/>
    </row>
    <row r="50" spans="1:26" ht="17.25" customHeight="1">
      <c r="A50" s="15" t="e">
        <f t="shared" ca="1" si="1"/>
        <v>#NAME?</v>
      </c>
      <c r="B50" s="15"/>
      <c r="D50" s="15"/>
      <c r="F50" s="15"/>
      <c r="H50" s="15"/>
      <c r="J50" s="15"/>
      <c r="L50" s="15"/>
      <c r="M50" s="47"/>
      <c r="N50" s="20"/>
      <c r="O50" s="20" t="e">
        <f t="shared" ca="1" si="0"/>
        <v>#NAME?</v>
      </c>
      <c r="P50" s="20"/>
      <c r="Q50" s="20"/>
      <c r="R50" s="20"/>
      <c r="S50" s="20"/>
      <c r="T50" s="20"/>
      <c r="U50" s="20"/>
      <c r="V50" s="20"/>
      <c r="W50" s="20"/>
      <c r="X50" s="20"/>
      <c r="Y50" s="20"/>
      <c r="Z50" s="20"/>
    </row>
    <row r="51" spans="1:26" ht="17.25" customHeight="1">
      <c r="A51" s="15" t="e">
        <f t="shared" ca="1" si="1"/>
        <v>#NAME?</v>
      </c>
      <c r="B51" s="15"/>
      <c r="D51" s="15"/>
      <c r="F51" s="15"/>
      <c r="H51" s="15"/>
      <c r="J51" s="15"/>
      <c r="L51" s="15"/>
      <c r="M51" s="47"/>
      <c r="N51" s="20"/>
      <c r="O51" s="20" t="e">
        <f t="shared" ca="1" si="0"/>
        <v>#NAME?</v>
      </c>
      <c r="P51" s="20"/>
      <c r="Q51" s="20"/>
      <c r="R51" s="20"/>
      <c r="S51" s="20"/>
      <c r="T51" s="20"/>
      <c r="U51" s="20"/>
      <c r="V51" s="20"/>
      <c r="W51" s="20"/>
      <c r="X51" s="20"/>
      <c r="Y51" s="20"/>
      <c r="Z51" s="20"/>
    </row>
    <row r="52" spans="1:26" ht="17.25" customHeight="1">
      <c r="A52" s="15" t="e">
        <f t="shared" ca="1" si="1"/>
        <v>#NAME?</v>
      </c>
      <c r="B52" s="15"/>
      <c r="D52" s="15"/>
      <c r="F52" s="15"/>
      <c r="H52" s="15"/>
      <c r="J52" s="15"/>
      <c r="L52" s="15"/>
      <c r="M52" s="47"/>
      <c r="N52" s="20"/>
      <c r="O52" s="20" t="e">
        <f t="shared" ca="1" si="0"/>
        <v>#NAME?</v>
      </c>
      <c r="P52" s="20"/>
      <c r="Q52" s="20"/>
      <c r="R52" s="20"/>
      <c r="S52" s="20"/>
      <c r="T52" s="20"/>
      <c r="U52" s="20"/>
      <c r="V52" s="20"/>
      <c r="W52" s="20"/>
      <c r="X52" s="20"/>
      <c r="Y52" s="20"/>
      <c r="Z52" s="20"/>
    </row>
    <row r="53" spans="1:26" ht="17.25" customHeight="1">
      <c r="A53" s="15" t="e">
        <f t="shared" ca="1" si="1"/>
        <v>#NAME?</v>
      </c>
      <c r="B53" s="15"/>
      <c r="D53" s="15"/>
      <c r="F53" s="15"/>
      <c r="H53" s="15"/>
      <c r="J53" s="15"/>
      <c r="L53" s="15"/>
      <c r="M53" s="47"/>
      <c r="N53" s="20"/>
      <c r="O53" s="20" t="e">
        <f t="shared" ca="1" si="0"/>
        <v>#NAME?</v>
      </c>
      <c r="P53" s="20"/>
      <c r="Q53" s="20"/>
      <c r="R53" s="20"/>
      <c r="S53" s="20"/>
      <c r="T53" s="20"/>
      <c r="U53" s="20"/>
      <c r="V53" s="20"/>
      <c r="W53" s="20"/>
      <c r="X53" s="20"/>
      <c r="Y53" s="20"/>
      <c r="Z53" s="20"/>
    </row>
    <row r="54" spans="1:26" ht="17.25" customHeight="1">
      <c r="A54" s="15" t="e">
        <f t="shared" ca="1" si="1"/>
        <v>#NAME?</v>
      </c>
      <c r="B54" s="15"/>
      <c r="D54" s="15"/>
      <c r="F54" s="15"/>
      <c r="H54" s="15"/>
      <c r="J54" s="15"/>
      <c r="L54" s="15"/>
      <c r="M54" s="47"/>
      <c r="N54" s="20"/>
      <c r="O54" s="20" t="e">
        <f t="shared" ca="1" si="0"/>
        <v>#NAME?</v>
      </c>
      <c r="P54" s="20"/>
      <c r="Q54" s="20"/>
      <c r="R54" s="20"/>
      <c r="S54" s="20"/>
      <c r="T54" s="20"/>
      <c r="U54" s="20"/>
      <c r="V54" s="20"/>
      <c r="W54" s="20"/>
      <c r="X54" s="20"/>
      <c r="Y54" s="20"/>
      <c r="Z54" s="20"/>
    </row>
    <row r="55" spans="1:26" ht="17.25" customHeight="1">
      <c r="A55" s="15" t="e">
        <f t="shared" ca="1" si="1"/>
        <v>#NAME?</v>
      </c>
      <c r="B55" s="15"/>
      <c r="D55" s="15"/>
      <c r="F55" s="15"/>
      <c r="H55" s="15"/>
      <c r="J55" s="15"/>
      <c r="L55" s="15"/>
      <c r="M55" s="47"/>
      <c r="N55" s="20"/>
      <c r="O55" s="20" t="e">
        <f t="shared" ca="1" si="0"/>
        <v>#NAME?</v>
      </c>
      <c r="P55" s="20"/>
      <c r="Q55" s="20"/>
      <c r="R55" s="20"/>
      <c r="S55" s="20"/>
      <c r="T55" s="20"/>
      <c r="U55" s="20"/>
      <c r="V55" s="20"/>
      <c r="W55" s="20"/>
      <c r="X55" s="20"/>
      <c r="Y55" s="20"/>
      <c r="Z55" s="20"/>
    </row>
    <row r="56" spans="1:26" ht="17.25" customHeight="1">
      <c r="A56" s="15" t="e">
        <f t="shared" ca="1" si="1"/>
        <v>#NAME?</v>
      </c>
      <c r="B56" s="15"/>
      <c r="D56" s="15"/>
      <c r="F56" s="15"/>
      <c r="H56" s="15"/>
      <c r="J56" s="15"/>
      <c r="L56" s="15"/>
      <c r="M56" s="47"/>
      <c r="N56" s="20"/>
      <c r="O56" s="20" t="e">
        <f t="shared" ca="1" si="0"/>
        <v>#NAME?</v>
      </c>
      <c r="P56" s="20"/>
      <c r="Q56" s="20"/>
      <c r="R56" s="20"/>
      <c r="S56" s="20"/>
      <c r="T56" s="20"/>
      <c r="U56" s="20"/>
      <c r="V56" s="20"/>
      <c r="W56" s="20"/>
      <c r="X56" s="20"/>
      <c r="Y56" s="20"/>
      <c r="Z56" s="20"/>
    </row>
    <row r="57" spans="1:26" ht="17.25" customHeight="1">
      <c r="A57" s="15" t="e">
        <f t="shared" ca="1" si="1"/>
        <v>#NAME?</v>
      </c>
      <c r="B57" s="15"/>
      <c r="D57" s="15"/>
      <c r="F57" s="15"/>
      <c r="H57" s="15"/>
      <c r="J57" s="15"/>
      <c r="L57" s="15"/>
      <c r="M57" s="47"/>
      <c r="N57" s="20"/>
      <c r="O57" s="20" t="e">
        <f t="shared" ca="1" si="0"/>
        <v>#NAME?</v>
      </c>
      <c r="P57" s="20"/>
      <c r="Q57" s="20"/>
      <c r="R57" s="20"/>
      <c r="S57" s="20"/>
      <c r="T57" s="20"/>
      <c r="U57" s="20"/>
      <c r="V57" s="20"/>
      <c r="W57" s="20"/>
      <c r="X57" s="20"/>
      <c r="Y57" s="20"/>
      <c r="Z57" s="20"/>
    </row>
    <row r="58" spans="1:26" ht="17.25" customHeight="1">
      <c r="A58" s="15" t="e">
        <f t="shared" ca="1" si="1"/>
        <v>#NAME?</v>
      </c>
      <c r="B58" s="15"/>
      <c r="D58" s="15"/>
      <c r="F58" s="15"/>
      <c r="H58" s="15"/>
      <c r="J58" s="15"/>
      <c r="L58" s="15"/>
      <c r="M58" s="47"/>
      <c r="N58" s="20"/>
      <c r="O58" s="20" t="e">
        <f t="shared" ca="1" si="0"/>
        <v>#NAME?</v>
      </c>
      <c r="P58" s="20"/>
      <c r="Q58" s="20"/>
      <c r="R58" s="20"/>
      <c r="S58" s="20"/>
      <c r="T58" s="20"/>
      <c r="U58" s="20"/>
      <c r="V58" s="20"/>
      <c r="W58" s="20"/>
      <c r="X58" s="20"/>
      <c r="Y58" s="20"/>
      <c r="Z58" s="20"/>
    </row>
    <row r="59" spans="1:26" ht="17.25" customHeight="1">
      <c r="A59" s="15" t="e">
        <f t="shared" ca="1" si="1"/>
        <v>#NAME?</v>
      </c>
      <c r="B59" s="15"/>
      <c r="D59" s="15"/>
      <c r="F59" s="15"/>
      <c r="H59" s="15"/>
      <c r="J59" s="15"/>
      <c r="L59" s="15"/>
      <c r="M59" s="47"/>
      <c r="N59" s="20"/>
      <c r="O59" s="20" t="e">
        <f t="shared" ca="1" si="0"/>
        <v>#NAME?</v>
      </c>
      <c r="P59" s="20"/>
      <c r="Q59" s="20"/>
      <c r="R59" s="20"/>
      <c r="S59" s="20"/>
      <c r="T59" s="20"/>
      <c r="U59" s="20"/>
      <c r="V59" s="20"/>
      <c r="W59" s="20"/>
      <c r="X59" s="20"/>
      <c r="Y59" s="20"/>
      <c r="Z59" s="20"/>
    </row>
    <row r="60" spans="1:26" ht="17.25" customHeight="1">
      <c r="A60" s="15" t="e">
        <f t="shared" ca="1" si="1"/>
        <v>#NAME?</v>
      </c>
      <c r="B60" s="15"/>
      <c r="D60" s="15"/>
      <c r="F60" s="15"/>
      <c r="H60" s="15"/>
      <c r="J60" s="15"/>
      <c r="L60" s="15"/>
      <c r="M60" s="47"/>
      <c r="N60" s="20"/>
      <c r="O60" s="20" t="e">
        <f t="shared" ca="1" si="0"/>
        <v>#NAME?</v>
      </c>
      <c r="P60" s="20"/>
      <c r="Q60" s="20"/>
      <c r="R60" s="20"/>
      <c r="S60" s="20"/>
      <c r="T60" s="20"/>
      <c r="U60" s="20"/>
      <c r="V60" s="20"/>
      <c r="W60" s="20"/>
      <c r="X60" s="20"/>
      <c r="Y60" s="20"/>
      <c r="Z60" s="20"/>
    </row>
    <row r="61" spans="1:26" ht="17.25" customHeight="1">
      <c r="A61" s="15" t="e">
        <f t="shared" ca="1" si="1"/>
        <v>#NAME?</v>
      </c>
      <c r="B61" s="15"/>
      <c r="D61" s="15"/>
      <c r="F61" s="15"/>
      <c r="H61" s="15"/>
      <c r="J61" s="15"/>
      <c r="L61" s="15"/>
      <c r="M61" s="47"/>
      <c r="N61" s="20"/>
      <c r="O61" s="20" t="e">
        <f t="shared" ca="1" si="0"/>
        <v>#NAME?</v>
      </c>
      <c r="P61" s="20"/>
      <c r="Q61" s="20"/>
      <c r="R61" s="20"/>
      <c r="S61" s="20"/>
      <c r="T61" s="20"/>
      <c r="U61" s="20"/>
      <c r="V61" s="20"/>
      <c r="W61" s="20"/>
      <c r="X61" s="20"/>
      <c r="Y61" s="20"/>
      <c r="Z61" s="20"/>
    </row>
    <row r="62" spans="1:26" ht="17.25" customHeight="1">
      <c r="A62" s="15" t="e">
        <f t="shared" ca="1" si="1"/>
        <v>#NAME?</v>
      </c>
      <c r="B62" s="15"/>
      <c r="D62" s="15"/>
      <c r="F62" s="15"/>
      <c r="H62" s="15"/>
      <c r="J62" s="15"/>
      <c r="L62" s="15"/>
      <c r="M62" s="47"/>
      <c r="N62" s="20"/>
      <c r="O62" s="20" t="e">
        <f t="shared" ca="1" si="0"/>
        <v>#NAME?</v>
      </c>
      <c r="P62" s="20"/>
      <c r="Q62" s="20"/>
      <c r="R62" s="20"/>
      <c r="S62" s="20"/>
      <c r="T62" s="20"/>
      <c r="U62" s="20"/>
      <c r="V62" s="20"/>
      <c r="W62" s="20"/>
      <c r="X62" s="20"/>
      <c r="Y62" s="20"/>
      <c r="Z62" s="20"/>
    </row>
    <row r="63" spans="1:26" ht="17.25" customHeight="1">
      <c r="A63" s="15" t="e">
        <f t="shared" ca="1" si="1"/>
        <v>#NAME?</v>
      </c>
      <c r="B63" s="15"/>
      <c r="D63" s="15"/>
      <c r="F63" s="15"/>
      <c r="H63" s="15"/>
      <c r="J63" s="15"/>
      <c r="L63" s="15"/>
      <c r="M63" s="47"/>
      <c r="N63" s="20"/>
      <c r="O63" s="20" t="e">
        <f t="shared" ca="1" si="0"/>
        <v>#NAME?</v>
      </c>
      <c r="P63" s="20"/>
      <c r="Q63" s="20"/>
      <c r="R63" s="20"/>
      <c r="S63" s="20"/>
      <c r="T63" s="20"/>
      <c r="U63" s="20"/>
      <c r="V63" s="20"/>
      <c r="W63" s="20"/>
      <c r="X63" s="20"/>
      <c r="Y63" s="20"/>
      <c r="Z63" s="20"/>
    </row>
    <row r="64" spans="1:26" ht="17.25" customHeight="1">
      <c r="A64" s="15" t="e">
        <f t="shared" ca="1" si="1"/>
        <v>#NAME?</v>
      </c>
      <c r="B64" s="15"/>
      <c r="D64" s="15"/>
      <c r="F64" s="15"/>
      <c r="H64" s="15"/>
      <c r="J64" s="15"/>
      <c r="L64" s="15"/>
      <c r="M64" s="47"/>
      <c r="N64" s="20"/>
      <c r="O64" s="20" t="e">
        <f t="shared" ca="1" si="0"/>
        <v>#NAME?</v>
      </c>
      <c r="P64" s="20"/>
      <c r="Q64" s="20"/>
      <c r="R64" s="20"/>
      <c r="S64" s="20"/>
      <c r="T64" s="20"/>
      <c r="U64" s="20"/>
      <c r="V64" s="20"/>
      <c r="W64" s="20"/>
      <c r="X64" s="20"/>
      <c r="Y64" s="20"/>
      <c r="Z64" s="20"/>
    </row>
    <row r="65" spans="1:26" ht="17.25" customHeight="1">
      <c r="A65" s="15" t="e">
        <f t="shared" ca="1" si="1"/>
        <v>#NAME?</v>
      </c>
      <c r="B65" s="15"/>
      <c r="D65" s="15"/>
      <c r="F65" s="15"/>
      <c r="H65" s="15"/>
      <c r="J65" s="15"/>
      <c r="L65" s="15"/>
      <c r="M65" s="47"/>
      <c r="N65" s="20"/>
      <c r="O65" s="20" t="e">
        <f t="shared" ca="1" si="0"/>
        <v>#NAME?</v>
      </c>
      <c r="P65" s="20"/>
      <c r="Q65" s="20"/>
      <c r="R65" s="20"/>
      <c r="S65" s="20"/>
      <c r="T65" s="20"/>
      <c r="U65" s="20"/>
      <c r="V65" s="20"/>
      <c r="W65" s="20"/>
      <c r="X65" s="20"/>
      <c r="Y65" s="20"/>
      <c r="Z65" s="20"/>
    </row>
    <row r="66" spans="1:26" ht="17.25" customHeight="1">
      <c r="A66" s="15" t="e">
        <f t="shared" ca="1" si="1"/>
        <v>#NAME?</v>
      </c>
      <c r="B66" s="15"/>
      <c r="D66" s="15"/>
      <c r="F66" s="15"/>
      <c r="H66" s="15"/>
      <c r="J66" s="15"/>
      <c r="L66" s="15"/>
      <c r="M66" s="47"/>
      <c r="N66" s="20"/>
      <c r="O66" s="20" t="e">
        <f t="shared" ca="1" si="0"/>
        <v>#NAME?</v>
      </c>
      <c r="P66" s="20"/>
      <c r="Q66" s="20"/>
      <c r="R66" s="20"/>
      <c r="S66" s="20"/>
      <c r="T66" s="20"/>
      <c r="U66" s="20"/>
      <c r="V66" s="20"/>
      <c r="W66" s="20"/>
      <c r="X66" s="20"/>
      <c r="Y66" s="20"/>
      <c r="Z66" s="20"/>
    </row>
    <row r="67" spans="1:26" ht="17.25" customHeight="1">
      <c r="A67" s="15" t="e">
        <f t="shared" ca="1" si="1"/>
        <v>#NAME?</v>
      </c>
      <c r="B67" s="15"/>
      <c r="D67" s="15"/>
      <c r="F67" s="15"/>
      <c r="H67" s="15"/>
      <c r="J67" s="15"/>
      <c r="L67" s="15"/>
      <c r="M67" s="47"/>
      <c r="N67" s="20"/>
      <c r="O67" s="20" t="e">
        <f t="shared" ca="1" si="0"/>
        <v>#NAME?</v>
      </c>
      <c r="P67" s="20"/>
      <c r="Q67" s="20"/>
      <c r="R67" s="20"/>
      <c r="S67" s="20"/>
      <c r="T67" s="20"/>
      <c r="U67" s="20"/>
      <c r="V67" s="20"/>
      <c r="W67" s="20"/>
      <c r="X67" s="20"/>
      <c r="Y67" s="20"/>
      <c r="Z67" s="20"/>
    </row>
    <row r="68" spans="1:26" ht="17.25" customHeight="1">
      <c r="A68" s="15" t="e">
        <f t="shared" ca="1" si="1"/>
        <v>#NAME?</v>
      </c>
      <c r="B68" s="15"/>
      <c r="D68" s="15"/>
      <c r="F68" s="15"/>
      <c r="H68" s="15"/>
      <c r="J68" s="15"/>
      <c r="L68" s="15"/>
      <c r="M68" s="47"/>
      <c r="N68" s="20"/>
      <c r="O68" s="20" t="e">
        <f t="shared" ca="1" si="0"/>
        <v>#NAME?</v>
      </c>
      <c r="P68" s="20"/>
      <c r="Q68" s="20"/>
      <c r="R68" s="20"/>
      <c r="S68" s="20"/>
      <c r="T68" s="20"/>
      <c r="U68" s="20"/>
      <c r="V68" s="20"/>
      <c r="W68" s="20"/>
      <c r="X68" s="20"/>
      <c r="Y68" s="20"/>
      <c r="Z68" s="20"/>
    </row>
    <row r="69" spans="1:26" ht="17.25" customHeight="1">
      <c r="A69" s="15" t="e">
        <f t="shared" ca="1" si="1"/>
        <v>#NAME?</v>
      </c>
      <c r="M69" s="47"/>
      <c r="N69" s="20"/>
      <c r="O69" s="20" t="e">
        <f t="shared" ca="1" si="0"/>
        <v>#NAME?</v>
      </c>
      <c r="P69" s="20"/>
      <c r="Q69" s="20"/>
      <c r="R69" s="20"/>
      <c r="S69" s="20"/>
      <c r="T69" s="20"/>
      <c r="U69" s="20"/>
      <c r="V69" s="20"/>
      <c r="W69" s="20"/>
      <c r="X69" s="20"/>
      <c r="Y69" s="20"/>
      <c r="Z69" s="20"/>
    </row>
    <row r="70" spans="1:26" ht="17.25" customHeight="1">
      <c r="A70" s="15" t="e">
        <f t="shared" ca="1" si="1"/>
        <v>#NAME?</v>
      </c>
      <c r="M70" s="47"/>
      <c r="N70" s="20"/>
      <c r="O70" s="20" t="e">
        <f t="shared" ca="1" si="0"/>
        <v>#NAME?</v>
      </c>
      <c r="P70" s="20"/>
      <c r="Q70" s="20"/>
      <c r="R70" s="20"/>
      <c r="S70" s="20"/>
      <c r="T70" s="20"/>
      <c r="U70" s="20"/>
      <c r="V70" s="20"/>
      <c r="W70" s="20"/>
      <c r="X70" s="20"/>
      <c r="Y70" s="20"/>
      <c r="Z70" s="20"/>
    </row>
    <row r="71" spans="1:26" ht="17.25" customHeight="1">
      <c r="A71" s="15" t="e">
        <f t="shared" ca="1" si="1"/>
        <v>#NAME?</v>
      </c>
      <c r="M71" s="47"/>
      <c r="N71" s="20"/>
      <c r="O71" s="20" t="e">
        <f t="shared" ca="1" si="0"/>
        <v>#NAME?</v>
      </c>
      <c r="P71" s="20"/>
      <c r="Q71" s="20"/>
      <c r="R71" s="20"/>
      <c r="S71" s="20"/>
      <c r="T71" s="20"/>
      <c r="U71" s="20"/>
      <c r="V71" s="20"/>
      <c r="W71" s="20"/>
      <c r="X71" s="20"/>
      <c r="Y71" s="20"/>
      <c r="Z71" s="20"/>
    </row>
    <row r="72" spans="1:26" ht="17.25" customHeight="1">
      <c r="A72" s="15" t="e">
        <f t="shared" ca="1" si="1"/>
        <v>#NAME?</v>
      </c>
      <c r="M72" s="47"/>
      <c r="N72" s="20"/>
      <c r="O72" s="20" t="e">
        <f t="shared" ca="1" si="0"/>
        <v>#NAME?</v>
      </c>
      <c r="P72" s="20"/>
      <c r="Q72" s="20"/>
      <c r="R72" s="20"/>
      <c r="S72" s="20"/>
      <c r="T72" s="20"/>
      <c r="U72" s="20"/>
      <c r="V72" s="20"/>
      <c r="W72" s="20"/>
      <c r="X72" s="20"/>
      <c r="Y72" s="20"/>
      <c r="Z72" s="20"/>
    </row>
    <row r="73" spans="1:26" ht="17.25" customHeight="1">
      <c r="A73" s="15" t="e">
        <f t="shared" ca="1" si="1"/>
        <v>#NAME?</v>
      </c>
      <c r="M73" s="47"/>
      <c r="N73" s="20"/>
      <c r="O73" s="20" t="e">
        <f t="shared" ca="1" si="0"/>
        <v>#NAME?</v>
      </c>
      <c r="P73" s="20"/>
      <c r="Q73" s="20"/>
      <c r="R73" s="20"/>
      <c r="S73" s="20"/>
      <c r="T73" s="20"/>
      <c r="U73" s="20"/>
      <c r="V73" s="20"/>
      <c r="W73" s="20"/>
      <c r="X73" s="20"/>
      <c r="Y73" s="20"/>
      <c r="Z73" s="20"/>
    </row>
    <row r="74" spans="1:26" ht="17.25" customHeight="1">
      <c r="A74" s="15" t="e">
        <f t="shared" ca="1" si="1"/>
        <v>#NAME?</v>
      </c>
      <c r="M74" s="47"/>
      <c r="N74" s="20"/>
      <c r="O74" s="20" t="e">
        <f t="shared" ca="1" si="0"/>
        <v>#NAME?</v>
      </c>
      <c r="P74" s="20"/>
      <c r="Q74" s="20"/>
      <c r="R74" s="20"/>
      <c r="S74" s="20"/>
      <c r="T74" s="20"/>
      <c r="U74" s="20"/>
      <c r="V74" s="20"/>
      <c r="W74" s="20"/>
      <c r="X74" s="20"/>
      <c r="Y74" s="20"/>
      <c r="Z74" s="20"/>
    </row>
    <row r="75" spans="1:26" ht="17.25" customHeight="1">
      <c r="A75" s="15" t="e">
        <f t="shared" ca="1" si="1"/>
        <v>#NAME?</v>
      </c>
      <c r="M75" s="47"/>
      <c r="N75" s="20"/>
      <c r="O75" s="20" t="e">
        <f t="shared" ca="1" si="0"/>
        <v>#NAME?</v>
      </c>
      <c r="P75" s="20"/>
      <c r="Q75" s="20"/>
      <c r="R75" s="20"/>
      <c r="S75" s="20"/>
      <c r="T75" s="20"/>
      <c r="U75" s="20"/>
      <c r="V75" s="20"/>
      <c r="W75" s="20"/>
      <c r="X75" s="20"/>
      <c r="Y75" s="20"/>
      <c r="Z75" s="20"/>
    </row>
    <row r="76" spans="1:26" ht="17.25" customHeight="1">
      <c r="A76" s="15" t="e">
        <f t="shared" ca="1" si="1"/>
        <v>#NAME?</v>
      </c>
      <c r="M76" s="47"/>
      <c r="N76" s="20"/>
      <c r="O76" s="20" t="e">
        <f t="shared" ca="1" si="0"/>
        <v>#NAME?</v>
      </c>
      <c r="P76" s="20"/>
      <c r="Q76" s="20"/>
      <c r="R76" s="20"/>
      <c r="S76" s="20"/>
      <c r="T76" s="20"/>
      <c r="U76" s="20"/>
      <c r="V76" s="20"/>
      <c r="W76" s="20"/>
      <c r="X76" s="20"/>
      <c r="Y76" s="20"/>
      <c r="Z76" s="20"/>
    </row>
    <row r="77" spans="1:26" ht="17.25" customHeight="1">
      <c r="A77" s="15" t="e">
        <f t="shared" ca="1" si="1"/>
        <v>#NAME?</v>
      </c>
      <c r="M77" s="47"/>
      <c r="N77" s="20"/>
      <c r="O77" s="20" t="e">
        <f t="shared" ca="1" si="0"/>
        <v>#NAME?</v>
      </c>
      <c r="P77" s="20"/>
      <c r="Q77" s="20"/>
      <c r="R77" s="20"/>
      <c r="S77" s="20"/>
      <c r="T77" s="20"/>
      <c r="U77" s="20"/>
      <c r="V77" s="20"/>
      <c r="W77" s="20"/>
      <c r="X77" s="20"/>
      <c r="Y77" s="20"/>
      <c r="Z77" s="20"/>
    </row>
    <row r="78" spans="1:26" ht="17.25" customHeight="1">
      <c r="A78" s="15" t="e">
        <f t="shared" ca="1" si="1"/>
        <v>#NAME?</v>
      </c>
      <c r="M78" s="47"/>
      <c r="N78" s="20"/>
      <c r="O78" s="20" t="e">
        <f t="shared" ca="1" si="0"/>
        <v>#NAME?</v>
      </c>
      <c r="P78" s="20"/>
      <c r="Q78" s="20"/>
      <c r="R78" s="20"/>
      <c r="S78" s="20"/>
      <c r="T78" s="20"/>
      <c r="U78" s="20"/>
      <c r="V78" s="20"/>
      <c r="W78" s="20"/>
      <c r="X78" s="20"/>
      <c r="Y78" s="20"/>
      <c r="Z78" s="20"/>
    </row>
    <row r="79" spans="1:26" ht="17.25" customHeight="1">
      <c r="A79" s="15" t="e">
        <f t="shared" ca="1" si="1"/>
        <v>#NAME?</v>
      </c>
      <c r="M79" s="47"/>
      <c r="N79" s="20"/>
      <c r="O79" s="20" t="e">
        <f t="shared" ca="1" si="0"/>
        <v>#NAME?</v>
      </c>
      <c r="P79" s="20"/>
      <c r="Q79" s="20"/>
      <c r="R79" s="20"/>
      <c r="S79" s="20"/>
      <c r="T79" s="20"/>
      <c r="U79" s="20"/>
      <c r="V79" s="20"/>
      <c r="W79" s="20"/>
      <c r="X79" s="20"/>
      <c r="Y79" s="20"/>
      <c r="Z79" s="20"/>
    </row>
    <row r="80" spans="1:26" ht="17.25" customHeight="1">
      <c r="A80" s="15" t="e">
        <f t="shared" ca="1" si="1"/>
        <v>#NAME?</v>
      </c>
      <c r="M80" s="47"/>
      <c r="N80" s="20"/>
      <c r="O80" s="20" t="e">
        <f t="shared" ca="1" si="0"/>
        <v>#NAME?</v>
      </c>
      <c r="P80" s="20"/>
      <c r="Q80" s="20"/>
      <c r="R80" s="20"/>
      <c r="S80" s="20"/>
      <c r="T80" s="20"/>
      <c r="U80" s="20"/>
      <c r="V80" s="20"/>
      <c r="W80" s="20"/>
      <c r="X80" s="20"/>
      <c r="Y80" s="20"/>
      <c r="Z80" s="20"/>
    </row>
    <row r="81" spans="1:26" ht="17.25" customHeight="1">
      <c r="A81" s="15" t="e">
        <f t="shared" ca="1" si="1"/>
        <v>#NAME?</v>
      </c>
      <c r="M81" s="47"/>
      <c r="N81" s="20"/>
      <c r="O81" s="20" t="e">
        <f t="shared" ca="1" si="0"/>
        <v>#NAME?</v>
      </c>
      <c r="P81" s="20"/>
      <c r="Q81" s="20"/>
      <c r="R81" s="20"/>
      <c r="S81" s="20"/>
      <c r="T81" s="20"/>
      <c r="U81" s="20"/>
      <c r="V81" s="20"/>
      <c r="W81" s="20"/>
      <c r="X81" s="20"/>
      <c r="Y81" s="20"/>
      <c r="Z81" s="20"/>
    </row>
    <row r="82" spans="1:26" ht="17.25" customHeight="1">
      <c r="A82" s="15" t="e">
        <f t="shared" ca="1" si="1"/>
        <v>#NAME?</v>
      </c>
      <c r="M82" s="47"/>
      <c r="N82" s="20"/>
      <c r="O82" s="20" t="e">
        <f t="shared" ca="1" si="0"/>
        <v>#NAME?</v>
      </c>
      <c r="P82" s="20"/>
      <c r="Q82" s="20"/>
      <c r="R82" s="20"/>
      <c r="S82" s="20"/>
      <c r="T82" s="20"/>
      <c r="U82" s="20"/>
      <c r="V82" s="20"/>
      <c r="W82" s="20"/>
      <c r="X82" s="20"/>
      <c r="Y82" s="20"/>
      <c r="Z82" s="20"/>
    </row>
    <row r="83" spans="1:26" ht="17.25" customHeight="1">
      <c r="A83" s="15" t="e">
        <f t="shared" ca="1" si="1"/>
        <v>#NAME?</v>
      </c>
      <c r="M83" s="47"/>
      <c r="N83" s="20"/>
      <c r="O83" s="20" t="e">
        <f t="shared" ca="1" si="0"/>
        <v>#NAME?</v>
      </c>
      <c r="P83" s="20"/>
      <c r="Q83" s="20"/>
      <c r="R83" s="20"/>
      <c r="S83" s="20"/>
      <c r="T83" s="20"/>
      <c r="U83" s="20"/>
      <c r="V83" s="20"/>
      <c r="W83" s="20"/>
      <c r="X83" s="20"/>
      <c r="Y83" s="20"/>
      <c r="Z83" s="20"/>
    </row>
    <row r="84" spans="1:26" ht="17.25" customHeight="1">
      <c r="A84" s="15" t="e">
        <f t="shared" ca="1" si="1"/>
        <v>#NAME?</v>
      </c>
      <c r="M84" s="47"/>
      <c r="N84" s="20"/>
      <c r="O84" s="20" t="e">
        <f t="shared" ca="1" si="0"/>
        <v>#NAME?</v>
      </c>
      <c r="P84" s="20"/>
      <c r="Q84" s="20"/>
      <c r="R84" s="20"/>
      <c r="S84" s="20"/>
      <c r="T84" s="20"/>
      <c r="U84" s="20"/>
      <c r="V84" s="20"/>
      <c r="W84" s="20"/>
      <c r="X84" s="20"/>
      <c r="Y84" s="20"/>
      <c r="Z84" s="20"/>
    </row>
    <row r="85" spans="1:26" ht="17.25" customHeight="1">
      <c r="A85" s="15" t="e">
        <f t="shared" ca="1" si="1"/>
        <v>#NAME?</v>
      </c>
      <c r="M85" s="47"/>
      <c r="N85" s="20"/>
      <c r="O85" s="20" t="e">
        <f t="shared" ca="1" si="0"/>
        <v>#NAME?</v>
      </c>
      <c r="P85" s="20"/>
      <c r="Q85" s="20"/>
      <c r="R85" s="20"/>
      <c r="S85" s="20"/>
      <c r="T85" s="20"/>
      <c r="U85" s="20"/>
      <c r="V85" s="20"/>
      <c r="W85" s="20"/>
      <c r="X85" s="20"/>
      <c r="Y85" s="20"/>
      <c r="Z85" s="20"/>
    </row>
    <row r="86" spans="1:26" ht="17.25" customHeight="1">
      <c r="A86" s="15" t="e">
        <f t="shared" ca="1" si="1"/>
        <v>#NAME?</v>
      </c>
      <c r="M86" s="47"/>
      <c r="N86" s="20"/>
      <c r="O86" s="20" t="e">
        <f t="shared" ca="1" si="0"/>
        <v>#NAME?</v>
      </c>
      <c r="P86" s="20"/>
      <c r="Q86" s="20"/>
      <c r="R86" s="20"/>
      <c r="S86" s="20"/>
      <c r="T86" s="20"/>
      <c r="U86" s="20"/>
      <c r="V86" s="20"/>
      <c r="W86" s="20"/>
      <c r="X86" s="20"/>
      <c r="Y86" s="20"/>
      <c r="Z86" s="20"/>
    </row>
    <row r="87" spans="1:26" ht="17.25" customHeight="1">
      <c r="A87" s="15" t="e">
        <f t="shared" ca="1" si="1"/>
        <v>#NAME?</v>
      </c>
      <c r="M87" s="47"/>
      <c r="N87" s="20"/>
      <c r="O87" s="20" t="e">
        <f t="shared" ca="1" si="0"/>
        <v>#NAME?</v>
      </c>
      <c r="P87" s="20"/>
      <c r="Q87" s="20"/>
      <c r="R87" s="20"/>
      <c r="S87" s="20"/>
      <c r="T87" s="20"/>
      <c r="U87" s="20"/>
      <c r="V87" s="20"/>
      <c r="W87" s="20"/>
      <c r="X87" s="20"/>
      <c r="Y87" s="20"/>
      <c r="Z87" s="20"/>
    </row>
    <row r="88" spans="1:26" ht="17.25" customHeight="1">
      <c r="A88" s="15" t="e">
        <f t="shared" ca="1" si="1"/>
        <v>#NAME?</v>
      </c>
      <c r="M88" s="47"/>
      <c r="N88" s="20"/>
      <c r="O88" s="20" t="e">
        <f t="shared" ca="1" si="0"/>
        <v>#NAME?</v>
      </c>
      <c r="P88" s="20"/>
      <c r="Q88" s="20"/>
      <c r="R88" s="20"/>
      <c r="S88" s="20"/>
      <c r="T88" s="20"/>
      <c r="U88" s="20"/>
      <c r="V88" s="20"/>
      <c r="W88" s="20"/>
      <c r="X88" s="20"/>
      <c r="Y88" s="20"/>
      <c r="Z88" s="20"/>
    </row>
    <row r="89" spans="1:26" ht="17.25" customHeight="1">
      <c r="A89" s="15" t="e">
        <f t="shared" ca="1" si="1"/>
        <v>#NAME?</v>
      </c>
      <c r="M89" s="47"/>
      <c r="N89" s="20"/>
      <c r="O89" s="20" t="e">
        <f t="shared" ca="1" si="0"/>
        <v>#NAME?</v>
      </c>
      <c r="P89" s="20"/>
      <c r="Q89" s="20"/>
      <c r="R89" s="20"/>
      <c r="S89" s="20"/>
      <c r="T89" s="20"/>
      <c r="U89" s="20"/>
      <c r="V89" s="20"/>
      <c r="W89" s="20"/>
      <c r="X89" s="20"/>
      <c r="Y89" s="20"/>
      <c r="Z89" s="20"/>
    </row>
    <row r="90" spans="1:26" ht="17.25" customHeight="1">
      <c r="A90" s="15" t="e">
        <f t="shared" ca="1" si="1"/>
        <v>#NAME?</v>
      </c>
      <c r="M90" s="47"/>
      <c r="N90" s="20"/>
      <c r="O90" s="20" t="e">
        <f t="shared" ca="1" si="0"/>
        <v>#NAME?</v>
      </c>
      <c r="P90" s="20"/>
      <c r="Q90" s="20"/>
      <c r="R90" s="20"/>
      <c r="S90" s="20"/>
      <c r="T90" s="20"/>
      <c r="U90" s="20"/>
      <c r="V90" s="20"/>
      <c r="W90" s="20"/>
      <c r="X90" s="20"/>
      <c r="Y90" s="20"/>
      <c r="Z90" s="20"/>
    </row>
    <row r="91" spans="1:26" ht="17.25" customHeight="1">
      <c r="A91" s="15" t="e">
        <f t="shared" ca="1" si="1"/>
        <v>#NAME?</v>
      </c>
      <c r="M91" s="47"/>
      <c r="N91" s="20"/>
      <c r="O91" s="20" t="e">
        <f t="shared" ca="1" si="0"/>
        <v>#NAME?</v>
      </c>
      <c r="P91" s="20"/>
      <c r="Q91" s="20"/>
      <c r="R91" s="20"/>
      <c r="S91" s="20"/>
      <c r="T91" s="20"/>
      <c r="U91" s="20"/>
      <c r="V91" s="20"/>
      <c r="W91" s="20"/>
      <c r="X91" s="20"/>
      <c r="Y91" s="20"/>
      <c r="Z91" s="20"/>
    </row>
    <row r="92" spans="1:26" ht="17.25" customHeight="1">
      <c r="A92" s="15" t="e">
        <f t="shared" ca="1" si="1"/>
        <v>#NAME?</v>
      </c>
      <c r="M92" s="47"/>
      <c r="N92" s="20"/>
      <c r="O92" s="20" t="e">
        <f t="shared" ca="1" si="0"/>
        <v>#NAME?</v>
      </c>
      <c r="P92" s="20"/>
      <c r="Q92" s="20"/>
      <c r="R92" s="20"/>
      <c r="S92" s="20"/>
      <c r="T92" s="20"/>
      <c r="U92" s="20"/>
      <c r="V92" s="20"/>
      <c r="W92" s="20"/>
      <c r="X92" s="20"/>
      <c r="Y92" s="20"/>
      <c r="Z92" s="20"/>
    </row>
    <row r="93" spans="1:26" ht="17.25" customHeight="1">
      <c r="A93" s="15" t="e">
        <f t="shared" ca="1" si="1"/>
        <v>#NAME?</v>
      </c>
      <c r="M93" s="47"/>
      <c r="N93" s="20"/>
      <c r="O93" s="20" t="e">
        <f t="shared" ca="1" si="0"/>
        <v>#NAME?</v>
      </c>
      <c r="P93" s="20"/>
      <c r="Q93" s="20"/>
      <c r="R93" s="20"/>
      <c r="S93" s="20"/>
      <c r="T93" s="20"/>
      <c r="U93" s="20"/>
      <c r="V93" s="20"/>
      <c r="W93" s="20"/>
      <c r="X93" s="20"/>
      <c r="Y93" s="20"/>
      <c r="Z93" s="20"/>
    </row>
    <row r="94" spans="1:26" ht="17.25" customHeight="1">
      <c r="A94" s="15" t="e">
        <f t="shared" ca="1" si="1"/>
        <v>#NAME?</v>
      </c>
      <c r="M94" s="47"/>
      <c r="N94" s="20"/>
      <c r="O94" s="20" t="e">
        <f t="shared" ca="1" si="0"/>
        <v>#NAME?</v>
      </c>
      <c r="P94" s="20"/>
      <c r="Q94" s="20"/>
      <c r="R94" s="20"/>
      <c r="S94" s="20"/>
      <c r="T94" s="20"/>
      <c r="U94" s="20"/>
      <c r="V94" s="20"/>
      <c r="W94" s="20"/>
      <c r="X94" s="20"/>
      <c r="Y94" s="20"/>
      <c r="Z94" s="20"/>
    </row>
    <row r="95" spans="1:26" ht="17.25" customHeight="1">
      <c r="A95" s="15" t="e">
        <f t="shared" ca="1" si="1"/>
        <v>#NAME?</v>
      </c>
      <c r="M95" s="47"/>
      <c r="N95" s="20"/>
      <c r="O95" s="20" t="e">
        <f t="shared" ca="1" si="0"/>
        <v>#NAME?</v>
      </c>
      <c r="P95" s="20"/>
      <c r="Q95" s="20"/>
      <c r="R95" s="20"/>
      <c r="S95" s="20"/>
      <c r="T95" s="20"/>
      <c r="U95" s="20"/>
      <c r="V95" s="20"/>
      <c r="W95" s="20"/>
      <c r="X95" s="20"/>
      <c r="Y95" s="20"/>
      <c r="Z95" s="20"/>
    </row>
    <row r="96" spans="1:26" ht="17.25" customHeight="1">
      <c r="A96" s="15" t="e">
        <f t="shared" ca="1" si="1"/>
        <v>#NAME?</v>
      </c>
      <c r="M96" s="47"/>
      <c r="N96" s="20"/>
      <c r="O96" s="20" t="e">
        <f t="shared" ca="1" si="0"/>
        <v>#NAME?</v>
      </c>
      <c r="P96" s="20"/>
      <c r="Q96" s="20"/>
      <c r="R96" s="20"/>
      <c r="S96" s="20"/>
      <c r="T96" s="20"/>
      <c r="U96" s="20"/>
      <c r="V96" s="20"/>
      <c r="W96" s="20"/>
      <c r="X96" s="20"/>
      <c r="Y96" s="20"/>
      <c r="Z96" s="20"/>
    </row>
    <row r="97" spans="1:26" ht="17.25" customHeight="1">
      <c r="A97" s="15" t="e">
        <f t="shared" ca="1" si="1"/>
        <v>#NAME?</v>
      </c>
      <c r="M97" s="47"/>
      <c r="N97" s="20"/>
      <c r="O97" s="20" t="e">
        <f t="shared" ca="1" si="0"/>
        <v>#NAME?</v>
      </c>
      <c r="P97" s="20"/>
      <c r="Q97" s="20"/>
      <c r="R97" s="20"/>
      <c r="S97" s="20"/>
      <c r="T97" s="20"/>
      <c r="U97" s="20"/>
      <c r="V97" s="20"/>
      <c r="W97" s="20"/>
      <c r="X97" s="20"/>
      <c r="Y97" s="20"/>
      <c r="Z97" s="20"/>
    </row>
    <row r="98" spans="1:26" ht="17.25" customHeight="1">
      <c r="A98" s="15" t="e">
        <f t="shared" ca="1" si="1"/>
        <v>#NAME?</v>
      </c>
      <c r="M98" s="47"/>
      <c r="N98" s="20"/>
      <c r="O98" s="20" t="e">
        <f t="shared" ca="1" si="0"/>
        <v>#NAME?</v>
      </c>
      <c r="P98" s="20"/>
      <c r="Q98" s="20"/>
      <c r="R98" s="20"/>
      <c r="S98" s="20"/>
      <c r="T98" s="20"/>
      <c r="U98" s="20"/>
      <c r="V98" s="20"/>
      <c r="W98" s="20"/>
      <c r="X98" s="20"/>
      <c r="Y98" s="20"/>
      <c r="Z98" s="20"/>
    </row>
    <row r="99" spans="1:26" ht="17.25" customHeight="1">
      <c r="A99" s="15" t="e">
        <f t="shared" ca="1" si="1"/>
        <v>#NAME?</v>
      </c>
      <c r="M99" s="47"/>
      <c r="N99" s="20"/>
      <c r="O99" s="20" t="e">
        <f t="shared" ca="1" si="0"/>
        <v>#NAME?</v>
      </c>
      <c r="P99" s="20"/>
      <c r="Q99" s="20"/>
      <c r="R99" s="20"/>
      <c r="S99" s="20"/>
      <c r="T99" s="20"/>
      <c r="U99" s="20"/>
      <c r="V99" s="20"/>
      <c r="W99" s="20"/>
      <c r="X99" s="20"/>
      <c r="Y99" s="20"/>
      <c r="Z99" s="20"/>
    </row>
    <row r="100" spans="1:26" ht="17.25" customHeight="1">
      <c r="A100" s="15" t="e">
        <f t="shared" ca="1" si="1"/>
        <v>#NAME?</v>
      </c>
      <c r="M100" s="47"/>
      <c r="N100" s="20"/>
      <c r="O100" s="20" t="e">
        <f t="shared" ca="1" si="0"/>
        <v>#NAME?</v>
      </c>
      <c r="P100" s="20"/>
      <c r="Q100" s="20"/>
      <c r="R100" s="20"/>
      <c r="S100" s="20"/>
      <c r="T100" s="20"/>
      <c r="U100" s="20"/>
      <c r="V100" s="20"/>
      <c r="W100" s="20"/>
      <c r="X100" s="20"/>
      <c r="Y100" s="20"/>
      <c r="Z100" s="20"/>
    </row>
    <row r="101" spans="1:26" ht="17.25" customHeight="1">
      <c r="A101" s="15" t="e">
        <f t="shared" ca="1" si="1"/>
        <v>#NAME?</v>
      </c>
      <c r="M101" s="47"/>
      <c r="N101" s="20"/>
      <c r="O101" s="20" t="e">
        <f t="shared" ca="1" si="0"/>
        <v>#NAME?</v>
      </c>
      <c r="P101" s="20"/>
      <c r="Q101" s="20"/>
      <c r="R101" s="20"/>
      <c r="S101" s="20"/>
      <c r="T101" s="20"/>
      <c r="U101" s="20"/>
      <c r="V101" s="20"/>
      <c r="W101" s="20"/>
      <c r="X101" s="20"/>
      <c r="Y101" s="20"/>
      <c r="Z101" s="20"/>
    </row>
    <row r="102" spans="1:26" ht="17.25" customHeight="1">
      <c r="A102" s="15" t="e">
        <f t="shared" ca="1" si="1"/>
        <v>#NAME?</v>
      </c>
      <c r="M102" s="47"/>
      <c r="N102" s="20"/>
      <c r="O102" s="20" t="e">
        <f t="shared" ca="1" si="0"/>
        <v>#NAME?</v>
      </c>
      <c r="P102" s="20"/>
      <c r="Q102" s="20"/>
      <c r="R102" s="20"/>
      <c r="S102" s="20"/>
      <c r="T102" s="20"/>
      <c r="U102" s="20"/>
      <c r="V102" s="20"/>
      <c r="W102" s="20"/>
      <c r="X102" s="20"/>
      <c r="Y102" s="20"/>
      <c r="Z102" s="20"/>
    </row>
    <row r="103" spans="1:26" ht="17.25" customHeight="1">
      <c r="A103" s="15" t="e">
        <f t="shared" ca="1" si="1"/>
        <v>#NAME?</v>
      </c>
      <c r="M103" s="47"/>
      <c r="N103" s="20"/>
      <c r="O103" s="20" t="e">
        <f t="shared" ca="1" si="0"/>
        <v>#NAME?</v>
      </c>
      <c r="P103" s="20"/>
      <c r="Q103" s="20"/>
      <c r="R103" s="20"/>
      <c r="S103" s="20"/>
      <c r="T103" s="20"/>
      <c r="U103" s="20"/>
      <c r="V103" s="20"/>
      <c r="W103" s="20"/>
      <c r="X103" s="20"/>
      <c r="Y103" s="20"/>
      <c r="Z103" s="20"/>
    </row>
    <row r="104" spans="1:26" ht="17.25" customHeight="1">
      <c r="M104" s="47"/>
      <c r="N104" s="20"/>
      <c r="O104" s="20" t="e">
        <f t="shared" ca="1" si="0"/>
        <v>#NAME?</v>
      </c>
      <c r="P104" s="20"/>
      <c r="Q104" s="20"/>
      <c r="R104" s="20"/>
      <c r="S104" s="20"/>
      <c r="T104" s="20"/>
      <c r="U104" s="20"/>
      <c r="V104" s="20"/>
      <c r="W104" s="20"/>
      <c r="X104" s="20"/>
      <c r="Y104" s="20"/>
      <c r="Z104" s="20"/>
    </row>
    <row r="105" spans="1:26" ht="17.25" customHeight="1">
      <c r="M105" s="47"/>
      <c r="N105" s="20"/>
      <c r="O105" s="20" t="e">
        <f t="shared" ca="1" si="0"/>
        <v>#NAME?</v>
      </c>
      <c r="P105" s="20"/>
      <c r="Q105" s="20"/>
      <c r="R105" s="20"/>
      <c r="S105" s="20"/>
      <c r="T105" s="20"/>
      <c r="U105" s="20"/>
      <c r="V105" s="20"/>
      <c r="W105" s="20"/>
      <c r="X105" s="20"/>
      <c r="Y105" s="20"/>
      <c r="Z105" s="20"/>
    </row>
    <row r="106" spans="1:26" ht="17.25" customHeight="1">
      <c r="M106" s="47"/>
      <c r="N106" s="20"/>
      <c r="O106" s="20" t="e">
        <f t="shared" ca="1" si="0"/>
        <v>#NAME?</v>
      </c>
      <c r="P106" s="20"/>
      <c r="Q106" s="20"/>
      <c r="R106" s="20"/>
      <c r="S106" s="20"/>
      <c r="T106" s="20"/>
      <c r="U106" s="20"/>
      <c r="V106" s="20"/>
      <c r="W106" s="20"/>
      <c r="X106" s="20"/>
      <c r="Y106" s="20"/>
      <c r="Z106" s="20"/>
    </row>
    <row r="107" spans="1:26" ht="17.25" customHeight="1">
      <c r="M107" s="47"/>
      <c r="N107" s="20"/>
      <c r="O107" s="20" t="e">
        <f t="shared" ca="1" si="0"/>
        <v>#NAME?</v>
      </c>
      <c r="P107" s="20"/>
      <c r="Q107" s="20"/>
      <c r="R107" s="20"/>
      <c r="S107" s="20"/>
      <c r="T107" s="20"/>
      <c r="U107" s="20"/>
      <c r="V107" s="20"/>
      <c r="W107" s="20"/>
      <c r="X107" s="20"/>
      <c r="Y107" s="20"/>
      <c r="Z107" s="20"/>
    </row>
    <row r="108" spans="1:26" ht="17.25" customHeight="1">
      <c r="M108" s="47"/>
      <c r="N108" s="20"/>
      <c r="O108" s="20" t="e">
        <f t="shared" ca="1" si="0"/>
        <v>#NAME?</v>
      </c>
      <c r="P108" s="20"/>
      <c r="Q108" s="20"/>
      <c r="R108" s="20"/>
      <c r="S108" s="20"/>
      <c r="T108" s="20"/>
      <c r="U108" s="20"/>
      <c r="V108" s="20"/>
      <c r="W108" s="20"/>
      <c r="X108" s="20"/>
      <c r="Y108" s="20"/>
      <c r="Z108" s="20"/>
    </row>
    <row r="109" spans="1:26" ht="17.25" customHeight="1">
      <c r="M109" s="47"/>
      <c r="N109" s="20"/>
      <c r="O109" s="20" t="e">
        <f t="shared" ca="1" si="0"/>
        <v>#NAME?</v>
      </c>
      <c r="P109" s="20"/>
      <c r="Q109" s="20"/>
      <c r="R109" s="20"/>
      <c r="S109" s="20"/>
      <c r="T109" s="20"/>
      <c r="U109" s="20"/>
      <c r="V109" s="20"/>
      <c r="W109" s="20"/>
      <c r="X109" s="20"/>
      <c r="Y109" s="20"/>
      <c r="Z109" s="20"/>
    </row>
    <row r="110" spans="1:26" ht="17.25" customHeight="1">
      <c r="M110" s="47"/>
      <c r="N110" s="20"/>
      <c r="O110" s="20" t="e">
        <f t="shared" ca="1" si="0"/>
        <v>#NAME?</v>
      </c>
      <c r="P110" s="20"/>
      <c r="Q110" s="20"/>
      <c r="R110" s="20"/>
      <c r="S110" s="20"/>
      <c r="T110" s="20"/>
      <c r="U110" s="20"/>
      <c r="V110" s="20"/>
      <c r="W110" s="20"/>
      <c r="X110" s="20"/>
      <c r="Y110" s="20"/>
      <c r="Z110" s="20"/>
    </row>
    <row r="111" spans="1:26" ht="17.25" customHeight="1">
      <c r="M111" s="47"/>
      <c r="N111" s="20"/>
      <c r="O111" s="20" t="e">
        <f t="shared" ca="1" si="0"/>
        <v>#NAME?</v>
      </c>
      <c r="P111" s="20"/>
      <c r="Q111" s="20"/>
      <c r="R111" s="20"/>
      <c r="S111" s="20"/>
      <c r="T111" s="20"/>
      <c r="U111" s="20"/>
      <c r="V111" s="20"/>
      <c r="W111" s="20"/>
      <c r="X111" s="20"/>
      <c r="Y111" s="20"/>
      <c r="Z111" s="20"/>
    </row>
    <row r="112" spans="1:26" ht="17.25" customHeight="1">
      <c r="M112" s="47"/>
      <c r="N112" s="20"/>
      <c r="O112" s="20" t="e">
        <f t="shared" ca="1" si="0"/>
        <v>#NAME?</v>
      </c>
      <c r="P112" s="20"/>
      <c r="Q112" s="20"/>
      <c r="R112" s="20"/>
      <c r="S112" s="20"/>
      <c r="T112" s="20"/>
      <c r="U112" s="20"/>
      <c r="V112" s="20"/>
      <c r="W112" s="20"/>
      <c r="X112" s="20"/>
      <c r="Y112" s="20"/>
      <c r="Z112" s="20"/>
    </row>
    <row r="113" spans="13:26" ht="17.25" customHeight="1">
      <c r="M113" s="47"/>
      <c r="N113" s="20"/>
      <c r="O113" s="20" t="e">
        <f t="shared" ca="1" si="0"/>
        <v>#NAME?</v>
      </c>
      <c r="P113" s="20"/>
      <c r="Q113" s="20"/>
      <c r="R113" s="20"/>
      <c r="S113" s="20"/>
      <c r="T113" s="20"/>
      <c r="U113" s="20"/>
      <c r="V113" s="20"/>
      <c r="W113" s="20"/>
      <c r="X113" s="20"/>
      <c r="Y113" s="20"/>
      <c r="Z113" s="20"/>
    </row>
    <row r="114" spans="13:26" ht="17.25" customHeight="1">
      <c r="M114" s="47"/>
      <c r="N114" s="20"/>
      <c r="O114" s="20" t="e">
        <f t="shared" ca="1" si="0"/>
        <v>#NAME?</v>
      </c>
      <c r="P114" s="20"/>
      <c r="Q114" s="20"/>
      <c r="R114" s="20"/>
      <c r="S114" s="20"/>
      <c r="T114" s="20"/>
      <c r="U114" s="20"/>
      <c r="V114" s="20"/>
      <c r="W114" s="20"/>
      <c r="X114" s="20"/>
      <c r="Y114" s="20"/>
      <c r="Z114" s="20"/>
    </row>
    <row r="115" spans="13:26" ht="17.25" customHeight="1">
      <c r="M115" s="47"/>
      <c r="N115" s="20"/>
      <c r="O115" s="20"/>
      <c r="P115" s="20"/>
      <c r="Q115" s="20"/>
      <c r="R115" s="20"/>
      <c r="S115" s="20"/>
      <c r="T115" s="20"/>
      <c r="U115" s="20"/>
      <c r="V115" s="20"/>
      <c r="W115" s="20"/>
      <c r="X115" s="20"/>
      <c r="Y115" s="20"/>
      <c r="Z115" s="20"/>
    </row>
    <row r="116" spans="13:26" ht="17.25" customHeight="1">
      <c r="M116" s="47"/>
      <c r="N116" s="20"/>
      <c r="O116" s="20"/>
      <c r="P116" s="20"/>
      <c r="Q116" s="20"/>
      <c r="R116" s="20"/>
      <c r="S116" s="20"/>
      <c r="T116" s="20"/>
      <c r="U116" s="20"/>
      <c r="V116" s="20"/>
      <c r="W116" s="20"/>
      <c r="X116" s="20"/>
      <c r="Y116" s="20"/>
      <c r="Z116" s="20"/>
    </row>
    <row r="117" spans="13:26" ht="17.25" customHeight="1">
      <c r="M117" s="47"/>
      <c r="N117" s="20"/>
      <c r="O117" s="20"/>
      <c r="P117" s="20"/>
      <c r="Q117" s="20"/>
      <c r="R117" s="20"/>
      <c r="S117" s="20"/>
      <c r="T117" s="20"/>
      <c r="U117" s="20"/>
      <c r="V117" s="20"/>
      <c r="W117" s="20"/>
      <c r="X117" s="20"/>
      <c r="Y117" s="20"/>
      <c r="Z117" s="20"/>
    </row>
    <row r="118" spans="13:26" ht="17.25" customHeight="1">
      <c r="M118" s="47"/>
      <c r="N118" s="20"/>
      <c r="O118" s="20"/>
      <c r="P118" s="20"/>
      <c r="Q118" s="20"/>
      <c r="R118" s="20"/>
      <c r="S118" s="20"/>
      <c r="T118" s="20"/>
      <c r="U118" s="20"/>
      <c r="V118" s="20"/>
      <c r="W118" s="20"/>
      <c r="X118" s="20"/>
      <c r="Y118" s="20"/>
      <c r="Z118" s="20"/>
    </row>
    <row r="119" spans="13:26" ht="17.25" customHeight="1">
      <c r="M119" s="47"/>
      <c r="N119" s="20"/>
      <c r="O119" s="20"/>
      <c r="P119" s="20"/>
      <c r="Q119" s="20"/>
      <c r="R119" s="20"/>
      <c r="S119" s="20"/>
      <c r="T119" s="20"/>
      <c r="U119" s="20"/>
      <c r="V119" s="20"/>
      <c r="W119" s="20"/>
      <c r="X119" s="20"/>
      <c r="Y119" s="20"/>
      <c r="Z119" s="20"/>
    </row>
    <row r="120" spans="13:26" ht="17.25" customHeight="1">
      <c r="M120" s="47"/>
      <c r="N120" s="20"/>
      <c r="O120" s="20"/>
      <c r="P120" s="20"/>
      <c r="Q120" s="20"/>
      <c r="R120" s="20"/>
      <c r="S120" s="20"/>
      <c r="T120" s="20"/>
      <c r="U120" s="20"/>
      <c r="V120" s="20"/>
      <c r="W120" s="20"/>
      <c r="X120" s="20"/>
      <c r="Y120" s="20"/>
      <c r="Z120" s="20"/>
    </row>
    <row r="121" spans="13:26" ht="17.25" customHeight="1">
      <c r="M121" s="47"/>
      <c r="N121" s="20"/>
      <c r="O121" s="20"/>
      <c r="P121" s="20"/>
      <c r="Q121" s="20"/>
      <c r="R121" s="20"/>
      <c r="S121" s="20"/>
      <c r="T121" s="20"/>
      <c r="U121" s="20"/>
      <c r="V121" s="20"/>
      <c r="W121" s="20"/>
      <c r="X121" s="20"/>
      <c r="Y121" s="20"/>
      <c r="Z121" s="20"/>
    </row>
    <row r="122" spans="13:26" ht="17.25" customHeight="1">
      <c r="M122" s="47"/>
      <c r="N122" s="20"/>
      <c r="O122" s="20"/>
      <c r="P122" s="20"/>
      <c r="Q122" s="20"/>
      <c r="R122" s="20"/>
      <c r="S122" s="20"/>
      <c r="T122" s="20"/>
      <c r="U122" s="20"/>
      <c r="V122" s="20"/>
      <c r="W122" s="20"/>
      <c r="X122" s="20"/>
      <c r="Y122" s="20"/>
      <c r="Z122" s="20"/>
    </row>
    <row r="123" spans="13:26" ht="17.25" customHeight="1">
      <c r="M123" s="47"/>
      <c r="N123" s="20"/>
      <c r="O123" s="20"/>
      <c r="P123" s="20"/>
      <c r="Q123" s="20"/>
      <c r="R123" s="20"/>
      <c r="S123" s="20"/>
      <c r="T123" s="20"/>
      <c r="U123" s="20"/>
      <c r="V123" s="20"/>
      <c r="W123" s="20"/>
      <c r="X123" s="20"/>
      <c r="Y123" s="20"/>
      <c r="Z123" s="20"/>
    </row>
    <row r="124" spans="13:26" ht="17.25" customHeight="1">
      <c r="M124" s="47"/>
      <c r="N124" s="20"/>
      <c r="O124" s="20"/>
      <c r="P124" s="20"/>
      <c r="Q124" s="20"/>
      <c r="R124" s="20"/>
      <c r="S124" s="20"/>
      <c r="T124" s="20"/>
      <c r="U124" s="20"/>
      <c r="V124" s="20"/>
      <c r="W124" s="20"/>
      <c r="X124" s="20"/>
      <c r="Y124" s="20"/>
      <c r="Z124" s="20"/>
    </row>
    <row r="125" spans="13:26" ht="17.25" customHeight="1">
      <c r="M125" s="47"/>
      <c r="N125" s="20"/>
      <c r="O125" s="20"/>
      <c r="P125" s="20"/>
      <c r="Q125" s="20"/>
      <c r="R125" s="20"/>
      <c r="S125" s="20"/>
      <c r="T125" s="20"/>
      <c r="U125" s="20"/>
      <c r="V125" s="20"/>
      <c r="W125" s="20"/>
      <c r="X125" s="20"/>
      <c r="Y125" s="20"/>
      <c r="Z125" s="20"/>
    </row>
    <row r="126" spans="13:26" ht="17.25" customHeight="1">
      <c r="M126" s="47"/>
      <c r="N126" s="20"/>
      <c r="O126" s="20"/>
      <c r="P126" s="20"/>
      <c r="Q126" s="20"/>
      <c r="R126" s="20"/>
      <c r="S126" s="20"/>
      <c r="T126" s="20"/>
      <c r="U126" s="20"/>
      <c r="V126" s="20"/>
      <c r="W126" s="20"/>
      <c r="X126" s="20"/>
      <c r="Y126" s="20"/>
      <c r="Z126" s="20"/>
    </row>
    <row r="127" spans="13:26" ht="17.25" customHeight="1">
      <c r="M127" s="47"/>
      <c r="N127" s="20"/>
      <c r="O127" s="20"/>
      <c r="P127" s="20"/>
      <c r="Q127" s="20"/>
      <c r="R127" s="20"/>
      <c r="S127" s="20"/>
      <c r="T127" s="20"/>
      <c r="U127" s="20"/>
      <c r="V127" s="20"/>
      <c r="W127" s="20"/>
      <c r="X127" s="20"/>
      <c r="Y127" s="20"/>
      <c r="Z127" s="20"/>
    </row>
    <row r="128" spans="13:26" ht="17.25" customHeight="1">
      <c r="M128" s="47"/>
      <c r="N128" s="20"/>
      <c r="O128" s="20"/>
      <c r="P128" s="20"/>
      <c r="Q128" s="20"/>
      <c r="R128" s="20"/>
      <c r="S128" s="20"/>
      <c r="T128" s="20"/>
      <c r="U128" s="20"/>
      <c r="V128" s="20"/>
      <c r="W128" s="20"/>
      <c r="X128" s="20"/>
      <c r="Y128" s="20"/>
      <c r="Z128" s="20"/>
    </row>
    <row r="129" spans="13:26" ht="17.25" customHeight="1">
      <c r="M129" s="47"/>
      <c r="N129" s="20"/>
      <c r="O129" s="20"/>
      <c r="P129" s="20"/>
      <c r="Q129" s="20"/>
      <c r="R129" s="20"/>
      <c r="S129" s="20"/>
      <c r="T129" s="20"/>
      <c r="U129" s="20"/>
      <c r="V129" s="20"/>
      <c r="W129" s="20"/>
      <c r="X129" s="20"/>
      <c r="Y129" s="20"/>
      <c r="Z129" s="20"/>
    </row>
    <row r="130" spans="13:26" ht="17.25" customHeight="1">
      <c r="M130" s="47"/>
      <c r="N130" s="20"/>
      <c r="O130" s="20"/>
      <c r="P130" s="20"/>
      <c r="Q130" s="20"/>
      <c r="R130" s="20"/>
      <c r="S130" s="20"/>
      <c r="T130" s="20"/>
      <c r="U130" s="20"/>
      <c r="V130" s="20"/>
      <c r="W130" s="20"/>
      <c r="X130" s="20"/>
      <c r="Y130" s="20"/>
      <c r="Z130" s="20"/>
    </row>
    <row r="131" spans="13:26" ht="17.25" customHeight="1">
      <c r="M131" s="47"/>
      <c r="N131" s="20"/>
      <c r="O131" s="20"/>
      <c r="P131" s="20"/>
      <c r="Q131" s="20"/>
      <c r="R131" s="20"/>
      <c r="S131" s="20"/>
      <c r="T131" s="20"/>
      <c r="U131" s="20"/>
      <c r="V131" s="20"/>
      <c r="W131" s="20"/>
      <c r="X131" s="20"/>
      <c r="Y131" s="20"/>
      <c r="Z131" s="20"/>
    </row>
    <row r="132" spans="13:26" ht="17.25" customHeight="1">
      <c r="M132" s="47"/>
      <c r="N132" s="20"/>
      <c r="O132" s="20"/>
      <c r="P132" s="20"/>
      <c r="Q132" s="20"/>
      <c r="R132" s="20"/>
      <c r="S132" s="20"/>
      <c r="T132" s="20"/>
      <c r="U132" s="20"/>
      <c r="V132" s="20"/>
      <c r="W132" s="20"/>
      <c r="X132" s="20"/>
      <c r="Y132" s="20"/>
      <c r="Z132" s="20"/>
    </row>
    <row r="133" spans="13:26" ht="17.25" customHeight="1">
      <c r="M133" s="47"/>
      <c r="N133" s="20"/>
      <c r="O133" s="20"/>
      <c r="P133" s="20"/>
      <c r="Q133" s="20"/>
      <c r="R133" s="20"/>
      <c r="S133" s="20"/>
      <c r="T133" s="20"/>
      <c r="U133" s="20"/>
      <c r="V133" s="20"/>
      <c r="W133" s="20"/>
      <c r="X133" s="20"/>
      <c r="Y133" s="20"/>
      <c r="Z133" s="20"/>
    </row>
    <row r="134" spans="13:26" ht="17.25" customHeight="1">
      <c r="M134" s="47"/>
      <c r="N134" s="20"/>
      <c r="O134" s="20"/>
      <c r="P134" s="20"/>
      <c r="Q134" s="20"/>
      <c r="R134" s="20"/>
      <c r="S134" s="20"/>
      <c r="T134" s="20"/>
      <c r="U134" s="20"/>
      <c r="V134" s="20"/>
      <c r="W134" s="20"/>
      <c r="X134" s="20"/>
      <c r="Y134" s="20"/>
      <c r="Z134" s="20"/>
    </row>
    <row r="135" spans="13:26" ht="17.25" customHeight="1">
      <c r="M135" s="47"/>
      <c r="N135" s="20"/>
      <c r="O135" s="20"/>
      <c r="P135" s="20"/>
      <c r="Q135" s="20"/>
      <c r="R135" s="20"/>
      <c r="S135" s="20"/>
      <c r="T135" s="20"/>
      <c r="U135" s="20"/>
      <c r="V135" s="20"/>
      <c r="W135" s="20"/>
      <c r="X135" s="20"/>
      <c r="Y135" s="20"/>
      <c r="Z135" s="20"/>
    </row>
    <row r="136" spans="13:26" ht="17.25" customHeight="1">
      <c r="M136" s="47"/>
      <c r="N136" s="20"/>
      <c r="O136" s="20"/>
      <c r="P136" s="20"/>
      <c r="Q136" s="20"/>
      <c r="R136" s="20"/>
      <c r="S136" s="20"/>
      <c r="T136" s="20"/>
      <c r="U136" s="20"/>
      <c r="V136" s="20"/>
      <c r="W136" s="20"/>
      <c r="X136" s="20"/>
      <c r="Y136" s="20"/>
      <c r="Z136" s="20"/>
    </row>
    <row r="137" spans="13:26" ht="17.25" customHeight="1">
      <c r="M137" s="47"/>
      <c r="N137" s="20"/>
      <c r="O137" s="20"/>
      <c r="P137" s="20"/>
      <c r="Q137" s="20"/>
      <c r="R137" s="20"/>
      <c r="S137" s="20"/>
      <c r="T137" s="20"/>
      <c r="U137" s="20"/>
      <c r="V137" s="20"/>
      <c r="W137" s="20"/>
      <c r="X137" s="20"/>
      <c r="Y137" s="20"/>
      <c r="Z137" s="20"/>
    </row>
    <row r="138" spans="13:26" ht="17.25" customHeight="1">
      <c r="M138" s="47"/>
      <c r="N138" s="20"/>
      <c r="O138" s="20"/>
      <c r="P138" s="20"/>
      <c r="Q138" s="20"/>
      <c r="R138" s="20"/>
      <c r="S138" s="20"/>
      <c r="T138" s="20"/>
      <c r="U138" s="20"/>
      <c r="V138" s="20"/>
      <c r="W138" s="20"/>
      <c r="X138" s="20"/>
      <c r="Y138" s="20"/>
      <c r="Z138" s="20"/>
    </row>
    <row r="139" spans="13:26" ht="17.25" customHeight="1">
      <c r="M139" s="47"/>
      <c r="N139" s="20"/>
      <c r="O139" s="20"/>
      <c r="P139" s="20"/>
      <c r="Q139" s="20"/>
      <c r="R139" s="20"/>
      <c r="S139" s="20"/>
      <c r="T139" s="20"/>
      <c r="U139" s="20"/>
      <c r="V139" s="20"/>
      <c r="W139" s="20"/>
      <c r="X139" s="20"/>
      <c r="Y139" s="20"/>
      <c r="Z139" s="20"/>
    </row>
    <row r="140" spans="13:26" ht="17.25" customHeight="1">
      <c r="M140" s="47"/>
      <c r="N140" s="20"/>
      <c r="O140" s="20"/>
      <c r="P140" s="20"/>
      <c r="Q140" s="20"/>
      <c r="R140" s="20"/>
      <c r="S140" s="20"/>
      <c r="T140" s="20"/>
      <c r="U140" s="20"/>
      <c r="V140" s="20"/>
      <c r="W140" s="20"/>
      <c r="X140" s="20"/>
      <c r="Y140" s="20"/>
      <c r="Z140" s="20"/>
    </row>
    <row r="141" spans="13:26" ht="17.25" customHeight="1">
      <c r="M141" s="47"/>
      <c r="N141" s="20"/>
      <c r="O141" s="20"/>
      <c r="P141" s="20"/>
      <c r="Q141" s="20"/>
      <c r="R141" s="20"/>
      <c r="S141" s="20"/>
      <c r="T141" s="20"/>
      <c r="U141" s="20"/>
      <c r="V141" s="20"/>
      <c r="W141" s="20"/>
      <c r="X141" s="20"/>
      <c r="Y141" s="20"/>
      <c r="Z141" s="20"/>
    </row>
    <row r="142" spans="13:26" ht="17.25" customHeight="1">
      <c r="M142" s="47"/>
      <c r="N142" s="20"/>
      <c r="O142" s="20"/>
      <c r="P142" s="20"/>
      <c r="Q142" s="20"/>
      <c r="R142" s="20"/>
      <c r="S142" s="20"/>
      <c r="T142" s="20"/>
      <c r="U142" s="20"/>
      <c r="V142" s="20"/>
      <c r="W142" s="20"/>
      <c r="X142" s="20"/>
      <c r="Y142" s="20"/>
      <c r="Z142" s="20"/>
    </row>
    <row r="143" spans="13:26" ht="17.25" customHeight="1">
      <c r="M143" s="47"/>
      <c r="N143" s="20"/>
      <c r="O143" s="20"/>
      <c r="P143" s="20"/>
      <c r="Q143" s="20"/>
      <c r="R143" s="20"/>
      <c r="S143" s="20"/>
      <c r="T143" s="20"/>
      <c r="U143" s="20"/>
      <c r="V143" s="20"/>
      <c r="W143" s="20"/>
      <c r="X143" s="20"/>
      <c r="Y143" s="20"/>
      <c r="Z143" s="20"/>
    </row>
    <row r="144" spans="13:26" ht="17.25" customHeight="1">
      <c r="M144" s="47"/>
      <c r="N144" s="20"/>
      <c r="O144" s="20"/>
      <c r="P144" s="20"/>
      <c r="Q144" s="20"/>
      <c r="R144" s="20"/>
      <c r="S144" s="20"/>
      <c r="T144" s="20"/>
      <c r="U144" s="20"/>
      <c r="V144" s="20"/>
      <c r="W144" s="20"/>
      <c r="X144" s="20"/>
      <c r="Y144" s="20"/>
      <c r="Z144" s="20"/>
    </row>
    <row r="145" spans="13:26" ht="17.25" customHeight="1">
      <c r="M145" s="47"/>
      <c r="N145" s="20"/>
      <c r="O145" s="20"/>
      <c r="P145" s="20"/>
      <c r="Q145" s="20"/>
      <c r="R145" s="20"/>
      <c r="S145" s="20"/>
      <c r="T145" s="20"/>
      <c r="U145" s="20"/>
      <c r="V145" s="20"/>
      <c r="W145" s="20"/>
      <c r="X145" s="20"/>
      <c r="Y145" s="20"/>
      <c r="Z145" s="20"/>
    </row>
    <row r="146" spans="13:26" ht="17.25" customHeight="1">
      <c r="M146" s="47"/>
      <c r="N146" s="20"/>
      <c r="O146" s="20"/>
      <c r="P146" s="20"/>
      <c r="Q146" s="20"/>
      <c r="R146" s="20"/>
      <c r="S146" s="20"/>
      <c r="T146" s="20"/>
      <c r="U146" s="20"/>
      <c r="V146" s="20"/>
      <c r="W146" s="20"/>
      <c r="X146" s="20"/>
      <c r="Y146" s="20"/>
      <c r="Z146" s="20"/>
    </row>
    <row r="147" spans="13:26" ht="17.25" customHeight="1">
      <c r="M147" s="47"/>
      <c r="N147" s="20"/>
      <c r="O147" s="20"/>
      <c r="P147" s="20"/>
      <c r="Q147" s="20"/>
      <c r="R147" s="20"/>
      <c r="S147" s="20"/>
      <c r="T147" s="20"/>
      <c r="U147" s="20"/>
      <c r="V147" s="20"/>
      <c r="W147" s="20"/>
      <c r="X147" s="20"/>
      <c r="Y147" s="20"/>
      <c r="Z147" s="20"/>
    </row>
    <row r="148" spans="13:26" ht="17.25" customHeight="1">
      <c r="M148" s="47"/>
      <c r="N148" s="20"/>
      <c r="O148" s="20"/>
      <c r="P148" s="20"/>
      <c r="Q148" s="20"/>
      <c r="R148" s="20"/>
      <c r="S148" s="20"/>
      <c r="T148" s="20"/>
      <c r="U148" s="20"/>
      <c r="V148" s="20"/>
      <c r="W148" s="20"/>
      <c r="X148" s="20"/>
      <c r="Y148" s="20"/>
      <c r="Z148" s="20"/>
    </row>
    <row r="149" spans="13:26" ht="17.25" customHeight="1">
      <c r="M149" s="47"/>
      <c r="N149" s="20"/>
      <c r="O149" s="20"/>
      <c r="P149" s="20"/>
      <c r="Q149" s="20"/>
      <c r="R149" s="20"/>
      <c r="S149" s="20"/>
      <c r="T149" s="20"/>
      <c r="U149" s="20"/>
      <c r="V149" s="20"/>
      <c r="W149" s="20"/>
      <c r="X149" s="20"/>
      <c r="Y149" s="20"/>
      <c r="Z149" s="20"/>
    </row>
    <row r="150" spans="13:26" ht="17.25" customHeight="1">
      <c r="M150" s="47"/>
      <c r="N150" s="20"/>
      <c r="O150" s="20"/>
      <c r="P150" s="20"/>
      <c r="Q150" s="20"/>
      <c r="R150" s="20"/>
      <c r="S150" s="20"/>
      <c r="T150" s="20"/>
      <c r="U150" s="20"/>
      <c r="V150" s="20"/>
      <c r="W150" s="20"/>
      <c r="X150" s="20"/>
      <c r="Y150" s="20"/>
      <c r="Z150" s="20"/>
    </row>
    <row r="151" spans="13:26" ht="17.25" customHeight="1">
      <c r="M151" s="47"/>
      <c r="N151" s="20"/>
      <c r="O151" s="20"/>
      <c r="P151" s="20"/>
      <c r="Q151" s="20"/>
      <c r="R151" s="20"/>
      <c r="S151" s="20"/>
      <c r="T151" s="20"/>
      <c r="U151" s="20"/>
      <c r="V151" s="20"/>
      <c r="W151" s="20"/>
      <c r="X151" s="20"/>
      <c r="Y151" s="20"/>
      <c r="Z151" s="20"/>
    </row>
    <row r="152" spans="13:26" ht="17.25" customHeight="1">
      <c r="M152" s="47"/>
      <c r="N152" s="20"/>
      <c r="O152" s="20"/>
      <c r="P152" s="20"/>
      <c r="Q152" s="20"/>
      <c r="R152" s="20"/>
      <c r="S152" s="20"/>
      <c r="T152" s="20"/>
      <c r="U152" s="20"/>
      <c r="V152" s="20"/>
      <c r="W152" s="20"/>
      <c r="X152" s="20"/>
      <c r="Y152" s="20"/>
      <c r="Z152" s="20"/>
    </row>
    <row r="153" spans="13:26" ht="17.25" customHeight="1">
      <c r="M153" s="47"/>
      <c r="N153" s="20"/>
      <c r="O153" s="20"/>
      <c r="P153" s="20"/>
      <c r="Q153" s="20"/>
      <c r="R153" s="20"/>
      <c r="S153" s="20"/>
      <c r="T153" s="20"/>
      <c r="U153" s="20"/>
      <c r="V153" s="20"/>
      <c r="W153" s="20"/>
      <c r="X153" s="20"/>
      <c r="Y153" s="20"/>
      <c r="Z153" s="20"/>
    </row>
    <row r="154" spans="13:26" ht="17.25" customHeight="1">
      <c r="M154" s="47"/>
      <c r="N154" s="20"/>
      <c r="O154" s="20"/>
      <c r="P154" s="20"/>
      <c r="Q154" s="20"/>
      <c r="R154" s="20"/>
      <c r="S154" s="20"/>
      <c r="T154" s="20"/>
      <c r="U154" s="20"/>
      <c r="V154" s="20"/>
      <c r="W154" s="20"/>
      <c r="X154" s="20"/>
      <c r="Y154" s="20"/>
      <c r="Z154" s="20"/>
    </row>
    <row r="155" spans="13:26" ht="17.25" customHeight="1">
      <c r="M155" s="47"/>
      <c r="N155" s="20"/>
      <c r="O155" s="20"/>
      <c r="P155" s="20"/>
      <c r="Q155" s="20"/>
      <c r="R155" s="20"/>
      <c r="S155" s="20"/>
      <c r="T155" s="20"/>
      <c r="U155" s="20"/>
      <c r="V155" s="20"/>
      <c r="W155" s="20"/>
      <c r="X155" s="20"/>
      <c r="Y155" s="20"/>
      <c r="Z155" s="20"/>
    </row>
    <row r="156" spans="13:26" ht="17.25" customHeight="1">
      <c r="M156" s="47"/>
      <c r="N156" s="20"/>
      <c r="O156" s="20"/>
      <c r="P156" s="20"/>
      <c r="Q156" s="20"/>
      <c r="R156" s="20"/>
      <c r="S156" s="20"/>
      <c r="T156" s="20"/>
      <c r="U156" s="20"/>
      <c r="V156" s="20"/>
      <c r="W156" s="20"/>
      <c r="X156" s="20"/>
      <c r="Y156" s="20"/>
      <c r="Z156" s="20"/>
    </row>
    <row r="157" spans="13:26" ht="17.25" customHeight="1">
      <c r="M157" s="47"/>
      <c r="N157" s="20"/>
      <c r="O157" s="20"/>
      <c r="P157" s="20"/>
      <c r="Q157" s="20"/>
      <c r="R157" s="20"/>
      <c r="S157" s="20"/>
      <c r="T157" s="20"/>
      <c r="U157" s="20"/>
      <c r="V157" s="20"/>
      <c r="W157" s="20"/>
      <c r="X157" s="20"/>
      <c r="Y157" s="20"/>
      <c r="Z157" s="20"/>
    </row>
    <row r="158" spans="13:26" ht="17.25" customHeight="1">
      <c r="M158" s="47"/>
      <c r="N158" s="20"/>
      <c r="O158" s="20"/>
      <c r="P158" s="20"/>
      <c r="Q158" s="20"/>
      <c r="R158" s="20"/>
      <c r="S158" s="20"/>
      <c r="T158" s="20"/>
      <c r="U158" s="20"/>
      <c r="V158" s="20"/>
      <c r="W158" s="20"/>
      <c r="X158" s="20"/>
      <c r="Y158" s="20"/>
      <c r="Z158" s="20"/>
    </row>
    <row r="159" spans="13:26" ht="17.25" customHeight="1">
      <c r="M159" s="47"/>
      <c r="N159" s="20"/>
      <c r="O159" s="20"/>
      <c r="P159" s="20"/>
      <c r="Q159" s="20"/>
      <c r="R159" s="20"/>
      <c r="S159" s="20"/>
      <c r="T159" s="20"/>
      <c r="U159" s="20"/>
      <c r="V159" s="20"/>
      <c r="W159" s="20"/>
      <c r="X159" s="20"/>
      <c r="Y159" s="20"/>
      <c r="Z159" s="20"/>
    </row>
    <row r="160" spans="13:26" ht="17.25" customHeight="1">
      <c r="M160" s="47"/>
      <c r="N160" s="20"/>
      <c r="O160" s="20"/>
      <c r="P160" s="20"/>
      <c r="Q160" s="20"/>
      <c r="R160" s="20"/>
      <c r="S160" s="20"/>
      <c r="T160" s="20"/>
      <c r="U160" s="20"/>
      <c r="V160" s="20"/>
      <c r="W160" s="20"/>
      <c r="X160" s="20"/>
      <c r="Y160" s="20"/>
      <c r="Z160" s="20"/>
    </row>
    <row r="161" spans="13:26" ht="17.25" customHeight="1">
      <c r="M161" s="47"/>
      <c r="N161" s="20"/>
      <c r="O161" s="20"/>
      <c r="P161" s="20"/>
      <c r="Q161" s="20"/>
      <c r="R161" s="20"/>
      <c r="S161" s="20"/>
      <c r="T161" s="20"/>
      <c r="U161" s="20"/>
      <c r="V161" s="20"/>
      <c r="W161" s="20"/>
      <c r="X161" s="20"/>
      <c r="Y161" s="20"/>
      <c r="Z161" s="20"/>
    </row>
    <row r="162" spans="13:26" ht="17.25" customHeight="1">
      <c r="M162" s="47"/>
      <c r="N162" s="20"/>
      <c r="O162" s="20"/>
      <c r="P162" s="20"/>
      <c r="Q162" s="20"/>
      <c r="R162" s="20"/>
      <c r="S162" s="20"/>
      <c r="T162" s="20"/>
      <c r="U162" s="20"/>
      <c r="V162" s="20"/>
      <c r="W162" s="20"/>
      <c r="X162" s="20"/>
      <c r="Y162" s="20"/>
      <c r="Z162" s="20"/>
    </row>
    <row r="163" spans="13:26" ht="17.25" customHeight="1">
      <c r="M163" s="47"/>
      <c r="N163" s="20"/>
      <c r="O163" s="20"/>
      <c r="P163" s="20"/>
      <c r="Q163" s="20"/>
      <c r="R163" s="20"/>
      <c r="S163" s="20"/>
      <c r="T163" s="20"/>
      <c r="U163" s="20"/>
      <c r="V163" s="20"/>
      <c r="W163" s="20"/>
      <c r="X163" s="20"/>
      <c r="Y163" s="20"/>
      <c r="Z163" s="20"/>
    </row>
    <row r="164" spans="13:26" ht="17.25" customHeight="1">
      <c r="M164" s="47"/>
      <c r="N164" s="20"/>
      <c r="O164" s="20"/>
      <c r="P164" s="20"/>
      <c r="Q164" s="20"/>
      <c r="R164" s="20"/>
      <c r="S164" s="20"/>
      <c r="T164" s="20"/>
      <c r="U164" s="20"/>
      <c r="V164" s="20"/>
      <c r="W164" s="20"/>
      <c r="X164" s="20"/>
      <c r="Y164" s="20"/>
      <c r="Z164" s="20"/>
    </row>
    <row r="165" spans="13:26" ht="17.25" customHeight="1">
      <c r="M165" s="47"/>
      <c r="N165" s="20"/>
      <c r="O165" s="20"/>
      <c r="P165" s="20"/>
      <c r="Q165" s="20"/>
      <c r="R165" s="20"/>
      <c r="S165" s="20"/>
      <c r="T165" s="20"/>
      <c r="U165" s="20"/>
      <c r="V165" s="20"/>
      <c r="W165" s="20"/>
      <c r="X165" s="20"/>
      <c r="Y165" s="20"/>
      <c r="Z165" s="20"/>
    </row>
    <row r="166" spans="13:26" ht="17.25" customHeight="1">
      <c r="M166" s="47"/>
      <c r="N166" s="20"/>
      <c r="O166" s="20"/>
      <c r="P166" s="20"/>
      <c r="Q166" s="20"/>
      <c r="R166" s="20"/>
      <c r="S166" s="20"/>
      <c r="T166" s="20"/>
      <c r="U166" s="20"/>
      <c r="V166" s="20"/>
      <c r="W166" s="20"/>
      <c r="X166" s="20"/>
      <c r="Y166" s="20"/>
      <c r="Z166" s="20"/>
    </row>
    <row r="167" spans="13:26" ht="17.25" customHeight="1">
      <c r="M167" s="47"/>
      <c r="N167" s="20"/>
      <c r="O167" s="20"/>
      <c r="P167" s="20"/>
      <c r="Q167" s="20"/>
      <c r="R167" s="20"/>
      <c r="S167" s="20"/>
      <c r="T167" s="20"/>
      <c r="U167" s="20"/>
      <c r="V167" s="20"/>
      <c r="W167" s="20"/>
      <c r="X167" s="20"/>
      <c r="Y167" s="20"/>
      <c r="Z167" s="20"/>
    </row>
    <row r="168" spans="13:26" ht="17.25" customHeight="1">
      <c r="M168" s="47"/>
      <c r="N168" s="20"/>
      <c r="O168" s="20"/>
      <c r="P168" s="20"/>
      <c r="Q168" s="20"/>
      <c r="R168" s="20"/>
      <c r="S168" s="20"/>
      <c r="T168" s="20"/>
      <c r="U168" s="20"/>
      <c r="V168" s="20"/>
      <c r="W168" s="20"/>
      <c r="X168" s="20"/>
      <c r="Y168" s="20"/>
      <c r="Z168" s="20"/>
    </row>
    <row r="169" spans="13:26" ht="17.25" customHeight="1">
      <c r="M169" s="47"/>
      <c r="N169" s="20"/>
      <c r="O169" s="20"/>
      <c r="P169" s="20"/>
      <c r="Q169" s="20"/>
      <c r="R169" s="20"/>
      <c r="S169" s="20"/>
      <c r="T169" s="20"/>
      <c r="U169" s="20"/>
      <c r="V169" s="20"/>
      <c r="W169" s="20"/>
      <c r="X169" s="20"/>
      <c r="Y169" s="20"/>
      <c r="Z169" s="20"/>
    </row>
    <row r="170" spans="13:26" ht="17.25" customHeight="1">
      <c r="M170" s="47"/>
      <c r="N170" s="20"/>
      <c r="O170" s="20"/>
      <c r="P170" s="20"/>
      <c r="Q170" s="20"/>
      <c r="R170" s="20"/>
      <c r="S170" s="20"/>
      <c r="T170" s="20"/>
      <c r="U170" s="20"/>
      <c r="V170" s="20"/>
      <c r="W170" s="20"/>
      <c r="X170" s="20"/>
      <c r="Y170" s="20"/>
      <c r="Z170" s="20"/>
    </row>
    <row r="171" spans="13:26" ht="17.25" customHeight="1">
      <c r="M171" s="47"/>
      <c r="N171" s="20"/>
      <c r="O171" s="20"/>
      <c r="P171" s="20"/>
      <c r="Q171" s="20"/>
      <c r="R171" s="20"/>
      <c r="S171" s="20"/>
      <c r="T171" s="20"/>
      <c r="U171" s="20"/>
      <c r="V171" s="20"/>
      <c r="W171" s="20"/>
      <c r="X171" s="20"/>
      <c r="Y171" s="20"/>
      <c r="Z171" s="20"/>
    </row>
    <row r="172" spans="13:26" ht="17.25" customHeight="1">
      <c r="M172" s="47"/>
      <c r="N172" s="20"/>
      <c r="O172" s="20"/>
      <c r="P172" s="20"/>
      <c r="Q172" s="20"/>
      <c r="R172" s="20"/>
      <c r="S172" s="20"/>
      <c r="T172" s="20"/>
      <c r="U172" s="20"/>
      <c r="V172" s="20"/>
      <c r="W172" s="20"/>
      <c r="X172" s="20"/>
      <c r="Y172" s="20"/>
      <c r="Z172" s="20"/>
    </row>
    <row r="173" spans="13:26" ht="17.25" customHeight="1">
      <c r="M173" s="47"/>
      <c r="N173" s="20"/>
      <c r="O173" s="20"/>
      <c r="P173" s="20"/>
      <c r="Q173" s="20"/>
      <c r="R173" s="20"/>
      <c r="S173" s="20"/>
      <c r="T173" s="20"/>
      <c r="U173" s="20"/>
      <c r="V173" s="20"/>
      <c r="W173" s="20"/>
      <c r="X173" s="20"/>
      <c r="Y173" s="20"/>
      <c r="Z173" s="20"/>
    </row>
    <row r="174" spans="13:26" ht="17.25" customHeight="1">
      <c r="M174" s="47"/>
      <c r="N174" s="20"/>
      <c r="O174" s="20"/>
      <c r="P174" s="20"/>
      <c r="Q174" s="20"/>
      <c r="R174" s="20"/>
      <c r="S174" s="20"/>
      <c r="T174" s="20"/>
      <c r="U174" s="20"/>
      <c r="V174" s="20"/>
      <c r="W174" s="20"/>
      <c r="X174" s="20"/>
      <c r="Y174" s="20"/>
      <c r="Z174" s="20"/>
    </row>
    <row r="175" spans="13:26" ht="17.25" customHeight="1">
      <c r="M175" s="47"/>
      <c r="N175" s="20"/>
      <c r="O175" s="20"/>
      <c r="P175" s="20"/>
      <c r="Q175" s="20"/>
      <c r="R175" s="20"/>
      <c r="S175" s="20"/>
      <c r="T175" s="20"/>
      <c r="U175" s="20"/>
      <c r="V175" s="20"/>
      <c r="W175" s="20"/>
      <c r="X175" s="20"/>
      <c r="Y175" s="20"/>
      <c r="Z175" s="20"/>
    </row>
    <row r="176" spans="13:26" ht="17.25" customHeight="1">
      <c r="M176" s="47"/>
      <c r="N176" s="20"/>
      <c r="O176" s="20"/>
      <c r="P176" s="20"/>
      <c r="Q176" s="20"/>
      <c r="R176" s="20"/>
      <c r="S176" s="20"/>
      <c r="T176" s="20"/>
      <c r="U176" s="20"/>
      <c r="V176" s="20"/>
      <c r="W176" s="20"/>
      <c r="X176" s="20"/>
      <c r="Y176" s="20"/>
      <c r="Z176" s="20"/>
    </row>
    <row r="177" spans="13:26" ht="17.25" customHeight="1">
      <c r="M177" s="47"/>
      <c r="N177" s="20"/>
      <c r="O177" s="20"/>
      <c r="P177" s="20"/>
      <c r="Q177" s="20"/>
      <c r="R177" s="20"/>
      <c r="S177" s="20"/>
      <c r="T177" s="20"/>
      <c r="U177" s="20"/>
      <c r="V177" s="20"/>
      <c r="W177" s="20"/>
      <c r="X177" s="20"/>
      <c r="Y177" s="20"/>
      <c r="Z177" s="20"/>
    </row>
    <row r="178" spans="13:26" ht="17.25" customHeight="1">
      <c r="M178" s="47"/>
      <c r="N178" s="20"/>
      <c r="O178" s="20"/>
      <c r="P178" s="20"/>
      <c r="Q178" s="20"/>
      <c r="R178" s="20"/>
      <c r="S178" s="20"/>
      <c r="T178" s="20"/>
      <c r="U178" s="20"/>
      <c r="V178" s="20"/>
      <c r="W178" s="20"/>
      <c r="X178" s="20"/>
      <c r="Y178" s="20"/>
      <c r="Z178" s="20"/>
    </row>
    <row r="179" spans="13:26" ht="17.25" customHeight="1">
      <c r="M179" s="47"/>
      <c r="N179" s="20"/>
      <c r="O179" s="20"/>
      <c r="P179" s="20"/>
      <c r="Q179" s="20"/>
      <c r="R179" s="20"/>
      <c r="S179" s="20"/>
      <c r="T179" s="20"/>
      <c r="U179" s="20"/>
      <c r="V179" s="20"/>
      <c r="W179" s="20"/>
      <c r="X179" s="20"/>
      <c r="Y179" s="20"/>
      <c r="Z179" s="20"/>
    </row>
    <row r="180" spans="13:26" ht="17.25" customHeight="1">
      <c r="M180" s="47"/>
      <c r="N180" s="20"/>
      <c r="O180" s="20"/>
      <c r="P180" s="20"/>
      <c r="Q180" s="20"/>
      <c r="R180" s="20"/>
      <c r="S180" s="20"/>
      <c r="T180" s="20"/>
      <c r="U180" s="20"/>
      <c r="V180" s="20"/>
      <c r="W180" s="20"/>
      <c r="X180" s="20"/>
      <c r="Y180" s="20"/>
      <c r="Z180" s="20"/>
    </row>
    <row r="181" spans="13:26" ht="17.25" customHeight="1">
      <c r="M181" s="47"/>
      <c r="N181" s="20"/>
      <c r="O181" s="20"/>
      <c r="P181" s="20"/>
      <c r="Q181" s="20"/>
      <c r="R181" s="20"/>
      <c r="S181" s="20"/>
      <c r="T181" s="20"/>
      <c r="U181" s="20"/>
      <c r="V181" s="20"/>
      <c r="W181" s="20"/>
      <c r="X181" s="20"/>
      <c r="Y181" s="20"/>
      <c r="Z181" s="20"/>
    </row>
    <row r="182" spans="13:26" ht="17.25" customHeight="1">
      <c r="M182" s="47"/>
      <c r="N182" s="20"/>
      <c r="O182" s="20"/>
      <c r="P182" s="20"/>
      <c r="Q182" s="20"/>
      <c r="R182" s="20"/>
      <c r="S182" s="20"/>
      <c r="T182" s="20"/>
      <c r="U182" s="20"/>
      <c r="V182" s="20"/>
      <c r="W182" s="20"/>
      <c r="X182" s="20"/>
      <c r="Y182" s="20"/>
      <c r="Z182" s="20"/>
    </row>
    <row r="183" spans="13:26" ht="17.25" customHeight="1">
      <c r="M183" s="47"/>
      <c r="N183" s="20"/>
      <c r="O183" s="20"/>
      <c r="P183" s="20"/>
      <c r="Q183" s="20"/>
      <c r="R183" s="20"/>
      <c r="S183" s="20"/>
      <c r="T183" s="20"/>
      <c r="U183" s="20"/>
      <c r="V183" s="20"/>
      <c r="W183" s="20"/>
      <c r="X183" s="20"/>
      <c r="Y183" s="20"/>
      <c r="Z183" s="20"/>
    </row>
    <row r="184" spans="13:26" ht="17.25" customHeight="1">
      <c r="M184" s="47"/>
      <c r="N184" s="20"/>
      <c r="O184" s="20"/>
      <c r="P184" s="20"/>
      <c r="Q184" s="20"/>
      <c r="R184" s="20"/>
      <c r="S184" s="20"/>
      <c r="T184" s="20"/>
      <c r="U184" s="20"/>
      <c r="V184" s="20"/>
      <c r="W184" s="20"/>
      <c r="X184" s="20"/>
      <c r="Y184" s="20"/>
      <c r="Z184" s="20"/>
    </row>
    <row r="185" spans="13:26" ht="17.25" customHeight="1">
      <c r="M185" s="47"/>
      <c r="N185" s="20"/>
      <c r="O185" s="20"/>
      <c r="P185" s="20"/>
      <c r="Q185" s="20"/>
      <c r="R185" s="20"/>
      <c r="S185" s="20"/>
      <c r="T185" s="20"/>
      <c r="U185" s="20"/>
      <c r="V185" s="20"/>
      <c r="W185" s="20"/>
      <c r="X185" s="20"/>
      <c r="Y185" s="20"/>
      <c r="Z185" s="20"/>
    </row>
    <row r="186" spans="13:26" ht="17.25" customHeight="1">
      <c r="M186" s="47"/>
      <c r="N186" s="20"/>
      <c r="O186" s="20"/>
      <c r="P186" s="20"/>
      <c r="Q186" s="20"/>
      <c r="R186" s="20"/>
      <c r="S186" s="20"/>
      <c r="T186" s="20"/>
      <c r="U186" s="20"/>
      <c r="V186" s="20"/>
      <c r="W186" s="20"/>
      <c r="X186" s="20"/>
      <c r="Y186" s="20"/>
      <c r="Z186" s="20"/>
    </row>
    <row r="187" spans="13:26" ht="17.25" customHeight="1">
      <c r="M187" s="47"/>
      <c r="N187" s="20"/>
      <c r="O187" s="20"/>
      <c r="P187" s="20"/>
      <c r="Q187" s="20"/>
      <c r="R187" s="20"/>
      <c r="S187" s="20"/>
      <c r="T187" s="20"/>
      <c r="U187" s="20"/>
      <c r="V187" s="20"/>
      <c r="W187" s="20"/>
      <c r="X187" s="20"/>
      <c r="Y187" s="20"/>
      <c r="Z187" s="20"/>
    </row>
    <row r="188" spans="13:26" ht="17.25" customHeight="1">
      <c r="M188" s="47"/>
      <c r="N188" s="20"/>
      <c r="O188" s="20"/>
      <c r="P188" s="20"/>
      <c r="Q188" s="20"/>
      <c r="R188" s="20"/>
      <c r="S188" s="20"/>
      <c r="T188" s="20"/>
      <c r="U188" s="20"/>
      <c r="V188" s="20"/>
      <c r="W188" s="20"/>
      <c r="X188" s="20"/>
      <c r="Y188" s="20"/>
      <c r="Z188" s="20"/>
    </row>
    <row r="189" spans="13:26" ht="17.25" customHeight="1">
      <c r="M189" s="47"/>
      <c r="N189" s="20"/>
      <c r="O189" s="20"/>
      <c r="P189" s="20"/>
      <c r="Q189" s="20"/>
      <c r="R189" s="20"/>
      <c r="S189" s="20"/>
      <c r="T189" s="20"/>
      <c r="U189" s="20"/>
      <c r="V189" s="20"/>
      <c r="W189" s="20"/>
      <c r="X189" s="20"/>
      <c r="Y189" s="20"/>
      <c r="Z189" s="20"/>
    </row>
    <row r="190" spans="13:26" ht="17.25" customHeight="1">
      <c r="M190" s="47"/>
      <c r="N190" s="20"/>
      <c r="O190" s="20"/>
      <c r="P190" s="20"/>
      <c r="Q190" s="20"/>
      <c r="R190" s="20"/>
      <c r="S190" s="20"/>
      <c r="T190" s="20"/>
      <c r="U190" s="20"/>
      <c r="V190" s="20"/>
      <c r="W190" s="20"/>
      <c r="X190" s="20"/>
      <c r="Y190" s="20"/>
      <c r="Z190" s="20"/>
    </row>
    <row r="191" spans="13:26" ht="17.25" customHeight="1">
      <c r="M191" s="47"/>
      <c r="N191" s="20"/>
      <c r="O191" s="20"/>
      <c r="P191" s="20"/>
      <c r="Q191" s="20"/>
      <c r="R191" s="20"/>
      <c r="S191" s="20"/>
      <c r="T191" s="20"/>
      <c r="U191" s="20"/>
      <c r="V191" s="20"/>
      <c r="W191" s="20"/>
      <c r="X191" s="20"/>
      <c r="Y191" s="20"/>
      <c r="Z191" s="20"/>
    </row>
    <row r="192" spans="13:26" ht="17.25" customHeight="1">
      <c r="M192" s="47"/>
      <c r="N192" s="20"/>
      <c r="O192" s="20"/>
      <c r="P192" s="20"/>
      <c r="Q192" s="20"/>
      <c r="R192" s="20"/>
      <c r="S192" s="20"/>
      <c r="T192" s="20"/>
      <c r="U192" s="20"/>
      <c r="V192" s="20"/>
      <c r="W192" s="20"/>
      <c r="X192" s="20"/>
      <c r="Y192" s="20"/>
      <c r="Z192" s="20"/>
    </row>
    <row r="193" spans="13:26" ht="17.25" customHeight="1">
      <c r="M193" s="47"/>
      <c r="N193" s="20"/>
      <c r="O193" s="20"/>
      <c r="P193" s="20"/>
      <c r="Q193" s="20"/>
      <c r="R193" s="20"/>
      <c r="S193" s="20"/>
      <c r="T193" s="20"/>
      <c r="U193" s="20"/>
      <c r="V193" s="20"/>
      <c r="W193" s="20"/>
      <c r="X193" s="20"/>
      <c r="Y193" s="20"/>
      <c r="Z193" s="20"/>
    </row>
    <row r="194" spans="13:26" ht="17.25" customHeight="1">
      <c r="M194" s="47"/>
      <c r="N194" s="20"/>
      <c r="O194" s="20"/>
      <c r="P194" s="20"/>
      <c r="Q194" s="20"/>
      <c r="R194" s="20"/>
      <c r="S194" s="20"/>
      <c r="T194" s="20"/>
      <c r="U194" s="20"/>
      <c r="V194" s="20"/>
      <c r="W194" s="20"/>
      <c r="X194" s="20"/>
      <c r="Y194" s="20"/>
      <c r="Z194" s="20"/>
    </row>
    <row r="195" spans="13:26" ht="17.25" customHeight="1">
      <c r="M195" s="47"/>
      <c r="N195" s="20"/>
      <c r="O195" s="20"/>
      <c r="P195" s="20"/>
      <c r="Q195" s="20"/>
      <c r="R195" s="20"/>
      <c r="S195" s="20"/>
      <c r="T195" s="20"/>
      <c r="U195" s="20"/>
      <c r="V195" s="20"/>
      <c r="W195" s="20"/>
      <c r="X195" s="20"/>
      <c r="Y195" s="20"/>
      <c r="Z195" s="20"/>
    </row>
    <row r="196" spans="13:26" ht="17.25" customHeight="1">
      <c r="M196" s="47"/>
      <c r="N196" s="20"/>
      <c r="O196" s="20"/>
      <c r="P196" s="20"/>
      <c r="Q196" s="20"/>
      <c r="R196" s="20"/>
      <c r="S196" s="20"/>
      <c r="T196" s="20"/>
      <c r="U196" s="20"/>
      <c r="V196" s="20"/>
      <c r="W196" s="20"/>
      <c r="X196" s="20"/>
      <c r="Y196" s="20"/>
      <c r="Z196" s="20"/>
    </row>
    <row r="197" spans="13:26" ht="17.25" customHeight="1">
      <c r="M197" s="47"/>
      <c r="N197" s="20"/>
      <c r="O197" s="20"/>
      <c r="P197" s="20"/>
      <c r="Q197" s="20"/>
      <c r="R197" s="20"/>
      <c r="S197" s="20"/>
      <c r="T197" s="20"/>
      <c r="U197" s="20"/>
      <c r="V197" s="20"/>
      <c r="W197" s="20"/>
      <c r="X197" s="20"/>
      <c r="Y197" s="20"/>
      <c r="Z197" s="20"/>
    </row>
    <row r="198" spans="13:26" ht="17.25" customHeight="1">
      <c r="M198" s="47"/>
      <c r="N198" s="20"/>
      <c r="O198" s="20"/>
      <c r="P198" s="20"/>
      <c r="Q198" s="20"/>
      <c r="R198" s="20"/>
      <c r="S198" s="20"/>
      <c r="T198" s="20"/>
      <c r="U198" s="20"/>
      <c r="V198" s="20"/>
      <c r="W198" s="20"/>
      <c r="X198" s="20"/>
      <c r="Y198" s="20"/>
      <c r="Z198" s="20"/>
    </row>
    <row r="199" spans="13:26" ht="17.25" customHeight="1">
      <c r="M199" s="47"/>
      <c r="N199" s="20"/>
      <c r="O199" s="20"/>
      <c r="P199" s="20"/>
      <c r="Q199" s="20"/>
      <c r="R199" s="20"/>
      <c r="S199" s="20"/>
      <c r="T199" s="20"/>
      <c r="U199" s="20"/>
      <c r="V199" s="20"/>
      <c r="W199" s="20"/>
      <c r="X199" s="20"/>
      <c r="Y199" s="20"/>
      <c r="Z199" s="20"/>
    </row>
    <row r="200" spans="13:26" ht="17.25" customHeight="1">
      <c r="M200" s="47"/>
      <c r="N200" s="20"/>
      <c r="O200" s="20"/>
      <c r="P200" s="20"/>
      <c r="Q200" s="20"/>
      <c r="R200" s="20"/>
      <c r="S200" s="20"/>
      <c r="T200" s="20"/>
      <c r="U200" s="20"/>
      <c r="V200" s="20"/>
      <c r="W200" s="20"/>
      <c r="X200" s="20"/>
      <c r="Y200" s="20"/>
      <c r="Z200" s="20"/>
    </row>
    <row r="201" spans="13:26" ht="17.25" customHeight="1">
      <c r="M201" s="47"/>
      <c r="N201" s="20"/>
      <c r="O201" s="20"/>
      <c r="P201" s="20"/>
      <c r="Q201" s="20"/>
      <c r="R201" s="20"/>
      <c r="S201" s="20"/>
      <c r="T201" s="20"/>
      <c r="U201" s="20"/>
      <c r="V201" s="20"/>
      <c r="W201" s="20"/>
      <c r="X201" s="20"/>
      <c r="Y201" s="20"/>
      <c r="Z201" s="20"/>
    </row>
    <row r="202" spans="13:26" ht="17.25" customHeight="1">
      <c r="M202" s="47"/>
      <c r="N202" s="20"/>
      <c r="O202" s="20"/>
      <c r="P202" s="20"/>
      <c r="Q202" s="20"/>
      <c r="R202" s="20"/>
      <c r="S202" s="20"/>
      <c r="T202" s="20"/>
      <c r="U202" s="20"/>
      <c r="V202" s="20"/>
      <c r="W202" s="20"/>
      <c r="X202" s="20"/>
      <c r="Y202" s="20"/>
      <c r="Z202" s="20"/>
    </row>
    <row r="203" spans="13:26" ht="17.25" customHeight="1">
      <c r="M203" s="47"/>
      <c r="N203" s="20"/>
      <c r="O203" s="20"/>
      <c r="P203" s="20"/>
      <c r="Q203" s="20"/>
      <c r="R203" s="20"/>
      <c r="S203" s="20"/>
      <c r="T203" s="20"/>
      <c r="U203" s="20"/>
      <c r="V203" s="20"/>
      <c r="W203" s="20"/>
      <c r="X203" s="20"/>
      <c r="Y203" s="20"/>
      <c r="Z203" s="20"/>
    </row>
    <row r="204" spans="13:26" ht="17.25" customHeight="1">
      <c r="M204" s="47"/>
      <c r="N204" s="20"/>
      <c r="O204" s="20"/>
      <c r="P204" s="20"/>
      <c r="Q204" s="20"/>
      <c r="R204" s="20"/>
      <c r="S204" s="20"/>
      <c r="T204" s="20"/>
      <c r="U204" s="20"/>
      <c r="V204" s="20"/>
      <c r="W204" s="20"/>
      <c r="X204" s="20"/>
      <c r="Y204" s="20"/>
      <c r="Z204" s="20"/>
    </row>
    <row r="205" spans="13:26" ht="17.25" customHeight="1">
      <c r="M205" s="47"/>
      <c r="N205" s="20"/>
      <c r="O205" s="20"/>
      <c r="P205" s="20"/>
      <c r="Q205" s="20"/>
      <c r="R205" s="20"/>
      <c r="S205" s="20"/>
      <c r="T205" s="20"/>
      <c r="U205" s="20"/>
      <c r="V205" s="20"/>
      <c r="W205" s="20"/>
      <c r="X205" s="20"/>
      <c r="Y205" s="20"/>
      <c r="Z205" s="20"/>
    </row>
    <row r="206" spans="13:26" ht="17.25" customHeight="1">
      <c r="M206" s="47"/>
      <c r="N206" s="20"/>
      <c r="O206" s="20"/>
      <c r="P206" s="20"/>
      <c r="Q206" s="20"/>
      <c r="R206" s="20"/>
      <c r="S206" s="20"/>
      <c r="T206" s="20"/>
      <c r="U206" s="20"/>
      <c r="V206" s="20"/>
      <c r="W206" s="20"/>
      <c r="X206" s="20"/>
      <c r="Y206" s="20"/>
      <c r="Z206" s="20"/>
    </row>
    <row r="207" spans="13:26" ht="17.25" customHeight="1">
      <c r="M207" s="47"/>
      <c r="N207" s="20"/>
      <c r="O207" s="20"/>
      <c r="P207" s="20"/>
      <c r="Q207" s="20"/>
      <c r="R207" s="20"/>
      <c r="S207" s="20"/>
      <c r="T207" s="20"/>
      <c r="U207" s="20"/>
      <c r="V207" s="20"/>
      <c r="W207" s="20"/>
      <c r="X207" s="20"/>
      <c r="Y207" s="20"/>
      <c r="Z207" s="20"/>
    </row>
    <row r="208" spans="13:26" ht="17.25" customHeight="1">
      <c r="M208" s="47"/>
      <c r="N208" s="20"/>
      <c r="O208" s="20"/>
      <c r="P208" s="20"/>
      <c r="Q208" s="20"/>
      <c r="R208" s="20"/>
      <c r="S208" s="20"/>
      <c r="T208" s="20"/>
      <c r="U208" s="20"/>
      <c r="V208" s="20"/>
      <c r="W208" s="20"/>
      <c r="X208" s="20"/>
      <c r="Y208" s="20"/>
      <c r="Z208" s="20"/>
    </row>
    <row r="209" spans="13:26" ht="17.25" customHeight="1">
      <c r="M209" s="47"/>
      <c r="N209" s="20"/>
      <c r="O209" s="20"/>
      <c r="P209" s="20"/>
      <c r="Q209" s="20"/>
      <c r="R209" s="20"/>
      <c r="S209" s="20"/>
      <c r="T209" s="20"/>
      <c r="U209" s="20"/>
      <c r="V209" s="20"/>
      <c r="W209" s="20"/>
      <c r="X209" s="20"/>
      <c r="Y209" s="20"/>
      <c r="Z209" s="20"/>
    </row>
    <row r="210" spans="13:26" ht="17.25" customHeight="1">
      <c r="M210" s="47"/>
      <c r="N210" s="20"/>
      <c r="O210" s="20"/>
      <c r="P210" s="20"/>
      <c r="Q210" s="20"/>
      <c r="R210" s="20"/>
      <c r="S210" s="20"/>
      <c r="T210" s="20"/>
      <c r="U210" s="20"/>
      <c r="V210" s="20"/>
      <c r="W210" s="20"/>
      <c r="X210" s="20"/>
      <c r="Y210" s="20"/>
      <c r="Z210" s="20"/>
    </row>
    <row r="211" spans="13:26" ht="17.25" customHeight="1">
      <c r="M211" s="47"/>
      <c r="N211" s="20"/>
      <c r="O211" s="20"/>
      <c r="P211" s="20"/>
      <c r="Q211" s="20"/>
      <c r="R211" s="20"/>
      <c r="S211" s="20"/>
      <c r="T211" s="20"/>
      <c r="U211" s="20"/>
      <c r="V211" s="20"/>
      <c r="W211" s="20"/>
      <c r="X211" s="20"/>
      <c r="Y211" s="20"/>
      <c r="Z211" s="20"/>
    </row>
    <row r="212" spans="13:26" ht="17.25" customHeight="1">
      <c r="M212" s="47"/>
      <c r="N212" s="20"/>
      <c r="O212" s="20"/>
      <c r="P212" s="20"/>
      <c r="Q212" s="20"/>
      <c r="R212" s="20"/>
      <c r="S212" s="20"/>
      <c r="T212" s="20"/>
      <c r="U212" s="20"/>
      <c r="V212" s="20"/>
      <c r="W212" s="20"/>
      <c r="X212" s="20"/>
      <c r="Y212" s="20"/>
      <c r="Z212" s="20"/>
    </row>
    <row r="213" spans="13:26" ht="17.25" customHeight="1">
      <c r="M213" s="47"/>
      <c r="N213" s="20"/>
      <c r="O213" s="20"/>
      <c r="P213" s="20"/>
      <c r="Q213" s="20"/>
      <c r="R213" s="20"/>
      <c r="S213" s="20"/>
      <c r="T213" s="20"/>
      <c r="U213" s="20"/>
      <c r="V213" s="20"/>
      <c r="W213" s="20"/>
      <c r="X213" s="20"/>
      <c r="Y213" s="20"/>
      <c r="Z213" s="20"/>
    </row>
    <row r="214" spans="13:26" ht="17.25" customHeight="1">
      <c r="M214" s="47"/>
      <c r="N214" s="20"/>
      <c r="O214" s="20"/>
      <c r="P214" s="20"/>
      <c r="Q214" s="20"/>
      <c r="R214" s="20"/>
      <c r="S214" s="20"/>
      <c r="T214" s="20"/>
      <c r="U214" s="20"/>
      <c r="V214" s="20"/>
      <c r="W214" s="20"/>
      <c r="X214" s="20"/>
      <c r="Y214" s="20"/>
      <c r="Z214" s="20"/>
    </row>
    <row r="215" spans="13:26" ht="17.25" customHeight="1">
      <c r="M215" s="47"/>
      <c r="N215" s="20"/>
      <c r="O215" s="20"/>
      <c r="P215" s="20"/>
      <c r="Q215" s="20"/>
      <c r="R215" s="20"/>
      <c r="S215" s="20"/>
      <c r="T215" s="20"/>
      <c r="U215" s="20"/>
      <c r="V215" s="20"/>
      <c r="W215" s="20"/>
      <c r="X215" s="20"/>
      <c r="Y215" s="20"/>
      <c r="Z215" s="20"/>
    </row>
    <row r="216" spans="13:26" ht="17.25" customHeight="1">
      <c r="M216" s="47"/>
      <c r="N216" s="20"/>
      <c r="O216" s="20"/>
      <c r="P216" s="20"/>
      <c r="Q216" s="20"/>
      <c r="R216" s="20"/>
      <c r="S216" s="20"/>
      <c r="T216" s="20"/>
      <c r="U216" s="20"/>
      <c r="V216" s="20"/>
      <c r="W216" s="20"/>
      <c r="X216" s="20"/>
      <c r="Y216" s="20"/>
      <c r="Z216" s="20"/>
    </row>
    <row r="217" spans="13:26" ht="17.25" customHeight="1">
      <c r="M217" s="47"/>
      <c r="N217" s="20"/>
      <c r="O217" s="20"/>
      <c r="P217" s="20"/>
      <c r="Q217" s="20"/>
      <c r="R217" s="20"/>
      <c r="S217" s="20"/>
      <c r="T217" s="20"/>
      <c r="U217" s="20"/>
      <c r="V217" s="20"/>
      <c r="W217" s="20"/>
      <c r="X217" s="20"/>
      <c r="Y217" s="20"/>
      <c r="Z217" s="20"/>
    </row>
    <row r="218" spans="13:26" ht="17.25" customHeight="1">
      <c r="M218" s="47"/>
      <c r="N218" s="20"/>
      <c r="O218" s="20"/>
      <c r="P218" s="20"/>
      <c r="Q218" s="20"/>
      <c r="R218" s="20"/>
      <c r="S218" s="20"/>
      <c r="T218" s="20"/>
      <c r="U218" s="20"/>
      <c r="V218" s="20"/>
      <c r="W218" s="20"/>
      <c r="X218" s="20"/>
      <c r="Y218" s="20"/>
      <c r="Z218" s="20"/>
    </row>
    <row r="219" spans="13:26" ht="17.25" customHeight="1">
      <c r="M219" s="47"/>
      <c r="N219" s="20"/>
      <c r="O219" s="20"/>
      <c r="P219" s="20"/>
      <c r="Q219" s="20"/>
      <c r="R219" s="20"/>
      <c r="S219" s="20"/>
      <c r="T219" s="20"/>
      <c r="U219" s="20"/>
      <c r="V219" s="20"/>
      <c r="W219" s="20"/>
      <c r="X219" s="20"/>
      <c r="Y219" s="20"/>
      <c r="Z219" s="20"/>
    </row>
    <row r="220" spans="13:26" ht="17.25" customHeight="1">
      <c r="M220" s="47"/>
      <c r="N220" s="20"/>
      <c r="O220" s="20"/>
      <c r="P220" s="20"/>
      <c r="Q220" s="20"/>
      <c r="R220" s="20"/>
      <c r="S220" s="20"/>
      <c r="T220" s="20"/>
      <c r="U220" s="20"/>
      <c r="V220" s="20"/>
      <c r="W220" s="20"/>
      <c r="X220" s="20"/>
      <c r="Y220" s="20"/>
      <c r="Z220" s="20"/>
    </row>
    <row r="221" spans="13:26" ht="17.25" customHeight="1">
      <c r="M221" s="47"/>
      <c r="N221" s="20"/>
      <c r="O221" s="20"/>
      <c r="P221" s="20"/>
      <c r="Q221" s="20"/>
      <c r="R221" s="20"/>
      <c r="S221" s="20"/>
      <c r="T221" s="20"/>
      <c r="U221" s="20"/>
      <c r="V221" s="20"/>
      <c r="W221" s="20"/>
      <c r="X221" s="20"/>
      <c r="Y221" s="20"/>
      <c r="Z221" s="20"/>
    </row>
    <row r="222" spans="13:26" ht="17.25" customHeight="1">
      <c r="M222" s="47"/>
      <c r="N222" s="20"/>
      <c r="O222" s="20"/>
      <c r="P222" s="20"/>
      <c r="Q222" s="20"/>
      <c r="R222" s="20"/>
      <c r="S222" s="20"/>
      <c r="T222" s="20"/>
      <c r="U222" s="20"/>
      <c r="V222" s="20"/>
      <c r="W222" s="20"/>
      <c r="X222" s="20"/>
      <c r="Y222" s="20"/>
      <c r="Z222" s="20"/>
    </row>
    <row r="223" spans="13:26" ht="17.25" customHeight="1">
      <c r="M223" s="47"/>
      <c r="N223" s="20"/>
      <c r="O223" s="20"/>
      <c r="P223" s="20"/>
      <c r="Q223" s="20"/>
      <c r="R223" s="20"/>
      <c r="S223" s="20"/>
      <c r="T223" s="20"/>
      <c r="U223" s="20"/>
      <c r="V223" s="20"/>
      <c r="W223" s="20"/>
      <c r="X223" s="20"/>
      <c r="Y223" s="20"/>
      <c r="Z223" s="20"/>
    </row>
    <row r="224" spans="13:26" ht="17.25" customHeight="1">
      <c r="M224" s="47"/>
      <c r="N224" s="20"/>
      <c r="O224" s="20"/>
      <c r="P224" s="20"/>
      <c r="Q224" s="20"/>
      <c r="R224" s="20"/>
      <c r="S224" s="20"/>
      <c r="T224" s="20"/>
      <c r="U224" s="20"/>
      <c r="V224" s="20"/>
      <c r="W224" s="20"/>
      <c r="X224" s="20"/>
      <c r="Y224" s="20"/>
      <c r="Z224" s="20"/>
    </row>
    <row r="225" spans="13:26" ht="17.25" customHeight="1">
      <c r="M225" s="47"/>
      <c r="N225" s="20"/>
      <c r="O225" s="20"/>
      <c r="P225" s="20"/>
      <c r="Q225" s="20"/>
      <c r="R225" s="20"/>
      <c r="S225" s="20"/>
      <c r="T225" s="20"/>
      <c r="U225" s="20"/>
      <c r="V225" s="20"/>
      <c r="W225" s="20"/>
      <c r="X225" s="20"/>
      <c r="Y225" s="20"/>
      <c r="Z225" s="20"/>
    </row>
    <row r="226" spans="13:26" ht="17.25" customHeight="1">
      <c r="M226" s="47"/>
      <c r="N226" s="20"/>
      <c r="O226" s="20"/>
      <c r="P226" s="20"/>
      <c r="Q226" s="20"/>
      <c r="R226" s="20"/>
      <c r="S226" s="20"/>
      <c r="T226" s="20"/>
      <c r="U226" s="20"/>
      <c r="V226" s="20"/>
      <c r="W226" s="20"/>
      <c r="X226" s="20"/>
      <c r="Y226" s="20"/>
      <c r="Z226" s="20"/>
    </row>
    <row r="227" spans="13:26" ht="17.25" customHeight="1">
      <c r="M227" s="47"/>
      <c r="N227" s="20"/>
      <c r="O227" s="20"/>
      <c r="P227" s="20"/>
      <c r="Q227" s="20"/>
      <c r="R227" s="20"/>
      <c r="S227" s="20"/>
      <c r="T227" s="20"/>
      <c r="U227" s="20"/>
      <c r="V227" s="20"/>
      <c r="W227" s="20"/>
      <c r="X227" s="20"/>
      <c r="Y227" s="20"/>
      <c r="Z227" s="20"/>
    </row>
    <row r="228" spans="13:26" ht="17.25" customHeight="1">
      <c r="M228" s="47"/>
      <c r="N228" s="20"/>
      <c r="O228" s="20"/>
      <c r="P228" s="20"/>
      <c r="Q228" s="20"/>
      <c r="R228" s="20"/>
      <c r="S228" s="20"/>
      <c r="T228" s="20"/>
      <c r="U228" s="20"/>
      <c r="V228" s="20"/>
      <c r="W228" s="20"/>
      <c r="X228" s="20"/>
      <c r="Y228" s="20"/>
      <c r="Z228" s="20"/>
    </row>
    <row r="229" spans="13:26" ht="17.25" customHeight="1">
      <c r="M229" s="47"/>
      <c r="N229" s="20"/>
      <c r="O229" s="20"/>
      <c r="P229" s="20"/>
      <c r="Q229" s="20"/>
      <c r="R229" s="20"/>
      <c r="S229" s="20"/>
      <c r="T229" s="20"/>
      <c r="U229" s="20"/>
      <c r="V229" s="20"/>
      <c r="W229" s="20"/>
      <c r="X229" s="20"/>
      <c r="Y229" s="20"/>
      <c r="Z229" s="20"/>
    </row>
    <row r="230" spans="13:26" ht="17.25" customHeight="1">
      <c r="M230" s="47"/>
      <c r="N230" s="20"/>
      <c r="O230" s="20"/>
      <c r="P230" s="20"/>
      <c r="Q230" s="20"/>
      <c r="R230" s="20"/>
      <c r="S230" s="20"/>
      <c r="T230" s="20"/>
      <c r="U230" s="20"/>
      <c r="V230" s="20"/>
      <c r="W230" s="20"/>
      <c r="X230" s="20"/>
      <c r="Y230" s="20"/>
      <c r="Z230" s="20"/>
    </row>
    <row r="231" spans="13:26" ht="17.25" customHeight="1">
      <c r="M231" s="47"/>
      <c r="N231" s="20"/>
      <c r="O231" s="20"/>
      <c r="P231" s="20"/>
      <c r="Q231" s="20"/>
      <c r="R231" s="20"/>
      <c r="S231" s="20"/>
      <c r="T231" s="20"/>
      <c r="U231" s="20"/>
      <c r="V231" s="20"/>
      <c r="W231" s="20"/>
      <c r="X231" s="20"/>
      <c r="Y231" s="20"/>
      <c r="Z231" s="20"/>
    </row>
    <row r="232" spans="13:26" ht="17.25" customHeight="1">
      <c r="M232" s="47"/>
      <c r="N232" s="20"/>
      <c r="O232" s="20"/>
      <c r="P232" s="20"/>
      <c r="Q232" s="20"/>
      <c r="R232" s="20"/>
      <c r="S232" s="20"/>
      <c r="T232" s="20"/>
      <c r="U232" s="20"/>
      <c r="V232" s="20"/>
      <c r="W232" s="20"/>
      <c r="X232" s="20"/>
      <c r="Y232" s="20"/>
      <c r="Z232" s="20"/>
    </row>
    <row r="233" spans="13:26" ht="17.25" customHeight="1">
      <c r="M233" s="47"/>
      <c r="N233" s="20"/>
      <c r="O233" s="20"/>
      <c r="P233" s="20"/>
      <c r="Q233" s="20"/>
      <c r="R233" s="20"/>
      <c r="S233" s="20"/>
      <c r="T233" s="20"/>
      <c r="U233" s="20"/>
      <c r="V233" s="20"/>
      <c r="W233" s="20"/>
      <c r="X233" s="20"/>
      <c r="Y233" s="20"/>
      <c r="Z233" s="20"/>
    </row>
    <row r="234" spans="13:26" ht="17.25" customHeight="1">
      <c r="M234" s="47"/>
      <c r="N234" s="20"/>
      <c r="O234" s="20"/>
      <c r="P234" s="20"/>
      <c r="Q234" s="20"/>
      <c r="R234" s="20"/>
      <c r="S234" s="20"/>
      <c r="T234" s="20"/>
      <c r="U234" s="20"/>
      <c r="V234" s="20"/>
      <c r="W234" s="20"/>
      <c r="X234" s="20"/>
      <c r="Y234" s="20"/>
      <c r="Z234" s="20"/>
    </row>
    <row r="235" spans="13:26" ht="17.25" customHeight="1">
      <c r="M235" s="47"/>
      <c r="N235" s="20"/>
      <c r="O235" s="20"/>
      <c r="P235" s="20"/>
      <c r="Q235" s="20"/>
      <c r="R235" s="20"/>
      <c r="S235" s="20"/>
      <c r="T235" s="20"/>
      <c r="U235" s="20"/>
      <c r="V235" s="20"/>
      <c r="W235" s="20"/>
      <c r="X235" s="20"/>
      <c r="Y235" s="20"/>
      <c r="Z235" s="20"/>
    </row>
    <row r="236" spans="13:26" ht="17.25" customHeight="1">
      <c r="M236" s="47"/>
      <c r="N236" s="20"/>
      <c r="O236" s="20"/>
      <c r="P236" s="20"/>
      <c r="Q236" s="20"/>
      <c r="R236" s="20"/>
      <c r="S236" s="20"/>
      <c r="T236" s="20"/>
      <c r="U236" s="20"/>
      <c r="V236" s="20"/>
      <c r="W236" s="20"/>
      <c r="X236" s="20"/>
      <c r="Y236" s="20"/>
      <c r="Z236" s="20"/>
    </row>
    <row r="237" spans="13:26" ht="17.25" customHeight="1">
      <c r="M237" s="47"/>
      <c r="N237" s="20"/>
      <c r="O237" s="20"/>
      <c r="P237" s="20"/>
      <c r="Q237" s="20"/>
      <c r="R237" s="20"/>
      <c r="S237" s="20"/>
      <c r="T237" s="20"/>
      <c r="U237" s="20"/>
      <c r="V237" s="20"/>
      <c r="W237" s="20"/>
      <c r="X237" s="20"/>
      <c r="Y237" s="20"/>
      <c r="Z237" s="20"/>
    </row>
    <row r="238" spans="13:26" ht="17.25" customHeight="1">
      <c r="M238" s="47"/>
      <c r="N238" s="20"/>
      <c r="O238" s="20"/>
      <c r="P238" s="20"/>
      <c r="Q238" s="20"/>
      <c r="R238" s="20"/>
      <c r="S238" s="20"/>
      <c r="T238" s="20"/>
      <c r="U238" s="20"/>
      <c r="V238" s="20"/>
      <c r="W238" s="20"/>
      <c r="X238" s="20"/>
      <c r="Y238" s="20"/>
      <c r="Z238" s="20"/>
    </row>
    <row r="239" spans="13:26" ht="17.25" customHeight="1">
      <c r="M239" s="47"/>
      <c r="N239" s="20"/>
      <c r="O239" s="20"/>
      <c r="P239" s="20"/>
      <c r="Q239" s="20"/>
      <c r="R239" s="20"/>
      <c r="S239" s="20"/>
      <c r="T239" s="20"/>
      <c r="U239" s="20"/>
      <c r="V239" s="20"/>
      <c r="W239" s="20"/>
      <c r="X239" s="20"/>
      <c r="Y239" s="20"/>
      <c r="Z239" s="20"/>
    </row>
    <row r="240" spans="13:26" ht="17.25" customHeight="1">
      <c r="M240" s="47"/>
      <c r="N240" s="20"/>
      <c r="O240" s="20"/>
      <c r="P240" s="20"/>
      <c r="Q240" s="20"/>
      <c r="R240" s="20"/>
      <c r="S240" s="20"/>
      <c r="T240" s="20"/>
      <c r="U240" s="20"/>
      <c r="V240" s="20"/>
      <c r="W240" s="20"/>
      <c r="X240" s="20"/>
      <c r="Y240" s="20"/>
      <c r="Z240" s="20"/>
    </row>
    <row r="241" spans="13:26" ht="17.25" customHeight="1">
      <c r="M241" s="47"/>
      <c r="N241" s="20"/>
      <c r="O241" s="20"/>
      <c r="P241" s="20"/>
      <c r="Q241" s="20"/>
      <c r="R241" s="20"/>
      <c r="S241" s="20"/>
      <c r="T241" s="20"/>
      <c r="U241" s="20"/>
      <c r="V241" s="20"/>
      <c r="W241" s="20"/>
      <c r="X241" s="20"/>
      <c r="Y241" s="20"/>
      <c r="Z241" s="20"/>
    </row>
    <row r="242" spans="13:26" ht="17.25" customHeight="1">
      <c r="M242" s="47"/>
      <c r="N242" s="20"/>
      <c r="O242" s="20"/>
      <c r="P242" s="20"/>
      <c r="Q242" s="20"/>
      <c r="R242" s="20"/>
      <c r="S242" s="20"/>
      <c r="T242" s="20"/>
      <c r="U242" s="20"/>
      <c r="V242" s="20"/>
      <c r="W242" s="20"/>
      <c r="X242" s="20"/>
      <c r="Y242" s="20"/>
      <c r="Z242" s="20"/>
    </row>
    <row r="243" spans="13:26" ht="17.25" customHeight="1">
      <c r="M243" s="47"/>
      <c r="N243" s="20"/>
      <c r="O243" s="20"/>
      <c r="P243" s="20"/>
      <c r="Q243" s="20"/>
      <c r="R243" s="20"/>
      <c r="S243" s="20"/>
      <c r="T243" s="20"/>
      <c r="U243" s="20"/>
      <c r="V243" s="20"/>
      <c r="W243" s="20"/>
      <c r="X243" s="20"/>
      <c r="Y243" s="20"/>
      <c r="Z243" s="20"/>
    </row>
    <row r="244" spans="13:26" ht="17.25" customHeight="1">
      <c r="M244" s="47"/>
      <c r="N244" s="20"/>
      <c r="O244" s="20"/>
      <c r="P244" s="20"/>
      <c r="Q244" s="20"/>
      <c r="R244" s="20"/>
      <c r="S244" s="20"/>
      <c r="T244" s="20"/>
      <c r="U244" s="20"/>
      <c r="V244" s="20"/>
      <c r="W244" s="20"/>
      <c r="X244" s="20"/>
      <c r="Y244" s="20"/>
      <c r="Z244" s="20"/>
    </row>
    <row r="245" spans="13:26" ht="17.25" customHeight="1">
      <c r="M245" s="47"/>
      <c r="N245" s="20"/>
      <c r="O245" s="20"/>
      <c r="P245" s="20"/>
      <c r="Q245" s="20"/>
      <c r="R245" s="20"/>
      <c r="S245" s="20"/>
      <c r="T245" s="20"/>
      <c r="U245" s="20"/>
      <c r="V245" s="20"/>
      <c r="W245" s="20"/>
      <c r="X245" s="20"/>
      <c r="Y245" s="20"/>
      <c r="Z245" s="20"/>
    </row>
    <row r="246" spans="13:26" ht="17.25" customHeight="1">
      <c r="M246" s="47"/>
      <c r="N246" s="20"/>
      <c r="O246" s="20"/>
      <c r="P246" s="20"/>
      <c r="Q246" s="20"/>
      <c r="R246" s="20"/>
      <c r="S246" s="20"/>
      <c r="T246" s="20"/>
      <c r="U246" s="20"/>
      <c r="V246" s="20"/>
      <c r="W246" s="20"/>
      <c r="X246" s="20"/>
      <c r="Y246" s="20"/>
      <c r="Z246" s="20"/>
    </row>
    <row r="247" spans="13:26" ht="17.25" customHeight="1">
      <c r="M247" s="47"/>
      <c r="N247" s="20"/>
      <c r="O247" s="20"/>
      <c r="P247" s="20"/>
      <c r="Q247" s="20"/>
      <c r="R247" s="20"/>
      <c r="S247" s="20"/>
      <c r="T247" s="20"/>
      <c r="U247" s="20"/>
      <c r="V247" s="20"/>
      <c r="W247" s="20"/>
      <c r="X247" s="20"/>
      <c r="Y247" s="20"/>
      <c r="Z247" s="20"/>
    </row>
    <row r="248" spans="13:26" ht="17.25" customHeight="1">
      <c r="M248" s="47"/>
      <c r="N248" s="20"/>
      <c r="O248" s="20"/>
      <c r="P248" s="20"/>
      <c r="Q248" s="20"/>
      <c r="R248" s="20"/>
      <c r="S248" s="20"/>
      <c r="T248" s="20"/>
      <c r="U248" s="20"/>
      <c r="V248" s="20"/>
      <c r="W248" s="20"/>
      <c r="X248" s="20"/>
      <c r="Y248" s="20"/>
      <c r="Z248" s="20"/>
    </row>
    <row r="249" spans="13:26" ht="17.25" customHeight="1">
      <c r="M249" s="47"/>
      <c r="N249" s="20"/>
      <c r="O249" s="20"/>
      <c r="P249" s="20"/>
      <c r="Q249" s="20"/>
      <c r="R249" s="20"/>
      <c r="S249" s="20"/>
      <c r="T249" s="20"/>
      <c r="U249" s="20"/>
      <c r="V249" s="20"/>
      <c r="W249" s="20"/>
      <c r="X249" s="20"/>
      <c r="Y249" s="20"/>
      <c r="Z249" s="20"/>
    </row>
    <row r="250" spans="13:26" ht="17.25" customHeight="1">
      <c r="M250" s="47"/>
      <c r="N250" s="20"/>
      <c r="O250" s="20"/>
      <c r="P250" s="20"/>
      <c r="Q250" s="20"/>
      <c r="R250" s="20"/>
      <c r="S250" s="20"/>
      <c r="T250" s="20"/>
      <c r="U250" s="20"/>
      <c r="V250" s="20"/>
      <c r="W250" s="20"/>
      <c r="X250" s="20"/>
      <c r="Y250" s="20"/>
      <c r="Z250" s="20"/>
    </row>
    <row r="251" spans="13:26" ht="17.25" customHeight="1">
      <c r="M251" s="47"/>
      <c r="N251" s="20"/>
      <c r="O251" s="20"/>
      <c r="P251" s="20"/>
      <c r="Q251" s="20"/>
      <c r="R251" s="20"/>
      <c r="S251" s="20"/>
      <c r="T251" s="20"/>
      <c r="U251" s="20"/>
      <c r="V251" s="20"/>
      <c r="W251" s="20"/>
      <c r="X251" s="20"/>
      <c r="Y251" s="20"/>
      <c r="Z251" s="20"/>
    </row>
    <row r="252" spans="13:26" ht="17.25" customHeight="1">
      <c r="M252" s="47"/>
      <c r="N252" s="20"/>
      <c r="O252" s="20"/>
      <c r="P252" s="20"/>
      <c r="Q252" s="20"/>
      <c r="R252" s="20"/>
      <c r="S252" s="20"/>
      <c r="T252" s="20"/>
      <c r="U252" s="20"/>
      <c r="V252" s="20"/>
      <c r="W252" s="20"/>
      <c r="X252" s="20"/>
      <c r="Y252" s="20"/>
      <c r="Z252" s="20"/>
    </row>
    <row r="253" spans="13:26" ht="17.25" customHeight="1">
      <c r="M253" s="47"/>
      <c r="N253" s="20"/>
      <c r="O253" s="20"/>
      <c r="P253" s="20"/>
      <c r="Q253" s="20"/>
      <c r="R253" s="20"/>
      <c r="S253" s="20"/>
      <c r="T253" s="20"/>
      <c r="U253" s="20"/>
      <c r="V253" s="20"/>
      <c r="W253" s="20"/>
      <c r="X253" s="20"/>
      <c r="Y253" s="20"/>
      <c r="Z253" s="20"/>
    </row>
    <row r="254" spans="13:26" ht="17.25" customHeight="1">
      <c r="M254" s="47"/>
      <c r="N254" s="20"/>
      <c r="O254" s="20"/>
      <c r="P254" s="20"/>
      <c r="Q254" s="20"/>
      <c r="R254" s="20"/>
      <c r="S254" s="20"/>
      <c r="T254" s="20"/>
      <c r="U254" s="20"/>
      <c r="V254" s="20"/>
      <c r="W254" s="20"/>
      <c r="X254" s="20"/>
      <c r="Y254" s="20"/>
      <c r="Z254" s="20"/>
    </row>
    <row r="255" spans="13:26" ht="17.25" customHeight="1">
      <c r="M255" s="47"/>
      <c r="N255" s="20"/>
      <c r="O255" s="20"/>
      <c r="P255" s="20"/>
      <c r="Q255" s="20"/>
      <c r="R255" s="20"/>
      <c r="S255" s="20"/>
      <c r="T255" s="20"/>
      <c r="U255" s="20"/>
      <c r="V255" s="20"/>
      <c r="W255" s="20"/>
      <c r="X255" s="20"/>
      <c r="Y255" s="20"/>
      <c r="Z255" s="20"/>
    </row>
    <row r="256" spans="13:26" ht="17.25" customHeight="1">
      <c r="M256" s="47"/>
      <c r="N256" s="20"/>
      <c r="O256" s="20"/>
      <c r="P256" s="20"/>
      <c r="Q256" s="20"/>
      <c r="R256" s="20"/>
      <c r="S256" s="20"/>
      <c r="T256" s="20"/>
      <c r="U256" s="20"/>
      <c r="V256" s="20"/>
      <c r="W256" s="20"/>
      <c r="X256" s="20"/>
      <c r="Y256" s="20"/>
      <c r="Z256" s="20"/>
    </row>
    <row r="257" spans="13:26" ht="17.25" customHeight="1">
      <c r="M257" s="47"/>
      <c r="N257" s="20"/>
      <c r="O257" s="20"/>
      <c r="P257" s="20"/>
      <c r="Q257" s="20"/>
      <c r="R257" s="20"/>
      <c r="S257" s="20"/>
      <c r="T257" s="20"/>
      <c r="U257" s="20"/>
      <c r="V257" s="20"/>
      <c r="W257" s="20"/>
      <c r="X257" s="20"/>
      <c r="Y257" s="20"/>
      <c r="Z257" s="20"/>
    </row>
    <row r="258" spans="13:26" ht="17.25" customHeight="1">
      <c r="M258" s="47"/>
      <c r="N258" s="20"/>
      <c r="O258" s="20"/>
      <c r="P258" s="20"/>
      <c r="Q258" s="20"/>
      <c r="R258" s="20"/>
      <c r="S258" s="20"/>
      <c r="T258" s="20"/>
      <c r="U258" s="20"/>
      <c r="V258" s="20"/>
      <c r="W258" s="20"/>
      <c r="X258" s="20"/>
      <c r="Y258" s="20"/>
      <c r="Z258" s="20"/>
    </row>
    <row r="259" spans="13:26" ht="17.25" customHeight="1">
      <c r="M259" s="47"/>
      <c r="N259" s="20"/>
      <c r="O259" s="20"/>
      <c r="P259" s="20"/>
      <c r="Q259" s="20"/>
      <c r="R259" s="20"/>
      <c r="S259" s="20"/>
      <c r="T259" s="20"/>
      <c r="U259" s="20"/>
      <c r="V259" s="20"/>
      <c r="W259" s="20"/>
      <c r="X259" s="20"/>
      <c r="Y259" s="20"/>
      <c r="Z259" s="20"/>
    </row>
    <row r="260" spans="13:26" ht="17.25" customHeight="1">
      <c r="M260" s="47"/>
      <c r="N260" s="20"/>
      <c r="O260" s="20"/>
      <c r="P260" s="20"/>
      <c r="Q260" s="20"/>
      <c r="R260" s="20"/>
      <c r="S260" s="20"/>
      <c r="T260" s="20"/>
      <c r="U260" s="20"/>
      <c r="V260" s="20"/>
      <c r="W260" s="20"/>
      <c r="X260" s="20"/>
      <c r="Y260" s="20"/>
      <c r="Z260" s="20"/>
    </row>
    <row r="261" spans="13:26" ht="17.25" customHeight="1">
      <c r="M261" s="47"/>
      <c r="N261" s="20"/>
      <c r="O261" s="20"/>
      <c r="P261" s="20"/>
      <c r="Q261" s="20"/>
      <c r="R261" s="20"/>
      <c r="S261" s="20"/>
      <c r="T261" s="20"/>
      <c r="U261" s="20"/>
      <c r="V261" s="20"/>
      <c r="W261" s="20"/>
      <c r="X261" s="20"/>
      <c r="Y261" s="20"/>
      <c r="Z261" s="20"/>
    </row>
    <row r="262" spans="13:26" ht="17.25" customHeight="1">
      <c r="M262" s="47"/>
      <c r="N262" s="20"/>
      <c r="O262" s="20"/>
      <c r="P262" s="20"/>
      <c r="Q262" s="20"/>
      <c r="R262" s="20"/>
      <c r="S262" s="20"/>
      <c r="T262" s="20"/>
      <c r="U262" s="20"/>
      <c r="V262" s="20"/>
      <c r="W262" s="20"/>
      <c r="X262" s="20"/>
      <c r="Y262" s="20"/>
      <c r="Z262" s="20"/>
    </row>
    <row r="263" spans="13:26" ht="17.25" customHeight="1">
      <c r="M263" s="47"/>
      <c r="N263" s="20"/>
      <c r="O263" s="20"/>
      <c r="P263" s="20"/>
      <c r="Q263" s="20"/>
      <c r="R263" s="20"/>
      <c r="S263" s="20"/>
      <c r="T263" s="20"/>
      <c r="U263" s="20"/>
      <c r="V263" s="20"/>
      <c r="W263" s="20"/>
      <c r="X263" s="20"/>
      <c r="Y263" s="20"/>
      <c r="Z263" s="20"/>
    </row>
    <row r="264" spans="13:26" ht="17.25" customHeight="1">
      <c r="M264" s="47"/>
      <c r="N264" s="20"/>
      <c r="O264" s="20"/>
      <c r="P264" s="20"/>
      <c r="Q264" s="20"/>
      <c r="R264" s="20"/>
      <c r="S264" s="20"/>
      <c r="T264" s="20"/>
      <c r="U264" s="20"/>
      <c r="V264" s="20"/>
      <c r="W264" s="20"/>
      <c r="X264" s="20"/>
      <c r="Y264" s="20"/>
      <c r="Z264" s="20"/>
    </row>
    <row r="265" spans="13:26" ht="17.25" customHeight="1">
      <c r="M265" s="47"/>
      <c r="N265" s="20"/>
      <c r="O265" s="20"/>
      <c r="P265" s="20"/>
      <c r="Q265" s="20"/>
      <c r="R265" s="20"/>
      <c r="S265" s="20"/>
      <c r="T265" s="20"/>
      <c r="U265" s="20"/>
      <c r="V265" s="20"/>
      <c r="W265" s="20"/>
      <c r="X265" s="20"/>
      <c r="Y265" s="20"/>
      <c r="Z265" s="20"/>
    </row>
    <row r="266" spans="13:26" ht="17.25" customHeight="1">
      <c r="M266" s="47"/>
      <c r="N266" s="20"/>
      <c r="O266" s="20"/>
      <c r="P266" s="20"/>
      <c r="Q266" s="20"/>
      <c r="R266" s="20"/>
      <c r="S266" s="20"/>
      <c r="T266" s="20"/>
      <c r="U266" s="20"/>
      <c r="V266" s="20"/>
      <c r="W266" s="20"/>
      <c r="X266" s="20"/>
      <c r="Y266" s="20"/>
      <c r="Z266" s="20"/>
    </row>
    <row r="267" spans="13:26" ht="17.25" customHeight="1">
      <c r="M267" s="47"/>
      <c r="N267" s="20"/>
      <c r="O267" s="20"/>
      <c r="P267" s="20"/>
      <c r="Q267" s="20"/>
      <c r="R267" s="20"/>
      <c r="S267" s="20"/>
      <c r="T267" s="20"/>
      <c r="U267" s="20"/>
      <c r="V267" s="20"/>
      <c r="W267" s="20"/>
      <c r="X267" s="20"/>
      <c r="Y267" s="20"/>
      <c r="Z267" s="20"/>
    </row>
    <row r="268" spans="13:26" ht="17.25" customHeight="1">
      <c r="M268" s="47"/>
      <c r="N268" s="20"/>
      <c r="O268" s="20"/>
      <c r="P268" s="20"/>
      <c r="Q268" s="20"/>
      <c r="R268" s="20"/>
      <c r="S268" s="20"/>
      <c r="T268" s="20"/>
      <c r="U268" s="20"/>
      <c r="V268" s="20"/>
      <c r="W268" s="20"/>
      <c r="X268" s="20"/>
      <c r="Y268" s="20"/>
      <c r="Z268" s="20"/>
    </row>
    <row r="269" spans="13:26" ht="17.25" customHeight="1">
      <c r="M269" s="47"/>
      <c r="N269" s="20"/>
      <c r="O269" s="20"/>
      <c r="P269" s="20"/>
      <c r="Q269" s="20"/>
      <c r="R269" s="20"/>
      <c r="S269" s="20"/>
      <c r="T269" s="20"/>
      <c r="U269" s="20"/>
      <c r="V269" s="20"/>
      <c r="W269" s="20"/>
      <c r="X269" s="20"/>
      <c r="Y269" s="20"/>
      <c r="Z269" s="20"/>
    </row>
    <row r="270" spans="13:26" ht="17.25" customHeight="1">
      <c r="M270" s="47"/>
      <c r="N270" s="20"/>
      <c r="O270" s="20"/>
      <c r="P270" s="20"/>
      <c r="Q270" s="20"/>
      <c r="R270" s="20"/>
      <c r="S270" s="20"/>
      <c r="T270" s="20"/>
      <c r="U270" s="20"/>
      <c r="V270" s="20"/>
      <c r="W270" s="20"/>
      <c r="X270" s="20"/>
      <c r="Y270" s="20"/>
      <c r="Z270" s="20"/>
    </row>
    <row r="271" spans="13:26" ht="17.25" customHeight="1">
      <c r="M271" s="47"/>
      <c r="N271" s="20"/>
      <c r="O271" s="20"/>
      <c r="P271" s="20"/>
      <c r="Q271" s="20"/>
      <c r="R271" s="20"/>
      <c r="S271" s="20"/>
      <c r="T271" s="20"/>
      <c r="U271" s="20"/>
      <c r="V271" s="20"/>
      <c r="W271" s="20"/>
      <c r="X271" s="20"/>
      <c r="Y271" s="20"/>
      <c r="Z271" s="20"/>
    </row>
    <row r="272" spans="13:26" ht="17.25" customHeight="1">
      <c r="M272" s="47"/>
      <c r="N272" s="20"/>
      <c r="O272" s="20"/>
      <c r="P272" s="20"/>
      <c r="Q272" s="20"/>
      <c r="R272" s="20"/>
      <c r="S272" s="20"/>
      <c r="T272" s="20"/>
      <c r="U272" s="20"/>
      <c r="V272" s="20"/>
      <c r="W272" s="20"/>
      <c r="X272" s="20"/>
      <c r="Y272" s="20"/>
      <c r="Z272" s="20"/>
    </row>
    <row r="273" spans="13:26" ht="17.25" customHeight="1">
      <c r="M273" s="47"/>
      <c r="N273" s="20"/>
      <c r="O273" s="20"/>
      <c r="P273" s="20"/>
      <c r="Q273" s="20"/>
      <c r="R273" s="20"/>
      <c r="S273" s="20"/>
      <c r="T273" s="20"/>
      <c r="U273" s="20"/>
      <c r="V273" s="20"/>
      <c r="W273" s="20"/>
      <c r="X273" s="20"/>
      <c r="Y273" s="20"/>
      <c r="Z273" s="20"/>
    </row>
    <row r="274" spans="13:26" ht="17.25" customHeight="1">
      <c r="M274" s="47"/>
      <c r="N274" s="20"/>
      <c r="O274" s="20"/>
      <c r="P274" s="20"/>
      <c r="Q274" s="20"/>
      <c r="R274" s="20"/>
      <c r="S274" s="20"/>
      <c r="T274" s="20"/>
      <c r="U274" s="20"/>
      <c r="V274" s="20"/>
      <c r="W274" s="20"/>
      <c r="X274" s="20"/>
      <c r="Y274" s="20"/>
      <c r="Z274" s="20"/>
    </row>
    <row r="275" spans="13:26" ht="17.25" customHeight="1">
      <c r="M275" s="47"/>
      <c r="N275" s="20"/>
      <c r="O275" s="20"/>
      <c r="P275" s="20"/>
      <c r="Q275" s="20"/>
      <c r="R275" s="20"/>
      <c r="S275" s="20"/>
      <c r="T275" s="20"/>
      <c r="U275" s="20"/>
      <c r="V275" s="20"/>
      <c r="W275" s="20"/>
      <c r="X275" s="20"/>
      <c r="Y275" s="20"/>
      <c r="Z275" s="20"/>
    </row>
    <row r="276" spans="13:26" ht="17.25" customHeight="1">
      <c r="M276" s="47"/>
      <c r="N276" s="20"/>
      <c r="O276" s="20"/>
      <c r="P276" s="20"/>
      <c r="Q276" s="20"/>
      <c r="R276" s="20"/>
      <c r="S276" s="20"/>
      <c r="T276" s="20"/>
      <c r="U276" s="20"/>
      <c r="V276" s="20"/>
      <c r="W276" s="20"/>
      <c r="X276" s="20"/>
      <c r="Y276" s="20"/>
      <c r="Z276" s="20"/>
    </row>
    <row r="277" spans="13:26" ht="17.25" customHeight="1">
      <c r="M277" s="47"/>
      <c r="N277" s="20"/>
      <c r="O277" s="20"/>
      <c r="P277" s="20"/>
      <c r="Q277" s="20"/>
      <c r="R277" s="20"/>
      <c r="S277" s="20"/>
      <c r="T277" s="20"/>
      <c r="U277" s="20"/>
      <c r="V277" s="20"/>
      <c r="W277" s="20"/>
      <c r="X277" s="20"/>
      <c r="Y277" s="20"/>
      <c r="Z277" s="20"/>
    </row>
    <row r="278" spans="13:26" ht="17.25" customHeight="1">
      <c r="M278" s="47"/>
      <c r="N278" s="20"/>
      <c r="O278" s="20"/>
      <c r="P278" s="20"/>
      <c r="Q278" s="20"/>
      <c r="R278" s="20"/>
      <c r="S278" s="20"/>
      <c r="T278" s="20"/>
      <c r="U278" s="20"/>
      <c r="V278" s="20"/>
      <c r="W278" s="20"/>
      <c r="X278" s="20"/>
      <c r="Y278" s="20"/>
      <c r="Z278" s="20"/>
    </row>
    <row r="279" spans="13:26" ht="17.25" customHeight="1">
      <c r="M279" s="47"/>
      <c r="N279" s="20"/>
      <c r="O279" s="20"/>
      <c r="P279" s="20"/>
      <c r="Q279" s="20"/>
      <c r="R279" s="20"/>
      <c r="S279" s="20"/>
      <c r="T279" s="20"/>
      <c r="U279" s="20"/>
      <c r="V279" s="20"/>
      <c r="W279" s="20"/>
      <c r="X279" s="20"/>
      <c r="Y279" s="20"/>
      <c r="Z279" s="20"/>
    </row>
    <row r="280" spans="13:26" ht="17.25" customHeight="1">
      <c r="M280" s="47"/>
      <c r="N280" s="20"/>
      <c r="O280" s="20"/>
      <c r="P280" s="20"/>
      <c r="Q280" s="20"/>
      <c r="R280" s="20"/>
      <c r="S280" s="20"/>
      <c r="T280" s="20"/>
      <c r="U280" s="20"/>
      <c r="V280" s="20"/>
      <c r="W280" s="20"/>
      <c r="X280" s="20"/>
      <c r="Y280" s="20"/>
      <c r="Z280" s="20"/>
    </row>
    <row r="281" spans="13:26" ht="17.25" customHeight="1">
      <c r="M281" s="47"/>
      <c r="N281" s="20"/>
      <c r="O281" s="20"/>
      <c r="P281" s="20"/>
      <c r="Q281" s="20"/>
      <c r="R281" s="20"/>
      <c r="S281" s="20"/>
      <c r="T281" s="20"/>
      <c r="U281" s="20"/>
      <c r="V281" s="20"/>
      <c r="W281" s="20"/>
      <c r="X281" s="20"/>
      <c r="Y281" s="20"/>
      <c r="Z281" s="20"/>
    </row>
    <row r="282" spans="13:26" ht="17.25" customHeight="1">
      <c r="M282" s="47"/>
      <c r="N282" s="20"/>
      <c r="O282" s="20"/>
      <c r="P282" s="20"/>
      <c r="Q282" s="20"/>
      <c r="R282" s="20"/>
      <c r="S282" s="20"/>
      <c r="T282" s="20"/>
      <c r="U282" s="20"/>
      <c r="V282" s="20"/>
      <c r="W282" s="20"/>
      <c r="X282" s="20"/>
      <c r="Y282" s="20"/>
      <c r="Z282" s="20"/>
    </row>
    <row r="283" spans="13:26" ht="17.25" customHeight="1">
      <c r="M283" s="47"/>
      <c r="N283" s="20"/>
      <c r="O283" s="20"/>
      <c r="P283" s="20"/>
      <c r="Q283" s="20"/>
      <c r="R283" s="20"/>
      <c r="S283" s="20"/>
      <c r="T283" s="20"/>
      <c r="U283" s="20"/>
      <c r="V283" s="20"/>
      <c r="W283" s="20"/>
      <c r="X283" s="20"/>
      <c r="Y283" s="20"/>
      <c r="Z283" s="20"/>
    </row>
    <row r="284" spans="13:26" ht="17.25" customHeight="1">
      <c r="M284" s="47"/>
      <c r="N284" s="20"/>
      <c r="O284" s="20"/>
      <c r="P284" s="20"/>
      <c r="Q284" s="20"/>
      <c r="R284" s="20"/>
      <c r="S284" s="20"/>
      <c r="T284" s="20"/>
      <c r="U284" s="20"/>
      <c r="V284" s="20"/>
      <c r="W284" s="20"/>
      <c r="X284" s="20"/>
      <c r="Y284" s="20"/>
      <c r="Z284" s="20"/>
    </row>
    <row r="285" spans="13:26" ht="17.25" customHeight="1">
      <c r="M285" s="47"/>
      <c r="N285" s="20"/>
      <c r="O285" s="20"/>
      <c r="P285" s="20"/>
      <c r="Q285" s="20"/>
      <c r="R285" s="20"/>
      <c r="S285" s="20"/>
      <c r="T285" s="20"/>
      <c r="U285" s="20"/>
      <c r="V285" s="20"/>
      <c r="W285" s="20"/>
      <c r="X285" s="20"/>
      <c r="Y285" s="20"/>
      <c r="Z285" s="20"/>
    </row>
    <row r="286" spans="13:26" ht="17.25" customHeight="1">
      <c r="M286" s="47"/>
      <c r="N286" s="20"/>
      <c r="O286" s="20"/>
      <c r="P286" s="20"/>
      <c r="Q286" s="20"/>
      <c r="R286" s="20"/>
      <c r="S286" s="20"/>
      <c r="T286" s="20"/>
      <c r="U286" s="20"/>
      <c r="V286" s="20"/>
      <c r="W286" s="20"/>
      <c r="X286" s="20"/>
      <c r="Y286" s="20"/>
      <c r="Z286" s="20"/>
    </row>
    <row r="287" spans="13:26" ht="17.25" customHeight="1">
      <c r="M287" s="47"/>
      <c r="N287" s="20"/>
      <c r="O287" s="20"/>
      <c r="P287" s="20"/>
      <c r="Q287" s="20"/>
      <c r="R287" s="20"/>
      <c r="S287" s="20"/>
      <c r="T287" s="20"/>
      <c r="U287" s="20"/>
      <c r="V287" s="20"/>
      <c r="W287" s="20"/>
      <c r="X287" s="20"/>
      <c r="Y287" s="20"/>
      <c r="Z287" s="20"/>
    </row>
    <row r="288" spans="13:26" ht="17.25" customHeight="1">
      <c r="M288" s="47"/>
      <c r="N288" s="20"/>
      <c r="O288" s="20"/>
      <c r="P288" s="20"/>
      <c r="Q288" s="20"/>
      <c r="R288" s="20"/>
      <c r="S288" s="20"/>
      <c r="T288" s="20"/>
      <c r="U288" s="20"/>
      <c r="V288" s="20"/>
      <c r="W288" s="20"/>
      <c r="X288" s="20"/>
      <c r="Y288" s="20"/>
      <c r="Z288" s="20"/>
    </row>
    <row r="289" spans="13:26" ht="17.25" customHeight="1">
      <c r="M289" s="47"/>
      <c r="N289" s="20"/>
      <c r="O289" s="20"/>
      <c r="P289" s="20"/>
      <c r="Q289" s="20"/>
      <c r="R289" s="20"/>
      <c r="S289" s="20"/>
      <c r="T289" s="20"/>
      <c r="U289" s="20"/>
      <c r="V289" s="20"/>
      <c r="W289" s="20"/>
      <c r="X289" s="20"/>
      <c r="Y289" s="20"/>
      <c r="Z289" s="20"/>
    </row>
    <row r="290" spans="13:26" ht="17.25" customHeight="1">
      <c r="M290" s="47"/>
      <c r="N290" s="20"/>
      <c r="O290" s="20"/>
      <c r="P290" s="20"/>
      <c r="Q290" s="20"/>
      <c r="R290" s="20"/>
      <c r="S290" s="20"/>
      <c r="T290" s="20"/>
      <c r="U290" s="20"/>
      <c r="V290" s="20"/>
      <c r="W290" s="20"/>
      <c r="X290" s="20"/>
      <c r="Y290" s="20"/>
      <c r="Z290" s="20"/>
    </row>
    <row r="291" spans="13:26" ht="17.25" customHeight="1">
      <c r="M291" s="47"/>
      <c r="N291" s="20"/>
      <c r="O291" s="20"/>
      <c r="P291" s="20"/>
      <c r="Q291" s="20"/>
      <c r="R291" s="20"/>
      <c r="S291" s="20"/>
      <c r="T291" s="20"/>
      <c r="U291" s="20"/>
      <c r="V291" s="20"/>
      <c r="W291" s="20"/>
      <c r="X291" s="20"/>
      <c r="Y291" s="20"/>
      <c r="Z291" s="20"/>
    </row>
    <row r="292" spans="13:26" ht="17.25" customHeight="1">
      <c r="M292" s="47"/>
      <c r="N292" s="20"/>
      <c r="O292" s="20"/>
      <c r="P292" s="20"/>
      <c r="Q292" s="20"/>
      <c r="R292" s="20"/>
      <c r="S292" s="20"/>
      <c r="T292" s="20"/>
      <c r="U292" s="20"/>
      <c r="V292" s="20"/>
      <c r="W292" s="20"/>
      <c r="X292" s="20"/>
      <c r="Y292" s="20"/>
      <c r="Z292" s="20"/>
    </row>
    <row r="293" spans="13:26" ht="17.25" customHeight="1">
      <c r="M293" s="47"/>
      <c r="N293" s="20"/>
      <c r="O293" s="20"/>
      <c r="P293" s="20"/>
      <c r="Q293" s="20"/>
      <c r="R293" s="20"/>
      <c r="S293" s="20"/>
      <c r="T293" s="20"/>
      <c r="U293" s="20"/>
      <c r="V293" s="20"/>
      <c r="W293" s="20"/>
      <c r="X293" s="20"/>
      <c r="Y293" s="20"/>
      <c r="Z293" s="20"/>
    </row>
    <row r="294" spans="13:26" ht="17.25" customHeight="1">
      <c r="M294" s="47"/>
      <c r="N294" s="20"/>
      <c r="O294" s="20"/>
      <c r="P294" s="20"/>
      <c r="Q294" s="20"/>
      <c r="R294" s="20"/>
      <c r="S294" s="20"/>
      <c r="T294" s="20"/>
      <c r="U294" s="20"/>
      <c r="V294" s="20"/>
      <c r="W294" s="20"/>
      <c r="X294" s="20"/>
      <c r="Y294" s="20"/>
      <c r="Z294" s="20"/>
    </row>
    <row r="295" spans="13:26" ht="17.25" customHeight="1">
      <c r="M295" s="47"/>
      <c r="N295" s="20"/>
      <c r="O295" s="20"/>
      <c r="P295" s="20"/>
      <c r="Q295" s="20"/>
      <c r="R295" s="20"/>
      <c r="S295" s="20"/>
      <c r="T295" s="20"/>
      <c r="U295" s="20"/>
      <c r="V295" s="20"/>
      <c r="W295" s="20"/>
      <c r="X295" s="20"/>
      <c r="Y295" s="20"/>
      <c r="Z295" s="20"/>
    </row>
    <row r="296" spans="13:26" ht="17.25" customHeight="1">
      <c r="M296" s="47"/>
      <c r="N296" s="20"/>
      <c r="O296" s="20"/>
      <c r="P296" s="20"/>
      <c r="Q296" s="20"/>
      <c r="R296" s="20"/>
      <c r="S296" s="20"/>
      <c r="T296" s="20"/>
      <c r="U296" s="20"/>
      <c r="V296" s="20"/>
      <c r="W296" s="20"/>
      <c r="X296" s="20"/>
      <c r="Y296" s="20"/>
      <c r="Z296" s="20"/>
    </row>
    <row r="297" spans="13:26" ht="17.25" customHeight="1">
      <c r="M297" s="47"/>
      <c r="N297" s="20"/>
      <c r="O297" s="20"/>
      <c r="P297" s="20"/>
      <c r="Q297" s="20"/>
      <c r="R297" s="20"/>
      <c r="S297" s="20"/>
      <c r="T297" s="20"/>
      <c r="U297" s="20"/>
      <c r="V297" s="20"/>
      <c r="W297" s="20"/>
      <c r="X297" s="20"/>
      <c r="Y297" s="20"/>
      <c r="Z297" s="20"/>
    </row>
    <row r="298" spans="13:26" ht="17.25" customHeight="1">
      <c r="M298" s="47"/>
      <c r="N298" s="20"/>
      <c r="O298" s="20"/>
      <c r="P298" s="20"/>
      <c r="Q298" s="20"/>
      <c r="R298" s="20"/>
      <c r="S298" s="20"/>
      <c r="T298" s="20"/>
      <c r="U298" s="20"/>
      <c r="V298" s="20"/>
      <c r="W298" s="20"/>
      <c r="X298" s="20"/>
      <c r="Y298" s="20"/>
      <c r="Z298" s="20"/>
    </row>
    <row r="299" spans="13:26" ht="17.25" customHeight="1">
      <c r="M299" s="47"/>
      <c r="N299" s="20"/>
      <c r="O299" s="20"/>
      <c r="P299" s="20"/>
      <c r="Q299" s="20"/>
      <c r="R299" s="20"/>
      <c r="S299" s="20"/>
      <c r="T299" s="20"/>
      <c r="U299" s="20"/>
      <c r="V299" s="20"/>
      <c r="W299" s="20"/>
      <c r="X299" s="20"/>
      <c r="Y299" s="20"/>
      <c r="Z299" s="20"/>
    </row>
    <row r="300" spans="13:26" ht="17.25" customHeight="1">
      <c r="M300" s="47"/>
      <c r="N300" s="20"/>
      <c r="O300" s="20"/>
      <c r="P300" s="20"/>
      <c r="Q300" s="20"/>
      <c r="R300" s="20"/>
      <c r="S300" s="20"/>
      <c r="T300" s="20"/>
      <c r="U300" s="20"/>
      <c r="V300" s="20"/>
      <c r="W300" s="20"/>
      <c r="X300" s="20"/>
      <c r="Y300" s="20"/>
      <c r="Z300" s="20"/>
    </row>
    <row r="301" spans="13:26" ht="17.25" customHeight="1">
      <c r="M301" s="47"/>
      <c r="N301" s="20"/>
      <c r="O301" s="20"/>
      <c r="P301" s="20"/>
      <c r="Q301" s="20"/>
      <c r="R301" s="20"/>
      <c r="S301" s="20"/>
      <c r="T301" s="20"/>
      <c r="U301" s="20"/>
      <c r="V301" s="20"/>
      <c r="W301" s="20"/>
      <c r="X301" s="20"/>
      <c r="Y301" s="20"/>
      <c r="Z301" s="20"/>
    </row>
    <row r="302" spans="13:26" ht="17.25" customHeight="1">
      <c r="M302" s="47"/>
      <c r="N302" s="20"/>
      <c r="O302" s="20"/>
      <c r="P302" s="20"/>
      <c r="Q302" s="20"/>
      <c r="R302" s="20"/>
      <c r="S302" s="20"/>
      <c r="T302" s="20"/>
      <c r="U302" s="20"/>
      <c r="V302" s="20"/>
      <c r="W302" s="20"/>
      <c r="X302" s="20"/>
      <c r="Y302" s="20"/>
      <c r="Z302" s="20"/>
    </row>
    <row r="303" spans="13:26" ht="17.25" customHeight="1">
      <c r="M303" s="47"/>
      <c r="N303" s="20"/>
      <c r="O303" s="20"/>
      <c r="P303" s="20"/>
      <c r="Q303" s="20"/>
      <c r="R303" s="20"/>
      <c r="S303" s="20"/>
      <c r="T303" s="20"/>
      <c r="U303" s="20"/>
      <c r="V303" s="20"/>
      <c r="W303" s="20"/>
      <c r="X303" s="20"/>
      <c r="Y303" s="20"/>
      <c r="Z303" s="20"/>
    </row>
    <row r="304" spans="13:26" ht="17.25" customHeight="1">
      <c r="M304" s="47"/>
      <c r="N304" s="20"/>
      <c r="O304" s="20"/>
      <c r="P304" s="20"/>
      <c r="Q304" s="20"/>
      <c r="R304" s="20"/>
      <c r="S304" s="20"/>
      <c r="T304" s="20"/>
      <c r="U304" s="20"/>
      <c r="V304" s="20"/>
      <c r="W304" s="20"/>
      <c r="X304" s="20"/>
      <c r="Y304" s="20"/>
      <c r="Z304" s="20"/>
    </row>
    <row r="305" spans="13:26" ht="17.25" customHeight="1">
      <c r="M305" s="47"/>
      <c r="N305" s="20"/>
      <c r="O305" s="20"/>
      <c r="P305" s="20"/>
      <c r="Q305" s="20"/>
      <c r="R305" s="20"/>
      <c r="S305" s="20"/>
      <c r="T305" s="20"/>
      <c r="U305" s="20"/>
      <c r="V305" s="20"/>
      <c r="W305" s="20"/>
      <c r="X305" s="20"/>
      <c r="Y305" s="20"/>
      <c r="Z305" s="20"/>
    </row>
    <row r="306" spans="13:26" ht="17.25" customHeight="1">
      <c r="M306" s="47"/>
      <c r="N306" s="20"/>
      <c r="O306" s="20"/>
      <c r="P306" s="20"/>
      <c r="Q306" s="20"/>
      <c r="R306" s="20"/>
      <c r="S306" s="20"/>
      <c r="T306" s="20"/>
      <c r="U306" s="20"/>
      <c r="V306" s="20"/>
      <c r="W306" s="20"/>
      <c r="X306" s="20"/>
      <c r="Y306" s="20"/>
      <c r="Z306" s="20"/>
    </row>
    <row r="307" spans="13:26" ht="17.25" customHeight="1">
      <c r="M307" s="47"/>
      <c r="N307" s="20"/>
      <c r="O307" s="20"/>
      <c r="P307" s="20"/>
      <c r="Q307" s="20"/>
      <c r="R307" s="20"/>
      <c r="S307" s="20"/>
      <c r="T307" s="20"/>
      <c r="U307" s="20"/>
      <c r="V307" s="20"/>
      <c r="W307" s="20"/>
      <c r="X307" s="20"/>
      <c r="Y307" s="20"/>
      <c r="Z307" s="20"/>
    </row>
    <row r="308" spans="13:26" ht="17.25" customHeight="1">
      <c r="M308" s="47"/>
      <c r="N308" s="20"/>
      <c r="O308" s="20"/>
      <c r="P308" s="20"/>
      <c r="Q308" s="20"/>
      <c r="R308" s="20"/>
      <c r="S308" s="20"/>
      <c r="T308" s="20"/>
      <c r="U308" s="20"/>
      <c r="V308" s="20"/>
      <c r="W308" s="20"/>
      <c r="X308" s="20"/>
      <c r="Y308" s="20"/>
      <c r="Z308" s="20"/>
    </row>
    <row r="309" spans="13:26" ht="17.25" customHeight="1">
      <c r="M309" s="47"/>
      <c r="N309" s="20"/>
      <c r="O309" s="20"/>
      <c r="P309" s="20"/>
      <c r="Q309" s="20"/>
      <c r="R309" s="20"/>
      <c r="S309" s="20"/>
      <c r="T309" s="20"/>
      <c r="U309" s="20"/>
      <c r="V309" s="20"/>
      <c r="W309" s="20"/>
      <c r="X309" s="20"/>
      <c r="Y309" s="20"/>
      <c r="Z309" s="20"/>
    </row>
    <row r="310" spans="13:26" ht="17.25" customHeight="1">
      <c r="M310" s="47"/>
      <c r="N310" s="20"/>
      <c r="O310" s="20"/>
      <c r="P310" s="20"/>
      <c r="Q310" s="20"/>
      <c r="R310" s="20"/>
      <c r="S310" s="20"/>
      <c r="T310" s="20"/>
      <c r="U310" s="20"/>
      <c r="V310" s="20"/>
      <c r="W310" s="20"/>
      <c r="X310" s="20"/>
      <c r="Y310" s="20"/>
      <c r="Z310" s="20"/>
    </row>
    <row r="311" spans="13:26" ht="17.25" customHeight="1">
      <c r="M311" s="47"/>
      <c r="N311" s="20"/>
      <c r="O311" s="20"/>
      <c r="P311" s="20"/>
      <c r="Q311" s="20"/>
      <c r="R311" s="20"/>
      <c r="S311" s="20"/>
      <c r="T311" s="20"/>
      <c r="U311" s="20"/>
      <c r="V311" s="20"/>
      <c r="W311" s="20"/>
      <c r="X311" s="20"/>
      <c r="Y311" s="20"/>
      <c r="Z311" s="20"/>
    </row>
    <row r="312" spans="13:26" ht="17.25" customHeight="1">
      <c r="M312" s="47"/>
      <c r="N312" s="20"/>
      <c r="O312" s="20"/>
      <c r="P312" s="20"/>
      <c r="Q312" s="20"/>
      <c r="R312" s="20"/>
      <c r="S312" s="20"/>
      <c r="T312" s="20"/>
      <c r="U312" s="20"/>
      <c r="V312" s="20"/>
      <c r="W312" s="20"/>
      <c r="X312" s="20"/>
      <c r="Y312" s="20"/>
      <c r="Z312" s="20"/>
    </row>
    <row r="313" spans="13:26" ht="17.25" customHeight="1">
      <c r="M313" s="47"/>
      <c r="N313" s="20"/>
      <c r="O313" s="20"/>
      <c r="P313" s="20"/>
      <c r="Q313" s="20"/>
      <c r="R313" s="20"/>
      <c r="S313" s="20"/>
      <c r="T313" s="20"/>
      <c r="U313" s="20"/>
      <c r="V313" s="20"/>
      <c r="W313" s="20"/>
      <c r="X313" s="20"/>
      <c r="Y313" s="20"/>
      <c r="Z313" s="20"/>
    </row>
    <row r="314" spans="13:26" ht="17.25" customHeight="1">
      <c r="M314" s="47"/>
      <c r="N314" s="20"/>
      <c r="O314" s="20"/>
      <c r="P314" s="20"/>
      <c r="Q314" s="20"/>
      <c r="R314" s="20"/>
      <c r="S314" s="20"/>
      <c r="T314" s="20"/>
      <c r="U314" s="20"/>
      <c r="V314" s="20"/>
      <c r="W314" s="20"/>
      <c r="X314" s="20"/>
      <c r="Y314" s="20"/>
      <c r="Z314" s="20"/>
    </row>
    <row r="315" spans="13:26" ht="17.25" customHeight="1">
      <c r="M315" s="47"/>
      <c r="N315" s="20"/>
      <c r="O315" s="20"/>
      <c r="P315" s="20"/>
      <c r="Q315" s="20"/>
      <c r="R315" s="20"/>
      <c r="S315" s="20"/>
      <c r="T315" s="20"/>
      <c r="U315" s="20"/>
      <c r="V315" s="20"/>
      <c r="W315" s="20"/>
      <c r="X315" s="20"/>
      <c r="Y315" s="20"/>
      <c r="Z315" s="20"/>
    </row>
    <row r="316" spans="13:26" ht="17.25" customHeight="1">
      <c r="M316" s="47"/>
      <c r="N316" s="20"/>
      <c r="O316" s="20"/>
      <c r="P316" s="20"/>
      <c r="Q316" s="20"/>
      <c r="R316" s="20"/>
      <c r="S316" s="20"/>
      <c r="T316" s="20"/>
      <c r="U316" s="20"/>
      <c r="V316" s="20"/>
      <c r="W316" s="20"/>
      <c r="X316" s="20"/>
      <c r="Y316" s="20"/>
      <c r="Z316" s="20"/>
    </row>
    <row r="317" spans="13:26" ht="17.25" customHeight="1">
      <c r="M317" s="47"/>
      <c r="N317" s="20"/>
      <c r="O317" s="20"/>
      <c r="P317" s="20"/>
      <c r="Q317" s="20"/>
      <c r="R317" s="20"/>
      <c r="S317" s="20"/>
      <c r="T317" s="20"/>
      <c r="U317" s="20"/>
      <c r="V317" s="20"/>
      <c r="W317" s="20"/>
      <c r="X317" s="20"/>
      <c r="Y317" s="20"/>
      <c r="Z317" s="20"/>
    </row>
    <row r="318" spans="13:26" ht="17.25" customHeight="1">
      <c r="M318" s="47"/>
      <c r="N318" s="20"/>
      <c r="O318" s="20"/>
      <c r="P318" s="20"/>
      <c r="Q318" s="20"/>
      <c r="R318" s="20"/>
      <c r="S318" s="20"/>
      <c r="T318" s="20"/>
      <c r="U318" s="20"/>
      <c r="V318" s="20"/>
      <c r="W318" s="20"/>
      <c r="X318" s="20"/>
      <c r="Y318" s="20"/>
      <c r="Z318" s="20"/>
    </row>
    <row r="319" spans="13:26" ht="17.25" customHeight="1">
      <c r="M319" s="47"/>
      <c r="N319" s="20"/>
      <c r="O319" s="20"/>
      <c r="P319" s="20"/>
      <c r="Q319" s="20"/>
      <c r="R319" s="20"/>
      <c r="S319" s="20"/>
      <c r="T319" s="20"/>
      <c r="U319" s="20"/>
      <c r="V319" s="20"/>
      <c r="W319" s="20"/>
      <c r="X319" s="20"/>
      <c r="Y319" s="20"/>
      <c r="Z319" s="20"/>
    </row>
    <row r="320" spans="13:26" ht="17.25" customHeight="1">
      <c r="M320" s="47"/>
      <c r="N320" s="20"/>
      <c r="O320" s="20"/>
      <c r="P320" s="20"/>
      <c r="Q320" s="20"/>
      <c r="R320" s="20"/>
      <c r="S320" s="20"/>
      <c r="T320" s="20"/>
      <c r="U320" s="20"/>
      <c r="V320" s="20"/>
      <c r="W320" s="20"/>
      <c r="X320" s="20"/>
      <c r="Y320" s="20"/>
      <c r="Z320" s="20"/>
    </row>
    <row r="321" spans="13:26" ht="17.25" customHeight="1">
      <c r="M321" s="47"/>
      <c r="N321" s="20"/>
      <c r="O321" s="20"/>
      <c r="P321" s="20"/>
      <c r="Q321" s="20"/>
      <c r="R321" s="20"/>
      <c r="S321" s="20"/>
      <c r="T321" s="20"/>
      <c r="U321" s="20"/>
      <c r="V321" s="20"/>
      <c r="W321" s="20"/>
      <c r="X321" s="20"/>
      <c r="Y321" s="20"/>
      <c r="Z321" s="20"/>
    </row>
    <row r="322" spans="13:26" ht="17.25" customHeight="1">
      <c r="M322" s="47"/>
      <c r="N322" s="20"/>
      <c r="O322" s="20"/>
      <c r="P322" s="20"/>
      <c r="Q322" s="20"/>
      <c r="R322" s="20"/>
      <c r="S322" s="20"/>
      <c r="T322" s="20"/>
      <c r="U322" s="20"/>
      <c r="V322" s="20"/>
      <c r="W322" s="20"/>
      <c r="X322" s="20"/>
      <c r="Y322" s="20"/>
      <c r="Z322" s="20"/>
    </row>
    <row r="323" spans="13:26" ht="17.25" customHeight="1">
      <c r="M323" s="47"/>
      <c r="N323" s="20"/>
      <c r="O323" s="20"/>
      <c r="P323" s="20"/>
      <c r="Q323" s="20"/>
      <c r="R323" s="20"/>
      <c r="S323" s="20"/>
      <c r="T323" s="20"/>
      <c r="U323" s="20"/>
      <c r="V323" s="20"/>
      <c r="W323" s="20"/>
      <c r="X323" s="20"/>
      <c r="Y323" s="20"/>
      <c r="Z323" s="20"/>
    </row>
    <row r="324" spans="13:26" ht="17.25" customHeight="1">
      <c r="M324" s="47"/>
      <c r="N324" s="20"/>
      <c r="O324" s="20"/>
      <c r="P324" s="20"/>
      <c r="Q324" s="20"/>
      <c r="R324" s="20"/>
      <c r="S324" s="20"/>
      <c r="T324" s="20"/>
      <c r="U324" s="20"/>
      <c r="V324" s="20"/>
      <c r="W324" s="20"/>
      <c r="X324" s="20"/>
      <c r="Y324" s="20"/>
      <c r="Z324" s="20"/>
    </row>
    <row r="325" spans="13:26" ht="17.25" customHeight="1">
      <c r="M325" s="47"/>
      <c r="N325" s="20"/>
      <c r="O325" s="20"/>
      <c r="P325" s="20"/>
      <c r="Q325" s="20"/>
      <c r="R325" s="20"/>
      <c r="S325" s="20"/>
      <c r="T325" s="20"/>
      <c r="U325" s="20"/>
      <c r="V325" s="20"/>
      <c r="W325" s="20"/>
      <c r="X325" s="20"/>
      <c r="Y325" s="20"/>
      <c r="Z325" s="20"/>
    </row>
    <row r="326" spans="13:26" ht="17.25" customHeight="1">
      <c r="M326" s="47"/>
      <c r="N326" s="20"/>
      <c r="O326" s="20"/>
      <c r="P326" s="20"/>
      <c r="Q326" s="20"/>
      <c r="R326" s="20"/>
      <c r="S326" s="20"/>
      <c r="T326" s="20"/>
      <c r="U326" s="20"/>
      <c r="V326" s="20"/>
      <c r="W326" s="20"/>
      <c r="X326" s="20"/>
      <c r="Y326" s="20"/>
      <c r="Z326" s="20"/>
    </row>
    <row r="327" spans="13:26" ht="17.25" customHeight="1">
      <c r="M327" s="47"/>
      <c r="N327" s="20"/>
      <c r="O327" s="20"/>
      <c r="P327" s="20"/>
      <c r="Q327" s="20"/>
      <c r="R327" s="20"/>
      <c r="S327" s="20"/>
      <c r="T327" s="20"/>
      <c r="U327" s="20"/>
      <c r="V327" s="20"/>
      <c r="W327" s="20"/>
      <c r="X327" s="20"/>
      <c r="Y327" s="20"/>
      <c r="Z327" s="20"/>
    </row>
    <row r="328" spans="13:26" ht="17.25" customHeight="1">
      <c r="M328" s="47"/>
      <c r="N328" s="20"/>
      <c r="O328" s="20"/>
      <c r="P328" s="20"/>
      <c r="Q328" s="20"/>
      <c r="R328" s="20"/>
      <c r="S328" s="20"/>
      <c r="T328" s="20"/>
      <c r="U328" s="20"/>
      <c r="V328" s="20"/>
      <c r="W328" s="20"/>
      <c r="X328" s="20"/>
      <c r="Y328" s="20"/>
      <c r="Z328" s="20"/>
    </row>
    <row r="329" spans="13:26" ht="17.25" customHeight="1">
      <c r="M329" s="47"/>
      <c r="N329" s="20"/>
      <c r="O329" s="20"/>
      <c r="P329" s="20"/>
      <c r="Q329" s="20"/>
      <c r="R329" s="20"/>
      <c r="S329" s="20"/>
      <c r="T329" s="20"/>
      <c r="U329" s="20"/>
      <c r="V329" s="20"/>
      <c r="W329" s="20"/>
      <c r="X329" s="20"/>
      <c r="Y329" s="20"/>
      <c r="Z329" s="20"/>
    </row>
    <row r="330" spans="13:26" ht="17.25" customHeight="1">
      <c r="M330" s="47"/>
      <c r="N330" s="20"/>
      <c r="O330" s="20"/>
      <c r="P330" s="20"/>
      <c r="Q330" s="20"/>
      <c r="R330" s="20"/>
      <c r="S330" s="20"/>
      <c r="T330" s="20"/>
      <c r="U330" s="20"/>
      <c r="V330" s="20"/>
      <c r="W330" s="20"/>
      <c r="X330" s="20"/>
      <c r="Y330" s="20"/>
      <c r="Z330" s="20"/>
    </row>
    <row r="331" spans="13:26" ht="17.25" customHeight="1">
      <c r="M331" s="47"/>
      <c r="N331" s="20"/>
      <c r="O331" s="20"/>
      <c r="P331" s="20"/>
      <c r="Q331" s="20"/>
      <c r="R331" s="20"/>
      <c r="S331" s="20"/>
      <c r="T331" s="20"/>
      <c r="U331" s="20"/>
      <c r="V331" s="20"/>
      <c r="W331" s="20"/>
      <c r="X331" s="20"/>
      <c r="Y331" s="20"/>
      <c r="Z331" s="20"/>
    </row>
    <row r="332" spans="13:26" ht="17.25" customHeight="1">
      <c r="M332" s="47"/>
      <c r="N332" s="20"/>
      <c r="O332" s="20"/>
      <c r="P332" s="20"/>
      <c r="Q332" s="20"/>
      <c r="R332" s="20"/>
      <c r="S332" s="20"/>
      <c r="T332" s="20"/>
      <c r="U332" s="20"/>
      <c r="V332" s="20"/>
      <c r="W332" s="20"/>
      <c r="X332" s="20"/>
      <c r="Y332" s="20"/>
      <c r="Z332" s="20"/>
    </row>
    <row r="333" spans="13:26" ht="17.25" customHeight="1">
      <c r="M333" s="47"/>
      <c r="N333" s="20"/>
      <c r="O333" s="20"/>
      <c r="P333" s="20"/>
      <c r="Q333" s="20"/>
      <c r="R333" s="20"/>
      <c r="S333" s="20"/>
      <c r="T333" s="20"/>
      <c r="U333" s="20"/>
      <c r="V333" s="20"/>
      <c r="W333" s="20"/>
      <c r="X333" s="20"/>
      <c r="Y333" s="20"/>
      <c r="Z333" s="20"/>
    </row>
    <row r="334" spans="13:26" ht="17.25" customHeight="1">
      <c r="M334" s="47"/>
      <c r="N334" s="20"/>
      <c r="O334" s="20"/>
      <c r="P334" s="20"/>
      <c r="Q334" s="20"/>
      <c r="R334" s="20"/>
      <c r="S334" s="20"/>
      <c r="T334" s="20"/>
      <c r="U334" s="20"/>
      <c r="V334" s="20"/>
      <c r="W334" s="20"/>
      <c r="X334" s="20"/>
      <c r="Y334" s="20"/>
      <c r="Z334" s="20"/>
    </row>
    <row r="335" spans="13:26" ht="17.25" customHeight="1">
      <c r="M335" s="47"/>
      <c r="N335" s="20"/>
      <c r="O335" s="20"/>
      <c r="P335" s="20"/>
      <c r="Q335" s="20"/>
      <c r="R335" s="20"/>
      <c r="S335" s="20"/>
      <c r="T335" s="20"/>
      <c r="U335" s="20"/>
      <c r="V335" s="20"/>
      <c r="W335" s="20"/>
      <c r="X335" s="20"/>
      <c r="Y335" s="20"/>
      <c r="Z335" s="20"/>
    </row>
    <row r="336" spans="13:26" ht="17.25" customHeight="1">
      <c r="M336" s="47"/>
      <c r="N336" s="20"/>
      <c r="O336" s="20"/>
      <c r="P336" s="20"/>
      <c r="Q336" s="20"/>
      <c r="R336" s="20"/>
      <c r="S336" s="20"/>
      <c r="T336" s="20"/>
      <c r="U336" s="20"/>
      <c r="V336" s="20"/>
      <c r="W336" s="20"/>
      <c r="X336" s="20"/>
      <c r="Y336" s="20"/>
      <c r="Z336" s="20"/>
    </row>
    <row r="337" spans="13:26" ht="17.25" customHeight="1">
      <c r="M337" s="47"/>
      <c r="N337" s="20"/>
      <c r="O337" s="20"/>
      <c r="P337" s="20"/>
      <c r="Q337" s="20"/>
      <c r="R337" s="20"/>
      <c r="S337" s="20"/>
      <c r="T337" s="20"/>
      <c r="U337" s="20"/>
      <c r="V337" s="20"/>
      <c r="W337" s="20"/>
      <c r="X337" s="20"/>
      <c r="Y337" s="20"/>
      <c r="Z337" s="20"/>
    </row>
    <row r="338" spans="13:26" ht="17.25" customHeight="1">
      <c r="M338" s="47"/>
      <c r="N338" s="20"/>
      <c r="O338" s="20"/>
      <c r="P338" s="20"/>
      <c r="Q338" s="20"/>
      <c r="R338" s="20"/>
      <c r="S338" s="20"/>
      <c r="T338" s="20"/>
      <c r="U338" s="20"/>
      <c r="V338" s="20"/>
      <c r="W338" s="20"/>
      <c r="X338" s="20"/>
      <c r="Y338" s="20"/>
      <c r="Z338" s="20"/>
    </row>
    <row r="339" spans="13:26" ht="17.25" customHeight="1">
      <c r="M339" s="47"/>
      <c r="N339" s="20"/>
      <c r="O339" s="20"/>
      <c r="P339" s="20"/>
      <c r="Q339" s="20"/>
      <c r="R339" s="20"/>
      <c r="S339" s="20"/>
      <c r="T339" s="20"/>
      <c r="U339" s="20"/>
      <c r="V339" s="20"/>
      <c r="W339" s="20"/>
      <c r="X339" s="20"/>
      <c r="Y339" s="20"/>
      <c r="Z339" s="20"/>
    </row>
    <row r="340" spans="13:26" ht="17.25" customHeight="1">
      <c r="M340" s="47"/>
      <c r="N340" s="20"/>
      <c r="O340" s="20"/>
      <c r="P340" s="20"/>
      <c r="Q340" s="20"/>
      <c r="R340" s="20"/>
      <c r="S340" s="20"/>
      <c r="T340" s="20"/>
      <c r="U340" s="20"/>
      <c r="V340" s="20"/>
      <c r="W340" s="20"/>
      <c r="X340" s="20"/>
      <c r="Y340" s="20"/>
      <c r="Z340" s="20"/>
    </row>
    <row r="341" spans="13:26" ht="17.25" customHeight="1">
      <c r="M341" s="47"/>
      <c r="N341" s="20"/>
      <c r="O341" s="20"/>
      <c r="P341" s="20"/>
      <c r="Q341" s="20"/>
      <c r="R341" s="20"/>
      <c r="S341" s="20"/>
      <c r="T341" s="20"/>
      <c r="U341" s="20"/>
      <c r="V341" s="20"/>
      <c r="W341" s="20"/>
      <c r="X341" s="20"/>
      <c r="Y341" s="20"/>
      <c r="Z341" s="20"/>
    </row>
    <row r="342" spans="13:26" ht="17.25" customHeight="1">
      <c r="M342" s="47"/>
      <c r="N342" s="20"/>
      <c r="O342" s="20"/>
      <c r="P342" s="20"/>
      <c r="Q342" s="20"/>
      <c r="R342" s="20"/>
      <c r="S342" s="20"/>
      <c r="T342" s="20"/>
      <c r="U342" s="20"/>
      <c r="V342" s="20"/>
      <c r="W342" s="20"/>
      <c r="X342" s="20"/>
      <c r="Y342" s="20"/>
      <c r="Z342" s="20"/>
    </row>
    <row r="343" spans="13:26" ht="17.25" customHeight="1">
      <c r="M343" s="47"/>
      <c r="N343" s="20"/>
      <c r="O343" s="20"/>
      <c r="P343" s="20"/>
      <c r="Q343" s="20"/>
      <c r="R343" s="20"/>
      <c r="S343" s="20"/>
      <c r="T343" s="20"/>
      <c r="U343" s="20"/>
      <c r="V343" s="20"/>
      <c r="W343" s="20"/>
      <c r="X343" s="20"/>
      <c r="Y343" s="20"/>
      <c r="Z343" s="20"/>
    </row>
    <row r="344" spans="13:26" ht="17.25" customHeight="1">
      <c r="M344" s="47"/>
      <c r="N344" s="20"/>
      <c r="O344" s="20"/>
      <c r="P344" s="20"/>
      <c r="Q344" s="20"/>
      <c r="R344" s="20"/>
      <c r="S344" s="20"/>
      <c r="T344" s="20"/>
      <c r="U344" s="20"/>
      <c r="V344" s="20"/>
      <c r="W344" s="20"/>
      <c r="X344" s="20"/>
      <c r="Y344" s="20"/>
      <c r="Z344" s="20"/>
    </row>
    <row r="345" spans="13:26" ht="17.25" customHeight="1">
      <c r="M345" s="47"/>
      <c r="N345" s="20"/>
      <c r="O345" s="20"/>
      <c r="P345" s="20"/>
      <c r="Q345" s="20"/>
      <c r="R345" s="20"/>
      <c r="S345" s="20"/>
      <c r="T345" s="20"/>
      <c r="U345" s="20"/>
      <c r="V345" s="20"/>
      <c r="W345" s="20"/>
      <c r="X345" s="20"/>
      <c r="Y345" s="20"/>
      <c r="Z345" s="20"/>
    </row>
    <row r="346" spans="13:26" ht="17.25" customHeight="1">
      <c r="M346" s="47"/>
      <c r="N346" s="20"/>
      <c r="O346" s="20"/>
      <c r="P346" s="20"/>
      <c r="Q346" s="20"/>
      <c r="R346" s="20"/>
      <c r="S346" s="20"/>
      <c r="T346" s="20"/>
      <c r="U346" s="20"/>
      <c r="V346" s="20"/>
      <c r="W346" s="20"/>
      <c r="X346" s="20"/>
      <c r="Y346" s="20"/>
      <c r="Z346" s="20"/>
    </row>
    <row r="347" spans="13:26" ht="17.25" customHeight="1">
      <c r="M347" s="47"/>
      <c r="N347" s="20"/>
      <c r="O347" s="20"/>
      <c r="P347" s="20"/>
      <c r="Q347" s="20"/>
      <c r="R347" s="20"/>
      <c r="S347" s="20"/>
      <c r="T347" s="20"/>
      <c r="U347" s="20"/>
      <c r="V347" s="20"/>
      <c r="W347" s="20"/>
      <c r="X347" s="20"/>
      <c r="Y347" s="20"/>
      <c r="Z347" s="20"/>
    </row>
    <row r="348" spans="13:26" ht="17.25" customHeight="1">
      <c r="M348" s="47"/>
      <c r="N348" s="20"/>
      <c r="O348" s="20"/>
      <c r="P348" s="20"/>
      <c r="Q348" s="20"/>
      <c r="R348" s="20"/>
      <c r="S348" s="20"/>
      <c r="T348" s="20"/>
      <c r="U348" s="20"/>
      <c r="V348" s="20"/>
      <c r="W348" s="20"/>
      <c r="X348" s="20"/>
      <c r="Y348" s="20"/>
      <c r="Z348" s="20"/>
    </row>
    <row r="349" spans="13:26" ht="17.25" customHeight="1">
      <c r="M349" s="47"/>
      <c r="N349" s="20"/>
      <c r="O349" s="20"/>
      <c r="P349" s="20"/>
      <c r="Q349" s="20"/>
      <c r="R349" s="20"/>
      <c r="S349" s="20"/>
      <c r="T349" s="20"/>
      <c r="U349" s="20"/>
      <c r="V349" s="20"/>
      <c r="W349" s="20"/>
      <c r="X349" s="20"/>
      <c r="Y349" s="20"/>
      <c r="Z349" s="20"/>
    </row>
    <row r="350" spans="13:26" ht="17.25" customHeight="1">
      <c r="M350" s="47"/>
      <c r="N350" s="20"/>
      <c r="O350" s="20"/>
      <c r="P350" s="20"/>
      <c r="Q350" s="20"/>
      <c r="R350" s="20"/>
      <c r="S350" s="20"/>
      <c r="T350" s="20"/>
      <c r="U350" s="20"/>
      <c r="V350" s="20"/>
      <c r="W350" s="20"/>
      <c r="X350" s="20"/>
      <c r="Y350" s="20"/>
      <c r="Z350" s="20"/>
    </row>
    <row r="351" spans="13:26" ht="17.25" customHeight="1">
      <c r="M351" s="47"/>
      <c r="N351" s="20"/>
      <c r="O351" s="20"/>
      <c r="P351" s="20"/>
      <c r="Q351" s="20"/>
      <c r="R351" s="20"/>
      <c r="S351" s="20"/>
      <c r="T351" s="20"/>
      <c r="U351" s="20"/>
      <c r="V351" s="20"/>
      <c r="W351" s="20"/>
      <c r="X351" s="20"/>
      <c r="Y351" s="20"/>
      <c r="Z351" s="20"/>
    </row>
    <row r="352" spans="13:26" ht="17.25" customHeight="1">
      <c r="M352" s="47"/>
      <c r="N352" s="20"/>
      <c r="O352" s="20"/>
      <c r="P352" s="20"/>
      <c r="Q352" s="20"/>
      <c r="R352" s="20"/>
      <c r="S352" s="20"/>
      <c r="T352" s="20"/>
      <c r="U352" s="20"/>
      <c r="V352" s="20"/>
      <c r="W352" s="20"/>
      <c r="X352" s="20"/>
      <c r="Y352" s="20"/>
      <c r="Z352" s="20"/>
    </row>
    <row r="353" spans="13:26" ht="17.25" customHeight="1">
      <c r="M353" s="47"/>
      <c r="N353" s="20"/>
      <c r="O353" s="20"/>
      <c r="P353" s="20"/>
      <c r="Q353" s="20"/>
      <c r="R353" s="20"/>
      <c r="S353" s="20"/>
      <c r="T353" s="20"/>
      <c r="U353" s="20"/>
      <c r="V353" s="20"/>
      <c r="W353" s="20"/>
      <c r="X353" s="20"/>
      <c r="Y353" s="20"/>
      <c r="Z353" s="20"/>
    </row>
    <row r="354" spans="13:26" ht="17.25" customHeight="1">
      <c r="M354" s="47"/>
      <c r="N354" s="20"/>
      <c r="O354" s="20"/>
      <c r="P354" s="20"/>
      <c r="Q354" s="20"/>
      <c r="R354" s="20"/>
      <c r="S354" s="20"/>
      <c r="T354" s="20"/>
      <c r="U354" s="20"/>
      <c r="V354" s="20"/>
      <c r="W354" s="20"/>
      <c r="X354" s="20"/>
      <c r="Y354" s="20"/>
      <c r="Z354" s="20"/>
    </row>
    <row r="355" spans="13:26" ht="17.25" customHeight="1">
      <c r="M355" s="47"/>
      <c r="N355" s="20"/>
      <c r="O355" s="20"/>
      <c r="P355" s="20"/>
      <c r="Q355" s="20"/>
      <c r="R355" s="20"/>
      <c r="S355" s="20"/>
      <c r="T355" s="20"/>
      <c r="U355" s="20"/>
      <c r="V355" s="20"/>
      <c r="W355" s="20"/>
      <c r="X355" s="20"/>
      <c r="Y355" s="20"/>
      <c r="Z355" s="20"/>
    </row>
    <row r="356" spans="13:26" ht="17.25" customHeight="1">
      <c r="M356" s="47"/>
      <c r="N356" s="20"/>
      <c r="O356" s="20"/>
      <c r="P356" s="20"/>
      <c r="Q356" s="20"/>
      <c r="R356" s="20"/>
      <c r="S356" s="20"/>
      <c r="T356" s="20"/>
      <c r="U356" s="20"/>
      <c r="V356" s="20"/>
      <c r="W356" s="20"/>
      <c r="X356" s="20"/>
      <c r="Y356" s="20"/>
      <c r="Z356" s="20"/>
    </row>
    <row r="357" spans="13:26" ht="17.25" customHeight="1">
      <c r="M357" s="47"/>
      <c r="N357" s="20"/>
      <c r="O357" s="20"/>
      <c r="P357" s="20"/>
      <c r="Q357" s="20"/>
      <c r="R357" s="20"/>
      <c r="S357" s="20"/>
      <c r="T357" s="20"/>
      <c r="U357" s="20"/>
      <c r="V357" s="20"/>
      <c r="W357" s="20"/>
      <c r="X357" s="20"/>
      <c r="Y357" s="20"/>
      <c r="Z357" s="20"/>
    </row>
    <row r="358" spans="13:26" ht="17.25" customHeight="1">
      <c r="M358" s="47"/>
      <c r="N358" s="20"/>
      <c r="O358" s="20"/>
      <c r="P358" s="20"/>
      <c r="Q358" s="20"/>
      <c r="R358" s="20"/>
      <c r="S358" s="20"/>
      <c r="T358" s="20"/>
      <c r="U358" s="20"/>
      <c r="V358" s="20"/>
      <c r="W358" s="20"/>
      <c r="X358" s="20"/>
      <c r="Y358" s="20"/>
      <c r="Z358" s="20"/>
    </row>
    <row r="359" spans="13:26" ht="17.25" customHeight="1">
      <c r="M359" s="47"/>
      <c r="N359" s="20"/>
      <c r="O359" s="20"/>
      <c r="P359" s="20"/>
      <c r="Q359" s="20"/>
      <c r="R359" s="20"/>
      <c r="S359" s="20"/>
      <c r="T359" s="20"/>
      <c r="U359" s="20"/>
      <c r="V359" s="20"/>
      <c r="W359" s="20"/>
      <c r="X359" s="20"/>
      <c r="Y359" s="20"/>
      <c r="Z359" s="20"/>
    </row>
    <row r="360" spans="13:26" ht="17.25" customHeight="1">
      <c r="M360" s="47"/>
      <c r="N360" s="20"/>
      <c r="O360" s="20"/>
      <c r="P360" s="20"/>
      <c r="Q360" s="20"/>
      <c r="R360" s="20"/>
      <c r="S360" s="20"/>
      <c r="T360" s="20"/>
      <c r="U360" s="20"/>
      <c r="V360" s="20"/>
      <c r="W360" s="20"/>
      <c r="X360" s="20"/>
      <c r="Y360" s="20"/>
      <c r="Z360" s="20"/>
    </row>
    <row r="361" spans="13:26" ht="17.25" customHeight="1">
      <c r="M361" s="47"/>
      <c r="N361" s="20"/>
      <c r="O361" s="20"/>
      <c r="P361" s="20"/>
      <c r="Q361" s="20"/>
      <c r="R361" s="20"/>
      <c r="S361" s="20"/>
      <c r="T361" s="20"/>
      <c r="U361" s="20"/>
      <c r="V361" s="20"/>
      <c r="W361" s="20"/>
      <c r="X361" s="20"/>
      <c r="Y361" s="20"/>
      <c r="Z361" s="20"/>
    </row>
    <row r="362" spans="13:26" ht="17.25" customHeight="1">
      <c r="M362" s="47"/>
      <c r="N362" s="20"/>
      <c r="O362" s="20"/>
      <c r="P362" s="20"/>
      <c r="Q362" s="20"/>
      <c r="R362" s="20"/>
      <c r="S362" s="20"/>
      <c r="T362" s="20"/>
      <c r="U362" s="20"/>
      <c r="V362" s="20"/>
      <c r="W362" s="20"/>
      <c r="X362" s="20"/>
      <c r="Y362" s="20"/>
      <c r="Z362" s="20"/>
    </row>
    <row r="363" spans="13:26" ht="17.25" customHeight="1">
      <c r="M363" s="47"/>
      <c r="N363" s="20"/>
      <c r="O363" s="20"/>
      <c r="P363" s="20"/>
      <c r="Q363" s="20"/>
      <c r="R363" s="20"/>
      <c r="S363" s="20"/>
      <c r="T363" s="20"/>
      <c r="U363" s="20"/>
      <c r="V363" s="20"/>
      <c r="W363" s="20"/>
      <c r="X363" s="20"/>
      <c r="Y363" s="20"/>
      <c r="Z363" s="20"/>
    </row>
    <row r="364" spans="13:26" ht="17.25" customHeight="1">
      <c r="M364" s="47"/>
      <c r="N364" s="20"/>
      <c r="O364" s="20"/>
      <c r="P364" s="20"/>
      <c r="Q364" s="20"/>
      <c r="R364" s="20"/>
      <c r="S364" s="20"/>
      <c r="T364" s="20"/>
      <c r="U364" s="20"/>
      <c r="V364" s="20"/>
      <c r="W364" s="20"/>
      <c r="X364" s="20"/>
      <c r="Y364" s="20"/>
      <c r="Z364" s="20"/>
    </row>
    <row r="365" spans="13:26" ht="17.25" customHeight="1">
      <c r="M365" s="47"/>
      <c r="N365" s="20"/>
      <c r="O365" s="20"/>
      <c r="P365" s="20"/>
      <c r="Q365" s="20"/>
      <c r="R365" s="20"/>
      <c r="S365" s="20"/>
      <c r="T365" s="20"/>
      <c r="U365" s="20"/>
      <c r="V365" s="20"/>
      <c r="W365" s="20"/>
      <c r="X365" s="20"/>
      <c r="Y365" s="20"/>
      <c r="Z365" s="20"/>
    </row>
    <row r="366" spans="13:26" ht="17.25" customHeight="1">
      <c r="M366" s="47"/>
      <c r="N366" s="20"/>
      <c r="O366" s="20"/>
      <c r="P366" s="20"/>
      <c r="Q366" s="20"/>
      <c r="R366" s="20"/>
      <c r="S366" s="20"/>
      <c r="T366" s="20"/>
      <c r="U366" s="20"/>
      <c r="V366" s="20"/>
      <c r="W366" s="20"/>
      <c r="X366" s="20"/>
      <c r="Y366" s="20"/>
      <c r="Z366" s="20"/>
    </row>
    <row r="367" spans="13:26" ht="17.25" customHeight="1">
      <c r="M367" s="47"/>
      <c r="N367" s="20"/>
      <c r="O367" s="20"/>
      <c r="P367" s="20"/>
      <c r="Q367" s="20"/>
      <c r="R367" s="20"/>
      <c r="S367" s="20"/>
      <c r="T367" s="20"/>
      <c r="U367" s="20"/>
      <c r="V367" s="20"/>
      <c r="W367" s="20"/>
      <c r="X367" s="20"/>
      <c r="Y367" s="20"/>
      <c r="Z367" s="20"/>
    </row>
    <row r="368" spans="13:26" ht="17.25" customHeight="1">
      <c r="M368" s="47"/>
      <c r="N368" s="20"/>
      <c r="O368" s="20"/>
      <c r="P368" s="20"/>
      <c r="Q368" s="20"/>
      <c r="R368" s="20"/>
      <c r="S368" s="20"/>
      <c r="T368" s="20"/>
      <c r="U368" s="20"/>
      <c r="V368" s="20"/>
      <c r="W368" s="20"/>
      <c r="X368" s="20"/>
      <c r="Y368" s="20"/>
      <c r="Z368" s="20"/>
    </row>
    <row r="369" spans="13:26" ht="17.25" customHeight="1">
      <c r="M369" s="47"/>
      <c r="N369" s="20"/>
      <c r="O369" s="20"/>
      <c r="P369" s="20"/>
      <c r="Q369" s="20"/>
      <c r="R369" s="20"/>
      <c r="S369" s="20"/>
      <c r="T369" s="20"/>
      <c r="U369" s="20"/>
      <c r="V369" s="20"/>
      <c r="W369" s="20"/>
      <c r="X369" s="20"/>
      <c r="Y369" s="20"/>
      <c r="Z369" s="20"/>
    </row>
    <row r="370" spans="13:26" ht="17.25" customHeight="1">
      <c r="M370" s="47"/>
      <c r="N370" s="20"/>
      <c r="O370" s="20"/>
      <c r="P370" s="20"/>
      <c r="Q370" s="20"/>
      <c r="R370" s="20"/>
      <c r="S370" s="20"/>
      <c r="T370" s="20"/>
      <c r="U370" s="20"/>
      <c r="V370" s="20"/>
      <c r="W370" s="20"/>
      <c r="X370" s="20"/>
      <c r="Y370" s="20"/>
      <c r="Z370" s="20"/>
    </row>
    <row r="371" spans="13:26" ht="17.25" customHeight="1">
      <c r="M371" s="47"/>
      <c r="N371" s="20"/>
      <c r="O371" s="20"/>
      <c r="P371" s="20"/>
      <c r="Q371" s="20"/>
      <c r="R371" s="20"/>
      <c r="S371" s="20"/>
      <c r="T371" s="20"/>
      <c r="U371" s="20"/>
      <c r="V371" s="20"/>
      <c r="W371" s="20"/>
      <c r="X371" s="20"/>
      <c r="Y371" s="20"/>
      <c r="Z371" s="20"/>
    </row>
    <row r="372" spans="13:26" ht="17.25" customHeight="1">
      <c r="M372" s="47"/>
      <c r="N372" s="20"/>
      <c r="O372" s="20"/>
      <c r="P372" s="20"/>
      <c r="Q372" s="20"/>
      <c r="R372" s="20"/>
      <c r="S372" s="20"/>
      <c r="T372" s="20"/>
      <c r="U372" s="20"/>
      <c r="V372" s="20"/>
      <c r="W372" s="20"/>
      <c r="X372" s="20"/>
      <c r="Y372" s="20"/>
      <c r="Z372" s="20"/>
    </row>
    <row r="373" spans="13:26" ht="17.25" customHeight="1">
      <c r="M373" s="47"/>
      <c r="N373" s="20"/>
      <c r="O373" s="20"/>
      <c r="P373" s="20"/>
      <c r="Q373" s="20"/>
      <c r="R373" s="20"/>
      <c r="S373" s="20"/>
      <c r="T373" s="20"/>
      <c r="U373" s="20"/>
      <c r="V373" s="20"/>
      <c r="W373" s="20"/>
      <c r="X373" s="20"/>
      <c r="Y373" s="20"/>
      <c r="Z373" s="20"/>
    </row>
    <row r="374" spans="13:26" ht="17.25" customHeight="1">
      <c r="M374" s="47"/>
      <c r="N374" s="20"/>
      <c r="O374" s="20"/>
      <c r="P374" s="20"/>
      <c r="Q374" s="20"/>
      <c r="R374" s="20"/>
      <c r="S374" s="20"/>
      <c r="T374" s="20"/>
      <c r="U374" s="20"/>
      <c r="V374" s="20"/>
      <c r="W374" s="20"/>
      <c r="X374" s="20"/>
      <c r="Y374" s="20"/>
      <c r="Z374" s="20"/>
    </row>
    <row r="375" spans="13:26" ht="17.25" customHeight="1">
      <c r="M375" s="47"/>
      <c r="N375" s="20"/>
      <c r="O375" s="20"/>
      <c r="P375" s="20"/>
      <c r="Q375" s="20"/>
      <c r="R375" s="20"/>
      <c r="S375" s="20"/>
      <c r="T375" s="20"/>
      <c r="U375" s="20"/>
      <c r="V375" s="20"/>
      <c r="W375" s="20"/>
      <c r="X375" s="20"/>
      <c r="Y375" s="20"/>
      <c r="Z375" s="20"/>
    </row>
    <row r="376" spans="13:26" ht="17.25" customHeight="1">
      <c r="M376" s="47"/>
      <c r="N376" s="20"/>
      <c r="O376" s="20"/>
      <c r="P376" s="20"/>
      <c r="Q376" s="20"/>
      <c r="R376" s="20"/>
      <c r="S376" s="20"/>
      <c r="T376" s="20"/>
      <c r="U376" s="20"/>
      <c r="V376" s="20"/>
      <c r="W376" s="20"/>
      <c r="X376" s="20"/>
      <c r="Y376" s="20"/>
      <c r="Z376" s="20"/>
    </row>
    <row r="377" spans="13:26" ht="17.25" customHeight="1">
      <c r="M377" s="47"/>
      <c r="N377" s="20"/>
      <c r="O377" s="20"/>
      <c r="P377" s="20"/>
      <c r="Q377" s="20"/>
      <c r="R377" s="20"/>
      <c r="S377" s="20"/>
      <c r="T377" s="20"/>
      <c r="U377" s="20"/>
      <c r="V377" s="20"/>
      <c r="W377" s="20"/>
      <c r="X377" s="20"/>
      <c r="Y377" s="20"/>
      <c r="Z377" s="20"/>
    </row>
    <row r="378" spans="13:26" ht="17.25" customHeight="1">
      <c r="M378" s="47"/>
      <c r="N378" s="20"/>
      <c r="O378" s="20"/>
      <c r="P378" s="20"/>
      <c r="Q378" s="20"/>
      <c r="R378" s="20"/>
      <c r="S378" s="20"/>
      <c r="T378" s="20"/>
      <c r="U378" s="20"/>
      <c r="V378" s="20"/>
      <c r="W378" s="20"/>
      <c r="X378" s="20"/>
      <c r="Y378" s="20"/>
      <c r="Z378" s="20"/>
    </row>
    <row r="379" spans="13:26" ht="17.25" customHeight="1">
      <c r="M379" s="47"/>
      <c r="N379" s="20"/>
      <c r="O379" s="20"/>
      <c r="P379" s="20"/>
      <c r="Q379" s="20"/>
      <c r="R379" s="20"/>
      <c r="S379" s="20"/>
      <c r="T379" s="20"/>
      <c r="U379" s="20"/>
      <c r="V379" s="20"/>
      <c r="W379" s="20"/>
      <c r="X379" s="20"/>
      <c r="Y379" s="20"/>
      <c r="Z379" s="20"/>
    </row>
    <row r="380" spans="13:26" ht="17.25" customHeight="1">
      <c r="M380" s="47"/>
      <c r="N380" s="20"/>
      <c r="O380" s="20"/>
      <c r="P380" s="20"/>
      <c r="Q380" s="20"/>
      <c r="R380" s="20"/>
      <c r="S380" s="20"/>
      <c r="T380" s="20"/>
      <c r="U380" s="20"/>
      <c r="V380" s="20"/>
      <c r="W380" s="20"/>
      <c r="X380" s="20"/>
      <c r="Y380" s="20"/>
      <c r="Z380" s="20"/>
    </row>
    <row r="381" spans="13:26" ht="17.25" customHeight="1">
      <c r="M381" s="47"/>
      <c r="N381" s="20"/>
      <c r="O381" s="20"/>
      <c r="P381" s="20"/>
      <c r="Q381" s="20"/>
      <c r="R381" s="20"/>
      <c r="S381" s="20"/>
      <c r="T381" s="20"/>
      <c r="U381" s="20"/>
      <c r="V381" s="20"/>
      <c r="W381" s="20"/>
      <c r="X381" s="20"/>
      <c r="Y381" s="20"/>
      <c r="Z381" s="20"/>
    </row>
    <row r="382" spans="13:26" ht="17.25" customHeight="1">
      <c r="M382" s="47"/>
      <c r="N382" s="20"/>
      <c r="O382" s="20"/>
      <c r="P382" s="20"/>
      <c r="Q382" s="20"/>
      <c r="R382" s="20"/>
      <c r="S382" s="20"/>
      <c r="T382" s="20"/>
      <c r="U382" s="20"/>
      <c r="V382" s="20"/>
      <c r="W382" s="20"/>
      <c r="X382" s="20"/>
      <c r="Y382" s="20"/>
      <c r="Z382" s="20"/>
    </row>
    <row r="383" spans="13:26" ht="17.25" customHeight="1">
      <c r="M383" s="47"/>
      <c r="N383" s="20"/>
      <c r="O383" s="20"/>
      <c r="P383" s="20"/>
      <c r="Q383" s="20"/>
      <c r="R383" s="20"/>
      <c r="S383" s="20"/>
      <c r="T383" s="20"/>
      <c r="U383" s="20"/>
      <c r="V383" s="20"/>
      <c r="W383" s="20"/>
      <c r="X383" s="20"/>
      <c r="Y383" s="20"/>
      <c r="Z383" s="20"/>
    </row>
    <row r="384" spans="13:26" ht="17.25" customHeight="1">
      <c r="M384" s="47"/>
      <c r="N384" s="20"/>
      <c r="O384" s="20"/>
      <c r="P384" s="20"/>
      <c r="Q384" s="20"/>
      <c r="R384" s="20"/>
      <c r="S384" s="20"/>
      <c r="T384" s="20"/>
      <c r="U384" s="20"/>
      <c r="V384" s="20"/>
      <c r="W384" s="20"/>
      <c r="X384" s="20"/>
      <c r="Y384" s="20"/>
      <c r="Z384" s="20"/>
    </row>
    <row r="385" spans="13:26" ht="17.25" customHeight="1">
      <c r="M385" s="47"/>
      <c r="N385" s="20"/>
      <c r="O385" s="20"/>
      <c r="P385" s="20"/>
      <c r="Q385" s="20"/>
      <c r="R385" s="20"/>
      <c r="S385" s="20"/>
      <c r="T385" s="20"/>
      <c r="U385" s="20"/>
      <c r="V385" s="20"/>
      <c r="W385" s="20"/>
      <c r="X385" s="20"/>
      <c r="Y385" s="20"/>
      <c r="Z385" s="20"/>
    </row>
    <row r="386" spans="13:26" ht="17.25" customHeight="1">
      <c r="M386" s="47"/>
      <c r="N386" s="20"/>
      <c r="O386" s="20"/>
      <c r="P386" s="20"/>
      <c r="Q386" s="20"/>
      <c r="R386" s="20"/>
      <c r="S386" s="20"/>
      <c r="T386" s="20"/>
      <c r="U386" s="20"/>
      <c r="V386" s="20"/>
      <c r="W386" s="20"/>
      <c r="X386" s="20"/>
      <c r="Y386" s="20"/>
      <c r="Z386" s="20"/>
    </row>
    <row r="387" spans="13:26" ht="17.25" customHeight="1">
      <c r="M387" s="47"/>
      <c r="N387" s="20"/>
      <c r="O387" s="20"/>
      <c r="P387" s="20"/>
      <c r="Q387" s="20"/>
      <c r="R387" s="20"/>
      <c r="S387" s="20"/>
      <c r="T387" s="20"/>
      <c r="U387" s="20"/>
      <c r="V387" s="20"/>
      <c r="W387" s="20"/>
      <c r="X387" s="20"/>
      <c r="Y387" s="20"/>
      <c r="Z387" s="20"/>
    </row>
    <row r="388" spans="13:26" ht="17.25" customHeight="1">
      <c r="M388" s="47"/>
      <c r="N388" s="20"/>
      <c r="O388" s="20"/>
      <c r="P388" s="20"/>
      <c r="Q388" s="20"/>
      <c r="R388" s="20"/>
      <c r="S388" s="20"/>
      <c r="T388" s="20"/>
      <c r="U388" s="20"/>
      <c r="V388" s="20"/>
      <c r="W388" s="20"/>
      <c r="X388" s="20"/>
      <c r="Y388" s="20"/>
      <c r="Z388" s="20"/>
    </row>
    <row r="389" spans="13:26" ht="17.25" customHeight="1">
      <c r="M389" s="47"/>
      <c r="N389" s="20"/>
      <c r="O389" s="20"/>
      <c r="P389" s="20"/>
      <c r="Q389" s="20"/>
      <c r="R389" s="20"/>
      <c r="S389" s="20"/>
      <c r="T389" s="20"/>
      <c r="U389" s="20"/>
      <c r="V389" s="20"/>
      <c r="W389" s="20"/>
      <c r="X389" s="20"/>
      <c r="Y389" s="20"/>
      <c r="Z389" s="20"/>
    </row>
    <row r="390" spans="13:26" ht="17.25" customHeight="1">
      <c r="M390" s="47"/>
      <c r="N390" s="20"/>
      <c r="O390" s="20"/>
      <c r="P390" s="20"/>
      <c r="Q390" s="20"/>
      <c r="R390" s="20"/>
      <c r="S390" s="20"/>
      <c r="T390" s="20"/>
      <c r="U390" s="20"/>
      <c r="V390" s="20"/>
      <c r="W390" s="20"/>
      <c r="X390" s="20"/>
      <c r="Y390" s="20"/>
      <c r="Z390" s="20"/>
    </row>
    <row r="391" spans="13:26" ht="17.25" customHeight="1">
      <c r="M391" s="47"/>
      <c r="N391" s="20"/>
      <c r="O391" s="20"/>
      <c r="P391" s="20"/>
      <c r="Q391" s="20"/>
      <c r="R391" s="20"/>
      <c r="S391" s="20"/>
      <c r="T391" s="20"/>
      <c r="U391" s="20"/>
      <c r="V391" s="20"/>
      <c r="W391" s="20"/>
      <c r="X391" s="20"/>
      <c r="Y391" s="20"/>
      <c r="Z391" s="20"/>
    </row>
    <row r="392" spans="13:26" ht="17.25" customHeight="1">
      <c r="M392" s="47"/>
      <c r="N392" s="20"/>
      <c r="O392" s="20"/>
      <c r="P392" s="20"/>
      <c r="Q392" s="20"/>
      <c r="R392" s="20"/>
      <c r="S392" s="20"/>
      <c r="T392" s="20"/>
      <c r="U392" s="20"/>
      <c r="V392" s="20"/>
      <c r="W392" s="20"/>
      <c r="X392" s="20"/>
      <c r="Y392" s="20"/>
      <c r="Z392" s="20"/>
    </row>
    <row r="393" spans="13:26" ht="17.25" customHeight="1">
      <c r="M393" s="47"/>
      <c r="N393" s="20"/>
      <c r="O393" s="20"/>
      <c r="P393" s="20"/>
      <c r="Q393" s="20"/>
      <c r="R393" s="20"/>
      <c r="S393" s="20"/>
      <c r="T393" s="20"/>
      <c r="U393" s="20"/>
      <c r="V393" s="20"/>
      <c r="W393" s="20"/>
      <c r="X393" s="20"/>
      <c r="Y393" s="20"/>
      <c r="Z393" s="20"/>
    </row>
    <row r="394" spans="13:26" ht="17.25" customHeight="1">
      <c r="M394" s="47"/>
      <c r="N394" s="20"/>
      <c r="O394" s="20"/>
      <c r="P394" s="20"/>
      <c r="Q394" s="20"/>
      <c r="R394" s="20"/>
      <c r="S394" s="20"/>
      <c r="T394" s="20"/>
      <c r="U394" s="20"/>
      <c r="V394" s="20"/>
      <c r="W394" s="20"/>
      <c r="X394" s="20"/>
      <c r="Y394" s="20"/>
      <c r="Z394" s="20"/>
    </row>
    <row r="395" spans="13:26" ht="17.25" customHeight="1">
      <c r="M395" s="47"/>
      <c r="N395" s="20"/>
      <c r="O395" s="20"/>
      <c r="P395" s="20"/>
      <c r="Q395" s="20"/>
      <c r="R395" s="20"/>
      <c r="S395" s="20"/>
      <c r="T395" s="20"/>
      <c r="U395" s="20"/>
      <c r="V395" s="20"/>
      <c r="W395" s="20"/>
      <c r="X395" s="20"/>
      <c r="Y395" s="20"/>
      <c r="Z395" s="20"/>
    </row>
    <row r="396" spans="13:26" ht="17.25" customHeight="1">
      <c r="M396" s="47"/>
      <c r="N396" s="20"/>
      <c r="O396" s="20"/>
      <c r="P396" s="20"/>
      <c r="Q396" s="20"/>
      <c r="R396" s="20"/>
      <c r="S396" s="20"/>
      <c r="T396" s="20"/>
      <c r="U396" s="20"/>
      <c r="V396" s="20"/>
      <c r="W396" s="20"/>
      <c r="X396" s="20"/>
      <c r="Y396" s="20"/>
      <c r="Z396" s="20"/>
    </row>
    <row r="397" spans="13:26" ht="17.25" customHeight="1">
      <c r="M397" s="47"/>
      <c r="N397" s="20"/>
      <c r="O397" s="20"/>
      <c r="P397" s="20"/>
      <c r="Q397" s="20"/>
      <c r="R397" s="20"/>
      <c r="S397" s="20"/>
      <c r="T397" s="20"/>
      <c r="U397" s="20"/>
      <c r="V397" s="20"/>
      <c r="W397" s="20"/>
      <c r="X397" s="20"/>
      <c r="Y397" s="20"/>
      <c r="Z397" s="20"/>
    </row>
    <row r="398" spans="13:26" ht="17.25" customHeight="1">
      <c r="M398" s="47"/>
      <c r="N398" s="20"/>
      <c r="O398" s="20"/>
      <c r="P398" s="20"/>
      <c r="Q398" s="20"/>
      <c r="R398" s="20"/>
      <c r="S398" s="20"/>
      <c r="T398" s="20"/>
      <c r="U398" s="20"/>
      <c r="V398" s="20"/>
      <c r="W398" s="20"/>
      <c r="X398" s="20"/>
      <c r="Y398" s="20"/>
      <c r="Z398" s="20"/>
    </row>
    <row r="399" spans="13:26" ht="17.25" customHeight="1">
      <c r="M399" s="47"/>
      <c r="N399" s="20"/>
      <c r="O399" s="20"/>
      <c r="P399" s="20"/>
      <c r="Q399" s="20"/>
      <c r="R399" s="20"/>
      <c r="S399" s="20"/>
      <c r="T399" s="20"/>
      <c r="U399" s="20"/>
      <c r="V399" s="20"/>
      <c r="W399" s="20"/>
      <c r="X399" s="20"/>
      <c r="Y399" s="20"/>
      <c r="Z399" s="20"/>
    </row>
    <row r="400" spans="13:26" ht="17.25" customHeight="1">
      <c r="M400" s="47"/>
      <c r="N400" s="20"/>
      <c r="O400" s="20"/>
      <c r="P400" s="20"/>
      <c r="Q400" s="20"/>
      <c r="R400" s="20"/>
      <c r="S400" s="20"/>
      <c r="T400" s="20"/>
      <c r="U400" s="20"/>
      <c r="V400" s="20"/>
      <c r="W400" s="20"/>
      <c r="X400" s="20"/>
      <c r="Y400" s="20"/>
      <c r="Z400" s="20"/>
    </row>
    <row r="401" spans="13:26" ht="17.25" customHeight="1">
      <c r="M401" s="47"/>
      <c r="N401" s="20"/>
      <c r="O401" s="20"/>
      <c r="P401" s="20"/>
      <c r="Q401" s="20"/>
      <c r="R401" s="20"/>
      <c r="S401" s="20"/>
      <c r="T401" s="20"/>
      <c r="U401" s="20"/>
      <c r="V401" s="20"/>
      <c r="W401" s="20"/>
      <c r="X401" s="20"/>
      <c r="Y401" s="20"/>
      <c r="Z401" s="20"/>
    </row>
    <row r="402" spans="13:26" ht="17.25" customHeight="1">
      <c r="M402" s="47"/>
      <c r="N402" s="20"/>
      <c r="O402" s="20"/>
      <c r="P402" s="20"/>
      <c r="Q402" s="20"/>
      <c r="R402" s="20"/>
      <c r="S402" s="20"/>
      <c r="T402" s="20"/>
      <c r="U402" s="20"/>
      <c r="V402" s="20"/>
      <c r="W402" s="20"/>
      <c r="X402" s="20"/>
      <c r="Y402" s="20"/>
      <c r="Z402" s="20"/>
    </row>
    <row r="403" spans="13:26" ht="17.25" customHeight="1">
      <c r="M403" s="47"/>
      <c r="N403" s="20"/>
      <c r="O403" s="20"/>
      <c r="P403" s="20"/>
      <c r="Q403" s="20"/>
      <c r="R403" s="20"/>
      <c r="S403" s="20"/>
      <c r="T403" s="20"/>
      <c r="U403" s="20"/>
      <c r="V403" s="20"/>
      <c r="W403" s="20"/>
      <c r="X403" s="20"/>
      <c r="Y403" s="20"/>
      <c r="Z403" s="20"/>
    </row>
    <row r="404" spans="13:26" ht="17.25" customHeight="1">
      <c r="M404" s="47"/>
      <c r="N404" s="20"/>
      <c r="O404" s="20"/>
      <c r="P404" s="20"/>
      <c r="Q404" s="20"/>
      <c r="R404" s="20"/>
      <c r="S404" s="20"/>
      <c r="T404" s="20"/>
      <c r="U404" s="20"/>
      <c r="V404" s="20"/>
      <c r="W404" s="20"/>
      <c r="X404" s="20"/>
      <c r="Y404" s="20"/>
      <c r="Z404" s="20"/>
    </row>
    <row r="405" spans="13:26" ht="17.25" customHeight="1">
      <c r="M405" s="47"/>
      <c r="N405" s="20"/>
      <c r="O405" s="20"/>
      <c r="P405" s="20"/>
      <c r="Q405" s="20"/>
      <c r="R405" s="20"/>
      <c r="S405" s="20"/>
      <c r="T405" s="20"/>
      <c r="U405" s="20"/>
      <c r="V405" s="20"/>
      <c r="W405" s="20"/>
      <c r="X405" s="20"/>
      <c r="Y405" s="20"/>
      <c r="Z405" s="20"/>
    </row>
    <row r="406" spans="13:26" ht="17.25" customHeight="1">
      <c r="M406" s="47"/>
      <c r="N406" s="20"/>
      <c r="O406" s="20"/>
      <c r="P406" s="20"/>
      <c r="Q406" s="20"/>
      <c r="R406" s="20"/>
      <c r="S406" s="20"/>
      <c r="T406" s="20"/>
      <c r="U406" s="20"/>
      <c r="V406" s="20"/>
      <c r="W406" s="20"/>
      <c r="X406" s="20"/>
      <c r="Y406" s="20"/>
      <c r="Z406" s="20"/>
    </row>
    <row r="407" spans="13:26" ht="17.25" customHeight="1">
      <c r="M407" s="47"/>
      <c r="N407" s="20"/>
      <c r="O407" s="20"/>
      <c r="P407" s="20"/>
      <c r="Q407" s="20"/>
      <c r="R407" s="20"/>
      <c r="S407" s="20"/>
      <c r="T407" s="20"/>
      <c r="U407" s="20"/>
      <c r="V407" s="20"/>
      <c r="W407" s="20"/>
      <c r="X407" s="20"/>
      <c r="Y407" s="20"/>
      <c r="Z407" s="20"/>
    </row>
    <row r="408" spans="13:26" ht="17.25" customHeight="1">
      <c r="M408" s="47"/>
      <c r="N408" s="20"/>
      <c r="O408" s="20"/>
      <c r="P408" s="20"/>
      <c r="Q408" s="20"/>
      <c r="R408" s="20"/>
      <c r="S408" s="20"/>
      <c r="T408" s="20"/>
      <c r="U408" s="20"/>
      <c r="V408" s="20"/>
      <c r="W408" s="20"/>
      <c r="X408" s="20"/>
      <c r="Y408" s="20"/>
      <c r="Z408" s="20"/>
    </row>
    <row r="409" spans="13:26" ht="17.25" customHeight="1">
      <c r="M409" s="47"/>
      <c r="N409" s="20"/>
      <c r="O409" s="20"/>
      <c r="P409" s="20"/>
      <c r="Q409" s="20"/>
      <c r="R409" s="20"/>
      <c r="S409" s="20"/>
      <c r="T409" s="20"/>
      <c r="U409" s="20"/>
      <c r="V409" s="20"/>
      <c r="W409" s="20"/>
      <c r="X409" s="20"/>
      <c r="Y409" s="20"/>
      <c r="Z409" s="20"/>
    </row>
    <row r="410" spans="13:26" ht="17.25" customHeight="1">
      <c r="M410" s="47"/>
      <c r="N410" s="20"/>
      <c r="O410" s="20"/>
      <c r="P410" s="20"/>
      <c r="Q410" s="20"/>
      <c r="R410" s="20"/>
      <c r="S410" s="20"/>
      <c r="T410" s="20"/>
      <c r="U410" s="20"/>
      <c r="V410" s="20"/>
      <c r="W410" s="20"/>
      <c r="X410" s="20"/>
      <c r="Y410" s="20"/>
      <c r="Z410" s="20"/>
    </row>
    <row r="411" spans="13:26" ht="17.25" customHeight="1">
      <c r="M411" s="47"/>
      <c r="N411" s="20"/>
      <c r="O411" s="20"/>
      <c r="P411" s="20"/>
      <c r="Q411" s="20"/>
      <c r="R411" s="20"/>
      <c r="S411" s="20"/>
      <c r="T411" s="20"/>
      <c r="U411" s="20"/>
      <c r="V411" s="20"/>
      <c r="W411" s="20"/>
      <c r="X411" s="20"/>
      <c r="Y411" s="20"/>
      <c r="Z411" s="20"/>
    </row>
    <row r="412" spans="13:26" ht="17.25" customHeight="1">
      <c r="M412" s="47"/>
      <c r="N412" s="20"/>
      <c r="O412" s="20"/>
      <c r="P412" s="20"/>
      <c r="Q412" s="20"/>
      <c r="R412" s="20"/>
      <c r="S412" s="20"/>
      <c r="T412" s="20"/>
      <c r="U412" s="20"/>
      <c r="V412" s="20"/>
      <c r="W412" s="20"/>
      <c r="X412" s="20"/>
      <c r="Y412" s="20"/>
      <c r="Z412" s="20"/>
    </row>
    <row r="413" spans="13:26" ht="17.25" customHeight="1">
      <c r="M413" s="47"/>
      <c r="N413" s="20"/>
      <c r="O413" s="20"/>
      <c r="P413" s="20"/>
      <c r="Q413" s="20"/>
      <c r="R413" s="20"/>
      <c r="S413" s="20"/>
      <c r="T413" s="20"/>
      <c r="U413" s="20"/>
      <c r="V413" s="20"/>
      <c r="W413" s="20"/>
      <c r="X413" s="20"/>
      <c r="Y413" s="20"/>
      <c r="Z413" s="20"/>
    </row>
    <row r="414" spans="13:26" ht="17.25" customHeight="1">
      <c r="M414" s="47"/>
      <c r="N414" s="20"/>
      <c r="O414" s="20"/>
      <c r="P414" s="20"/>
      <c r="Q414" s="20"/>
      <c r="R414" s="20"/>
      <c r="S414" s="20"/>
      <c r="T414" s="20"/>
      <c r="U414" s="20"/>
      <c r="V414" s="20"/>
      <c r="W414" s="20"/>
      <c r="X414" s="20"/>
      <c r="Y414" s="20"/>
      <c r="Z414" s="20"/>
    </row>
    <row r="415" spans="13:26" ht="17.25" customHeight="1">
      <c r="M415" s="47"/>
      <c r="N415" s="20"/>
      <c r="O415" s="20"/>
      <c r="P415" s="20"/>
      <c r="Q415" s="20"/>
      <c r="R415" s="20"/>
      <c r="S415" s="20"/>
      <c r="T415" s="20"/>
      <c r="U415" s="20"/>
      <c r="V415" s="20"/>
      <c r="W415" s="20"/>
      <c r="X415" s="20"/>
      <c r="Y415" s="20"/>
      <c r="Z415" s="20"/>
    </row>
    <row r="416" spans="13:26" ht="17.25" customHeight="1">
      <c r="M416" s="47"/>
      <c r="N416" s="20"/>
      <c r="O416" s="20"/>
      <c r="P416" s="20"/>
      <c r="Q416" s="20"/>
      <c r="R416" s="20"/>
      <c r="S416" s="20"/>
      <c r="T416" s="20"/>
      <c r="U416" s="20"/>
      <c r="V416" s="20"/>
      <c r="W416" s="20"/>
      <c r="X416" s="20"/>
      <c r="Y416" s="20"/>
      <c r="Z416" s="20"/>
    </row>
    <row r="417" spans="13:26" ht="17.25" customHeight="1">
      <c r="M417" s="47"/>
      <c r="N417" s="20"/>
      <c r="O417" s="20"/>
      <c r="P417" s="20"/>
      <c r="Q417" s="20"/>
      <c r="R417" s="20"/>
      <c r="S417" s="20"/>
      <c r="T417" s="20"/>
      <c r="U417" s="20"/>
      <c r="V417" s="20"/>
      <c r="W417" s="20"/>
      <c r="X417" s="20"/>
      <c r="Y417" s="20"/>
      <c r="Z417" s="20"/>
    </row>
    <row r="418" spans="13:26" ht="17.25" customHeight="1">
      <c r="M418" s="47"/>
      <c r="N418" s="20"/>
      <c r="O418" s="20"/>
      <c r="P418" s="20"/>
      <c r="Q418" s="20"/>
      <c r="R418" s="20"/>
      <c r="S418" s="20"/>
      <c r="T418" s="20"/>
      <c r="U418" s="20"/>
      <c r="V418" s="20"/>
      <c r="W418" s="20"/>
      <c r="X418" s="20"/>
      <c r="Y418" s="20"/>
      <c r="Z418" s="20"/>
    </row>
    <row r="419" spans="13:26" ht="17.25" customHeight="1">
      <c r="M419" s="47"/>
      <c r="N419" s="20"/>
      <c r="O419" s="20"/>
      <c r="P419" s="20"/>
      <c r="Q419" s="20"/>
      <c r="R419" s="20"/>
      <c r="S419" s="20"/>
      <c r="T419" s="20"/>
      <c r="U419" s="20"/>
      <c r="V419" s="20"/>
      <c r="W419" s="20"/>
      <c r="X419" s="20"/>
      <c r="Y419" s="20"/>
      <c r="Z419" s="20"/>
    </row>
    <row r="420" spans="13:26" ht="17.25" customHeight="1">
      <c r="M420" s="47"/>
      <c r="N420" s="20"/>
      <c r="O420" s="20"/>
      <c r="P420" s="20"/>
      <c r="Q420" s="20"/>
      <c r="R420" s="20"/>
      <c r="S420" s="20"/>
      <c r="T420" s="20"/>
      <c r="U420" s="20"/>
      <c r="V420" s="20"/>
      <c r="W420" s="20"/>
      <c r="X420" s="20"/>
      <c r="Y420" s="20"/>
      <c r="Z420" s="20"/>
    </row>
    <row r="421" spans="13:26" ht="17.25" customHeight="1">
      <c r="M421" s="47"/>
      <c r="N421" s="20"/>
      <c r="O421" s="20"/>
      <c r="P421" s="20"/>
      <c r="Q421" s="20"/>
      <c r="R421" s="20"/>
      <c r="S421" s="20"/>
      <c r="T421" s="20"/>
      <c r="U421" s="20"/>
      <c r="V421" s="20"/>
      <c r="W421" s="20"/>
      <c r="X421" s="20"/>
      <c r="Y421" s="20"/>
      <c r="Z421" s="20"/>
    </row>
    <row r="422" spans="13:26" ht="17.25" customHeight="1">
      <c r="M422" s="47"/>
      <c r="N422" s="20"/>
      <c r="O422" s="20"/>
      <c r="P422" s="20"/>
      <c r="Q422" s="20"/>
      <c r="R422" s="20"/>
      <c r="S422" s="20"/>
      <c r="T422" s="20"/>
      <c r="U422" s="20"/>
      <c r="V422" s="20"/>
      <c r="W422" s="20"/>
      <c r="X422" s="20"/>
      <c r="Y422" s="20"/>
      <c r="Z422" s="20"/>
    </row>
    <row r="423" spans="13:26" ht="17.25" customHeight="1">
      <c r="M423" s="47"/>
      <c r="N423" s="20"/>
      <c r="O423" s="20"/>
      <c r="P423" s="20"/>
      <c r="Q423" s="20"/>
      <c r="R423" s="20"/>
      <c r="S423" s="20"/>
      <c r="T423" s="20"/>
      <c r="U423" s="20"/>
      <c r="V423" s="20"/>
      <c r="W423" s="20"/>
      <c r="X423" s="20"/>
      <c r="Y423" s="20"/>
      <c r="Z423" s="20"/>
    </row>
    <row r="424" spans="13:26" ht="17.25" customHeight="1">
      <c r="M424" s="47"/>
      <c r="N424" s="20"/>
      <c r="O424" s="20"/>
      <c r="P424" s="20"/>
      <c r="Q424" s="20"/>
      <c r="R424" s="20"/>
      <c r="S424" s="20"/>
      <c r="T424" s="20"/>
      <c r="U424" s="20"/>
      <c r="V424" s="20"/>
      <c r="W424" s="20"/>
      <c r="X424" s="20"/>
      <c r="Y424" s="20"/>
      <c r="Z424" s="20"/>
    </row>
    <row r="425" spans="13:26" ht="17.25" customHeight="1">
      <c r="M425" s="47"/>
      <c r="N425" s="20"/>
      <c r="O425" s="20"/>
      <c r="P425" s="20"/>
      <c r="Q425" s="20"/>
      <c r="R425" s="20"/>
      <c r="S425" s="20"/>
      <c r="T425" s="20"/>
      <c r="U425" s="20"/>
      <c r="V425" s="20"/>
      <c r="W425" s="20"/>
      <c r="X425" s="20"/>
      <c r="Y425" s="20"/>
      <c r="Z425" s="20"/>
    </row>
    <row r="426" spans="13:26" ht="17.25" customHeight="1">
      <c r="M426" s="47"/>
      <c r="N426" s="20"/>
      <c r="O426" s="20"/>
      <c r="P426" s="20"/>
      <c r="Q426" s="20"/>
      <c r="R426" s="20"/>
      <c r="S426" s="20"/>
      <c r="T426" s="20"/>
      <c r="U426" s="20"/>
      <c r="V426" s="20"/>
      <c r="W426" s="20"/>
      <c r="X426" s="20"/>
      <c r="Y426" s="20"/>
      <c r="Z426" s="20"/>
    </row>
    <row r="427" spans="13:26" ht="17.25" customHeight="1">
      <c r="M427" s="47"/>
      <c r="N427" s="20"/>
      <c r="O427" s="20"/>
      <c r="P427" s="20"/>
      <c r="Q427" s="20"/>
      <c r="R427" s="20"/>
      <c r="S427" s="20"/>
      <c r="T427" s="20"/>
      <c r="U427" s="20"/>
      <c r="V427" s="20"/>
      <c r="W427" s="20"/>
      <c r="X427" s="20"/>
      <c r="Y427" s="20"/>
      <c r="Z427" s="20"/>
    </row>
    <row r="428" spans="13:26" ht="17.25" customHeight="1">
      <c r="M428" s="47"/>
      <c r="N428" s="20"/>
      <c r="O428" s="20"/>
      <c r="P428" s="20"/>
      <c r="Q428" s="20"/>
      <c r="R428" s="20"/>
      <c r="S428" s="20"/>
      <c r="T428" s="20"/>
      <c r="U428" s="20"/>
      <c r="V428" s="20"/>
      <c r="W428" s="20"/>
      <c r="X428" s="20"/>
      <c r="Y428" s="20"/>
      <c r="Z428" s="20"/>
    </row>
    <row r="429" spans="13:26" ht="17.25" customHeight="1">
      <c r="M429" s="47"/>
      <c r="N429" s="20"/>
      <c r="O429" s="20"/>
      <c r="P429" s="20"/>
      <c r="Q429" s="20"/>
      <c r="R429" s="20"/>
      <c r="S429" s="20"/>
      <c r="T429" s="20"/>
      <c r="U429" s="20"/>
      <c r="V429" s="20"/>
      <c r="W429" s="20"/>
      <c r="X429" s="20"/>
      <c r="Y429" s="20"/>
      <c r="Z429" s="20"/>
    </row>
    <row r="430" spans="13:26" ht="17.25" customHeight="1">
      <c r="M430" s="47"/>
      <c r="N430" s="20"/>
      <c r="O430" s="20"/>
      <c r="P430" s="20"/>
      <c r="Q430" s="20"/>
      <c r="R430" s="20"/>
      <c r="S430" s="20"/>
      <c r="T430" s="20"/>
      <c r="U430" s="20"/>
      <c r="V430" s="20"/>
      <c r="W430" s="20"/>
      <c r="X430" s="20"/>
      <c r="Y430" s="20"/>
      <c r="Z430" s="20"/>
    </row>
    <row r="431" spans="13:26" ht="17.25" customHeight="1">
      <c r="M431" s="47"/>
      <c r="N431" s="20"/>
      <c r="O431" s="20"/>
      <c r="P431" s="20"/>
      <c r="Q431" s="20"/>
      <c r="R431" s="20"/>
      <c r="S431" s="20"/>
      <c r="T431" s="20"/>
      <c r="U431" s="20"/>
      <c r="V431" s="20"/>
      <c r="W431" s="20"/>
      <c r="X431" s="20"/>
      <c r="Y431" s="20"/>
      <c r="Z431" s="20"/>
    </row>
    <row r="432" spans="13:26" ht="17.25" customHeight="1">
      <c r="M432" s="47"/>
      <c r="N432" s="20"/>
      <c r="O432" s="20"/>
      <c r="P432" s="20"/>
      <c r="Q432" s="20"/>
      <c r="R432" s="20"/>
      <c r="S432" s="20"/>
      <c r="T432" s="20"/>
      <c r="U432" s="20"/>
      <c r="V432" s="20"/>
      <c r="W432" s="20"/>
      <c r="X432" s="20"/>
      <c r="Y432" s="20"/>
      <c r="Z432" s="20"/>
    </row>
    <row r="433" spans="13:26" ht="17.25" customHeight="1">
      <c r="M433" s="47"/>
      <c r="N433" s="20"/>
      <c r="O433" s="20"/>
      <c r="P433" s="20"/>
      <c r="Q433" s="20"/>
      <c r="R433" s="20"/>
      <c r="S433" s="20"/>
      <c r="T433" s="20"/>
      <c r="U433" s="20"/>
      <c r="V433" s="20"/>
      <c r="W433" s="20"/>
      <c r="X433" s="20"/>
      <c r="Y433" s="20"/>
      <c r="Z433" s="20"/>
    </row>
    <row r="434" spans="13:26" ht="17.25" customHeight="1">
      <c r="M434" s="47"/>
      <c r="N434" s="20"/>
      <c r="O434" s="20"/>
      <c r="P434" s="20"/>
      <c r="Q434" s="20"/>
      <c r="R434" s="20"/>
      <c r="S434" s="20"/>
      <c r="T434" s="20"/>
      <c r="U434" s="20"/>
      <c r="V434" s="20"/>
      <c r="W434" s="20"/>
      <c r="X434" s="20"/>
      <c r="Y434" s="20"/>
      <c r="Z434" s="20"/>
    </row>
    <row r="435" spans="13:26" ht="17.25" customHeight="1">
      <c r="M435" s="47"/>
      <c r="N435" s="20"/>
      <c r="O435" s="20"/>
      <c r="P435" s="20"/>
      <c r="Q435" s="20"/>
      <c r="R435" s="20"/>
      <c r="S435" s="20"/>
      <c r="T435" s="20"/>
      <c r="U435" s="20"/>
      <c r="V435" s="20"/>
      <c r="W435" s="20"/>
      <c r="X435" s="20"/>
      <c r="Y435" s="20"/>
      <c r="Z435" s="20"/>
    </row>
    <row r="436" spans="13:26" ht="17.25" customHeight="1">
      <c r="M436" s="47"/>
      <c r="N436" s="20"/>
      <c r="O436" s="20"/>
      <c r="P436" s="20"/>
      <c r="Q436" s="20"/>
      <c r="R436" s="20"/>
      <c r="S436" s="20"/>
      <c r="T436" s="20"/>
      <c r="U436" s="20"/>
      <c r="V436" s="20"/>
      <c r="W436" s="20"/>
      <c r="X436" s="20"/>
      <c r="Y436" s="20"/>
      <c r="Z436" s="20"/>
    </row>
    <row r="437" spans="13:26" ht="17.25" customHeight="1">
      <c r="M437" s="47"/>
      <c r="N437" s="20"/>
      <c r="O437" s="20"/>
      <c r="P437" s="20"/>
      <c r="Q437" s="20"/>
      <c r="R437" s="20"/>
      <c r="S437" s="20"/>
      <c r="T437" s="20"/>
      <c r="U437" s="20"/>
      <c r="V437" s="20"/>
      <c r="W437" s="20"/>
      <c r="X437" s="20"/>
      <c r="Y437" s="20"/>
      <c r="Z437" s="20"/>
    </row>
    <row r="438" spans="13:26" ht="17.25" customHeight="1">
      <c r="M438" s="47"/>
      <c r="N438" s="20"/>
      <c r="O438" s="20"/>
      <c r="P438" s="20"/>
      <c r="Q438" s="20"/>
      <c r="R438" s="20"/>
      <c r="S438" s="20"/>
      <c r="T438" s="20"/>
      <c r="U438" s="20"/>
      <c r="V438" s="20"/>
      <c r="W438" s="20"/>
      <c r="X438" s="20"/>
      <c r="Y438" s="20"/>
      <c r="Z438" s="20"/>
    </row>
    <row r="439" spans="13:26" ht="17.25" customHeight="1">
      <c r="M439" s="47"/>
      <c r="N439" s="20"/>
      <c r="O439" s="20"/>
      <c r="P439" s="20"/>
      <c r="Q439" s="20"/>
      <c r="R439" s="20"/>
      <c r="S439" s="20"/>
      <c r="T439" s="20"/>
      <c r="U439" s="20"/>
      <c r="V439" s="20"/>
      <c r="W439" s="20"/>
      <c r="X439" s="20"/>
      <c r="Y439" s="20"/>
      <c r="Z439" s="20"/>
    </row>
    <row r="440" spans="13:26" ht="17.25" customHeight="1">
      <c r="M440" s="47"/>
      <c r="N440" s="20"/>
      <c r="O440" s="20"/>
      <c r="P440" s="20"/>
      <c r="Q440" s="20"/>
      <c r="R440" s="20"/>
      <c r="S440" s="20"/>
      <c r="T440" s="20"/>
      <c r="U440" s="20"/>
      <c r="V440" s="20"/>
      <c r="W440" s="20"/>
      <c r="X440" s="20"/>
      <c r="Y440" s="20"/>
      <c r="Z440" s="20"/>
    </row>
    <row r="441" spans="13:26" ht="17.25" customHeight="1">
      <c r="M441" s="47"/>
      <c r="N441" s="20"/>
      <c r="O441" s="20"/>
      <c r="P441" s="20"/>
      <c r="Q441" s="20"/>
      <c r="R441" s="20"/>
      <c r="S441" s="20"/>
      <c r="T441" s="20"/>
      <c r="U441" s="20"/>
      <c r="V441" s="20"/>
      <c r="W441" s="20"/>
      <c r="X441" s="20"/>
      <c r="Y441" s="20"/>
      <c r="Z441" s="20"/>
    </row>
    <row r="442" spans="13:26" ht="17.25" customHeight="1">
      <c r="M442" s="47"/>
      <c r="N442" s="20"/>
      <c r="O442" s="20"/>
      <c r="P442" s="20"/>
      <c r="Q442" s="20"/>
      <c r="R442" s="20"/>
      <c r="S442" s="20"/>
      <c r="T442" s="20"/>
      <c r="U442" s="20"/>
      <c r="V442" s="20"/>
      <c r="W442" s="20"/>
      <c r="X442" s="20"/>
      <c r="Y442" s="20"/>
      <c r="Z442" s="20"/>
    </row>
    <row r="443" spans="13:26" ht="17.25" customHeight="1">
      <c r="M443" s="47"/>
      <c r="N443" s="20"/>
      <c r="O443" s="20"/>
      <c r="P443" s="20"/>
      <c r="Q443" s="20"/>
      <c r="R443" s="20"/>
      <c r="S443" s="20"/>
      <c r="T443" s="20"/>
      <c r="U443" s="20"/>
      <c r="V443" s="20"/>
      <c r="W443" s="20"/>
      <c r="X443" s="20"/>
      <c r="Y443" s="20"/>
      <c r="Z443" s="20"/>
    </row>
    <row r="444" spans="13:26" ht="17.25" customHeight="1">
      <c r="M444" s="47"/>
      <c r="N444" s="20"/>
      <c r="O444" s="20"/>
      <c r="P444" s="20"/>
      <c r="Q444" s="20"/>
      <c r="R444" s="20"/>
      <c r="S444" s="20"/>
      <c r="T444" s="20"/>
      <c r="U444" s="20"/>
      <c r="V444" s="20"/>
      <c r="W444" s="20"/>
      <c r="X444" s="20"/>
      <c r="Y444" s="20"/>
      <c r="Z444" s="20"/>
    </row>
    <row r="445" spans="13:26" ht="17.25" customHeight="1">
      <c r="M445" s="47"/>
      <c r="N445" s="20"/>
      <c r="O445" s="20"/>
      <c r="P445" s="20"/>
      <c r="Q445" s="20"/>
      <c r="R445" s="20"/>
      <c r="S445" s="20"/>
      <c r="T445" s="20"/>
      <c r="U445" s="20"/>
      <c r="V445" s="20"/>
      <c r="W445" s="20"/>
      <c r="X445" s="20"/>
      <c r="Y445" s="20"/>
      <c r="Z445" s="20"/>
    </row>
    <row r="446" spans="13:26" ht="17.25" customHeight="1">
      <c r="M446" s="47"/>
      <c r="N446" s="20"/>
      <c r="O446" s="20"/>
      <c r="P446" s="20"/>
      <c r="Q446" s="20"/>
      <c r="R446" s="20"/>
      <c r="S446" s="20"/>
      <c r="T446" s="20"/>
      <c r="U446" s="20"/>
      <c r="V446" s="20"/>
      <c r="W446" s="20"/>
      <c r="X446" s="20"/>
      <c r="Y446" s="20"/>
      <c r="Z446" s="20"/>
    </row>
    <row r="447" spans="13:26" ht="17.25" customHeight="1">
      <c r="M447" s="47"/>
      <c r="N447" s="20"/>
      <c r="O447" s="20"/>
      <c r="P447" s="20"/>
      <c r="Q447" s="20"/>
      <c r="R447" s="20"/>
      <c r="S447" s="20"/>
      <c r="T447" s="20"/>
      <c r="U447" s="20"/>
      <c r="V447" s="20"/>
      <c r="W447" s="20"/>
      <c r="X447" s="20"/>
      <c r="Y447" s="20"/>
      <c r="Z447" s="20"/>
    </row>
    <row r="448" spans="13:26" ht="17.25" customHeight="1">
      <c r="M448" s="47"/>
      <c r="N448" s="20"/>
      <c r="O448" s="20"/>
      <c r="P448" s="20"/>
      <c r="Q448" s="20"/>
      <c r="R448" s="20"/>
      <c r="S448" s="20"/>
      <c r="T448" s="20"/>
      <c r="U448" s="20"/>
      <c r="V448" s="20"/>
      <c r="W448" s="20"/>
      <c r="X448" s="20"/>
      <c r="Y448" s="20"/>
      <c r="Z448" s="20"/>
    </row>
    <row r="449" spans="13:26" ht="17.25" customHeight="1">
      <c r="M449" s="47"/>
      <c r="N449" s="20"/>
      <c r="O449" s="20"/>
      <c r="P449" s="20"/>
      <c r="Q449" s="20"/>
      <c r="R449" s="20"/>
      <c r="S449" s="20"/>
      <c r="T449" s="20"/>
      <c r="U449" s="20"/>
      <c r="V449" s="20"/>
      <c r="W449" s="20"/>
      <c r="X449" s="20"/>
      <c r="Y449" s="20"/>
      <c r="Z449" s="20"/>
    </row>
    <row r="450" spans="13:26" ht="17.25" customHeight="1">
      <c r="M450" s="47"/>
      <c r="N450" s="20"/>
      <c r="O450" s="20"/>
      <c r="P450" s="20"/>
      <c r="Q450" s="20"/>
      <c r="R450" s="20"/>
      <c r="S450" s="20"/>
      <c r="T450" s="20"/>
      <c r="U450" s="20"/>
      <c r="V450" s="20"/>
      <c r="W450" s="20"/>
      <c r="X450" s="20"/>
      <c r="Y450" s="20"/>
      <c r="Z450" s="20"/>
    </row>
    <row r="451" spans="13:26" ht="17.25" customHeight="1">
      <c r="M451" s="47"/>
      <c r="N451" s="20"/>
      <c r="O451" s="20"/>
      <c r="P451" s="20"/>
      <c r="Q451" s="20"/>
      <c r="R451" s="20"/>
      <c r="S451" s="20"/>
      <c r="T451" s="20"/>
      <c r="U451" s="20"/>
      <c r="V451" s="20"/>
      <c r="W451" s="20"/>
      <c r="X451" s="20"/>
      <c r="Y451" s="20"/>
      <c r="Z451" s="20"/>
    </row>
    <row r="452" spans="13:26" ht="17.25" customHeight="1">
      <c r="M452" s="47"/>
      <c r="N452" s="20"/>
      <c r="O452" s="20"/>
      <c r="P452" s="20"/>
      <c r="Q452" s="20"/>
      <c r="R452" s="20"/>
      <c r="S452" s="20"/>
      <c r="T452" s="20"/>
      <c r="U452" s="20"/>
      <c r="V452" s="20"/>
      <c r="W452" s="20"/>
      <c r="X452" s="20"/>
      <c r="Y452" s="20"/>
      <c r="Z452" s="20"/>
    </row>
    <row r="453" spans="13:26" ht="17.25" customHeight="1">
      <c r="M453" s="47"/>
      <c r="N453" s="20"/>
      <c r="O453" s="20"/>
      <c r="P453" s="20"/>
      <c r="Q453" s="20"/>
      <c r="R453" s="20"/>
      <c r="S453" s="20"/>
      <c r="T453" s="20"/>
      <c r="U453" s="20"/>
      <c r="V453" s="20"/>
      <c r="W453" s="20"/>
      <c r="X453" s="20"/>
      <c r="Y453" s="20"/>
      <c r="Z453" s="20"/>
    </row>
    <row r="454" spans="13:26" ht="17.25" customHeight="1">
      <c r="M454" s="47"/>
      <c r="N454" s="20"/>
      <c r="O454" s="20"/>
      <c r="P454" s="20"/>
      <c r="Q454" s="20"/>
      <c r="R454" s="20"/>
      <c r="S454" s="20"/>
      <c r="T454" s="20"/>
      <c r="U454" s="20"/>
      <c r="V454" s="20"/>
      <c r="W454" s="20"/>
      <c r="X454" s="20"/>
      <c r="Y454" s="20"/>
      <c r="Z454" s="20"/>
    </row>
    <row r="455" spans="13:26" ht="17.25" customHeight="1">
      <c r="M455" s="47"/>
      <c r="N455" s="20"/>
      <c r="O455" s="20"/>
      <c r="P455" s="20"/>
      <c r="Q455" s="20"/>
      <c r="R455" s="20"/>
      <c r="S455" s="20"/>
      <c r="T455" s="20"/>
      <c r="U455" s="20"/>
      <c r="V455" s="20"/>
      <c r="W455" s="20"/>
      <c r="X455" s="20"/>
      <c r="Y455" s="20"/>
      <c r="Z455" s="20"/>
    </row>
    <row r="456" spans="13:26" ht="17.25" customHeight="1">
      <c r="M456" s="47"/>
      <c r="N456" s="20"/>
      <c r="O456" s="20"/>
      <c r="P456" s="20"/>
      <c r="Q456" s="20"/>
      <c r="R456" s="20"/>
      <c r="S456" s="20"/>
      <c r="T456" s="20"/>
      <c r="U456" s="20"/>
      <c r="V456" s="20"/>
      <c r="W456" s="20"/>
      <c r="X456" s="20"/>
      <c r="Y456" s="20"/>
      <c r="Z456" s="20"/>
    </row>
    <row r="457" spans="13:26" ht="17.25" customHeight="1">
      <c r="M457" s="47"/>
      <c r="N457" s="20"/>
      <c r="O457" s="20"/>
      <c r="P457" s="20"/>
      <c r="Q457" s="20"/>
      <c r="R457" s="20"/>
      <c r="S457" s="20"/>
      <c r="T457" s="20"/>
      <c r="U457" s="20"/>
      <c r="V457" s="20"/>
      <c r="W457" s="20"/>
      <c r="X457" s="20"/>
      <c r="Y457" s="20"/>
      <c r="Z457" s="20"/>
    </row>
    <row r="458" spans="13:26" ht="17.25" customHeight="1">
      <c r="M458" s="47"/>
      <c r="N458" s="20"/>
      <c r="O458" s="20"/>
      <c r="P458" s="20"/>
      <c r="Q458" s="20"/>
      <c r="R458" s="20"/>
      <c r="S458" s="20"/>
      <c r="T458" s="20"/>
      <c r="U458" s="20"/>
      <c r="V458" s="20"/>
      <c r="W458" s="20"/>
      <c r="X458" s="20"/>
      <c r="Y458" s="20"/>
      <c r="Z458" s="20"/>
    </row>
    <row r="459" spans="13:26" ht="17.25" customHeight="1">
      <c r="M459" s="47"/>
      <c r="N459" s="20"/>
      <c r="O459" s="20"/>
      <c r="P459" s="20"/>
      <c r="Q459" s="20"/>
      <c r="R459" s="20"/>
      <c r="S459" s="20"/>
      <c r="T459" s="20"/>
      <c r="U459" s="20"/>
      <c r="V459" s="20"/>
      <c r="W459" s="20"/>
      <c r="X459" s="20"/>
      <c r="Y459" s="20"/>
      <c r="Z459" s="20"/>
    </row>
    <row r="460" spans="13:26" ht="17.25" customHeight="1">
      <c r="M460" s="47"/>
      <c r="N460" s="20"/>
      <c r="O460" s="20"/>
      <c r="P460" s="20"/>
      <c r="Q460" s="20"/>
      <c r="R460" s="20"/>
      <c r="S460" s="20"/>
      <c r="T460" s="20"/>
      <c r="U460" s="20"/>
      <c r="V460" s="20"/>
      <c r="W460" s="20"/>
      <c r="X460" s="20"/>
      <c r="Y460" s="20"/>
      <c r="Z460" s="20"/>
    </row>
    <row r="461" spans="13:26" ht="17.25" customHeight="1">
      <c r="M461" s="47"/>
      <c r="N461" s="20"/>
      <c r="O461" s="20"/>
      <c r="P461" s="20"/>
      <c r="Q461" s="20"/>
      <c r="R461" s="20"/>
      <c r="S461" s="20"/>
      <c r="T461" s="20"/>
      <c r="U461" s="20"/>
      <c r="V461" s="20"/>
      <c r="W461" s="20"/>
      <c r="X461" s="20"/>
      <c r="Y461" s="20"/>
      <c r="Z461" s="20"/>
    </row>
    <row r="462" spans="13:26" ht="17.25" customHeight="1">
      <c r="M462" s="47"/>
      <c r="N462" s="20"/>
      <c r="O462" s="20"/>
      <c r="P462" s="20"/>
      <c r="Q462" s="20"/>
      <c r="R462" s="20"/>
      <c r="S462" s="20"/>
      <c r="T462" s="20"/>
      <c r="U462" s="20"/>
      <c r="V462" s="20"/>
      <c r="W462" s="20"/>
      <c r="X462" s="20"/>
      <c r="Y462" s="20"/>
      <c r="Z462" s="20"/>
    </row>
    <row r="463" spans="13:26" ht="17.25" customHeight="1">
      <c r="M463" s="47"/>
      <c r="N463" s="20"/>
      <c r="O463" s="20"/>
      <c r="P463" s="20"/>
      <c r="Q463" s="20"/>
      <c r="R463" s="20"/>
      <c r="S463" s="20"/>
      <c r="T463" s="20"/>
      <c r="U463" s="20"/>
      <c r="V463" s="20"/>
      <c r="W463" s="20"/>
      <c r="X463" s="20"/>
      <c r="Y463" s="20"/>
      <c r="Z463" s="20"/>
    </row>
    <row r="464" spans="13:26" ht="17.25" customHeight="1">
      <c r="M464" s="47"/>
      <c r="N464" s="20"/>
      <c r="O464" s="20"/>
      <c r="P464" s="20"/>
      <c r="Q464" s="20"/>
      <c r="R464" s="20"/>
      <c r="S464" s="20"/>
      <c r="T464" s="20"/>
      <c r="U464" s="20"/>
      <c r="V464" s="20"/>
      <c r="W464" s="20"/>
      <c r="X464" s="20"/>
      <c r="Y464" s="20"/>
      <c r="Z464" s="20"/>
    </row>
    <row r="465" spans="13:26" ht="17.25" customHeight="1">
      <c r="M465" s="47"/>
      <c r="N465" s="20"/>
      <c r="O465" s="20"/>
      <c r="P465" s="20"/>
      <c r="Q465" s="20"/>
      <c r="R465" s="20"/>
      <c r="S465" s="20"/>
      <c r="T465" s="20"/>
      <c r="U465" s="20"/>
      <c r="V465" s="20"/>
      <c r="W465" s="20"/>
      <c r="X465" s="20"/>
      <c r="Y465" s="20"/>
      <c r="Z465" s="20"/>
    </row>
    <row r="466" spans="13:26" ht="17.25" customHeight="1">
      <c r="M466" s="47"/>
      <c r="N466" s="20"/>
      <c r="O466" s="20"/>
      <c r="P466" s="20"/>
      <c r="Q466" s="20"/>
      <c r="R466" s="20"/>
      <c r="S466" s="20"/>
      <c r="T466" s="20"/>
      <c r="U466" s="20"/>
      <c r="V466" s="20"/>
      <c r="W466" s="20"/>
      <c r="X466" s="20"/>
      <c r="Y466" s="20"/>
      <c r="Z466" s="20"/>
    </row>
    <row r="467" spans="13:26" ht="17.25" customHeight="1">
      <c r="M467" s="47"/>
      <c r="N467" s="20"/>
      <c r="O467" s="20"/>
      <c r="P467" s="20"/>
      <c r="Q467" s="20"/>
      <c r="R467" s="20"/>
      <c r="S467" s="20"/>
      <c r="T467" s="20"/>
      <c r="U467" s="20"/>
      <c r="V467" s="20"/>
      <c r="W467" s="20"/>
      <c r="X467" s="20"/>
      <c r="Y467" s="20"/>
      <c r="Z467" s="20"/>
    </row>
    <row r="468" spans="13:26" ht="17.25" customHeight="1">
      <c r="M468" s="47"/>
      <c r="N468" s="20"/>
      <c r="O468" s="20"/>
      <c r="P468" s="20"/>
      <c r="Q468" s="20"/>
      <c r="R468" s="20"/>
      <c r="S468" s="20"/>
      <c r="T468" s="20"/>
      <c r="U468" s="20"/>
      <c r="V468" s="20"/>
      <c r="W468" s="20"/>
      <c r="X468" s="20"/>
      <c r="Y468" s="20"/>
      <c r="Z468" s="20"/>
    </row>
    <row r="469" spans="13:26" ht="17.25" customHeight="1">
      <c r="M469" s="47"/>
      <c r="N469" s="20"/>
      <c r="O469" s="20"/>
      <c r="P469" s="20"/>
      <c r="Q469" s="20"/>
      <c r="R469" s="20"/>
      <c r="S469" s="20"/>
      <c r="T469" s="20"/>
      <c r="U469" s="20"/>
      <c r="V469" s="20"/>
      <c r="W469" s="20"/>
      <c r="X469" s="20"/>
      <c r="Y469" s="20"/>
      <c r="Z469" s="20"/>
    </row>
    <row r="470" spans="13:26" ht="17.25" customHeight="1">
      <c r="M470" s="47"/>
      <c r="N470" s="20"/>
      <c r="O470" s="20"/>
      <c r="P470" s="20"/>
      <c r="Q470" s="20"/>
      <c r="R470" s="20"/>
      <c r="S470" s="20"/>
      <c r="T470" s="20"/>
      <c r="U470" s="20"/>
      <c r="V470" s="20"/>
      <c r="W470" s="20"/>
      <c r="X470" s="20"/>
      <c r="Y470" s="20"/>
      <c r="Z470" s="20"/>
    </row>
    <row r="471" spans="13:26" ht="17.25" customHeight="1">
      <c r="M471" s="47"/>
      <c r="N471" s="20"/>
      <c r="O471" s="20"/>
      <c r="P471" s="20"/>
      <c r="Q471" s="20"/>
      <c r="R471" s="20"/>
      <c r="S471" s="20"/>
      <c r="T471" s="20"/>
      <c r="U471" s="20"/>
      <c r="V471" s="20"/>
      <c r="W471" s="20"/>
      <c r="X471" s="20"/>
      <c r="Y471" s="20"/>
      <c r="Z471" s="20"/>
    </row>
    <row r="472" spans="13:26" ht="17.25" customHeight="1">
      <c r="M472" s="47"/>
      <c r="N472" s="20"/>
      <c r="O472" s="20"/>
      <c r="P472" s="20"/>
      <c r="Q472" s="20"/>
      <c r="R472" s="20"/>
      <c r="S472" s="20"/>
      <c r="T472" s="20"/>
      <c r="U472" s="20"/>
      <c r="V472" s="20"/>
      <c r="W472" s="20"/>
      <c r="X472" s="20"/>
      <c r="Y472" s="20"/>
      <c r="Z472" s="20"/>
    </row>
    <row r="473" spans="13:26" ht="17.25" customHeight="1">
      <c r="M473" s="47"/>
      <c r="N473" s="20"/>
      <c r="O473" s="20"/>
      <c r="P473" s="20"/>
      <c r="Q473" s="20"/>
      <c r="R473" s="20"/>
      <c r="S473" s="20"/>
      <c r="T473" s="20"/>
      <c r="U473" s="20"/>
      <c r="V473" s="20"/>
      <c r="W473" s="20"/>
      <c r="X473" s="20"/>
      <c r="Y473" s="20"/>
      <c r="Z473" s="20"/>
    </row>
    <row r="474" spans="13:26" ht="17.25" customHeight="1">
      <c r="M474" s="47"/>
      <c r="N474" s="20"/>
      <c r="O474" s="20"/>
      <c r="P474" s="20"/>
      <c r="Q474" s="20"/>
      <c r="R474" s="20"/>
      <c r="S474" s="20"/>
      <c r="T474" s="20"/>
      <c r="U474" s="20"/>
      <c r="V474" s="20"/>
      <c r="W474" s="20"/>
      <c r="X474" s="20"/>
      <c r="Y474" s="20"/>
      <c r="Z474" s="20"/>
    </row>
    <row r="475" spans="13:26" ht="17.25" customHeight="1">
      <c r="M475" s="47"/>
      <c r="N475" s="20"/>
      <c r="O475" s="20"/>
      <c r="P475" s="20"/>
      <c r="Q475" s="20"/>
      <c r="R475" s="20"/>
      <c r="S475" s="20"/>
      <c r="T475" s="20"/>
      <c r="U475" s="20"/>
      <c r="V475" s="20"/>
      <c r="W475" s="20"/>
      <c r="X475" s="20"/>
      <c r="Y475" s="20"/>
      <c r="Z475" s="20"/>
    </row>
    <row r="476" spans="13:26" ht="17.25" customHeight="1">
      <c r="M476" s="47"/>
      <c r="N476" s="20"/>
      <c r="O476" s="20"/>
      <c r="P476" s="20"/>
      <c r="Q476" s="20"/>
      <c r="R476" s="20"/>
      <c r="S476" s="20"/>
      <c r="T476" s="20"/>
      <c r="U476" s="20"/>
      <c r="V476" s="20"/>
      <c r="W476" s="20"/>
      <c r="X476" s="20"/>
      <c r="Y476" s="20"/>
      <c r="Z476" s="20"/>
    </row>
    <row r="477" spans="13:26" ht="17.25" customHeight="1">
      <c r="M477" s="47"/>
      <c r="N477" s="20"/>
      <c r="O477" s="20"/>
      <c r="P477" s="20"/>
      <c r="Q477" s="20"/>
      <c r="R477" s="20"/>
      <c r="S477" s="20"/>
      <c r="T477" s="20"/>
      <c r="U477" s="20"/>
      <c r="V477" s="20"/>
      <c r="W477" s="20"/>
      <c r="X477" s="20"/>
      <c r="Y477" s="20"/>
      <c r="Z477" s="20"/>
    </row>
    <row r="478" spans="13:26" ht="17.25" customHeight="1">
      <c r="M478" s="47"/>
      <c r="N478" s="20"/>
      <c r="O478" s="20"/>
      <c r="P478" s="20"/>
      <c r="Q478" s="20"/>
      <c r="R478" s="20"/>
      <c r="S478" s="20"/>
      <c r="T478" s="20"/>
      <c r="U478" s="20"/>
      <c r="V478" s="20"/>
      <c r="W478" s="20"/>
      <c r="X478" s="20"/>
      <c r="Y478" s="20"/>
      <c r="Z478" s="20"/>
    </row>
    <row r="479" spans="13:26" ht="17.25" customHeight="1">
      <c r="M479" s="47"/>
      <c r="N479" s="20"/>
      <c r="O479" s="20"/>
      <c r="P479" s="20"/>
      <c r="Q479" s="20"/>
      <c r="R479" s="20"/>
      <c r="S479" s="20"/>
      <c r="T479" s="20"/>
      <c r="U479" s="20"/>
      <c r="V479" s="20"/>
      <c r="W479" s="20"/>
      <c r="X479" s="20"/>
      <c r="Y479" s="20"/>
      <c r="Z479" s="20"/>
    </row>
    <row r="480" spans="13:26" ht="17.25" customHeight="1">
      <c r="M480" s="47"/>
      <c r="N480" s="20"/>
      <c r="O480" s="20"/>
      <c r="P480" s="20"/>
      <c r="Q480" s="20"/>
      <c r="R480" s="20"/>
      <c r="S480" s="20"/>
      <c r="T480" s="20"/>
      <c r="U480" s="20"/>
      <c r="V480" s="20"/>
      <c r="W480" s="20"/>
      <c r="X480" s="20"/>
      <c r="Y480" s="20"/>
      <c r="Z480" s="20"/>
    </row>
    <row r="481" spans="13:26" ht="17.25" customHeight="1">
      <c r="M481" s="47"/>
      <c r="N481" s="20"/>
      <c r="O481" s="20"/>
      <c r="P481" s="20"/>
      <c r="Q481" s="20"/>
      <c r="R481" s="20"/>
      <c r="S481" s="20"/>
      <c r="T481" s="20"/>
      <c r="U481" s="20"/>
      <c r="V481" s="20"/>
      <c r="W481" s="20"/>
      <c r="X481" s="20"/>
      <c r="Y481" s="20"/>
      <c r="Z481" s="20"/>
    </row>
    <row r="482" spans="13:26" ht="17.25" customHeight="1">
      <c r="M482" s="47"/>
      <c r="N482" s="20"/>
      <c r="O482" s="20"/>
      <c r="P482" s="20"/>
      <c r="Q482" s="20"/>
      <c r="R482" s="20"/>
      <c r="S482" s="20"/>
      <c r="T482" s="20"/>
      <c r="U482" s="20"/>
      <c r="V482" s="20"/>
      <c r="W482" s="20"/>
      <c r="X482" s="20"/>
      <c r="Y482" s="20"/>
      <c r="Z482" s="20"/>
    </row>
    <row r="483" spans="13:26" ht="17.25" customHeight="1">
      <c r="M483" s="47"/>
      <c r="N483" s="20"/>
      <c r="O483" s="20"/>
      <c r="P483" s="20"/>
      <c r="Q483" s="20"/>
      <c r="R483" s="20"/>
      <c r="S483" s="20"/>
      <c r="T483" s="20"/>
      <c r="U483" s="20"/>
      <c r="V483" s="20"/>
      <c r="W483" s="20"/>
      <c r="X483" s="20"/>
      <c r="Y483" s="20"/>
      <c r="Z483" s="20"/>
    </row>
    <row r="484" spans="13:26" ht="17.25" customHeight="1">
      <c r="M484" s="47"/>
      <c r="N484" s="20"/>
      <c r="O484" s="20"/>
      <c r="P484" s="20"/>
      <c r="Q484" s="20"/>
      <c r="R484" s="20"/>
      <c r="S484" s="20"/>
      <c r="T484" s="20"/>
      <c r="U484" s="20"/>
      <c r="V484" s="20"/>
      <c r="W484" s="20"/>
      <c r="X484" s="20"/>
      <c r="Y484" s="20"/>
      <c r="Z484" s="20"/>
    </row>
    <row r="485" spans="13:26" ht="17.25" customHeight="1">
      <c r="M485" s="47"/>
      <c r="N485" s="20"/>
      <c r="O485" s="20"/>
      <c r="P485" s="20"/>
      <c r="Q485" s="20"/>
      <c r="R485" s="20"/>
      <c r="S485" s="20"/>
      <c r="T485" s="20"/>
      <c r="U485" s="20"/>
      <c r="V485" s="20"/>
      <c r="W485" s="20"/>
      <c r="X485" s="20"/>
      <c r="Y485" s="20"/>
      <c r="Z485" s="20"/>
    </row>
    <row r="486" spans="13:26" ht="17.25" customHeight="1">
      <c r="M486" s="47"/>
      <c r="N486" s="20"/>
      <c r="O486" s="20"/>
      <c r="P486" s="20"/>
      <c r="Q486" s="20"/>
      <c r="R486" s="20"/>
      <c r="S486" s="20"/>
      <c r="T486" s="20"/>
      <c r="U486" s="20"/>
      <c r="V486" s="20"/>
      <c r="W486" s="20"/>
      <c r="X486" s="20"/>
      <c r="Y486" s="20"/>
      <c r="Z486" s="20"/>
    </row>
    <row r="487" spans="13:26" ht="17.25" customHeight="1">
      <c r="M487" s="47"/>
      <c r="N487" s="20"/>
      <c r="O487" s="20"/>
      <c r="P487" s="20"/>
      <c r="Q487" s="20"/>
      <c r="R487" s="20"/>
      <c r="S487" s="20"/>
      <c r="T487" s="20"/>
      <c r="U487" s="20"/>
      <c r="V487" s="20"/>
      <c r="W487" s="20"/>
      <c r="X487" s="20"/>
      <c r="Y487" s="20"/>
      <c r="Z487" s="20"/>
    </row>
    <row r="488" spans="13:26" ht="17.25" customHeight="1">
      <c r="M488" s="47"/>
      <c r="N488" s="20"/>
      <c r="O488" s="20"/>
      <c r="P488" s="20"/>
      <c r="Q488" s="20"/>
      <c r="R488" s="20"/>
      <c r="S488" s="20"/>
      <c r="T488" s="20"/>
      <c r="U488" s="20"/>
      <c r="V488" s="20"/>
      <c r="W488" s="20"/>
      <c r="X488" s="20"/>
      <c r="Y488" s="20"/>
      <c r="Z488" s="20"/>
    </row>
    <row r="489" spans="13:26" ht="17.25" customHeight="1">
      <c r="M489" s="47"/>
      <c r="N489" s="20"/>
      <c r="O489" s="20"/>
      <c r="P489" s="20"/>
      <c r="Q489" s="20"/>
      <c r="R489" s="20"/>
      <c r="S489" s="20"/>
      <c r="T489" s="20"/>
      <c r="U489" s="20"/>
      <c r="V489" s="20"/>
      <c r="W489" s="20"/>
      <c r="X489" s="20"/>
      <c r="Y489" s="20"/>
      <c r="Z489" s="20"/>
    </row>
    <row r="490" spans="13:26" ht="17.25" customHeight="1">
      <c r="M490" s="47"/>
      <c r="N490" s="20"/>
      <c r="O490" s="20"/>
      <c r="P490" s="20"/>
      <c r="Q490" s="20"/>
      <c r="R490" s="20"/>
      <c r="S490" s="20"/>
      <c r="T490" s="20"/>
      <c r="U490" s="20"/>
      <c r="V490" s="20"/>
      <c r="W490" s="20"/>
      <c r="X490" s="20"/>
      <c r="Y490" s="20"/>
      <c r="Z490" s="20"/>
    </row>
    <row r="491" spans="13:26" ht="17.25" customHeight="1">
      <c r="M491" s="47"/>
      <c r="N491" s="20"/>
      <c r="O491" s="20"/>
      <c r="P491" s="20"/>
      <c r="Q491" s="20"/>
      <c r="R491" s="20"/>
      <c r="S491" s="20"/>
      <c r="T491" s="20"/>
      <c r="U491" s="20"/>
      <c r="V491" s="20"/>
      <c r="W491" s="20"/>
      <c r="X491" s="20"/>
      <c r="Y491" s="20"/>
      <c r="Z491" s="20"/>
    </row>
    <row r="492" spans="13:26" ht="17.25" customHeight="1">
      <c r="M492" s="47"/>
      <c r="N492" s="20"/>
      <c r="O492" s="20"/>
      <c r="P492" s="20"/>
      <c r="Q492" s="20"/>
      <c r="R492" s="20"/>
      <c r="S492" s="20"/>
      <c r="T492" s="20"/>
      <c r="U492" s="20"/>
      <c r="V492" s="20"/>
      <c r="W492" s="20"/>
      <c r="X492" s="20"/>
      <c r="Y492" s="20"/>
      <c r="Z492" s="20"/>
    </row>
    <row r="493" spans="13:26" ht="17.25" customHeight="1">
      <c r="M493" s="47"/>
      <c r="N493" s="20"/>
      <c r="O493" s="20"/>
      <c r="P493" s="20"/>
      <c r="Q493" s="20"/>
      <c r="R493" s="20"/>
      <c r="S493" s="20"/>
      <c r="T493" s="20"/>
      <c r="U493" s="20"/>
      <c r="V493" s="20"/>
      <c r="W493" s="20"/>
      <c r="X493" s="20"/>
      <c r="Y493" s="20"/>
      <c r="Z493" s="20"/>
    </row>
    <row r="494" spans="13:26" ht="17.25" customHeight="1">
      <c r="M494" s="47"/>
      <c r="N494" s="20"/>
      <c r="O494" s="20"/>
      <c r="P494" s="20"/>
      <c r="Q494" s="20"/>
      <c r="R494" s="20"/>
      <c r="S494" s="20"/>
      <c r="T494" s="20"/>
      <c r="U494" s="20"/>
      <c r="V494" s="20"/>
      <c r="W494" s="20"/>
      <c r="X494" s="20"/>
      <c r="Y494" s="20"/>
      <c r="Z494" s="20"/>
    </row>
    <row r="495" spans="13:26" ht="17.25" customHeight="1">
      <c r="M495" s="47"/>
      <c r="N495" s="20"/>
      <c r="O495" s="20"/>
      <c r="P495" s="20"/>
      <c r="Q495" s="20"/>
      <c r="R495" s="20"/>
      <c r="S495" s="20"/>
      <c r="T495" s="20"/>
      <c r="U495" s="20"/>
      <c r="V495" s="20"/>
      <c r="W495" s="20"/>
      <c r="X495" s="20"/>
      <c r="Y495" s="20"/>
      <c r="Z495" s="20"/>
    </row>
    <row r="496" spans="13:26" ht="17.25" customHeight="1">
      <c r="M496" s="47"/>
      <c r="N496" s="20"/>
      <c r="O496" s="20"/>
      <c r="P496" s="20"/>
      <c r="Q496" s="20"/>
      <c r="R496" s="20"/>
      <c r="S496" s="20"/>
      <c r="T496" s="20"/>
      <c r="U496" s="20"/>
      <c r="V496" s="20"/>
      <c r="W496" s="20"/>
      <c r="X496" s="20"/>
      <c r="Y496" s="20"/>
      <c r="Z496" s="20"/>
    </row>
    <row r="497" spans="13:26" ht="17.25" customHeight="1">
      <c r="M497" s="47"/>
      <c r="N497" s="20"/>
      <c r="O497" s="20"/>
      <c r="P497" s="20"/>
      <c r="Q497" s="20"/>
      <c r="R497" s="20"/>
      <c r="S497" s="20"/>
      <c r="T497" s="20"/>
      <c r="U497" s="20"/>
      <c r="V497" s="20"/>
      <c r="W497" s="20"/>
      <c r="X497" s="20"/>
      <c r="Y497" s="20"/>
      <c r="Z497" s="20"/>
    </row>
    <row r="498" spans="13:26" ht="17.25" customHeight="1">
      <c r="M498" s="47"/>
      <c r="N498" s="20"/>
      <c r="O498" s="20"/>
      <c r="P498" s="20"/>
      <c r="Q498" s="20"/>
      <c r="R498" s="20"/>
      <c r="S498" s="20"/>
      <c r="T498" s="20"/>
      <c r="U498" s="20"/>
      <c r="V498" s="20"/>
      <c r="W498" s="20"/>
      <c r="X498" s="20"/>
      <c r="Y498" s="20"/>
      <c r="Z498" s="20"/>
    </row>
    <row r="499" spans="13:26" ht="17.25" customHeight="1">
      <c r="M499" s="47"/>
      <c r="N499" s="20"/>
      <c r="O499" s="20"/>
      <c r="P499" s="20"/>
      <c r="Q499" s="20"/>
      <c r="R499" s="20"/>
      <c r="S499" s="20"/>
      <c r="T499" s="20"/>
      <c r="U499" s="20"/>
      <c r="V499" s="20"/>
      <c r="W499" s="20"/>
      <c r="X499" s="20"/>
      <c r="Y499" s="20"/>
      <c r="Z499" s="20"/>
    </row>
    <row r="500" spans="13:26" ht="17.25" customHeight="1">
      <c r="M500" s="47"/>
      <c r="N500" s="20"/>
      <c r="O500" s="20"/>
      <c r="P500" s="20"/>
      <c r="Q500" s="20"/>
      <c r="R500" s="20"/>
      <c r="S500" s="20"/>
      <c r="T500" s="20"/>
      <c r="U500" s="20"/>
      <c r="V500" s="20"/>
      <c r="W500" s="20"/>
      <c r="X500" s="20"/>
      <c r="Y500" s="20"/>
      <c r="Z500" s="20"/>
    </row>
    <row r="501" spans="13:26" ht="17.25" customHeight="1">
      <c r="M501" s="47"/>
      <c r="N501" s="20"/>
      <c r="O501" s="20"/>
      <c r="P501" s="20"/>
      <c r="Q501" s="20"/>
      <c r="R501" s="20"/>
      <c r="S501" s="20"/>
      <c r="T501" s="20"/>
      <c r="U501" s="20"/>
      <c r="V501" s="20"/>
      <c r="W501" s="20"/>
      <c r="X501" s="20"/>
      <c r="Y501" s="20"/>
      <c r="Z501" s="20"/>
    </row>
    <row r="502" spans="13:26" ht="17.25" customHeight="1">
      <c r="M502" s="47"/>
      <c r="N502" s="20"/>
      <c r="O502" s="20"/>
      <c r="P502" s="20"/>
      <c r="Q502" s="20"/>
      <c r="R502" s="20"/>
      <c r="S502" s="20"/>
      <c r="T502" s="20"/>
      <c r="U502" s="20"/>
      <c r="V502" s="20"/>
      <c r="W502" s="20"/>
      <c r="X502" s="20"/>
      <c r="Y502" s="20"/>
      <c r="Z502" s="20"/>
    </row>
    <row r="503" spans="13:26" ht="17.25" customHeight="1">
      <c r="M503" s="47"/>
      <c r="N503" s="20"/>
      <c r="O503" s="20"/>
      <c r="P503" s="20"/>
      <c r="Q503" s="20"/>
      <c r="R503" s="20"/>
      <c r="S503" s="20"/>
      <c r="T503" s="20"/>
      <c r="U503" s="20"/>
      <c r="V503" s="20"/>
      <c r="W503" s="20"/>
      <c r="X503" s="20"/>
      <c r="Y503" s="20"/>
      <c r="Z503" s="20"/>
    </row>
    <row r="504" spans="13:26" ht="17.25" customHeight="1">
      <c r="M504" s="47"/>
      <c r="N504" s="20"/>
      <c r="O504" s="20"/>
      <c r="P504" s="20"/>
      <c r="Q504" s="20"/>
      <c r="R504" s="20"/>
      <c r="S504" s="20"/>
      <c r="T504" s="20"/>
      <c r="U504" s="20"/>
      <c r="V504" s="20"/>
      <c r="W504" s="20"/>
      <c r="X504" s="20"/>
      <c r="Y504" s="20"/>
      <c r="Z504" s="20"/>
    </row>
    <row r="505" spans="13:26" ht="17.25" customHeight="1">
      <c r="M505" s="47"/>
      <c r="N505" s="20"/>
      <c r="O505" s="20"/>
      <c r="P505" s="20"/>
      <c r="Q505" s="20"/>
      <c r="R505" s="20"/>
      <c r="S505" s="20"/>
      <c r="T505" s="20"/>
      <c r="U505" s="20"/>
      <c r="V505" s="20"/>
      <c r="W505" s="20"/>
      <c r="X505" s="20"/>
      <c r="Y505" s="20"/>
      <c r="Z505" s="20"/>
    </row>
    <row r="506" spans="13:26" ht="17.25" customHeight="1">
      <c r="M506" s="47"/>
      <c r="N506" s="20"/>
      <c r="O506" s="20"/>
      <c r="P506" s="20"/>
      <c r="Q506" s="20"/>
      <c r="R506" s="20"/>
      <c r="S506" s="20"/>
      <c r="T506" s="20"/>
      <c r="U506" s="20"/>
      <c r="V506" s="20"/>
      <c r="W506" s="20"/>
      <c r="X506" s="20"/>
      <c r="Y506" s="20"/>
      <c r="Z506" s="20"/>
    </row>
    <row r="507" spans="13:26" ht="17.25" customHeight="1">
      <c r="M507" s="47"/>
      <c r="N507" s="20"/>
      <c r="O507" s="20"/>
      <c r="P507" s="20"/>
      <c r="Q507" s="20"/>
      <c r="R507" s="20"/>
      <c r="S507" s="20"/>
      <c r="T507" s="20"/>
      <c r="U507" s="20"/>
      <c r="V507" s="20"/>
      <c r="W507" s="20"/>
      <c r="X507" s="20"/>
      <c r="Y507" s="20"/>
      <c r="Z507" s="20"/>
    </row>
    <row r="508" spans="13:26" ht="17.25" customHeight="1">
      <c r="M508" s="47"/>
      <c r="N508" s="20"/>
      <c r="O508" s="20"/>
      <c r="P508" s="20"/>
      <c r="Q508" s="20"/>
      <c r="R508" s="20"/>
      <c r="S508" s="20"/>
      <c r="T508" s="20"/>
      <c r="U508" s="20"/>
      <c r="V508" s="20"/>
      <c r="W508" s="20"/>
      <c r="X508" s="20"/>
      <c r="Y508" s="20"/>
      <c r="Z508" s="20"/>
    </row>
    <row r="509" spans="13:26" ht="17.25" customHeight="1">
      <c r="M509" s="47"/>
      <c r="N509" s="20"/>
      <c r="O509" s="20"/>
      <c r="P509" s="20"/>
      <c r="Q509" s="20"/>
      <c r="R509" s="20"/>
      <c r="S509" s="20"/>
      <c r="T509" s="20"/>
      <c r="U509" s="20"/>
      <c r="V509" s="20"/>
      <c r="W509" s="20"/>
      <c r="X509" s="20"/>
      <c r="Y509" s="20"/>
      <c r="Z509" s="20"/>
    </row>
    <row r="510" spans="13:26" ht="17.25" customHeight="1">
      <c r="M510" s="47"/>
      <c r="N510" s="20"/>
      <c r="O510" s="20"/>
      <c r="P510" s="20"/>
      <c r="Q510" s="20"/>
      <c r="R510" s="20"/>
      <c r="S510" s="20"/>
      <c r="T510" s="20"/>
      <c r="U510" s="20"/>
      <c r="V510" s="20"/>
      <c r="W510" s="20"/>
      <c r="X510" s="20"/>
      <c r="Y510" s="20"/>
      <c r="Z510" s="20"/>
    </row>
    <row r="511" spans="13:26" ht="17.25" customHeight="1">
      <c r="M511" s="47"/>
      <c r="N511" s="20"/>
      <c r="O511" s="20"/>
      <c r="P511" s="20"/>
      <c r="Q511" s="20"/>
      <c r="R511" s="20"/>
      <c r="S511" s="20"/>
      <c r="T511" s="20"/>
      <c r="U511" s="20"/>
      <c r="V511" s="20"/>
      <c r="W511" s="20"/>
      <c r="X511" s="20"/>
      <c r="Y511" s="20"/>
      <c r="Z511" s="20"/>
    </row>
    <row r="512" spans="13:26" ht="17.25" customHeight="1">
      <c r="M512" s="47"/>
      <c r="N512" s="20"/>
      <c r="O512" s="20"/>
      <c r="P512" s="20"/>
      <c r="Q512" s="20"/>
      <c r="R512" s="20"/>
      <c r="S512" s="20"/>
      <c r="T512" s="20"/>
      <c r="U512" s="20"/>
      <c r="V512" s="20"/>
      <c r="W512" s="20"/>
      <c r="X512" s="20"/>
      <c r="Y512" s="20"/>
      <c r="Z512" s="20"/>
    </row>
    <row r="513" spans="13:26" ht="17.25" customHeight="1">
      <c r="M513" s="47"/>
      <c r="N513" s="20"/>
      <c r="O513" s="20"/>
      <c r="P513" s="20"/>
      <c r="Q513" s="20"/>
      <c r="R513" s="20"/>
      <c r="S513" s="20"/>
      <c r="T513" s="20"/>
      <c r="U513" s="20"/>
      <c r="V513" s="20"/>
      <c r="W513" s="20"/>
      <c r="X513" s="20"/>
      <c r="Y513" s="20"/>
      <c r="Z513" s="20"/>
    </row>
    <row r="514" spans="13:26" ht="17.25" customHeight="1">
      <c r="M514" s="47"/>
      <c r="N514" s="20"/>
      <c r="O514" s="20"/>
      <c r="P514" s="20"/>
      <c r="Q514" s="20"/>
      <c r="R514" s="20"/>
      <c r="S514" s="20"/>
      <c r="T514" s="20"/>
      <c r="U514" s="20"/>
      <c r="V514" s="20"/>
      <c r="W514" s="20"/>
      <c r="X514" s="20"/>
      <c r="Y514" s="20"/>
      <c r="Z514" s="20"/>
    </row>
    <row r="515" spans="13:26" ht="17.25" customHeight="1">
      <c r="M515" s="47"/>
      <c r="N515" s="20"/>
      <c r="O515" s="20"/>
      <c r="P515" s="20"/>
      <c r="Q515" s="20"/>
      <c r="R515" s="20"/>
      <c r="S515" s="20"/>
      <c r="T515" s="20"/>
      <c r="U515" s="20"/>
      <c r="V515" s="20"/>
      <c r="W515" s="20"/>
      <c r="X515" s="20"/>
      <c r="Y515" s="20"/>
      <c r="Z515" s="20"/>
    </row>
    <row r="516" spans="13:26" ht="17.25" customHeight="1">
      <c r="M516" s="47"/>
      <c r="N516" s="20"/>
      <c r="O516" s="20"/>
      <c r="P516" s="20"/>
      <c r="Q516" s="20"/>
      <c r="R516" s="20"/>
      <c r="S516" s="20"/>
      <c r="T516" s="20"/>
      <c r="U516" s="20"/>
      <c r="V516" s="20"/>
      <c r="W516" s="20"/>
      <c r="X516" s="20"/>
      <c r="Y516" s="20"/>
      <c r="Z516" s="20"/>
    </row>
    <row r="517" spans="13:26" ht="17.25" customHeight="1">
      <c r="M517" s="47"/>
      <c r="N517" s="20"/>
      <c r="O517" s="20"/>
      <c r="P517" s="20"/>
      <c r="Q517" s="20"/>
      <c r="R517" s="20"/>
      <c r="S517" s="20"/>
      <c r="T517" s="20"/>
      <c r="U517" s="20"/>
      <c r="V517" s="20"/>
      <c r="W517" s="20"/>
      <c r="X517" s="20"/>
      <c r="Y517" s="20"/>
      <c r="Z517" s="20"/>
    </row>
    <row r="518" spans="13:26" ht="17.25" customHeight="1">
      <c r="M518" s="47"/>
      <c r="N518" s="20"/>
      <c r="O518" s="20"/>
      <c r="P518" s="20"/>
      <c r="Q518" s="20"/>
      <c r="R518" s="20"/>
      <c r="S518" s="20"/>
      <c r="T518" s="20"/>
      <c r="U518" s="20"/>
      <c r="V518" s="20"/>
      <c r="W518" s="20"/>
      <c r="X518" s="20"/>
      <c r="Y518" s="20"/>
      <c r="Z518" s="20"/>
    </row>
    <row r="519" spans="13:26" ht="17.25" customHeight="1">
      <c r="M519" s="47"/>
      <c r="N519" s="20"/>
      <c r="O519" s="20"/>
      <c r="P519" s="20"/>
      <c r="Q519" s="20"/>
      <c r="R519" s="20"/>
      <c r="S519" s="20"/>
      <c r="T519" s="20"/>
      <c r="U519" s="20"/>
      <c r="V519" s="20"/>
      <c r="W519" s="20"/>
      <c r="X519" s="20"/>
      <c r="Y519" s="20"/>
      <c r="Z519" s="20"/>
    </row>
    <row r="520" spans="13:26" ht="17.25" customHeight="1">
      <c r="M520" s="47"/>
      <c r="N520" s="20"/>
      <c r="O520" s="20"/>
      <c r="P520" s="20"/>
      <c r="Q520" s="20"/>
      <c r="R520" s="20"/>
      <c r="S520" s="20"/>
      <c r="T520" s="20"/>
      <c r="U520" s="20"/>
      <c r="V520" s="20"/>
      <c r="W520" s="20"/>
      <c r="X520" s="20"/>
      <c r="Y520" s="20"/>
      <c r="Z520" s="20"/>
    </row>
    <row r="521" spans="13:26" ht="17.25" customHeight="1">
      <c r="M521" s="47"/>
      <c r="N521" s="20"/>
      <c r="O521" s="20"/>
      <c r="P521" s="20"/>
      <c r="Q521" s="20"/>
      <c r="R521" s="20"/>
      <c r="S521" s="20"/>
      <c r="T521" s="20"/>
      <c r="U521" s="20"/>
      <c r="V521" s="20"/>
      <c r="W521" s="20"/>
      <c r="X521" s="20"/>
      <c r="Y521" s="20"/>
      <c r="Z521" s="20"/>
    </row>
    <row r="522" spans="13:26" ht="17.25" customHeight="1">
      <c r="M522" s="47"/>
      <c r="N522" s="20"/>
      <c r="O522" s="20"/>
      <c r="P522" s="20"/>
      <c r="Q522" s="20"/>
      <c r="R522" s="20"/>
      <c r="S522" s="20"/>
      <c r="T522" s="20"/>
      <c r="U522" s="20"/>
      <c r="V522" s="20"/>
      <c r="W522" s="20"/>
      <c r="X522" s="20"/>
      <c r="Y522" s="20"/>
      <c r="Z522" s="20"/>
    </row>
    <row r="523" spans="13:26" ht="17.25" customHeight="1">
      <c r="M523" s="47"/>
      <c r="N523" s="20"/>
      <c r="O523" s="20"/>
      <c r="P523" s="20"/>
      <c r="Q523" s="20"/>
      <c r="R523" s="20"/>
      <c r="S523" s="20"/>
      <c r="T523" s="20"/>
      <c r="U523" s="20"/>
      <c r="V523" s="20"/>
      <c r="W523" s="20"/>
      <c r="X523" s="20"/>
      <c r="Y523" s="20"/>
      <c r="Z523" s="20"/>
    </row>
    <row r="524" spans="13:26" ht="17.25" customHeight="1">
      <c r="M524" s="47"/>
      <c r="N524" s="20"/>
      <c r="O524" s="20"/>
      <c r="P524" s="20"/>
      <c r="Q524" s="20"/>
      <c r="R524" s="20"/>
      <c r="S524" s="20"/>
      <c r="T524" s="20"/>
      <c r="U524" s="20"/>
      <c r="V524" s="20"/>
      <c r="W524" s="20"/>
      <c r="X524" s="20"/>
      <c r="Y524" s="20"/>
      <c r="Z524" s="20"/>
    </row>
    <row r="525" spans="13:26" ht="17.25" customHeight="1">
      <c r="M525" s="47"/>
      <c r="N525" s="20"/>
      <c r="O525" s="20"/>
      <c r="P525" s="20"/>
      <c r="Q525" s="20"/>
      <c r="R525" s="20"/>
      <c r="S525" s="20"/>
      <c r="T525" s="20"/>
      <c r="U525" s="20"/>
      <c r="V525" s="20"/>
      <c r="W525" s="20"/>
      <c r="X525" s="20"/>
      <c r="Y525" s="20"/>
      <c r="Z525" s="20"/>
    </row>
    <row r="526" spans="13:26" ht="17.25" customHeight="1">
      <c r="M526" s="47"/>
      <c r="N526" s="20"/>
      <c r="O526" s="20"/>
      <c r="P526" s="20"/>
      <c r="Q526" s="20"/>
      <c r="R526" s="20"/>
      <c r="S526" s="20"/>
      <c r="T526" s="20"/>
      <c r="U526" s="20"/>
      <c r="V526" s="20"/>
      <c r="W526" s="20"/>
      <c r="X526" s="20"/>
      <c r="Y526" s="20"/>
      <c r="Z526" s="20"/>
    </row>
    <row r="527" spans="13:26" ht="17.25" customHeight="1">
      <c r="M527" s="47"/>
      <c r="N527" s="20"/>
      <c r="O527" s="20"/>
      <c r="P527" s="20"/>
      <c r="Q527" s="20"/>
      <c r="R527" s="20"/>
      <c r="S527" s="20"/>
      <c r="T527" s="20"/>
      <c r="U527" s="20"/>
      <c r="V527" s="20"/>
      <c r="W527" s="20"/>
      <c r="X527" s="20"/>
      <c r="Y527" s="20"/>
      <c r="Z527" s="20"/>
    </row>
    <row r="528" spans="13:26" ht="17.25" customHeight="1">
      <c r="M528" s="47"/>
      <c r="N528" s="20"/>
      <c r="O528" s="20"/>
      <c r="P528" s="20"/>
      <c r="Q528" s="20"/>
      <c r="R528" s="20"/>
      <c r="S528" s="20"/>
      <c r="T528" s="20"/>
      <c r="U528" s="20"/>
      <c r="V528" s="20"/>
      <c r="W528" s="20"/>
      <c r="X528" s="20"/>
      <c r="Y528" s="20"/>
      <c r="Z528" s="20"/>
    </row>
    <row r="529" spans="13:26" ht="17.25" customHeight="1">
      <c r="M529" s="47"/>
      <c r="N529" s="20"/>
      <c r="O529" s="20"/>
      <c r="P529" s="20"/>
      <c r="Q529" s="20"/>
      <c r="R529" s="20"/>
      <c r="S529" s="20"/>
      <c r="T529" s="20"/>
      <c r="U529" s="20"/>
      <c r="V529" s="20"/>
      <c r="W529" s="20"/>
      <c r="X529" s="20"/>
      <c r="Y529" s="20"/>
      <c r="Z529" s="20"/>
    </row>
    <row r="530" spans="13:26" ht="17.25" customHeight="1">
      <c r="M530" s="47"/>
      <c r="N530" s="20"/>
      <c r="O530" s="20"/>
      <c r="P530" s="20"/>
      <c r="Q530" s="20"/>
      <c r="R530" s="20"/>
      <c r="S530" s="20"/>
      <c r="T530" s="20"/>
      <c r="U530" s="20"/>
      <c r="V530" s="20"/>
      <c r="W530" s="20"/>
      <c r="X530" s="20"/>
      <c r="Y530" s="20"/>
      <c r="Z530" s="20"/>
    </row>
    <row r="531" spans="13:26" ht="17.25" customHeight="1">
      <c r="M531" s="47"/>
      <c r="N531" s="20"/>
      <c r="O531" s="20"/>
      <c r="P531" s="20"/>
      <c r="Q531" s="20"/>
      <c r="R531" s="20"/>
      <c r="S531" s="20"/>
      <c r="T531" s="20"/>
      <c r="U531" s="20"/>
      <c r="V531" s="20"/>
      <c r="W531" s="20"/>
      <c r="X531" s="20"/>
      <c r="Y531" s="20"/>
      <c r="Z531" s="20"/>
    </row>
    <row r="532" spans="13:26" ht="17.25" customHeight="1">
      <c r="M532" s="47"/>
      <c r="N532" s="20"/>
      <c r="O532" s="20"/>
      <c r="P532" s="20"/>
      <c r="Q532" s="20"/>
      <c r="R532" s="20"/>
      <c r="S532" s="20"/>
      <c r="T532" s="20"/>
      <c r="U532" s="20"/>
      <c r="V532" s="20"/>
      <c r="W532" s="20"/>
      <c r="X532" s="20"/>
      <c r="Y532" s="20"/>
      <c r="Z532" s="20"/>
    </row>
    <row r="533" spans="13:26" ht="17.25" customHeight="1">
      <c r="M533" s="47"/>
      <c r="N533" s="20"/>
      <c r="O533" s="20"/>
      <c r="P533" s="20"/>
      <c r="Q533" s="20"/>
      <c r="R533" s="20"/>
      <c r="S533" s="20"/>
      <c r="T533" s="20"/>
      <c r="U533" s="20"/>
      <c r="V533" s="20"/>
      <c r="W533" s="20"/>
      <c r="X533" s="20"/>
      <c r="Y533" s="20"/>
      <c r="Z533" s="20"/>
    </row>
    <row r="534" spans="13:26" ht="17.25" customHeight="1">
      <c r="M534" s="47"/>
      <c r="N534" s="20"/>
      <c r="O534" s="20"/>
      <c r="P534" s="20"/>
      <c r="Q534" s="20"/>
      <c r="R534" s="20"/>
      <c r="S534" s="20"/>
      <c r="T534" s="20"/>
      <c r="U534" s="20"/>
      <c r="V534" s="20"/>
      <c r="W534" s="20"/>
      <c r="X534" s="20"/>
      <c r="Y534" s="20"/>
      <c r="Z534" s="20"/>
    </row>
    <row r="535" spans="13:26" ht="17.25" customHeight="1">
      <c r="M535" s="47"/>
      <c r="N535" s="20"/>
      <c r="O535" s="20"/>
      <c r="P535" s="20"/>
      <c r="Q535" s="20"/>
      <c r="R535" s="20"/>
      <c r="S535" s="20"/>
      <c r="T535" s="20"/>
      <c r="U535" s="20"/>
      <c r="V535" s="20"/>
      <c r="W535" s="20"/>
      <c r="X535" s="20"/>
      <c r="Y535" s="20"/>
      <c r="Z535" s="20"/>
    </row>
    <row r="536" spans="13:26" ht="17.25" customHeight="1">
      <c r="M536" s="47"/>
      <c r="N536" s="20"/>
      <c r="O536" s="20"/>
      <c r="P536" s="20"/>
      <c r="Q536" s="20"/>
      <c r="R536" s="20"/>
      <c r="S536" s="20"/>
      <c r="T536" s="20"/>
      <c r="U536" s="20"/>
      <c r="V536" s="20"/>
      <c r="W536" s="20"/>
      <c r="X536" s="20"/>
      <c r="Y536" s="20"/>
      <c r="Z536" s="20"/>
    </row>
    <row r="537" spans="13:26" ht="17.25" customHeight="1">
      <c r="M537" s="47"/>
      <c r="N537" s="20"/>
      <c r="O537" s="20"/>
      <c r="P537" s="20"/>
      <c r="Q537" s="20"/>
      <c r="R537" s="20"/>
      <c r="S537" s="20"/>
      <c r="T537" s="20"/>
      <c r="U537" s="20"/>
      <c r="V537" s="20"/>
      <c r="W537" s="20"/>
      <c r="X537" s="20"/>
      <c r="Y537" s="20"/>
      <c r="Z537" s="20"/>
    </row>
    <row r="538" spans="13:26" ht="17.25" customHeight="1">
      <c r="M538" s="47"/>
      <c r="N538" s="20"/>
      <c r="O538" s="20"/>
      <c r="P538" s="20"/>
      <c r="Q538" s="20"/>
      <c r="R538" s="20"/>
      <c r="S538" s="20"/>
      <c r="T538" s="20"/>
      <c r="U538" s="20"/>
      <c r="V538" s="20"/>
      <c r="W538" s="20"/>
      <c r="X538" s="20"/>
      <c r="Y538" s="20"/>
      <c r="Z538" s="20"/>
    </row>
    <row r="539" spans="13:26" ht="17.25" customHeight="1">
      <c r="M539" s="47"/>
      <c r="N539" s="20"/>
      <c r="O539" s="20"/>
      <c r="P539" s="20"/>
      <c r="Q539" s="20"/>
      <c r="R539" s="20"/>
      <c r="S539" s="20"/>
      <c r="T539" s="20"/>
      <c r="U539" s="20"/>
      <c r="V539" s="20"/>
      <c r="W539" s="20"/>
      <c r="X539" s="20"/>
      <c r="Y539" s="20"/>
      <c r="Z539" s="20"/>
    </row>
    <row r="540" spans="13:26" ht="17.25" customHeight="1">
      <c r="M540" s="47"/>
      <c r="N540" s="20"/>
      <c r="O540" s="20"/>
      <c r="P540" s="20"/>
      <c r="Q540" s="20"/>
      <c r="R540" s="20"/>
      <c r="S540" s="20"/>
      <c r="T540" s="20"/>
      <c r="U540" s="20"/>
      <c r="V540" s="20"/>
      <c r="W540" s="20"/>
      <c r="X540" s="20"/>
      <c r="Y540" s="20"/>
      <c r="Z540" s="20"/>
    </row>
    <row r="541" spans="13:26" ht="17.25" customHeight="1">
      <c r="M541" s="47"/>
      <c r="N541" s="20"/>
      <c r="O541" s="20"/>
      <c r="P541" s="20"/>
      <c r="Q541" s="20"/>
      <c r="R541" s="20"/>
      <c r="S541" s="20"/>
      <c r="T541" s="20"/>
      <c r="U541" s="20"/>
      <c r="V541" s="20"/>
      <c r="W541" s="20"/>
      <c r="X541" s="20"/>
      <c r="Y541" s="20"/>
      <c r="Z541" s="20"/>
    </row>
    <row r="542" spans="13:26" ht="17.25" customHeight="1">
      <c r="M542" s="47"/>
      <c r="N542" s="20"/>
      <c r="O542" s="20"/>
      <c r="P542" s="20"/>
      <c r="Q542" s="20"/>
      <c r="R542" s="20"/>
      <c r="S542" s="20"/>
      <c r="T542" s="20"/>
      <c r="U542" s="20"/>
      <c r="V542" s="20"/>
      <c r="W542" s="20"/>
      <c r="X542" s="20"/>
      <c r="Y542" s="20"/>
      <c r="Z542" s="20"/>
    </row>
    <row r="543" spans="13:26" ht="17.25" customHeight="1">
      <c r="M543" s="47"/>
      <c r="N543" s="20"/>
      <c r="O543" s="20"/>
      <c r="P543" s="20"/>
      <c r="Q543" s="20"/>
      <c r="R543" s="20"/>
      <c r="S543" s="20"/>
      <c r="T543" s="20"/>
      <c r="U543" s="20"/>
      <c r="V543" s="20"/>
      <c r="W543" s="20"/>
      <c r="X543" s="20"/>
      <c r="Y543" s="20"/>
      <c r="Z543" s="20"/>
    </row>
    <row r="544" spans="13:26" ht="17.25" customHeight="1">
      <c r="M544" s="47"/>
      <c r="N544" s="20"/>
      <c r="O544" s="20"/>
      <c r="P544" s="20"/>
      <c r="Q544" s="20"/>
      <c r="R544" s="20"/>
      <c r="S544" s="20"/>
      <c r="T544" s="20"/>
      <c r="U544" s="20"/>
      <c r="V544" s="20"/>
      <c r="W544" s="20"/>
      <c r="X544" s="20"/>
      <c r="Y544" s="20"/>
      <c r="Z544" s="20"/>
    </row>
    <row r="545" spans="13:26" ht="17.25" customHeight="1">
      <c r="M545" s="47"/>
      <c r="N545" s="20"/>
      <c r="O545" s="20"/>
      <c r="P545" s="20"/>
      <c r="Q545" s="20"/>
      <c r="R545" s="20"/>
      <c r="S545" s="20"/>
      <c r="T545" s="20"/>
      <c r="U545" s="20"/>
      <c r="V545" s="20"/>
      <c r="W545" s="20"/>
      <c r="X545" s="20"/>
      <c r="Y545" s="20"/>
      <c r="Z545" s="20"/>
    </row>
    <row r="546" spans="13:26" ht="17.25" customHeight="1">
      <c r="M546" s="47"/>
      <c r="N546" s="20"/>
      <c r="O546" s="20"/>
      <c r="P546" s="20"/>
      <c r="Q546" s="20"/>
      <c r="R546" s="20"/>
      <c r="S546" s="20"/>
      <c r="T546" s="20"/>
      <c r="U546" s="20"/>
      <c r="V546" s="20"/>
      <c r="W546" s="20"/>
      <c r="X546" s="20"/>
      <c r="Y546" s="20"/>
      <c r="Z546" s="20"/>
    </row>
    <row r="547" spans="13:26" ht="17.25" customHeight="1">
      <c r="M547" s="47"/>
      <c r="N547" s="20"/>
      <c r="O547" s="20"/>
      <c r="P547" s="20"/>
      <c r="Q547" s="20"/>
      <c r="R547" s="20"/>
      <c r="S547" s="20"/>
      <c r="T547" s="20"/>
      <c r="U547" s="20"/>
      <c r="V547" s="20"/>
      <c r="W547" s="20"/>
      <c r="X547" s="20"/>
      <c r="Y547" s="20"/>
      <c r="Z547" s="20"/>
    </row>
    <row r="548" spans="13:26" ht="17.25" customHeight="1">
      <c r="M548" s="47"/>
      <c r="N548" s="20"/>
      <c r="O548" s="20"/>
      <c r="P548" s="20"/>
      <c r="Q548" s="20"/>
      <c r="R548" s="20"/>
      <c r="S548" s="20"/>
      <c r="T548" s="20"/>
      <c r="U548" s="20"/>
      <c r="V548" s="20"/>
      <c r="W548" s="20"/>
      <c r="X548" s="20"/>
      <c r="Y548" s="20"/>
      <c r="Z548" s="20"/>
    </row>
    <row r="549" spans="13:26" ht="17.25" customHeight="1">
      <c r="M549" s="47"/>
      <c r="N549" s="20"/>
      <c r="O549" s="20"/>
      <c r="P549" s="20"/>
      <c r="Q549" s="20"/>
      <c r="R549" s="20"/>
      <c r="S549" s="20"/>
      <c r="T549" s="20"/>
      <c r="U549" s="20"/>
      <c r="V549" s="20"/>
      <c r="W549" s="20"/>
      <c r="X549" s="20"/>
      <c r="Y549" s="20"/>
      <c r="Z549" s="20"/>
    </row>
    <row r="550" spans="13:26" ht="17.25" customHeight="1">
      <c r="M550" s="47"/>
      <c r="N550" s="20"/>
      <c r="O550" s="20"/>
      <c r="P550" s="20"/>
      <c r="Q550" s="20"/>
      <c r="R550" s="20"/>
      <c r="S550" s="20"/>
      <c r="T550" s="20"/>
      <c r="U550" s="20"/>
      <c r="V550" s="20"/>
      <c r="W550" s="20"/>
      <c r="X550" s="20"/>
      <c r="Y550" s="20"/>
      <c r="Z550" s="20"/>
    </row>
    <row r="551" spans="13:26" ht="17.25" customHeight="1">
      <c r="M551" s="47"/>
      <c r="N551" s="20"/>
      <c r="O551" s="20"/>
      <c r="P551" s="20"/>
      <c r="Q551" s="20"/>
      <c r="R551" s="20"/>
      <c r="S551" s="20"/>
      <c r="T551" s="20"/>
      <c r="U551" s="20"/>
      <c r="V551" s="20"/>
      <c r="W551" s="20"/>
      <c r="X551" s="20"/>
      <c r="Y551" s="20"/>
      <c r="Z551" s="20"/>
    </row>
    <row r="552" spans="13:26" ht="17.25" customHeight="1">
      <c r="M552" s="47"/>
      <c r="N552" s="20"/>
      <c r="O552" s="20"/>
      <c r="P552" s="20"/>
      <c r="Q552" s="20"/>
      <c r="R552" s="20"/>
      <c r="S552" s="20"/>
      <c r="T552" s="20"/>
      <c r="U552" s="20"/>
      <c r="V552" s="20"/>
      <c r="W552" s="20"/>
      <c r="X552" s="20"/>
      <c r="Y552" s="20"/>
      <c r="Z552" s="20"/>
    </row>
    <row r="553" spans="13:26" ht="17.25" customHeight="1">
      <c r="M553" s="47"/>
      <c r="N553" s="20"/>
      <c r="O553" s="20"/>
      <c r="P553" s="20"/>
      <c r="Q553" s="20"/>
      <c r="R553" s="20"/>
      <c r="S553" s="20"/>
      <c r="T553" s="20"/>
      <c r="U553" s="20"/>
      <c r="V553" s="20"/>
      <c r="W553" s="20"/>
      <c r="X553" s="20"/>
      <c r="Y553" s="20"/>
      <c r="Z553" s="20"/>
    </row>
    <row r="554" spans="13:26" ht="17.25" customHeight="1">
      <c r="M554" s="47"/>
      <c r="N554" s="20"/>
      <c r="O554" s="20"/>
      <c r="P554" s="20"/>
      <c r="Q554" s="20"/>
      <c r="R554" s="20"/>
      <c r="S554" s="20"/>
      <c r="T554" s="20"/>
      <c r="U554" s="20"/>
      <c r="V554" s="20"/>
      <c r="W554" s="20"/>
      <c r="X554" s="20"/>
      <c r="Y554" s="20"/>
      <c r="Z554" s="20"/>
    </row>
    <row r="555" spans="13:26" ht="17.25" customHeight="1">
      <c r="M555" s="47"/>
      <c r="N555" s="20"/>
      <c r="O555" s="20"/>
      <c r="P555" s="20"/>
      <c r="Q555" s="20"/>
      <c r="R555" s="20"/>
      <c r="S555" s="20"/>
      <c r="T555" s="20"/>
      <c r="U555" s="20"/>
      <c r="V555" s="20"/>
      <c r="W555" s="20"/>
      <c r="X555" s="20"/>
      <c r="Y555" s="20"/>
      <c r="Z555" s="20"/>
    </row>
    <row r="556" spans="13:26" ht="17.25" customHeight="1">
      <c r="M556" s="47"/>
      <c r="N556" s="20"/>
      <c r="O556" s="20"/>
      <c r="P556" s="20"/>
      <c r="Q556" s="20"/>
      <c r="R556" s="20"/>
      <c r="S556" s="20"/>
      <c r="T556" s="20"/>
      <c r="U556" s="20"/>
      <c r="V556" s="20"/>
      <c r="W556" s="20"/>
      <c r="X556" s="20"/>
      <c r="Y556" s="20"/>
      <c r="Z556" s="20"/>
    </row>
    <row r="557" spans="13:26" ht="17.25" customHeight="1">
      <c r="M557" s="47"/>
      <c r="N557" s="20"/>
      <c r="O557" s="20"/>
      <c r="P557" s="20"/>
      <c r="Q557" s="20"/>
      <c r="R557" s="20"/>
      <c r="S557" s="20"/>
      <c r="T557" s="20"/>
      <c r="U557" s="20"/>
      <c r="V557" s="20"/>
      <c r="W557" s="20"/>
      <c r="X557" s="20"/>
      <c r="Y557" s="20"/>
      <c r="Z557" s="20"/>
    </row>
    <row r="558" spans="13:26" ht="17.25" customHeight="1">
      <c r="M558" s="47"/>
      <c r="N558" s="20"/>
      <c r="O558" s="20"/>
      <c r="P558" s="20"/>
      <c r="Q558" s="20"/>
      <c r="R558" s="20"/>
      <c r="S558" s="20"/>
      <c r="T558" s="20"/>
      <c r="U558" s="20"/>
      <c r="V558" s="20"/>
      <c r="W558" s="20"/>
      <c r="X558" s="20"/>
      <c r="Y558" s="20"/>
      <c r="Z558" s="20"/>
    </row>
    <row r="559" spans="13:26" ht="17.25" customHeight="1">
      <c r="M559" s="47"/>
      <c r="N559" s="20"/>
      <c r="O559" s="20"/>
      <c r="P559" s="20"/>
      <c r="Q559" s="20"/>
      <c r="R559" s="20"/>
      <c r="S559" s="20"/>
      <c r="T559" s="20"/>
      <c r="U559" s="20"/>
      <c r="V559" s="20"/>
      <c r="W559" s="20"/>
      <c r="X559" s="20"/>
      <c r="Y559" s="20"/>
      <c r="Z559" s="20"/>
    </row>
    <row r="560" spans="13:26" ht="17.25" customHeight="1">
      <c r="M560" s="47"/>
      <c r="N560" s="20"/>
      <c r="O560" s="20"/>
      <c r="P560" s="20"/>
      <c r="Q560" s="20"/>
      <c r="R560" s="20"/>
      <c r="S560" s="20"/>
      <c r="T560" s="20"/>
      <c r="U560" s="20"/>
      <c r="V560" s="20"/>
      <c r="W560" s="20"/>
      <c r="X560" s="20"/>
      <c r="Y560" s="20"/>
      <c r="Z560" s="20"/>
    </row>
    <row r="561" spans="13:26" ht="17.25" customHeight="1">
      <c r="M561" s="47"/>
      <c r="N561" s="20"/>
      <c r="O561" s="20"/>
      <c r="P561" s="20"/>
      <c r="Q561" s="20"/>
      <c r="R561" s="20"/>
      <c r="S561" s="20"/>
      <c r="T561" s="20"/>
      <c r="U561" s="20"/>
      <c r="V561" s="20"/>
      <c r="W561" s="20"/>
      <c r="X561" s="20"/>
      <c r="Y561" s="20"/>
      <c r="Z561" s="20"/>
    </row>
    <row r="562" spans="13:26" ht="17.25" customHeight="1">
      <c r="M562" s="47"/>
      <c r="N562" s="20"/>
      <c r="O562" s="20"/>
      <c r="P562" s="20"/>
      <c r="Q562" s="20"/>
      <c r="R562" s="20"/>
      <c r="S562" s="20"/>
      <c r="T562" s="20"/>
      <c r="U562" s="20"/>
      <c r="V562" s="20"/>
      <c r="W562" s="20"/>
      <c r="X562" s="20"/>
      <c r="Y562" s="20"/>
      <c r="Z562" s="20"/>
    </row>
    <row r="563" spans="13:26" ht="17.25" customHeight="1">
      <c r="M563" s="47"/>
      <c r="N563" s="20"/>
      <c r="O563" s="20"/>
      <c r="P563" s="20"/>
      <c r="Q563" s="20"/>
      <c r="R563" s="20"/>
      <c r="S563" s="20"/>
      <c r="T563" s="20"/>
      <c r="U563" s="20"/>
      <c r="V563" s="20"/>
      <c r="W563" s="20"/>
      <c r="X563" s="20"/>
      <c r="Y563" s="20"/>
      <c r="Z563" s="20"/>
    </row>
    <row r="564" spans="13:26" ht="17.25" customHeight="1">
      <c r="M564" s="47"/>
      <c r="N564" s="20"/>
      <c r="O564" s="20"/>
      <c r="P564" s="20"/>
      <c r="Q564" s="20"/>
      <c r="R564" s="20"/>
      <c r="S564" s="20"/>
      <c r="T564" s="20"/>
      <c r="U564" s="20"/>
      <c r="V564" s="20"/>
      <c r="W564" s="20"/>
      <c r="X564" s="20"/>
      <c r="Y564" s="20"/>
      <c r="Z564" s="20"/>
    </row>
    <row r="565" spans="13:26" ht="17.25" customHeight="1">
      <c r="M565" s="47"/>
      <c r="N565" s="20"/>
      <c r="O565" s="20"/>
      <c r="P565" s="20"/>
      <c r="Q565" s="20"/>
      <c r="R565" s="20"/>
      <c r="S565" s="20"/>
      <c r="T565" s="20"/>
      <c r="U565" s="20"/>
      <c r="V565" s="20"/>
      <c r="W565" s="20"/>
      <c r="X565" s="20"/>
      <c r="Y565" s="20"/>
      <c r="Z565" s="20"/>
    </row>
    <row r="566" spans="13:26" ht="17.25" customHeight="1">
      <c r="M566" s="47"/>
      <c r="N566" s="20"/>
      <c r="O566" s="20"/>
      <c r="P566" s="20"/>
      <c r="Q566" s="20"/>
      <c r="R566" s="20"/>
      <c r="S566" s="20"/>
      <c r="T566" s="20"/>
      <c r="U566" s="20"/>
      <c r="V566" s="20"/>
      <c r="W566" s="20"/>
      <c r="X566" s="20"/>
      <c r="Y566" s="20"/>
      <c r="Z566" s="20"/>
    </row>
    <row r="567" spans="13:26" ht="17.25" customHeight="1">
      <c r="M567" s="47"/>
      <c r="N567" s="20"/>
      <c r="O567" s="20"/>
      <c r="P567" s="20"/>
      <c r="Q567" s="20"/>
      <c r="R567" s="20"/>
      <c r="S567" s="20"/>
      <c r="T567" s="20"/>
      <c r="U567" s="20"/>
      <c r="V567" s="20"/>
      <c r="W567" s="20"/>
      <c r="X567" s="20"/>
      <c r="Y567" s="20"/>
      <c r="Z567" s="20"/>
    </row>
    <row r="568" spans="13:26" ht="17.25" customHeight="1">
      <c r="M568" s="47"/>
      <c r="N568" s="20"/>
      <c r="O568" s="20"/>
      <c r="P568" s="20"/>
      <c r="Q568" s="20"/>
      <c r="R568" s="20"/>
      <c r="S568" s="20"/>
      <c r="T568" s="20"/>
      <c r="U568" s="20"/>
      <c r="V568" s="20"/>
      <c r="W568" s="20"/>
      <c r="X568" s="20"/>
      <c r="Y568" s="20"/>
      <c r="Z568" s="20"/>
    </row>
    <row r="569" spans="13:26" ht="17.25" customHeight="1">
      <c r="M569" s="47"/>
      <c r="N569" s="20"/>
      <c r="O569" s="20"/>
      <c r="P569" s="20"/>
      <c r="Q569" s="20"/>
      <c r="R569" s="20"/>
      <c r="S569" s="20"/>
      <c r="T569" s="20"/>
      <c r="U569" s="20"/>
      <c r="V569" s="20"/>
      <c r="W569" s="20"/>
      <c r="X569" s="20"/>
      <c r="Y569" s="20"/>
      <c r="Z569" s="20"/>
    </row>
    <row r="570" spans="13:26" ht="17.25" customHeight="1">
      <c r="M570" s="47"/>
      <c r="N570" s="20"/>
      <c r="O570" s="20"/>
      <c r="P570" s="20"/>
      <c r="Q570" s="20"/>
      <c r="R570" s="20"/>
      <c r="S570" s="20"/>
      <c r="T570" s="20"/>
      <c r="U570" s="20"/>
      <c r="V570" s="20"/>
      <c r="W570" s="20"/>
      <c r="X570" s="20"/>
      <c r="Y570" s="20"/>
      <c r="Z570" s="20"/>
    </row>
    <row r="571" spans="13:26" ht="17.25" customHeight="1">
      <c r="M571" s="47"/>
      <c r="N571" s="20"/>
      <c r="O571" s="20"/>
      <c r="P571" s="20"/>
      <c r="Q571" s="20"/>
      <c r="R571" s="20"/>
      <c r="S571" s="20"/>
      <c r="T571" s="20"/>
      <c r="U571" s="20"/>
      <c r="V571" s="20"/>
      <c r="W571" s="20"/>
      <c r="X571" s="20"/>
      <c r="Y571" s="20"/>
      <c r="Z571" s="20"/>
    </row>
    <row r="572" spans="13:26" ht="17.25" customHeight="1">
      <c r="M572" s="47"/>
      <c r="N572" s="20"/>
      <c r="O572" s="20"/>
      <c r="P572" s="20"/>
      <c r="Q572" s="20"/>
      <c r="R572" s="20"/>
      <c r="S572" s="20"/>
      <c r="T572" s="20"/>
      <c r="U572" s="20"/>
      <c r="V572" s="20"/>
      <c r="W572" s="20"/>
      <c r="X572" s="20"/>
      <c r="Y572" s="20"/>
      <c r="Z572" s="20"/>
    </row>
    <row r="573" spans="13:26" ht="17.25" customHeight="1">
      <c r="M573" s="47"/>
      <c r="N573" s="20"/>
      <c r="O573" s="20"/>
      <c r="P573" s="20"/>
      <c r="Q573" s="20"/>
      <c r="R573" s="20"/>
      <c r="S573" s="20"/>
      <c r="T573" s="20"/>
      <c r="U573" s="20"/>
      <c r="V573" s="20"/>
      <c r="W573" s="20"/>
      <c r="X573" s="20"/>
      <c r="Y573" s="20"/>
      <c r="Z573" s="20"/>
    </row>
    <row r="574" spans="13:26" ht="17.25" customHeight="1">
      <c r="M574" s="47"/>
      <c r="N574" s="20"/>
      <c r="O574" s="20"/>
      <c r="P574" s="20"/>
      <c r="Q574" s="20"/>
      <c r="R574" s="20"/>
      <c r="S574" s="20"/>
      <c r="T574" s="20"/>
      <c r="U574" s="20"/>
      <c r="V574" s="20"/>
      <c r="W574" s="20"/>
      <c r="X574" s="20"/>
      <c r="Y574" s="20"/>
      <c r="Z574" s="20"/>
    </row>
    <row r="575" spans="13:26" ht="17.25" customHeight="1">
      <c r="M575" s="47"/>
      <c r="N575" s="20"/>
      <c r="O575" s="20"/>
      <c r="P575" s="20"/>
      <c r="Q575" s="20"/>
      <c r="R575" s="20"/>
      <c r="S575" s="20"/>
      <c r="T575" s="20"/>
      <c r="U575" s="20"/>
      <c r="V575" s="20"/>
      <c r="W575" s="20"/>
      <c r="X575" s="20"/>
      <c r="Y575" s="20"/>
      <c r="Z575" s="20"/>
    </row>
    <row r="576" spans="13:26" ht="17.25" customHeight="1">
      <c r="M576" s="47"/>
      <c r="N576" s="20"/>
      <c r="O576" s="20"/>
      <c r="P576" s="20"/>
      <c r="Q576" s="20"/>
      <c r="R576" s="20"/>
      <c r="S576" s="20"/>
      <c r="T576" s="20"/>
      <c r="U576" s="20"/>
      <c r="V576" s="20"/>
      <c r="W576" s="20"/>
      <c r="X576" s="20"/>
      <c r="Y576" s="20"/>
      <c r="Z576" s="20"/>
    </row>
    <row r="577" spans="13:26" ht="17.25" customHeight="1">
      <c r="M577" s="47"/>
      <c r="N577" s="20"/>
      <c r="O577" s="20"/>
      <c r="P577" s="20"/>
      <c r="Q577" s="20"/>
      <c r="R577" s="20"/>
      <c r="S577" s="20"/>
      <c r="T577" s="20"/>
      <c r="U577" s="20"/>
      <c r="V577" s="20"/>
      <c r="W577" s="20"/>
      <c r="X577" s="20"/>
      <c r="Y577" s="20"/>
      <c r="Z577" s="20"/>
    </row>
    <row r="578" spans="13:26" ht="17.25" customHeight="1">
      <c r="M578" s="47"/>
      <c r="N578" s="20"/>
      <c r="O578" s="20"/>
      <c r="P578" s="20"/>
      <c r="Q578" s="20"/>
      <c r="R578" s="20"/>
      <c r="S578" s="20"/>
      <c r="T578" s="20"/>
      <c r="U578" s="20"/>
      <c r="V578" s="20"/>
      <c r="W578" s="20"/>
      <c r="X578" s="20"/>
      <c r="Y578" s="20"/>
      <c r="Z578" s="20"/>
    </row>
    <row r="579" spans="13:26" ht="17.25" customHeight="1">
      <c r="M579" s="47"/>
      <c r="N579" s="20"/>
      <c r="O579" s="20"/>
      <c r="P579" s="20"/>
      <c r="Q579" s="20"/>
      <c r="R579" s="20"/>
      <c r="S579" s="20"/>
      <c r="T579" s="20"/>
      <c r="U579" s="20"/>
      <c r="V579" s="20"/>
      <c r="W579" s="20"/>
      <c r="X579" s="20"/>
      <c r="Y579" s="20"/>
      <c r="Z579" s="20"/>
    </row>
    <row r="580" spans="13:26" ht="17.25" customHeight="1">
      <c r="M580" s="47"/>
      <c r="N580" s="20"/>
      <c r="O580" s="20"/>
      <c r="P580" s="20"/>
      <c r="Q580" s="20"/>
      <c r="R580" s="20"/>
      <c r="S580" s="20"/>
      <c r="T580" s="20"/>
      <c r="U580" s="20"/>
      <c r="V580" s="20"/>
      <c r="W580" s="20"/>
      <c r="X580" s="20"/>
      <c r="Y580" s="20"/>
      <c r="Z580" s="20"/>
    </row>
    <row r="581" spans="13:26" ht="17.25" customHeight="1">
      <c r="M581" s="47"/>
      <c r="N581" s="20"/>
      <c r="O581" s="20"/>
      <c r="P581" s="20"/>
      <c r="Q581" s="20"/>
      <c r="R581" s="20"/>
      <c r="S581" s="20"/>
      <c r="T581" s="20"/>
      <c r="U581" s="20"/>
      <c r="V581" s="20"/>
      <c r="W581" s="20"/>
      <c r="X581" s="20"/>
      <c r="Y581" s="20"/>
      <c r="Z581" s="20"/>
    </row>
    <row r="582" spans="13:26" ht="17.25" customHeight="1">
      <c r="M582" s="47"/>
      <c r="N582" s="20"/>
      <c r="O582" s="20"/>
      <c r="P582" s="20"/>
      <c r="Q582" s="20"/>
      <c r="R582" s="20"/>
      <c r="S582" s="20"/>
      <c r="T582" s="20"/>
      <c r="U582" s="20"/>
      <c r="V582" s="20"/>
      <c r="W582" s="20"/>
      <c r="X582" s="20"/>
      <c r="Y582" s="20"/>
      <c r="Z582" s="20"/>
    </row>
    <row r="583" spans="13:26" ht="17.25" customHeight="1">
      <c r="M583" s="47"/>
      <c r="N583" s="20"/>
      <c r="O583" s="20"/>
      <c r="P583" s="20"/>
      <c r="Q583" s="20"/>
      <c r="R583" s="20"/>
      <c r="S583" s="20"/>
      <c r="T583" s="20"/>
      <c r="U583" s="20"/>
      <c r="V583" s="20"/>
      <c r="W583" s="20"/>
      <c r="X583" s="20"/>
      <c r="Y583" s="20"/>
      <c r="Z583" s="20"/>
    </row>
    <row r="584" spans="13:26" ht="17.25" customHeight="1">
      <c r="M584" s="47"/>
      <c r="N584" s="20"/>
      <c r="O584" s="20"/>
      <c r="P584" s="20"/>
      <c r="Q584" s="20"/>
      <c r="R584" s="20"/>
      <c r="S584" s="20"/>
      <c r="T584" s="20"/>
      <c r="U584" s="20"/>
      <c r="V584" s="20"/>
      <c r="W584" s="20"/>
      <c r="X584" s="20"/>
      <c r="Y584" s="20"/>
      <c r="Z584" s="20"/>
    </row>
    <row r="585" spans="13:26" ht="17.25" customHeight="1">
      <c r="M585" s="47"/>
      <c r="N585" s="20"/>
      <c r="O585" s="20"/>
      <c r="P585" s="20"/>
      <c r="Q585" s="20"/>
      <c r="R585" s="20"/>
      <c r="S585" s="20"/>
      <c r="T585" s="20"/>
      <c r="U585" s="20"/>
      <c r="V585" s="20"/>
      <c r="W585" s="20"/>
      <c r="X585" s="20"/>
      <c r="Y585" s="20"/>
      <c r="Z585" s="20"/>
    </row>
    <row r="586" spans="13:26" ht="17.25" customHeight="1">
      <c r="M586" s="47"/>
      <c r="N586" s="20"/>
      <c r="O586" s="20"/>
      <c r="P586" s="20"/>
      <c r="Q586" s="20"/>
      <c r="R586" s="20"/>
      <c r="S586" s="20"/>
      <c r="T586" s="20"/>
      <c r="U586" s="20"/>
      <c r="V586" s="20"/>
      <c r="W586" s="20"/>
      <c r="X586" s="20"/>
      <c r="Y586" s="20"/>
      <c r="Z586" s="20"/>
    </row>
    <row r="587" spans="13:26" ht="17.25" customHeight="1">
      <c r="M587" s="47"/>
      <c r="N587" s="20"/>
      <c r="O587" s="20"/>
      <c r="P587" s="20"/>
      <c r="Q587" s="20"/>
      <c r="R587" s="20"/>
      <c r="S587" s="20"/>
      <c r="T587" s="20"/>
      <c r="U587" s="20"/>
      <c r="V587" s="20"/>
      <c r="W587" s="20"/>
      <c r="X587" s="20"/>
      <c r="Y587" s="20"/>
      <c r="Z587" s="20"/>
    </row>
    <row r="588" spans="13:26" ht="17.25" customHeight="1">
      <c r="M588" s="47"/>
      <c r="N588" s="20"/>
      <c r="O588" s="20"/>
      <c r="P588" s="20"/>
      <c r="Q588" s="20"/>
      <c r="R588" s="20"/>
      <c r="S588" s="20"/>
      <c r="T588" s="20"/>
      <c r="U588" s="20"/>
      <c r="V588" s="20"/>
      <c r="W588" s="20"/>
      <c r="X588" s="20"/>
      <c r="Y588" s="20"/>
      <c r="Z588" s="20"/>
    </row>
    <row r="589" spans="13:26" ht="17.25" customHeight="1">
      <c r="M589" s="47"/>
      <c r="N589" s="20"/>
      <c r="O589" s="20"/>
      <c r="P589" s="20"/>
      <c r="Q589" s="20"/>
      <c r="R589" s="20"/>
      <c r="S589" s="20"/>
      <c r="T589" s="20"/>
      <c r="U589" s="20"/>
      <c r="V589" s="20"/>
      <c r="W589" s="20"/>
      <c r="X589" s="20"/>
      <c r="Y589" s="20"/>
      <c r="Z589" s="20"/>
    </row>
    <row r="590" spans="13:26" ht="17.25" customHeight="1">
      <c r="M590" s="47"/>
      <c r="N590" s="20"/>
      <c r="O590" s="20"/>
      <c r="P590" s="20"/>
      <c r="Q590" s="20"/>
      <c r="R590" s="20"/>
      <c r="S590" s="20"/>
      <c r="T590" s="20"/>
      <c r="U590" s="20"/>
      <c r="V590" s="20"/>
      <c r="W590" s="20"/>
      <c r="X590" s="20"/>
      <c r="Y590" s="20"/>
      <c r="Z590" s="20"/>
    </row>
    <row r="591" spans="13:26" ht="17.25" customHeight="1">
      <c r="M591" s="47"/>
      <c r="N591" s="20"/>
      <c r="O591" s="20"/>
      <c r="P591" s="20"/>
      <c r="Q591" s="20"/>
      <c r="R591" s="20"/>
      <c r="S591" s="20"/>
      <c r="T591" s="20"/>
      <c r="U591" s="20"/>
      <c r="V591" s="20"/>
      <c r="W591" s="20"/>
      <c r="X591" s="20"/>
      <c r="Y591" s="20"/>
      <c r="Z591" s="20"/>
    </row>
    <row r="592" spans="13:26" ht="17.25" customHeight="1">
      <c r="M592" s="47"/>
      <c r="N592" s="20"/>
      <c r="O592" s="20"/>
      <c r="P592" s="20"/>
      <c r="Q592" s="20"/>
      <c r="R592" s="20"/>
      <c r="S592" s="20"/>
      <c r="T592" s="20"/>
      <c r="U592" s="20"/>
      <c r="V592" s="20"/>
      <c r="W592" s="20"/>
      <c r="X592" s="20"/>
      <c r="Y592" s="20"/>
      <c r="Z592" s="20"/>
    </row>
    <row r="593" spans="13:26" ht="17.25" customHeight="1">
      <c r="M593" s="47"/>
      <c r="N593" s="20"/>
      <c r="O593" s="20"/>
      <c r="P593" s="20"/>
      <c r="Q593" s="20"/>
      <c r="R593" s="20"/>
      <c r="S593" s="20"/>
      <c r="T593" s="20"/>
      <c r="U593" s="20"/>
      <c r="V593" s="20"/>
      <c r="W593" s="20"/>
      <c r="X593" s="20"/>
      <c r="Y593" s="20"/>
      <c r="Z593" s="20"/>
    </row>
    <row r="594" spans="13:26" ht="17.25" customHeight="1">
      <c r="M594" s="47"/>
      <c r="N594" s="20"/>
      <c r="O594" s="20"/>
      <c r="P594" s="20"/>
      <c r="Q594" s="20"/>
      <c r="R594" s="20"/>
      <c r="S594" s="20"/>
      <c r="T594" s="20"/>
      <c r="U594" s="20"/>
      <c r="V594" s="20"/>
      <c r="W594" s="20"/>
      <c r="X594" s="20"/>
      <c r="Y594" s="20"/>
      <c r="Z594" s="20"/>
    </row>
    <row r="595" spans="13:26" ht="17.25" customHeight="1">
      <c r="M595" s="47"/>
      <c r="N595" s="20"/>
      <c r="O595" s="20"/>
      <c r="P595" s="20"/>
      <c r="Q595" s="20"/>
      <c r="R595" s="20"/>
      <c r="S595" s="20"/>
      <c r="T595" s="20"/>
      <c r="U595" s="20"/>
      <c r="V595" s="20"/>
      <c r="W595" s="20"/>
      <c r="X595" s="20"/>
      <c r="Y595" s="20"/>
      <c r="Z595" s="20"/>
    </row>
    <row r="596" spans="13:26" ht="17.25" customHeight="1">
      <c r="M596" s="47"/>
      <c r="N596" s="20"/>
      <c r="O596" s="20"/>
      <c r="P596" s="20"/>
      <c r="Q596" s="20"/>
      <c r="R596" s="20"/>
      <c r="S596" s="20"/>
      <c r="T596" s="20"/>
      <c r="U596" s="20"/>
      <c r="V596" s="20"/>
      <c r="W596" s="20"/>
      <c r="X596" s="20"/>
      <c r="Y596" s="20"/>
      <c r="Z596" s="20"/>
    </row>
    <row r="597" spans="13:26" ht="17.25" customHeight="1">
      <c r="M597" s="47"/>
      <c r="N597" s="20"/>
      <c r="O597" s="20"/>
      <c r="P597" s="20"/>
      <c r="Q597" s="20"/>
      <c r="R597" s="20"/>
      <c r="S597" s="20"/>
      <c r="T597" s="20"/>
      <c r="U597" s="20"/>
      <c r="V597" s="20"/>
      <c r="W597" s="20"/>
      <c r="X597" s="20"/>
      <c r="Y597" s="20"/>
      <c r="Z597" s="20"/>
    </row>
    <row r="598" spans="13:26" ht="17.25" customHeight="1">
      <c r="M598" s="47"/>
      <c r="N598" s="20"/>
      <c r="O598" s="20"/>
      <c r="P598" s="20"/>
      <c r="Q598" s="20"/>
      <c r="R598" s="20"/>
      <c r="S598" s="20"/>
      <c r="T598" s="20"/>
      <c r="U598" s="20"/>
      <c r="V598" s="20"/>
      <c r="W598" s="20"/>
      <c r="X598" s="20"/>
      <c r="Y598" s="20"/>
      <c r="Z598" s="20"/>
    </row>
    <row r="599" spans="13:26" ht="17.25" customHeight="1">
      <c r="M599" s="47"/>
      <c r="N599" s="20"/>
      <c r="O599" s="20"/>
      <c r="P599" s="20"/>
      <c r="Q599" s="20"/>
      <c r="R599" s="20"/>
      <c r="S599" s="20"/>
      <c r="T599" s="20"/>
      <c r="U599" s="20"/>
      <c r="V599" s="20"/>
      <c r="W599" s="20"/>
      <c r="X599" s="20"/>
      <c r="Y599" s="20"/>
      <c r="Z599" s="20"/>
    </row>
    <row r="600" spans="13:26" ht="17.25" customHeight="1">
      <c r="M600" s="47"/>
      <c r="N600" s="20"/>
      <c r="O600" s="20"/>
      <c r="P600" s="20"/>
      <c r="Q600" s="20"/>
      <c r="R600" s="20"/>
      <c r="S600" s="20"/>
      <c r="T600" s="20"/>
      <c r="U600" s="20"/>
      <c r="V600" s="20"/>
      <c r="W600" s="20"/>
      <c r="X600" s="20"/>
      <c r="Y600" s="20"/>
      <c r="Z600" s="20"/>
    </row>
    <row r="601" spans="13:26" ht="17.25" customHeight="1">
      <c r="M601" s="47"/>
      <c r="N601" s="20"/>
      <c r="O601" s="20"/>
      <c r="P601" s="20"/>
      <c r="Q601" s="20"/>
      <c r="R601" s="20"/>
      <c r="S601" s="20"/>
      <c r="T601" s="20"/>
      <c r="U601" s="20"/>
      <c r="V601" s="20"/>
      <c r="W601" s="20"/>
      <c r="X601" s="20"/>
      <c r="Y601" s="20"/>
      <c r="Z601" s="20"/>
    </row>
    <row r="602" spans="13:26" ht="17.25" customHeight="1">
      <c r="M602" s="47"/>
      <c r="N602" s="20"/>
      <c r="O602" s="20"/>
      <c r="P602" s="20"/>
      <c r="Q602" s="20"/>
      <c r="R602" s="20"/>
      <c r="S602" s="20"/>
      <c r="T602" s="20"/>
      <c r="U602" s="20"/>
      <c r="V602" s="20"/>
      <c r="W602" s="20"/>
      <c r="X602" s="20"/>
      <c r="Y602" s="20"/>
      <c r="Z602" s="20"/>
    </row>
    <row r="603" spans="13:26" ht="17.25" customHeight="1">
      <c r="M603" s="47"/>
      <c r="N603" s="20"/>
      <c r="O603" s="20"/>
      <c r="P603" s="20"/>
      <c r="Q603" s="20"/>
      <c r="R603" s="20"/>
      <c r="S603" s="20"/>
      <c r="T603" s="20"/>
      <c r="U603" s="20"/>
      <c r="V603" s="20"/>
      <c r="W603" s="20"/>
      <c r="X603" s="20"/>
      <c r="Y603" s="20"/>
      <c r="Z603" s="20"/>
    </row>
    <row r="604" spans="13:26" ht="17.25" customHeight="1">
      <c r="M604" s="47"/>
      <c r="N604" s="20"/>
      <c r="O604" s="20"/>
      <c r="P604" s="20"/>
      <c r="Q604" s="20"/>
      <c r="R604" s="20"/>
      <c r="S604" s="20"/>
      <c r="T604" s="20"/>
      <c r="U604" s="20"/>
      <c r="V604" s="20"/>
      <c r="W604" s="20"/>
      <c r="X604" s="20"/>
      <c r="Y604" s="20"/>
      <c r="Z604" s="20"/>
    </row>
    <row r="605" spans="13:26" ht="17.25" customHeight="1">
      <c r="M605" s="47"/>
      <c r="N605" s="20"/>
      <c r="O605" s="20"/>
      <c r="P605" s="20"/>
      <c r="Q605" s="20"/>
      <c r="R605" s="20"/>
      <c r="S605" s="20"/>
      <c r="T605" s="20"/>
      <c r="U605" s="20"/>
      <c r="V605" s="20"/>
      <c r="W605" s="20"/>
      <c r="X605" s="20"/>
      <c r="Y605" s="20"/>
      <c r="Z605" s="20"/>
    </row>
    <row r="606" spans="13:26" ht="17.25" customHeight="1">
      <c r="M606" s="47"/>
      <c r="N606" s="20"/>
      <c r="O606" s="20"/>
      <c r="P606" s="20"/>
      <c r="Q606" s="20"/>
      <c r="R606" s="20"/>
      <c r="S606" s="20"/>
      <c r="T606" s="20"/>
      <c r="U606" s="20"/>
      <c r="V606" s="20"/>
      <c r="W606" s="20"/>
      <c r="X606" s="20"/>
      <c r="Y606" s="20"/>
      <c r="Z606" s="20"/>
    </row>
    <row r="607" spans="13:26" ht="17.25" customHeight="1">
      <c r="M607" s="47"/>
      <c r="N607" s="20"/>
      <c r="O607" s="20"/>
      <c r="P607" s="20"/>
      <c r="Q607" s="20"/>
      <c r="R607" s="20"/>
      <c r="S607" s="20"/>
      <c r="T607" s="20"/>
      <c r="U607" s="20"/>
      <c r="V607" s="20"/>
      <c r="W607" s="20"/>
      <c r="X607" s="20"/>
      <c r="Y607" s="20"/>
      <c r="Z607" s="20"/>
    </row>
    <row r="608" spans="13:26" ht="17.25" customHeight="1">
      <c r="M608" s="47"/>
      <c r="N608" s="20"/>
      <c r="O608" s="20"/>
      <c r="P608" s="20"/>
      <c r="Q608" s="20"/>
      <c r="R608" s="20"/>
      <c r="S608" s="20"/>
      <c r="T608" s="20"/>
      <c r="U608" s="20"/>
      <c r="V608" s="20"/>
      <c r="W608" s="20"/>
      <c r="X608" s="20"/>
      <c r="Y608" s="20"/>
      <c r="Z608" s="20"/>
    </row>
    <row r="609" spans="13:26" ht="17.25" customHeight="1">
      <c r="M609" s="47"/>
      <c r="N609" s="20"/>
      <c r="O609" s="20"/>
      <c r="P609" s="20"/>
      <c r="Q609" s="20"/>
      <c r="R609" s="20"/>
      <c r="S609" s="20"/>
      <c r="T609" s="20"/>
      <c r="U609" s="20"/>
      <c r="V609" s="20"/>
      <c r="W609" s="20"/>
      <c r="X609" s="20"/>
      <c r="Y609" s="20"/>
      <c r="Z609" s="20"/>
    </row>
    <row r="610" spans="13:26" ht="17.25" customHeight="1">
      <c r="M610" s="47"/>
      <c r="N610" s="20"/>
      <c r="O610" s="20"/>
      <c r="P610" s="20"/>
      <c r="Q610" s="20"/>
      <c r="R610" s="20"/>
      <c r="S610" s="20"/>
      <c r="T610" s="20"/>
      <c r="U610" s="20"/>
      <c r="V610" s="20"/>
      <c r="W610" s="20"/>
      <c r="X610" s="20"/>
      <c r="Y610" s="20"/>
      <c r="Z610" s="20"/>
    </row>
    <row r="611" spans="13:26" ht="17.25" customHeight="1">
      <c r="M611" s="47"/>
      <c r="N611" s="20"/>
      <c r="O611" s="20"/>
      <c r="P611" s="20"/>
      <c r="Q611" s="20"/>
      <c r="R611" s="20"/>
      <c r="S611" s="20"/>
      <c r="T611" s="20"/>
      <c r="U611" s="20"/>
      <c r="V611" s="20"/>
      <c r="W611" s="20"/>
      <c r="X611" s="20"/>
      <c r="Y611" s="20"/>
      <c r="Z611" s="20"/>
    </row>
    <row r="612" spans="13:26" ht="17.25" customHeight="1">
      <c r="M612" s="47"/>
      <c r="N612" s="20"/>
      <c r="O612" s="20"/>
      <c r="P612" s="20"/>
      <c r="Q612" s="20"/>
      <c r="R612" s="20"/>
      <c r="S612" s="20"/>
      <c r="T612" s="20"/>
      <c r="U612" s="20"/>
      <c r="V612" s="20"/>
      <c r="W612" s="20"/>
      <c r="X612" s="20"/>
      <c r="Y612" s="20"/>
      <c r="Z612" s="20"/>
    </row>
    <row r="613" spans="13:26" ht="17.25" customHeight="1">
      <c r="M613" s="47"/>
      <c r="N613" s="20"/>
      <c r="O613" s="20"/>
      <c r="P613" s="20"/>
      <c r="Q613" s="20"/>
      <c r="R613" s="20"/>
      <c r="S613" s="20"/>
      <c r="T613" s="20"/>
      <c r="U613" s="20"/>
      <c r="V613" s="20"/>
      <c r="W613" s="20"/>
      <c r="X613" s="20"/>
      <c r="Y613" s="20"/>
      <c r="Z613" s="20"/>
    </row>
    <row r="614" spans="13:26" ht="17.25" customHeight="1">
      <c r="M614" s="47"/>
      <c r="N614" s="20"/>
      <c r="O614" s="20"/>
      <c r="P614" s="20"/>
      <c r="Q614" s="20"/>
      <c r="R614" s="20"/>
      <c r="S614" s="20"/>
      <c r="T614" s="20"/>
      <c r="U614" s="20"/>
      <c r="V614" s="20"/>
      <c r="W614" s="20"/>
      <c r="X614" s="20"/>
      <c r="Y614" s="20"/>
      <c r="Z614" s="20"/>
    </row>
    <row r="615" spans="13:26" ht="17.25" customHeight="1">
      <c r="M615" s="47"/>
      <c r="N615" s="20"/>
      <c r="O615" s="20"/>
      <c r="P615" s="20"/>
      <c r="Q615" s="20"/>
      <c r="R615" s="20"/>
      <c r="S615" s="20"/>
      <c r="T615" s="20"/>
      <c r="U615" s="20"/>
      <c r="V615" s="20"/>
      <c r="W615" s="20"/>
      <c r="X615" s="20"/>
      <c r="Y615" s="20"/>
      <c r="Z615" s="20"/>
    </row>
    <row r="616" spans="13:26" ht="17.25" customHeight="1">
      <c r="M616" s="47"/>
      <c r="N616" s="20"/>
      <c r="O616" s="20"/>
      <c r="P616" s="20"/>
      <c r="Q616" s="20"/>
      <c r="R616" s="20"/>
      <c r="S616" s="20"/>
      <c r="T616" s="20"/>
      <c r="U616" s="20"/>
      <c r="V616" s="20"/>
      <c r="W616" s="20"/>
      <c r="X616" s="20"/>
      <c r="Y616" s="20"/>
      <c r="Z616" s="20"/>
    </row>
    <row r="617" spans="13:26" ht="17.25" customHeight="1">
      <c r="M617" s="47"/>
      <c r="N617" s="20"/>
      <c r="O617" s="20"/>
      <c r="P617" s="20"/>
      <c r="Q617" s="20"/>
      <c r="R617" s="20"/>
      <c r="S617" s="20"/>
      <c r="T617" s="20"/>
      <c r="U617" s="20"/>
      <c r="V617" s="20"/>
      <c r="W617" s="20"/>
      <c r="X617" s="20"/>
      <c r="Y617" s="20"/>
      <c r="Z617" s="20"/>
    </row>
    <row r="618" spans="13:26" ht="17.25" customHeight="1">
      <c r="M618" s="47"/>
      <c r="N618" s="20"/>
      <c r="O618" s="20"/>
      <c r="P618" s="20"/>
      <c r="Q618" s="20"/>
      <c r="R618" s="20"/>
      <c r="S618" s="20"/>
      <c r="T618" s="20"/>
      <c r="U618" s="20"/>
      <c r="V618" s="20"/>
      <c r="W618" s="20"/>
      <c r="X618" s="20"/>
      <c r="Y618" s="20"/>
      <c r="Z618" s="20"/>
    </row>
    <row r="619" spans="13:26" ht="17.25" customHeight="1">
      <c r="M619" s="47"/>
      <c r="N619" s="20"/>
      <c r="O619" s="20"/>
      <c r="P619" s="20"/>
      <c r="Q619" s="20"/>
      <c r="R619" s="20"/>
      <c r="S619" s="20"/>
      <c r="T619" s="20"/>
      <c r="U619" s="20"/>
      <c r="V619" s="20"/>
      <c r="W619" s="20"/>
      <c r="X619" s="20"/>
      <c r="Y619" s="20"/>
      <c r="Z619" s="20"/>
    </row>
    <row r="620" spans="13:26" ht="17.25" customHeight="1">
      <c r="M620" s="47"/>
      <c r="N620" s="20"/>
      <c r="O620" s="20"/>
      <c r="P620" s="20"/>
      <c r="Q620" s="20"/>
      <c r="R620" s="20"/>
      <c r="S620" s="20"/>
      <c r="T620" s="20"/>
      <c r="U620" s="20"/>
      <c r="V620" s="20"/>
      <c r="W620" s="20"/>
      <c r="X620" s="20"/>
      <c r="Y620" s="20"/>
      <c r="Z620" s="20"/>
    </row>
    <row r="621" spans="13:26" ht="17.25" customHeight="1">
      <c r="M621" s="47"/>
      <c r="N621" s="20"/>
      <c r="O621" s="20"/>
      <c r="P621" s="20"/>
      <c r="Q621" s="20"/>
      <c r="R621" s="20"/>
      <c r="S621" s="20"/>
      <c r="T621" s="20"/>
      <c r="U621" s="20"/>
      <c r="V621" s="20"/>
      <c r="W621" s="20"/>
      <c r="X621" s="20"/>
      <c r="Y621" s="20"/>
      <c r="Z621" s="20"/>
    </row>
    <row r="622" spans="13:26" ht="17.25" customHeight="1">
      <c r="M622" s="47"/>
      <c r="N622" s="20"/>
      <c r="O622" s="20"/>
      <c r="P622" s="20"/>
      <c r="Q622" s="20"/>
      <c r="R622" s="20"/>
      <c r="S622" s="20"/>
      <c r="T622" s="20"/>
      <c r="U622" s="20"/>
      <c r="V622" s="20"/>
      <c r="W622" s="20"/>
      <c r="X622" s="20"/>
      <c r="Y622" s="20"/>
      <c r="Z622" s="20"/>
    </row>
    <row r="623" spans="13:26" ht="17.25" customHeight="1">
      <c r="M623" s="47"/>
      <c r="N623" s="20"/>
      <c r="O623" s="20"/>
      <c r="P623" s="20"/>
      <c r="Q623" s="20"/>
      <c r="R623" s="20"/>
      <c r="S623" s="20"/>
      <c r="T623" s="20"/>
      <c r="U623" s="20"/>
      <c r="V623" s="20"/>
      <c r="W623" s="20"/>
      <c r="X623" s="20"/>
      <c r="Y623" s="20"/>
      <c r="Z623" s="20"/>
    </row>
    <row r="624" spans="13:26" ht="17.25" customHeight="1">
      <c r="M624" s="47"/>
      <c r="N624" s="20"/>
      <c r="O624" s="20"/>
      <c r="P624" s="20"/>
      <c r="Q624" s="20"/>
      <c r="R624" s="20"/>
      <c r="S624" s="20"/>
      <c r="T624" s="20"/>
      <c r="U624" s="20"/>
      <c r="V624" s="20"/>
      <c r="W624" s="20"/>
      <c r="X624" s="20"/>
      <c r="Y624" s="20"/>
      <c r="Z624" s="20"/>
    </row>
    <row r="625" spans="13:26" ht="17.25" customHeight="1">
      <c r="M625" s="47"/>
      <c r="N625" s="20"/>
      <c r="O625" s="20"/>
      <c r="P625" s="20"/>
      <c r="Q625" s="20"/>
      <c r="R625" s="20"/>
      <c r="S625" s="20"/>
      <c r="T625" s="20"/>
      <c r="U625" s="20"/>
      <c r="V625" s="20"/>
      <c r="W625" s="20"/>
      <c r="X625" s="20"/>
      <c r="Y625" s="20"/>
      <c r="Z625" s="20"/>
    </row>
    <row r="626" spans="13:26" ht="17.25" customHeight="1">
      <c r="M626" s="47"/>
      <c r="N626" s="20"/>
      <c r="O626" s="20"/>
      <c r="P626" s="20"/>
      <c r="Q626" s="20"/>
      <c r="R626" s="20"/>
      <c r="S626" s="20"/>
      <c r="T626" s="20"/>
      <c r="U626" s="20"/>
      <c r="V626" s="20"/>
      <c r="W626" s="20"/>
      <c r="X626" s="20"/>
      <c r="Y626" s="20"/>
      <c r="Z626" s="20"/>
    </row>
    <row r="627" spans="13:26" ht="17.25" customHeight="1">
      <c r="M627" s="47"/>
      <c r="N627" s="20"/>
      <c r="O627" s="20"/>
      <c r="P627" s="20"/>
      <c r="Q627" s="20"/>
      <c r="R627" s="20"/>
      <c r="S627" s="20"/>
      <c r="T627" s="20"/>
      <c r="U627" s="20"/>
      <c r="V627" s="20"/>
      <c r="W627" s="20"/>
      <c r="X627" s="20"/>
      <c r="Y627" s="20"/>
      <c r="Z627" s="20"/>
    </row>
    <row r="628" spans="13:26" ht="17.25" customHeight="1">
      <c r="M628" s="47"/>
      <c r="N628" s="20"/>
      <c r="O628" s="20"/>
      <c r="P628" s="20"/>
      <c r="Q628" s="20"/>
      <c r="R628" s="20"/>
      <c r="S628" s="20"/>
      <c r="T628" s="20"/>
      <c r="U628" s="20"/>
      <c r="V628" s="20"/>
      <c r="W628" s="20"/>
      <c r="X628" s="20"/>
      <c r="Y628" s="20"/>
      <c r="Z628" s="20"/>
    </row>
    <row r="629" spans="13:26" ht="17.25" customHeight="1">
      <c r="M629" s="47"/>
      <c r="N629" s="20"/>
      <c r="O629" s="20"/>
      <c r="P629" s="20"/>
      <c r="Q629" s="20"/>
      <c r="R629" s="20"/>
      <c r="S629" s="20"/>
      <c r="T629" s="20"/>
      <c r="U629" s="20"/>
      <c r="V629" s="20"/>
      <c r="W629" s="20"/>
      <c r="X629" s="20"/>
      <c r="Y629" s="20"/>
      <c r="Z629" s="20"/>
    </row>
    <row r="630" spans="13:26" ht="17.25" customHeight="1">
      <c r="M630" s="47"/>
      <c r="N630" s="20"/>
      <c r="O630" s="20"/>
      <c r="P630" s="20"/>
      <c r="Q630" s="20"/>
      <c r="R630" s="20"/>
      <c r="S630" s="20"/>
      <c r="T630" s="20"/>
      <c r="U630" s="20"/>
      <c r="V630" s="20"/>
      <c r="W630" s="20"/>
      <c r="X630" s="20"/>
      <c r="Y630" s="20"/>
      <c r="Z630" s="20"/>
    </row>
    <row r="631" spans="13:26" ht="17.25" customHeight="1">
      <c r="M631" s="47"/>
      <c r="N631" s="20"/>
      <c r="O631" s="20"/>
      <c r="P631" s="20"/>
      <c r="Q631" s="20"/>
      <c r="R631" s="20"/>
      <c r="S631" s="20"/>
      <c r="T631" s="20"/>
      <c r="U631" s="20"/>
      <c r="V631" s="20"/>
      <c r="W631" s="20"/>
      <c r="X631" s="20"/>
      <c r="Y631" s="20"/>
      <c r="Z631" s="20"/>
    </row>
    <row r="632" spans="13:26" ht="17.25" customHeight="1">
      <c r="M632" s="47"/>
      <c r="N632" s="20"/>
      <c r="O632" s="20"/>
      <c r="P632" s="20"/>
      <c r="Q632" s="20"/>
      <c r="R632" s="20"/>
      <c r="S632" s="20"/>
      <c r="T632" s="20"/>
      <c r="U632" s="20"/>
      <c r="V632" s="20"/>
      <c r="W632" s="20"/>
      <c r="X632" s="20"/>
      <c r="Y632" s="20"/>
      <c r="Z632" s="20"/>
    </row>
    <row r="633" spans="13:26" ht="17.25" customHeight="1">
      <c r="M633" s="47"/>
      <c r="N633" s="20"/>
      <c r="O633" s="20"/>
      <c r="P633" s="20"/>
      <c r="Q633" s="20"/>
      <c r="R633" s="20"/>
      <c r="S633" s="20"/>
      <c r="T633" s="20"/>
      <c r="U633" s="20"/>
      <c r="V633" s="20"/>
      <c r="W633" s="20"/>
      <c r="X633" s="20"/>
      <c r="Y633" s="20"/>
      <c r="Z633" s="20"/>
    </row>
    <row r="634" spans="13:26" ht="17.25" customHeight="1">
      <c r="M634" s="47"/>
      <c r="N634" s="20"/>
      <c r="O634" s="20"/>
      <c r="P634" s="20"/>
      <c r="Q634" s="20"/>
      <c r="R634" s="20"/>
      <c r="S634" s="20"/>
      <c r="T634" s="20"/>
      <c r="U634" s="20"/>
      <c r="V634" s="20"/>
      <c r="W634" s="20"/>
      <c r="X634" s="20"/>
      <c r="Y634" s="20"/>
      <c r="Z634" s="20"/>
    </row>
    <row r="635" spans="13:26" ht="17.25" customHeight="1">
      <c r="M635" s="47"/>
      <c r="N635" s="20"/>
      <c r="O635" s="20"/>
      <c r="P635" s="20"/>
      <c r="Q635" s="20"/>
      <c r="R635" s="20"/>
      <c r="S635" s="20"/>
      <c r="T635" s="20"/>
      <c r="U635" s="20"/>
      <c r="V635" s="20"/>
      <c r="W635" s="20"/>
      <c r="X635" s="20"/>
      <c r="Y635" s="20"/>
      <c r="Z635" s="20"/>
    </row>
    <row r="636" spans="13:26" ht="17.25" customHeight="1">
      <c r="M636" s="47"/>
      <c r="N636" s="20"/>
      <c r="O636" s="20"/>
      <c r="P636" s="20"/>
      <c r="Q636" s="20"/>
      <c r="R636" s="20"/>
      <c r="S636" s="20"/>
      <c r="T636" s="20"/>
      <c r="U636" s="20"/>
      <c r="V636" s="20"/>
      <c r="W636" s="20"/>
      <c r="X636" s="20"/>
      <c r="Y636" s="20"/>
      <c r="Z636" s="20"/>
    </row>
    <row r="637" spans="13:26" ht="17.25" customHeight="1">
      <c r="M637" s="47"/>
      <c r="N637" s="20"/>
      <c r="O637" s="20"/>
      <c r="P637" s="20"/>
      <c r="Q637" s="20"/>
      <c r="R637" s="20"/>
      <c r="S637" s="20"/>
      <c r="T637" s="20"/>
      <c r="U637" s="20"/>
      <c r="V637" s="20"/>
      <c r="W637" s="20"/>
      <c r="X637" s="20"/>
      <c r="Y637" s="20"/>
      <c r="Z637" s="20"/>
    </row>
    <row r="638" spans="13:26" ht="17.25" customHeight="1">
      <c r="M638" s="47"/>
      <c r="N638" s="20"/>
      <c r="O638" s="20"/>
      <c r="P638" s="20"/>
      <c r="Q638" s="20"/>
      <c r="R638" s="20"/>
      <c r="S638" s="20"/>
      <c r="T638" s="20"/>
      <c r="U638" s="20"/>
      <c r="V638" s="20"/>
      <c r="W638" s="20"/>
      <c r="X638" s="20"/>
      <c r="Y638" s="20"/>
      <c r="Z638" s="20"/>
    </row>
    <row r="639" spans="13:26" ht="17.25" customHeight="1">
      <c r="M639" s="47"/>
      <c r="N639" s="20"/>
      <c r="O639" s="20"/>
      <c r="P639" s="20"/>
      <c r="Q639" s="20"/>
      <c r="R639" s="20"/>
      <c r="S639" s="20"/>
      <c r="T639" s="20"/>
      <c r="U639" s="20"/>
      <c r="V639" s="20"/>
      <c r="W639" s="20"/>
      <c r="X639" s="20"/>
      <c r="Y639" s="20"/>
      <c r="Z639" s="20"/>
    </row>
    <row r="640" spans="13:26" ht="17.25" customHeight="1">
      <c r="M640" s="47"/>
      <c r="N640" s="20"/>
      <c r="O640" s="20"/>
      <c r="P640" s="20"/>
      <c r="Q640" s="20"/>
      <c r="R640" s="20"/>
      <c r="S640" s="20"/>
      <c r="T640" s="20"/>
      <c r="U640" s="20"/>
      <c r="V640" s="20"/>
      <c r="W640" s="20"/>
      <c r="X640" s="20"/>
      <c r="Y640" s="20"/>
      <c r="Z640" s="20"/>
    </row>
    <row r="641" spans="13:26" ht="17.25" customHeight="1">
      <c r="M641" s="47"/>
      <c r="N641" s="20"/>
      <c r="O641" s="20"/>
      <c r="P641" s="20"/>
      <c r="Q641" s="20"/>
      <c r="R641" s="20"/>
      <c r="S641" s="20"/>
      <c r="T641" s="20"/>
      <c r="U641" s="20"/>
      <c r="V641" s="20"/>
      <c r="W641" s="20"/>
      <c r="X641" s="20"/>
      <c r="Y641" s="20"/>
      <c r="Z641" s="20"/>
    </row>
    <row r="642" spans="13:26" ht="17.25" customHeight="1">
      <c r="M642" s="47"/>
      <c r="N642" s="20"/>
      <c r="O642" s="20"/>
      <c r="P642" s="20"/>
      <c r="Q642" s="20"/>
      <c r="R642" s="20"/>
      <c r="S642" s="20"/>
      <c r="T642" s="20"/>
      <c r="U642" s="20"/>
      <c r="V642" s="20"/>
      <c r="W642" s="20"/>
      <c r="X642" s="20"/>
      <c r="Y642" s="20"/>
      <c r="Z642" s="20"/>
    </row>
    <row r="643" spans="13:26" ht="17.25" customHeight="1">
      <c r="M643" s="47"/>
      <c r="N643" s="20"/>
      <c r="O643" s="20"/>
      <c r="P643" s="20"/>
      <c r="Q643" s="20"/>
      <c r="R643" s="20"/>
      <c r="S643" s="20"/>
      <c r="T643" s="20"/>
      <c r="U643" s="20"/>
      <c r="V643" s="20"/>
      <c r="W643" s="20"/>
      <c r="X643" s="20"/>
      <c r="Y643" s="20"/>
      <c r="Z643" s="20"/>
    </row>
    <row r="644" spans="13:26" ht="17.25" customHeight="1">
      <c r="M644" s="47"/>
      <c r="N644" s="20"/>
      <c r="O644" s="20"/>
      <c r="P644" s="20"/>
      <c r="Q644" s="20"/>
      <c r="R644" s="20"/>
      <c r="S644" s="20"/>
      <c r="T644" s="20"/>
      <c r="U644" s="20"/>
      <c r="V644" s="20"/>
      <c r="W644" s="20"/>
      <c r="X644" s="20"/>
      <c r="Y644" s="20"/>
      <c r="Z644" s="20"/>
    </row>
    <row r="645" spans="13:26" ht="17.25" customHeight="1">
      <c r="M645" s="47"/>
      <c r="N645" s="20"/>
      <c r="O645" s="20"/>
      <c r="P645" s="20"/>
      <c r="Q645" s="20"/>
      <c r="R645" s="20"/>
      <c r="S645" s="20"/>
      <c r="T645" s="20"/>
      <c r="U645" s="20"/>
      <c r="V645" s="20"/>
      <c r="W645" s="20"/>
      <c r="X645" s="20"/>
      <c r="Y645" s="20"/>
      <c r="Z645" s="20"/>
    </row>
    <row r="646" spans="13:26" ht="17.25" customHeight="1">
      <c r="M646" s="47"/>
      <c r="N646" s="20"/>
      <c r="O646" s="20"/>
      <c r="P646" s="20"/>
      <c r="Q646" s="20"/>
      <c r="R646" s="20"/>
      <c r="S646" s="20"/>
      <c r="T646" s="20"/>
      <c r="U646" s="20"/>
      <c r="V646" s="20"/>
      <c r="W646" s="20"/>
      <c r="X646" s="20"/>
      <c r="Y646" s="20"/>
      <c r="Z646" s="20"/>
    </row>
    <row r="647" spans="13:26" ht="17.25" customHeight="1">
      <c r="M647" s="47"/>
      <c r="N647" s="20"/>
      <c r="O647" s="20"/>
      <c r="P647" s="20"/>
      <c r="Q647" s="20"/>
      <c r="R647" s="20"/>
      <c r="S647" s="20"/>
      <c r="T647" s="20"/>
      <c r="U647" s="20"/>
      <c r="V647" s="20"/>
      <c r="W647" s="20"/>
      <c r="X647" s="20"/>
      <c r="Y647" s="20"/>
      <c r="Z647" s="20"/>
    </row>
    <row r="648" spans="13:26" ht="17.25" customHeight="1">
      <c r="M648" s="47"/>
      <c r="N648" s="20"/>
      <c r="O648" s="20"/>
      <c r="P648" s="20"/>
      <c r="Q648" s="20"/>
      <c r="R648" s="20"/>
      <c r="S648" s="20"/>
      <c r="T648" s="20"/>
      <c r="U648" s="20"/>
      <c r="V648" s="20"/>
      <c r="W648" s="20"/>
      <c r="X648" s="20"/>
      <c r="Y648" s="20"/>
      <c r="Z648" s="20"/>
    </row>
    <row r="649" spans="13:26" ht="17.25" customHeight="1">
      <c r="M649" s="47"/>
      <c r="N649" s="20"/>
      <c r="O649" s="20"/>
      <c r="P649" s="20"/>
      <c r="Q649" s="20"/>
      <c r="R649" s="20"/>
      <c r="S649" s="20"/>
      <c r="T649" s="20"/>
      <c r="U649" s="20"/>
      <c r="V649" s="20"/>
      <c r="W649" s="20"/>
      <c r="X649" s="20"/>
      <c r="Y649" s="20"/>
      <c r="Z649" s="20"/>
    </row>
    <row r="650" spans="13:26" ht="17.25" customHeight="1">
      <c r="M650" s="47"/>
      <c r="N650" s="20"/>
      <c r="O650" s="20"/>
      <c r="P650" s="20"/>
      <c r="Q650" s="20"/>
      <c r="R650" s="20"/>
      <c r="S650" s="20"/>
      <c r="T650" s="20"/>
      <c r="U650" s="20"/>
      <c r="V650" s="20"/>
      <c r="W650" s="20"/>
      <c r="X650" s="20"/>
      <c r="Y650" s="20"/>
      <c r="Z650" s="20"/>
    </row>
    <row r="651" spans="13:26" ht="17.25" customHeight="1">
      <c r="M651" s="47"/>
      <c r="N651" s="20"/>
      <c r="O651" s="20"/>
      <c r="P651" s="20"/>
      <c r="Q651" s="20"/>
      <c r="R651" s="20"/>
      <c r="S651" s="20"/>
      <c r="T651" s="20"/>
      <c r="U651" s="20"/>
      <c r="V651" s="20"/>
      <c r="W651" s="20"/>
      <c r="X651" s="20"/>
      <c r="Y651" s="20"/>
      <c r="Z651" s="20"/>
    </row>
    <row r="652" spans="13:26" ht="17.25" customHeight="1">
      <c r="M652" s="47"/>
      <c r="N652" s="20"/>
      <c r="O652" s="20"/>
      <c r="P652" s="20"/>
      <c r="Q652" s="20"/>
      <c r="R652" s="20"/>
      <c r="S652" s="20"/>
      <c r="T652" s="20"/>
      <c r="U652" s="20"/>
      <c r="V652" s="20"/>
      <c r="W652" s="20"/>
      <c r="X652" s="20"/>
      <c r="Y652" s="20"/>
      <c r="Z652" s="20"/>
    </row>
    <row r="653" spans="13:26" ht="17.25" customHeight="1">
      <c r="M653" s="47"/>
      <c r="N653" s="20"/>
      <c r="O653" s="20"/>
      <c r="P653" s="20"/>
      <c r="Q653" s="20"/>
      <c r="R653" s="20"/>
      <c r="S653" s="20"/>
      <c r="T653" s="20"/>
      <c r="U653" s="20"/>
      <c r="V653" s="20"/>
      <c r="W653" s="20"/>
      <c r="X653" s="20"/>
      <c r="Y653" s="20"/>
      <c r="Z653" s="20"/>
    </row>
    <row r="654" spans="13:26" ht="17.25" customHeight="1">
      <c r="M654" s="47"/>
      <c r="N654" s="20"/>
      <c r="O654" s="20"/>
      <c r="P654" s="20"/>
      <c r="Q654" s="20"/>
      <c r="R654" s="20"/>
      <c r="S654" s="20"/>
      <c r="T654" s="20"/>
      <c r="U654" s="20"/>
      <c r="V654" s="20"/>
      <c r="W654" s="20"/>
      <c r="X654" s="20"/>
      <c r="Y654" s="20"/>
      <c r="Z654" s="20"/>
    </row>
    <row r="655" spans="13:26" ht="17.25" customHeight="1">
      <c r="M655" s="47"/>
      <c r="N655" s="20"/>
      <c r="O655" s="20"/>
      <c r="P655" s="20"/>
      <c r="Q655" s="20"/>
      <c r="R655" s="20"/>
      <c r="S655" s="20"/>
      <c r="T655" s="20"/>
      <c r="U655" s="20"/>
      <c r="V655" s="20"/>
      <c r="W655" s="20"/>
      <c r="X655" s="20"/>
      <c r="Y655" s="20"/>
      <c r="Z655" s="20"/>
    </row>
    <row r="656" spans="13:26" ht="17.25" customHeight="1">
      <c r="M656" s="47"/>
      <c r="N656" s="20"/>
      <c r="O656" s="20"/>
      <c r="P656" s="20"/>
      <c r="Q656" s="20"/>
      <c r="R656" s="20"/>
      <c r="S656" s="20"/>
      <c r="T656" s="20"/>
      <c r="U656" s="20"/>
      <c r="V656" s="20"/>
      <c r="W656" s="20"/>
      <c r="X656" s="20"/>
      <c r="Y656" s="20"/>
      <c r="Z656" s="20"/>
    </row>
    <row r="657" spans="13:26" ht="17.25" customHeight="1">
      <c r="M657" s="47"/>
      <c r="N657" s="20"/>
      <c r="O657" s="20"/>
      <c r="P657" s="20"/>
      <c r="Q657" s="20"/>
      <c r="R657" s="20"/>
      <c r="S657" s="20"/>
      <c r="T657" s="20"/>
      <c r="U657" s="20"/>
      <c r="V657" s="20"/>
      <c r="W657" s="20"/>
      <c r="X657" s="20"/>
      <c r="Y657" s="20"/>
      <c r="Z657" s="20"/>
    </row>
    <row r="658" spans="13:26" ht="17.25" customHeight="1">
      <c r="M658" s="47"/>
      <c r="N658" s="20"/>
      <c r="O658" s="20"/>
      <c r="P658" s="20"/>
      <c r="Q658" s="20"/>
      <c r="R658" s="20"/>
      <c r="S658" s="20"/>
      <c r="T658" s="20"/>
      <c r="U658" s="20"/>
      <c r="V658" s="20"/>
      <c r="W658" s="20"/>
      <c r="X658" s="20"/>
      <c r="Y658" s="20"/>
      <c r="Z658" s="20"/>
    </row>
    <row r="659" spans="13:26" ht="17.25" customHeight="1">
      <c r="M659" s="47"/>
      <c r="N659" s="20"/>
      <c r="O659" s="20"/>
      <c r="P659" s="20"/>
      <c r="Q659" s="20"/>
      <c r="R659" s="20"/>
      <c r="S659" s="20"/>
      <c r="T659" s="20"/>
      <c r="U659" s="20"/>
      <c r="V659" s="20"/>
      <c r="W659" s="20"/>
      <c r="X659" s="20"/>
      <c r="Y659" s="20"/>
      <c r="Z659" s="20"/>
    </row>
    <row r="660" spans="13:26" ht="17.25" customHeight="1">
      <c r="M660" s="47"/>
      <c r="N660" s="20"/>
      <c r="O660" s="20"/>
      <c r="P660" s="20"/>
      <c r="Q660" s="20"/>
      <c r="R660" s="20"/>
      <c r="S660" s="20"/>
      <c r="T660" s="20"/>
      <c r="U660" s="20"/>
      <c r="V660" s="20"/>
      <c r="W660" s="20"/>
      <c r="X660" s="20"/>
      <c r="Y660" s="20"/>
      <c r="Z660" s="20"/>
    </row>
    <row r="661" spans="13:26" ht="17.25" customHeight="1">
      <c r="M661" s="47"/>
      <c r="N661" s="20"/>
      <c r="O661" s="20"/>
      <c r="P661" s="20"/>
      <c r="Q661" s="20"/>
      <c r="R661" s="20"/>
      <c r="S661" s="20"/>
      <c r="T661" s="20"/>
      <c r="U661" s="20"/>
      <c r="V661" s="20"/>
      <c r="W661" s="20"/>
      <c r="X661" s="20"/>
      <c r="Y661" s="20"/>
      <c r="Z661" s="20"/>
    </row>
    <row r="662" spans="13:26" ht="17.25" customHeight="1">
      <c r="M662" s="47"/>
      <c r="N662" s="20"/>
      <c r="O662" s="20"/>
      <c r="P662" s="20"/>
      <c r="Q662" s="20"/>
      <c r="R662" s="20"/>
      <c r="S662" s="20"/>
      <c r="T662" s="20"/>
      <c r="U662" s="20"/>
      <c r="V662" s="20"/>
      <c r="W662" s="20"/>
      <c r="X662" s="20"/>
      <c r="Y662" s="20"/>
      <c r="Z662" s="20"/>
    </row>
    <row r="663" spans="13:26" ht="17.25" customHeight="1">
      <c r="M663" s="47"/>
      <c r="N663" s="20"/>
      <c r="O663" s="20"/>
      <c r="P663" s="20"/>
      <c r="Q663" s="20"/>
      <c r="R663" s="20"/>
      <c r="S663" s="20"/>
      <c r="T663" s="20"/>
      <c r="U663" s="20"/>
      <c r="V663" s="20"/>
      <c r="W663" s="20"/>
      <c r="X663" s="20"/>
      <c r="Y663" s="20"/>
      <c r="Z663" s="20"/>
    </row>
    <row r="664" spans="13:26" ht="17.25" customHeight="1">
      <c r="M664" s="47"/>
      <c r="N664" s="20"/>
      <c r="O664" s="20"/>
      <c r="P664" s="20"/>
      <c r="Q664" s="20"/>
      <c r="R664" s="20"/>
      <c r="S664" s="20"/>
      <c r="T664" s="20"/>
      <c r="U664" s="20"/>
      <c r="V664" s="20"/>
      <c r="W664" s="20"/>
      <c r="X664" s="20"/>
      <c r="Y664" s="20"/>
      <c r="Z664" s="20"/>
    </row>
    <row r="665" spans="13:26" ht="17.25" customHeight="1">
      <c r="M665" s="47"/>
      <c r="N665" s="20"/>
      <c r="O665" s="20"/>
      <c r="P665" s="20"/>
      <c r="Q665" s="20"/>
      <c r="R665" s="20"/>
      <c r="S665" s="20"/>
      <c r="T665" s="20"/>
      <c r="U665" s="20"/>
      <c r="V665" s="20"/>
      <c r="W665" s="20"/>
      <c r="X665" s="20"/>
      <c r="Y665" s="20"/>
      <c r="Z665" s="20"/>
    </row>
    <row r="666" spans="13:26" ht="17.25" customHeight="1">
      <c r="M666" s="47"/>
      <c r="N666" s="20"/>
      <c r="O666" s="20"/>
      <c r="P666" s="20"/>
      <c r="Q666" s="20"/>
      <c r="R666" s="20"/>
      <c r="S666" s="20"/>
      <c r="T666" s="20"/>
      <c r="U666" s="20"/>
      <c r="V666" s="20"/>
      <c r="W666" s="20"/>
      <c r="X666" s="20"/>
      <c r="Y666" s="20"/>
      <c r="Z666" s="20"/>
    </row>
    <row r="667" spans="13:26" ht="17.25" customHeight="1">
      <c r="M667" s="47"/>
      <c r="N667" s="20"/>
      <c r="O667" s="20"/>
      <c r="P667" s="20"/>
      <c r="Q667" s="20"/>
      <c r="R667" s="20"/>
      <c r="S667" s="20"/>
      <c r="T667" s="20"/>
      <c r="U667" s="20"/>
      <c r="V667" s="20"/>
      <c r="W667" s="20"/>
      <c r="X667" s="20"/>
      <c r="Y667" s="20"/>
      <c r="Z667" s="20"/>
    </row>
    <row r="668" spans="13:26" ht="17.25" customHeight="1">
      <c r="M668" s="47"/>
      <c r="N668" s="20"/>
      <c r="O668" s="20"/>
      <c r="P668" s="20"/>
      <c r="Q668" s="20"/>
      <c r="R668" s="20"/>
      <c r="S668" s="20"/>
      <c r="T668" s="20"/>
      <c r="U668" s="20"/>
      <c r="V668" s="20"/>
      <c r="W668" s="20"/>
      <c r="X668" s="20"/>
      <c r="Y668" s="20"/>
      <c r="Z668" s="20"/>
    </row>
    <row r="669" spans="13:26" ht="17.25" customHeight="1">
      <c r="M669" s="47"/>
      <c r="N669" s="20"/>
      <c r="O669" s="20"/>
      <c r="P669" s="20"/>
      <c r="Q669" s="20"/>
      <c r="R669" s="20"/>
      <c r="S669" s="20"/>
      <c r="T669" s="20"/>
      <c r="U669" s="20"/>
      <c r="V669" s="20"/>
      <c r="W669" s="20"/>
      <c r="X669" s="20"/>
      <c r="Y669" s="20"/>
      <c r="Z669" s="20"/>
    </row>
    <row r="670" spans="13:26" ht="17.25" customHeight="1">
      <c r="M670" s="47"/>
      <c r="N670" s="20"/>
      <c r="O670" s="20"/>
      <c r="P670" s="20"/>
      <c r="Q670" s="20"/>
      <c r="R670" s="20"/>
      <c r="S670" s="20"/>
      <c r="T670" s="20"/>
      <c r="U670" s="20"/>
      <c r="V670" s="20"/>
      <c r="W670" s="20"/>
      <c r="X670" s="20"/>
      <c r="Y670" s="20"/>
      <c r="Z670" s="20"/>
    </row>
    <row r="671" spans="13:26" ht="17.25" customHeight="1">
      <c r="M671" s="47"/>
      <c r="N671" s="20"/>
      <c r="O671" s="20"/>
      <c r="P671" s="20"/>
      <c r="Q671" s="20"/>
      <c r="R671" s="20"/>
      <c r="S671" s="20"/>
      <c r="T671" s="20"/>
      <c r="U671" s="20"/>
      <c r="V671" s="20"/>
      <c r="W671" s="20"/>
      <c r="X671" s="20"/>
      <c r="Y671" s="20"/>
      <c r="Z671" s="20"/>
    </row>
    <row r="672" spans="13:26" ht="17.25" customHeight="1">
      <c r="M672" s="47"/>
      <c r="N672" s="20"/>
      <c r="O672" s="20"/>
      <c r="P672" s="20"/>
      <c r="Q672" s="20"/>
      <c r="R672" s="20"/>
      <c r="S672" s="20"/>
      <c r="T672" s="20"/>
      <c r="U672" s="20"/>
      <c r="V672" s="20"/>
      <c r="W672" s="20"/>
      <c r="X672" s="20"/>
      <c r="Y672" s="20"/>
      <c r="Z672" s="20"/>
    </row>
    <row r="673" spans="13:26" ht="17.25" customHeight="1">
      <c r="M673" s="47"/>
      <c r="N673" s="20"/>
      <c r="O673" s="20"/>
      <c r="P673" s="20"/>
      <c r="Q673" s="20"/>
      <c r="R673" s="20"/>
      <c r="S673" s="20"/>
      <c r="T673" s="20"/>
      <c r="U673" s="20"/>
      <c r="V673" s="20"/>
      <c r="W673" s="20"/>
      <c r="X673" s="20"/>
      <c r="Y673" s="20"/>
      <c r="Z673" s="20"/>
    </row>
    <row r="674" spans="13:26" ht="17.25" customHeight="1">
      <c r="M674" s="47"/>
      <c r="N674" s="20"/>
      <c r="O674" s="20"/>
      <c r="P674" s="20"/>
      <c r="Q674" s="20"/>
      <c r="R674" s="20"/>
      <c r="S674" s="20"/>
      <c r="T674" s="20"/>
      <c r="U674" s="20"/>
      <c r="V674" s="20"/>
      <c r="W674" s="20"/>
      <c r="X674" s="20"/>
      <c r="Y674" s="20"/>
      <c r="Z674" s="20"/>
    </row>
    <row r="675" spans="13:26" ht="17.25" customHeight="1">
      <c r="M675" s="47"/>
      <c r="N675" s="20"/>
      <c r="O675" s="20"/>
      <c r="P675" s="20"/>
      <c r="Q675" s="20"/>
      <c r="R675" s="20"/>
      <c r="S675" s="20"/>
      <c r="T675" s="20"/>
      <c r="U675" s="20"/>
      <c r="V675" s="20"/>
      <c r="W675" s="20"/>
      <c r="X675" s="20"/>
      <c r="Y675" s="20"/>
      <c r="Z675" s="20"/>
    </row>
    <row r="676" spans="13:26" ht="17.25" customHeight="1">
      <c r="M676" s="47"/>
      <c r="N676" s="20"/>
      <c r="O676" s="20"/>
      <c r="P676" s="20"/>
      <c r="Q676" s="20"/>
      <c r="R676" s="20"/>
      <c r="S676" s="20"/>
      <c r="T676" s="20"/>
      <c r="U676" s="20"/>
      <c r="V676" s="20"/>
      <c r="W676" s="20"/>
      <c r="X676" s="20"/>
      <c r="Y676" s="20"/>
      <c r="Z676" s="20"/>
    </row>
    <row r="677" spans="13:26" ht="17.25" customHeight="1">
      <c r="M677" s="47"/>
      <c r="N677" s="20"/>
      <c r="O677" s="20"/>
      <c r="P677" s="20"/>
      <c r="Q677" s="20"/>
      <c r="R677" s="20"/>
      <c r="S677" s="20"/>
      <c r="T677" s="20"/>
      <c r="U677" s="20"/>
      <c r="V677" s="20"/>
      <c r="W677" s="20"/>
      <c r="X677" s="20"/>
      <c r="Y677" s="20"/>
      <c r="Z677" s="20"/>
    </row>
    <row r="678" spans="13:26" ht="17.25" customHeight="1">
      <c r="M678" s="47"/>
      <c r="N678" s="20"/>
      <c r="O678" s="20"/>
      <c r="P678" s="20"/>
      <c r="Q678" s="20"/>
      <c r="R678" s="20"/>
      <c r="S678" s="20"/>
      <c r="T678" s="20"/>
      <c r="U678" s="20"/>
      <c r="V678" s="20"/>
      <c r="W678" s="20"/>
      <c r="X678" s="20"/>
      <c r="Y678" s="20"/>
      <c r="Z678" s="20"/>
    </row>
    <row r="679" spans="13:26" ht="17.25" customHeight="1">
      <c r="M679" s="47"/>
      <c r="N679" s="20"/>
      <c r="O679" s="20"/>
      <c r="P679" s="20"/>
      <c r="Q679" s="20"/>
      <c r="R679" s="20"/>
      <c r="S679" s="20"/>
      <c r="T679" s="20"/>
      <c r="U679" s="20"/>
      <c r="V679" s="20"/>
      <c r="W679" s="20"/>
      <c r="X679" s="20"/>
      <c r="Y679" s="20"/>
      <c r="Z679" s="20"/>
    </row>
    <row r="680" spans="13:26" ht="17.25" customHeight="1">
      <c r="M680" s="47"/>
      <c r="N680" s="20"/>
      <c r="O680" s="20"/>
      <c r="P680" s="20"/>
      <c r="Q680" s="20"/>
      <c r="R680" s="20"/>
      <c r="S680" s="20"/>
      <c r="T680" s="20"/>
      <c r="U680" s="20"/>
      <c r="V680" s="20"/>
      <c r="W680" s="20"/>
      <c r="X680" s="20"/>
      <c r="Y680" s="20"/>
      <c r="Z680" s="20"/>
    </row>
    <row r="681" spans="13:26" ht="17.25" customHeight="1">
      <c r="M681" s="47"/>
      <c r="N681" s="20"/>
      <c r="O681" s="20"/>
      <c r="P681" s="20"/>
      <c r="Q681" s="20"/>
      <c r="R681" s="20"/>
      <c r="S681" s="20"/>
      <c r="T681" s="20"/>
      <c r="U681" s="20"/>
      <c r="V681" s="20"/>
      <c r="W681" s="20"/>
      <c r="X681" s="20"/>
      <c r="Y681" s="20"/>
      <c r="Z681" s="20"/>
    </row>
    <row r="682" spans="13:26" ht="17.25" customHeight="1">
      <c r="M682" s="47"/>
      <c r="N682" s="20"/>
      <c r="O682" s="20"/>
      <c r="P682" s="20"/>
      <c r="Q682" s="20"/>
      <c r="R682" s="20"/>
      <c r="S682" s="20"/>
      <c r="T682" s="20"/>
      <c r="U682" s="20"/>
      <c r="V682" s="20"/>
      <c r="W682" s="20"/>
      <c r="X682" s="20"/>
      <c r="Y682" s="20"/>
      <c r="Z682" s="20"/>
    </row>
    <row r="683" spans="13:26" ht="17.25" customHeight="1">
      <c r="M683" s="47"/>
      <c r="N683" s="20"/>
      <c r="O683" s="20"/>
      <c r="P683" s="20"/>
      <c r="Q683" s="20"/>
      <c r="R683" s="20"/>
      <c r="S683" s="20"/>
      <c r="T683" s="20"/>
      <c r="U683" s="20"/>
      <c r="V683" s="20"/>
      <c r="W683" s="20"/>
      <c r="X683" s="20"/>
      <c r="Y683" s="20"/>
      <c r="Z683" s="20"/>
    </row>
    <row r="684" spans="13:26" ht="17.25" customHeight="1">
      <c r="M684" s="47"/>
      <c r="N684" s="20"/>
      <c r="O684" s="20"/>
      <c r="P684" s="20"/>
      <c r="Q684" s="20"/>
      <c r="R684" s="20"/>
      <c r="S684" s="20"/>
      <c r="T684" s="20"/>
      <c r="U684" s="20"/>
      <c r="V684" s="20"/>
      <c r="W684" s="20"/>
      <c r="X684" s="20"/>
      <c r="Y684" s="20"/>
      <c r="Z684" s="20"/>
    </row>
    <row r="685" spans="13:26" ht="17.25" customHeight="1">
      <c r="M685" s="47"/>
      <c r="N685" s="20"/>
      <c r="O685" s="20"/>
      <c r="P685" s="20"/>
      <c r="Q685" s="20"/>
      <c r="R685" s="20"/>
      <c r="S685" s="20"/>
      <c r="T685" s="20"/>
      <c r="U685" s="20"/>
      <c r="V685" s="20"/>
      <c r="W685" s="20"/>
      <c r="X685" s="20"/>
      <c r="Y685" s="20"/>
      <c r="Z685" s="20"/>
    </row>
    <row r="686" spans="13:26" ht="17.25" customHeight="1">
      <c r="M686" s="47"/>
      <c r="N686" s="20"/>
      <c r="O686" s="20"/>
      <c r="P686" s="20"/>
      <c r="Q686" s="20"/>
      <c r="R686" s="20"/>
      <c r="S686" s="20"/>
      <c r="T686" s="20"/>
      <c r="U686" s="20"/>
      <c r="V686" s="20"/>
      <c r="W686" s="20"/>
      <c r="X686" s="20"/>
      <c r="Y686" s="20"/>
      <c r="Z686" s="20"/>
    </row>
    <row r="687" spans="13:26" ht="17.25" customHeight="1">
      <c r="M687" s="47"/>
      <c r="N687" s="20"/>
      <c r="O687" s="20"/>
      <c r="P687" s="20"/>
      <c r="Q687" s="20"/>
      <c r="R687" s="20"/>
      <c r="S687" s="20"/>
      <c r="T687" s="20"/>
      <c r="U687" s="20"/>
      <c r="V687" s="20"/>
      <c r="W687" s="20"/>
      <c r="X687" s="20"/>
      <c r="Y687" s="20"/>
      <c r="Z687" s="20"/>
    </row>
    <row r="688" spans="13:26" ht="17.25" customHeight="1">
      <c r="M688" s="47"/>
      <c r="N688" s="20"/>
      <c r="O688" s="20"/>
      <c r="P688" s="20"/>
      <c r="Q688" s="20"/>
      <c r="R688" s="20"/>
      <c r="S688" s="20"/>
      <c r="T688" s="20"/>
      <c r="U688" s="20"/>
      <c r="V688" s="20"/>
      <c r="W688" s="20"/>
      <c r="X688" s="20"/>
      <c r="Y688" s="20"/>
      <c r="Z688" s="20"/>
    </row>
    <row r="689" spans="13:26" ht="17.25" customHeight="1">
      <c r="M689" s="47"/>
      <c r="N689" s="20"/>
      <c r="O689" s="20"/>
      <c r="P689" s="20"/>
      <c r="Q689" s="20"/>
      <c r="R689" s="20"/>
      <c r="S689" s="20"/>
      <c r="T689" s="20"/>
      <c r="U689" s="20"/>
      <c r="V689" s="20"/>
      <c r="W689" s="20"/>
      <c r="X689" s="20"/>
      <c r="Y689" s="20"/>
      <c r="Z689" s="20"/>
    </row>
    <row r="690" spans="13:26" ht="17.25" customHeight="1">
      <c r="M690" s="47"/>
      <c r="N690" s="20"/>
      <c r="O690" s="20"/>
      <c r="P690" s="20"/>
      <c r="Q690" s="20"/>
      <c r="R690" s="20"/>
      <c r="S690" s="20"/>
      <c r="T690" s="20"/>
      <c r="U690" s="20"/>
      <c r="V690" s="20"/>
      <c r="W690" s="20"/>
      <c r="X690" s="20"/>
      <c r="Y690" s="20"/>
      <c r="Z690" s="20"/>
    </row>
    <row r="691" spans="13:26" ht="17.25" customHeight="1">
      <c r="M691" s="47"/>
      <c r="N691" s="20"/>
      <c r="O691" s="20"/>
      <c r="P691" s="20"/>
      <c r="Q691" s="20"/>
      <c r="R691" s="20"/>
      <c r="S691" s="20"/>
      <c r="T691" s="20"/>
      <c r="U691" s="20"/>
      <c r="V691" s="20"/>
      <c r="W691" s="20"/>
      <c r="X691" s="20"/>
      <c r="Y691" s="20"/>
      <c r="Z691" s="20"/>
    </row>
    <row r="692" spans="13:26" ht="17.25" customHeight="1">
      <c r="M692" s="47"/>
      <c r="N692" s="20"/>
      <c r="O692" s="20"/>
      <c r="P692" s="20"/>
      <c r="Q692" s="20"/>
      <c r="R692" s="20"/>
      <c r="S692" s="20"/>
      <c r="T692" s="20"/>
      <c r="U692" s="20"/>
      <c r="V692" s="20"/>
      <c r="W692" s="20"/>
      <c r="X692" s="20"/>
      <c r="Y692" s="20"/>
      <c r="Z692" s="20"/>
    </row>
    <row r="693" spans="13:26" ht="17.25" customHeight="1">
      <c r="M693" s="47"/>
      <c r="N693" s="20"/>
      <c r="O693" s="20"/>
      <c r="P693" s="20"/>
      <c r="Q693" s="20"/>
      <c r="R693" s="20"/>
      <c r="S693" s="20"/>
      <c r="T693" s="20"/>
      <c r="U693" s="20"/>
      <c r="V693" s="20"/>
      <c r="W693" s="20"/>
      <c r="X693" s="20"/>
      <c r="Y693" s="20"/>
      <c r="Z693" s="20"/>
    </row>
    <row r="694" spans="13:26" ht="17.25" customHeight="1">
      <c r="M694" s="47"/>
      <c r="N694" s="20"/>
      <c r="O694" s="20"/>
      <c r="P694" s="20"/>
      <c r="Q694" s="20"/>
      <c r="R694" s="20"/>
      <c r="S694" s="20"/>
      <c r="T694" s="20"/>
      <c r="U694" s="20"/>
      <c r="V694" s="20"/>
      <c r="W694" s="20"/>
      <c r="X694" s="20"/>
      <c r="Y694" s="20"/>
      <c r="Z694" s="20"/>
    </row>
    <row r="695" spans="13:26" ht="17.25" customHeight="1">
      <c r="M695" s="47"/>
      <c r="N695" s="20"/>
      <c r="O695" s="20"/>
      <c r="P695" s="20"/>
      <c r="Q695" s="20"/>
      <c r="R695" s="20"/>
      <c r="S695" s="20"/>
      <c r="T695" s="20"/>
      <c r="U695" s="20"/>
      <c r="V695" s="20"/>
      <c r="W695" s="20"/>
      <c r="X695" s="20"/>
      <c r="Y695" s="20"/>
      <c r="Z695" s="20"/>
    </row>
    <row r="696" spans="13:26" ht="17.25" customHeight="1">
      <c r="M696" s="47"/>
      <c r="N696" s="20"/>
      <c r="O696" s="20"/>
      <c r="P696" s="20"/>
      <c r="Q696" s="20"/>
      <c r="R696" s="20"/>
      <c r="S696" s="20"/>
      <c r="T696" s="20"/>
      <c r="U696" s="20"/>
      <c r="V696" s="20"/>
      <c r="W696" s="20"/>
      <c r="X696" s="20"/>
      <c r="Y696" s="20"/>
      <c r="Z696" s="20"/>
    </row>
    <row r="697" spans="13:26" ht="17.25" customHeight="1">
      <c r="M697" s="47"/>
      <c r="N697" s="20"/>
      <c r="O697" s="20"/>
      <c r="P697" s="20"/>
      <c r="Q697" s="20"/>
      <c r="R697" s="20"/>
      <c r="S697" s="20"/>
      <c r="T697" s="20"/>
      <c r="U697" s="20"/>
      <c r="V697" s="20"/>
      <c r="W697" s="20"/>
      <c r="X697" s="20"/>
      <c r="Y697" s="20"/>
      <c r="Z697" s="20"/>
    </row>
    <row r="698" spans="13:26" ht="17.25" customHeight="1">
      <c r="M698" s="47"/>
      <c r="N698" s="20"/>
      <c r="O698" s="20"/>
      <c r="P698" s="20"/>
      <c r="Q698" s="20"/>
      <c r="R698" s="20"/>
      <c r="S698" s="20"/>
      <c r="T698" s="20"/>
      <c r="U698" s="20"/>
      <c r="V698" s="20"/>
      <c r="W698" s="20"/>
      <c r="X698" s="20"/>
      <c r="Y698" s="20"/>
      <c r="Z698" s="20"/>
    </row>
    <row r="699" spans="13:26" ht="17.25" customHeight="1">
      <c r="M699" s="47"/>
      <c r="N699" s="20"/>
      <c r="O699" s="20"/>
      <c r="P699" s="20"/>
      <c r="Q699" s="20"/>
      <c r="R699" s="20"/>
      <c r="S699" s="20"/>
      <c r="T699" s="20"/>
      <c r="U699" s="20"/>
      <c r="V699" s="20"/>
      <c r="W699" s="20"/>
      <c r="X699" s="20"/>
      <c r="Y699" s="20"/>
      <c r="Z699" s="20"/>
    </row>
    <row r="700" spans="13:26" ht="17.25" customHeight="1">
      <c r="M700" s="47"/>
      <c r="N700" s="20"/>
      <c r="O700" s="20"/>
      <c r="P700" s="20"/>
      <c r="Q700" s="20"/>
      <c r="R700" s="20"/>
      <c r="S700" s="20"/>
      <c r="T700" s="20"/>
      <c r="U700" s="20"/>
      <c r="V700" s="20"/>
      <c r="W700" s="20"/>
      <c r="X700" s="20"/>
      <c r="Y700" s="20"/>
      <c r="Z700" s="20"/>
    </row>
    <row r="701" spans="13:26" ht="17.25" customHeight="1">
      <c r="M701" s="47"/>
      <c r="N701" s="20"/>
      <c r="O701" s="20"/>
      <c r="P701" s="20"/>
      <c r="Q701" s="20"/>
      <c r="R701" s="20"/>
      <c r="S701" s="20"/>
      <c r="T701" s="20"/>
      <c r="U701" s="20"/>
      <c r="V701" s="20"/>
      <c r="W701" s="20"/>
      <c r="X701" s="20"/>
      <c r="Y701" s="20"/>
      <c r="Z701" s="20"/>
    </row>
    <row r="702" spans="13:26" ht="17.25" customHeight="1">
      <c r="M702" s="47"/>
      <c r="N702" s="20"/>
      <c r="O702" s="20"/>
      <c r="P702" s="20"/>
      <c r="Q702" s="20"/>
      <c r="R702" s="20"/>
      <c r="S702" s="20"/>
      <c r="T702" s="20"/>
      <c r="U702" s="20"/>
      <c r="V702" s="20"/>
      <c r="W702" s="20"/>
      <c r="X702" s="20"/>
      <c r="Y702" s="20"/>
      <c r="Z702" s="20"/>
    </row>
    <row r="703" spans="13:26" ht="17.25" customHeight="1">
      <c r="M703" s="47"/>
      <c r="N703" s="20"/>
      <c r="O703" s="20"/>
      <c r="P703" s="20"/>
      <c r="Q703" s="20"/>
      <c r="R703" s="20"/>
      <c r="S703" s="20"/>
      <c r="T703" s="20"/>
      <c r="U703" s="20"/>
      <c r="V703" s="20"/>
      <c r="W703" s="20"/>
      <c r="X703" s="20"/>
      <c r="Y703" s="20"/>
      <c r="Z703" s="20"/>
    </row>
    <row r="704" spans="13:26" ht="17.25" customHeight="1">
      <c r="M704" s="47"/>
      <c r="N704" s="20"/>
      <c r="O704" s="20"/>
      <c r="P704" s="20"/>
      <c r="Q704" s="20"/>
      <c r="R704" s="20"/>
      <c r="S704" s="20"/>
      <c r="T704" s="20"/>
      <c r="U704" s="20"/>
      <c r="V704" s="20"/>
      <c r="W704" s="20"/>
      <c r="X704" s="20"/>
      <c r="Y704" s="20"/>
      <c r="Z704" s="20"/>
    </row>
    <row r="705" spans="13:26" ht="17.25" customHeight="1">
      <c r="M705" s="47"/>
      <c r="N705" s="20"/>
      <c r="O705" s="20"/>
      <c r="P705" s="20"/>
      <c r="Q705" s="20"/>
      <c r="R705" s="20"/>
      <c r="S705" s="20"/>
      <c r="T705" s="20"/>
      <c r="U705" s="20"/>
      <c r="V705" s="20"/>
      <c r="W705" s="20"/>
      <c r="X705" s="20"/>
      <c r="Y705" s="20"/>
      <c r="Z705" s="20"/>
    </row>
    <row r="706" spans="13:26" ht="17.25" customHeight="1">
      <c r="M706" s="47"/>
      <c r="N706" s="20"/>
      <c r="O706" s="20"/>
      <c r="P706" s="20"/>
      <c r="Q706" s="20"/>
      <c r="R706" s="20"/>
      <c r="S706" s="20"/>
      <c r="T706" s="20"/>
      <c r="U706" s="20"/>
      <c r="V706" s="20"/>
      <c r="W706" s="20"/>
      <c r="X706" s="20"/>
      <c r="Y706" s="20"/>
      <c r="Z706" s="20"/>
    </row>
    <row r="707" spans="13:26" ht="17.25" customHeight="1">
      <c r="M707" s="47"/>
      <c r="N707" s="20"/>
      <c r="O707" s="20"/>
      <c r="P707" s="20"/>
      <c r="Q707" s="20"/>
      <c r="R707" s="20"/>
      <c r="S707" s="20"/>
      <c r="T707" s="20"/>
      <c r="U707" s="20"/>
      <c r="V707" s="20"/>
      <c r="W707" s="20"/>
      <c r="X707" s="20"/>
      <c r="Y707" s="20"/>
      <c r="Z707" s="20"/>
    </row>
    <row r="708" spans="13:26" ht="17.25" customHeight="1">
      <c r="M708" s="47"/>
      <c r="N708" s="20"/>
      <c r="O708" s="20"/>
      <c r="P708" s="20"/>
      <c r="Q708" s="20"/>
      <c r="R708" s="20"/>
      <c r="S708" s="20"/>
      <c r="T708" s="20"/>
      <c r="U708" s="20"/>
      <c r="V708" s="20"/>
      <c r="W708" s="20"/>
      <c r="X708" s="20"/>
      <c r="Y708" s="20"/>
      <c r="Z708" s="20"/>
    </row>
    <row r="709" spans="13:26" ht="17.25" customHeight="1">
      <c r="M709" s="47"/>
      <c r="N709" s="20"/>
      <c r="O709" s="20"/>
      <c r="P709" s="20"/>
      <c r="Q709" s="20"/>
      <c r="R709" s="20"/>
      <c r="S709" s="20"/>
      <c r="T709" s="20"/>
      <c r="U709" s="20"/>
      <c r="V709" s="20"/>
      <c r="W709" s="20"/>
      <c r="X709" s="20"/>
      <c r="Y709" s="20"/>
      <c r="Z709" s="20"/>
    </row>
    <row r="710" spans="13:26" ht="17.25" customHeight="1">
      <c r="M710" s="47"/>
      <c r="N710" s="20"/>
      <c r="O710" s="20"/>
      <c r="P710" s="20"/>
      <c r="Q710" s="20"/>
      <c r="R710" s="20"/>
      <c r="S710" s="20"/>
      <c r="T710" s="20"/>
      <c r="U710" s="20"/>
      <c r="V710" s="20"/>
      <c r="W710" s="20"/>
      <c r="X710" s="20"/>
      <c r="Y710" s="20"/>
      <c r="Z710" s="20"/>
    </row>
    <row r="711" spans="13:26" ht="17.25" customHeight="1">
      <c r="M711" s="47"/>
      <c r="N711" s="20"/>
      <c r="O711" s="20"/>
      <c r="P711" s="20"/>
      <c r="Q711" s="20"/>
      <c r="R711" s="20"/>
      <c r="S711" s="20"/>
      <c r="T711" s="20"/>
      <c r="U711" s="20"/>
      <c r="V711" s="20"/>
      <c r="W711" s="20"/>
      <c r="X711" s="20"/>
      <c r="Y711" s="20"/>
      <c r="Z711" s="20"/>
    </row>
    <row r="712" spans="13:26" ht="17.25" customHeight="1">
      <c r="M712" s="47"/>
      <c r="N712" s="20"/>
      <c r="O712" s="20"/>
      <c r="P712" s="20"/>
      <c r="Q712" s="20"/>
      <c r="R712" s="20"/>
      <c r="S712" s="20"/>
      <c r="T712" s="20"/>
      <c r="U712" s="20"/>
      <c r="V712" s="20"/>
      <c r="W712" s="20"/>
      <c r="X712" s="20"/>
      <c r="Y712" s="20"/>
      <c r="Z712" s="20"/>
    </row>
    <row r="713" spans="13:26" ht="17.25" customHeight="1">
      <c r="M713" s="47"/>
      <c r="N713" s="20"/>
      <c r="O713" s="20"/>
      <c r="P713" s="20"/>
      <c r="Q713" s="20"/>
      <c r="R713" s="20"/>
      <c r="S713" s="20"/>
      <c r="T713" s="20"/>
      <c r="U713" s="20"/>
      <c r="V713" s="20"/>
      <c r="W713" s="20"/>
      <c r="X713" s="20"/>
      <c r="Y713" s="20"/>
      <c r="Z713" s="20"/>
    </row>
    <row r="714" spans="13:26" ht="17.25" customHeight="1">
      <c r="M714" s="47"/>
      <c r="N714" s="20"/>
      <c r="O714" s="20"/>
      <c r="P714" s="20"/>
      <c r="Q714" s="20"/>
      <c r="R714" s="20"/>
      <c r="S714" s="20"/>
      <c r="T714" s="20"/>
      <c r="U714" s="20"/>
      <c r="V714" s="20"/>
      <c r="W714" s="20"/>
      <c r="X714" s="20"/>
      <c r="Y714" s="20"/>
      <c r="Z714" s="20"/>
    </row>
    <row r="715" spans="13:26" ht="17.25" customHeight="1">
      <c r="M715" s="47"/>
      <c r="N715" s="20"/>
      <c r="O715" s="20"/>
      <c r="P715" s="20"/>
      <c r="Q715" s="20"/>
      <c r="R715" s="20"/>
      <c r="S715" s="20"/>
      <c r="T715" s="20"/>
      <c r="U715" s="20"/>
      <c r="V715" s="20"/>
      <c r="W715" s="20"/>
      <c r="X715" s="20"/>
      <c r="Y715" s="20"/>
      <c r="Z715" s="20"/>
    </row>
    <row r="716" spans="13:26" ht="17.25" customHeight="1">
      <c r="M716" s="47"/>
      <c r="N716" s="20"/>
      <c r="O716" s="20"/>
      <c r="P716" s="20"/>
      <c r="Q716" s="20"/>
      <c r="R716" s="20"/>
      <c r="S716" s="20"/>
      <c r="T716" s="20"/>
      <c r="U716" s="20"/>
      <c r="V716" s="20"/>
      <c r="W716" s="20"/>
      <c r="X716" s="20"/>
      <c r="Y716" s="20"/>
      <c r="Z716" s="20"/>
    </row>
    <row r="717" spans="13:26" ht="17.25" customHeight="1">
      <c r="M717" s="47"/>
      <c r="N717" s="20"/>
      <c r="O717" s="20"/>
      <c r="P717" s="20"/>
      <c r="Q717" s="20"/>
      <c r="R717" s="20"/>
      <c r="S717" s="20"/>
      <c r="T717" s="20"/>
      <c r="U717" s="20"/>
      <c r="V717" s="20"/>
      <c r="W717" s="20"/>
      <c r="X717" s="20"/>
      <c r="Y717" s="20"/>
      <c r="Z717" s="20"/>
    </row>
    <row r="718" spans="13:26" ht="17.25" customHeight="1">
      <c r="M718" s="47"/>
      <c r="N718" s="20"/>
      <c r="O718" s="20"/>
      <c r="P718" s="20"/>
      <c r="Q718" s="20"/>
      <c r="R718" s="20"/>
      <c r="S718" s="20"/>
      <c r="T718" s="20"/>
      <c r="U718" s="20"/>
      <c r="V718" s="20"/>
      <c r="W718" s="20"/>
      <c r="X718" s="20"/>
      <c r="Y718" s="20"/>
      <c r="Z718" s="20"/>
    </row>
    <row r="719" spans="13:26" ht="17.25" customHeight="1">
      <c r="M719" s="47"/>
      <c r="N719" s="20"/>
      <c r="O719" s="20"/>
      <c r="P719" s="20"/>
      <c r="Q719" s="20"/>
      <c r="R719" s="20"/>
      <c r="S719" s="20"/>
      <c r="T719" s="20"/>
      <c r="U719" s="20"/>
      <c r="V719" s="20"/>
      <c r="W719" s="20"/>
      <c r="X719" s="20"/>
      <c r="Y719" s="20"/>
      <c r="Z719" s="20"/>
    </row>
    <row r="720" spans="13:26" ht="17.25" customHeight="1">
      <c r="M720" s="47"/>
      <c r="N720" s="20"/>
      <c r="O720" s="20"/>
      <c r="P720" s="20"/>
      <c r="Q720" s="20"/>
      <c r="R720" s="20"/>
      <c r="S720" s="20"/>
      <c r="T720" s="20"/>
      <c r="U720" s="20"/>
      <c r="V720" s="20"/>
      <c r="W720" s="20"/>
      <c r="X720" s="20"/>
      <c r="Y720" s="20"/>
      <c r="Z720" s="20"/>
    </row>
    <row r="721" spans="13:26" ht="17.25" customHeight="1">
      <c r="M721" s="47"/>
      <c r="N721" s="20"/>
      <c r="O721" s="20"/>
      <c r="P721" s="20"/>
      <c r="Q721" s="20"/>
      <c r="R721" s="20"/>
      <c r="S721" s="20"/>
      <c r="T721" s="20"/>
      <c r="U721" s="20"/>
      <c r="V721" s="20"/>
      <c r="W721" s="20"/>
      <c r="X721" s="20"/>
      <c r="Y721" s="20"/>
      <c r="Z721" s="20"/>
    </row>
    <row r="722" spans="13:26" ht="17.25" customHeight="1">
      <c r="M722" s="47"/>
      <c r="N722" s="20"/>
      <c r="O722" s="20"/>
      <c r="P722" s="20"/>
      <c r="Q722" s="20"/>
      <c r="R722" s="20"/>
      <c r="S722" s="20"/>
      <c r="T722" s="20"/>
      <c r="U722" s="20"/>
      <c r="V722" s="20"/>
      <c r="W722" s="20"/>
      <c r="X722" s="20"/>
      <c r="Y722" s="20"/>
      <c r="Z722" s="20"/>
    </row>
    <row r="723" spans="13:26" ht="17.25" customHeight="1">
      <c r="M723" s="47"/>
      <c r="N723" s="20"/>
      <c r="O723" s="20"/>
      <c r="P723" s="20"/>
      <c r="Q723" s="20"/>
      <c r="R723" s="20"/>
      <c r="S723" s="20"/>
      <c r="T723" s="20"/>
      <c r="U723" s="20"/>
      <c r="V723" s="20"/>
      <c r="W723" s="20"/>
      <c r="X723" s="20"/>
      <c r="Y723" s="20"/>
      <c r="Z723" s="20"/>
    </row>
    <row r="724" spans="13:26" ht="17.25" customHeight="1">
      <c r="M724" s="47"/>
      <c r="N724" s="20"/>
      <c r="O724" s="20"/>
      <c r="P724" s="20"/>
      <c r="Q724" s="20"/>
      <c r="R724" s="20"/>
      <c r="S724" s="20"/>
      <c r="T724" s="20"/>
      <c r="U724" s="20"/>
      <c r="V724" s="20"/>
      <c r="W724" s="20"/>
      <c r="X724" s="20"/>
      <c r="Y724" s="20"/>
      <c r="Z724" s="20"/>
    </row>
    <row r="725" spans="13:26" ht="17.25" customHeight="1">
      <c r="M725" s="47"/>
      <c r="N725" s="20"/>
      <c r="O725" s="20"/>
      <c r="P725" s="20"/>
      <c r="Q725" s="20"/>
      <c r="R725" s="20"/>
      <c r="S725" s="20"/>
      <c r="T725" s="20"/>
      <c r="U725" s="20"/>
      <c r="V725" s="20"/>
      <c r="W725" s="20"/>
      <c r="X725" s="20"/>
      <c r="Y725" s="20"/>
      <c r="Z725" s="20"/>
    </row>
    <row r="726" spans="13:26" ht="17.25" customHeight="1">
      <c r="M726" s="47"/>
      <c r="N726" s="20"/>
      <c r="O726" s="20"/>
      <c r="P726" s="20"/>
      <c r="Q726" s="20"/>
      <c r="R726" s="20"/>
      <c r="S726" s="20"/>
      <c r="T726" s="20"/>
      <c r="U726" s="20"/>
      <c r="V726" s="20"/>
      <c r="W726" s="20"/>
      <c r="X726" s="20"/>
      <c r="Y726" s="20"/>
      <c r="Z726" s="20"/>
    </row>
    <row r="727" spans="13:26" ht="17.25" customHeight="1">
      <c r="M727" s="47"/>
      <c r="N727" s="20"/>
      <c r="O727" s="20"/>
      <c r="P727" s="20"/>
      <c r="Q727" s="20"/>
      <c r="R727" s="20"/>
      <c r="S727" s="20"/>
      <c r="T727" s="20"/>
      <c r="U727" s="20"/>
      <c r="V727" s="20"/>
      <c r="W727" s="20"/>
      <c r="X727" s="20"/>
      <c r="Y727" s="20"/>
      <c r="Z727" s="20"/>
    </row>
    <row r="728" spans="13:26" ht="17.25" customHeight="1">
      <c r="M728" s="47"/>
      <c r="N728" s="20"/>
      <c r="O728" s="20"/>
      <c r="P728" s="20"/>
      <c r="Q728" s="20"/>
      <c r="R728" s="20"/>
      <c r="S728" s="20"/>
      <c r="T728" s="20"/>
      <c r="U728" s="20"/>
      <c r="V728" s="20"/>
      <c r="W728" s="20"/>
      <c r="X728" s="20"/>
      <c r="Y728" s="20"/>
      <c r="Z728" s="20"/>
    </row>
    <row r="729" spans="13:26" ht="17.25" customHeight="1">
      <c r="M729" s="47"/>
      <c r="N729" s="20"/>
      <c r="O729" s="20"/>
      <c r="P729" s="20"/>
      <c r="Q729" s="20"/>
      <c r="R729" s="20"/>
      <c r="S729" s="20"/>
      <c r="T729" s="20"/>
      <c r="U729" s="20"/>
      <c r="V729" s="20"/>
      <c r="W729" s="20"/>
      <c r="X729" s="20"/>
      <c r="Y729" s="20"/>
      <c r="Z729" s="20"/>
    </row>
    <row r="730" spans="13:26" ht="17.25" customHeight="1">
      <c r="M730" s="47"/>
      <c r="N730" s="20"/>
      <c r="O730" s="20"/>
      <c r="P730" s="20"/>
      <c r="Q730" s="20"/>
      <c r="R730" s="20"/>
      <c r="S730" s="20"/>
      <c r="T730" s="20"/>
      <c r="U730" s="20"/>
      <c r="V730" s="20"/>
      <c r="W730" s="20"/>
      <c r="X730" s="20"/>
      <c r="Y730" s="20"/>
      <c r="Z730" s="20"/>
    </row>
    <row r="731" spans="13:26" ht="17.25" customHeight="1">
      <c r="M731" s="47"/>
      <c r="N731" s="20"/>
      <c r="O731" s="20"/>
      <c r="P731" s="20"/>
      <c r="Q731" s="20"/>
      <c r="R731" s="20"/>
      <c r="S731" s="20"/>
      <c r="T731" s="20"/>
      <c r="U731" s="20"/>
      <c r="V731" s="20"/>
      <c r="W731" s="20"/>
      <c r="X731" s="20"/>
      <c r="Y731" s="20"/>
      <c r="Z731" s="20"/>
    </row>
    <row r="732" spans="13:26" ht="17.25" customHeight="1">
      <c r="M732" s="47"/>
      <c r="N732" s="20"/>
      <c r="O732" s="20"/>
      <c r="P732" s="20"/>
      <c r="Q732" s="20"/>
      <c r="R732" s="20"/>
      <c r="S732" s="20"/>
      <c r="T732" s="20"/>
      <c r="U732" s="20"/>
      <c r="V732" s="20"/>
      <c r="W732" s="20"/>
      <c r="X732" s="20"/>
      <c r="Y732" s="20"/>
      <c r="Z732" s="20"/>
    </row>
    <row r="733" spans="13:26" ht="17.25" customHeight="1">
      <c r="M733" s="47"/>
      <c r="N733" s="20"/>
      <c r="O733" s="20"/>
      <c r="P733" s="20"/>
      <c r="Q733" s="20"/>
      <c r="R733" s="20"/>
      <c r="S733" s="20"/>
      <c r="T733" s="20"/>
      <c r="U733" s="20"/>
      <c r="V733" s="20"/>
      <c r="W733" s="20"/>
      <c r="X733" s="20"/>
      <c r="Y733" s="20"/>
      <c r="Z733" s="20"/>
    </row>
    <row r="734" spans="13:26" ht="17.25" customHeight="1">
      <c r="M734" s="47"/>
      <c r="N734" s="20"/>
      <c r="O734" s="20"/>
      <c r="P734" s="20"/>
      <c r="Q734" s="20"/>
      <c r="R734" s="20"/>
      <c r="S734" s="20"/>
      <c r="T734" s="20"/>
      <c r="U734" s="20"/>
      <c r="V734" s="20"/>
      <c r="W734" s="20"/>
      <c r="X734" s="20"/>
      <c r="Y734" s="20"/>
      <c r="Z734" s="20"/>
    </row>
    <row r="735" spans="13:26" ht="17.25" customHeight="1">
      <c r="M735" s="47"/>
      <c r="N735" s="20"/>
      <c r="O735" s="20"/>
      <c r="P735" s="20"/>
      <c r="Q735" s="20"/>
      <c r="R735" s="20"/>
      <c r="S735" s="20"/>
      <c r="T735" s="20"/>
      <c r="U735" s="20"/>
      <c r="V735" s="20"/>
      <c r="W735" s="20"/>
      <c r="X735" s="20"/>
      <c r="Y735" s="20"/>
      <c r="Z735" s="20"/>
    </row>
    <row r="736" spans="13:26" ht="17.25" customHeight="1">
      <c r="M736" s="47"/>
      <c r="N736" s="20"/>
      <c r="O736" s="20"/>
      <c r="P736" s="20"/>
      <c r="Q736" s="20"/>
      <c r="R736" s="20"/>
      <c r="S736" s="20"/>
      <c r="T736" s="20"/>
      <c r="U736" s="20"/>
      <c r="V736" s="20"/>
      <c r="W736" s="20"/>
      <c r="X736" s="20"/>
      <c r="Y736" s="20"/>
      <c r="Z736" s="20"/>
    </row>
    <row r="737" spans="13:26" ht="17.25" customHeight="1">
      <c r="M737" s="47"/>
      <c r="N737" s="20"/>
      <c r="O737" s="20"/>
      <c r="P737" s="20"/>
      <c r="Q737" s="20"/>
      <c r="R737" s="20"/>
      <c r="S737" s="20"/>
      <c r="T737" s="20"/>
      <c r="U737" s="20"/>
      <c r="V737" s="20"/>
      <c r="W737" s="20"/>
      <c r="X737" s="20"/>
      <c r="Y737" s="20"/>
      <c r="Z737" s="20"/>
    </row>
    <row r="738" spans="13:26" ht="17.25" customHeight="1">
      <c r="M738" s="47"/>
      <c r="N738" s="20"/>
      <c r="O738" s="20"/>
      <c r="P738" s="20"/>
      <c r="Q738" s="20"/>
      <c r="R738" s="20"/>
      <c r="S738" s="20"/>
      <c r="T738" s="20"/>
      <c r="U738" s="20"/>
      <c r="V738" s="20"/>
      <c r="W738" s="20"/>
      <c r="X738" s="20"/>
      <c r="Y738" s="20"/>
      <c r="Z738" s="20"/>
    </row>
    <row r="739" spans="13:26" ht="17.25" customHeight="1">
      <c r="M739" s="47"/>
      <c r="N739" s="20"/>
      <c r="O739" s="20"/>
      <c r="P739" s="20"/>
      <c r="Q739" s="20"/>
      <c r="R739" s="20"/>
      <c r="S739" s="20"/>
      <c r="T739" s="20"/>
      <c r="U739" s="20"/>
      <c r="V739" s="20"/>
      <c r="W739" s="20"/>
      <c r="X739" s="20"/>
      <c r="Y739" s="20"/>
      <c r="Z739" s="20"/>
    </row>
    <row r="740" spans="13:26" ht="17.25" customHeight="1">
      <c r="M740" s="47"/>
      <c r="N740" s="20"/>
      <c r="O740" s="20"/>
      <c r="P740" s="20"/>
      <c r="Q740" s="20"/>
      <c r="R740" s="20"/>
      <c r="S740" s="20"/>
      <c r="T740" s="20"/>
      <c r="U740" s="20"/>
      <c r="V740" s="20"/>
      <c r="W740" s="20"/>
      <c r="X740" s="20"/>
      <c r="Y740" s="20"/>
      <c r="Z740" s="20"/>
    </row>
    <row r="741" spans="13:26" ht="17.25" customHeight="1">
      <c r="M741" s="47"/>
      <c r="N741" s="20"/>
      <c r="O741" s="20"/>
      <c r="P741" s="20"/>
      <c r="Q741" s="20"/>
      <c r="R741" s="20"/>
      <c r="S741" s="20"/>
      <c r="T741" s="20"/>
      <c r="U741" s="20"/>
      <c r="V741" s="20"/>
      <c r="W741" s="20"/>
      <c r="X741" s="20"/>
      <c r="Y741" s="20"/>
      <c r="Z741" s="20"/>
    </row>
    <row r="742" spans="13:26" ht="17.25" customHeight="1">
      <c r="M742" s="47"/>
      <c r="N742" s="20"/>
      <c r="O742" s="20"/>
      <c r="P742" s="20"/>
      <c r="Q742" s="20"/>
      <c r="R742" s="20"/>
      <c r="S742" s="20"/>
      <c r="T742" s="20"/>
      <c r="U742" s="20"/>
      <c r="V742" s="20"/>
      <c r="W742" s="20"/>
      <c r="X742" s="20"/>
      <c r="Y742" s="20"/>
      <c r="Z742" s="20"/>
    </row>
    <row r="743" spans="13:26" ht="17.25" customHeight="1">
      <c r="M743" s="47"/>
      <c r="N743" s="20"/>
      <c r="O743" s="20"/>
      <c r="P743" s="20"/>
      <c r="Q743" s="20"/>
      <c r="R743" s="20"/>
      <c r="S743" s="20"/>
      <c r="T743" s="20"/>
      <c r="U743" s="20"/>
      <c r="V743" s="20"/>
      <c r="W743" s="20"/>
      <c r="X743" s="20"/>
      <c r="Y743" s="20"/>
      <c r="Z743" s="20"/>
    </row>
    <row r="744" spans="13:26" ht="17.25" customHeight="1">
      <c r="M744" s="47"/>
      <c r="N744" s="20"/>
      <c r="O744" s="20"/>
      <c r="P744" s="20"/>
      <c r="Q744" s="20"/>
      <c r="R744" s="20"/>
      <c r="S744" s="20"/>
      <c r="T744" s="20"/>
      <c r="U744" s="20"/>
      <c r="V744" s="20"/>
      <c r="W744" s="20"/>
      <c r="X744" s="20"/>
      <c r="Y744" s="20"/>
      <c r="Z744" s="20"/>
    </row>
    <row r="745" spans="13:26" ht="17.25" customHeight="1">
      <c r="M745" s="47"/>
      <c r="N745" s="20"/>
      <c r="O745" s="20"/>
      <c r="P745" s="20"/>
      <c r="Q745" s="20"/>
      <c r="R745" s="20"/>
      <c r="S745" s="20"/>
      <c r="T745" s="20"/>
      <c r="U745" s="20"/>
      <c r="V745" s="20"/>
      <c r="W745" s="20"/>
      <c r="X745" s="20"/>
      <c r="Y745" s="20"/>
      <c r="Z745" s="20"/>
    </row>
    <row r="746" spans="13:26" ht="17.25" customHeight="1">
      <c r="M746" s="47"/>
      <c r="N746" s="20"/>
      <c r="O746" s="20"/>
      <c r="P746" s="20"/>
      <c r="Q746" s="20"/>
      <c r="R746" s="20"/>
      <c r="S746" s="20"/>
      <c r="T746" s="20"/>
      <c r="U746" s="20"/>
      <c r="V746" s="20"/>
      <c r="W746" s="20"/>
      <c r="X746" s="20"/>
      <c r="Y746" s="20"/>
      <c r="Z746" s="20"/>
    </row>
    <row r="747" spans="13:26" ht="17.25" customHeight="1">
      <c r="M747" s="47"/>
      <c r="N747" s="20"/>
      <c r="O747" s="20"/>
      <c r="P747" s="20"/>
      <c r="Q747" s="20"/>
      <c r="R747" s="20"/>
      <c r="S747" s="20"/>
      <c r="T747" s="20"/>
      <c r="U747" s="20"/>
      <c r="V747" s="20"/>
      <c r="W747" s="20"/>
      <c r="X747" s="20"/>
      <c r="Y747" s="20"/>
      <c r="Z747" s="20"/>
    </row>
    <row r="748" spans="13:26" ht="17.25" customHeight="1">
      <c r="M748" s="47"/>
      <c r="N748" s="20"/>
      <c r="O748" s="20"/>
      <c r="P748" s="20"/>
      <c r="Q748" s="20"/>
      <c r="R748" s="20"/>
      <c r="S748" s="20"/>
      <c r="T748" s="20"/>
      <c r="U748" s="20"/>
      <c r="V748" s="20"/>
      <c r="W748" s="20"/>
      <c r="X748" s="20"/>
      <c r="Y748" s="20"/>
      <c r="Z748" s="20"/>
    </row>
    <row r="749" spans="13:26" ht="17.25" customHeight="1">
      <c r="M749" s="47"/>
      <c r="N749" s="20"/>
      <c r="O749" s="20"/>
      <c r="P749" s="20"/>
      <c r="Q749" s="20"/>
      <c r="R749" s="20"/>
      <c r="S749" s="20"/>
      <c r="T749" s="20"/>
      <c r="U749" s="20"/>
      <c r="V749" s="20"/>
      <c r="W749" s="20"/>
      <c r="X749" s="20"/>
      <c r="Y749" s="20"/>
      <c r="Z749" s="20"/>
    </row>
    <row r="750" spans="13:26" ht="17.25" customHeight="1">
      <c r="M750" s="47"/>
      <c r="N750" s="20"/>
      <c r="O750" s="20"/>
      <c r="P750" s="20"/>
      <c r="Q750" s="20"/>
      <c r="R750" s="20"/>
      <c r="S750" s="20"/>
      <c r="T750" s="20"/>
      <c r="U750" s="20"/>
      <c r="V750" s="20"/>
      <c r="W750" s="20"/>
      <c r="X750" s="20"/>
      <c r="Y750" s="20"/>
      <c r="Z750" s="20"/>
    </row>
    <row r="751" spans="13:26" ht="17.25" customHeight="1">
      <c r="M751" s="47"/>
      <c r="N751" s="20"/>
      <c r="O751" s="20"/>
      <c r="P751" s="20"/>
      <c r="Q751" s="20"/>
      <c r="R751" s="20"/>
      <c r="S751" s="20"/>
      <c r="T751" s="20"/>
      <c r="U751" s="20"/>
      <c r="V751" s="20"/>
      <c r="W751" s="20"/>
      <c r="X751" s="20"/>
      <c r="Y751" s="20"/>
      <c r="Z751" s="20"/>
    </row>
    <row r="752" spans="13:26" ht="17.25" customHeight="1">
      <c r="M752" s="47"/>
      <c r="N752" s="20"/>
      <c r="O752" s="20"/>
      <c r="P752" s="20"/>
      <c r="Q752" s="20"/>
      <c r="R752" s="20"/>
      <c r="S752" s="20"/>
      <c r="T752" s="20"/>
      <c r="U752" s="20"/>
      <c r="V752" s="20"/>
      <c r="W752" s="20"/>
      <c r="X752" s="20"/>
      <c r="Y752" s="20"/>
      <c r="Z752" s="20"/>
    </row>
    <row r="753" spans="13:26" ht="17.25" customHeight="1">
      <c r="M753" s="47"/>
      <c r="N753" s="20"/>
      <c r="O753" s="20"/>
      <c r="P753" s="20"/>
      <c r="Q753" s="20"/>
      <c r="R753" s="20"/>
      <c r="S753" s="20"/>
      <c r="T753" s="20"/>
      <c r="U753" s="20"/>
      <c r="V753" s="20"/>
      <c r="W753" s="20"/>
      <c r="X753" s="20"/>
      <c r="Y753" s="20"/>
      <c r="Z753" s="20"/>
    </row>
    <row r="754" spans="13:26" ht="17.25" customHeight="1">
      <c r="M754" s="47"/>
      <c r="N754" s="20"/>
      <c r="O754" s="20"/>
      <c r="P754" s="20"/>
      <c r="Q754" s="20"/>
      <c r="R754" s="20"/>
      <c r="S754" s="20"/>
      <c r="T754" s="20"/>
      <c r="U754" s="20"/>
      <c r="V754" s="20"/>
      <c r="W754" s="20"/>
      <c r="X754" s="20"/>
      <c r="Y754" s="20"/>
      <c r="Z754" s="20"/>
    </row>
    <row r="755" spans="13:26" ht="17.25" customHeight="1">
      <c r="M755" s="47"/>
      <c r="N755" s="20"/>
      <c r="O755" s="20"/>
      <c r="P755" s="20"/>
      <c r="Q755" s="20"/>
      <c r="R755" s="20"/>
      <c r="S755" s="20"/>
      <c r="T755" s="20"/>
      <c r="U755" s="20"/>
      <c r="V755" s="20"/>
      <c r="W755" s="20"/>
      <c r="X755" s="20"/>
      <c r="Y755" s="20"/>
      <c r="Z755" s="20"/>
    </row>
    <row r="756" spans="13:26" ht="17.25" customHeight="1">
      <c r="M756" s="47"/>
      <c r="N756" s="20"/>
      <c r="O756" s="20"/>
      <c r="P756" s="20"/>
      <c r="Q756" s="20"/>
      <c r="R756" s="20"/>
      <c r="S756" s="20"/>
      <c r="T756" s="20"/>
      <c r="U756" s="20"/>
      <c r="V756" s="20"/>
      <c r="W756" s="20"/>
      <c r="X756" s="20"/>
      <c r="Y756" s="20"/>
      <c r="Z756" s="20"/>
    </row>
    <row r="757" spans="13:26" ht="17.25" customHeight="1">
      <c r="M757" s="47"/>
      <c r="N757" s="20"/>
      <c r="O757" s="20"/>
      <c r="P757" s="20"/>
      <c r="Q757" s="20"/>
      <c r="R757" s="20"/>
      <c r="S757" s="20"/>
      <c r="T757" s="20"/>
      <c r="U757" s="20"/>
      <c r="V757" s="20"/>
      <c r="W757" s="20"/>
      <c r="X757" s="20"/>
      <c r="Y757" s="20"/>
      <c r="Z757" s="20"/>
    </row>
    <row r="758" spans="13:26" ht="17.25" customHeight="1">
      <c r="M758" s="47"/>
      <c r="N758" s="20"/>
      <c r="O758" s="20"/>
      <c r="P758" s="20"/>
      <c r="Q758" s="20"/>
      <c r="R758" s="20"/>
      <c r="S758" s="20"/>
      <c r="T758" s="20"/>
      <c r="U758" s="20"/>
      <c r="V758" s="20"/>
      <c r="W758" s="20"/>
      <c r="X758" s="20"/>
      <c r="Y758" s="20"/>
      <c r="Z758" s="20"/>
    </row>
    <row r="759" spans="13:26" ht="17.25" customHeight="1">
      <c r="M759" s="47"/>
      <c r="N759" s="20"/>
      <c r="O759" s="20"/>
      <c r="P759" s="20"/>
      <c r="Q759" s="20"/>
      <c r="R759" s="20"/>
      <c r="S759" s="20"/>
      <c r="T759" s="20"/>
      <c r="U759" s="20"/>
      <c r="V759" s="20"/>
      <c r="W759" s="20"/>
      <c r="X759" s="20"/>
      <c r="Y759" s="20"/>
      <c r="Z759" s="20"/>
    </row>
    <row r="760" spans="13:26" ht="17.25" customHeight="1">
      <c r="M760" s="47"/>
      <c r="N760" s="20"/>
      <c r="O760" s="20"/>
      <c r="P760" s="20"/>
      <c r="Q760" s="20"/>
      <c r="R760" s="20"/>
      <c r="S760" s="20"/>
      <c r="T760" s="20"/>
      <c r="U760" s="20"/>
      <c r="V760" s="20"/>
      <c r="W760" s="20"/>
      <c r="X760" s="20"/>
      <c r="Y760" s="20"/>
      <c r="Z760" s="20"/>
    </row>
    <row r="761" spans="13:26" ht="17.25" customHeight="1">
      <c r="M761" s="47"/>
      <c r="N761" s="20"/>
      <c r="O761" s="20"/>
      <c r="P761" s="20"/>
      <c r="Q761" s="20"/>
      <c r="R761" s="20"/>
      <c r="S761" s="20"/>
      <c r="T761" s="20"/>
      <c r="U761" s="20"/>
      <c r="V761" s="20"/>
      <c r="W761" s="20"/>
      <c r="X761" s="20"/>
      <c r="Y761" s="20"/>
      <c r="Z761" s="20"/>
    </row>
    <row r="762" spans="13:26" ht="17.25" customHeight="1">
      <c r="M762" s="47"/>
      <c r="N762" s="20"/>
      <c r="O762" s="20"/>
      <c r="P762" s="20"/>
      <c r="Q762" s="20"/>
      <c r="R762" s="20"/>
      <c r="S762" s="20"/>
      <c r="T762" s="20"/>
      <c r="U762" s="20"/>
      <c r="V762" s="20"/>
      <c r="W762" s="20"/>
      <c r="X762" s="20"/>
      <c r="Y762" s="20"/>
      <c r="Z762" s="20"/>
    </row>
    <row r="763" spans="13:26" ht="17.25" customHeight="1">
      <c r="M763" s="47"/>
      <c r="N763" s="20"/>
      <c r="O763" s="20"/>
      <c r="P763" s="20"/>
      <c r="Q763" s="20"/>
      <c r="R763" s="20"/>
      <c r="S763" s="20"/>
      <c r="T763" s="20"/>
      <c r="U763" s="20"/>
      <c r="V763" s="20"/>
      <c r="W763" s="20"/>
      <c r="X763" s="20"/>
      <c r="Y763" s="20"/>
      <c r="Z763" s="20"/>
    </row>
    <row r="764" spans="13:26" ht="17.25" customHeight="1">
      <c r="M764" s="47"/>
      <c r="N764" s="20"/>
      <c r="O764" s="20"/>
      <c r="P764" s="20"/>
      <c r="Q764" s="20"/>
      <c r="R764" s="20"/>
      <c r="S764" s="20"/>
      <c r="T764" s="20"/>
      <c r="U764" s="20"/>
      <c r="V764" s="20"/>
      <c r="W764" s="20"/>
      <c r="X764" s="20"/>
      <c r="Y764" s="20"/>
      <c r="Z764" s="20"/>
    </row>
    <row r="765" spans="13:26" ht="17.25" customHeight="1">
      <c r="M765" s="47"/>
      <c r="N765" s="20"/>
      <c r="O765" s="20"/>
      <c r="P765" s="20"/>
      <c r="Q765" s="20"/>
      <c r="R765" s="20"/>
      <c r="S765" s="20"/>
      <c r="T765" s="20"/>
      <c r="U765" s="20"/>
      <c r="V765" s="20"/>
      <c r="W765" s="20"/>
      <c r="X765" s="20"/>
      <c r="Y765" s="20"/>
      <c r="Z765" s="20"/>
    </row>
    <row r="766" spans="13:26" ht="17.25" customHeight="1">
      <c r="M766" s="47"/>
      <c r="N766" s="20"/>
      <c r="O766" s="20"/>
      <c r="P766" s="20"/>
      <c r="Q766" s="20"/>
      <c r="R766" s="20"/>
      <c r="S766" s="20"/>
      <c r="T766" s="20"/>
      <c r="U766" s="20"/>
      <c r="V766" s="20"/>
      <c r="W766" s="20"/>
      <c r="X766" s="20"/>
      <c r="Y766" s="20"/>
      <c r="Z766" s="20"/>
    </row>
    <row r="767" spans="13:26" ht="17.25" customHeight="1">
      <c r="M767" s="47"/>
      <c r="N767" s="20"/>
      <c r="O767" s="20"/>
      <c r="P767" s="20"/>
      <c r="Q767" s="20"/>
      <c r="R767" s="20"/>
      <c r="S767" s="20"/>
      <c r="T767" s="20"/>
      <c r="U767" s="20"/>
      <c r="V767" s="20"/>
      <c r="W767" s="20"/>
      <c r="X767" s="20"/>
      <c r="Y767" s="20"/>
      <c r="Z767" s="20"/>
    </row>
    <row r="768" spans="13:26" ht="17.25" customHeight="1">
      <c r="M768" s="47"/>
      <c r="N768" s="20"/>
      <c r="O768" s="20"/>
      <c r="P768" s="20"/>
      <c r="Q768" s="20"/>
      <c r="R768" s="20"/>
      <c r="S768" s="20"/>
      <c r="T768" s="20"/>
      <c r="U768" s="20"/>
      <c r="V768" s="20"/>
      <c r="W768" s="20"/>
      <c r="X768" s="20"/>
      <c r="Y768" s="20"/>
      <c r="Z768" s="20"/>
    </row>
    <row r="769" spans="13:26" ht="17.25" customHeight="1">
      <c r="M769" s="47"/>
      <c r="N769" s="20"/>
      <c r="O769" s="20"/>
      <c r="P769" s="20"/>
      <c r="Q769" s="20"/>
      <c r="R769" s="20"/>
      <c r="S769" s="20"/>
      <c r="T769" s="20"/>
      <c r="U769" s="20"/>
      <c r="V769" s="20"/>
      <c r="W769" s="20"/>
      <c r="X769" s="20"/>
      <c r="Y769" s="20"/>
      <c r="Z769" s="20"/>
    </row>
    <row r="770" spans="13:26" ht="17.25" customHeight="1">
      <c r="M770" s="47"/>
      <c r="N770" s="20"/>
      <c r="O770" s="20"/>
      <c r="P770" s="20"/>
      <c r="Q770" s="20"/>
      <c r="R770" s="20"/>
      <c r="S770" s="20"/>
      <c r="T770" s="20"/>
      <c r="U770" s="20"/>
      <c r="V770" s="20"/>
      <c r="W770" s="20"/>
      <c r="X770" s="20"/>
      <c r="Y770" s="20"/>
      <c r="Z770" s="20"/>
    </row>
    <row r="771" spans="13:26" ht="17.25" customHeight="1">
      <c r="M771" s="47"/>
      <c r="N771" s="20"/>
      <c r="O771" s="20"/>
      <c r="P771" s="20"/>
      <c r="Q771" s="20"/>
      <c r="R771" s="20"/>
      <c r="S771" s="20"/>
      <c r="T771" s="20"/>
      <c r="U771" s="20"/>
      <c r="V771" s="20"/>
      <c r="W771" s="20"/>
      <c r="X771" s="20"/>
      <c r="Y771" s="20"/>
      <c r="Z771" s="20"/>
    </row>
    <row r="772" spans="13:26" ht="17.25" customHeight="1">
      <c r="M772" s="47"/>
      <c r="N772" s="20"/>
      <c r="O772" s="20"/>
      <c r="P772" s="20"/>
      <c r="Q772" s="20"/>
      <c r="R772" s="20"/>
      <c r="S772" s="20"/>
      <c r="T772" s="20"/>
      <c r="U772" s="20"/>
      <c r="V772" s="20"/>
      <c r="W772" s="20"/>
      <c r="X772" s="20"/>
      <c r="Y772" s="20"/>
      <c r="Z772" s="20"/>
    </row>
    <row r="773" spans="13:26" ht="17.25" customHeight="1">
      <c r="M773" s="47"/>
      <c r="N773" s="20"/>
      <c r="O773" s="20"/>
      <c r="P773" s="20"/>
      <c r="Q773" s="20"/>
      <c r="R773" s="20"/>
      <c r="S773" s="20"/>
      <c r="T773" s="20"/>
      <c r="U773" s="20"/>
      <c r="V773" s="20"/>
      <c r="W773" s="20"/>
      <c r="X773" s="20"/>
      <c r="Y773" s="20"/>
      <c r="Z773" s="20"/>
    </row>
    <row r="774" spans="13:26" ht="17.25" customHeight="1">
      <c r="M774" s="47"/>
      <c r="N774" s="20"/>
      <c r="O774" s="20"/>
      <c r="P774" s="20"/>
      <c r="Q774" s="20"/>
      <c r="R774" s="20"/>
      <c r="S774" s="20"/>
      <c r="T774" s="20"/>
      <c r="U774" s="20"/>
      <c r="V774" s="20"/>
      <c r="W774" s="20"/>
      <c r="X774" s="20"/>
      <c r="Y774" s="20"/>
      <c r="Z774" s="20"/>
    </row>
    <row r="775" spans="13:26" ht="17.25" customHeight="1">
      <c r="M775" s="47"/>
      <c r="N775" s="20"/>
      <c r="O775" s="20"/>
      <c r="P775" s="20"/>
      <c r="Q775" s="20"/>
      <c r="R775" s="20"/>
      <c r="S775" s="20"/>
      <c r="T775" s="20"/>
      <c r="U775" s="20"/>
      <c r="V775" s="20"/>
      <c r="W775" s="20"/>
      <c r="X775" s="20"/>
      <c r="Y775" s="20"/>
      <c r="Z775" s="20"/>
    </row>
    <row r="776" spans="13:26" ht="17.25" customHeight="1">
      <c r="M776" s="47"/>
      <c r="N776" s="20"/>
      <c r="O776" s="20"/>
      <c r="P776" s="20"/>
      <c r="Q776" s="20"/>
      <c r="R776" s="20"/>
      <c r="S776" s="20"/>
      <c r="T776" s="20"/>
      <c r="U776" s="20"/>
      <c r="V776" s="20"/>
      <c r="W776" s="20"/>
      <c r="X776" s="20"/>
      <c r="Y776" s="20"/>
      <c r="Z776" s="20"/>
    </row>
    <row r="777" spans="13:26" ht="17.25" customHeight="1">
      <c r="M777" s="47"/>
      <c r="N777" s="20"/>
      <c r="O777" s="20"/>
      <c r="P777" s="20"/>
      <c r="Q777" s="20"/>
      <c r="R777" s="20"/>
      <c r="S777" s="20"/>
      <c r="T777" s="20"/>
      <c r="U777" s="20"/>
      <c r="V777" s="20"/>
      <c r="W777" s="20"/>
      <c r="X777" s="20"/>
      <c r="Y777" s="20"/>
      <c r="Z777" s="20"/>
    </row>
    <row r="778" spans="13:26" ht="17.25" customHeight="1">
      <c r="M778" s="47"/>
      <c r="N778" s="20"/>
      <c r="O778" s="20"/>
      <c r="P778" s="20"/>
      <c r="Q778" s="20"/>
      <c r="R778" s="20"/>
      <c r="S778" s="20"/>
      <c r="T778" s="20"/>
      <c r="U778" s="20"/>
      <c r="V778" s="20"/>
      <c r="W778" s="20"/>
      <c r="X778" s="20"/>
      <c r="Y778" s="20"/>
      <c r="Z778" s="20"/>
    </row>
    <row r="779" spans="13:26" ht="17.25" customHeight="1">
      <c r="M779" s="47"/>
      <c r="N779" s="20"/>
      <c r="O779" s="20"/>
      <c r="P779" s="20"/>
      <c r="Q779" s="20"/>
      <c r="R779" s="20"/>
      <c r="S779" s="20"/>
      <c r="T779" s="20"/>
      <c r="U779" s="20"/>
      <c r="V779" s="20"/>
      <c r="W779" s="20"/>
      <c r="X779" s="20"/>
      <c r="Y779" s="20"/>
      <c r="Z779" s="20"/>
    </row>
    <row r="780" spans="13:26" ht="17.25" customHeight="1">
      <c r="M780" s="47"/>
      <c r="N780" s="20"/>
      <c r="O780" s="20"/>
      <c r="P780" s="20"/>
      <c r="Q780" s="20"/>
      <c r="R780" s="20"/>
      <c r="S780" s="20"/>
      <c r="T780" s="20"/>
      <c r="U780" s="20"/>
      <c r="V780" s="20"/>
      <c r="W780" s="20"/>
      <c r="X780" s="20"/>
      <c r="Y780" s="20"/>
      <c r="Z780" s="20"/>
    </row>
    <row r="781" spans="13:26" ht="17.25" customHeight="1">
      <c r="M781" s="47"/>
      <c r="N781" s="20"/>
      <c r="O781" s="20"/>
      <c r="P781" s="20"/>
      <c r="Q781" s="20"/>
      <c r="R781" s="20"/>
      <c r="S781" s="20"/>
      <c r="T781" s="20"/>
      <c r="U781" s="20"/>
      <c r="V781" s="20"/>
      <c r="W781" s="20"/>
      <c r="X781" s="20"/>
      <c r="Y781" s="20"/>
      <c r="Z781" s="20"/>
    </row>
    <row r="782" spans="13:26" ht="17.25" customHeight="1">
      <c r="M782" s="47"/>
      <c r="N782" s="20"/>
      <c r="O782" s="20"/>
      <c r="P782" s="20"/>
      <c r="Q782" s="20"/>
      <c r="R782" s="20"/>
      <c r="S782" s="20"/>
      <c r="T782" s="20"/>
      <c r="U782" s="20"/>
      <c r="V782" s="20"/>
      <c r="W782" s="20"/>
      <c r="X782" s="20"/>
      <c r="Y782" s="20"/>
      <c r="Z782" s="20"/>
    </row>
    <row r="783" spans="13:26" ht="17.25" customHeight="1">
      <c r="M783" s="47"/>
      <c r="N783" s="20"/>
      <c r="O783" s="20"/>
      <c r="P783" s="20"/>
      <c r="Q783" s="20"/>
      <c r="R783" s="20"/>
      <c r="S783" s="20"/>
      <c r="T783" s="20"/>
      <c r="U783" s="20"/>
      <c r="V783" s="20"/>
      <c r="W783" s="20"/>
      <c r="X783" s="20"/>
      <c r="Y783" s="20"/>
      <c r="Z783" s="20"/>
    </row>
    <row r="784" spans="13:26" ht="17.25" customHeight="1">
      <c r="M784" s="47"/>
      <c r="N784" s="20"/>
      <c r="O784" s="20"/>
      <c r="P784" s="20"/>
      <c r="Q784" s="20"/>
      <c r="R784" s="20"/>
      <c r="S784" s="20"/>
      <c r="T784" s="20"/>
      <c r="U784" s="20"/>
      <c r="V784" s="20"/>
      <c r="W784" s="20"/>
      <c r="X784" s="20"/>
      <c r="Y784" s="20"/>
      <c r="Z784" s="20"/>
    </row>
    <row r="785" spans="13:26" ht="17.25" customHeight="1">
      <c r="M785" s="47"/>
      <c r="N785" s="20"/>
      <c r="O785" s="20"/>
      <c r="P785" s="20"/>
      <c r="Q785" s="20"/>
      <c r="R785" s="20"/>
      <c r="S785" s="20"/>
      <c r="T785" s="20"/>
      <c r="U785" s="20"/>
      <c r="V785" s="20"/>
      <c r="W785" s="20"/>
      <c r="X785" s="20"/>
      <c r="Y785" s="20"/>
      <c r="Z785" s="20"/>
    </row>
    <row r="786" spans="13:26" ht="17.25" customHeight="1">
      <c r="M786" s="47"/>
      <c r="N786" s="20"/>
      <c r="O786" s="20"/>
      <c r="P786" s="20"/>
      <c r="Q786" s="20"/>
      <c r="R786" s="20"/>
      <c r="S786" s="20"/>
      <c r="T786" s="20"/>
      <c r="U786" s="20"/>
      <c r="V786" s="20"/>
      <c r="W786" s="20"/>
      <c r="X786" s="20"/>
      <c r="Y786" s="20"/>
      <c r="Z786" s="20"/>
    </row>
    <row r="787" spans="13:26" ht="17.25" customHeight="1">
      <c r="M787" s="47"/>
      <c r="N787" s="20"/>
      <c r="O787" s="20"/>
      <c r="P787" s="20"/>
      <c r="Q787" s="20"/>
      <c r="R787" s="20"/>
      <c r="S787" s="20"/>
      <c r="T787" s="20"/>
      <c r="U787" s="20"/>
      <c r="V787" s="20"/>
      <c r="W787" s="20"/>
      <c r="X787" s="20"/>
      <c r="Y787" s="20"/>
      <c r="Z787" s="20"/>
    </row>
    <row r="788" spans="13:26" ht="17.25" customHeight="1">
      <c r="M788" s="47"/>
      <c r="N788" s="20"/>
      <c r="O788" s="20"/>
      <c r="P788" s="20"/>
      <c r="Q788" s="20"/>
      <c r="R788" s="20"/>
      <c r="S788" s="20"/>
      <c r="T788" s="20"/>
      <c r="U788" s="20"/>
      <c r="V788" s="20"/>
      <c r="W788" s="20"/>
      <c r="X788" s="20"/>
      <c r="Y788" s="20"/>
      <c r="Z788" s="20"/>
    </row>
    <row r="789" spans="13:26" ht="17.25" customHeight="1">
      <c r="M789" s="47"/>
      <c r="N789" s="20"/>
      <c r="O789" s="20"/>
      <c r="P789" s="20"/>
      <c r="Q789" s="20"/>
      <c r="R789" s="20"/>
      <c r="S789" s="20"/>
      <c r="T789" s="20"/>
      <c r="U789" s="20"/>
      <c r="V789" s="20"/>
      <c r="W789" s="20"/>
      <c r="X789" s="20"/>
      <c r="Y789" s="20"/>
      <c r="Z789" s="20"/>
    </row>
    <row r="790" spans="13:26" ht="17.25" customHeight="1">
      <c r="M790" s="47"/>
      <c r="N790" s="20"/>
      <c r="O790" s="20"/>
      <c r="P790" s="20"/>
      <c r="Q790" s="20"/>
      <c r="R790" s="20"/>
      <c r="S790" s="20"/>
      <c r="T790" s="20"/>
      <c r="U790" s="20"/>
      <c r="V790" s="20"/>
      <c r="W790" s="20"/>
      <c r="X790" s="20"/>
      <c r="Y790" s="20"/>
      <c r="Z790" s="20"/>
    </row>
    <row r="791" spans="13:26" ht="17.25" customHeight="1">
      <c r="M791" s="47"/>
      <c r="N791" s="20"/>
      <c r="O791" s="20"/>
      <c r="P791" s="20"/>
      <c r="Q791" s="20"/>
      <c r="R791" s="20"/>
      <c r="S791" s="20"/>
      <c r="T791" s="20"/>
      <c r="U791" s="20"/>
      <c r="V791" s="20"/>
      <c r="W791" s="20"/>
      <c r="X791" s="20"/>
      <c r="Y791" s="20"/>
      <c r="Z791" s="20"/>
    </row>
    <row r="792" spans="13:26" ht="17.25" customHeight="1">
      <c r="M792" s="47"/>
      <c r="N792" s="20"/>
      <c r="O792" s="20"/>
      <c r="P792" s="20"/>
      <c r="Q792" s="20"/>
      <c r="R792" s="20"/>
      <c r="S792" s="20"/>
      <c r="T792" s="20"/>
      <c r="U792" s="20"/>
      <c r="V792" s="20"/>
      <c r="W792" s="20"/>
      <c r="X792" s="20"/>
      <c r="Y792" s="20"/>
      <c r="Z792" s="20"/>
    </row>
    <row r="793" spans="13:26" ht="17.25" customHeight="1">
      <c r="M793" s="47"/>
      <c r="N793" s="20"/>
      <c r="O793" s="20"/>
      <c r="P793" s="20"/>
      <c r="Q793" s="20"/>
      <c r="R793" s="20"/>
      <c r="S793" s="20"/>
      <c r="T793" s="20"/>
      <c r="U793" s="20"/>
      <c r="V793" s="20"/>
      <c r="W793" s="20"/>
      <c r="X793" s="20"/>
      <c r="Y793" s="20"/>
      <c r="Z793" s="20"/>
    </row>
    <row r="794" spans="13:26" ht="17.25" customHeight="1">
      <c r="M794" s="47"/>
      <c r="N794" s="20"/>
      <c r="O794" s="20"/>
      <c r="P794" s="20"/>
      <c r="Q794" s="20"/>
      <c r="R794" s="20"/>
      <c r="S794" s="20"/>
      <c r="T794" s="20"/>
      <c r="U794" s="20"/>
      <c r="V794" s="20"/>
      <c r="W794" s="20"/>
      <c r="X794" s="20"/>
      <c r="Y794" s="20"/>
      <c r="Z794" s="20"/>
    </row>
    <row r="795" spans="13:26" ht="17.25" customHeight="1">
      <c r="M795" s="47"/>
      <c r="N795" s="20"/>
      <c r="O795" s="20"/>
      <c r="P795" s="20"/>
      <c r="Q795" s="20"/>
      <c r="R795" s="20"/>
      <c r="S795" s="20"/>
      <c r="T795" s="20"/>
      <c r="U795" s="20"/>
      <c r="V795" s="20"/>
      <c r="W795" s="20"/>
      <c r="X795" s="20"/>
      <c r="Y795" s="20"/>
      <c r="Z795" s="20"/>
    </row>
    <row r="796" spans="13:26" ht="17.25" customHeight="1">
      <c r="M796" s="47"/>
      <c r="N796" s="20"/>
      <c r="O796" s="20"/>
      <c r="P796" s="20"/>
      <c r="Q796" s="20"/>
      <c r="R796" s="20"/>
      <c r="S796" s="20"/>
      <c r="T796" s="20"/>
      <c r="U796" s="20"/>
      <c r="V796" s="20"/>
      <c r="W796" s="20"/>
      <c r="X796" s="20"/>
      <c r="Y796" s="20"/>
      <c r="Z796" s="20"/>
    </row>
    <row r="797" spans="13:26" ht="17.25" customHeight="1">
      <c r="M797" s="47"/>
      <c r="N797" s="20"/>
      <c r="O797" s="20"/>
      <c r="P797" s="20"/>
      <c r="Q797" s="20"/>
      <c r="R797" s="20"/>
      <c r="S797" s="20"/>
      <c r="T797" s="20"/>
      <c r="U797" s="20"/>
      <c r="V797" s="20"/>
      <c r="W797" s="20"/>
      <c r="X797" s="20"/>
      <c r="Y797" s="20"/>
      <c r="Z797" s="20"/>
    </row>
    <row r="798" spans="13:26" ht="17.25" customHeight="1">
      <c r="M798" s="47"/>
      <c r="N798" s="20"/>
      <c r="O798" s="20"/>
      <c r="P798" s="20"/>
      <c r="Q798" s="20"/>
      <c r="R798" s="20"/>
      <c r="S798" s="20"/>
      <c r="T798" s="20"/>
      <c r="U798" s="20"/>
      <c r="V798" s="20"/>
      <c r="W798" s="20"/>
      <c r="X798" s="20"/>
      <c r="Y798" s="20"/>
      <c r="Z798" s="20"/>
    </row>
    <row r="799" spans="13:26" ht="17.25" customHeight="1">
      <c r="M799" s="47"/>
      <c r="N799" s="20"/>
      <c r="O799" s="20"/>
      <c r="P799" s="20"/>
      <c r="Q799" s="20"/>
      <c r="R799" s="20"/>
      <c r="S799" s="20"/>
      <c r="T799" s="20"/>
      <c r="U799" s="20"/>
      <c r="V799" s="20"/>
      <c r="W799" s="20"/>
      <c r="X799" s="20"/>
      <c r="Y799" s="20"/>
      <c r="Z799" s="20"/>
    </row>
    <row r="800" spans="13:26" ht="17.25" customHeight="1">
      <c r="M800" s="47"/>
      <c r="N800" s="20"/>
      <c r="O800" s="20"/>
      <c r="P800" s="20"/>
      <c r="Q800" s="20"/>
      <c r="R800" s="20"/>
      <c r="S800" s="20"/>
      <c r="T800" s="20"/>
      <c r="U800" s="20"/>
      <c r="V800" s="20"/>
      <c r="W800" s="20"/>
      <c r="X800" s="20"/>
      <c r="Y800" s="20"/>
      <c r="Z800" s="20"/>
    </row>
    <row r="801" spans="13:26" ht="17.25" customHeight="1">
      <c r="M801" s="47"/>
      <c r="N801" s="20"/>
      <c r="O801" s="20"/>
      <c r="P801" s="20"/>
      <c r="Q801" s="20"/>
      <c r="R801" s="20"/>
      <c r="S801" s="20"/>
      <c r="T801" s="20"/>
      <c r="U801" s="20"/>
      <c r="V801" s="20"/>
      <c r="W801" s="20"/>
      <c r="X801" s="20"/>
      <c r="Y801" s="20"/>
      <c r="Z801" s="20"/>
    </row>
    <row r="802" spans="13:26" ht="17.25" customHeight="1">
      <c r="M802" s="47"/>
      <c r="N802" s="20"/>
      <c r="O802" s="20"/>
      <c r="P802" s="20"/>
      <c r="Q802" s="20"/>
      <c r="R802" s="20"/>
      <c r="S802" s="20"/>
      <c r="T802" s="20"/>
      <c r="U802" s="20"/>
      <c r="V802" s="20"/>
      <c r="W802" s="20"/>
      <c r="X802" s="20"/>
      <c r="Y802" s="20"/>
      <c r="Z802" s="20"/>
    </row>
    <row r="803" spans="13:26" ht="17.25" customHeight="1">
      <c r="M803" s="47"/>
      <c r="N803" s="20"/>
      <c r="O803" s="20"/>
      <c r="P803" s="20"/>
      <c r="Q803" s="20"/>
      <c r="R803" s="20"/>
      <c r="S803" s="20"/>
      <c r="T803" s="20"/>
      <c r="U803" s="20"/>
      <c r="V803" s="20"/>
      <c r="W803" s="20"/>
      <c r="X803" s="20"/>
      <c r="Y803" s="20"/>
      <c r="Z803" s="20"/>
    </row>
    <row r="804" spans="13:26" ht="17.25" customHeight="1">
      <c r="M804" s="47"/>
      <c r="N804" s="20"/>
      <c r="O804" s="20"/>
      <c r="P804" s="20"/>
      <c r="Q804" s="20"/>
      <c r="R804" s="20"/>
      <c r="S804" s="20"/>
      <c r="T804" s="20"/>
      <c r="U804" s="20"/>
      <c r="V804" s="20"/>
      <c r="W804" s="20"/>
      <c r="X804" s="20"/>
      <c r="Y804" s="20"/>
      <c r="Z804" s="20"/>
    </row>
    <row r="805" spans="13:26" ht="17.25" customHeight="1">
      <c r="M805" s="47"/>
      <c r="N805" s="20"/>
      <c r="O805" s="20"/>
      <c r="P805" s="20"/>
      <c r="Q805" s="20"/>
      <c r="R805" s="20"/>
      <c r="S805" s="20"/>
      <c r="T805" s="20"/>
      <c r="U805" s="20"/>
      <c r="V805" s="20"/>
      <c r="W805" s="20"/>
      <c r="X805" s="20"/>
      <c r="Y805" s="20"/>
      <c r="Z805" s="20"/>
    </row>
    <row r="806" spans="13:26" ht="17.25" customHeight="1">
      <c r="M806" s="47"/>
      <c r="N806" s="20"/>
      <c r="O806" s="20"/>
      <c r="P806" s="20"/>
      <c r="Q806" s="20"/>
      <c r="R806" s="20"/>
      <c r="S806" s="20"/>
      <c r="T806" s="20"/>
      <c r="U806" s="20"/>
      <c r="V806" s="20"/>
      <c r="W806" s="20"/>
      <c r="X806" s="20"/>
      <c r="Y806" s="20"/>
      <c r="Z806" s="20"/>
    </row>
    <row r="807" spans="13:26" ht="17.25" customHeight="1">
      <c r="M807" s="47"/>
      <c r="N807" s="20"/>
      <c r="O807" s="20"/>
      <c r="P807" s="20"/>
      <c r="Q807" s="20"/>
      <c r="R807" s="20"/>
      <c r="S807" s="20"/>
      <c r="T807" s="20"/>
      <c r="U807" s="20"/>
      <c r="V807" s="20"/>
      <c r="W807" s="20"/>
      <c r="X807" s="20"/>
      <c r="Y807" s="20"/>
      <c r="Z807" s="20"/>
    </row>
    <row r="808" spans="13:26" ht="17.25" customHeight="1">
      <c r="M808" s="47"/>
      <c r="N808" s="20"/>
      <c r="O808" s="20"/>
      <c r="P808" s="20"/>
      <c r="Q808" s="20"/>
      <c r="R808" s="20"/>
      <c r="S808" s="20"/>
      <c r="T808" s="20"/>
      <c r="U808" s="20"/>
      <c r="V808" s="20"/>
      <c r="W808" s="20"/>
      <c r="X808" s="20"/>
      <c r="Y808" s="20"/>
      <c r="Z808" s="20"/>
    </row>
    <row r="809" spans="13:26" ht="17.25" customHeight="1">
      <c r="M809" s="47"/>
      <c r="N809" s="20"/>
      <c r="O809" s="20"/>
      <c r="P809" s="20"/>
      <c r="Q809" s="20"/>
      <c r="R809" s="20"/>
      <c r="S809" s="20"/>
      <c r="T809" s="20"/>
      <c r="U809" s="20"/>
      <c r="V809" s="20"/>
      <c r="W809" s="20"/>
      <c r="X809" s="20"/>
      <c r="Y809" s="20"/>
      <c r="Z809" s="20"/>
    </row>
    <row r="810" spans="13:26" ht="17.25" customHeight="1">
      <c r="M810" s="47"/>
      <c r="N810" s="20"/>
      <c r="O810" s="20"/>
      <c r="P810" s="20"/>
      <c r="Q810" s="20"/>
      <c r="R810" s="20"/>
      <c r="S810" s="20"/>
      <c r="T810" s="20"/>
      <c r="U810" s="20"/>
      <c r="V810" s="20"/>
      <c r="W810" s="20"/>
      <c r="X810" s="20"/>
      <c r="Y810" s="20"/>
      <c r="Z810" s="20"/>
    </row>
    <row r="811" spans="13:26" ht="17.25" customHeight="1">
      <c r="M811" s="47"/>
      <c r="N811" s="20"/>
      <c r="O811" s="20"/>
      <c r="P811" s="20"/>
      <c r="Q811" s="20"/>
      <c r="R811" s="20"/>
      <c r="S811" s="20"/>
      <c r="T811" s="20"/>
      <c r="U811" s="20"/>
      <c r="V811" s="20"/>
      <c r="W811" s="20"/>
      <c r="X811" s="20"/>
      <c r="Y811" s="20"/>
      <c r="Z811" s="20"/>
    </row>
    <row r="812" spans="13:26" ht="17.25" customHeight="1">
      <c r="M812" s="47"/>
      <c r="N812" s="20"/>
      <c r="O812" s="20"/>
      <c r="P812" s="20"/>
      <c r="Q812" s="20"/>
      <c r="R812" s="20"/>
      <c r="S812" s="20"/>
      <c r="T812" s="20"/>
      <c r="U812" s="20"/>
      <c r="V812" s="20"/>
      <c r="W812" s="20"/>
      <c r="X812" s="20"/>
      <c r="Y812" s="20"/>
      <c r="Z812" s="20"/>
    </row>
    <row r="813" spans="13:26" ht="17.25" customHeight="1">
      <c r="M813" s="47"/>
      <c r="N813" s="20"/>
      <c r="O813" s="20"/>
      <c r="P813" s="20"/>
      <c r="Q813" s="20"/>
      <c r="R813" s="20"/>
      <c r="S813" s="20"/>
      <c r="T813" s="20"/>
      <c r="U813" s="20"/>
      <c r="V813" s="20"/>
      <c r="W813" s="20"/>
      <c r="X813" s="20"/>
      <c r="Y813" s="20"/>
      <c r="Z813" s="20"/>
    </row>
    <row r="814" spans="13:26" ht="17.25" customHeight="1">
      <c r="M814" s="47"/>
      <c r="N814" s="20"/>
      <c r="O814" s="20"/>
      <c r="P814" s="20"/>
      <c r="Q814" s="20"/>
      <c r="R814" s="20"/>
      <c r="S814" s="20"/>
      <c r="T814" s="20"/>
      <c r="U814" s="20"/>
      <c r="V814" s="20"/>
      <c r="W814" s="20"/>
      <c r="X814" s="20"/>
      <c r="Y814" s="20"/>
      <c r="Z814" s="20"/>
    </row>
    <row r="815" spans="13:26" ht="17.25" customHeight="1">
      <c r="M815" s="47"/>
      <c r="N815" s="20"/>
      <c r="O815" s="20"/>
      <c r="P815" s="20"/>
      <c r="Q815" s="20"/>
      <c r="R815" s="20"/>
      <c r="S815" s="20"/>
      <c r="T815" s="20"/>
      <c r="U815" s="20"/>
      <c r="V815" s="20"/>
      <c r="W815" s="20"/>
      <c r="X815" s="20"/>
      <c r="Y815" s="20"/>
      <c r="Z815" s="20"/>
    </row>
    <row r="816" spans="13:26" ht="17.25" customHeight="1">
      <c r="M816" s="47"/>
      <c r="N816" s="20"/>
      <c r="O816" s="20"/>
      <c r="P816" s="20"/>
      <c r="Q816" s="20"/>
      <c r="R816" s="20"/>
      <c r="S816" s="20"/>
      <c r="T816" s="20"/>
      <c r="U816" s="20"/>
      <c r="V816" s="20"/>
      <c r="W816" s="20"/>
      <c r="X816" s="20"/>
      <c r="Y816" s="20"/>
      <c r="Z816" s="20"/>
    </row>
    <row r="817" spans="13:26" ht="17.25" customHeight="1">
      <c r="M817" s="47"/>
      <c r="N817" s="20"/>
      <c r="O817" s="20"/>
      <c r="P817" s="20"/>
      <c r="Q817" s="20"/>
      <c r="R817" s="20"/>
      <c r="S817" s="20"/>
      <c r="T817" s="20"/>
      <c r="U817" s="20"/>
      <c r="V817" s="20"/>
      <c r="W817" s="20"/>
      <c r="X817" s="20"/>
      <c r="Y817" s="20"/>
      <c r="Z817" s="20"/>
    </row>
    <row r="818" spans="13:26" ht="17.25" customHeight="1">
      <c r="M818" s="47"/>
      <c r="N818" s="20"/>
      <c r="O818" s="20"/>
      <c r="P818" s="20"/>
      <c r="Q818" s="20"/>
      <c r="R818" s="20"/>
      <c r="S818" s="20"/>
      <c r="T818" s="20"/>
      <c r="U818" s="20"/>
      <c r="V818" s="20"/>
      <c r="W818" s="20"/>
      <c r="X818" s="20"/>
      <c r="Y818" s="20"/>
      <c r="Z818" s="20"/>
    </row>
    <row r="819" spans="13:26" ht="17.25" customHeight="1">
      <c r="M819" s="47"/>
      <c r="N819" s="20"/>
      <c r="O819" s="20"/>
      <c r="P819" s="20"/>
      <c r="Q819" s="20"/>
      <c r="R819" s="20"/>
      <c r="S819" s="20"/>
      <c r="T819" s="20"/>
      <c r="U819" s="20"/>
      <c r="V819" s="20"/>
      <c r="W819" s="20"/>
      <c r="X819" s="20"/>
      <c r="Y819" s="20"/>
      <c r="Z819" s="20"/>
    </row>
    <row r="820" spans="13:26" ht="17.25" customHeight="1">
      <c r="M820" s="47"/>
      <c r="N820" s="20"/>
      <c r="O820" s="20"/>
      <c r="P820" s="20"/>
      <c r="Q820" s="20"/>
      <c r="R820" s="20"/>
      <c r="S820" s="20"/>
      <c r="T820" s="20"/>
      <c r="U820" s="20"/>
      <c r="V820" s="20"/>
      <c r="W820" s="20"/>
      <c r="X820" s="20"/>
      <c r="Y820" s="20"/>
      <c r="Z820" s="20"/>
    </row>
    <row r="821" spans="13:26" ht="17.25" customHeight="1">
      <c r="M821" s="47"/>
      <c r="N821" s="20"/>
      <c r="O821" s="20"/>
      <c r="P821" s="20"/>
      <c r="Q821" s="20"/>
      <c r="R821" s="20"/>
      <c r="S821" s="20"/>
      <c r="T821" s="20"/>
      <c r="U821" s="20"/>
      <c r="V821" s="20"/>
      <c r="W821" s="20"/>
      <c r="X821" s="20"/>
      <c r="Y821" s="20"/>
      <c r="Z821" s="20"/>
    </row>
    <row r="822" spans="13:26" ht="17.25" customHeight="1">
      <c r="M822" s="47"/>
      <c r="N822" s="20"/>
      <c r="O822" s="20"/>
      <c r="P822" s="20"/>
      <c r="Q822" s="20"/>
      <c r="R822" s="20"/>
      <c r="S822" s="20"/>
      <c r="T822" s="20"/>
      <c r="U822" s="20"/>
      <c r="V822" s="20"/>
      <c r="W822" s="20"/>
      <c r="X822" s="20"/>
      <c r="Y822" s="20"/>
      <c r="Z822" s="20"/>
    </row>
    <row r="823" spans="13:26" ht="17.25" customHeight="1">
      <c r="M823" s="47"/>
      <c r="N823" s="20"/>
      <c r="O823" s="20"/>
      <c r="P823" s="20"/>
      <c r="Q823" s="20"/>
      <c r="R823" s="20"/>
      <c r="S823" s="20"/>
      <c r="T823" s="20"/>
      <c r="U823" s="20"/>
      <c r="V823" s="20"/>
      <c r="W823" s="20"/>
      <c r="X823" s="20"/>
      <c r="Y823" s="20"/>
      <c r="Z823" s="20"/>
    </row>
    <row r="824" spans="13:26" ht="17.25" customHeight="1">
      <c r="M824" s="47"/>
      <c r="N824" s="20"/>
      <c r="O824" s="20"/>
      <c r="P824" s="20"/>
      <c r="Q824" s="20"/>
      <c r="R824" s="20"/>
      <c r="S824" s="20"/>
      <c r="T824" s="20"/>
      <c r="U824" s="20"/>
      <c r="V824" s="20"/>
      <c r="W824" s="20"/>
      <c r="X824" s="20"/>
      <c r="Y824" s="20"/>
      <c r="Z824" s="20"/>
    </row>
    <row r="825" spans="13:26" ht="17.25" customHeight="1">
      <c r="M825" s="47"/>
      <c r="N825" s="20"/>
      <c r="O825" s="20"/>
      <c r="P825" s="20"/>
      <c r="Q825" s="20"/>
      <c r="R825" s="20"/>
      <c r="S825" s="20"/>
      <c r="T825" s="20"/>
      <c r="U825" s="20"/>
      <c r="V825" s="20"/>
      <c r="W825" s="20"/>
      <c r="X825" s="20"/>
      <c r="Y825" s="20"/>
      <c r="Z825" s="20"/>
    </row>
    <row r="826" spans="13:26" ht="17.25" customHeight="1">
      <c r="M826" s="47"/>
      <c r="N826" s="20"/>
      <c r="O826" s="20"/>
      <c r="P826" s="20"/>
      <c r="Q826" s="20"/>
      <c r="R826" s="20"/>
      <c r="S826" s="20"/>
      <c r="T826" s="20"/>
      <c r="U826" s="20"/>
      <c r="V826" s="20"/>
      <c r="W826" s="20"/>
      <c r="X826" s="20"/>
      <c r="Y826" s="20"/>
      <c r="Z826" s="20"/>
    </row>
    <row r="827" spans="13:26" ht="17.25" customHeight="1">
      <c r="M827" s="47"/>
      <c r="N827" s="20"/>
      <c r="O827" s="20"/>
      <c r="P827" s="20"/>
      <c r="Q827" s="20"/>
      <c r="R827" s="20"/>
      <c r="S827" s="20"/>
      <c r="T827" s="20"/>
      <c r="U827" s="20"/>
      <c r="V827" s="20"/>
      <c r="W827" s="20"/>
      <c r="X827" s="20"/>
      <c r="Y827" s="20"/>
      <c r="Z827" s="20"/>
    </row>
    <row r="828" spans="13:26" ht="17.25" customHeight="1">
      <c r="M828" s="47"/>
      <c r="N828" s="20"/>
      <c r="O828" s="20"/>
      <c r="P828" s="20"/>
      <c r="Q828" s="20"/>
      <c r="R828" s="20"/>
      <c r="S828" s="20"/>
      <c r="T828" s="20"/>
      <c r="U828" s="20"/>
      <c r="V828" s="20"/>
      <c r="W828" s="20"/>
      <c r="X828" s="20"/>
      <c r="Y828" s="20"/>
      <c r="Z828" s="20"/>
    </row>
    <row r="829" spans="13:26" ht="17.25" customHeight="1">
      <c r="M829" s="47"/>
      <c r="N829" s="20"/>
      <c r="O829" s="20"/>
      <c r="P829" s="20"/>
      <c r="Q829" s="20"/>
      <c r="R829" s="20"/>
      <c r="S829" s="20"/>
      <c r="T829" s="20"/>
      <c r="U829" s="20"/>
      <c r="V829" s="20"/>
      <c r="W829" s="20"/>
      <c r="X829" s="20"/>
      <c r="Y829" s="20"/>
      <c r="Z829" s="20"/>
    </row>
    <row r="830" spans="13:26" ht="17.25" customHeight="1">
      <c r="M830" s="47"/>
      <c r="N830" s="20"/>
      <c r="O830" s="20"/>
      <c r="P830" s="20"/>
      <c r="Q830" s="20"/>
      <c r="R830" s="20"/>
      <c r="S830" s="20"/>
      <c r="T830" s="20"/>
      <c r="U830" s="20"/>
      <c r="V830" s="20"/>
      <c r="W830" s="20"/>
      <c r="X830" s="20"/>
      <c r="Y830" s="20"/>
      <c r="Z830" s="20"/>
    </row>
    <row r="831" spans="13:26" ht="17.25" customHeight="1">
      <c r="M831" s="47"/>
      <c r="N831" s="20"/>
      <c r="O831" s="20"/>
      <c r="P831" s="20"/>
      <c r="Q831" s="20"/>
      <c r="R831" s="20"/>
      <c r="S831" s="20"/>
      <c r="T831" s="20"/>
      <c r="U831" s="20"/>
      <c r="V831" s="20"/>
      <c r="W831" s="20"/>
      <c r="X831" s="20"/>
      <c r="Y831" s="20"/>
      <c r="Z831" s="20"/>
    </row>
    <row r="832" spans="13:26" ht="17.25" customHeight="1">
      <c r="M832" s="47"/>
      <c r="N832" s="20"/>
      <c r="O832" s="20"/>
      <c r="P832" s="20"/>
      <c r="Q832" s="20"/>
      <c r="R832" s="20"/>
      <c r="S832" s="20"/>
      <c r="T832" s="20"/>
      <c r="U832" s="20"/>
      <c r="V832" s="20"/>
      <c r="W832" s="20"/>
      <c r="X832" s="20"/>
      <c r="Y832" s="20"/>
      <c r="Z832" s="20"/>
    </row>
    <row r="833" spans="13:26" ht="17.25" customHeight="1">
      <c r="M833" s="47"/>
      <c r="N833" s="20"/>
      <c r="O833" s="20"/>
      <c r="P833" s="20"/>
      <c r="Q833" s="20"/>
      <c r="R833" s="20"/>
      <c r="S833" s="20"/>
      <c r="T833" s="20"/>
      <c r="U833" s="20"/>
      <c r="V833" s="20"/>
      <c r="W833" s="20"/>
      <c r="X833" s="20"/>
      <c r="Y833" s="20"/>
      <c r="Z833" s="20"/>
    </row>
    <row r="834" spans="13:26" ht="17.25" customHeight="1">
      <c r="M834" s="47"/>
      <c r="N834" s="20"/>
      <c r="O834" s="20"/>
      <c r="P834" s="20"/>
      <c r="Q834" s="20"/>
      <c r="R834" s="20"/>
      <c r="S834" s="20"/>
      <c r="T834" s="20"/>
      <c r="U834" s="20"/>
      <c r="V834" s="20"/>
      <c r="W834" s="20"/>
      <c r="X834" s="20"/>
      <c r="Y834" s="20"/>
      <c r="Z834" s="20"/>
    </row>
    <row r="835" spans="13:26" ht="17.25" customHeight="1">
      <c r="M835" s="47"/>
      <c r="N835" s="20"/>
      <c r="O835" s="20"/>
      <c r="P835" s="20"/>
      <c r="Q835" s="20"/>
      <c r="R835" s="20"/>
      <c r="S835" s="20"/>
      <c r="T835" s="20"/>
      <c r="U835" s="20"/>
      <c r="V835" s="20"/>
      <c r="W835" s="20"/>
      <c r="X835" s="20"/>
      <c r="Y835" s="20"/>
      <c r="Z835" s="20"/>
    </row>
    <row r="836" spans="13:26" ht="17.25" customHeight="1">
      <c r="M836" s="47"/>
      <c r="N836" s="20"/>
      <c r="O836" s="20"/>
      <c r="P836" s="20"/>
      <c r="Q836" s="20"/>
      <c r="R836" s="20"/>
      <c r="S836" s="20"/>
      <c r="T836" s="20"/>
      <c r="U836" s="20"/>
      <c r="V836" s="20"/>
      <c r="W836" s="20"/>
      <c r="X836" s="20"/>
      <c r="Y836" s="20"/>
      <c r="Z836" s="20"/>
    </row>
    <row r="837" spans="13:26" ht="17.25" customHeight="1">
      <c r="M837" s="47"/>
      <c r="N837" s="20"/>
      <c r="O837" s="20"/>
      <c r="P837" s="20"/>
      <c r="Q837" s="20"/>
      <c r="R837" s="20"/>
      <c r="S837" s="20"/>
      <c r="T837" s="20"/>
      <c r="U837" s="20"/>
      <c r="V837" s="20"/>
      <c r="W837" s="20"/>
      <c r="X837" s="20"/>
      <c r="Y837" s="20"/>
      <c r="Z837" s="20"/>
    </row>
    <row r="838" spans="13:26" ht="17.25" customHeight="1">
      <c r="M838" s="47"/>
      <c r="N838" s="20"/>
      <c r="O838" s="20"/>
      <c r="P838" s="20"/>
      <c r="Q838" s="20"/>
      <c r="R838" s="20"/>
      <c r="S838" s="20"/>
      <c r="T838" s="20"/>
      <c r="U838" s="20"/>
      <c r="V838" s="20"/>
      <c r="W838" s="20"/>
      <c r="X838" s="20"/>
      <c r="Y838" s="20"/>
      <c r="Z838" s="20"/>
    </row>
    <row r="839" spans="13:26" ht="17.25" customHeight="1">
      <c r="M839" s="47"/>
      <c r="N839" s="20"/>
      <c r="O839" s="20"/>
      <c r="P839" s="20"/>
      <c r="Q839" s="20"/>
      <c r="R839" s="20"/>
      <c r="S839" s="20"/>
      <c r="T839" s="20"/>
      <c r="U839" s="20"/>
      <c r="V839" s="20"/>
      <c r="W839" s="20"/>
      <c r="X839" s="20"/>
      <c r="Y839" s="20"/>
      <c r="Z839" s="20"/>
    </row>
    <row r="840" spans="13:26" ht="17.25" customHeight="1">
      <c r="M840" s="47"/>
      <c r="N840" s="20"/>
      <c r="O840" s="20"/>
      <c r="P840" s="20"/>
      <c r="Q840" s="20"/>
      <c r="R840" s="20"/>
      <c r="S840" s="20"/>
      <c r="T840" s="20"/>
      <c r="U840" s="20"/>
      <c r="V840" s="20"/>
      <c r="W840" s="20"/>
      <c r="X840" s="20"/>
      <c r="Y840" s="20"/>
      <c r="Z840" s="20"/>
    </row>
    <row r="841" spans="13:26" ht="17.25" customHeight="1">
      <c r="M841" s="47"/>
      <c r="N841" s="20"/>
      <c r="O841" s="20"/>
      <c r="P841" s="20"/>
      <c r="Q841" s="20"/>
      <c r="R841" s="20"/>
      <c r="S841" s="20"/>
      <c r="T841" s="20"/>
      <c r="U841" s="20"/>
      <c r="V841" s="20"/>
      <c r="W841" s="20"/>
      <c r="X841" s="20"/>
      <c r="Y841" s="20"/>
      <c r="Z841" s="20"/>
    </row>
    <row r="842" spans="13:26" ht="17.25" customHeight="1">
      <c r="M842" s="47"/>
      <c r="N842" s="20"/>
      <c r="O842" s="20"/>
      <c r="P842" s="20"/>
      <c r="Q842" s="20"/>
      <c r="R842" s="20"/>
      <c r="S842" s="20"/>
      <c r="T842" s="20"/>
      <c r="U842" s="20"/>
      <c r="V842" s="20"/>
      <c r="W842" s="20"/>
      <c r="X842" s="20"/>
      <c r="Y842" s="20"/>
      <c r="Z842" s="20"/>
    </row>
    <row r="843" spans="13:26" ht="17.25" customHeight="1">
      <c r="M843" s="47"/>
      <c r="N843" s="20"/>
      <c r="O843" s="20"/>
      <c r="P843" s="20"/>
      <c r="Q843" s="20"/>
      <c r="R843" s="20"/>
      <c r="S843" s="20"/>
      <c r="T843" s="20"/>
      <c r="U843" s="20"/>
      <c r="V843" s="20"/>
      <c r="W843" s="20"/>
      <c r="X843" s="20"/>
      <c r="Y843" s="20"/>
      <c r="Z843" s="20"/>
    </row>
    <row r="844" spans="13:26" ht="17.25" customHeight="1">
      <c r="M844" s="47"/>
      <c r="N844" s="20"/>
      <c r="O844" s="20"/>
      <c r="P844" s="20"/>
      <c r="Q844" s="20"/>
      <c r="R844" s="20"/>
      <c r="S844" s="20"/>
      <c r="T844" s="20"/>
      <c r="U844" s="20"/>
      <c r="V844" s="20"/>
      <c r="W844" s="20"/>
      <c r="X844" s="20"/>
      <c r="Y844" s="20"/>
      <c r="Z844" s="20"/>
    </row>
    <row r="845" spans="13:26" ht="17.25" customHeight="1">
      <c r="M845" s="47"/>
      <c r="N845" s="20"/>
      <c r="O845" s="20"/>
      <c r="P845" s="20"/>
      <c r="Q845" s="20"/>
      <c r="R845" s="20"/>
      <c r="S845" s="20"/>
      <c r="T845" s="20"/>
      <c r="U845" s="20"/>
      <c r="V845" s="20"/>
      <c r="W845" s="20"/>
      <c r="X845" s="20"/>
      <c r="Y845" s="20"/>
      <c r="Z845" s="20"/>
    </row>
    <row r="846" spans="13:26" ht="17.25" customHeight="1">
      <c r="M846" s="47"/>
      <c r="N846" s="20"/>
      <c r="O846" s="20"/>
      <c r="P846" s="20"/>
      <c r="Q846" s="20"/>
      <c r="R846" s="20"/>
      <c r="S846" s="20"/>
      <c r="T846" s="20"/>
      <c r="U846" s="20"/>
      <c r="V846" s="20"/>
      <c r="W846" s="20"/>
      <c r="X846" s="20"/>
      <c r="Y846" s="20"/>
      <c r="Z846" s="20"/>
    </row>
    <row r="847" spans="13:26" ht="17.25" customHeight="1">
      <c r="M847" s="47"/>
      <c r="N847" s="20"/>
      <c r="O847" s="20"/>
      <c r="P847" s="20"/>
      <c r="Q847" s="20"/>
      <c r="R847" s="20"/>
      <c r="S847" s="20"/>
      <c r="T847" s="20"/>
      <c r="U847" s="20"/>
      <c r="V847" s="20"/>
      <c r="W847" s="20"/>
      <c r="X847" s="20"/>
      <c r="Y847" s="20"/>
      <c r="Z847" s="20"/>
    </row>
    <row r="848" spans="13:26" ht="17.25" customHeight="1">
      <c r="M848" s="47"/>
      <c r="N848" s="20"/>
      <c r="O848" s="20"/>
      <c r="P848" s="20"/>
      <c r="Q848" s="20"/>
      <c r="R848" s="20"/>
      <c r="S848" s="20"/>
      <c r="T848" s="20"/>
      <c r="U848" s="20"/>
      <c r="V848" s="20"/>
      <c r="W848" s="20"/>
      <c r="X848" s="20"/>
      <c r="Y848" s="20"/>
      <c r="Z848" s="20"/>
    </row>
    <row r="849" spans="13:26" ht="17.25" customHeight="1">
      <c r="M849" s="47"/>
      <c r="N849" s="20"/>
      <c r="O849" s="20"/>
      <c r="P849" s="20"/>
      <c r="Q849" s="20"/>
      <c r="R849" s="20"/>
      <c r="S849" s="20"/>
      <c r="T849" s="20"/>
      <c r="U849" s="20"/>
      <c r="V849" s="20"/>
      <c r="W849" s="20"/>
      <c r="X849" s="20"/>
      <c r="Y849" s="20"/>
      <c r="Z849" s="20"/>
    </row>
    <row r="850" spans="13:26" ht="17.25" customHeight="1">
      <c r="M850" s="47"/>
      <c r="N850" s="20"/>
      <c r="O850" s="20"/>
      <c r="P850" s="20"/>
      <c r="Q850" s="20"/>
      <c r="R850" s="20"/>
      <c r="S850" s="20"/>
      <c r="T850" s="20"/>
      <c r="U850" s="20"/>
      <c r="V850" s="20"/>
      <c r="W850" s="20"/>
      <c r="X850" s="20"/>
      <c r="Y850" s="20"/>
      <c r="Z850" s="20"/>
    </row>
    <row r="851" spans="13:26" ht="17.25" customHeight="1">
      <c r="M851" s="47"/>
      <c r="N851" s="20"/>
      <c r="O851" s="20"/>
      <c r="P851" s="20"/>
      <c r="Q851" s="20"/>
      <c r="R851" s="20"/>
      <c r="S851" s="20"/>
      <c r="T851" s="20"/>
      <c r="U851" s="20"/>
      <c r="V851" s="20"/>
      <c r="W851" s="20"/>
      <c r="X851" s="20"/>
      <c r="Y851" s="20"/>
      <c r="Z851" s="20"/>
    </row>
    <row r="852" spans="13:26" ht="17.25" customHeight="1">
      <c r="M852" s="47"/>
      <c r="N852" s="20"/>
      <c r="O852" s="20"/>
      <c r="P852" s="20"/>
      <c r="Q852" s="20"/>
      <c r="R852" s="20"/>
      <c r="S852" s="20"/>
      <c r="T852" s="20"/>
      <c r="U852" s="20"/>
      <c r="V852" s="20"/>
      <c r="W852" s="20"/>
      <c r="X852" s="20"/>
      <c r="Y852" s="20"/>
      <c r="Z852" s="20"/>
    </row>
    <row r="853" spans="13:26" ht="17.25" customHeight="1">
      <c r="M853" s="47"/>
      <c r="N853" s="20"/>
      <c r="O853" s="20"/>
      <c r="P853" s="20"/>
      <c r="Q853" s="20"/>
      <c r="R853" s="20"/>
      <c r="S853" s="20"/>
      <c r="T853" s="20"/>
      <c r="U853" s="20"/>
      <c r="V853" s="20"/>
      <c r="W853" s="20"/>
      <c r="X853" s="20"/>
      <c r="Y853" s="20"/>
      <c r="Z853" s="20"/>
    </row>
    <row r="854" spans="13:26" ht="17.25" customHeight="1">
      <c r="M854" s="47"/>
      <c r="N854" s="20"/>
      <c r="O854" s="20"/>
      <c r="P854" s="20"/>
      <c r="Q854" s="20"/>
      <c r="R854" s="20"/>
      <c r="S854" s="20"/>
      <c r="T854" s="20"/>
      <c r="U854" s="20"/>
      <c r="V854" s="20"/>
      <c r="W854" s="20"/>
      <c r="X854" s="20"/>
      <c r="Y854" s="20"/>
      <c r="Z854" s="20"/>
    </row>
    <row r="855" spans="13:26" ht="17.25" customHeight="1">
      <c r="M855" s="47"/>
      <c r="N855" s="20"/>
      <c r="O855" s="20"/>
      <c r="P855" s="20"/>
      <c r="Q855" s="20"/>
      <c r="R855" s="20"/>
      <c r="S855" s="20"/>
      <c r="T855" s="20"/>
      <c r="U855" s="20"/>
      <c r="V855" s="20"/>
      <c r="W855" s="20"/>
      <c r="X855" s="20"/>
      <c r="Y855" s="20"/>
      <c r="Z855" s="20"/>
    </row>
    <row r="856" spans="13:26" ht="17.25" customHeight="1">
      <c r="M856" s="47"/>
      <c r="N856" s="20"/>
      <c r="O856" s="20"/>
      <c r="P856" s="20"/>
      <c r="Q856" s="20"/>
      <c r="R856" s="20"/>
      <c r="S856" s="20"/>
      <c r="T856" s="20"/>
      <c r="U856" s="20"/>
      <c r="V856" s="20"/>
      <c r="W856" s="20"/>
      <c r="X856" s="20"/>
      <c r="Y856" s="20"/>
      <c r="Z856" s="20"/>
    </row>
    <row r="857" spans="13:26" ht="17.25" customHeight="1">
      <c r="M857" s="47"/>
      <c r="N857" s="20"/>
      <c r="O857" s="20"/>
      <c r="P857" s="20"/>
      <c r="Q857" s="20"/>
      <c r="R857" s="20"/>
      <c r="S857" s="20"/>
      <c r="T857" s="20"/>
      <c r="U857" s="20"/>
      <c r="V857" s="20"/>
      <c r="W857" s="20"/>
      <c r="X857" s="20"/>
      <c r="Y857" s="20"/>
      <c r="Z857" s="20"/>
    </row>
    <row r="858" spans="13:26" ht="17.25" customHeight="1">
      <c r="M858" s="47"/>
      <c r="N858" s="20"/>
      <c r="O858" s="20"/>
      <c r="P858" s="20"/>
      <c r="Q858" s="20"/>
      <c r="R858" s="20"/>
      <c r="S858" s="20"/>
      <c r="T858" s="20"/>
      <c r="U858" s="20"/>
      <c r="V858" s="20"/>
      <c r="W858" s="20"/>
      <c r="X858" s="20"/>
      <c r="Y858" s="20"/>
      <c r="Z858" s="20"/>
    </row>
    <row r="859" spans="13:26" ht="17.25" customHeight="1">
      <c r="M859" s="47"/>
      <c r="N859" s="20"/>
      <c r="O859" s="20"/>
      <c r="P859" s="20"/>
      <c r="Q859" s="20"/>
      <c r="R859" s="20"/>
      <c r="S859" s="20"/>
      <c r="T859" s="20"/>
      <c r="U859" s="20"/>
      <c r="V859" s="20"/>
      <c r="W859" s="20"/>
      <c r="X859" s="20"/>
      <c r="Y859" s="20"/>
      <c r="Z859" s="20"/>
    </row>
    <row r="860" spans="13:26" ht="17.25" customHeight="1">
      <c r="M860" s="47"/>
      <c r="N860" s="20"/>
      <c r="O860" s="20"/>
      <c r="P860" s="20"/>
      <c r="Q860" s="20"/>
      <c r="R860" s="20"/>
      <c r="S860" s="20"/>
      <c r="T860" s="20"/>
      <c r="U860" s="20"/>
      <c r="V860" s="20"/>
      <c r="W860" s="20"/>
      <c r="X860" s="20"/>
      <c r="Y860" s="20"/>
      <c r="Z860" s="20"/>
    </row>
    <row r="861" spans="13:26" ht="17.25" customHeight="1">
      <c r="M861" s="47"/>
      <c r="N861" s="20"/>
      <c r="O861" s="20"/>
      <c r="P861" s="20"/>
      <c r="Q861" s="20"/>
      <c r="R861" s="20"/>
      <c r="S861" s="20"/>
      <c r="T861" s="20"/>
      <c r="U861" s="20"/>
      <c r="V861" s="20"/>
      <c r="W861" s="20"/>
      <c r="X861" s="20"/>
      <c r="Y861" s="20"/>
      <c r="Z861" s="20"/>
    </row>
    <row r="862" spans="13:26" ht="17.25" customHeight="1">
      <c r="M862" s="47"/>
      <c r="N862" s="20"/>
      <c r="O862" s="20"/>
      <c r="P862" s="20"/>
      <c r="Q862" s="20"/>
      <c r="R862" s="20"/>
      <c r="S862" s="20"/>
      <c r="T862" s="20"/>
      <c r="U862" s="20"/>
      <c r="V862" s="20"/>
      <c r="W862" s="20"/>
      <c r="X862" s="20"/>
      <c r="Y862" s="20"/>
      <c r="Z862" s="20"/>
    </row>
    <row r="863" spans="13:26" ht="17.25" customHeight="1">
      <c r="M863" s="47"/>
      <c r="N863" s="20"/>
      <c r="O863" s="20"/>
      <c r="P863" s="20"/>
      <c r="Q863" s="20"/>
      <c r="R863" s="20"/>
      <c r="S863" s="20"/>
      <c r="T863" s="20"/>
      <c r="U863" s="20"/>
      <c r="V863" s="20"/>
      <c r="W863" s="20"/>
      <c r="X863" s="20"/>
      <c r="Y863" s="20"/>
      <c r="Z863" s="20"/>
    </row>
    <row r="864" spans="13:26" ht="17.25" customHeight="1">
      <c r="M864" s="47"/>
      <c r="N864" s="20"/>
      <c r="O864" s="20"/>
      <c r="P864" s="20"/>
      <c r="Q864" s="20"/>
      <c r="R864" s="20"/>
      <c r="S864" s="20"/>
      <c r="T864" s="20"/>
      <c r="U864" s="20"/>
      <c r="V864" s="20"/>
      <c r="W864" s="20"/>
      <c r="X864" s="20"/>
      <c r="Y864" s="20"/>
      <c r="Z864" s="20"/>
    </row>
    <row r="865" spans="13:26" ht="17.25" customHeight="1">
      <c r="M865" s="47"/>
      <c r="N865" s="20"/>
      <c r="O865" s="20"/>
      <c r="P865" s="20"/>
      <c r="Q865" s="20"/>
      <c r="R865" s="20"/>
      <c r="S865" s="20"/>
      <c r="T865" s="20"/>
      <c r="U865" s="20"/>
      <c r="V865" s="20"/>
      <c r="W865" s="20"/>
      <c r="X865" s="20"/>
      <c r="Y865" s="20"/>
      <c r="Z865" s="20"/>
    </row>
    <row r="866" spans="13:26" ht="17.25" customHeight="1">
      <c r="M866" s="47"/>
      <c r="N866" s="20"/>
      <c r="O866" s="20"/>
      <c r="P866" s="20"/>
      <c r="Q866" s="20"/>
      <c r="R866" s="20"/>
      <c r="S866" s="20"/>
      <c r="T866" s="20"/>
      <c r="U866" s="20"/>
      <c r="V866" s="20"/>
      <c r="W866" s="20"/>
      <c r="X866" s="20"/>
      <c r="Y866" s="20"/>
      <c r="Z866" s="20"/>
    </row>
    <row r="867" spans="13:26" ht="17.25" customHeight="1">
      <c r="M867" s="47"/>
      <c r="N867" s="20"/>
      <c r="O867" s="20"/>
      <c r="P867" s="20"/>
      <c r="Q867" s="20"/>
      <c r="R867" s="20"/>
      <c r="S867" s="20"/>
      <c r="T867" s="20"/>
      <c r="U867" s="20"/>
      <c r="V867" s="20"/>
      <c r="W867" s="20"/>
      <c r="X867" s="20"/>
      <c r="Y867" s="20"/>
      <c r="Z867" s="20"/>
    </row>
    <row r="868" spans="13:26" ht="17.25" customHeight="1">
      <c r="M868" s="47"/>
      <c r="N868" s="20"/>
      <c r="O868" s="20"/>
      <c r="P868" s="20"/>
      <c r="Q868" s="20"/>
      <c r="R868" s="20"/>
      <c r="S868" s="20"/>
      <c r="T868" s="20"/>
      <c r="U868" s="20"/>
      <c r="V868" s="20"/>
      <c r="W868" s="20"/>
      <c r="X868" s="20"/>
      <c r="Y868" s="20"/>
      <c r="Z868" s="20"/>
    </row>
    <row r="869" spans="13:26" ht="17.25" customHeight="1">
      <c r="M869" s="47"/>
      <c r="N869" s="20"/>
      <c r="O869" s="20"/>
      <c r="P869" s="20"/>
      <c r="Q869" s="20"/>
      <c r="R869" s="20"/>
      <c r="S869" s="20"/>
      <c r="T869" s="20"/>
      <c r="U869" s="20"/>
      <c r="V869" s="20"/>
      <c r="W869" s="20"/>
      <c r="X869" s="20"/>
      <c r="Y869" s="20"/>
      <c r="Z869" s="20"/>
    </row>
    <row r="870" spans="13:26" ht="17.25" customHeight="1">
      <c r="M870" s="47"/>
      <c r="N870" s="20"/>
      <c r="O870" s="20"/>
      <c r="P870" s="20"/>
      <c r="Q870" s="20"/>
      <c r="R870" s="20"/>
      <c r="S870" s="20"/>
      <c r="T870" s="20"/>
      <c r="U870" s="20"/>
      <c r="V870" s="20"/>
      <c r="W870" s="20"/>
      <c r="X870" s="20"/>
      <c r="Y870" s="20"/>
      <c r="Z870" s="20"/>
    </row>
    <row r="871" spans="13:26" ht="17.25" customHeight="1">
      <c r="M871" s="47"/>
      <c r="N871" s="20"/>
      <c r="O871" s="20"/>
      <c r="P871" s="20"/>
      <c r="Q871" s="20"/>
      <c r="R871" s="20"/>
      <c r="S871" s="20"/>
      <c r="T871" s="20"/>
      <c r="U871" s="20"/>
      <c r="V871" s="20"/>
      <c r="W871" s="20"/>
      <c r="X871" s="20"/>
      <c r="Y871" s="20"/>
      <c r="Z871" s="20"/>
    </row>
    <row r="872" spans="13:26" ht="17.25" customHeight="1">
      <c r="M872" s="47"/>
      <c r="N872" s="20"/>
      <c r="O872" s="20"/>
      <c r="P872" s="20"/>
      <c r="Q872" s="20"/>
      <c r="R872" s="20"/>
      <c r="S872" s="20"/>
      <c r="T872" s="20"/>
      <c r="U872" s="20"/>
      <c r="V872" s="20"/>
      <c r="W872" s="20"/>
      <c r="X872" s="20"/>
      <c r="Y872" s="20"/>
      <c r="Z872" s="20"/>
    </row>
    <row r="873" spans="13:26" ht="17.25" customHeight="1">
      <c r="M873" s="47"/>
      <c r="N873" s="20"/>
      <c r="O873" s="20"/>
      <c r="P873" s="20"/>
      <c r="Q873" s="20"/>
      <c r="R873" s="20"/>
      <c r="S873" s="20"/>
      <c r="T873" s="20"/>
      <c r="U873" s="20"/>
      <c r="V873" s="20"/>
      <c r="W873" s="20"/>
      <c r="X873" s="20"/>
      <c r="Y873" s="20"/>
      <c r="Z873" s="20"/>
    </row>
    <row r="874" spans="13:26" ht="17.25" customHeight="1">
      <c r="M874" s="47"/>
      <c r="N874" s="20"/>
      <c r="O874" s="20"/>
      <c r="P874" s="20"/>
      <c r="Q874" s="20"/>
      <c r="R874" s="20"/>
      <c r="S874" s="20"/>
      <c r="T874" s="20"/>
      <c r="U874" s="20"/>
      <c r="V874" s="20"/>
      <c r="W874" s="20"/>
      <c r="X874" s="20"/>
      <c r="Y874" s="20"/>
      <c r="Z874" s="20"/>
    </row>
    <row r="875" spans="13:26" ht="17.25" customHeight="1">
      <c r="M875" s="47"/>
      <c r="N875" s="20"/>
      <c r="O875" s="20"/>
      <c r="P875" s="20"/>
      <c r="Q875" s="20"/>
      <c r="R875" s="20"/>
      <c r="S875" s="20"/>
      <c r="T875" s="20"/>
      <c r="U875" s="20"/>
      <c r="V875" s="20"/>
      <c r="W875" s="20"/>
      <c r="X875" s="20"/>
      <c r="Y875" s="20"/>
      <c r="Z875" s="20"/>
    </row>
    <row r="876" spans="13:26" ht="17.25" customHeight="1">
      <c r="M876" s="47"/>
      <c r="N876" s="20"/>
      <c r="O876" s="20"/>
      <c r="P876" s="20"/>
      <c r="Q876" s="20"/>
      <c r="R876" s="20"/>
      <c r="S876" s="20"/>
      <c r="T876" s="20"/>
      <c r="U876" s="20"/>
      <c r="V876" s="20"/>
      <c r="W876" s="20"/>
      <c r="X876" s="20"/>
      <c r="Y876" s="20"/>
      <c r="Z876" s="20"/>
    </row>
    <row r="877" spans="13:26" ht="17.25" customHeight="1">
      <c r="M877" s="47"/>
      <c r="N877" s="20"/>
      <c r="O877" s="20"/>
      <c r="P877" s="20"/>
      <c r="Q877" s="20"/>
      <c r="R877" s="20"/>
      <c r="S877" s="20"/>
      <c r="T877" s="20"/>
      <c r="U877" s="20"/>
      <c r="V877" s="20"/>
      <c r="W877" s="20"/>
      <c r="X877" s="20"/>
      <c r="Y877" s="20"/>
      <c r="Z877" s="20"/>
    </row>
    <row r="878" spans="13:26" ht="17.25" customHeight="1">
      <c r="M878" s="47"/>
      <c r="N878" s="20"/>
      <c r="O878" s="20"/>
      <c r="P878" s="20"/>
      <c r="Q878" s="20"/>
      <c r="R878" s="20"/>
      <c r="S878" s="20"/>
      <c r="T878" s="20"/>
      <c r="U878" s="20"/>
      <c r="V878" s="20"/>
      <c r="W878" s="20"/>
      <c r="X878" s="20"/>
      <c r="Y878" s="20"/>
      <c r="Z878" s="20"/>
    </row>
    <row r="879" spans="13:26" ht="17.25" customHeight="1">
      <c r="M879" s="47"/>
      <c r="N879" s="20"/>
      <c r="O879" s="20"/>
      <c r="P879" s="20"/>
      <c r="Q879" s="20"/>
      <c r="R879" s="20"/>
      <c r="S879" s="20"/>
      <c r="T879" s="20"/>
      <c r="U879" s="20"/>
      <c r="V879" s="20"/>
      <c r="W879" s="20"/>
      <c r="X879" s="20"/>
      <c r="Y879" s="20"/>
      <c r="Z879" s="20"/>
    </row>
    <row r="880" spans="13:26" ht="17.25" customHeight="1">
      <c r="M880" s="47"/>
      <c r="N880" s="20"/>
      <c r="O880" s="20"/>
      <c r="P880" s="20"/>
      <c r="Q880" s="20"/>
      <c r="R880" s="20"/>
      <c r="S880" s="20"/>
      <c r="T880" s="20"/>
      <c r="U880" s="20"/>
      <c r="V880" s="20"/>
      <c r="W880" s="20"/>
      <c r="X880" s="20"/>
      <c r="Y880" s="20"/>
      <c r="Z880" s="20"/>
    </row>
    <row r="881" spans="13:26" ht="17.25" customHeight="1">
      <c r="M881" s="47"/>
      <c r="N881" s="20"/>
      <c r="O881" s="20"/>
      <c r="P881" s="20"/>
      <c r="Q881" s="20"/>
      <c r="R881" s="20"/>
      <c r="S881" s="20"/>
      <c r="T881" s="20"/>
      <c r="U881" s="20"/>
      <c r="V881" s="20"/>
      <c r="W881" s="20"/>
      <c r="X881" s="20"/>
      <c r="Y881" s="20"/>
      <c r="Z881" s="20"/>
    </row>
    <row r="882" spans="13:26" ht="17.25" customHeight="1">
      <c r="M882" s="47"/>
      <c r="N882" s="20"/>
      <c r="O882" s="20"/>
      <c r="P882" s="20"/>
      <c r="Q882" s="20"/>
      <c r="R882" s="20"/>
      <c r="S882" s="20"/>
      <c r="T882" s="20"/>
      <c r="U882" s="20"/>
      <c r="V882" s="20"/>
      <c r="W882" s="20"/>
      <c r="X882" s="20"/>
      <c r="Y882" s="20"/>
      <c r="Z882" s="20"/>
    </row>
    <row r="883" spans="13:26" ht="17.25" customHeight="1">
      <c r="M883" s="47"/>
      <c r="N883" s="20"/>
      <c r="O883" s="20"/>
      <c r="P883" s="20"/>
      <c r="Q883" s="20"/>
      <c r="R883" s="20"/>
      <c r="S883" s="20"/>
      <c r="T883" s="20"/>
      <c r="U883" s="20"/>
      <c r="V883" s="20"/>
      <c r="W883" s="20"/>
      <c r="X883" s="20"/>
      <c r="Y883" s="20"/>
      <c r="Z883" s="20"/>
    </row>
    <row r="884" spans="13:26" ht="17.25" customHeight="1">
      <c r="M884" s="47"/>
      <c r="N884" s="20"/>
      <c r="O884" s="20"/>
      <c r="P884" s="20"/>
      <c r="Q884" s="20"/>
      <c r="R884" s="20"/>
      <c r="S884" s="20"/>
      <c r="T884" s="20"/>
      <c r="U884" s="20"/>
      <c r="V884" s="20"/>
      <c r="W884" s="20"/>
      <c r="X884" s="20"/>
      <c r="Y884" s="20"/>
      <c r="Z884" s="20"/>
    </row>
    <row r="885" spans="13:26" ht="17.25" customHeight="1">
      <c r="M885" s="47"/>
      <c r="N885" s="20"/>
      <c r="O885" s="20"/>
      <c r="P885" s="20"/>
      <c r="Q885" s="20"/>
      <c r="R885" s="20"/>
      <c r="S885" s="20"/>
      <c r="T885" s="20"/>
      <c r="U885" s="20"/>
      <c r="V885" s="20"/>
      <c r="W885" s="20"/>
      <c r="X885" s="20"/>
      <c r="Y885" s="20"/>
      <c r="Z885" s="20"/>
    </row>
    <row r="886" spans="13:26" ht="17.25" customHeight="1">
      <c r="M886" s="47"/>
      <c r="N886" s="20"/>
      <c r="O886" s="20"/>
      <c r="P886" s="20"/>
      <c r="Q886" s="20"/>
      <c r="R886" s="20"/>
      <c r="S886" s="20"/>
      <c r="T886" s="20"/>
      <c r="U886" s="20"/>
      <c r="V886" s="20"/>
      <c r="W886" s="20"/>
      <c r="X886" s="20"/>
      <c r="Y886" s="20"/>
      <c r="Z886" s="20"/>
    </row>
    <row r="887" spans="13:26" ht="17.25" customHeight="1">
      <c r="M887" s="47"/>
      <c r="N887" s="20"/>
      <c r="O887" s="20"/>
      <c r="P887" s="20"/>
      <c r="Q887" s="20"/>
      <c r="R887" s="20"/>
      <c r="S887" s="20"/>
      <c r="T887" s="20"/>
      <c r="U887" s="20"/>
      <c r="V887" s="20"/>
      <c r="W887" s="20"/>
      <c r="X887" s="20"/>
      <c r="Y887" s="20"/>
      <c r="Z887" s="20"/>
    </row>
    <row r="888" spans="13:26" ht="17.25" customHeight="1">
      <c r="M888" s="47"/>
      <c r="N888" s="20"/>
      <c r="O888" s="20"/>
      <c r="P888" s="20"/>
      <c r="Q888" s="20"/>
      <c r="R888" s="20"/>
      <c r="S888" s="20"/>
      <c r="T888" s="20"/>
      <c r="U888" s="20"/>
      <c r="V888" s="20"/>
      <c r="W888" s="20"/>
      <c r="X888" s="20"/>
      <c r="Y888" s="20"/>
      <c r="Z888" s="20"/>
    </row>
    <row r="889" spans="13:26" ht="17.25" customHeight="1">
      <c r="M889" s="47"/>
      <c r="N889" s="20"/>
      <c r="O889" s="20"/>
      <c r="P889" s="20"/>
      <c r="Q889" s="20"/>
      <c r="R889" s="20"/>
      <c r="S889" s="20"/>
      <c r="T889" s="20"/>
      <c r="U889" s="20"/>
      <c r="V889" s="20"/>
      <c r="W889" s="20"/>
      <c r="X889" s="20"/>
      <c r="Y889" s="20"/>
      <c r="Z889" s="20"/>
    </row>
    <row r="890" spans="13:26" ht="17.25" customHeight="1">
      <c r="M890" s="47"/>
      <c r="N890" s="20"/>
      <c r="O890" s="20"/>
      <c r="P890" s="20"/>
      <c r="Q890" s="20"/>
      <c r="R890" s="20"/>
      <c r="S890" s="20"/>
      <c r="T890" s="20"/>
      <c r="U890" s="20"/>
      <c r="V890" s="20"/>
      <c r="W890" s="20"/>
      <c r="X890" s="20"/>
      <c r="Y890" s="20"/>
      <c r="Z890" s="20"/>
    </row>
    <row r="891" spans="13:26" ht="17.25" customHeight="1">
      <c r="M891" s="47"/>
      <c r="N891" s="20"/>
      <c r="O891" s="20"/>
      <c r="P891" s="20"/>
      <c r="Q891" s="20"/>
      <c r="R891" s="20"/>
      <c r="S891" s="20"/>
      <c r="T891" s="20"/>
      <c r="U891" s="20"/>
      <c r="V891" s="20"/>
      <c r="W891" s="20"/>
      <c r="X891" s="20"/>
      <c r="Y891" s="20"/>
      <c r="Z891" s="20"/>
    </row>
    <row r="892" spans="13:26" ht="17.25" customHeight="1">
      <c r="M892" s="47"/>
      <c r="N892" s="20"/>
      <c r="O892" s="20"/>
      <c r="P892" s="20"/>
      <c r="Q892" s="20"/>
      <c r="R892" s="20"/>
      <c r="S892" s="20"/>
      <c r="T892" s="20"/>
      <c r="U892" s="20"/>
      <c r="V892" s="20"/>
      <c r="W892" s="20"/>
      <c r="X892" s="20"/>
      <c r="Y892" s="20"/>
      <c r="Z892" s="20"/>
    </row>
    <row r="893" spans="13:26" ht="17.25" customHeight="1">
      <c r="M893" s="47"/>
      <c r="N893" s="20"/>
      <c r="O893" s="20"/>
      <c r="P893" s="20"/>
      <c r="Q893" s="20"/>
      <c r="R893" s="20"/>
      <c r="S893" s="20"/>
      <c r="T893" s="20"/>
      <c r="U893" s="20"/>
      <c r="V893" s="20"/>
      <c r="W893" s="20"/>
      <c r="X893" s="20"/>
      <c r="Y893" s="20"/>
      <c r="Z893" s="20"/>
    </row>
    <row r="894" spans="13:26" ht="17.25" customHeight="1">
      <c r="M894" s="47"/>
      <c r="N894" s="20"/>
      <c r="O894" s="20"/>
      <c r="P894" s="20"/>
      <c r="Q894" s="20"/>
      <c r="R894" s="20"/>
      <c r="S894" s="20"/>
      <c r="T894" s="20"/>
      <c r="U894" s="20"/>
      <c r="V894" s="20"/>
      <c r="W894" s="20"/>
      <c r="X894" s="20"/>
      <c r="Y894" s="20"/>
      <c r="Z894" s="20"/>
    </row>
    <row r="895" spans="13:26" ht="17.25" customHeight="1">
      <c r="M895" s="47"/>
      <c r="N895" s="20"/>
      <c r="O895" s="20"/>
      <c r="P895" s="20"/>
      <c r="Q895" s="20"/>
      <c r="R895" s="20"/>
      <c r="S895" s="20"/>
      <c r="T895" s="20"/>
      <c r="U895" s="20"/>
      <c r="V895" s="20"/>
      <c r="W895" s="20"/>
      <c r="X895" s="20"/>
      <c r="Y895" s="20"/>
      <c r="Z895" s="20"/>
    </row>
    <row r="896" spans="13:26" ht="17.25" customHeight="1">
      <c r="M896" s="47"/>
      <c r="N896" s="20"/>
      <c r="O896" s="20"/>
      <c r="P896" s="20"/>
      <c r="Q896" s="20"/>
      <c r="R896" s="20"/>
      <c r="S896" s="20"/>
      <c r="T896" s="20"/>
      <c r="U896" s="20"/>
      <c r="V896" s="20"/>
      <c r="W896" s="20"/>
      <c r="X896" s="20"/>
      <c r="Y896" s="20"/>
      <c r="Z896" s="20"/>
    </row>
    <row r="897" spans="13:26" ht="17.25" customHeight="1">
      <c r="M897" s="47"/>
      <c r="N897" s="20"/>
      <c r="O897" s="20"/>
      <c r="P897" s="20"/>
      <c r="Q897" s="20"/>
      <c r="R897" s="20"/>
      <c r="S897" s="20"/>
      <c r="T897" s="20"/>
      <c r="U897" s="20"/>
      <c r="V897" s="20"/>
      <c r="W897" s="20"/>
      <c r="X897" s="20"/>
      <c r="Y897" s="20"/>
      <c r="Z897" s="20"/>
    </row>
    <row r="898" spans="13:26" ht="17.25" customHeight="1">
      <c r="M898" s="47"/>
      <c r="N898" s="20"/>
      <c r="O898" s="20"/>
      <c r="P898" s="20"/>
      <c r="Q898" s="20"/>
      <c r="R898" s="20"/>
      <c r="S898" s="20"/>
      <c r="T898" s="20"/>
      <c r="U898" s="20"/>
      <c r="V898" s="20"/>
      <c r="W898" s="20"/>
      <c r="X898" s="20"/>
      <c r="Y898" s="20"/>
      <c r="Z898" s="20"/>
    </row>
    <row r="899" spans="13:26" ht="17.25" customHeight="1">
      <c r="M899" s="47"/>
      <c r="N899" s="20"/>
      <c r="O899" s="20"/>
      <c r="P899" s="20"/>
      <c r="Q899" s="20"/>
      <c r="R899" s="20"/>
      <c r="S899" s="20"/>
      <c r="T899" s="20"/>
      <c r="U899" s="20"/>
      <c r="V899" s="20"/>
      <c r="W899" s="20"/>
      <c r="X899" s="20"/>
      <c r="Y899" s="20"/>
      <c r="Z899" s="20"/>
    </row>
    <row r="900" spans="13:26" ht="17.25" customHeight="1">
      <c r="M900" s="47"/>
      <c r="N900" s="20"/>
      <c r="O900" s="20"/>
      <c r="P900" s="20"/>
      <c r="Q900" s="20"/>
      <c r="R900" s="20"/>
      <c r="S900" s="20"/>
      <c r="T900" s="20"/>
      <c r="U900" s="20"/>
      <c r="V900" s="20"/>
      <c r="W900" s="20"/>
      <c r="X900" s="20"/>
      <c r="Y900" s="20"/>
      <c r="Z900" s="20"/>
    </row>
    <row r="901" spans="13:26" ht="17.25" customHeight="1">
      <c r="M901" s="47"/>
      <c r="N901" s="20"/>
      <c r="O901" s="20"/>
      <c r="P901" s="20"/>
      <c r="Q901" s="20"/>
      <c r="R901" s="20"/>
      <c r="S901" s="20"/>
      <c r="T901" s="20"/>
      <c r="U901" s="20"/>
      <c r="V901" s="20"/>
      <c r="W901" s="20"/>
      <c r="X901" s="20"/>
      <c r="Y901" s="20"/>
      <c r="Z901" s="20"/>
    </row>
    <row r="902" spans="13:26" ht="17.25" customHeight="1">
      <c r="M902" s="47"/>
      <c r="N902" s="20"/>
      <c r="O902" s="20"/>
      <c r="P902" s="20"/>
      <c r="Q902" s="20"/>
      <c r="R902" s="20"/>
      <c r="S902" s="20"/>
      <c r="T902" s="20"/>
      <c r="U902" s="20"/>
      <c r="V902" s="20"/>
      <c r="W902" s="20"/>
      <c r="X902" s="20"/>
      <c r="Y902" s="20"/>
      <c r="Z902" s="20"/>
    </row>
    <row r="903" spans="13:26" ht="17.25" customHeight="1">
      <c r="M903" s="47"/>
      <c r="N903" s="20"/>
      <c r="O903" s="20"/>
      <c r="P903" s="20"/>
      <c r="Q903" s="20"/>
      <c r="R903" s="20"/>
      <c r="S903" s="20"/>
      <c r="T903" s="20"/>
      <c r="U903" s="20"/>
      <c r="V903" s="20"/>
      <c r="W903" s="20"/>
      <c r="X903" s="20"/>
      <c r="Y903" s="20"/>
      <c r="Z903" s="20"/>
    </row>
    <row r="904" spans="13:26" ht="17.25" customHeight="1">
      <c r="M904" s="47"/>
      <c r="N904" s="20"/>
      <c r="O904" s="20"/>
      <c r="P904" s="20"/>
      <c r="Q904" s="20"/>
      <c r="R904" s="20"/>
      <c r="S904" s="20"/>
      <c r="T904" s="20"/>
      <c r="U904" s="20"/>
      <c r="V904" s="20"/>
      <c r="W904" s="20"/>
      <c r="X904" s="20"/>
      <c r="Y904" s="20"/>
      <c r="Z904" s="20"/>
    </row>
    <row r="905" spans="13:26" ht="17.25" customHeight="1">
      <c r="M905" s="47"/>
      <c r="N905" s="20"/>
      <c r="O905" s="20"/>
      <c r="P905" s="20"/>
      <c r="Q905" s="20"/>
      <c r="R905" s="20"/>
      <c r="S905" s="20"/>
      <c r="T905" s="20"/>
      <c r="U905" s="20"/>
      <c r="V905" s="20"/>
      <c r="W905" s="20"/>
      <c r="X905" s="20"/>
      <c r="Y905" s="20"/>
      <c r="Z905" s="20"/>
    </row>
    <row r="906" spans="13:26" ht="17.25" customHeight="1">
      <c r="M906" s="47"/>
      <c r="N906" s="20"/>
      <c r="O906" s="20"/>
      <c r="P906" s="20"/>
      <c r="Q906" s="20"/>
      <c r="R906" s="20"/>
      <c r="S906" s="20"/>
      <c r="T906" s="20"/>
      <c r="U906" s="20"/>
      <c r="V906" s="20"/>
      <c r="W906" s="20"/>
      <c r="X906" s="20"/>
      <c r="Y906" s="20"/>
      <c r="Z906" s="20"/>
    </row>
    <row r="907" spans="13:26" ht="17.25" customHeight="1">
      <c r="M907" s="47"/>
      <c r="N907" s="20"/>
      <c r="O907" s="20"/>
      <c r="P907" s="20"/>
      <c r="Q907" s="20"/>
      <c r="R907" s="20"/>
      <c r="S907" s="20"/>
      <c r="T907" s="20"/>
      <c r="U907" s="20"/>
      <c r="V907" s="20"/>
      <c r="W907" s="20"/>
      <c r="X907" s="20"/>
      <c r="Y907" s="20"/>
      <c r="Z907" s="20"/>
    </row>
    <row r="908" spans="13:26" ht="17.25" customHeight="1">
      <c r="M908" s="47"/>
      <c r="N908" s="20"/>
      <c r="O908" s="20"/>
      <c r="P908" s="20"/>
      <c r="Q908" s="20"/>
      <c r="R908" s="20"/>
      <c r="S908" s="20"/>
      <c r="T908" s="20"/>
      <c r="U908" s="20"/>
      <c r="V908" s="20"/>
      <c r="W908" s="20"/>
      <c r="X908" s="20"/>
      <c r="Y908" s="20"/>
      <c r="Z908" s="20"/>
    </row>
    <row r="909" spans="13:26" ht="17.25" customHeight="1">
      <c r="M909" s="47"/>
      <c r="N909" s="20"/>
      <c r="O909" s="20"/>
      <c r="P909" s="20"/>
      <c r="Q909" s="20"/>
      <c r="R909" s="20"/>
      <c r="S909" s="20"/>
      <c r="T909" s="20"/>
      <c r="U909" s="20"/>
      <c r="V909" s="20"/>
      <c r="W909" s="20"/>
      <c r="X909" s="20"/>
      <c r="Y909" s="20"/>
      <c r="Z909" s="20"/>
    </row>
    <row r="910" spans="13:26" ht="17.25" customHeight="1">
      <c r="M910" s="47"/>
      <c r="N910" s="20"/>
      <c r="O910" s="20"/>
      <c r="P910" s="20"/>
      <c r="Q910" s="20"/>
      <c r="R910" s="20"/>
      <c r="S910" s="20"/>
      <c r="T910" s="20"/>
      <c r="U910" s="20"/>
      <c r="V910" s="20"/>
      <c r="W910" s="20"/>
      <c r="X910" s="20"/>
      <c r="Y910" s="20"/>
      <c r="Z910" s="20"/>
    </row>
    <row r="911" spans="13:26" ht="17.25" customHeight="1">
      <c r="M911" s="47"/>
      <c r="N911" s="20"/>
      <c r="O911" s="20"/>
      <c r="P911" s="20"/>
      <c r="Q911" s="20"/>
      <c r="R911" s="20"/>
      <c r="S911" s="20"/>
      <c r="T911" s="20"/>
      <c r="U911" s="20"/>
      <c r="V911" s="20"/>
      <c r="W911" s="20"/>
      <c r="X911" s="20"/>
      <c r="Y911" s="20"/>
      <c r="Z911" s="20"/>
    </row>
    <row r="912" spans="13:26" ht="17.25" customHeight="1">
      <c r="M912" s="47"/>
      <c r="N912" s="20"/>
      <c r="O912" s="20"/>
      <c r="P912" s="20"/>
      <c r="Q912" s="20"/>
      <c r="R912" s="20"/>
      <c r="S912" s="20"/>
      <c r="T912" s="20"/>
      <c r="U912" s="20"/>
      <c r="V912" s="20"/>
      <c r="W912" s="20"/>
      <c r="X912" s="20"/>
      <c r="Y912" s="20"/>
      <c r="Z912" s="20"/>
    </row>
    <row r="913" spans="13:26" ht="17.25" customHeight="1">
      <c r="M913" s="47"/>
      <c r="N913" s="20"/>
      <c r="O913" s="20"/>
      <c r="P913" s="20"/>
      <c r="Q913" s="20"/>
      <c r="R913" s="20"/>
      <c r="S913" s="20"/>
      <c r="T913" s="20"/>
      <c r="U913" s="20"/>
      <c r="V913" s="20"/>
      <c r="W913" s="20"/>
      <c r="X913" s="20"/>
      <c r="Y913" s="20"/>
      <c r="Z913" s="20"/>
    </row>
    <row r="914" spans="13:26" ht="17.25" customHeight="1">
      <c r="M914" s="47"/>
      <c r="N914" s="20"/>
      <c r="O914" s="20"/>
      <c r="P914" s="20"/>
      <c r="Q914" s="20"/>
      <c r="R914" s="20"/>
      <c r="S914" s="20"/>
      <c r="T914" s="20"/>
      <c r="U914" s="20"/>
      <c r="V914" s="20"/>
      <c r="W914" s="20"/>
      <c r="X914" s="20"/>
      <c r="Y914" s="20"/>
      <c r="Z914" s="20"/>
    </row>
    <row r="915" spans="13:26" ht="17.25" customHeight="1">
      <c r="M915" s="47"/>
      <c r="N915" s="20"/>
      <c r="O915" s="20"/>
      <c r="P915" s="20"/>
      <c r="Q915" s="20"/>
      <c r="R915" s="20"/>
      <c r="S915" s="20"/>
      <c r="T915" s="20"/>
      <c r="U915" s="20"/>
      <c r="V915" s="20"/>
      <c r="W915" s="20"/>
      <c r="X915" s="20"/>
      <c r="Y915" s="20"/>
      <c r="Z915" s="20"/>
    </row>
    <row r="916" spans="13:26" ht="17.25" customHeight="1">
      <c r="M916" s="47"/>
      <c r="N916" s="20"/>
      <c r="O916" s="20"/>
      <c r="P916" s="20"/>
      <c r="Q916" s="20"/>
      <c r="R916" s="20"/>
      <c r="S916" s="20"/>
      <c r="T916" s="20"/>
      <c r="U916" s="20"/>
      <c r="V916" s="20"/>
      <c r="W916" s="20"/>
      <c r="X916" s="20"/>
      <c r="Y916" s="20"/>
      <c r="Z916" s="20"/>
    </row>
    <row r="917" spans="13:26" ht="17.25" customHeight="1">
      <c r="M917" s="47"/>
      <c r="N917" s="20"/>
      <c r="O917" s="20"/>
      <c r="P917" s="20"/>
      <c r="Q917" s="20"/>
      <c r="R917" s="20"/>
      <c r="S917" s="20"/>
      <c r="T917" s="20"/>
      <c r="U917" s="20"/>
      <c r="V917" s="20"/>
      <c r="W917" s="20"/>
      <c r="X917" s="20"/>
      <c r="Y917" s="20"/>
      <c r="Z917" s="20"/>
    </row>
    <row r="918" spans="13:26" ht="17.25" customHeight="1">
      <c r="M918" s="47"/>
      <c r="N918" s="20"/>
      <c r="O918" s="20"/>
      <c r="P918" s="20"/>
      <c r="Q918" s="20"/>
      <c r="R918" s="20"/>
      <c r="S918" s="20"/>
      <c r="T918" s="20"/>
      <c r="U918" s="20"/>
      <c r="V918" s="20"/>
      <c r="W918" s="20"/>
      <c r="X918" s="20"/>
      <c r="Y918" s="20"/>
      <c r="Z918" s="20"/>
    </row>
    <row r="919" spans="13:26" ht="17.25" customHeight="1">
      <c r="M919" s="47"/>
      <c r="N919" s="20"/>
      <c r="O919" s="20"/>
      <c r="P919" s="20"/>
      <c r="Q919" s="20"/>
      <c r="R919" s="20"/>
      <c r="S919" s="20"/>
      <c r="T919" s="20"/>
      <c r="U919" s="20"/>
      <c r="V919" s="20"/>
      <c r="W919" s="20"/>
      <c r="X919" s="20"/>
      <c r="Y919" s="20"/>
      <c r="Z919" s="20"/>
    </row>
    <row r="920" spans="13:26" ht="17.25" customHeight="1">
      <c r="M920" s="47"/>
      <c r="N920" s="20"/>
      <c r="O920" s="20"/>
      <c r="P920" s="20"/>
      <c r="Q920" s="20"/>
      <c r="R920" s="20"/>
      <c r="S920" s="20"/>
      <c r="T920" s="20"/>
      <c r="U920" s="20"/>
      <c r="V920" s="20"/>
      <c r="W920" s="20"/>
      <c r="X920" s="20"/>
      <c r="Y920" s="20"/>
      <c r="Z920" s="20"/>
    </row>
    <row r="921" spans="13:26" ht="17.25" customHeight="1">
      <c r="M921" s="47"/>
      <c r="N921" s="20"/>
      <c r="O921" s="20"/>
      <c r="P921" s="20"/>
      <c r="Q921" s="20"/>
      <c r="R921" s="20"/>
      <c r="S921" s="20"/>
      <c r="T921" s="20"/>
      <c r="U921" s="20"/>
      <c r="V921" s="20"/>
      <c r="W921" s="20"/>
      <c r="X921" s="20"/>
      <c r="Y921" s="20"/>
      <c r="Z921" s="20"/>
    </row>
    <row r="922" spans="13:26" ht="17.25" customHeight="1">
      <c r="M922" s="47"/>
      <c r="N922" s="20"/>
      <c r="O922" s="20"/>
      <c r="P922" s="20"/>
      <c r="Q922" s="20"/>
      <c r="R922" s="20"/>
      <c r="S922" s="20"/>
      <c r="T922" s="20"/>
      <c r="U922" s="20"/>
      <c r="V922" s="20"/>
      <c r="W922" s="20"/>
      <c r="X922" s="20"/>
      <c r="Y922" s="20"/>
      <c r="Z922" s="20"/>
    </row>
    <row r="923" spans="13:26" ht="17.25" customHeight="1">
      <c r="M923" s="47"/>
      <c r="N923" s="20"/>
      <c r="O923" s="20"/>
      <c r="P923" s="20"/>
      <c r="Q923" s="20"/>
      <c r="R923" s="20"/>
      <c r="S923" s="20"/>
      <c r="T923" s="20"/>
      <c r="U923" s="20"/>
      <c r="V923" s="20"/>
      <c r="W923" s="20"/>
      <c r="X923" s="20"/>
      <c r="Y923" s="20"/>
      <c r="Z923" s="20"/>
    </row>
    <row r="924" spans="13:26" ht="17.25" customHeight="1">
      <c r="M924" s="47"/>
      <c r="N924" s="20"/>
      <c r="O924" s="20"/>
      <c r="P924" s="20"/>
      <c r="Q924" s="20"/>
      <c r="R924" s="20"/>
      <c r="S924" s="20"/>
      <c r="T924" s="20"/>
      <c r="U924" s="20"/>
      <c r="V924" s="20"/>
      <c r="W924" s="20"/>
      <c r="X924" s="20"/>
      <c r="Y924" s="20"/>
      <c r="Z924" s="20"/>
    </row>
    <row r="925" spans="13:26" ht="17.25" customHeight="1">
      <c r="M925" s="47"/>
      <c r="N925" s="20"/>
      <c r="O925" s="20"/>
      <c r="P925" s="20"/>
      <c r="Q925" s="20"/>
      <c r="R925" s="20"/>
      <c r="S925" s="20"/>
      <c r="T925" s="20"/>
      <c r="U925" s="20"/>
      <c r="V925" s="20"/>
      <c r="W925" s="20"/>
      <c r="X925" s="20"/>
      <c r="Y925" s="20"/>
      <c r="Z925" s="20"/>
    </row>
    <row r="926" spans="13:26" ht="17.25" customHeight="1">
      <c r="M926" s="47"/>
      <c r="N926" s="20"/>
      <c r="O926" s="20"/>
      <c r="P926" s="20"/>
      <c r="Q926" s="20"/>
      <c r="R926" s="20"/>
      <c r="S926" s="20"/>
      <c r="T926" s="20"/>
      <c r="U926" s="20"/>
      <c r="V926" s="20"/>
      <c r="W926" s="20"/>
      <c r="X926" s="20"/>
      <c r="Y926" s="20"/>
      <c r="Z926" s="20"/>
    </row>
    <row r="927" spans="13:26" ht="17.25" customHeight="1">
      <c r="M927" s="47"/>
      <c r="N927" s="20"/>
      <c r="O927" s="20"/>
      <c r="P927" s="20"/>
      <c r="Q927" s="20"/>
      <c r="R927" s="20"/>
      <c r="S927" s="20"/>
      <c r="T927" s="20"/>
      <c r="U927" s="20"/>
      <c r="V927" s="20"/>
      <c r="W927" s="20"/>
      <c r="X927" s="20"/>
      <c r="Y927" s="20"/>
      <c r="Z927" s="20"/>
    </row>
    <row r="928" spans="13:26" ht="17.25" customHeight="1">
      <c r="M928" s="47"/>
      <c r="N928" s="20"/>
      <c r="O928" s="20"/>
      <c r="P928" s="20"/>
      <c r="Q928" s="20"/>
      <c r="R928" s="20"/>
      <c r="S928" s="20"/>
      <c r="T928" s="20"/>
      <c r="U928" s="20"/>
      <c r="V928" s="20"/>
      <c r="W928" s="20"/>
      <c r="X928" s="20"/>
      <c r="Y928" s="20"/>
      <c r="Z928" s="20"/>
    </row>
    <row r="929" spans="13:26" ht="17.25" customHeight="1">
      <c r="M929" s="47"/>
      <c r="N929" s="20"/>
      <c r="O929" s="20"/>
      <c r="P929" s="20"/>
      <c r="Q929" s="20"/>
      <c r="R929" s="20"/>
      <c r="S929" s="20"/>
      <c r="T929" s="20"/>
      <c r="U929" s="20"/>
      <c r="V929" s="20"/>
      <c r="W929" s="20"/>
      <c r="X929" s="20"/>
      <c r="Y929" s="20"/>
      <c r="Z929" s="20"/>
    </row>
    <row r="930" spans="13:26" ht="17.25" customHeight="1">
      <c r="M930" s="47"/>
      <c r="N930" s="20"/>
      <c r="O930" s="20"/>
      <c r="P930" s="20"/>
      <c r="Q930" s="20"/>
      <c r="R930" s="20"/>
      <c r="S930" s="20"/>
      <c r="T930" s="20"/>
      <c r="U930" s="20"/>
      <c r="V930" s="20"/>
      <c r="W930" s="20"/>
      <c r="X930" s="20"/>
      <c r="Y930" s="20"/>
      <c r="Z930" s="20"/>
    </row>
    <row r="931" spans="13:26" ht="17.25" customHeight="1">
      <c r="M931" s="47"/>
      <c r="N931" s="20"/>
      <c r="O931" s="20"/>
      <c r="P931" s="20"/>
      <c r="Q931" s="20"/>
      <c r="R931" s="20"/>
      <c r="S931" s="20"/>
      <c r="T931" s="20"/>
      <c r="U931" s="20"/>
      <c r="V931" s="20"/>
      <c r="W931" s="20"/>
      <c r="X931" s="20"/>
      <c r="Y931" s="20"/>
      <c r="Z931" s="20"/>
    </row>
    <row r="932" spans="13:26" ht="17.25" customHeight="1">
      <c r="M932" s="47"/>
      <c r="N932" s="20"/>
      <c r="O932" s="20"/>
      <c r="P932" s="20"/>
      <c r="Q932" s="20"/>
      <c r="R932" s="20"/>
      <c r="S932" s="20"/>
      <c r="T932" s="20"/>
      <c r="U932" s="20"/>
      <c r="V932" s="20"/>
      <c r="W932" s="20"/>
      <c r="X932" s="20"/>
      <c r="Y932" s="20"/>
      <c r="Z932" s="20"/>
    </row>
    <row r="933" spans="13:26" ht="17.25" customHeight="1">
      <c r="M933" s="47"/>
      <c r="N933" s="20"/>
      <c r="O933" s="20"/>
      <c r="P933" s="20"/>
      <c r="Q933" s="20"/>
      <c r="R933" s="20"/>
      <c r="S933" s="20"/>
      <c r="T933" s="20"/>
      <c r="U933" s="20"/>
      <c r="V933" s="20"/>
      <c r="W933" s="20"/>
      <c r="X933" s="20"/>
      <c r="Y933" s="20"/>
      <c r="Z933" s="20"/>
    </row>
    <row r="934" spans="13:26" ht="17.25" customHeight="1">
      <c r="M934" s="47"/>
      <c r="N934" s="20"/>
      <c r="O934" s="20"/>
      <c r="P934" s="20"/>
      <c r="Q934" s="20"/>
      <c r="R934" s="20"/>
      <c r="S934" s="20"/>
      <c r="T934" s="20"/>
      <c r="U934" s="20"/>
      <c r="V934" s="20"/>
      <c r="W934" s="20"/>
      <c r="X934" s="20"/>
      <c r="Y934" s="20"/>
      <c r="Z934" s="20"/>
    </row>
    <row r="935" spans="13:26" ht="17.25" customHeight="1">
      <c r="M935" s="47"/>
      <c r="N935" s="20"/>
      <c r="O935" s="20"/>
      <c r="P935" s="20"/>
      <c r="Q935" s="20"/>
      <c r="R935" s="20"/>
      <c r="S935" s="20"/>
      <c r="T935" s="20"/>
      <c r="U935" s="20"/>
      <c r="V935" s="20"/>
      <c r="W935" s="20"/>
      <c r="X935" s="20"/>
      <c r="Y935" s="20"/>
      <c r="Z935" s="20"/>
    </row>
    <row r="936" spans="13:26" ht="17.25" customHeight="1">
      <c r="M936" s="47"/>
      <c r="N936" s="20"/>
      <c r="O936" s="20"/>
      <c r="P936" s="20"/>
      <c r="Q936" s="20"/>
      <c r="R936" s="20"/>
      <c r="S936" s="20"/>
      <c r="T936" s="20"/>
      <c r="U936" s="20"/>
      <c r="V936" s="20"/>
      <c r="W936" s="20"/>
      <c r="X936" s="20"/>
      <c r="Y936" s="20"/>
      <c r="Z936" s="20"/>
    </row>
    <row r="937" spans="13:26" ht="17.25" customHeight="1">
      <c r="M937" s="47"/>
      <c r="N937" s="20"/>
      <c r="O937" s="20"/>
      <c r="P937" s="20"/>
      <c r="Q937" s="20"/>
      <c r="R937" s="20"/>
      <c r="S937" s="20"/>
      <c r="T937" s="20"/>
      <c r="U937" s="20"/>
      <c r="V937" s="20"/>
      <c r="W937" s="20"/>
      <c r="X937" s="20"/>
      <c r="Y937" s="20"/>
      <c r="Z937" s="20"/>
    </row>
    <row r="938" spans="13:26" ht="17.25" customHeight="1">
      <c r="M938" s="47"/>
      <c r="N938" s="20"/>
      <c r="O938" s="20"/>
      <c r="P938" s="20"/>
      <c r="Q938" s="20"/>
      <c r="R938" s="20"/>
      <c r="S938" s="20"/>
      <c r="T938" s="20"/>
      <c r="U938" s="20"/>
      <c r="V938" s="20"/>
      <c r="W938" s="20"/>
      <c r="X938" s="20"/>
      <c r="Y938" s="20"/>
      <c r="Z938" s="20"/>
    </row>
    <row r="939" spans="13:26" ht="17.25" customHeight="1">
      <c r="M939" s="47"/>
      <c r="N939" s="20"/>
      <c r="O939" s="20"/>
      <c r="P939" s="20"/>
      <c r="Q939" s="20"/>
      <c r="R939" s="20"/>
      <c r="S939" s="20"/>
      <c r="T939" s="20"/>
      <c r="U939" s="20"/>
      <c r="V939" s="20"/>
      <c r="W939" s="20"/>
      <c r="X939" s="20"/>
      <c r="Y939" s="20"/>
      <c r="Z939" s="20"/>
    </row>
    <row r="940" spans="13:26" ht="17.25" customHeight="1">
      <c r="M940" s="47"/>
      <c r="N940" s="20"/>
      <c r="O940" s="20"/>
      <c r="P940" s="20"/>
      <c r="Q940" s="20"/>
      <c r="R940" s="20"/>
      <c r="S940" s="20"/>
      <c r="T940" s="20"/>
      <c r="U940" s="20"/>
      <c r="V940" s="20"/>
      <c r="W940" s="20"/>
      <c r="X940" s="20"/>
      <c r="Y940" s="20"/>
      <c r="Z940" s="20"/>
    </row>
    <row r="941" spans="13:26" ht="17.25" customHeight="1">
      <c r="M941" s="47"/>
      <c r="N941" s="20"/>
      <c r="O941" s="20"/>
      <c r="P941" s="20"/>
      <c r="Q941" s="20"/>
      <c r="R941" s="20"/>
      <c r="S941" s="20"/>
      <c r="T941" s="20"/>
      <c r="U941" s="20"/>
      <c r="V941" s="20"/>
      <c r="W941" s="20"/>
      <c r="X941" s="20"/>
      <c r="Y941" s="20"/>
      <c r="Z941" s="20"/>
    </row>
    <row r="942" spans="13:26" ht="17.25" customHeight="1">
      <c r="M942" s="47"/>
      <c r="N942" s="20"/>
      <c r="O942" s="20"/>
      <c r="P942" s="20"/>
      <c r="Q942" s="20"/>
      <c r="R942" s="20"/>
      <c r="S942" s="20"/>
      <c r="T942" s="20"/>
      <c r="U942" s="20"/>
      <c r="V942" s="20"/>
      <c r="W942" s="20"/>
      <c r="X942" s="20"/>
      <c r="Y942" s="20"/>
      <c r="Z942" s="20"/>
    </row>
    <row r="943" spans="13:26" ht="17.25" customHeight="1">
      <c r="M943" s="47"/>
      <c r="N943" s="20"/>
      <c r="O943" s="20"/>
      <c r="P943" s="20"/>
      <c r="Q943" s="20"/>
      <c r="R943" s="20"/>
      <c r="S943" s="20"/>
      <c r="T943" s="20"/>
      <c r="U943" s="20"/>
      <c r="V943" s="20"/>
      <c r="W943" s="20"/>
      <c r="X943" s="20"/>
      <c r="Y943" s="20"/>
      <c r="Z943" s="20"/>
    </row>
    <row r="944" spans="13:26" ht="17.25" customHeight="1">
      <c r="M944" s="47"/>
      <c r="N944" s="20"/>
      <c r="O944" s="20"/>
      <c r="P944" s="20"/>
      <c r="Q944" s="20"/>
      <c r="R944" s="20"/>
      <c r="S944" s="20"/>
      <c r="T944" s="20"/>
      <c r="U944" s="20"/>
      <c r="V944" s="20"/>
      <c r="W944" s="20"/>
      <c r="X944" s="20"/>
      <c r="Y944" s="20"/>
      <c r="Z944" s="20"/>
    </row>
    <row r="945" spans="13:26" ht="17.25" customHeight="1">
      <c r="M945" s="47"/>
      <c r="N945" s="20"/>
      <c r="O945" s="20"/>
      <c r="P945" s="20"/>
      <c r="Q945" s="20"/>
      <c r="R945" s="20"/>
      <c r="S945" s="20"/>
      <c r="T945" s="20"/>
      <c r="U945" s="20"/>
      <c r="V945" s="20"/>
      <c r="W945" s="20"/>
      <c r="X945" s="20"/>
      <c r="Y945" s="20"/>
      <c r="Z945" s="20"/>
    </row>
    <row r="946" spans="13:26" ht="17.25" customHeight="1">
      <c r="M946" s="47"/>
      <c r="N946" s="20"/>
      <c r="O946" s="20"/>
      <c r="P946" s="20"/>
      <c r="Q946" s="20"/>
      <c r="R946" s="20"/>
      <c r="S946" s="20"/>
      <c r="T946" s="20"/>
      <c r="U946" s="20"/>
      <c r="V946" s="20"/>
      <c r="W946" s="20"/>
      <c r="X946" s="20"/>
      <c r="Y946" s="20"/>
      <c r="Z946" s="20"/>
    </row>
    <row r="947" spans="13:26" ht="17.25" customHeight="1">
      <c r="M947" s="47"/>
      <c r="N947" s="20"/>
      <c r="O947" s="20"/>
      <c r="P947" s="20"/>
      <c r="Q947" s="20"/>
      <c r="R947" s="20"/>
      <c r="S947" s="20"/>
      <c r="T947" s="20"/>
      <c r="U947" s="20"/>
      <c r="V947" s="20"/>
      <c r="W947" s="20"/>
      <c r="X947" s="20"/>
      <c r="Y947" s="20"/>
      <c r="Z947" s="20"/>
    </row>
    <row r="948" spans="13:26" ht="17.25" customHeight="1">
      <c r="M948" s="47"/>
      <c r="N948" s="20"/>
      <c r="O948" s="20"/>
      <c r="P948" s="20"/>
      <c r="Q948" s="20"/>
      <c r="R948" s="20"/>
      <c r="S948" s="20"/>
      <c r="T948" s="20"/>
      <c r="U948" s="20"/>
      <c r="V948" s="20"/>
      <c r="W948" s="20"/>
      <c r="X948" s="20"/>
      <c r="Y948" s="20"/>
      <c r="Z948" s="20"/>
    </row>
    <row r="949" spans="13:26" ht="17.25" customHeight="1">
      <c r="M949" s="47"/>
      <c r="N949" s="20"/>
      <c r="O949" s="20"/>
      <c r="P949" s="20"/>
      <c r="Q949" s="20"/>
      <c r="R949" s="20"/>
      <c r="S949" s="20"/>
      <c r="T949" s="20"/>
      <c r="U949" s="20"/>
      <c r="V949" s="20"/>
      <c r="W949" s="20"/>
      <c r="X949" s="20"/>
      <c r="Y949" s="20"/>
      <c r="Z949" s="20"/>
    </row>
    <row r="950" spans="13:26" ht="17.25" customHeight="1">
      <c r="M950" s="47"/>
      <c r="N950" s="20"/>
      <c r="O950" s="20"/>
      <c r="P950" s="20"/>
      <c r="Q950" s="20"/>
      <c r="R950" s="20"/>
      <c r="S950" s="20"/>
      <c r="T950" s="20"/>
      <c r="U950" s="20"/>
      <c r="V950" s="20"/>
      <c r="W950" s="20"/>
      <c r="X950" s="20"/>
      <c r="Y950" s="20"/>
      <c r="Z950" s="20"/>
    </row>
    <row r="951" spans="13:26" ht="17.25" customHeight="1">
      <c r="M951" s="47"/>
      <c r="N951" s="20"/>
      <c r="O951" s="20"/>
      <c r="P951" s="20"/>
      <c r="Q951" s="20"/>
      <c r="R951" s="20"/>
      <c r="S951" s="20"/>
      <c r="T951" s="20"/>
      <c r="U951" s="20"/>
      <c r="V951" s="20"/>
      <c r="W951" s="20"/>
      <c r="X951" s="20"/>
      <c r="Y951" s="20"/>
      <c r="Z951" s="20"/>
    </row>
    <row r="952" spans="13:26" ht="17.25" customHeight="1">
      <c r="M952" s="47"/>
      <c r="N952" s="20"/>
      <c r="O952" s="20"/>
      <c r="P952" s="20"/>
      <c r="Q952" s="20"/>
      <c r="R952" s="20"/>
      <c r="S952" s="20"/>
      <c r="T952" s="20"/>
      <c r="U952" s="20"/>
      <c r="V952" s="20"/>
      <c r="W952" s="20"/>
      <c r="X952" s="20"/>
      <c r="Y952" s="20"/>
      <c r="Z952" s="20"/>
    </row>
    <row r="953" spans="13:26" ht="17.25" customHeight="1">
      <c r="M953" s="47"/>
      <c r="N953" s="20"/>
      <c r="O953" s="20"/>
      <c r="P953" s="20"/>
      <c r="Q953" s="20"/>
      <c r="R953" s="20"/>
      <c r="S953" s="20"/>
      <c r="T953" s="20"/>
      <c r="U953" s="20"/>
      <c r="V953" s="20"/>
      <c r="W953" s="20"/>
      <c r="X953" s="20"/>
      <c r="Y953" s="20"/>
      <c r="Z953" s="20"/>
    </row>
    <row r="954" spans="13:26" ht="17.25" customHeight="1">
      <c r="M954" s="47"/>
      <c r="N954" s="20"/>
      <c r="O954" s="20"/>
      <c r="P954" s="20"/>
      <c r="Q954" s="20"/>
      <c r="R954" s="20"/>
      <c r="S954" s="20"/>
      <c r="T954" s="20"/>
      <c r="U954" s="20"/>
      <c r="V954" s="20"/>
      <c r="W954" s="20"/>
      <c r="X954" s="20"/>
      <c r="Y954" s="20"/>
      <c r="Z954" s="20"/>
    </row>
    <row r="955" spans="13:26" ht="17.25" customHeight="1">
      <c r="M955" s="47"/>
      <c r="N955" s="20"/>
      <c r="O955" s="20"/>
      <c r="P955" s="20"/>
      <c r="Q955" s="20"/>
      <c r="R955" s="20"/>
      <c r="S955" s="20"/>
      <c r="T955" s="20"/>
      <c r="U955" s="20"/>
      <c r="V955" s="20"/>
      <c r="W955" s="20"/>
      <c r="X955" s="20"/>
      <c r="Y955" s="20"/>
      <c r="Z955" s="20"/>
    </row>
    <row r="956" spans="13:26" ht="17.25" customHeight="1">
      <c r="M956" s="47"/>
      <c r="N956" s="20"/>
      <c r="O956" s="20"/>
      <c r="P956" s="20"/>
      <c r="Q956" s="20"/>
      <c r="R956" s="20"/>
      <c r="S956" s="20"/>
      <c r="T956" s="20"/>
      <c r="U956" s="20"/>
      <c r="V956" s="20"/>
      <c r="W956" s="20"/>
      <c r="X956" s="20"/>
      <c r="Y956" s="20"/>
      <c r="Z956" s="20"/>
    </row>
    <row r="957" spans="13:26" ht="17.25" customHeight="1">
      <c r="M957" s="47"/>
      <c r="N957" s="20"/>
      <c r="O957" s="20"/>
      <c r="P957" s="20"/>
      <c r="Q957" s="20"/>
      <c r="R957" s="20"/>
      <c r="S957" s="20"/>
      <c r="T957" s="20"/>
      <c r="U957" s="20"/>
      <c r="V957" s="20"/>
      <c r="W957" s="20"/>
      <c r="X957" s="20"/>
      <c r="Y957" s="20"/>
      <c r="Z957" s="20"/>
    </row>
    <row r="958" spans="13:26" ht="17.25" customHeight="1">
      <c r="M958" s="47"/>
      <c r="N958" s="20"/>
      <c r="O958" s="20"/>
      <c r="P958" s="20"/>
      <c r="Q958" s="20"/>
      <c r="R958" s="20"/>
      <c r="S958" s="20"/>
      <c r="T958" s="20"/>
      <c r="U958" s="20"/>
      <c r="V958" s="20"/>
      <c r="W958" s="20"/>
      <c r="X958" s="20"/>
      <c r="Y958" s="20"/>
      <c r="Z958" s="20"/>
    </row>
    <row r="959" spans="13:26" ht="17.25" customHeight="1">
      <c r="M959" s="47"/>
      <c r="N959" s="20"/>
      <c r="O959" s="20"/>
      <c r="P959" s="20"/>
      <c r="Q959" s="20"/>
      <c r="R959" s="20"/>
      <c r="S959" s="20"/>
      <c r="T959" s="20"/>
      <c r="U959" s="20"/>
      <c r="V959" s="20"/>
      <c r="W959" s="20"/>
      <c r="X959" s="20"/>
      <c r="Y959" s="20"/>
      <c r="Z959" s="20"/>
    </row>
    <row r="960" spans="13:26" ht="17.25" customHeight="1">
      <c r="M960" s="47"/>
      <c r="N960" s="20"/>
      <c r="O960" s="20"/>
      <c r="P960" s="20"/>
      <c r="Q960" s="20"/>
      <c r="R960" s="20"/>
      <c r="S960" s="20"/>
      <c r="T960" s="20"/>
      <c r="U960" s="20"/>
      <c r="V960" s="20"/>
      <c r="W960" s="20"/>
      <c r="X960" s="20"/>
      <c r="Y960" s="20"/>
      <c r="Z960" s="20"/>
    </row>
    <row r="961" spans="13:26" ht="17.25" customHeight="1">
      <c r="M961" s="47"/>
      <c r="N961" s="20"/>
      <c r="O961" s="20"/>
      <c r="P961" s="20"/>
      <c r="Q961" s="20"/>
      <c r="R961" s="20"/>
      <c r="S961" s="20"/>
      <c r="T961" s="20"/>
      <c r="U961" s="20"/>
      <c r="V961" s="20"/>
      <c r="W961" s="20"/>
      <c r="X961" s="20"/>
      <c r="Y961" s="20"/>
      <c r="Z961" s="20"/>
    </row>
    <row r="962" spans="13:26" ht="17.25" customHeight="1">
      <c r="M962" s="47"/>
      <c r="N962" s="20"/>
      <c r="O962" s="20"/>
      <c r="P962" s="20"/>
      <c r="Q962" s="20"/>
      <c r="R962" s="20"/>
      <c r="S962" s="20"/>
      <c r="T962" s="20"/>
      <c r="U962" s="20"/>
      <c r="V962" s="20"/>
      <c r="W962" s="20"/>
      <c r="X962" s="20"/>
      <c r="Y962" s="20"/>
      <c r="Z962" s="20"/>
    </row>
    <row r="963" spans="13:26" ht="17.25" customHeight="1">
      <c r="M963" s="47"/>
      <c r="N963" s="20"/>
      <c r="O963" s="20"/>
      <c r="P963" s="20"/>
      <c r="Q963" s="20"/>
      <c r="R963" s="20"/>
      <c r="S963" s="20"/>
      <c r="T963" s="20"/>
      <c r="U963" s="20"/>
      <c r="V963" s="20"/>
      <c r="W963" s="20"/>
      <c r="X963" s="20"/>
      <c r="Y963" s="20"/>
      <c r="Z963" s="20"/>
    </row>
    <row r="964" spans="13:26" ht="17.25" customHeight="1">
      <c r="M964" s="47"/>
      <c r="N964" s="20"/>
      <c r="O964" s="20"/>
      <c r="P964" s="20"/>
      <c r="Q964" s="20"/>
      <c r="R964" s="20"/>
      <c r="S964" s="20"/>
      <c r="T964" s="20"/>
      <c r="U964" s="20"/>
      <c r="V964" s="20"/>
      <c r="W964" s="20"/>
      <c r="X964" s="20"/>
      <c r="Y964" s="20"/>
      <c r="Z964" s="20"/>
    </row>
    <row r="965" spans="13:26" ht="17.25" customHeight="1">
      <c r="M965" s="47"/>
      <c r="N965" s="20"/>
      <c r="O965" s="20"/>
      <c r="P965" s="20"/>
      <c r="Q965" s="20"/>
      <c r="R965" s="20"/>
      <c r="S965" s="20"/>
      <c r="T965" s="20"/>
      <c r="U965" s="20"/>
      <c r="V965" s="20"/>
      <c r="W965" s="20"/>
      <c r="X965" s="20"/>
      <c r="Y965" s="20"/>
      <c r="Z965" s="20"/>
    </row>
    <row r="966" spans="13:26" ht="17.25" customHeight="1">
      <c r="M966" s="47"/>
      <c r="N966" s="20"/>
      <c r="O966" s="20"/>
      <c r="P966" s="20"/>
      <c r="Q966" s="20"/>
      <c r="R966" s="20"/>
      <c r="S966" s="20"/>
      <c r="T966" s="20"/>
      <c r="U966" s="20"/>
      <c r="V966" s="20"/>
      <c r="W966" s="20"/>
      <c r="X966" s="20"/>
      <c r="Y966" s="20"/>
      <c r="Z966" s="20"/>
    </row>
    <row r="967" spans="13:26" ht="17.25" customHeight="1">
      <c r="M967" s="47"/>
      <c r="N967" s="20"/>
      <c r="O967" s="20"/>
      <c r="P967" s="20"/>
      <c r="Q967" s="20"/>
      <c r="R967" s="20"/>
      <c r="S967" s="20"/>
      <c r="T967" s="20"/>
      <c r="U967" s="20"/>
      <c r="V967" s="20"/>
      <c r="W967" s="20"/>
      <c r="X967" s="20"/>
      <c r="Y967" s="20"/>
      <c r="Z967" s="20"/>
    </row>
    <row r="968" spans="13:26" ht="17.25" customHeight="1">
      <c r="M968" s="47"/>
      <c r="N968" s="20"/>
      <c r="O968" s="20"/>
      <c r="P968" s="20"/>
      <c r="Q968" s="20"/>
      <c r="R968" s="20"/>
      <c r="S968" s="20"/>
      <c r="T968" s="20"/>
      <c r="U968" s="20"/>
      <c r="V968" s="20"/>
      <c r="W968" s="20"/>
      <c r="X968" s="20"/>
      <c r="Y968" s="20"/>
      <c r="Z968" s="20"/>
    </row>
    <row r="969" spans="13:26" ht="17.25" customHeight="1">
      <c r="M969" s="47"/>
      <c r="N969" s="20"/>
      <c r="O969" s="20"/>
      <c r="P969" s="20"/>
      <c r="Q969" s="20"/>
      <c r="R969" s="20"/>
      <c r="S969" s="20"/>
      <c r="T969" s="20"/>
      <c r="U969" s="20"/>
      <c r="V969" s="20"/>
      <c r="W969" s="20"/>
      <c r="X969" s="20"/>
      <c r="Y969" s="20"/>
      <c r="Z969" s="20"/>
    </row>
    <row r="970" spans="13:26" ht="17.25" customHeight="1">
      <c r="M970" s="47"/>
      <c r="N970" s="20"/>
      <c r="O970" s="20"/>
      <c r="P970" s="20"/>
      <c r="Q970" s="20"/>
      <c r="R970" s="20"/>
      <c r="S970" s="20"/>
      <c r="T970" s="20"/>
      <c r="U970" s="20"/>
      <c r="V970" s="20"/>
      <c r="W970" s="20"/>
      <c r="X970" s="20"/>
      <c r="Y970" s="20"/>
      <c r="Z970" s="20"/>
    </row>
    <row r="971" spans="13:26" ht="17.25" customHeight="1">
      <c r="M971" s="47"/>
      <c r="N971" s="20"/>
      <c r="O971" s="20"/>
      <c r="P971" s="20"/>
      <c r="Q971" s="20"/>
      <c r="R971" s="20"/>
      <c r="S971" s="20"/>
      <c r="T971" s="20"/>
      <c r="U971" s="20"/>
      <c r="V971" s="20"/>
      <c r="W971" s="20"/>
      <c r="X971" s="20"/>
      <c r="Y971" s="20"/>
      <c r="Z971" s="20"/>
    </row>
    <row r="972" spans="13:26" ht="17.25" customHeight="1">
      <c r="M972" s="47"/>
      <c r="N972" s="20"/>
      <c r="O972" s="20"/>
      <c r="P972" s="20"/>
      <c r="Q972" s="20"/>
      <c r="R972" s="20"/>
      <c r="S972" s="20"/>
      <c r="T972" s="20"/>
      <c r="U972" s="20"/>
      <c r="V972" s="20"/>
      <c r="W972" s="20"/>
      <c r="X972" s="20"/>
      <c r="Y972" s="20"/>
      <c r="Z972" s="20"/>
    </row>
    <row r="973" spans="13:26" ht="17.25" customHeight="1">
      <c r="M973" s="47"/>
      <c r="N973" s="20"/>
      <c r="O973" s="20"/>
      <c r="P973" s="20"/>
      <c r="Q973" s="20"/>
      <c r="R973" s="20"/>
      <c r="S973" s="20"/>
      <c r="T973" s="20"/>
      <c r="U973" s="20"/>
      <c r="V973" s="20"/>
      <c r="W973" s="20"/>
      <c r="X973" s="20"/>
      <c r="Y973" s="20"/>
      <c r="Z973" s="20"/>
    </row>
    <row r="974" spans="13:26" ht="17.25" customHeight="1">
      <c r="M974" s="47"/>
      <c r="N974" s="20"/>
      <c r="O974" s="20"/>
      <c r="P974" s="20"/>
      <c r="Q974" s="20"/>
      <c r="R974" s="20"/>
      <c r="S974" s="20"/>
      <c r="T974" s="20"/>
      <c r="U974" s="20"/>
      <c r="V974" s="20"/>
      <c r="W974" s="20"/>
      <c r="X974" s="20"/>
      <c r="Y974" s="20"/>
      <c r="Z974" s="20"/>
    </row>
    <row r="975" spans="13:26" ht="17.25" customHeight="1">
      <c r="M975" s="47"/>
      <c r="N975" s="20"/>
      <c r="O975" s="20"/>
      <c r="P975" s="20"/>
      <c r="Q975" s="20"/>
      <c r="R975" s="20"/>
      <c r="S975" s="20"/>
      <c r="T975" s="20"/>
      <c r="U975" s="20"/>
      <c r="V975" s="20"/>
      <c r="W975" s="20"/>
      <c r="X975" s="20"/>
      <c r="Y975" s="20"/>
      <c r="Z975" s="20"/>
    </row>
    <row r="976" spans="13:26" ht="17.25" customHeight="1">
      <c r="M976" s="47"/>
      <c r="N976" s="20"/>
      <c r="O976" s="20"/>
      <c r="P976" s="20"/>
      <c r="Q976" s="20"/>
      <c r="R976" s="20"/>
      <c r="S976" s="20"/>
      <c r="T976" s="20"/>
      <c r="U976" s="20"/>
      <c r="V976" s="20"/>
      <c r="W976" s="20"/>
      <c r="X976" s="20"/>
      <c r="Y976" s="20"/>
      <c r="Z976" s="20"/>
    </row>
    <row r="977" spans="13:26" ht="17.25" customHeight="1">
      <c r="M977" s="47"/>
      <c r="N977" s="20"/>
      <c r="O977" s="20"/>
      <c r="P977" s="20"/>
      <c r="Q977" s="20"/>
      <c r="R977" s="20"/>
      <c r="S977" s="20"/>
      <c r="T977" s="20"/>
      <c r="U977" s="20"/>
      <c r="V977" s="20"/>
      <c r="W977" s="20"/>
      <c r="X977" s="20"/>
      <c r="Y977" s="20"/>
      <c r="Z977" s="20"/>
    </row>
    <row r="978" spans="13:26" ht="17.25" customHeight="1">
      <c r="M978" s="47"/>
      <c r="N978" s="20"/>
      <c r="O978" s="20"/>
      <c r="P978" s="20"/>
      <c r="Q978" s="20"/>
      <c r="R978" s="20"/>
      <c r="S978" s="20"/>
      <c r="T978" s="20"/>
      <c r="U978" s="20"/>
      <c r="V978" s="20"/>
      <c r="W978" s="20"/>
      <c r="X978" s="20"/>
      <c r="Y978" s="20"/>
      <c r="Z978" s="20"/>
    </row>
    <row r="979" spans="13:26" ht="17.25" customHeight="1">
      <c r="M979" s="47"/>
      <c r="N979" s="20"/>
      <c r="O979" s="20"/>
      <c r="P979" s="20"/>
      <c r="Q979" s="20"/>
      <c r="R979" s="20"/>
      <c r="S979" s="20"/>
      <c r="T979" s="20"/>
      <c r="U979" s="20"/>
      <c r="V979" s="20"/>
      <c r="W979" s="20"/>
      <c r="X979" s="20"/>
      <c r="Y979" s="20"/>
      <c r="Z979" s="20"/>
    </row>
    <row r="980" spans="13:26" ht="17.25" customHeight="1">
      <c r="M980" s="47"/>
      <c r="N980" s="20"/>
      <c r="O980" s="20"/>
      <c r="P980" s="20"/>
      <c r="Q980" s="20"/>
      <c r="R980" s="20"/>
      <c r="S980" s="20"/>
      <c r="T980" s="20"/>
      <c r="U980" s="20"/>
      <c r="V980" s="20"/>
      <c r="W980" s="20"/>
      <c r="X980" s="20"/>
      <c r="Y980" s="20"/>
      <c r="Z980" s="20"/>
    </row>
    <row r="981" spans="13:26" ht="17.25" customHeight="1">
      <c r="M981" s="47"/>
      <c r="N981" s="20"/>
      <c r="O981" s="20"/>
      <c r="P981" s="20"/>
      <c r="Q981" s="20"/>
      <c r="R981" s="20"/>
      <c r="S981" s="20"/>
      <c r="T981" s="20"/>
      <c r="U981" s="20"/>
      <c r="V981" s="20"/>
      <c r="W981" s="20"/>
      <c r="X981" s="20"/>
      <c r="Y981" s="20"/>
      <c r="Z981" s="20"/>
    </row>
    <row r="982" spans="13:26" ht="17.25" customHeight="1">
      <c r="M982" s="47"/>
      <c r="N982" s="20"/>
      <c r="O982" s="20"/>
      <c r="P982" s="20"/>
      <c r="Q982" s="20"/>
      <c r="R982" s="20"/>
      <c r="S982" s="20"/>
      <c r="T982" s="20"/>
      <c r="U982" s="20"/>
      <c r="V982" s="20"/>
      <c r="W982" s="20"/>
      <c r="X982" s="20"/>
      <c r="Y982" s="20"/>
      <c r="Z982" s="20"/>
    </row>
    <row r="983" spans="13:26" ht="17.25" customHeight="1">
      <c r="M983" s="47"/>
      <c r="N983" s="20"/>
      <c r="O983" s="20"/>
      <c r="P983" s="20"/>
      <c r="Q983" s="20"/>
      <c r="R983" s="20"/>
      <c r="S983" s="20"/>
      <c r="T983" s="20"/>
      <c r="U983" s="20"/>
      <c r="V983" s="20"/>
      <c r="W983" s="20"/>
      <c r="X983" s="20"/>
      <c r="Y983" s="20"/>
      <c r="Z983" s="20"/>
    </row>
    <row r="984" spans="13:26" ht="17.25" customHeight="1">
      <c r="M984" s="47"/>
      <c r="N984" s="20"/>
      <c r="O984" s="20"/>
      <c r="P984" s="20"/>
      <c r="Q984" s="20"/>
      <c r="R984" s="20"/>
      <c r="S984" s="20"/>
      <c r="T984" s="20"/>
      <c r="U984" s="20"/>
      <c r="V984" s="20"/>
      <c r="W984" s="20"/>
      <c r="X984" s="20"/>
      <c r="Y984" s="20"/>
      <c r="Z984" s="20"/>
    </row>
    <row r="985" spans="13:26" ht="17.25" customHeight="1">
      <c r="M985" s="47"/>
      <c r="N985" s="20"/>
      <c r="O985" s="20"/>
      <c r="P985" s="20"/>
      <c r="Q985" s="20"/>
      <c r="R985" s="20"/>
      <c r="S985" s="20"/>
      <c r="T985" s="20"/>
      <c r="U985" s="20"/>
      <c r="V985" s="20"/>
      <c r="W985" s="20"/>
      <c r="X985" s="20"/>
      <c r="Y985" s="20"/>
      <c r="Z985" s="20"/>
    </row>
    <row r="986" spans="13:26" ht="17.25" customHeight="1">
      <c r="M986" s="47"/>
      <c r="N986" s="20"/>
      <c r="O986" s="20"/>
      <c r="P986" s="20"/>
      <c r="Q986" s="20"/>
      <c r="R986" s="20"/>
      <c r="S986" s="20"/>
      <c r="T986" s="20"/>
      <c r="U986" s="20"/>
      <c r="V986" s="20"/>
      <c r="W986" s="20"/>
      <c r="X986" s="20"/>
      <c r="Y986" s="20"/>
      <c r="Z986" s="20"/>
    </row>
    <row r="987" spans="13:26" ht="17.25" customHeight="1">
      <c r="M987" s="47"/>
      <c r="N987" s="20"/>
      <c r="O987" s="20"/>
      <c r="P987" s="20"/>
      <c r="Q987" s="20"/>
      <c r="R987" s="20"/>
      <c r="S987" s="20"/>
      <c r="T987" s="20"/>
      <c r="U987" s="20"/>
      <c r="V987" s="20"/>
      <c r="W987" s="20"/>
      <c r="X987" s="20"/>
      <c r="Y987" s="20"/>
      <c r="Z987" s="20"/>
    </row>
    <row r="988" spans="13:26" ht="17.25" customHeight="1">
      <c r="M988" s="47"/>
      <c r="N988" s="20"/>
      <c r="O988" s="20"/>
      <c r="P988" s="20"/>
      <c r="Q988" s="20"/>
      <c r="R988" s="20"/>
      <c r="S988" s="20"/>
      <c r="T988" s="20"/>
      <c r="U988" s="20"/>
      <c r="V988" s="20"/>
      <c r="W988" s="20"/>
      <c r="X988" s="20"/>
      <c r="Y988" s="20"/>
      <c r="Z988" s="20"/>
    </row>
    <row r="989" spans="13:26" ht="17.25" customHeight="1">
      <c r="M989" s="47"/>
      <c r="N989" s="20"/>
      <c r="O989" s="20"/>
      <c r="P989" s="20"/>
      <c r="Q989" s="20"/>
      <c r="R989" s="20"/>
      <c r="S989" s="20"/>
      <c r="T989" s="20"/>
      <c r="U989" s="20"/>
      <c r="V989" s="20"/>
      <c r="W989" s="20"/>
      <c r="X989" s="20"/>
      <c r="Y989" s="20"/>
      <c r="Z989" s="20"/>
    </row>
    <row r="990" spans="13:26" ht="17.25" customHeight="1">
      <c r="M990" s="47"/>
      <c r="N990" s="20"/>
      <c r="O990" s="20"/>
      <c r="P990" s="20"/>
      <c r="Q990" s="20"/>
      <c r="R990" s="20"/>
      <c r="S990" s="20"/>
      <c r="T990" s="20"/>
      <c r="U990" s="20"/>
      <c r="V990" s="20"/>
      <c r="W990" s="20"/>
      <c r="X990" s="20"/>
      <c r="Y990" s="20"/>
      <c r="Z990" s="20"/>
    </row>
    <row r="991" spans="13:26" ht="17.25" customHeight="1">
      <c r="M991" s="47"/>
      <c r="N991" s="20"/>
      <c r="O991" s="20"/>
      <c r="P991" s="20"/>
      <c r="Q991" s="20"/>
      <c r="R991" s="20"/>
      <c r="S991" s="20"/>
      <c r="T991" s="20"/>
      <c r="U991" s="20"/>
      <c r="V991" s="20"/>
      <c r="W991" s="20"/>
      <c r="X991" s="20"/>
      <c r="Y991" s="20"/>
      <c r="Z991" s="20"/>
    </row>
    <row r="992" spans="13:26" ht="17.25" customHeight="1">
      <c r="M992" s="47"/>
      <c r="N992" s="20"/>
      <c r="O992" s="20"/>
      <c r="P992" s="20"/>
      <c r="Q992" s="20"/>
      <c r="R992" s="20"/>
      <c r="S992" s="20"/>
      <c r="T992" s="20"/>
      <c r="U992" s="20"/>
      <c r="V992" s="20"/>
      <c r="W992" s="20"/>
      <c r="X992" s="20"/>
      <c r="Y992" s="20"/>
      <c r="Z992" s="20"/>
    </row>
    <row r="993" spans="13:26" ht="17.25" customHeight="1">
      <c r="M993" s="47"/>
      <c r="N993" s="20"/>
      <c r="O993" s="20"/>
      <c r="P993" s="20"/>
      <c r="Q993" s="20"/>
      <c r="R993" s="20"/>
      <c r="S993" s="20"/>
      <c r="T993" s="20"/>
      <c r="U993" s="20"/>
      <c r="V993" s="20"/>
      <c r="W993" s="20"/>
      <c r="X993" s="20"/>
      <c r="Y993" s="20"/>
      <c r="Z993" s="20"/>
    </row>
    <row r="994" spans="13:26" ht="17.25" customHeight="1">
      <c r="M994" s="47"/>
      <c r="N994" s="20"/>
      <c r="O994" s="20"/>
      <c r="P994" s="20"/>
      <c r="Q994" s="20"/>
      <c r="R994" s="20"/>
      <c r="S994" s="20"/>
      <c r="T994" s="20"/>
      <c r="U994" s="20"/>
      <c r="V994" s="20"/>
      <c r="W994" s="20"/>
      <c r="X994" s="20"/>
      <c r="Y994" s="20"/>
      <c r="Z994" s="20"/>
    </row>
    <row r="995" spans="13:26" ht="17.25" customHeight="1">
      <c r="M995" s="47"/>
      <c r="N995" s="20"/>
      <c r="O995" s="20"/>
      <c r="P995" s="20"/>
      <c r="Q995" s="20"/>
      <c r="R995" s="20"/>
      <c r="S995" s="20"/>
      <c r="T995" s="20"/>
      <c r="U995" s="20"/>
      <c r="V995" s="20"/>
      <c r="W995" s="20"/>
      <c r="X995" s="20"/>
      <c r="Y995" s="20"/>
      <c r="Z995" s="20"/>
    </row>
    <row r="996" spans="13:26" ht="17.25" customHeight="1">
      <c r="M996" s="47"/>
      <c r="N996" s="20"/>
      <c r="O996" s="20"/>
      <c r="P996" s="20"/>
      <c r="Q996" s="20"/>
      <c r="R996" s="20"/>
      <c r="S996" s="20"/>
      <c r="T996" s="20"/>
      <c r="U996" s="20"/>
      <c r="V996" s="20"/>
      <c r="W996" s="20"/>
      <c r="X996" s="20"/>
      <c r="Y996" s="20"/>
      <c r="Z996" s="20"/>
    </row>
    <row r="997" spans="13:26" ht="17.25" customHeight="1">
      <c r="M997" s="47"/>
      <c r="N997" s="20"/>
      <c r="O997" s="20"/>
      <c r="P997" s="20"/>
      <c r="Q997" s="20"/>
      <c r="R997" s="20"/>
      <c r="S997" s="20"/>
      <c r="T997" s="20"/>
      <c r="U997" s="20"/>
      <c r="V997" s="20"/>
      <c r="W997" s="20"/>
      <c r="X997" s="20"/>
      <c r="Y997" s="20"/>
      <c r="Z997" s="20"/>
    </row>
    <row r="998" spans="13:26" ht="17.25" customHeight="1">
      <c r="M998" s="47"/>
      <c r="N998" s="20"/>
      <c r="O998" s="20"/>
      <c r="P998" s="20"/>
      <c r="Q998" s="20"/>
      <c r="R998" s="20"/>
      <c r="S998" s="20"/>
      <c r="T998" s="20"/>
      <c r="U998" s="20"/>
      <c r="V998" s="20"/>
      <c r="W998" s="20"/>
      <c r="X998" s="20"/>
      <c r="Y998" s="20"/>
      <c r="Z998" s="20"/>
    </row>
    <row r="999" spans="13:26" ht="17.25" customHeight="1">
      <c r="M999" s="47"/>
      <c r="N999" s="20"/>
      <c r="O999" s="20"/>
      <c r="P999" s="20"/>
      <c r="Q999" s="20"/>
      <c r="R999" s="20"/>
      <c r="S999" s="20"/>
      <c r="T999" s="20"/>
      <c r="U999" s="20"/>
      <c r="V999" s="20"/>
      <c r="W999" s="20"/>
      <c r="X999" s="20"/>
      <c r="Y999" s="20"/>
      <c r="Z999" s="20"/>
    </row>
    <row r="1000" spans="13:26" ht="17.25" customHeight="1">
      <c r="M1000" s="47"/>
      <c r="N1000" s="20"/>
      <c r="O1000" s="20"/>
      <c r="P1000" s="20"/>
      <c r="Q1000" s="20"/>
      <c r="R1000" s="20"/>
      <c r="S1000" s="20"/>
      <c r="T1000" s="20"/>
      <c r="U1000" s="20"/>
      <c r="V1000" s="20"/>
      <c r="W1000" s="20"/>
      <c r="X1000" s="20"/>
      <c r="Y1000" s="20"/>
      <c r="Z1000" s="20"/>
    </row>
  </sheetData>
  <mergeCells count="1">
    <mergeCell ref="B1:I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1800-000000000000}">
          <x14:formula1>
            <xm:f>Materials!$A$76:$A$283</xm:f>
          </x14:formula1>
          <xm:sqref>B3:B68 D3:D68 F3:F68 H3:H68 J3:J68 L3:L68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sheetPr>
  <dimension ref="A1:Z1000"/>
  <sheetViews>
    <sheetView workbookViewId="0">
      <selection activeCell="B18" sqref="B18"/>
    </sheetView>
  </sheetViews>
  <sheetFormatPr baseColWidth="10" defaultColWidth="11.28515625" defaultRowHeight="15" customHeight="1"/>
  <cols>
    <col min="1" max="2" width="55.42578125" customWidth="1"/>
    <col min="3" max="8" width="25.140625" customWidth="1"/>
    <col min="9" max="9" width="22.140625" customWidth="1"/>
    <col min="10" max="10" width="24" customWidth="1"/>
    <col min="11" max="11" width="21.42578125" customWidth="1"/>
    <col min="12" max="12" width="14.28515625" customWidth="1"/>
    <col min="13" max="26" width="11.42578125" customWidth="1"/>
  </cols>
  <sheetData>
    <row r="1" spans="1:26" ht="36.75" customHeight="1">
      <c r="A1" s="205" t="s">
        <v>5175</v>
      </c>
      <c r="B1" s="206"/>
      <c r="C1" s="206"/>
      <c r="D1" s="206"/>
      <c r="E1" s="206"/>
      <c r="F1" s="206"/>
      <c r="G1" s="206"/>
      <c r="H1" s="206"/>
      <c r="I1" s="206"/>
      <c r="J1" s="206"/>
      <c r="K1" s="206"/>
      <c r="L1" s="206"/>
      <c r="M1" s="206"/>
    </row>
    <row r="2" spans="1:26" ht="17.25" customHeight="1">
      <c r="A2" s="101" t="s">
        <v>4832</v>
      </c>
      <c r="B2" s="101" t="s">
        <v>5176</v>
      </c>
      <c r="C2" s="101" t="s">
        <v>5038</v>
      </c>
      <c r="D2" s="101" t="s">
        <v>5177</v>
      </c>
      <c r="E2" s="101" t="s">
        <v>5178</v>
      </c>
      <c r="F2" s="101" t="s">
        <v>5179</v>
      </c>
      <c r="G2" s="101" t="s">
        <v>5180</v>
      </c>
      <c r="H2" s="101" t="s">
        <v>5181</v>
      </c>
      <c r="I2" s="101" t="s">
        <v>5182</v>
      </c>
      <c r="J2" s="101" t="s">
        <v>5183</v>
      </c>
      <c r="K2" s="101" t="s">
        <v>5184</v>
      </c>
      <c r="L2" s="101" t="s">
        <v>5177</v>
      </c>
      <c r="M2" s="101" t="s">
        <v>5185</v>
      </c>
    </row>
    <row r="3" spans="1:26" ht="17.25" customHeight="1">
      <c r="A3" s="113" t="s">
        <v>5186</v>
      </c>
      <c r="B3" s="113" t="s">
        <v>5187</v>
      </c>
      <c r="C3" s="113" t="s">
        <v>5188</v>
      </c>
      <c r="D3" s="113" t="s">
        <v>5189</v>
      </c>
      <c r="E3" s="114">
        <v>0.9</v>
      </c>
      <c r="F3" s="114">
        <v>0.65</v>
      </c>
      <c r="G3" s="114">
        <v>0.65</v>
      </c>
      <c r="H3" s="114">
        <v>0</v>
      </c>
      <c r="I3" s="114">
        <v>1.95</v>
      </c>
      <c r="J3" s="114">
        <v>2400</v>
      </c>
      <c r="K3" s="113" t="s">
        <v>5190</v>
      </c>
      <c r="L3" s="113" t="s">
        <v>5189</v>
      </c>
      <c r="M3" s="114">
        <v>1000</v>
      </c>
    </row>
    <row r="4" spans="1:26" ht="17.25" customHeight="1">
      <c r="A4" s="113" t="s">
        <v>5191</v>
      </c>
      <c r="B4" s="113" t="s">
        <v>5192</v>
      </c>
      <c r="C4" s="113" t="s">
        <v>5193</v>
      </c>
      <c r="D4" s="113" t="s">
        <v>5194</v>
      </c>
      <c r="E4" s="114">
        <v>0.9</v>
      </c>
      <c r="F4" s="114">
        <v>0.7</v>
      </c>
      <c r="G4" s="114">
        <v>0.7</v>
      </c>
      <c r="H4" s="114">
        <v>0</v>
      </c>
      <c r="I4" s="114">
        <v>0.77</v>
      </c>
      <c r="J4" s="114">
        <v>1800</v>
      </c>
      <c r="K4" s="113" t="s">
        <v>5195</v>
      </c>
      <c r="L4" s="113" t="s">
        <v>5194</v>
      </c>
      <c r="M4" s="114">
        <v>840</v>
      </c>
    </row>
    <row r="5" spans="1:26" ht="17.25" customHeight="1">
      <c r="A5" s="113" t="s">
        <v>5196</v>
      </c>
      <c r="B5" s="113" t="s">
        <v>5197</v>
      </c>
      <c r="C5" s="113" t="s">
        <v>5193</v>
      </c>
      <c r="D5" s="113" t="s">
        <v>5198</v>
      </c>
      <c r="E5" s="114">
        <v>0.9</v>
      </c>
      <c r="F5" s="114">
        <v>0.6</v>
      </c>
      <c r="G5" s="114">
        <v>0.6</v>
      </c>
      <c r="H5" s="114">
        <v>0</v>
      </c>
      <c r="I5" s="114">
        <v>1.4</v>
      </c>
      <c r="J5" s="114">
        <v>2000</v>
      </c>
      <c r="K5" s="113" t="s">
        <v>5199</v>
      </c>
      <c r="L5" s="113" t="s">
        <v>5198</v>
      </c>
      <c r="M5" s="114">
        <v>900</v>
      </c>
      <c r="N5" s="115"/>
      <c r="O5" s="115"/>
      <c r="P5" s="115"/>
      <c r="Q5" s="115"/>
      <c r="R5" s="115"/>
      <c r="S5" s="115"/>
      <c r="T5" s="115"/>
      <c r="U5" s="115"/>
      <c r="V5" s="115"/>
      <c r="W5" s="115"/>
      <c r="X5" s="115"/>
      <c r="Y5" s="115"/>
      <c r="Z5" s="115"/>
    </row>
    <row r="6" spans="1:26" ht="17.25" customHeight="1">
      <c r="A6" s="113" t="s">
        <v>5200</v>
      </c>
      <c r="B6" s="113" t="s">
        <v>5201</v>
      </c>
      <c r="C6" s="113" t="s">
        <v>5217</v>
      </c>
      <c r="D6" s="113" t="s">
        <v>5202</v>
      </c>
      <c r="E6" s="114">
        <v>0.9</v>
      </c>
      <c r="F6" s="114">
        <v>0.5</v>
      </c>
      <c r="G6" s="114">
        <v>0.5</v>
      </c>
      <c r="H6" s="114">
        <v>0</v>
      </c>
      <c r="I6" s="114">
        <v>0.25</v>
      </c>
      <c r="J6" s="114">
        <v>800</v>
      </c>
      <c r="K6" s="113" t="s">
        <v>5203</v>
      </c>
      <c r="L6" s="113" t="s">
        <v>5202</v>
      </c>
      <c r="M6" s="114">
        <v>1090</v>
      </c>
    </row>
    <row r="7" spans="1:26" ht="17.25" customHeight="1">
      <c r="A7" s="113" t="s">
        <v>5204</v>
      </c>
      <c r="B7" s="113" t="s">
        <v>5205</v>
      </c>
      <c r="C7" s="113" t="s">
        <v>6216</v>
      </c>
      <c r="D7" s="113" t="s">
        <v>5189</v>
      </c>
      <c r="E7" s="114">
        <v>0.9</v>
      </c>
      <c r="F7" s="114">
        <v>0.2</v>
      </c>
      <c r="G7" s="114">
        <v>0.2</v>
      </c>
      <c r="H7" s="114">
        <v>0</v>
      </c>
      <c r="I7" s="114">
        <v>2.5000000000000001E-2</v>
      </c>
      <c r="J7" s="114">
        <v>1.2</v>
      </c>
      <c r="K7" s="113" t="s">
        <v>5206</v>
      </c>
      <c r="L7" s="113" t="s">
        <v>5189</v>
      </c>
      <c r="M7" s="114">
        <v>1005</v>
      </c>
    </row>
    <row r="8" spans="1:26" ht="17.25" customHeight="1">
      <c r="A8" s="113" t="s">
        <v>5207</v>
      </c>
      <c r="B8" s="113" t="s">
        <v>5208</v>
      </c>
      <c r="C8" s="113" t="s">
        <v>5209</v>
      </c>
      <c r="D8" s="113" t="s">
        <v>5198</v>
      </c>
      <c r="E8" s="114">
        <v>0.9</v>
      </c>
      <c r="F8" s="114">
        <v>0.5</v>
      </c>
      <c r="G8" s="114">
        <v>0.5</v>
      </c>
      <c r="H8" s="114">
        <v>0</v>
      </c>
      <c r="I8" s="114">
        <v>3.5999999999999997E-2</v>
      </c>
      <c r="J8" s="114">
        <v>25</v>
      </c>
      <c r="K8" s="113" t="s">
        <v>5210</v>
      </c>
      <c r="L8" s="113" t="s">
        <v>5198</v>
      </c>
      <c r="M8" s="114">
        <v>1400</v>
      </c>
    </row>
    <row r="9" spans="1:26" ht="17.25" customHeight="1">
      <c r="A9" s="113" t="s">
        <v>5211</v>
      </c>
      <c r="B9" s="113" t="s">
        <v>5212</v>
      </c>
      <c r="C9" s="113" t="s">
        <v>5209</v>
      </c>
      <c r="D9" s="113" t="s">
        <v>5198</v>
      </c>
      <c r="E9" s="114">
        <v>0.9</v>
      </c>
      <c r="F9" s="114">
        <v>0.5</v>
      </c>
      <c r="G9" s="114">
        <v>0.5</v>
      </c>
      <c r="H9" s="114">
        <v>0</v>
      </c>
      <c r="I9" s="114">
        <v>2.9000000000000001E-2</v>
      </c>
      <c r="J9" s="114">
        <v>35</v>
      </c>
      <c r="K9" s="113" t="s">
        <v>5210</v>
      </c>
      <c r="L9" s="113" t="s">
        <v>5198</v>
      </c>
      <c r="M9" s="114">
        <v>1450</v>
      </c>
    </row>
    <row r="10" spans="1:26" ht="17.25" customHeight="1">
      <c r="A10" s="113" t="s">
        <v>5213</v>
      </c>
      <c r="B10" s="113" t="s">
        <v>5214</v>
      </c>
      <c r="C10" s="113" t="s">
        <v>5209</v>
      </c>
      <c r="D10" s="113" t="s">
        <v>5194</v>
      </c>
      <c r="E10" s="114">
        <v>0.9</v>
      </c>
      <c r="F10" s="114">
        <v>0.5</v>
      </c>
      <c r="G10" s="114">
        <v>0.5</v>
      </c>
      <c r="H10" s="114">
        <v>0</v>
      </c>
      <c r="I10" s="114">
        <v>3.6999999999999998E-2</v>
      </c>
      <c r="J10" s="114">
        <v>40</v>
      </c>
      <c r="K10" s="113" t="s">
        <v>5210</v>
      </c>
      <c r="L10" s="113" t="s">
        <v>5194</v>
      </c>
      <c r="M10" s="114">
        <v>1030</v>
      </c>
    </row>
    <row r="11" spans="1:26" ht="17.25" customHeight="1">
      <c r="A11" s="113" t="s">
        <v>5215</v>
      </c>
      <c r="B11" s="113" t="s">
        <v>5216</v>
      </c>
      <c r="C11" s="113" t="s">
        <v>5217</v>
      </c>
      <c r="D11" s="113" t="s">
        <v>5198</v>
      </c>
      <c r="E11" s="114">
        <v>0.9</v>
      </c>
      <c r="F11" s="114">
        <v>0.5</v>
      </c>
      <c r="G11" s="114">
        <v>0.5</v>
      </c>
      <c r="H11" s="114">
        <v>0</v>
      </c>
      <c r="I11" s="114">
        <v>0.13</v>
      </c>
      <c r="J11" s="114">
        <v>550</v>
      </c>
      <c r="K11" s="113" t="s">
        <v>5218</v>
      </c>
      <c r="L11" s="113" t="s">
        <v>5198</v>
      </c>
      <c r="M11" s="114">
        <v>1600</v>
      </c>
    </row>
    <row r="12" spans="1:26" ht="17.25" customHeight="1">
      <c r="A12" s="113" t="s">
        <v>5219</v>
      </c>
      <c r="B12" s="113" t="s">
        <v>5219</v>
      </c>
      <c r="C12" s="113" t="s">
        <v>5188</v>
      </c>
      <c r="D12" s="113" t="s">
        <v>5194</v>
      </c>
      <c r="E12" s="114">
        <v>0.9</v>
      </c>
      <c r="F12" s="114">
        <v>0.7</v>
      </c>
      <c r="G12" s="114">
        <v>0.7</v>
      </c>
      <c r="H12" s="114">
        <v>0</v>
      </c>
      <c r="I12" s="114">
        <v>0.909090909</v>
      </c>
      <c r="J12" s="114">
        <v>0.5</v>
      </c>
      <c r="K12" s="113" t="s">
        <v>5194</v>
      </c>
      <c r="L12" s="113" t="s">
        <v>5194</v>
      </c>
      <c r="M12" s="114">
        <v>1800</v>
      </c>
    </row>
    <row r="13" spans="1:26" ht="17.25" customHeight="1">
      <c r="A13" s="113" t="s">
        <v>5172</v>
      </c>
      <c r="B13" s="113" t="s">
        <v>5172</v>
      </c>
      <c r="C13" s="113" t="s">
        <v>5188</v>
      </c>
      <c r="D13" s="113" t="s">
        <v>5194</v>
      </c>
      <c r="E13" s="114">
        <v>0.9</v>
      </c>
      <c r="F13" s="114">
        <v>0.7</v>
      </c>
      <c r="G13" s="114">
        <v>0.7</v>
      </c>
      <c r="H13" s="114">
        <v>0</v>
      </c>
      <c r="I13" s="114">
        <v>0.13</v>
      </c>
      <c r="J13" s="114">
        <v>650</v>
      </c>
      <c r="K13" s="113" t="s">
        <v>5194</v>
      </c>
      <c r="L13" s="113" t="s">
        <v>5194</v>
      </c>
      <c r="M13" s="114">
        <v>1700</v>
      </c>
    </row>
    <row r="14" spans="1:26" ht="17.25" customHeight="1">
      <c r="A14" s="113" t="s">
        <v>5046</v>
      </c>
      <c r="B14" s="113" t="s">
        <v>5046</v>
      </c>
      <c r="C14" s="113" t="s">
        <v>5188</v>
      </c>
      <c r="D14" s="113" t="s">
        <v>5194</v>
      </c>
      <c r="E14" s="114">
        <v>0.8</v>
      </c>
      <c r="F14" s="114">
        <v>0.7</v>
      </c>
      <c r="G14" s="114">
        <v>0.7</v>
      </c>
      <c r="H14" s="114">
        <v>1E-4</v>
      </c>
      <c r="I14" s="114">
        <v>0.03</v>
      </c>
      <c r="J14" s="114">
        <v>1.2</v>
      </c>
      <c r="K14" s="113" t="s">
        <v>5194</v>
      </c>
      <c r="L14" s="116" t="s">
        <v>5194</v>
      </c>
      <c r="M14" s="117">
        <v>1000</v>
      </c>
      <c r="N14" s="15"/>
      <c r="O14" s="15"/>
      <c r="P14" s="15"/>
      <c r="Q14" s="15"/>
      <c r="R14" s="15"/>
      <c r="S14" s="15"/>
      <c r="T14" s="15"/>
      <c r="U14" s="15"/>
      <c r="V14" s="15"/>
      <c r="W14" s="15"/>
      <c r="X14" s="15"/>
      <c r="Y14" s="15"/>
      <c r="Z14" s="15"/>
    </row>
    <row r="15" spans="1:26" ht="17.25" customHeight="1">
      <c r="A15" s="113" t="s">
        <v>5220</v>
      </c>
      <c r="B15" s="113" t="s">
        <v>5220</v>
      </c>
      <c r="C15" s="113" t="s">
        <v>5188</v>
      </c>
      <c r="D15" s="113" t="s">
        <v>5198</v>
      </c>
      <c r="E15" s="114">
        <v>0.9</v>
      </c>
      <c r="F15" s="114">
        <v>0.7</v>
      </c>
      <c r="G15" s="114">
        <v>0.7</v>
      </c>
      <c r="H15" s="114">
        <v>0</v>
      </c>
      <c r="I15" s="114">
        <v>0.09</v>
      </c>
      <c r="J15" s="114">
        <v>800</v>
      </c>
      <c r="K15" s="113" t="s">
        <v>5198</v>
      </c>
      <c r="L15" s="113" t="s">
        <v>5198</v>
      </c>
      <c r="M15" s="114">
        <v>1090</v>
      </c>
    </row>
    <row r="16" spans="1:26" ht="17.25" customHeight="1">
      <c r="A16" s="113" t="s">
        <v>5221</v>
      </c>
      <c r="B16" s="113" t="s">
        <v>5221</v>
      </c>
      <c r="C16" s="113" t="s">
        <v>5217</v>
      </c>
      <c r="D16" s="113" t="s">
        <v>5194</v>
      </c>
      <c r="E16" s="114">
        <v>0.9</v>
      </c>
      <c r="F16" s="114">
        <v>0.5</v>
      </c>
      <c r="G16" s="114">
        <v>0.6</v>
      </c>
      <c r="H16" s="114">
        <v>2E-3</v>
      </c>
      <c r="I16" s="114">
        <v>0.17</v>
      </c>
      <c r="J16" s="114">
        <v>500</v>
      </c>
      <c r="K16" s="113" t="s">
        <v>5194</v>
      </c>
      <c r="L16" s="113"/>
      <c r="M16" s="114">
        <v>2000</v>
      </c>
    </row>
    <row r="17" spans="1:13" ht="17.25" customHeight="1">
      <c r="A17" s="113" t="s">
        <v>5222</v>
      </c>
      <c r="B17" s="113" t="s">
        <v>5222</v>
      </c>
      <c r="C17" s="113" t="s">
        <v>5217</v>
      </c>
      <c r="D17" s="113" t="s">
        <v>5194</v>
      </c>
      <c r="E17" s="114">
        <v>0.9</v>
      </c>
      <c r="F17" s="114">
        <v>0.5</v>
      </c>
      <c r="G17" s="114">
        <v>0.6</v>
      </c>
      <c r="H17" s="114">
        <v>2E-3</v>
      </c>
      <c r="I17" s="114">
        <v>0.17</v>
      </c>
      <c r="J17" s="114">
        <v>500</v>
      </c>
      <c r="K17" s="113" t="s">
        <v>5194</v>
      </c>
      <c r="L17" s="113"/>
      <c r="M17" s="114">
        <v>2000</v>
      </c>
    </row>
    <row r="18" spans="1:13" ht="17.25" customHeight="1">
      <c r="A18" s="113" t="s">
        <v>5223</v>
      </c>
      <c r="B18" s="113" t="s">
        <v>5223</v>
      </c>
      <c r="C18" s="113" t="s">
        <v>5188</v>
      </c>
      <c r="D18" s="113" t="s">
        <v>5194</v>
      </c>
      <c r="E18" s="114">
        <v>0.1</v>
      </c>
      <c r="F18" s="114">
        <v>0.1</v>
      </c>
      <c r="G18" s="114">
        <v>0.1</v>
      </c>
      <c r="H18" s="114">
        <v>5.0000000000000002E-5</v>
      </c>
      <c r="I18" s="114">
        <v>0.33</v>
      </c>
      <c r="J18" s="114">
        <v>950</v>
      </c>
      <c r="K18" s="113" t="s">
        <v>5194</v>
      </c>
      <c r="L18" s="113"/>
      <c r="M18" s="114">
        <v>1550</v>
      </c>
    </row>
    <row r="19" spans="1:13" ht="17.25" customHeight="1">
      <c r="A19" s="113" t="s">
        <v>5224</v>
      </c>
      <c r="B19" s="113" t="s">
        <v>5224</v>
      </c>
      <c r="C19" s="113" t="s">
        <v>5188</v>
      </c>
      <c r="D19" s="113" t="s">
        <v>5194</v>
      </c>
      <c r="E19" s="114">
        <v>0.9</v>
      </c>
      <c r="F19" s="114">
        <v>0.7</v>
      </c>
      <c r="G19" s="114">
        <v>0.7</v>
      </c>
      <c r="H19" s="114">
        <v>0</v>
      </c>
      <c r="I19" s="114">
        <v>0.16</v>
      </c>
      <c r="J19" s="114">
        <v>800</v>
      </c>
      <c r="K19" s="113" t="s">
        <v>5194</v>
      </c>
      <c r="L19" s="113"/>
      <c r="M19" s="114">
        <v>891</v>
      </c>
    </row>
    <row r="20" spans="1:13" ht="17.25" customHeight="1">
      <c r="A20" s="113" t="s">
        <v>5225</v>
      </c>
      <c r="B20" s="113" t="s">
        <v>5225</v>
      </c>
      <c r="C20" s="113" t="s">
        <v>5188</v>
      </c>
      <c r="D20" s="113" t="s">
        <v>5194</v>
      </c>
      <c r="E20" s="114">
        <v>0.5</v>
      </c>
      <c r="F20" s="114">
        <v>0.5</v>
      </c>
      <c r="G20" s="114">
        <v>0.5</v>
      </c>
      <c r="H20" s="114">
        <v>1E-4</v>
      </c>
      <c r="I20" s="114">
        <v>0.19</v>
      </c>
      <c r="J20" s="114">
        <v>960</v>
      </c>
      <c r="K20" s="113" t="s">
        <v>5194</v>
      </c>
      <c r="L20" s="113"/>
      <c r="M20" s="114">
        <v>837</v>
      </c>
    </row>
    <row r="21" spans="1:13" ht="17.25" customHeight="1">
      <c r="A21" s="113" t="s">
        <v>5226</v>
      </c>
      <c r="B21" s="113" t="s">
        <v>5226</v>
      </c>
      <c r="C21" s="113" t="s">
        <v>5188</v>
      </c>
      <c r="D21" s="113" t="s">
        <v>5194</v>
      </c>
      <c r="E21" s="114">
        <v>0.5</v>
      </c>
      <c r="F21" s="114">
        <v>0.5</v>
      </c>
      <c r="G21" s="114">
        <v>0.5</v>
      </c>
      <c r="H21" s="114">
        <v>1E-4</v>
      </c>
      <c r="I21" s="114">
        <v>0.16</v>
      </c>
      <c r="J21" s="114">
        <v>800</v>
      </c>
      <c r="K21" s="113" t="s">
        <v>5194</v>
      </c>
      <c r="L21" s="113"/>
      <c r="M21" s="114">
        <v>837</v>
      </c>
    </row>
    <row r="22" spans="1:13" ht="17.25" customHeight="1">
      <c r="A22" s="113" t="s">
        <v>5227</v>
      </c>
      <c r="B22" s="113" t="s">
        <v>5227</v>
      </c>
      <c r="C22" s="113" t="s">
        <v>5188</v>
      </c>
      <c r="D22" s="113" t="s">
        <v>5194</v>
      </c>
      <c r="E22" s="114">
        <v>0.9</v>
      </c>
      <c r="F22" s="114">
        <v>0.9</v>
      </c>
      <c r="G22" s="114">
        <v>0.9</v>
      </c>
      <c r="H22" s="114">
        <v>8.0000000000000004E-4</v>
      </c>
      <c r="I22" s="114">
        <v>0.2</v>
      </c>
      <c r="J22" s="114">
        <v>1100</v>
      </c>
      <c r="K22" s="113" t="s">
        <v>5194</v>
      </c>
      <c r="L22" s="113"/>
      <c r="M22" s="114">
        <v>2000</v>
      </c>
    </row>
    <row r="23" spans="1:13" ht="17.25" customHeight="1">
      <c r="A23" s="113" t="s">
        <v>5228</v>
      </c>
      <c r="B23" s="113" t="s">
        <v>5228</v>
      </c>
      <c r="C23" s="113" t="s">
        <v>5188</v>
      </c>
      <c r="D23" s="113" t="s">
        <v>5194</v>
      </c>
      <c r="E23" s="114">
        <v>0.1</v>
      </c>
      <c r="F23" s="114">
        <v>0.1</v>
      </c>
      <c r="G23" s="114">
        <v>0.1</v>
      </c>
      <c r="H23" s="114">
        <v>5.0000000000000002E-5</v>
      </c>
      <c r="I23" s="114">
        <v>0.33</v>
      </c>
      <c r="J23" s="114">
        <v>950</v>
      </c>
      <c r="K23" s="113" t="s">
        <v>5194</v>
      </c>
      <c r="L23" s="114">
        <v>5.0000000000000001E-4</v>
      </c>
      <c r="M23" s="114">
        <v>2000</v>
      </c>
    </row>
    <row r="24" spans="1:13" ht="17.25" customHeight="1">
      <c r="A24" s="113" t="s">
        <v>5229</v>
      </c>
      <c r="B24" s="113" t="s">
        <v>5229</v>
      </c>
      <c r="C24" s="113" t="s">
        <v>5188</v>
      </c>
      <c r="D24" s="113" t="s">
        <v>5194</v>
      </c>
      <c r="E24" s="114">
        <v>0.8</v>
      </c>
      <c r="F24" s="114">
        <v>0.8</v>
      </c>
      <c r="G24" s="114">
        <v>0.8</v>
      </c>
      <c r="H24" s="114">
        <v>5.0000000000000001E-4</v>
      </c>
      <c r="I24" s="114">
        <v>0.25</v>
      </c>
      <c r="J24" s="114">
        <v>900</v>
      </c>
      <c r="K24" s="113" t="s">
        <v>5194</v>
      </c>
      <c r="L24" s="113"/>
      <c r="M24" s="114">
        <v>2000</v>
      </c>
    </row>
    <row r="25" spans="1:13" ht="17.25" customHeight="1">
      <c r="A25" s="113" t="s">
        <v>5230</v>
      </c>
      <c r="B25" s="113" t="s">
        <v>5230</v>
      </c>
      <c r="C25" s="113" t="s">
        <v>5188</v>
      </c>
      <c r="D25" s="113" t="s">
        <v>5194</v>
      </c>
      <c r="E25" s="114">
        <v>0.9</v>
      </c>
      <c r="F25" s="114">
        <v>0.5</v>
      </c>
      <c r="G25" s="114">
        <v>0.55000000000000004</v>
      </c>
      <c r="H25" s="114">
        <v>1E-3</v>
      </c>
      <c r="I25" s="114">
        <v>0.14000000000000001</v>
      </c>
      <c r="J25" s="114">
        <v>540</v>
      </c>
      <c r="K25" s="113" t="s">
        <v>5194</v>
      </c>
      <c r="L25" s="113"/>
      <c r="M25" s="114">
        <v>1030</v>
      </c>
    </row>
    <row r="26" spans="1:13" ht="17.25" customHeight="1">
      <c r="A26" s="113" t="s">
        <v>5231</v>
      </c>
      <c r="B26" s="113" t="s">
        <v>5231</v>
      </c>
      <c r="C26" s="113" t="s">
        <v>5188</v>
      </c>
      <c r="D26" s="113" t="s">
        <v>5189</v>
      </c>
      <c r="E26" s="114">
        <v>0.9</v>
      </c>
      <c r="F26" s="114">
        <v>0.5</v>
      </c>
      <c r="G26" s="114">
        <v>0.6</v>
      </c>
      <c r="H26" s="114">
        <v>2E-3</v>
      </c>
      <c r="I26" s="114">
        <v>2.5000000000000001E-2</v>
      </c>
      <c r="J26" s="114">
        <v>35</v>
      </c>
      <c r="K26" s="113" t="s">
        <v>5189</v>
      </c>
      <c r="L26" s="113"/>
      <c r="M26" s="114">
        <v>1090</v>
      </c>
    </row>
    <row r="27" spans="1:13" ht="17.25" customHeight="1">
      <c r="A27" s="113" t="s">
        <v>5174</v>
      </c>
      <c r="B27" s="113" t="s">
        <v>5174</v>
      </c>
      <c r="C27" s="113" t="s">
        <v>5188</v>
      </c>
      <c r="D27" s="113" t="s">
        <v>5202</v>
      </c>
      <c r="E27" s="114">
        <v>0.9</v>
      </c>
      <c r="F27" s="114">
        <v>0.7</v>
      </c>
      <c r="G27" s="114">
        <v>0.7</v>
      </c>
      <c r="H27" s="114">
        <v>0</v>
      </c>
      <c r="I27" s="114">
        <v>0.72</v>
      </c>
      <c r="J27" s="114">
        <v>1856</v>
      </c>
      <c r="K27" s="113" t="s">
        <v>5202</v>
      </c>
      <c r="L27" s="113" t="s">
        <v>5202</v>
      </c>
      <c r="M27" s="114">
        <v>840</v>
      </c>
    </row>
    <row r="28" spans="1:13" ht="17.25" customHeight="1">
      <c r="A28" s="113" t="s">
        <v>5232</v>
      </c>
      <c r="B28" s="113" t="s">
        <v>5232</v>
      </c>
      <c r="C28" s="113" t="s">
        <v>5188</v>
      </c>
      <c r="D28" s="113" t="s">
        <v>5202</v>
      </c>
      <c r="E28" s="114">
        <v>0.9</v>
      </c>
      <c r="F28" s="114">
        <v>0.4</v>
      </c>
      <c r="G28" s="114">
        <v>0.5</v>
      </c>
      <c r="H28" s="114">
        <v>1E-3</v>
      </c>
      <c r="I28" s="114">
        <v>0.16</v>
      </c>
      <c r="J28" s="114">
        <v>540</v>
      </c>
      <c r="K28" s="113" t="s">
        <v>5202</v>
      </c>
      <c r="L28" s="113"/>
      <c r="M28" s="114">
        <v>1400</v>
      </c>
    </row>
    <row r="29" spans="1:13" ht="17.25" customHeight="1">
      <c r="A29" s="113" t="s">
        <v>5233</v>
      </c>
      <c r="B29" s="113" t="s">
        <v>5233</v>
      </c>
      <c r="C29" s="113" t="s">
        <v>5188</v>
      </c>
      <c r="D29" s="113" t="s">
        <v>5189</v>
      </c>
      <c r="E29" s="114">
        <v>0.9</v>
      </c>
      <c r="F29" s="114">
        <v>0.5</v>
      </c>
      <c r="G29" s="114">
        <v>0.6</v>
      </c>
      <c r="H29" s="114">
        <v>1E-3</v>
      </c>
      <c r="I29" s="114">
        <v>0.3</v>
      </c>
      <c r="J29" s="114">
        <v>1300</v>
      </c>
      <c r="K29" s="113" t="s">
        <v>5189</v>
      </c>
      <c r="L29" s="113"/>
      <c r="M29" s="114">
        <v>840</v>
      </c>
    </row>
    <row r="30" spans="1:13" ht="17.25" customHeight="1">
      <c r="A30" s="113" t="s">
        <v>5188</v>
      </c>
      <c r="B30" s="113" t="s">
        <v>5188</v>
      </c>
      <c r="C30" s="113" t="s">
        <v>5188</v>
      </c>
      <c r="D30" s="113" t="s">
        <v>5194</v>
      </c>
      <c r="E30" s="114">
        <v>0.9</v>
      </c>
      <c r="F30" s="114">
        <v>0.7</v>
      </c>
      <c r="G30" s="114">
        <v>0.7</v>
      </c>
      <c r="H30" s="114">
        <v>0</v>
      </c>
      <c r="I30" s="114">
        <v>2</v>
      </c>
      <c r="J30" s="114">
        <v>2400</v>
      </c>
      <c r="K30" s="113" t="s">
        <v>5194</v>
      </c>
      <c r="L30" s="113" t="s">
        <v>5194</v>
      </c>
      <c r="M30" s="114">
        <v>950</v>
      </c>
    </row>
    <row r="31" spans="1:13" ht="17.25" customHeight="1">
      <c r="A31" s="113" t="s">
        <v>5234</v>
      </c>
      <c r="B31" s="113" t="s">
        <v>5234</v>
      </c>
      <c r="C31" s="113" t="s">
        <v>5188</v>
      </c>
      <c r="D31" s="113" t="s">
        <v>5194</v>
      </c>
      <c r="E31" s="114">
        <v>0.9</v>
      </c>
      <c r="F31" s="114">
        <v>0.7</v>
      </c>
      <c r="G31" s="114">
        <v>0.7</v>
      </c>
      <c r="H31" s="114">
        <v>0</v>
      </c>
      <c r="I31" s="114">
        <v>5.6000000000000001E-2</v>
      </c>
      <c r="J31" s="114">
        <v>130</v>
      </c>
      <c r="K31" s="113" t="s">
        <v>5194</v>
      </c>
      <c r="L31" s="113" t="s">
        <v>5194</v>
      </c>
      <c r="M31" s="114">
        <v>750</v>
      </c>
    </row>
    <row r="32" spans="1:13" ht="17.25" customHeight="1">
      <c r="A32" s="113" t="s">
        <v>5235</v>
      </c>
      <c r="B32" s="113" t="s">
        <v>5235</v>
      </c>
      <c r="C32" s="113" t="s">
        <v>5188</v>
      </c>
      <c r="D32" s="113" t="s">
        <v>5189</v>
      </c>
      <c r="E32" s="114">
        <v>0.9</v>
      </c>
      <c r="F32" s="114">
        <v>0.5</v>
      </c>
      <c r="G32" s="114">
        <v>0.6</v>
      </c>
      <c r="H32" s="114">
        <v>2E-3</v>
      </c>
      <c r="I32" s="114">
        <v>0.12</v>
      </c>
      <c r="J32" s="114">
        <v>500</v>
      </c>
      <c r="K32" s="113" t="s">
        <v>5189</v>
      </c>
      <c r="L32" s="113"/>
      <c r="M32" s="114">
        <v>1600</v>
      </c>
    </row>
    <row r="33" spans="1:13" ht="17.25" customHeight="1">
      <c r="A33" s="113" t="s">
        <v>5236</v>
      </c>
      <c r="B33" s="113" t="s">
        <v>5236</v>
      </c>
      <c r="C33" s="113" t="s">
        <v>5188</v>
      </c>
      <c r="D33" s="113" t="s">
        <v>5194</v>
      </c>
      <c r="E33" s="114">
        <v>0.9</v>
      </c>
      <c r="F33" s="114">
        <v>0.7</v>
      </c>
      <c r="G33" s="114">
        <v>0.7</v>
      </c>
      <c r="H33" s="114">
        <v>0</v>
      </c>
      <c r="I33" s="114">
        <v>1</v>
      </c>
      <c r="J33" s="114">
        <v>2000</v>
      </c>
      <c r="K33" s="113" t="s">
        <v>5194</v>
      </c>
      <c r="L33" s="113" t="s">
        <v>5194</v>
      </c>
      <c r="M33" s="114">
        <v>1130</v>
      </c>
    </row>
    <row r="34" spans="1:13" ht="17.25" customHeight="1">
      <c r="A34" s="113" t="s">
        <v>5237</v>
      </c>
      <c r="B34" s="113" t="s">
        <v>5237</v>
      </c>
      <c r="C34" s="113" t="s">
        <v>5188</v>
      </c>
      <c r="D34" s="113" t="s">
        <v>5202</v>
      </c>
      <c r="E34" s="114">
        <v>0.9</v>
      </c>
      <c r="F34" s="114">
        <v>0.7</v>
      </c>
      <c r="G34" s="114">
        <v>0.7</v>
      </c>
      <c r="H34" s="114">
        <v>0</v>
      </c>
      <c r="I34" s="114">
        <v>5.5E-2</v>
      </c>
      <c r="J34" s="114">
        <v>290</v>
      </c>
      <c r="K34" s="113" t="s">
        <v>5202</v>
      </c>
      <c r="L34" s="113" t="s">
        <v>5202</v>
      </c>
      <c r="M34" s="114">
        <v>1300</v>
      </c>
    </row>
    <row r="35" spans="1:13" ht="17.25" customHeight="1">
      <c r="A35" s="113" t="s">
        <v>5238</v>
      </c>
      <c r="B35" s="113" t="s">
        <v>5238</v>
      </c>
      <c r="C35" s="113" t="s">
        <v>5188</v>
      </c>
      <c r="D35" s="113" t="s">
        <v>5202</v>
      </c>
      <c r="E35" s="114">
        <v>0.9</v>
      </c>
      <c r="F35" s="114">
        <v>0.7</v>
      </c>
      <c r="G35" s="114">
        <v>0.7</v>
      </c>
      <c r="H35" s="114">
        <v>0</v>
      </c>
      <c r="I35" s="114">
        <v>5.7000000000000002E-2</v>
      </c>
      <c r="J35" s="114">
        <v>350</v>
      </c>
      <c r="K35" s="113" t="s">
        <v>5202</v>
      </c>
      <c r="L35" s="113" t="s">
        <v>5202</v>
      </c>
      <c r="M35" s="114">
        <v>1300</v>
      </c>
    </row>
    <row r="36" spans="1:13" ht="17.25" customHeight="1">
      <c r="A36" s="113" t="s">
        <v>5239</v>
      </c>
      <c r="B36" s="113" t="s">
        <v>5239</v>
      </c>
      <c r="C36" s="113" t="s">
        <v>5188</v>
      </c>
      <c r="D36" s="113" t="s">
        <v>5194</v>
      </c>
      <c r="E36" s="114">
        <v>0.9</v>
      </c>
      <c r="F36" s="114">
        <v>0.7</v>
      </c>
      <c r="G36" s="114">
        <v>0.7</v>
      </c>
      <c r="H36" s="114">
        <v>0</v>
      </c>
      <c r="I36" s="114">
        <v>4.1000000000000002E-2</v>
      </c>
      <c r="J36" s="114">
        <v>155</v>
      </c>
      <c r="K36" s="113" t="s">
        <v>5194</v>
      </c>
      <c r="L36" s="113" t="s">
        <v>5194</v>
      </c>
      <c r="M36" s="114">
        <v>1130</v>
      </c>
    </row>
    <row r="37" spans="1:13" ht="17.25" customHeight="1">
      <c r="A37" s="113" t="s">
        <v>5240</v>
      </c>
      <c r="B37" s="113" t="s">
        <v>5240</v>
      </c>
      <c r="C37" s="113" t="s">
        <v>5188</v>
      </c>
      <c r="D37" s="113" t="s">
        <v>5189</v>
      </c>
      <c r="E37" s="114">
        <v>0.9</v>
      </c>
      <c r="F37" s="114">
        <v>0.7</v>
      </c>
      <c r="G37" s="114">
        <v>0.7</v>
      </c>
      <c r="H37" s="114">
        <v>0</v>
      </c>
      <c r="I37" s="114">
        <v>0.06</v>
      </c>
      <c r="J37" s="114">
        <v>288</v>
      </c>
      <c r="K37" s="113" t="s">
        <v>5189</v>
      </c>
      <c r="L37" s="113" t="s">
        <v>5189</v>
      </c>
      <c r="M37" s="114">
        <v>1380</v>
      </c>
    </row>
    <row r="38" spans="1:13" ht="17.25" customHeight="1">
      <c r="A38" s="113" t="s">
        <v>5241</v>
      </c>
      <c r="B38" s="113" t="s">
        <v>5241</v>
      </c>
      <c r="C38" s="113" t="s">
        <v>5188</v>
      </c>
      <c r="D38" s="113" t="s">
        <v>5194</v>
      </c>
      <c r="E38" s="114">
        <v>0.9</v>
      </c>
      <c r="F38" s="114">
        <v>0.7</v>
      </c>
      <c r="G38" s="114">
        <v>0.7</v>
      </c>
      <c r="H38" s="114">
        <v>0</v>
      </c>
      <c r="I38" s="114">
        <v>3.4000000000000002E-2</v>
      </c>
      <c r="J38" s="114">
        <v>35</v>
      </c>
      <c r="K38" s="113" t="s">
        <v>5194</v>
      </c>
      <c r="L38" s="113" t="s">
        <v>5194</v>
      </c>
      <c r="M38" s="114">
        <v>1400</v>
      </c>
    </row>
    <row r="39" spans="1:13" ht="17.25" customHeight="1">
      <c r="A39" s="113" t="s">
        <v>5242</v>
      </c>
      <c r="B39" s="113" t="s">
        <v>5242</v>
      </c>
      <c r="C39" s="113" t="s">
        <v>5188</v>
      </c>
      <c r="D39" s="113" t="s">
        <v>5194</v>
      </c>
      <c r="E39" s="114">
        <v>0.9</v>
      </c>
      <c r="F39" s="114">
        <v>0.7</v>
      </c>
      <c r="G39" s="114">
        <v>0.7</v>
      </c>
      <c r="H39" s="114">
        <v>0</v>
      </c>
      <c r="I39" s="114">
        <v>0.12987013</v>
      </c>
      <c r="J39" s="114">
        <v>0.5</v>
      </c>
      <c r="K39" s="113" t="s">
        <v>5194</v>
      </c>
      <c r="L39" s="113" t="s">
        <v>5194</v>
      </c>
      <c r="M39" s="114">
        <v>1800</v>
      </c>
    </row>
    <row r="40" spans="1:13" ht="17.25" customHeight="1">
      <c r="A40" s="113" t="s">
        <v>5243</v>
      </c>
      <c r="B40" s="113" t="s">
        <v>5243</v>
      </c>
      <c r="C40" s="113" t="s">
        <v>5188</v>
      </c>
      <c r="D40" s="113" t="s">
        <v>5194</v>
      </c>
      <c r="E40" s="114">
        <v>0.9</v>
      </c>
      <c r="F40" s="114">
        <v>0.7</v>
      </c>
      <c r="G40" s="114">
        <v>0.7</v>
      </c>
      <c r="H40" s="114">
        <v>0</v>
      </c>
      <c r="I40" s="114">
        <v>0.13</v>
      </c>
      <c r="J40" s="114">
        <v>520</v>
      </c>
      <c r="K40" s="113" t="s">
        <v>5194</v>
      </c>
      <c r="L40" s="113" t="s">
        <v>5194</v>
      </c>
      <c r="M40" s="114">
        <v>1600</v>
      </c>
    </row>
    <row r="41" spans="1:13" ht="17.25" customHeight="1">
      <c r="A41" s="113" t="s">
        <v>5244</v>
      </c>
      <c r="B41" s="113" t="s">
        <v>5244</v>
      </c>
      <c r="C41" s="113" t="s">
        <v>5188</v>
      </c>
      <c r="D41" s="113" t="s">
        <v>5194</v>
      </c>
      <c r="E41" s="114">
        <v>0.9</v>
      </c>
      <c r="F41" s="114">
        <v>0.7</v>
      </c>
      <c r="G41" s="114">
        <v>0.7</v>
      </c>
      <c r="H41" s="114">
        <v>0</v>
      </c>
      <c r="I41" s="114">
        <v>0.12</v>
      </c>
      <c r="J41" s="114">
        <v>530</v>
      </c>
      <c r="K41" s="113" t="s">
        <v>5194</v>
      </c>
      <c r="L41" s="113" t="s">
        <v>5194</v>
      </c>
      <c r="M41" s="114">
        <v>1600</v>
      </c>
    </row>
    <row r="42" spans="1:13" ht="17.25" customHeight="1">
      <c r="A42" s="113" t="s">
        <v>5245</v>
      </c>
      <c r="B42" s="113" t="s">
        <v>5245</v>
      </c>
      <c r="C42" s="113" t="s">
        <v>5188</v>
      </c>
      <c r="D42" s="113" t="s">
        <v>5194</v>
      </c>
      <c r="E42" s="114">
        <v>0.9</v>
      </c>
      <c r="F42" s="114">
        <v>0.7</v>
      </c>
      <c r="G42" s="114">
        <v>0.7</v>
      </c>
      <c r="H42" s="114">
        <v>0</v>
      </c>
      <c r="I42" s="114">
        <v>0.18</v>
      </c>
      <c r="J42" s="114">
        <v>690</v>
      </c>
      <c r="K42" s="113" t="s">
        <v>5194</v>
      </c>
      <c r="L42" s="113" t="s">
        <v>5194</v>
      </c>
      <c r="M42" s="114">
        <v>2400</v>
      </c>
    </row>
    <row r="43" spans="1:13" ht="17.25" customHeight="1">
      <c r="A43" s="113" t="s">
        <v>5246</v>
      </c>
      <c r="B43" s="113" t="s">
        <v>5246</v>
      </c>
      <c r="C43" s="113" t="s">
        <v>5188</v>
      </c>
      <c r="D43" s="113" t="s">
        <v>5194</v>
      </c>
      <c r="E43" s="114">
        <v>0.9</v>
      </c>
      <c r="F43" s="114">
        <v>0.7</v>
      </c>
      <c r="G43" s="114">
        <v>0.7</v>
      </c>
      <c r="H43" s="114">
        <v>0</v>
      </c>
      <c r="I43" s="114">
        <v>0.13</v>
      </c>
      <c r="J43" s="114">
        <v>450</v>
      </c>
      <c r="K43" s="113" t="s">
        <v>5194</v>
      </c>
      <c r="L43" s="113" t="s">
        <v>5194</v>
      </c>
      <c r="M43" s="114">
        <v>1600</v>
      </c>
    </row>
    <row r="44" spans="1:13" ht="17.25" customHeight="1">
      <c r="A44" s="113" t="s">
        <v>5247</v>
      </c>
      <c r="B44" s="113" t="s">
        <v>5247</v>
      </c>
      <c r="C44" s="113" t="s">
        <v>5188</v>
      </c>
      <c r="D44" s="113" t="s">
        <v>5194</v>
      </c>
      <c r="E44" s="114">
        <v>0.9</v>
      </c>
      <c r="F44" s="114">
        <v>0.7</v>
      </c>
      <c r="G44" s="114">
        <v>0.7</v>
      </c>
      <c r="H44" s="114">
        <v>0</v>
      </c>
      <c r="I44" s="114">
        <v>0.13</v>
      </c>
      <c r="J44" s="114">
        <v>460</v>
      </c>
      <c r="K44" s="113" t="s">
        <v>5194</v>
      </c>
      <c r="L44" s="113" t="s">
        <v>5194</v>
      </c>
      <c r="M44" s="114">
        <v>1600</v>
      </c>
    </row>
    <row r="45" spans="1:13" ht="17.25" customHeight="1">
      <c r="A45" s="113" t="s">
        <v>5172</v>
      </c>
      <c r="B45" s="113" t="s">
        <v>5172</v>
      </c>
      <c r="C45" s="113" t="s">
        <v>5188</v>
      </c>
      <c r="D45" s="113" t="s">
        <v>5194</v>
      </c>
      <c r="E45" s="114">
        <v>0.9</v>
      </c>
      <c r="F45" s="114">
        <v>0.7</v>
      </c>
      <c r="G45" s="114">
        <v>0.7</v>
      </c>
      <c r="H45" s="114">
        <v>0</v>
      </c>
      <c r="I45" s="114">
        <v>0.13</v>
      </c>
      <c r="J45" s="114">
        <v>650</v>
      </c>
      <c r="K45" s="113" t="s">
        <v>5194</v>
      </c>
      <c r="L45" s="113" t="s">
        <v>5194</v>
      </c>
      <c r="M45" s="114">
        <v>1700</v>
      </c>
    </row>
    <row r="46" spans="1:13" ht="17.25" customHeight="1">
      <c r="A46" s="113" t="s">
        <v>5248</v>
      </c>
      <c r="B46" s="113" t="s">
        <v>5248</v>
      </c>
      <c r="C46" s="113" t="s">
        <v>5188</v>
      </c>
      <c r="D46" s="113" t="s">
        <v>5194</v>
      </c>
      <c r="E46" s="114">
        <v>0.9</v>
      </c>
      <c r="F46" s="114">
        <v>0.7</v>
      </c>
      <c r="G46" s="114">
        <v>0.7</v>
      </c>
      <c r="H46" s="114">
        <v>0</v>
      </c>
      <c r="I46" s="114">
        <v>0.09</v>
      </c>
      <c r="J46" s="114">
        <v>500</v>
      </c>
      <c r="K46" s="113" t="s">
        <v>5194</v>
      </c>
      <c r="L46" s="113" t="s">
        <v>5194</v>
      </c>
      <c r="M46" s="114">
        <v>1700</v>
      </c>
    </row>
    <row r="47" spans="1:13" ht="17.25" customHeight="1">
      <c r="A47" s="113" t="s">
        <v>5249</v>
      </c>
      <c r="B47" s="113" t="s">
        <v>5249</v>
      </c>
      <c r="C47" s="113" t="s">
        <v>5188</v>
      </c>
      <c r="D47" s="113" t="s">
        <v>5194</v>
      </c>
      <c r="E47" s="114">
        <v>0.9</v>
      </c>
      <c r="F47" s="114">
        <v>0.7</v>
      </c>
      <c r="G47" s="114">
        <v>0.7</v>
      </c>
      <c r="H47" s="114">
        <v>0</v>
      </c>
      <c r="I47" s="114">
        <v>0.14000000000000001</v>
      </c>
      <c r="J47" s="114">
        <v>650</v>
      </c>
      <c r="K47" s="113" t="s">
        <v>5194</v>
      </c>
      <c r="L47" s="113" t="s">
        <v>5194</v>
      </c>
      <c r="M47" s="114">
        <v>1800</v>
      </c>
    </row>
    <row r="48" spans="1:13" ht="17.25" customHeight="1">
      <c r="A48" s="113" t="s">
        <v>5188</v>
      </c>
      <c r="B48" s="113" t="s">
        <v>5188</v>
      </c>
      <c r="C48" s="113" t="s">
        <v>5188</v>
      </c>
      <c r="D48" s="113" t="s">
        <v>5194</v>
      </c>
      <c r="E48" s="114">
        <v>0.9</v>
      </c>
      <c r="F48" s="114">
        <v>0.7</v>
      </c>
      <c r="G48" s="114">
        <v>0.7</v>
      </c>
      <c r="H48" s="114">
        <v>0</v>
      </c>
      <c r="I48" s="114">
        <v>2</v>
      </c>
      <c r="J48" s="114">
        <v>2400</v>
      </c>
      <c r="K48" s="113" t="s">
        <v>5194</v>
      </c>
      <c r="L48" s="113" t="s">
        <v>5194</v>
      </c>
      <c r="M48" s="114">
        <v>950</v>
      </c>
    </row>
    <row r="49" spans="1:13" ht="17.25" customHeight="1">
      <c r="A49" s="113" t="s">
        <v>5250</v>
      </c>
      <c r="B49" s="113" t="s">
        <v>5250</v>
      </c>
      <c r="C49" s="113" t="s">
        <v>5188</v>
      </c>
      <c r="D49" s="113" t="s">
        <v>5194</v>
      </c>
      <c r="E49" s="114">
        <v>0.9</v>
      </c>
      <c r="F49" s="114">
        <v>0.7</v>
      </c>
      <c r="G49" s="114">
        <v>0.7</v>
      </c>
      <c r="H49" s="114">
        <v>0</v>
      </c>
      <c r="I49" s="114">
        <v>2</v>
      </c>
      <c r="J49" s="114">
        <v>2400</v>
      </c>
      <c r="K49" s="113" t="s">
        <v>5194</v>
      </c>
      <c r="L49" s="113" t="s">
        <v>5194</v>
      </c>
      <c r="M49" s="114">
        <v>950</v>
      </c>
    </row>
    <row r="50" spans="1:13" ht="17.25" customHeight="1">
      <c r="A50" s="113" t="s">
        <v>5251</v>
      </c>
      <c r="B50" s="113" t="s">
        <v>5251</v>
      </c>
      <c r="C50" s="113" t="s">
        <v>5188</v>
      </c>
      <c r="D50" s="113" t="s">
        <v>5194</v>
      </c>
      <c r="E50" s="114">
        <v>0.9</v>
      </c>
      <c r="F50" s="114">
        <v>0.7</v>
      </c>
      <c r="G50" s="114">
        <v>0.7</v>
      </c>
      <c r="H50" s="114">
        <v>0</v>
      </c>
      <c r="I50" s="114">
        <v>2</v>
      </c>
      <c r="J50" s="114">
        <v>2400</v>
      </c>
      <c r="K50" s="113" t="s">
        <v>5194</v>
      </c>
      <c r="L50" s="113" t="s">
        <v>5194</v>
      </c>
      <c r="M50" s="114">
        <v>950</v>
      </c>
    </row>
    <row r="51" spans="1:13" ht="17.25" customHeight="1">
      <c r="A51" s="113" t="s">
        <v>5252</v>
      </c>
      <c r="B51" s="113" t="s">
        <v>5252</v>
      </c>
      <c r="C51" s="113" t="s">
        <v>5188</v>
      </c>
      <c r="D51" s="113" t="s">
        <v>5194</v>
      </c>
      <c r="E51" s="114">
        <v>0.9</v>
      </c>
      <c r="F51" s="114">
        <v>0.7</v>
      </c>
      <c r="G51" s="114">
        <v>0.7</v>
      </c>
      <c r="H51" s="114">
        <v>0</v>
      </c>
      <c r="I51" s="114">
        <v>2</v>
      </c>
      <c r="J51" s="114">
        <v>2400</v>
      </c>
      <c r="K51" s="113" t="s">
        <v>5194</v>
      </c>
      <c r="L51" s="113" t="s">
        <v>5194</v>
      </c>
      <c r="M51" s="114">
        <v>950</v>
      </c>
    </row>
    <row r="52" spans="1:13" ht="17.25" customHeight="1">
      <c r="A52" s="113" t="s">
        <v>5253</v>
      </c>
      <c r="B52" s="113" t="s">
        <v>5253</v>
      </c>
      <c r="C52" s="113" t="s">
        <v>5188</v>
      </c>
      <c r="D52" s="113" t="s">
        <v>5194</v>
      </c>
      <c r="E52" s="114">
        <v>0.9</v>
      </c>
      <c r="F52" s="114">
        <v>0.7</v>
      </c>
      <c r="G52" s="114">
        <v>0.7</v>
      </c>
      <c r="H52" s="114">
        <v>0</v>
      </c>
      <c r="I52" s="114">
        <v>0.75</v>
      </c>
      <c r="J52" s="114">
        <v>2350</v>
      </c>
      <c r="K52" s="113" t="s">
        <v>5194</v>
      </c>
      <c r="L52" s="113" t="s">
        <v>5194</v>
      </c>
      <c r="M52" s="114">
        <v>920</v>
      </c>
    </row>
    <row r="53" spans="1:13" ht="17.25" customHeight="1">
      <c r="A53" s="113" t="s">
        <v>5254</v>
      </c>
      <c r="B53" s="113" t="s">
        <v>5254</v>
      </c>
      <c r="C53" s="113" t="s">
        <v>5188</v>
      </c>
      <c r="D53" s="113" t="s">
        <v>5194</v>
      </c>
      <c r="E53" s="114">
        <v>0.9</v>
      </c>
      <c r="F53" s="114">
        <v>0.7</v>
      </c>
      <c r="G53" s="114">
        <v>0.7</v>
      </c>
      <c r="H53" s="114">
        <v>0</v>
      </c>
      <c r="I53" s="114">
        <v>0.75</v>
      </c>
      <c r="J53" s="114">
        <v>2350</v>
      </c>
      <c r="K53" s="113" t="s">
        <v>5194</v>
      </c>
      <c r="L53" s="113" t="s">
        <v>5194</v>
      </c>
      <c r="M53" s="114">
        <v>920</v>
      </c>
    </row>
    <row r="54" spans="1:13" ht="17.25" customHeight="1">
      <c r="A54" s="113" t="s">
        <v>5255</v>
      </c>
      <c r="B54" s="113" t="s">
        <v>5255</v>
      </c>
      <c r="C54" s="113" t="s">
        <v>5188</v>
      </c>
      <c r="D54" s="113" t="s">
        <v>5194</v>
      </c>
      <c r="E54" s="114">
        <v>0.9</v>
      </c>
      <c r="F54" s="114">
        <v>0.7</v>
      </c>
      <c r="G54" s="114">
        <v>0.7</v>
      </c>
      <c r="H54" s="114">
        <v>0</v>
      </c>
      <c r="I54" s="114">
        <v>1.3</v>
      </c>
      <c r="J54" s="114">
        <v>1800</v>
      </c>
      <c r="K54" s="113" t="s">
        <v>5194</v>
      </c>
      <c r="L54" s="113" t="s">
        <v>5194</v>
      </c>
      <c r="M54" s="114">
        <v>1000</v>
      </c>
    </row>
    <row r="55" spans="1:13" ht="17.25" customHeight="1">
      <c r="A55" s="113" t="s">
        <v>5256</v>
      </c>
      <c r="B55" s="113" t="s">
        <v>5256</v>
      </c>
      <c r="C55" s="113" t="s">
        <v>5188</v>
      </c>
      <c r="D55" s="113" t="s">
        <v>5194</v>
      </c>
      <c r="E55" s="114">
        <v>0.9</v>
      </c>
      <c r="F55" s="114">
        <v>0.7</v>
      </c>
      <c r="G55" s="114">
        <v>0.7</v>
      </c>
      <c r="H55" s="114">
        <v>0</v>
      </c>
      <c r="I55" s="114">
        <v>1.4</v>
      </c>
      <c r="J55" s="114">
        <v>2000</v>
      </c>
      <c r="K55" s="113" t="s">
        <v>5194</v>
      </c>
      <c r="L55" s="113" t="s">
        <v>5194</v>
      </c>
      <c r="M55" s="114">
        <v>1000</v>
      </c>
    </row>
    <row r="56" spans="1:13" ht="17.25" customHeight="1">
      <c r="A56" s="113" t="s">
        <v>5257</v>
      </c>
      <c r="B56" s="113" t="s">
        <v>5257</v>
      </c>
      <c r="C56" s="113" t="s">
        <v>5188</v>
      </c>
      <c r="D56" s="113" t="s">
        <v>5194</v>
      </c>
      <c r="E56" s="114">
        <v>0.9</v>
      </c>
      <c r="F56" s="114">
        <v>0.7</v>
      </c>
      <c r="G56" s="114">
        <v>0.7</v>
      </c>
      <c r="H56" s="114">
        <v>0</v>
      </c>
      <c r="I56" s="114">
        <v>3.5</v>
      </c>
      <c r="J56" s="114">
        <v>2850</v>
      </c>
      <c r="K56" s="113" t="s">
        <v>5194</v>
      </c>
      <c r="L56" s="113" t="s">
        <v>5194</v>
      </c>
      <c r="M56" s="114">
        <v>1000</v>
      </c>
    </row>
    <row r="57" spans="1:13" ht="17.25" customHeight="1">
      <c r="A57" s="113" t="s">
        <v>5258</v>
      </c>
      <c r="B57" s="113" t="s">
        <v>5258</v>
      </c>
      <c r="C57" s="113" t="s">
        <v>5188</v>
      </c>
      <c r="D57" s="113" t="s">
        <v>5194</v>
      </c>
      <c r="E57" s="114">
        <v>0.9</v>
      </c>
      <c r="F57" s="114">
        <v>0.7</v>
      </c>
      <c r="G57" s="114">
        <v>0.7</v>
      </c>
      <c r="H57" s="114">
        <v>0</v>
      </c>
      <c r="I57" s="114">
        <v>2.8</v>
      </c>
      <c r="J57" s="114">
        <v>2600</v>
      </c>
      <c r="K57" s="113" t="s">
        <v>5194</v>
      </c>
      <c r="L57" s="113" t="s">
        <v>5194</v>
      </c>
      <c r="M57" s="114">
        <v>790</v>
      </c>
    </row>
    <row r="58" spans="1:13" ht="17.25" customHeight="1">
      <c r="A58" s="113" t="s">
        <v>5259</v>
      </c>
      <c r="B58" s="113" t="s">
        <v>5259</v>
      </c>
      <c r="C58" s="113" t="s">
        <v>5188</v>
      </c>
      <c r="D58" s="113" t="s">
        <v>5194</v>
      </c>
      <c r="E58" s="114">
        <v>0.9</v>
      </c>
      <c r="F58" s="114">
        <v>0.7</v>
      </c>
      <c r="G58" s="114">
        <v>0.7</v>
      </c>
      <c r="H58" s="114">
        <v>0</v>
      </c>
      <c r="I58" s="114">
        <v>1.4</v>
      </c>
      <c r="J58" s="114">
        <v>2000</v>
      </c>
      <c r="K58" s="113" t="s">
        <v>5194</v>
      </c>
      <c r="L58" s="113" t="s">
        <v>5194</v>
      </c>
      <c r="M58" s="114">
        <v>1000</v>
      </c>
    </row>
    <row r="59" spans="1:13" ht="17.25" customHeight="1">
      <c r="A59" s="113" t="s">
        <v>5260</v>
      </c>
      <c r="B59" s="113" t="s">
        <v>5261</v>
      </c>
      <c r="C59" s="113" t="s">
        <v>5188</v>
      </c>
      <c r="D59" s="113" t="s">
        <v>5194</v>
      </c>
      <c r="E59" s="114">
        <v>0.9</v>
      </c>
      <c r="F59" s="114">
        <v>0.7</v>
      </c>
      <c r="G59" s="114">
        <v>0.7</v>
      </c>
      <c r="H59" s="114">
        <v>0</v>
      </c>
      <c r="I59" s="114">
        <v>0.66</v>
      </c>
      <c r="J59" s="114">
        <v>1500</v>
      </c>
      <c r="K59" s="113" t="s">
        <v>5194</v>
      </c>
      <c r="L59" s="113" t="s">
        <v>5194</v>
      </c>
      <c r="M59" s="114">
        <v>1000</v>
      </c>
    </row>
    <row r="60" spans="1:13" ht="17.25" customHeight="1">
      <c r="A60" s="113" t="s">
        <v>5262</v>
      </c>
      <c r="B60" s="113" t="s">
        <v>5262</v>
      </c>
      <c r="C60" s="113" t="s">
        <v>5188</v>
      </c>
      <c r="D60" s="113" t="s">
        <v>5194</v>
      </c>
      <c r="E60" s="114">
        <v>0.9</v>
      </c>
      <c r="F60" s="114">
        <v>0.7</v>
      </c>
      <c r="G60" s="114">
        <v>0.7</v>
      </c>
      <c r="H60" s="114">
        <v>0</v>
      </c>
      <c r="I60" s="114">
        <v>2.2999999999999998</v>
      </c>
      <c r="J60" s="114">
        <v>2600</v>
      </c>
      <c r="K60" s="113" t="s">
        <v>5194</v>
      </c>
      <c r="L60" s="113" t="s">
        <v>5194</v>
      </c>
      <c r="M60" s="114">
        <v>710</v>
      </c>
    </row>
    <row r="61" spans="1:13" ht="17.25" customHeight="1">
      <c r="A61" s="113" t="s">
        <v>5263</v>
      </c>
      <c r="B61" s="113" t="s">
        <v>5264</v>
      </c>
      <c r="C61" s="113" t="s">
        <v>5188</v>
      </c>
      <c r="D61" s="113" t="s">
        <v>5194</v>
      </c>
      <c r="E61" s="114">
        <v>0.9</v>
      </c>
      <c r="F61" s="114">
        <v>0.7</v>
      </c>
      <c r="G61" s="114">
        <v>0.7</v>
      </c>
      <c r="H61" s="114">
        <v>0</v>
      </c>
      <c r="I61" s="114">
        <v>0.57999999999999996</v>
      </c>
      <c r="J61" s="114">
        <v>1400</v>
      </c>
      <c r="K61" s="113" t="s">
        <v>5194</v>
      </c>
      <c r="L61" s="113" t="s">
        <v>5194</v>
      </c>
      <c r="M61" s="114">
        <v>1000</v>
      </c>
    </row>
    <row r="62" spans="1:13" ht="17.25" customHeight="1">
      <c r="A62" s="113" t="s">
        <v>5265</v>
      </c>
      <c r="B62" s="113" t="s">
        <v>5266</v>
      </c>
      <c r="C62" s="113" t="s">
        <v>5188</v>
      </c>
      <c r="D62" s="113" t="s">
        <v>5194</v>
      </c>
      <c r="E62" s="114">
        <v>0.9</v>
      </c>
      <c r="F62" s="114">
        <v>0.7</v>
      </c>
      <c r="G62" s="114">
        <v>0.7</v>
      </c>
      <c r="H62" s="114">
        <v>0</v>
      </c>
      <c r="I62" s="114">
        <v>0.68</v>
      </c>
      <c r="J62" s="114">
        <v>1600</v>
      </c>
      <c r="K62" s="113" t="s">
        <v>5194</v>
      </c>
      <c r="L62" s="113" t="s">
        <v>5194</v>
      </c>
      <c r="M62" s="114">
        <v>1000</v>
      </c>
    </row>
    <row r="63" spans="1:13" ht="17.25" customHeight="1">
      <c r="A63" s="113" t="s">
        <v>5267</v>
      </c>
      <c r="B63" s="113" t="s">
        <v>5268</v>
      </c>
      <c r="C63" s="113" t="s">
        <v>5188</v>
      </c>
      <c r="D63" s="113" t="s">
        <v>5194</v>
      </c>
      <c r="E63" s="114">
        <v>0.9</v>
      </c>
      <c r="F63" s="114">
        <v>0.7</v>
      </c>
      <c r="G63" s="114">
        <v>0.7</v>
      </c>
      <c r="H63" s="114">
        <v>0</v>
      </c>
      <c r="I63" s="114">
        <v>0.81</v>
      </c>
      <c r="J63" s="114">
        <v>1800</v>
      </c>
      <c r="K63" s="113" t="s">
        <v>5194</v>
      </c>
      <c r="L63" s="113" t="s">
        <v>5194</v>
      </c>
      <c r="M63" s="114">
        <v>1000</v>
      </c>
    </row>
    <row r="64" spans="1:13" ht="17.25" customHeight="1">
      <c r="A64" s="113" t="s">
        <v>5269</v>
      </c>
      <c r="B64" s="113" t="s">
        <v>5270</v>
      </c>
      <c r="C64" s="113" t="s">
        <v>5188</v>
      </c>
      <c r="D64" s="113" t="s">
        <v>5194</v>
      </c>
      <c r="E64" s="114">
        <v>0.9</v>
      </c>
      <c r="F64" s="114">
        <v>0.7</v>
      </c>
      <c r="G64" s="114">
        <v>0.7</v>
      </c>
      <c r="H64" s="114">
        <v>0</v>
      </c>
      <c r="I64" s="114">
        <v>0.96</v>
      </c>
      <c r="J64" s="114">
        <v>2000</v>
      </c>
      <c r="K64" s="113" t="s">
        <v>5194</v>
      </c>
      <c r="L64" s="113" t="s">
        <v>5194</v>
      </c>
      <c r="M64" s="114">
        <v>1000</v>
      </c>
    </row>
    <row r="65" spans="1:13" ht="17.25" customHeight="1">
      <c r="A65" s="113" t="s">
        <v>5271</v>
      </c>
      <c r="B65" s="113" t="s">
        <v>5272</v>
      </c>
      <c r="C65" s="113" t="s">
        <v>5188</v>
      </c>
      <c r="D65" s="113" t="s">
        <v>5194</v>
      </c>
      <c r="E65" s="114">
        <v>0.9</v>
      </c>
      <c r="F65" s="114">
        <v>0.7</v>
      </c>
      <c r="G65" s="114">
        <v>0.7</v>
      </c>
      <c r="H65" s="114">
        <v>0</v>
      </c>
      <c r="I65" s="114">
        <v>0.09</v>
      </c>
      <c r="J65" s="114">
        <v>350</v>
      </c>
      <c r="K65" s="113" t="s">
        <v>5194</v>
      </c>
      <c r="L65" s="113" t="s">
        <v>5194</v>
      </c>
      <c r="M65" s="114">
        <v>1000</v>
      </c>
    </row>
    <row r="66" spans="1:13" ht="17.25" customHeight="1">
      <c r="A66" s="113" t="s">
        <v>5273</v>
      </c>
      <c r="B66" s="113" t="s">
        <v>5274</v>
      </c>
      <c r="C66" s="113" t="s">
        <v>5188</v>
      </c>
      <c r="D66" s="113" t="s">
        <v>5194</v>
      </c>
      <c r="E66" s="114">
        <v>0.9</v>
      </c>
      <c r="F66" s="114">
        <v>0.7</v>
      </c>
      <c r="G66" s="114">
        <v>0.7</v>
      </c>
      <c r="H66" s="114">
        <v>0</v>
      </c>
      <c r="I66" s="114">
        <v>0.12</v>
      </c>
      <c r="J66" s="114">
        <v>500</v>
      </c>
      <c r="K66" s="113" t="s">
        <v>5194</v>
      </c>
      <c r="L66" s="113" t="s">
        <v>5194</v>
      </c>
      <c r="M66" s="114">
        <v>1000</v>
      </c>
    </row>
    <row r="67" spans="1:13" ht="17.25" customHeight="1">
      <c r="A67" s="113" t="s">
        <v>5275</v>
      </c>
      <c r="B67" s="113" t="s">
        <v>5276</v>
      </c>
      <c r="C67" s="113" t="s">
        <v>5188</v>
      </c>
      <c r="D67" s="113" t="s">
        <v>5194</v>
      </c>
      <c r="E67" s="114">
        <v>0.9</v>
      </c>
      <c r="F67" s="114">
        <v>0.7</v>
      </c>
      <c r="G67" s="114">
        <v>0.7</v>
      </c>
      <c r="H67" s="114">
        <v>0</v>
      </c>
      <c r="I67" s="114">
        <v>0.08</v>
      </c>
      <c r="J67" s="114">
        <v>300</v>
      </c>
      <c r="K67" s="113" t="s">
        <v>5194</v>
      </c>
      <c r="L67" s="113" t="s">
        <v>5194</v>
      </c>
      <c r="M67" s="114">
        <v>1000</v>
      </c>
    </row>
    <row r="68" spans="1:13" ht="17.25" customHeight="1">
      <c r="A68" s="113" t="s">
        <v>5277</v>
      </c>
      <c r="B68" s="113" t="s">
        <v>5278</v>
      </c>
      <c r="C68" s="113" t="s">
        <v>5188</v>
      </c>
      <c r="D68" s="113" t="s">
        <v>5194</v>
      </c>
      <c r="E68" s="114">
        <v>0.9</v>
      </c>
      <c r="F68" s="114">
        <v>0.7</v>
      </c>
      <c r="G68" s="114">
        <v>0.7</v>
      </c>
      <c r="H68" s="114">
        <v>0</v>
      </c>
      <c r="I68" s="114">
        <v>0.1</v>
      </c>
      <c r="J68" s="114">
        <v>650</v>
      </c>
      <c r="K68" s="113" t="s">
        <v>5194</v>
      </c>
      <c r="L68" s="113" t="s">
        <v>5194</v>
      </c>
      <c r="M68" s="114">
        <v>1000</v>
      </c>
    </row>
    <row r="69" spans="1:13" ht="17.25" customHeight="1">
      <c r="A69" s="113" t="s">
        <v>5279</v>
      </c>
      <c r="B69" s="113" t="s">
        <v>5280</v>
      </c>
      <c r="C69" s="113" t="s">
        <v>5188</v>
      </c>
      <c r="D69" s="113" t="s">
        <v>5194</v>
      </c>
      <c r="E69" s="114">
        <v>0.9</v>
      </c>
      <c r="F69" s="114">
        <v>0.7</v>
      </c>
      <c r="G69" s="114">
        <v>0.7</v>
      </c>
      <c r="H69" s="114">
        <v>0</v>
      </c>
      <c r="I69" s="114">
        <v>2.5000000000000001E-2</v>
      </c>
      <c r="J69" s="114">
        <v>30</v>
      </c>
      <c r="K69" s="113" t="s">
        <v>5194</v>
      </c>
      <c r="L69" s="113" t="s">
        <v>5194</v>
      </c>
      <c r="M69" s="114">
        <v>1500</v>
      </c>
    </row>
    <row r="70" spans="1:13" ht="17.25" customHeight="1">
      <c r="A70" s="113" t="s">
        <v>5281</v>
      </c>
      <c r="B70" s="113" t="s">
        <v>5281</v>
      </c>
      <c r="C70" s="113" t="s">
        <v>5188</v>
      </c>
      <c r="D70" s="113" t="s">
        <v>5194</v>
      </c>
      <c r="E70" s="114">
        <v>0.9</v>
      </c>
      <c r="F70" s="114">
        <v>0.7</v>
      </c>
      <c r="G70" s="114">
        <v>0.7</v>
      </c>
      <c r="H70" s="114">
        <v>0</v>
      </c>
      <c r="I70" s="114">
        <v>0.03</v>
      </c>
      <c r="J70" s="114">
        <v>30</v>
      </c>
      <c r="K70" s="113" t="s">
        <v>5194</v>
      </c>
      <c r="L70" s="113" t="s">
        <v>5194</v>
      </c>
      <c r="M70" s="114">
        <v>1400</v>
      </c>
    </row>
    <row r="71" spans="1:13" ht="17.25" customHeight="1">
      <c r="A71" s="113" t="s">
        <v>5282</v>
      </c>
      <c r="B71" s="113" t="s">
        <v>5282</v>
      </c>
      <c r="C71" s="113" t="s">
        <v>5188</v>
      </c>
      <c r="D71" s="113" t="s">
        <v>5194</v>
      </c>
      <c r="E71" s="114">
        <v>0.9</v>
      </c>
      <c r="F71" s="114">
        <v>0.7</v>
      </c>
      <c r="G71" s="114">
        <v>0.7</v>
      </c>
      <c r="H71" s="114">
        <v>0</v>
      </c>
      <c r="I71" s="114">
        <v>2.5000000000000001E-2</v>
      </c>
      <c r="J71" s="114">
        <v>30</v>
      </c>
      <c r="K71" s="113" t="s">
        <v>5194</v>
      </c>
      <c r="L71" s="113" t="s">
        <v>5194</v>
      </c>
      <c r="M71" s="114">
        <v>1400</v>
      </c>
    </row>
    <row r="72" spans="1:13" ht="17.25" customHeight="1">
      <c r="A72" s="113" t="s">
        <v>5283</v>
      </c>
      <c r="B72" s="113" t="s">
        <v>5283</v>
      </c>
      <c r="C72" s="113" t="s">
        <v>5188</v>
      </c>
      <c r="D72" s="113" t="s">
        <v>5194</v>
      </c>
      <c r="E72" s="114">
        <v>0.9</v>
      </c>
      <c r="F72" s="114">
        <v>0.7</v>
      </c>
      <c r="G72" s="114">
        <v>0.7</v>
      </c>
      <c r="H72" s="114">
        <v>0</v>
      </c>
      <c r="I72" s="114">
        <v>2.8000000000000001E-2</v>
      </c>
      <c r="J72" s="114">
        <v>30</v>
      </c>
      <c r="K72" s="113" t="s">
        <v>5194</v>
      </c>
      <c r="L72" s="113" t="s">
        <v>5194</v>
      </c>
      <c r="M72" s="114">
        <v>1400</v>
      </c>
    </row>
    <row r="73" spans="1:13" ht="17.25" customHeight="1">
      <c r="A73" s="113" t="s">
        <v>5284</v>
      </c>
      <c r="B73" s="113" t="s">
        <v>5284</v>
      </c>
      <c r="C73" s="113" t="s">
        <v>5188</v>
      </c>
      <c r="D73" s="113" t="s">
        <v>5194</v>
      </c>
      <c r="E73" s="114">
        <v>0.9</v>
      </c>
      <c r="F73" s="114">
        <v>0.7</v>
      </c>
      <c r="G73" s="114">
        <v>0.7</v>
      </c>
      <c r="H73" s="114">
        <v>0</v>
      </c>
      <c r="I73" s="114">
        <v>4.2000000000000003E-2</v>
      </c>
      <c r="J73" s="114">
        <v>160</v>
      </c>
      <c r="K73" s="113" t="s">
        <v>5194</v>
      </c>
      <c r="L73" s="113" t="s">
        <v>5194</v>
      </c>
      <c r="M73" s="114">
        <v>2100</v>
      </c>
    </row>
    <row r="74" spans="1:13" ht="17.25" customHeight="1">
      <c r="A74" s="113" t="s">
        <v>5285</v>
      </c>
      <c r="B74" s="113" t="s">
        <v>5285</v>
      </c>
      <c r="C74" s="113" t="s">
        <v>5188</v>
      </c>
      <c r="D74" s="113" t="s">
        <v>5194</v>
      </c>
      <c r="E74" s="114">
        <v>0.9</v>
      </c>
      <c r="F74" s="114">
        <v>0.7</v>
      </c>
      <c r="G74" s="114">
        <v>0.7</v>
      </c>
      <c r="H74" s="114">
        <v>0</v>
      </c>
      <c r="I74" s="114">
        <v>0.04</v>
      </c>
      <c r="J74" s="114">
        <v>20</v>
      </c>
      <c r="K74" s="113" t="s">
        <v>5194</v>
      </c>
      <c r="L74" s="113" t="s">
        <v>5194</v>
      </c>
      <c r="M74" s="114">
        <v>1500</v>
      </c>
    </row>
    <row r="75" spans="1:13" ht="17.25" customHeight="1">
      <c r="A75" s="113" t="s">
        <v>5286</v>
      </c>
      <c r="B75" s="113" t="s">
        <v>5286</v>
      </c>
      <c r="C75" s="113" t="s">
        <v>5188</v>
      </c>
      <c r="D75" s="113" t="s">
        <v>5194</v>
      </c>
      <c r="E75" s="114">
        <v>0.9</v>
      </c>
      <c r="F75" s="114">
        <v>0.7</v>
      </c>
      <c r="G75" s="114">
        <v>0.7</v>
      </c>
      <c r="H75" s="114">
        <v>0</v>
      </c>
      <c r="I75" s="114">
        <v>7.0000000000000001E-3</v>
      </c>
      <c r="J75" s="114">
        <v>205</v>
      </c>
      <c r="K75" s="113" t="s">
        <v>5194</v>
      </c>
      <c r="L75" s="113" t="s">
        <v>5194</v>
      </c>
      <c r="M75" s="114">
        <v>900</v>
      </c>
    </row>
    <row r="76" spans="1:13" ht="17.25" customHeight="1">
      <c r="A76" s="113" t="s">
        <v>5287</v>
      </c>
      <c r="B76" s="113" t="s">
        <v>5287</v>
      </c>
      <c r="C76" s="113" t="s">
        <v>5188</v>
      </c>
      <c r="D76" s="113" t="s">
        <v>5194</v>
      </c>
      <c r="E76" s="114">
        <v>0.9</v>
      </c>
      <c r="F76" s="114">
        <v>0.7</v>
      </c>
      <c r="G76" s="114">
        <v>0.7</v>
      </c>
      <c r="H76" s="114">
        <v>0</v>
      </c>
      <c r="I76" s="114">
        <v>7.0000000000000001E-3</v>
      </c>
      <c r="J76" s="114">
        <v>1800</v>
      </c>
      <c r="K76" s="113" t="s">
        <v>5194</v>
      </c>
      <c r="L76" s="113" t="s">
        <v>5194</v>
      </c>
      <c r="M76" s="114">
        <v>900</v>
      </c>
    </row>
    <row r="77" spans="1:13" ht="17.25" customHeight="1">
      <c r="A77" s="113" t="s">
        <v>5288</v>
      </c>
      <c r="B77" s="113" t="s">
        <v>5288</v>
      </c>
      <c r="C77" s="113" t="s">
        <v>5188</v>
      </c>
      <c r="D77" s="113" t="s">
        <v>5194</v>
      </c>
      <c r="E77" s="114">
        <v>0.9</v>
      </c>
      <c r="F77" s="114">
        <v>0.7</v>
      </c>
      <c r="G77" s="114">
        <v>0.7</v>
      </c>
      <c r="H77" s="114">
        <v>0</v>
      </c>
      <c r="I77" s="114">
        <v>160</v>
      </c>
      <c r="J77" s="114">
        <v>2800</v>
      </c>
      <c r="K77" s="113" t="s">
        <v>5194</v>
      </c>
      <c r="L77" s="113" t="s">
        <v>5194</v>
      </c>
      <c r="M77" s="114">
        <v>880</v>
      </c>
    </row>
    <row r="78" spans="1:13" ht="17.25" customHeight="1">
      <c r="A78" s="113" t="s">
        <v>5289</v>
      </c>
      <c r="B78" s="113" t="s">
        <v>5289</v>
      </c>
      <c r="C78" s="113" t="s">
        <v>5188</v>
      </c>
      <c r="D78" s="113" t="s">
        <v>5194</v>
      </c>
      <c r="E78" s="114">
        <v>0.9</v>
      </c>
      <c r="F78" s="114">
        <v>0.7</v>
      </c>
      <c r="G78" s="114">
        <v>0.7</v>
      </c>
      <c r="H78" s="114">
        <v>0</v>
      </c>
      <c r="I78" s="114">
        <v>80.5</v>
      </c>
      <c r="J78" s="114">
        <v>2300</v>
      </c>
      <c r="K78" s="113" t="s">
        <v>5194</v>
      </c>
      <c r="L78" s="113" t="s">
        <v>5194</v>
      </c>
      <c r="M78" s="114">
        <v>940</v>
      </c>
    </row>
    <row r="79" spans="1:13" ht="17.25" customHeight="1">
      <c r="A79" s="113" t="s">
        <v>5290</v>
      </c>
      <c r="B79" s="113" t="s">
        <v>5290</v>
      </c>
      <c r="C79" s="113" t="s">
        <v>5188</v>
      </c>
      <c r="D79" s="113" t="s">
        <v>5194</v>
      </c>
      <c r="E79" s="114">
        <v>0.9</v>
      </c>
      <c r="F79" s="114">
        <v>0.7</v>
      </c>
      <c r="G79" s="114">
        <v>0.7</v>
      </c>
      <c r="H79" s="114">
        <v>0</v>
      </c>
      <c r="I79" s="114">
        <v>45</v>
      </c>
      <c r="J79" s="114">
        <v>7800</v>
      </c>
      <c r="K79" s="113" t="s">
        <v>5194</v>
      </c>
      <c r="L79" s="113" t="s">
        <v>5194</v>
      </c>
      <c r="M79" s="114">
        <v>480</v>
      </c>
    </row>
    <row r="80" spans="1:13" ht="17.25" customHeight="1">
      <c r="A80" s="113" t="s">
        <v>5291</v>
      </c>
      <c r="B80" s="113" t="s">
        <v>5291</v>
      </c>
      <c r="C80" s="113" t="s">
        <v>5188</v>
      </c>
      <c r="D80" s="113" t="s">
        <v>5202</v>
      </c>
      <c r="E80" s="114">
        <v>0.9</v>
      </c>
      <c r="F80" s="114">
        <v>0.7</v>
      </c>
      <c r="G80" s="114">
        <v>0.7</v>
      </c>
      <c r="H80" s="114">
        <v>0</v>
      </c>
      <c r="I80" s="114">
        <v>0.72</v>
      </c>
      <c r="J80" s="114">
        <v>1856</v>
      </c>
      <c r="K80" s="113" t="s">
        <v>5202</v>
      </c>
      <c r="L80" s="113" t="s">
        <v>5202</v>
      </c>
      <c r="M80" s="114">
        <v>840</v>
      </c>
    </row>
    <row r="81" spans="1:13" ht="17.25" customHeight="1">
      <c r="A81" s="113" t="s">
        <v>5174</v>
      </c>
      <c r="B81" s="113" t="s">
        <v>5174</v>
      </c>
      <c r="C81" s="113" t="s">
        <v>5188</v>
      </c>
      <c r="D81" s="113" t="s">
        <v>5202</v>
      </c>
      <c r="E81" s="114">
        <v>0.9</v>
      </c>
      <c r="F81" s="114">
        <v>0.7</v>
      </c>
      <c r="G81" s="114">
        <v>0.7</v>
      </c>
      <c r="H81" s="114">
        <v>0</v>
      </c>
      <c r="I81" s="114">
        <v>0.72</v>
      </c>
      <c r="J81" s="114">
        <v>1856</v>
      </c>
      <c r="K81" s="113" t="s">
        <v>5202</v>
      </c>
      <c r="L81" s="113" t="s">
        <v>5202</v>
      </c>
      <c r="M81" s="114">
        <v>840</v>
      </c>
    </row>
    <row r="82" spans="1:13" ht="17.25" customHeight="1">
      <c r="A82" s="113" t="s">
        <v>5292</v>
      </c>
      <c r="B82" s="113" t="s">
        <v>5292</v>
      </c>
      <c r="C82" s="113" t="s">
        <v>5188</v>
      </c>
      <c r="D82" s="113" t="s">
        <v>5202</v>
      </c>
      <c r="E82" s="114">
        <v>0.9</v>
      </c>
      <c r="F82" s="114">
        <v>0.7</v>
      </c>
      <c r="G82" s="114">
        <v>0.7</v>
      </c>
      <c r="H82" s="114">
        <v>0</v>
      </c>
      <c r="I82" s="114">
        <v>45.28</v>
      </c>
      <c r="J82" s="114">
        <v>7824</v>
      </c>
      <c r="K82" s="113" t="s">
        <v>5202</v>
      </c>
      <c r="L82" s="113" t="s">
        <v>5202</v>
      </c>
      <c r="M82" s="114">
        <v>500</v>
      </c>
    </row>
    <row r="83" spans="1:13" ht="17.25" customHeight="1">
      <c r="A83" s="113" t="s">
        <v>5293</v>
      </c>
      <c r="B83" s="113" t="s">
        <v>5293</v>
      </c>
      <c r="C83" s="113" t="s">
        <v>5188</v>
      </c>
      <c r="D83" s="113" t="s">
        <v>5202</v>
      </c>
      <c r="E83" s="114">
        <v>0.9</v>
      </c>
      <c r="F83" s="114">
        <v>0.7</v>
      </c>
      <c r="G83" s="114">
        <v>0.7</v>
      </c>
      <c r="H83" s="114">
        <v>0</v>
      </c>
      <c r="I83" s="114">
        <v>0.99</v>
      </c>
      <c r="J83" s="114">
        <v>2528</v>
      </c>
      <c r="K83" s="113" t="s">
        <v>5202</v>
      </c>
      <c r="L83" s="113" t="s">
        <v>5202</v>
      </c>
      <c r="M83" s="114">
        <v>880</v>
      </c>
    </row>
    <row r="84" spans="1:13" ht="17.25" customHeight="1">
      <c r="A84" s="113" t="s">
        <v>5294</v>
      </c>
      <c r="B84" s="113" t="s">
        <v>5294</v>
      </c>
      <c r="C84" s="113" t="s">
        <v>5188</v>
      </c>
      <c r="D84" s="113" t="s">
        <v>5189</v>
      </c>
      <c r="E84" s="114">
        <v>0.9</v>
      </c>
      <c r="F84" s="114">
        <v>0.7</v>
      </c>
      <c r="G84" s="114">
        <v>0.7</v>
      </c>
      <c r="H84" s="114">
        <v>0</v>
      </c>
      <c r="I84" s="114">
        <v>3.17</v>
      </c>
      <c r="J84" s="114">
        <v>2560</v>
      </c>
      <c r="K84" s="113" t="s">
        <v>5189</v>
      </c>
      <c r="L84" s="113" t="s">
        <v>5189</v>
      </c>
      <c r="M84" s="114">
        <v>790</v>
      </c>
    </row>
    <row r="85" spans="1:13" ht="17.25" customHeight="1">
      <c r="A85" s="113" t="s">
        <v>5295</v>
      </c>
      <c r="B85" s="113" t="s">
        <v>5295</v>
      </c>
      <c r="C85" s="113" t="s">
        <v>5188</v>
      </c>
      <c r="D85" s="113" t="s">
        <v>5189</v>
      </c>
      <c r="E85" s="114">
        <v>0.9</v>
      </c>
      <c r="F85" s="114">
        <v>0.7</v>
      </c>
      <c r="G85" s="114">
        <v>0.7</v>
      </c>
      <c r="H85" s="114">
        <v>0</v>
      </c>
      <c r="I85" s="114">
        <v>0.12</v>
      </c>
      <c r="J85" s="114">
        <v>1600</v>
      </c>
      <c r="K85" s="113" t="s">
        <v>5189</v>
      </c>
      <c r="L85" s="113" t="s">
        <v>5198</v>
      </c>
      <c r="M85" s="114">
        <v>1210</v>
      </c>
    </row>
    <row r="86" spans="1:13" ht="17.25" customHeight="1">
      <c r="A86" s="113" t="s">
        <v>5296</v>
      </c>
      <c r="B86" s="113" t="s">
        <v>5297</v>
      </c>
      <c r="C86" s="113" t="s">
        <v>5188</v>
      </c>
      <c r="D86" s="113" t="s">
        <v>5198</v>
      </c>
      <c r="E86" s="114">
        <v>0.9</v>
      </c>
      <c r="F86" s="114">
        <v>0.7</v>
      </c>
      <c r="G86" s="114">
        <v>0.7</v>
      </c>
      <c r="H86" s="114">
        <v>0</v>
      </c>
      <c r="I86" s="114">
        <v>0.11</v>
      </c>
      <c r="J86" s="114">
        <v>592</v>
      </c>
      <c r="K86" s="113" t="s">
        <v>5198</v>
      </c>
      <c r="L86" s="113" t="s">
        <v>5198</v>
      </c>
      <c r="M86" s="114">
        <v>1210</v>
      </c>
    </row>
    <row r="87" spans="1:13" ht="17.25" customHeight="1">
      <c r="A87" s="113" t="s">
        <v>5298</v>
      </c>
      <c r="B87" s="113" t="s">
        <v>5298</v>
      </c>
      <c r="C87" s="113" t="s">
        <v>5188</v>
      </c>
      <c r="D87" s="113" t="s">
        <v>5198</v>
      </c>
      <c r="E87" s="114">
        <v>0.9</v>
      </c>
      <c r="F87" s="114">
        <v>0.7</v>
      </c>
      <c r="G87" s="114">
        <v>0.7</v>
      </c>
      <c r="H87" s="114">
        <v>0</v>
      </c>
      <c r="I87" s="114">
        <v>0.06</v>
      </c>
      <c r="J87" s="114">
        <v>368</v>
      </c>
      <c r="K87" s="113" t="s">
        <v>5198</v>
      </c>
      <c r="L87" s="113" t="s">
        <v>5198</v>
      </c>
      <c r="M87" s="114">
        <v>590</v>
      </c>
    </row>
    <row r="88" spans="1:13" ht="17.25" customHeight="1">
      <c r="A88" s="113" t="s">
        <v>5248</v>
      </c>
      <c r="B88" s="113" t="s">
        <v>5248</v>
      </c>
      <c r="C88" s="113" t="s">
        <v>5188</v>
      </c>
      <c r="D88" s="113" t="s">
        <v>5194</v>
      </c>
      <c r="E88" s="114">
        <v>0.9</v>
      </c>
      <c r="F88" s="114">
        <v>0.7</v>
      </c>
      <c r="G88" s="114">
        <v>0.7</v>
      </c>
      <c r="H88" s="114">
        <v>0</v>
      </c>
      <c r="I88" s="114">
        <v>0.09</v>
      </c>
      <c r="J88" s="114">
        <v>500</v>
      </c>
      <c r="K88" s="113" t="s">
        <v>5194</v>
      </c>
      <c r="L88" s="113" t="s">
        <v>5194</v>
      </c>
      <c r="M88" s="114">
        <v>1700</v>
      </c>
    </row>
    <row r="89" spans="1:13" ht="17.25" customHeight="1">
      <c r="A89" s="113" t="s">
        <v>5299</v>
      </c>
      <c r="B89" s="113" t="s">
        <v>5299</v>
      </c>
      <c r="C89" s="113" t="s">
        <v>5188</v>
      </c>
      <c r="D89" s="113" t="s">
        <v>5194</v>
      </c>
      <c r="E89" s="114">
        <v>0.9</v>
      </c>
      <c r="F89" s="114">
        <v>0.7</v>
      </c>
      <c r="G89" s="114">
        <v>0.7</v>
      </c>
      <c r="H89" s="114">
        <v>0</v>
      </c>
      <c r="I89" s="114">
        <v>0.21</v>
      </c>
      <c r="J89" s="114">
        <v>700</v>
      </c>
      <c r="K89" s="113" t="s">
        <v>5194</v>
      </c>
      <c r="L89" s="113" t="s">
        <v>5194</v>
      </c>
      <c r="M89" s="114">
        <v>1200</v>
      </c>
    </row>
    <row r="90" spans="1:13" ht="17.25" customHeight="1">
      <c r="A90" s="113" t="s">
        <v>5300</v>
      </c>
      <c r="B90" s="113" t="s">
        <v>5300</v>
      </c>
      <c r="C90" s="113" t="s">
        <v>5188</v>
      </c>
      <c r="D90" s="113" t="s">
        <v>5194</v>
      </c>
      <c r="E90" s="114">
        <v>0.9</v>
      </c>
      <c r="F90" s="114">
        <v>0.7</v>
      </c>
      <c r="G90" s="114">
        <v>0.7</v>
      </c>
      <c r="H90" s="114">
        <v>0</v>
      </c>
      <c r="I90" s="114">
        <v>0.47</v>
      </c>
      <c r="J90" s="114">
        <v>1200</v>
      </c>
      <c r="K90" s="113" t="s">
        <v>5194</v>
      </c>
      <c r="L90" s="113" t="s">
        <v>5194</v>
      </c>
      <c r="M90" s="114">
        <v>1200</v>
      </c>
    </row>
    <row r="91" spans="1:13" ht="17.25" customHeight="1">
      <c r="A91" s="113" t="s">
        <v>5301</v>
      </c>
      <c r="B91" s="113" t="s">
        <v>5301</v>
      </c>
      <c r="C91" s="113" t="s">
        <v>5188</v>
      </c>
      <c r="D91" s="113" t="s">
        <v>5194</v>
      </c>
      <c r="E91" s="114">
        <v>0.9</v>
      </c>
      <c r="F91" s="114">
        <v>0.7</v>
      </c>
      <c r="G91" s="114">
        <v>0.7</v>
      </c>
      <c r="H91" s="114">
        <v>0</v>
      </c>
      <c r="I91" s="114">
        <v>0.91</v>
      </c>
      <c r="J91" s="114">
        <v>1800</v>
      </c>
      <c r="K91" s="113" t="s">
        <v>5194</v>
      </c>
      <c r="L91" s="113" t="s">
        <v>5194</v>
      </c>
      <c r="M91" s="114">
        <v>1200</v>
      </c>
    </row>
    <row r="92" spans="1:13" ht="17.25" customHeight="1">
      <c r="A92" s="113" t="s">
        <v>5173</v>
      </c>
      <c r="B92" s="113" t="s">
        <v>5173</v>
      </c>
      <c r="C92" s="113" t="s">
        <v>5188</v>
      </c>
      <c r="D92" s="113" t="s">
        <v>5194</v>
      </c>
      <c r="E92" s="114">
        <v>0.9</v>
      </c>
      <c r="F92" s="114">
        <v>0.7</v>
      </c>
      <c r="G92" s="114">
        <v>0.7</v>
      </c>
      <c r="H92" s="114">
        <v>0</v>
      </c>
      <c r="I92" s="114">
        <v>2.2000000000000002</v>
      </c>
      <c r="J92" s="114">
        <v>2400</v>
      </c>
      <c r="K92" s="113" t="s">
        <v>5194</v>
      </c>
      <c r="L92" s="113" t="s">
        <v>5194</v>
      </c>
      <c r="M92" s="114">
        <v>760</v>
      </c>
    </row>
    <row r="93" spans="1:13" ht="17.25" customHeight="1">
      <c r="A93" s="113" t="s">
        <v>5302</v>
      </c>
      <c r="B93" s="113" t="s">
        <v>5302</v>
      </c>
      <c r="C93" s="113" t="s">
        <v>5188</v>
      </c>
      <c r="D93" s="113" t="s">
        <v>5194</v>
      </c>
      <c r="E93" s="114">
        <v>0.9</v>
      </c>
      <c r="F93" s="114">
        <v>0.7</v>
      </c>
      <c r="G93" s="114">
        <v>0.7</v>
      </c>
      <c r="H93" s="114">
        <v>0</v>
      </c>
      <c r="I93" s="114">
        <v>0.96</v>
      </c>
      <c r="J93" s="114">
        <v>2000</v>
      </c>
      <c r="K93" s="113" t="s">
        <v>5194</v>
      </c>
      <c r="L93" s="113" t="s">
        <v>5194</v>
      </c>
      <c r="M93" s="114">
        <v>1000</v>
      </c>
    </row>
    <row r="94" spans="1:13" ht="17.25" customHeight="1">
      <c r="A94" s="113" t="s">
        <v>5303</v>
      </c>
      <c r="B94" s="113" t="s">
        <v>5304</v>
      </c>
      <c r="C94" s="113" t="s">
        <v>5188</v>
      </c>
      <c r="D94" s="113" t="s">
        <v>5194</v>
      </c>
      <c r="E94" s="114">
        <v>0.9</v>
      </c>
      <c r="F94" s="114">
        <v>0.7</v>
      </c>
      <c r="G94" s="114">
        <v>0.7</v>
      </c>
      <c r="H94" s="114">
        <v>0</v>
      </c>
      <c r="I94" s="114">
        <v>0.12</v>
      </c>
      <c r="J94" s="114">
        <v>650</v>
      </c>
      <c r="K94" s="113" t="s">
        <v>5194</v>
      </c>
      <c r="L94" s="113" t="s">
        <v>5194</v>
      </c>
      <c r="M94" s="114">
        <v>1000</v>
      </c>
    </row>
    <row r="95" spans="1:13" ht="17.25" customHeight="1">
      <c r="A95" s="113" t="s">
        <v>5305</v>
      </c>
      <c r="B95" s="113" t="s">
        <v>5305</v>
      </c>
      <c r="C95" s="113" t="s">
        <v>5188</v>
      </c>
      <c r="D95" s="113" t="s">
        <v>5194</v>
      </c>
      <c r="E95" s="114">
        <v>0.9</v>
      </c>
      <c r="F95" s="114">
        <v>0.7</v>
      </c>
      <c r="G95" s="114">
        <v>0.7</v>
      </c>
      <c r="H95" s="114">
        <v>0</v>
      </c>
      <c r="I95" s="114">
        <v>0.05</v>
      </c>
      <c r="J95" s="114">
        <v>160</v>
      </c>
      <c r="K95" s="113" t="s">
        <v>5194</v>
      </c>
      <c r="L95" s="113" t="s">
        <v>5194</v>
      </c>
      <c r="M95" s="114">
        <v>1800</v>
      </c>
    </row>
    <row r="96" spans="1:13" ht="17.25" customHeight="1">
      <c r="A96" s="113" t="s">
        <v>5306</v>
      </c>
      <c r="B96" s="113" t="s">
        <v>5306</v>
      </c>
      <c r="C96" s="113" t="s">
        <v>5188</v>
      </c>
      <c r="D96" s="113" t="s">
        <v>5194</v>
      </c>
      <c r="E96" s="114">
        <v>0.9</v>
      </c>
      <c r="F96" s="114">
        <v>0.7</v>
      </c>
      <c r="G96" s="114">
        <v>0.7</v>
      </c>
      <c r="H96" s="114">
        <v>0</v>
      </c>
      <c r="I96" s="114">
        <v>4.7E-2</v>
      </c>
      <c r="J96" s="114">
        <v>115</v>
      </c>
      <c r="K96" s="113" t="s">
        <v>5194</v>
      </c>
      <c r="L96" s="113" t="s">
        <v>5194</v>
      </c>
      <c r="M96" s="114">
        <v>1300</v>
      </c>
    </row>
    <row r="97" spans="1:13" ht="17.25" customHeight="1">
      <c r="A97" s="113" t="s">
        <v>5307</v>
      </c>
      <c r="B97" s="113" t="s">
        <v>5307</v>
      </c>
      <c r="C97" s="113" t="s">
        <v>5188</v>
      </c>
      <c r="D97" s="113" t="s">
        <v>5194</v>
      </c>
      <c r="E97" s="114">
        <v>0.9</v>
      </c>
      <c r="F97" s="114">
        <v>0.7</v>
      </c>
      <c r="G97" s="114">
        <v>0.7</v>
      </c>
      <c r="H97" s="114">
        <v>0</v>
      </c>
      <c r="I97" s="114">
        <v>4.2000000000000003E-2</v>
      </c>
      <c r="J97" s="114">
        <v>90</v>
      </c>
      <c r="K97" s="113" t="s">
        <v>5194</v>
      </c>
      <c r="L97" s="113" t="s">
        <v>5194</v>
      </c>
      <c r="M97" s="114">
        <v>1300</v>
      </c>
    </row>
    <row r="98" spans="1:13" ht="17.25" customHeight="1">
      <c r="A98" s="113" t="s">
        <v>5308</v>
      </c>
      <c r="B98" s="113" t="s">
        <v>5308</v>
      </c>
      <c r="C98" s="113" t="s">
        <v>5188</v>
      </c>
      <c r="D98" s="113" t="s">
        <v>5194</v>
      </c>
      <c r="E98" s="114">
        <v>0.9</v>
      </c>
      <c r="F98" s="114">
        <v>0.7</v>
      </c>
      <c r="G98" s="114">
        <v>0.7</v>
      </c>
      <c r="H98" s="114">
        <v>0</v>
      </c>
      <c r="I98" s="114">
        <v>4.4999999999999998E-2</v>
      </c>
      <c r="J98" s="114">
        <v>110</v>
      </c>
      <c r="K98" s="113" t="s">
        <v>5194</v>
      </c>
      <c r="L98" s="113" t="s">
        <v>5194</v>
      </c>
      <c r="M98" s="114">
        <v>1300</v>
      </c>
    </row>
    <row r="99" spans="1:13" ht="17.25" customHeight="1">
      <c r="A99" s="113" t="s">
        <v>5234</v>
      </c>
      <c r="B99" s="113" t="s">
        <v>5234</v>
      </c>
      <c r="C99" s="113" t="s">
        <v>5188</v>
      </c>
      <c r="D99" s="113" t="s">
        <v>5194</v>
      </c>
      <c r="E99" s="114">
        <v>0.9</v>
      </c>
      <c r="F99" s="114">
        <v>0.7</v>
      </c>
      <c r="G99" s="114">
        <v>0.7</v>
      </c>
      <c r="H99" s="114">
        <v>0</v>
      </c>
      <c r="I99" s="114">
        <v>5.6000000000000001E-2</v>
      </c>
      <c r="J99" s="114">
        <v>130</v>
      </c>
      <c r="K99" s="113" t="s">
        <v>5194</v>
      </c>
      <c r="L99" s="113" t="s">
        <v>5194</v>
      </c>
      <c r="M99" s="114">
        <v>750</v>
      </c>
    </row>
    <row r="100" spans="1:13" ht="17.25" customHeight="1">
      <c r="A100" s="113" t="s">
        <v>5309</v>
      </c>
      <c r="B100" s="113" t="s">
        <v>5309</v>
      </c>
      <c r="C100" s="113" t="s">
        <v>5188</v>
      </c>
      <c r="D100" s="113" t="s">
        <v>5194</v>
      </c>
      <c r="E100" s="114">
        <v>0.9</v>
      </c>
      <c r="F100" s="114">
        <v>0.7</v>
      </c>
      <c r="G100" s="114">
        <v>0.7</v>
      </c>
      <c r="H100" s="114">
        <v>0</v>
      </c>
      <c r="I100" s="114">
        <v>6.5000000000000002E-2</v>
      </c>
      <c r="J100" s="114">
        <v>225</v>
      </c>
      <c r="K100" s="113" t="s">
        <v>5194</v>
      </c>
      <c r="L100" s="113" t="s">
        <v>5194</v>
      </c>
      <c r="M100" s="114">
        <v>1200</v>
      </c>
    </row>
    <row r="101" spans="1:13" ht="17.25" customHeight="1">
      <c r="A101" s="113" t="s">
        <v>5310</v>
      </c>
      <c r="B101" s="113" t="s">
        <v>5310</v>
      </c>
      <c r="C101" s="113" t="s">
        <v>5188</v>
      </c>
      <c r="D101" s="113" t="s">
        <v>5194</v>
      </c>
      <c r="E101" s="114">
        <v>0.9</v>
      </c>
      <c r="F101" s="114">
        <v>0.7</v>
      </c>
      <c r="G101" s="114">
        <v>0.7</v>
      </c>
      <c r="H101" s="114">
        <v>0</v>
      </c>
      <c r="I101" s="114">
        <v>7.0000000000000001E-3</v>
      </c>
      <c r="J101" s="114">
        <v>190</v>
      </c>
      <c r="K101" s="113" t="s">
        <v>5194</v>
      </c>
      <c r="L101" s="113" t="s">
        <v>5194</v>
      </c>
      <c r="M101" s="114">
        <v>1050</v>
      </c>
    </row>
    <row r="102" spans="1:13" ht="17.25" customHeight="1">
      <c r="A102" s="113" t="s">
        <v>5311</v>
      </c>
      <c r="B102" s="113" t="s">
        <v>5311</v>
      </c>
      <c r="C102" s="113" t="s">
        <v>5188</v>
      </c>
      <c r="D102" s="113" t="s">
        <v>5194</v>
      </c>
      <c r="E102" s="114">
        <v>0.1</v>
      </c>
      <c r="F102" s="114">
        <v>0.7</v>
      </c>
      <c r="G102" s="114">
        <v>0.7</v>
      </c>
      <c r="H102" s="114">
        <v>0</v>
      </c>
      <c r="I102" s="114">
        <v>45</v>
      </c>
      <c r="J102" s="114">
        <v>7800</v>
      </c>
      <c r="K102" s="113" t="s">
        <v>5194</v>
      </c>
      <c r="L102" s="113" t="s">
        <v>5194</v>
      </c>
      <c r="M102" s="114">
        <v>480</v>
      </c>
    </row>
    <row r="103" spans="1:13" ht="17.25" customHeight="1">
      <c r="A103" s="113" t="s">
        <v>5312</v>
      </c>
      <c r="B103" s="113" t="s">
        <v>5312</v>
      </c>
      <c r="C103" s="113" t="s">
        <v>5188</v>
      </c>
      <c r="D103" s="113" t="s">
        <v>5194</v>
      </c>
      <c r="E103" s="114">
        <v>0.1</v>
      </c>
      <c r="F103" s="114">
        <v>0.7</v>
      </c>
      <c r="G103" s="114">
        <v>0.7</v>
      </c>
      <c r="H103" s="114">
        <v>0</v>
      </c>
      <c r="I103" s="114">
        <v>45</v>
      </c>
      <c r="J103" s="114">
        <v>7800</v>
      </c>
      <c r="K103" s="113" t="s">
        <v>5194</v>
      </c>
      <c r="L103" s="113" t="s">
        <v>5194</v>
      </c>
      <c r="M103" s="114">
        <v>480</v>
      </c>
    </row>
    <row r="104" spans="1:13" ht="17.25" customHeight="1">
      <c r="A104" s="113" t="s">
        <v>5313</v>
      </c>
      <c r="B104" s="113" t="s">
        <v>5313</v>
      </c>
      <c r="C104" s="113" t="s">
        <v>5188</v>
      </c>
      <c r="D104" s="113" t="s">
        <v>5194</v>
      </c>
      <c r="E104" s="114">
        <v>0.9</v>
      </c>
      <c r="F104" s="114">
        <v>0.7</v>
      </c>
      <c r="G104" s="114">
        <v>0.7</v>
      </c>
      <c r="H104" s="114">
        <v>0</v>
      </c>
      <c r="I104" s="114">
        <v>0.75</v>
      </c>
      <c r="J104" s="114">
        <v>1730</v>
      </c>
      <c r="K104" s="113" t="s">
        <v>5194</v>
      </c>
      <c r="L104" s="113" t="s">
        <v>5194</v>
      </c>
      <c r="M104" s="114">
        <v>880</v>
      </c>
    </row>
    <row r="105" spans="1:13" ht="17.25" customHeight="1">
      <c r="A105" s="113" t="s">
        <v>5314</v>
      </c>
      <c r="B105" s="113" t="s">
        <v>5314</v>
      </c>
      <c r="C105" s="113" t="s">
        <v>5188</v>
      </c>
      <c r="D105" s="113" t="s">
        <v>5194</v>
      </c>
      <c r="E105" s="114">
        <v>0.9</v>
      </c>
      <c r="F105" s="114">
        <v>0.7</v>
      </c>
      <c r="G105" s="114">
        <v>0.7</v>
      </c>
      <c r="H105" s="114">
        <v>0</v>
      </c>
      <c r="I105" s="114">
        <v>0.32</v>
      </c>
      <c r="J105" s="114">
        <v>1000</v>
      </c>
      <c r="K105" s="113" t="s">
        <v>5194</v>
      </c>
      <c r="L105" s="113" t="s">
        <v>5194</v>
      </c>
      <c r="M105" s="114">
        <v>1100</v>
      </c>
    </row>
    <row r="106" spans="1:13" ht="17.25" customHeight="1">
      <c r="A106" s="113" t="s">
        <v>5315</v>
      </c>
      <c r="B106" s="113" t="s">
        <v>5315</v>
      </c>
      <c r="C106" s="113" t="s">
        <v>5188</v>
      </c>
      <c r="D106" s="113" t="s">
        <v>5194</v>
      </c>
      <c r="E106" s="114">
        <v>0.9</v>
      </c>
      <c r="F106" s="114">
        <v>0.7</v>
      </c>
      <c r="G106" s="114">
        <v>0.7</v>
      </c>
      <c r="H106" s="114">
        <v>0</v>
      </c>
      <c r="I106" s="114">
        <v>0.13</v>
      </c>
      <c r="J106" s="114">
        <v>500</v>
      </c>
      <c r="K106" s="113" t="s">
        <v>5194</v>
      </c>
      <c r="L106" s="113" t="s">
        <v>5194</v>
      </c>
      <c r="M106" s="114">
        <v>1600</v>
      </c>
    </row>
    <row r="107" spans="1:13" ht="17.25" customHeight="1">
      <c r="A107" s="113" t="s">
        <v>5236</v>
      </c>
      <c r="B107" s="113" t="s">
        <v>5236</v>
      </c>
      <c r="C107" s="113" t="s">
        <v>5188</v>
      </c>
      <c r="D107" s="113" t="s">
        <v>5194</v>
      </c>
      <c r="E107" s="114">
        <v>0.9</v>
      </c>
      <c r="F107" s="114">
        <v>0.7</v>
      </c>
      <c r="G107" s="114">
        <v>0.7</v>
      </c>
      <c r="H107" s="114">
        <v>0</v>
      </c>
      <c r="I107" s="114">
        <v>1</v>
      </c>
      <c r="J107" s="114">
        <v>2000</v>
      </c>
      <c r="K107" s="113" t="s">
        <v>5194</v>
      </c>
      <c r="L107" s="113" t="s">
        <v>5194</v>
      </c>
      <c r="M107" s="114">
        <v>1130</v>
      </c>
    </row>
    <row r="108" spans="1:13" ht="17.25" customHeight="1">
      <c r="A108" s="113" t="s">
        <v>5239</v>
      </c>
      <c r="B108" s="113" t="s">
        <v>5239</v>
      </c>
      <c r="C108" s="113" t="s">
        <v>5188</v>
      </c>
      <c r="D108" s="113" t="s">
        <v>5194</v>
      </c>
      <c r="E108" s="114">
        <v>0.9</v>
      </c>
      <c r="F108" s="114">
        <v>0.7</v>
      </c>
      <c r="G108" s="114">
        <v>0.7</v>
      </c>
      <c r="H108" s="114">
        <v>0</v>
      </c>
      <c r="I108" s="114">
        <v>4.1000000000000002E-2</v>
      </c>
      <c r="J108" s="114">
        <v>155</v>
      </c>
      <c r="K108" s="113" t="s">
        <v>5194</v>
      </c>
      <c r="L108" s="113" t="s">
        <v>5194</v>
      </c>
      <c r="M108" s="114">
        <v>1130</v>
      </c>
    </row>
    <row r="109" spans="1:13" ht="17.25" customHeight="1">
      <c r="A109" s="113" t="s">
        <v>5241</v>
      </c>
      <c r="B109" s="113" t="s">
        <v>5241</v>
      </c>
      <c r="C109" s="113" t="s">
        <v>5188</v>
      </c>
      <c r="D109" s="113" t="s">
        <v>5194</v>
      </c>
      <c r="E109" s="114">
        <v>0.9</v>
      </c>
      <c r="F109" s="114">
        <v>0.7</v>
      </c>
      <c r="G109" s="114">
        <v>0.7</v>
      </c>
      <c r="H109" s="114">
        <v>0</v>
      </c>
      <c r="I109" s="114">
        <v>3.4000000000000002E-2</v>
      </c>
      <c r="J109" s="114">
        <v>35</v>
      </c>
      <c r="K109" s="113" t="s">
        <v>5194</v>
      </c>
      <c r="L109" s="113" t="s">
        <v>5194</v>
      </c>
      <c r="M109" s="114">
        <v>1400</v>
      </c>
    </row>
    <row r="110" spans="1:13" ht="17.25" customHeight="1">
      <c r="A110" s="113" t="s">
        <v>5316</v>
      </c>
      <c r="B110" s="113" t="s">
        <v>5316</v>
      </c>
      <c r="C110" s="113" t="s">
        <v>5188</v>
      </c>
      <c r="D110" s="113" t="s">
        <v>5194</v>
      </c>
      <c r="E110" s="114">
        <v>0.9</v>
      </c>
      <c r="F110" s="114">
        <v>0.7</v>
      </c>
      <c r="G110" s="114">
        <v>0.7</v>
      </c>
      <c r="H110" s="114">
        <v>0</v>
      </c>
      <c r="I110" s="114">
        <v>0.56000000000000005</v>
      </c>
      <c r="J110" s="114">
        <v>1200</v>
      </c>
      <c r="K110" s="113" t="s">
        <v>5194</v>
      </c>
      <c r="L110" s="113" t="s">
        <v>5194</v>
      </c>
      <c r="M110" s="114">
        <v>1000</v>
      </c>
    </row>
    <row r="111" spans="1:13" ht="17.25" customHeight="1">
      <c r="A111" s="113" t="s">
        <v>5317</v>
      </c>
      <c r="B111" s="113" t="s">
        <v>5317</v>
      </c>
      <c r="C111" s="113" t="s">
        <v>5188</v>
      </c>
      <c r="D111" s="113" t="s">
        <v>5194</v>
      </c>
      <c r="E111" s="114">
        <v>0.9</v>
      </c>
      <c r="F111" s="114">
        <v>0.7</v>
      </c>
      <c r="G111" s="114">
        <v>0.7</v>
      </c>
      <c r="H111" s="114">
        <v>0</v>
      </c>
      <c r="I111" s="114">
        <v>0.7</v>
      </c>
      <c r="J111" s="114">
        <v>1800</v>
      </c>
      <c r="K111" s="113" t="s">
        <v>5194</v>
      </c>
      <c r="L111" s="113" t="s">
        <v>5194</v>
      </c>
      <c r="M111" s="114">
        <v>1000</v>
      </c>
    </row>
    <row r="112" spans="1:13" ht="17.25" customHeight="1">
      <c r="A112" s="113" t="s">
        <v>5318</v>
      </c>
      <c r="B112" s="113" t="s">
        <v>5318</v>
      </c>
      <c r="C112" s="113" t="s">
        <v>5188</v>
      </c>
      <c r="D112" s="113" t="s">
        <v>5194</v>
      </c>
      <c r="E112" s="114">
        <v>0.9</v>
      </c>
      <c r="F112" s="114">
        <v>0.7</v>
      </c>
      <c r="G112" s="114">
        <v>0.7</v>
      </c>
      <c r="H112" s="114">
        <v>0</v>
      </c>
      <c r="I112" s="114">
        <v>3.5000000000000003E-2</v>
      </c>
      <c r="J112" s="114">
        <v>120</v>
      </c>
      <c r="K112" s="113" t="s">
        <v>5194</v>
      </c>
      <c r="L112" s="113" t="s">
        <v>5194</v>
      </c>
      <c r="M112" s="114">
        <v>1030</v>
      </c>
    </row>
    <row r="113" spans="1:13" ht="17.25" customHeight="1">
      <c r="A113" s="113" t="s">
        <v>5319</v>
      </c>
      <c r="B113" s="113" t="s">
        <v>5319</v>
      </c>
      <c r="C113" s="113" t="s">
        <v>5188</v>
      </c>
      <c r="D113" s="113" t="s">
        <v>5194</v>
      </c>
      <c r="E113" s="114">
        <v>0.9</v>
      </c>
      <c r="F113" s="114">
        <v>0.7</v>
      </c>
      <c r="G113" s="114">
        <v>0.7</v>
      </c>
      <c r="H113" s="114">
        <v>0</v>
      </c>
      <c r="I113" s="114">
        <v>4.2000000000000003E-2</v>
      </c>
      <c r="J113" s="114">
        <v>42.5</v>
      </c>
      <c r="K113" s="113" t="s">
        <v>5194</v>
      </c>
      <c r="L113" s="113" t="s">
        <v>5194</v>
      </c>
      <c r="M113" s="114">
        <v>1380</v>
      </c>
    </row>
    <row r="114" spans="1:13" ht="17.25" customHeight="1">
      <c r="A114" s="113" t="s">
        <v>5320</v>
      </c>
      <c r="B114" s="113" t="s">
        <v>5320</v>
      </c>
      <c r="C114" s="113" t="s">
        <v>5188</v>
      </c>
      <c r="D114" s="113" t="s">
        <v>5194</v>
      </c>
      <c r="E114" s="114">
        <v>0.9</v>
      </c>
      <c r="F114" s="114">
        <v>0.7</v>
      </c>
      <c r="G114" s="114">
        <v>0.7</v>
      </c>
      <c r="H114" s="114">
        <v>0</v>
      </c>
      <c r="I114" s="114">
        <v>0.38400000000000001</v>
      </c>
      <c r="J114" s="114">
        <v>1650</v>
      </c>
      <c r="K114" s="113" t="s">
        <v>5194</v>
      </c>
      <c r="L114" s="113" t="s">
        <v>5194</v>
      </c>
      <c r="M114" s="114">
        <v>837</v>
      </c>
    </row>
    <row r="115" spans="1:13" ht="17.25" customHeight="1">
      <c r="A115" s="113" t="s">
        <v>5321</v>
      </c>
      <c r="B115" s="113" t="s">
        <v>5321</v>
      </c>
      <c r="C115" s="113" t="s">
        <v>5188</v>
      </c>
      <c r="D115" s="113" t="s">
        <v>5194</v>
      </c>
      <c r="E115" s="114">
        <v>0.9</v>
      </c>
      <c r="F115" s="114">
        <v>0.7</v>
      </c>
      <c r="G115" s="114">
        <v>0.7</v>
      </c>
      <c r="H115" s="114">
        <v>0</v>
      </c>
      <c r="I115" s="114">
        <v>0.12</v>
      </c>
      <c r="J115" s="114">
        <v>530</v>
      </c>
      <c r="K115" s="113" t="s">
        <v>5194</v>
      </c>
      <c r="L115" s="113" t="s">
        <v>5194</v>
      </c>
      <c r="M115" s="114">
        <v>1600</v>
      </c>
    </row>
    <row r="116" spans="1:13" ht="17.25" customHeight="1">
      <c r="A116" s="113" t="s">
        <v>5322</v>
      </c>
      <c r="B116" s="113" t="s">
        <v>5322</v>
      </c>
      <c r="C116" s="113" t="s">
        <v>5188</v>
      </c>
      <c r="D116" s="113" t="s">
        <v>5194</v>
      </c>
      <c r="E116" s="114">
        <v>0.9</v>
      </c>
      <c r="F116" s="114">
        <v>0.7</v>
      </c>
      <c r="G116" s="114">
        <v>0.7</v>
      </c>
      <c r="H116" s="114">
        <v>0</v>
      </c>
      <c r="I116" s="114">
        <v>2</v>
      </c>
      <c r="J116" s="114">
        <v>2400</v>
      </c>
      <c r="K116" s="113" t="s">
        <v>5194</v>
      </c>
      <c r="L116" s="113" t="s">
        <v>5194</v>
      </c>
      <c r="M116" s="114">
        <v>950</v>
      </c>
    </row>
    <row r="117" spans="1:13" ht="17.25" customHeight="1">
      <c r="A117" s="113" t="s">
        <v>5323</v>
      </c>
      <c r="B117" s="113" t="s">
        <v>5323</v>
      </c>
      <c r="C117" s="113" t="s">
        <v>5188</v>
      </c>
      <c r="D117" s="113" t="s">
        <v>5194</v>
      </c>
      <c r="E117" s="114">
        <v>0.9</v>
      </c>
      <c r="F117" s="114">
        <v>0.7</v>
      </c>
      <c r="G117" s="114">
        <v>0.7</v>
      </c>
      <c r="H117" s="114">
        <v>0</v>
      </c>
      <c r="I117" s="114">
        <v>2.5000000000000001E-2</v>
      </c>
      <c r="J117" s="114">
        <v>20</v>
      </c>
      <c r="K117" s="113" t="s">
        <v>5194</v>
      </c>
      <c r="L117" s="113" t="s">
        <v>5194</v>
      </c>
      <c r="M117" s="114">
        <v>1030</v>
      </c>
    </row>
    <row r="118" spans="1:13" ht="17.25" customHeight="1">
      <c r="A118" s="113" t="s">
        <v>5324</v>
      </c>
      <c r="B118" s="113" t="s">
        <v>5324</v>
      </c>
      <c r="C118" s="113" t="s">
        <v>5188</v>
      </c>
      <c r="D118" s="113" t="s">
        <v>5194</v>
      </c>
      <c r="E118" s="114">
        <v>0.9</v>
      </c>
      <c r="F118" s="114">
        <v>0.7</v>
      </c>
      <c r="G118" s="114">
        <v>0.7</v>
      </c>
      <c r="H118" s="114">
        <v>0</v>
      </c>
      <c r="I118" s="114">
        <v>4.3906250000000001E-2</v>
      </c>
      <c r="J118" s="114">
        <v>66.875</v>
      </c>
      <c r="K118" s="113" t="s">
        <v>5194</v>
      </c>
      <c r="L118" s="113" t="s">
        <v>5194</v>
      </c>
      <c r="M118" s="114">
        <v>1083.4375</v>
      </c>
    </row>
    <row r="119" spans="1:13" ht="17.25" customHeight="1">
      <c r="A119" s="113" t="s">
        <v>5325</v>
      </c>
      <c r="B119" s="113" t="s">
        <v>5325</v>
      </c>
      <c r="C119" s="113" t="s">
        <v>5188</v>
      </c>
      <c r="D119" s="113" t="s">
        <v>5194</v>
      </c>
      <c r="E119" s="114">
        <v>0.9</v>
      </c>
      <c r="F119" s="114">
        <v>0.7</v>
      </c>
      <c r="G119" s="114">
        <v>0.7</v>
      </c>
      <c r="H119" s="114">
        <v>0</v>
      </c>
      <c r="I119" s="114">
        <v>0.26162360000000001</v>
      </c>
      <c r="J119" s="114">
        <v>59.211199999999998</v>
      </c>
      <c r="K119" s="113" t="s">
        <v>5194</v>
      </c>
      <c r="L119" s="113" t="s">
        <v>5194</v>
      </c>
      <c r="M119" s="114">
        <v>1027.2280000000001</v>
      </c>
    </row>
    <row r="120" spans="1:13" ht="17.25" customHeight="1">
      <c r="A120" s="113" t="s">
        <v>5326</v>
      </c>
      <c r="B120" s="113" t="s">
        <v>5326</v>
      </c>
      <c r="C120" s="113" t="s">
        <v>5188</v>
      </c>
      <c r="D120" s="113" t="s">
        <v>5202</v>
      </c>
      <c r="E120" s="114">
        <v>0.9</v>
      </c>
      <c r="F120" s="114">
        <v>0.7</v>
      </c>
      <c r="G120" s="114">
        <v>0.7</v>
      </c>
      <c r="H120" s="114">
        <v>0</v>
      </c>
      <c r="I120" s="114">
        <v>0.2</v>
      </c>
      <c r="J120" s="114">
        <v>1050</v>
      </c>
      <c r="K120" s="113" t="s">
        <v>5202</v>
      </c>
      <c r="L120" s="113" t="s">
        <v>5202</v>
      </c>
      <c r="M120" s="114">
        <v>1500</v>
      </c>
    </row>
    <row r="121" spans="1:13" ht="17.25" customHeight="1">
      <c r="A121" s="113" t="s">
        <v>5327</v>
      </c>
      <c r="B121" s="113" t="s">
        <v>5327</v>
      </c>
      <c r="C121" s="113" t="s">
        <v>5188</v>
      </c>
      <c r="D121" s="113" t="s">
        <v>5198</v>
      </c>
      <c r="E121" s="114">
        <v>0.9</v>
      </c>
      <c r="F121" s="114">
        <v>0.7</v>
      </c>
      <c r="G121" s="114">
        <v>0.7</v>
      </c>
      <c r="H121" s="114">
        <v>0</v>
      </c>
      <c r="I121" s="114">
        <v>0.09</v>
      </c>
      <c r="J121" s="114">
        <v>592</v>
      </c>
      <c r="K121" s="113" t="s">
        <v>5198</v>
      </c>
      <c r="L121" s="113" t="s">
        <v>5198</v>
      </c>
      <c r="M121" s="114">
        <v>1170</v>
      </c>
    </row>
    <row r="122" spans="1:13" ht="17.25" customHeight="1">
      <c r="A122" s="113" t="s">
        <v>5328</v>
      </c>
      <c r="B122" s="113" t="s">
        <v>5328</v>
      </c>
      <c r="C122" s="113" t="s">
        <v>5188</v>
      </c>
      <c r="D122" s="113" t="s">
        <v>5329</v>
      </c>
      <c r="E122" s="114">
        <v>0.9</v>
      </c>
      <c r="F122" s="114">
        <v>0.7</v>
      </c>
      <c r="G122" s="114">
        <v>0.7</v>
      </c>
      <c r="H122" s="114">
        <v>0</v>
      </c>
      <c r="I122" s="114">
        <v>1.59</v>
      </c>
      <c r="J122" s="114">
        <v>1920</v>
      </c>
      <c r="K122" s="113" t="s">
        <v>5329</v>
      </c>
      <c r="L122" s="113" t="s">
        <v>5329</v>
      </c>
      <c r="M122" s="114">
        <v>1260</v>
      </c>
    </row>
    <row r="123" spans="1:13" ht="17.25" customHeight="1">
      <c r="A123" s="113" t="s">
        <v>5330</v>
      </c>
      <c r="B123" s="113" t="s">
        <v>5330</v>
      </c>
      <c r="C123" s="113" t="s">
        <v>5188</v>
      </c>
      <c r="D123" s="113" t="s">
        <v>5329</v>
      </c>
      <c r="E123" s="114">
        <v>0.9</v>
      </c>
      <c r="F123" s="114">
        <v>0.7</v>
      </c>
      <c r="G123" s="114">
        <v>0.7</v>
      </c>
      <c r="H123" s="114">
        <v>0</v>
      </c>
      <c r="I123" s="114">
        <v>0.04</v>
      </c>
      <c r="J123" s="114">
        <v>592</v>
      </c>
      <c r="K123" s="113" t="s">
        <v>5329</v>
      </c>
      <c r="L123" s="113" t="s">
        <v>5329</v>
      </c>
      <c r="M123" s="114">
        <v>1300</v>
      </c>
    </row>
    <row r="124" spans="1:13" ht="17.25" customHeight="1">
      <c r="A124" s="113" t="s">
        <v>5298</v>
      </c>
      <c r="B124" s="113" t="s">
        <v>5298</v>
      </c>
      <c r="C124" s="113" t="s">
        <v>5188</v>
      </c>
      <c r="D124" s="113" t="s">
        <v>5198</v>
      </c>
      <c r="E124" s="114">
        <v>0.9</v>
      </c>
      <c r="F124" s="114">
        <v>0.7</v>
      </c>
      <c r="G124" s="114">
        <v>0.7</v>
      </c>
      <c r="H124" s="114">
        <v>0</v>
      </c>
      <c r="I124" s="114">
        <v>0.06</v>
      </c>
      <c r="J124" s="114">
        <v>368</v>
      </c>
      <c r="K124" s="113" t="s">
        <v>5198</v>
      </c>
      <c r="L124" s="113" t="s">
        <v>5198</v>
      </c>
      <c r="M124" s="114">
        <v>590</v>
      </c>
    </row>
    <row r="125" spans="1:13" ht="17.25" customHeight="1">
      <c r="A125" s="113" t="s">
        <v>5240</v>
      </c>
      <c r="B125" s="113" t="s">
        <v>5240</v>
      </c>
      <c r="C125" s="113" t="s">
        <v>5188</v>
      </c>
      <c r="D125" s="113" t="s">
        <v>5189</v>
      </c>
      <c r="E125" s="114">
        <v>0.9</v>
      </c>
      <c r="F125" s="114">
        <v>0.7</v>
      </c>
      <c r="G125" s="114">
        <v>0.7</v>
      </c>
      <c r="H125" s="114">
        <v>0</v>
      </c>
      <c r="I125" s="114">
        <v>0.06</v>
      </c>
      <c r="J125" s="114">
        <v>288</v>
      </c>
      <c r="K125" s="113" t="s">
        <v>5189</v>
      </c>
      <c r="L125" s="113" t="s">
        <v>5189</v>
      </c>
      <c r="M125" s="114">
        <v>1380</v>
      </c>
    </row>
    <row r="126" spans="1:13" ht="17.25" customHeight="1">
      <c r="A126" s="113" t="s">
        <v>5331</v>
      </c>
      <c r="B126" s="113" t="s">
        <v>5331</v>
      </c>
      <c r="C126" s="113" t="s">
        <v>5188</v>
      </c>
      <c r="D126" s="113" t="s">
        <v>5194</v>
      </c>
      <c r="E126" s="114">
        <v>0.9</v>
      </c>
      <c r="F126" s="114">
        <v>0.7</v>
      </c>
      <c r="G126" s="114">
        <v>0.7</v>
      </c>
      <c r="H126" s="114">
        <v>0</v>
      </c>
      <c r="I126" s="114">
        <v>1.8</v>
      </c>
      <c r="J126" s="114">
        <v>2560</v>
      </c>
      <c r="K126" s="113" t="s">
        <v>5194</v>
      </c>
      <c r="L126" s="113" t="s">
        <v>5194</v>
      </c>
      <c r="M126" s="114">
        <v>790</v>
      </c>
    </row>
    <row r="127" spans="1:13" ht="17.25" customHeight="1">
      <c r="A127" s="113" t="s">
        <v>5220</v>
      </c>
      <c r="B127" s="113" t="s">
        <v>5220</v>
      </c>
      <c r="C127" s="113" t="s">
        <v>5188</v>
      </c>
      <c r="D127" s="113" t="s">
        <v>5198</v>
      </c>
      <c r="E127" s="114">
        <v>0.9</v>
      </c>
      <c r="F127" s="114">
        <v>0.7</v>
      </c>
      <c r="G127" s="114">
        <v>0.7</v>
      </c>
      <c r="H127" s="114">
        <v>0</v>
      </c>
      <c r="I127" s="114">
        <v>0.16</v>
      </c>
      <c r="J127" s="114">
        <v>800</v>
      </c>
      <c r="K127" s="113" t="s">
        <v>5198</v>
      </c>
      <c r="L127" s="113" t="s">
        <v>5198</v>
      </c>
      <c r="M127" s="114">
        <v>1090</v>
      </c>
    </row>
    <row r="128" spans="1:13" ht="17.25" customHeight="1">
      <c r="A128" s="113" t="s">
        <v>5332</v>
      </c>
      <c r="B128" s="113" t="s">
        <v>5332</v>
      </c>
      <c r="C128" s="113" t="s">
        <v>5188</v>
      </c>
      <c r="D128" s="113" t="s">
        <v>5202</v>
      </c>
      <c r="E128" s="114">
        <v>0.9</v>
      </c>
      <c r="F128" s="114">
        <v>0.7</v>
      </c>
      <c r="G128" s="114">
        <v>0.7</v>
      </c>
      <c r="H128" s="114">
        <v>0</v>
      </c>
      <c r="I128" s="114">
        <v>0.12</v>
      </c>
      <c r="J128" s="114">
        <v>544</v>
      </c>
      <c r="K128" s="113" t="s">
        <v>5202</v>
      </c>
      <c r="L128" s="113" t="s">
        <v>5202</v>
      </c>
      <c r="M128" s="114">
        <v>1210</v>
      </c>
    </row>
    <row r="129" spans="1:13" ht="17.25" customHeight="1">
      <c r="A129" s="113" t="s">
        <v>5333</v>
      </c>
      <c r="B129" s="113" t="s">
        <v>5333</v>
      </c>
      <c r="C129" s="113" t="s">
        <v>5188</v>
      </c>
      <c r="D129" s="113" t="s">
        <v>5202</v>
      </c>
      <c r="E129" s="114">
        <v>0.9</v>
      </c>
      <c r="F129" s="114">
        <v>0.7</v>
      </c>
      <c r="G129" s="114">
        <v>0.7</v>
      </c>
      <c r="H129" s="114">
        <v>0</v>
      </c>
      <c r="I129" s="114">
        <v>7.0000000000000007E-2</v>
      </c>
      <c r="J129" s="114">
        <v>400</v>
      </c>
      <c r="K129" s="113" t="s">
        <v>5202</v>
      </c>
      <c r="L129" s="113" t="s">
        <v>5202</v>
      </c>
      <c r="M129" s="114">
        <v>1300</v>
      </c>
    </row>
    <row r="130" spans="1:13" ht="17.25" customHeight="1">
      <c r="A130" s="113" t="s">
        <v>5334</v>
      </c>
      <c r="B130" s="113" t="s">
        <v>5334</v>
      </c>
      <c r="C130" s="113" t="s">
        <v>5188</v>
      </c>
      <c r="D130" s="113" t="s">
        <v>5198</v>
      </c>
      <c r="E130" s="114">
        <v>0.9</v>
      </c>
      <c r="F130" s="114">
        <v>0.7</v>
      </c>
      <c r="G130" s="114">
        <v>0.7</v>
      </c>
      <c r="H130" s="114">
        <v>0</v>
      </c>
      <c r="I130" s="114">
        <v>0.15</v>
      </c>
      <c r="J130" s="114">
        <v>608</v>
      </c>
      <c r="K130" s="113" t="s">
        <v>5198</v>
      </c>
      <c r="L130" s="113" t="s">
        <v>5198</v>
      </c>
      <c r="M130" s="114">
        <v>1630</v>
      </c>
    </row>
    <row r="131" spans="1:13" ht="17.25" customHeight="1">
      <c r="A131" s="113" t="s">
        <v>5335</v>
      </c>
      <c r="B131" s="113" t="s">
        <v>5335</v>
      </c>
      <c r="C131" s="113" t="s">
        <v>5188</v>
      </c>
      <c r="D131" s="113" t="s">
        <v>5189</v>
      </c>
      <c r="E131" s="114">
        <v>0.9</v>
      </c>
      <c r="F131" s="114">
        <v>0.7</v>
      </c>
      <c r="G131" s="114">
        <v>0.7</v>
      </c>
      <c r="H131" s="114">
        <v>0</v>
      </c>
      <c r="I131" s="114">
        <v>0.03</v>
      </c>
      <c r="J131" s="114">
        <v>43</v>
      </c>
      <c r="K131" s="113" t="s">
        <v>5189</v>
      </c>
      <c r="L131" s="113" t="s">
        <v>5189</v>
      </c>
      <c r="M131" s="114">
        <v>1210</v>
      </c>
    </row>
    <row r="132" spans="1:13" ht="17.25" customHeight="1">
      <c r="A132" s="113" t="s">
        <v>5336</v>
      </c>
      <c r="B132" s="113" t="s">
        <v>5336</v>
      </c>
      <c r="C132" s="113" t="s">
        <v>5188</v>
      </c>
      <c r="D132" s="113" t="s">
        <v>5329</v>
      </c>
      <c r="E132" s="114">
        <v>0.9</v>
      </c>
      <c r="F132" s="114">
        <v>0.7</v>
      </c>
      <c r="G132" s="114">
        <v>0.7</v>
      </c>
      <c r="H132" s="114">
        <v>0</v>
      </c>
      <c r="I132" s="114">
        <v>0.05</v>
      </c>
      <c r="J132" s="114">
        <v>19</v>
      </c>
      <c r="K132" s="113" t="s">
        <v>5329</v>
      </c>
      <c r="L132" s="113" t="s">
        <v>5329</v>
      </c>
      <c r="M132" s="114">
        <v>960</v>
      </c>
    </row>
    <row r="133" spans="1:13" ht="17.25" customHeight="1">
      <c r="A133" s="113" t="s">
        <v>5337</v>
      </c>
      <c r="B133" s="113" t="s">
        <v>5337</v>
      </c>
      <c r="C133" s="113" t="s">
        <v>5188</v>
      </c>
      <c r="D133" s="113" t="s">
        <v>5189</v>
      </c>
      <c r="E133" s="114">
        <v>0.9</v>
      </c>
      <c r="F133" s="114">
        <v>0.7</v>
      </c>
      <c r="G133" s="114">
        <v>0.7</v>
      </c>
      <c r="H133" s="114">
        <v>0</v>
      </c>
      <c r="I133" s="114">
        <v>0.89</v>
      </c>
      <c r="J133" s="114">
        <v>1920</v>
      </c>
      <c r="K133" s="113" t="s">
        <v>5189</v>
      </c>
      <c r="L133" s="113" t="s">
        <v>5189</v>
      </c>
      <c r="M133" s="114">
        <v>790</v>
      </c>
    </row>
    <row r="134" spans="1:13" ht="17.25" customHeight="1">
      <c r="A134" s="113" t="s">
        <v>5338</v>
      </c>
      <c r="B134" s="113" t="s">
        <v>5338</v>
      </c>
      <c r="C134" s="113" t="s">
        <v>5188</v>
      </c>
      <c r="D134" s="113" t="s">
        <v>5202</v>
      </c>
      <c r="E134" s="114">
        <v>0.9</v>
      </c>
      <c r="F134" s="114">
        <v>0.7</v>
      </c>
      <c r="G134" s="114">
        <v>0.7</v>
      </c>
      <c r="H134" s="114">
        <v>0</v>
      </c>
      <c r="I134" s="114">
        <v>0.57999999999999996</v>
      </c>
      <c r="J134" s="114">
        <v>1900</v>
      </c>
      <c r="K134" s="113" t="s">
        <v>5202</v>
      </c>
      <c r="L134" s="113" t="s">
        <v>5202</v>
      </c>
      <c r="M134" s="114">
        <v>1000</v>
      </c>
    </row>
    <row r="135" spans="1:13" ht="17.25" customHeight="1">
      <c r="A135" s="113" t="s">
        <v>5339</v>
      </c>
      <c r="B135" s="113" t="s">
        <v>5339</v>
      </c>
      <c r="C135" s="113" t="s">
        <v>5188</v>
      </c>
      <c r="D135" s="113" t="s">
        <v>5198</v>
      </c>
      <c r="E135" s="114">
        <v>0.9</v>
      </c>
      <c r="F135" s="114">
        <v>0.7</v>
      </c>
      <c r="G135" s="114">
        <v>0.7</v>
      </c>
      <c r="H135" s="114">
        <v>0</v>
      </c>
      <c r="I135" s="114">
        <v>0.57999999999999996</v>
      </c>
      <c r="J135" s="114">
        <v>800</v>
      </c>
      <c r="K135" s="113" t="s">
        <v>5198</v>
      </c>
      <c r="L135" s="113" t="s">
        <v>5198</v>
      </c>
      <c r="M135" s="114">
        <v>1090</v>
      </c>
    </row>
    <row r="136" spans="1:13" ht="17.25" customHeight="1">
      <c r="A136" s="113" t="s">
        <v>5340</v>
      </c>
      <c r="B136" s="113" t="s">
        <v>5340</v>
      </c>
      <c r="C136" s="113" t="s">
        <v>5188</v>
      </c>
      <c r="D136" s="113" t="s">
        <v>5198</v>
      </c>
      <c r="E136" s="114">
        <v>0.9</v>
      </c>
      <c r="F136" s="114">
        <v>0.7</v>
      </c>
      <c r="G136" s="114">
        <v>0.7</v>
      </c>
      <c r="H136" s="114">
        <v>0</v>
      </c>
      <c r="I136" s="114">
        <v>0.12</v>
      </c>
      <c r="J136" s="114">
        <v>540</v>
      </c>
      <c r="K136" s="113" t="s">
        <v>5198</v>
      </c>
      <c r="L136" s="113" t="s">
        <v>5198</v>
      </c>
      <c r="M136" s="114">
        <v>1210</v>
      </c>
    </row>
    <row r="137" spans="1:13" ht="17.25" customHeight="1">
      <c r="A137" s="113" t="s">
        <v>5341</v>
      </c>
      <c r="B137" s="113" t="s">
        <v>5341</v>
      </c>
      <c r="C137" s="113" t="s">
        <v>5188</v>
      </c>
      <c r="D137" s="113" t="s">
        <v>5202</v>
      </c>
      <c r="E137" s="114">
        <v>0.9</v>
      </c>
      <c r="F137" s="114">
        <v>0.7</v>
      </c>
      <c r="G137" s="114">
        <v>0.7</v>
      </c>
      <c r="H137" s="114">
        <v>0</v>
      </c>
      <c r="I137" s="114">
        <v>0.12</v>
      </c>
      <c r="J137" s="114">
        <v>540</v>
      </c>
      <c r="K137" s="113" t="s">
        <v>5202</v>
      </c>
      <c r="L137" s="113" t="s">
        <v>5202</v>
      </c>
      <c r="M137" s="114">
        <v>1210</v>
      </c>
    </row>
    <row r="138" spans="1:13" ht="17.25" customHeight="1">
      <c r="A138" s="113" t="s">
        <v>5237</v>
      </c>
      <c r="B138" s="113" t="s">
        <v>5237</v>
      </c>
      <c r="C138" s="113" t="s">
        <v>5188</v>
      </c>
      <c r="D138" s="113" t="s">
        <v>5202</v>
      </c>
      <c r="E138" s="114">
        <v>0.9</v>
      </c>
      <c r="F138" s="114">
        <v>0.7</v>
      </c>
      <c r="G138" s="114">
        <v>0.7</v>
      </c>
      <c r="H138" s="114">
        <v>0</v>
      </c>
      <c r="I138" s="114">
        <v>5.5E-2</v>
      </c>
      <c r="J138" s="114">
        <v>290</v>
      </c>
      <c r="K138" s="113" t="s">
        <v>5202</v>
      </c>
      <c r="L138" s="113" t="s">
        <v>5202</v>
      </c>
      <c r="M138" s="114">
        <v>1300</v>
      </c>
    </row>
    <row r="139" spans="1:13" ht="17.25" customHeight="1">
      <c r="A139" s="113" t="s">
        <v>5238</v>
      </c>
      <c r="B139" s="113" t="s">
        <v>5238</v>
      </c>
      <c r="C139" s="113" t="s">
        <v>5188</v>
      </c>
      <c r="D139" s="113" t="s">
        <v>5202</v>
      </c>
      <c r="E139" s="114">
        <v>0.9</v>
      </c>
      <c r="F139" s="114">
        <v>0.7</v>
      </c>
      <c r="G139" s="114">
        <v>0.7</v>
      </c>
      <c r="H139" s="114">
        <v>0</v>
      </c>
      <c r="I139" s="114">
        <v>5.7000000000000002E-2</v>
      </c>
      <c r="J139" s="114">
        <v>350</v>
      </c>
      <c r="K139" s="113" t="s">
        <v>5202</v>
      </c>
      <c r="L139" s="113" t="s">
        <v>5202</v>
      </c>
      <c r="M139" s="114">
        <v>1300</v>
      </c>
    </row>
    <row r="140" spans="1:13" ht="17.25" customHeight="1">
      <c r="A140" s="113" t="s">
        <v>5342</v>
      </c>
      <c r="B140" s="113" t="s">
        <v>5342</v>
      </c>
      <c r="C140" s="113" t="s">
        <v>5188</v>
      </c>
      <c r="D140" s="113" t="s">
        <v>5202</v>
      </c>
      <c r="E140" s="114">
        <v>0.9</v>
      </c>
      <c r="F140" s="114">
        <v>0.7</v>
      </c>
      <c r="G140" s="114">
        <v>0.7</v>
      </c>
      <c r="H140" s="114">
        <v>0</v>
      </c>
      <c r="I140" s="114">
        <v>5.7000000000000002E-2</v>
      </c>
      <c r="J140" s="114">
        <v>400</v>
      </c>
      <c r="K140" s="113" t="s">
        <v>5202</v>
      </c>
      <c r="L140" s="113" t="s">
        <v>5202</v>
      </c>
      <c r="M140" s="114">
        <v>1300</v>
      </c>
    </row>
    <row r="141" spans="1:13" ht="17.25" customHeight="1">
      <c r="A141" s="113" t="s">
        <v>5343</v>
      </c>
      <c r="B141" s="113" t="s">
        <v>5343</v>
      </c>
      <c r="C141" s="113" t="s">
        <v>5188</v>
      </c>
      <c r="D141" s="113" t="s">
        <v>5202</v>
      </c>
      <c r="E141" s="114">
        <v>0.9</v>
      </c>
      <c r="F141" s="114">
        <v>0.7</v>
      </c>
      <c r="G141" s="114">
        <v>0.7</v>
      </c>
      <c r="H141" s="114">
        <v>0</v>
      </c>
      <c r="I141" s="114">
        <v>6.3E-2</v>
      </c>
      <c r="J141" s="114">
        <v>290</v>
      </c>
      <c r="K141" s="113" t="s">
        <v>5202</v>
      </c>
      <c r="L141" s="113" t="s">
        <v>5202</v>
      </c>
      <c r="M141" s="114">
        <v>1300</v>
      </c>
    </row>
    <row r="142" spans="1:13" ht="17.25" customHeight="1">
      <c r="A142" s="113" t="s">
        <v>5344</v>
      </c>
      <c r="B142" s="113" t="s">
        <v>5344</v>
      </c>
      <c r="C142" s="113" t="s">
        <v>5188</v>
      </c>
      <c r="D142" s="113" t="s">
        <v>5202</v>
      </c>
      <c r="E142" s="114">
        <v>0.9</v>
      </c>
      <c r="F142" s="114">
        <v>0.7</v>
      </c>
      <c r="G142" s="114">
        <v>0.7</v>
      </c>
      <c r="H142" s="114">
        <v>0</v>
      </c>
      <c r="I142" s="114">
        <v>6.3E-2</v>
      </c>
      <c r="J142" s="114">
        <v>240</v>
      </c>
      <c r="K142" s="113" t="s">
        <v>5202</v>
      </c>
      <c r="L142" s="113" t="s">
        <v>5202</v>
      </c>
      <c r="M142" s="114">
        <v>1260</v>
      </c>
    </row>
    <row r="143" spans="1:13" ht="17.25" customHeight="1">
      <c r="A143" s="113" t="s">
        <v>5345</v>
      </c>
      <c r="B143" s="113" t="s">
        <v>5345</v>
      </c>
      <c r="C143" s="113" t="s">
        <v>5188</v>
      </c>
      <c r="D143" s="113" t="s">
        <v>5198</v>
      </c>
      <c r="E143" s="114">
        <v>0.9</v>
      </c>
      <c r="F143" s="114">
        <v>0.7</v>
      </c>
      <c r="G143" s="114">
        <v>0.7</v>
      </c>
      <c r="H143" s="114">
        <v>0</v>
      </c>
      <c r="I143" s="114">
        <v>5.7000000000000002E-2</v>
      </c>
      <c r="J143" s="114">
        <v>290</v>
      </c>
      <c r="K143" s="113" t="s">
        <v>5198</v>
      </c>
      <c r="L143" s="113" t="s">
        <v>5198</v>
      </c>
      <c r="M143" s="114">
        <v>590</v>
      </c>
    </row>
    <row r="144" spans="1:13" ht="17.25" customHeight="1">
      <c r="A144" s="113" t="s">
        <v>5346</v>
      </c>
      <c r="B144" s="113" t="s">
        <v>5346</v>
      </c>
      <c r="C144" s="113" t="s">
        <v>5188</v>
      </c>
      <c r="D144" s="113" t="s">
        <v>5198</v>
      </c>
      <c r="E144" s="114">
        <v>0.9</v>
      </c>
      <c r="F144" s="114">
        <v>0.7</v>
      </c>
      <c r="G144" s="114">
        <v>0.7</v>
      </c>
      <c r="H144" s="114">
        <v>0</v>
      </c>
      <c r="I144" s="114">
        <v>7.1999999999999995E-2</v>
      </c>
      <c r="J144" s="114">
        <v>480</v>
      </c>
      <c r="K144" s="113" t="s">
        <v>5198</v>
      </c>
      <c r="L144" s="113" t="s">
        <v>5198</v>
      </c>
      <c r="M144" s="114">
        <v>1380</v>
      </c>
    </row>
    <row r="145" spans="1:13" ht="17.25" customHeight="1">
      <c r="A145" s="113" t="s">
        <v>5347</v>
      </c>
      <c r="B145" s="113" t="s">
        <v>5347</v>
      </c>
      <c r="C145" s="113" t="s">
        <v>5188</v>
      </c>
      <c r="D145" s="113" t="s">
        <v>5198</v>
      </c>
      <c r="E145" s="114">
        <v>0.9</v>
      </c>
      <c r="F145" s="114">
        <v>0.7</v>
      </c>
      <c r="G145" s="114">
        <v>0.7</v>
      </c>
      <c r="H145" s="114">
        <v>0</v>
      </c>
      <c r="I145" s="114">
        <v>7.1999999999999995E-2</v>
      </c>
      <c r="J145" s="114">
        <v>480</v>
      </c>
      <c r="K145" s="113" t="s">
        <v>5198</v>
      </c>
      <c r="L145" s="113" t="s">
        <v>5198</v>
      </c>
      <c r="M145" s="114">
        <v>1170</v>
      </c>
    </row>
    <row r="146" spans="1:13" ht="17.25" customHeight="1">
      <c r="A146" s="113" t="s">
        <v>5348</v>
      </c>
      <c r="B146" s="113" t="s">
        <v>5348</v>
      </c>
      <c r="C146" s="113" t="s">
        <v>5188</v>
      </c>
      <c r="D146" s="113" t="s">
        <v>5202</v>
      </c>
      <c r="E146" s="114">
        <v>0.9</v>
      </c>
      <c r="F146" s="114">
        <v>0.7</v>
      </c>
      <c r="G146" s="114">
        <v>0.7</v>
      </c>
      <c r="H146" s="114">
        <v>0</v>
      </c>
      <c r="I146" s="114">
        <v>0.105</v>
      </c>
      <c r="J146" s="114">
        <v>800</v>
      </c>
      <c r="K146" s="113" t="s">
        <v>5202</v>
      </c>
      <c r="L146" s="113" t="s">
        <v>5202</v>
      </c>
      <c r="M146" s="114">
        <v>1300</v>
      </c>
    </row>
    <row r="147" spans="1:13" ht="17.25" customHeight="1">
      <c r="A147" s="113" t="s">
        <v>5349</v>
      </c>
      <c r="B147" s="113" t="s">
        <v>5349</v>
      </c>
      <c r="C147" s="113" t="s">
        <v>5188</v>
      </c>
      <c r="D147" s="113" t="s">
        <v>5202</v>
      </c>
      <c r="E147" s="114">
        <v>0.9</v>
      </c>
      <c r="F147" s="114">
        <v>0.7</v>
      </c>
      <c r="G147" s="114">
        <v>0.7</v>
      </c>
      <c r="H147" s="114">
        <v>0</v>
      </c>
      <c r="I147" s="114">
        <v>0.82</v>
      </c>
      <c r="J147" s="114">
        <v>880</v>
      </c>
      <c r="K147" s="113" t="s">
        <v>5202</v>
      </c>
      <c r="L147" s="113" t="s">
        <v>5202</v>
      </c>
      <c r="M147" s="114">
        <v>1340</v>
      </c>
    </row>
    <row r="148" spans="1:13" ht="17.25" customHeight="1">
      <c r="A148" s="113" t="s">
        <v>5350</v>
      </c>
      <c r="B148" s="113" t="s">
        <v>5350</v>
      </c>
      <c r="C148" s="113" t="s">
        <v>5188</v>
      </c>
      <c r="D148" s="113" t="s">
        <v>5202</v>
      </c>
      <c r="E148" s="114">
        <v>0.9</v>
      </c>
      <c r="F148" s="114">
        <v>0.7</v>
      </c>
      <c r="G148" s="114">
        <v>0.7</v>
      </c>
      <c r="H148" s="114">
        <v>0</v>
      </c>
      <c r="I148" s="114">
        <v>0.14399999999999999</v>
      </c>
      <c r="J148" s="114">
        <v>1010</v>
      </c>
      <c r="K148" s="113" t="s">
        <v>5202</v>
      </c>
      <c r="L148" s="113" t="s">
        <v>5202</v>
      </c>
      <c r="M148" s="114">
        <v>1340</v>
      </c>
    </row>
    <row r="149" spans="1:13" ht="17.25" customHeight="1">
      <c r="A149" s="113" t="s">
        <v>5351</v>
      </c>
      <c r="B149" s="113" t="s">
        <v>5351</v>
      </c>
      <c r="C149" s="113" t="s">
        <v>5188</v>
      </c>
      <c r="D149" s="113" t="s">
        <v>5198</v>
      </c>
      <c r="E149" s="114">
        <v>0.9</v>
      </c>
      <c r="F149" s="114">
        <v>0.7</v>
      </c>
      <c r="G149" s="114">
        <v>0.7</v>
      </c>
      <c r="H149" s="114">
        <v>0</v>
      </c>
      <c r="I149" s="114">
        <v>0.10199999999999999</v>
      </c>
      <c r="J149" s="114">
        <v>590</v>
      </c>
      <c r="K149" s="113" t="s">
        <v>5198</v>
      </c>
      <c r="L149" s="113" t="s">
        <v>5198</v>
      </c>
      <c r="M149" s="114">
        <v>1300</v>
      </c>
    </row>
    <row r="150" spans="1:13" ht="17.25" customHeight="1">
      <c r="A150" s="113" t="s">
        <v>5352</v>
      </c>
      <c r="B150" s="113" t="s">
        <v>5352</v>
      </c>
      <c r="C150" s="113" t="s">
        <v>5188</v>
      </c>
      <c r="D150" s="113" t="s">
        <v>5198</v>
      </c>
      <c r="E150" s="114">
        <v>0.9</v>
      </c>
      <c r="F150" s="114">
        <v>0.7</v>
      </c>
      <c r="G150" s="114">
        <v>0.7</v>
      </c>
      <c r="H150" s="114">
        <v>0</v>
      </c>
      <c r="I150" s="114">
        <v>0.13500000000000001</v>
      </c>
      <c r="J150" s="114">
        <v>800</v>
      </c>
      <c r="K150" s="113" t="s">
        <v>5198</v>
      </c>
      <c r="L150" s="113" t="s">
        <v>5198</v>
      </c>
      <c r="M150" s="114">
        <v>1300</v>
      </c>
    </row>
    <row r="151" spans="1:13" ht="17.25" customHeight="1">
      <c r="A151" s="113" t="s">
        <v>5353</v>
      </c>
      <c r="B151" s="113" t="s">
        <v>5353</v>
      </c>
      <c r="C151" s="113" t="s">
        <v>5188</v>
      </c>
      <c r="D151" s="113" t="s">
        <v>5198</v>
      </c>
      <c r="E151" s="114">
        <v>0.9</v>
      </c>
      <c r="F151" s="114">
        <v>0.7</v>
      </c>
      <c r="G151" s="114">
        <v>0.7</v>
      </c>
      <c r="H151" s="114">
        <v>0</v>
      </c>
      <c r="I151" s="114">
        <v>0.17</v>
      </c>
      <c r="J151" s="114">
        <v>1000</v>
      </c>
      <c r="K151" s="113" t="s">
        <v>5198</v>
      </c>
      <c r="L151" s="113" t="s">
        <v>5198</v>
      </c>
      <c r="M151" s="114">
        <v>1300</v>
      </c>
    </row>
    <row r="152" spans="1:13" ht="17.25" customHeight="1">
      <c r="A152" s="113" t="s">
        <v>5354</v>
      </c>
      <c r="B152" s="113" t="s">
        <v>5354</v>
      </c>
      <c r="C152" s="113" t="s">
        <v>5188</v>
      </c>
      <c r="D152" s="113" t="s">
        <v>5189</v>
      </c>
      <c r="E152" s="114">
        <v>0.9</v>
      </c>
      <c r="F152" s="114">
        <v>0.7</v>
      </c>
      <c r="G152" s="114">
        <v>0.7</v>
      </c>
      <c r="H152" s="114">
        <v>0</v>
      </c>
      <c r="I152" s="114">
        <v>0.311</v>
      </c>
      <c r="J152" s="114">
        <v>640</v>
      </c>
      <c r="K152" s="113" t="s">
        <v>5189</v>
      </c>
      <c r="L152" s="113" t="s">
        <v>5189</v>
      </c>
      <c r="M152" s="114">
        <v>1210</v>
      </c>
    </row>
    <row r="153" spans="1:13" ht="17.25" customHeight="1">
      <c r="A153" s="113" t="s">
        <v>5355</v>
      </c>
      <c r="B153" s="113" t="s">
        <v>5355</v>
      </c>
      <c r="C153" s="113" t="s">
        <v>5188</v>
      </c>
      <c r="D153" s="113" t="s">
        <v>5198</v>
      </c>
      <c r="E153" s="114">
        <v>0.9</v>
      </c>
      <c r="F153" s="114">
        <v>0.7</v>
      </c>
      <c r="G153" s="114">
        <v>0.7</v>
      </c>
      <c r="H153" s="114">
        <v>0</v>
      </c>
      <c r="I153" s="114">
        <v>9.0999999999999998E-2</v>
      </c>
      <c r="J153" s="114">
        <v>590</v>
      </c>
      <c r="K153" s="113" t="s">
        <v>5198</v>
      </c>
      <c r="L153" s="113" t="s">
        <v>5198</v>
      </c>
      <c r="M153" s="114">
        <v>1300</v>
      </c>
    </row>
    <row r="154" spans="1:13" ht="17.25" customHeight="1">
      <c r="A154" s="113" t="s">
        <v>5356</v>
      </c>
      <c r="B154" s="113" t="s">
        <v>5356</v>
      </c>
      <c r="C154" s="113" t="s">
        <v>5188</v>
      </c>
      <c r="D154" s="113" t="s">
        <v>5198</v>
      </c>
      <c r="E154" s="114">
        <v>0.9</v>
      </c>
      <c r="F154" s="114">
        <v>0.7</v>
      </c>
      <c r="G154" s="114">
        <v>0.7</v>
      </c>
      <c r="H154" s="114">
        <v>0</v>
      </c>
      <c r="I154" s="114">
        <v>0.115</v>
      </c>
      <c r="J154" s="114">
        <v>800</v>
      </c>
      <c r="K154" s="113" t="s">
        <v>5198</v>
      </c>
      <c r="L154" s="113" t="s">
        <v>5198</v>
      </c>
      <c r="M154" s="114">
        <v>1380</v>
      </c>
    </row>
    <row r="155" spans="1:13" ht="17.25" customHeight="1">
      <c r="A155" s="113" t="s">
        <v>5357</v>
      </c>
      <c r="B155" s="113" t="s">
        <v>5357</v>
      </c>
      <c r="C155" s="113" t="s">
        <v>5188</v>
      </c>
      <c r="D155" s="113" t="s">
        <v>5189</v>
      </c>
      <c r="E155" s="114">
        <v>0.9</v>
      </c>
      <c r="F155" s="114">
        <v>0.7</v>
      </c>
      <c r="G155" s="114">
        <v>0.7</v>
      </c>
      <c r="H155" s="114">
        <v>0</v>
      </c>
      <c r="I155" s="114">
        <v>0.05</v>
      </c>
      <c r="J155" s="114">
        <v>136</v>
      </c>
      <c r="K155" s="113" t="s">
        <v>5189</v>
      </c>
      <c r="L155" s="113" t="s">
        <v>5189</v>
      </c>
      <c r="M155" s="114">
        <v>750</v>
      </c>
    </row>
    <row r="156" spans="1:13" ht="17.25" customHeight="1">
      <c r="A156" s="113" t="s">
        <v>5358</v>
      </c>
      <c r="B156" s="113" t="s">
        <v>5358</v>
      </c>
      <c r="C156" s="113" t="s">
        <v>5188</v>
      </c>
      <c r="D156" s="113" t="s">
        <v>5198</v>
      </c>
      <c r="E156" s="114">
        <v>0.9</v>
      </c>
      <c r="F156" s="114">
        <v>0.7</v>
      </c>
      <c r="G156" s="114">
        <v>0.7</v>
      </c>
      <c r="H156" s="114">
        <v>0</v>
      </c>
      <c r="I156" s="114">
        <v>2.9000000000000001E-2</v>
      </c>
      <c r="J156" s="114">
        <v>29</v>
      </c>
      <c r="K156" s="113" t="s">
        <v>5198</v>
      </c>
      <c r="L156" s="113" t="s">
        <v>5198</v>
      </c>
      <c r="M156" s="114">
        <v>1210</v>
      </c>
    </row>
    <row r="157" spans="1:13" ht="17.25" customHeight="1">
      <c r="A157" s="113" t="s">
        <v>5359</v>
      </c>
      <c r="B157" s="113" t="s">
        <v>5359</v>
      </c>
      <c r="C157" s="113" t="s">
        <v>5188</v>
      </c>
      <c r="D157" s="113" t="s">
        <v>5329</v>
      </c>
      <c r="E157" s="114">
        <v>0.9</v>
      </c>
      <c r="F157" s="114">
        <v>0.7</v>
      </c>
      <c r="G157" s="114">
        <v>0.7</v>
      </c>
      <c r="H157" s="114">
        <v>0</v>
      </c>
      <c r="I157" s="114">
        <v>3.6999999999999998E-2</v>
      </c>
      <c r="J157" s="114">
        <v>16</v>
      </c>
      <c r="K157" s="113" t="s">
        <v>5329</v>
      </c>
      <c r="L157" s="113" t="s">
        <v>5329</v>
      </c>
      <c r="M157" s="114">
        <v>1210</v>
      </c>
    </row>
    <row r="158" spans="1:13" ht="17.25" customHeight="1">
      <c r="A158" s="113" t="s">
        <v>5360</v>
      </c>
      <c r="B158" s="113" t="s">
        <v>5360</v>
      </c>
      <c r="C158" s="113" t="s">
        <v>5188</v>
      </c>
      <c r="D158" s="113" t="s">
        <v>5329</v>
      </c>
      <c r="E158" s="114">
        <v>0.9</v>
      </c>
      <c r="F158" s="114">
        <v>0.7</v>
      </c>
      <c r="G158" s="114">
        <v>0.7</v>
      </c>
      <c r="H158" s="114">
        <v>0</v>
      </c>
      <c r="I158" s="114">
        <v>3.5999999999999997E-2</v>
      </c>
      <c r="J158" s="114">
        <v>20</v>
      </c>
      <c r="K158" s="113" t="s">
        <v>5329</v>
      </c>
      <c r="L158" s="113" t="s">
        <v>5329</v>
      </c>
      <c r="M158" s="114">
        <v>1210</v>
      </c>
    </row>
    <row r="159" spans="1:13" ht="17.25" customHeight="1">
      <c r="A159" s="113" t="s">
        <v>5361</v>
      </c>
      <c r="B159" s="113" t="s">
        <v>5361</v>
      </c>
      <c r="C159" s="113" t="s">
        <v>5188</v>
      </c>
      <c r="D159" s="113" t="s">
        <v>5329</v>
      </c>
      <c r="E159" s="114">
        <v>0.9</v>
      </c>
      <c r="F159" s="114">
        <v>0.7</v>
      </c>
      <c r="G159" s="114">
        <v>0.7</v>
      </c>
      <c r="H159" s="114">
        <v>0</v>
      </c>
      <c r="I159" s="114">
        <v>3.5000000000000003E-2</v>
      </c>
      <c r="J159" s="114">
        <v>24</v>
      </c>
      <c r="K159" s="113" t="s">
        <v>5329</v>
      </c>
      <c r="L159" s="113" t="s">
        <v>5329</v>
      </c>
      <c r="M159" s="114">
        <v>1210</v>
      </c>
    </row>
    <row r="160" spans="1:13" ht="17.25" customHeight="1">
      <c r="A160" s="113" t="s">
        <v>5362</v>
      </c>
      <c r="B160" s="113" t="s">
        <v>5362</v>
      </c>
      <c r="C160" s="113" t="s">
        <v>5188</v>
      </c>
      <c r="D160" s="113" t="s">
        <v>5329</v>
      </c>
      <c r="E160" s="114">
        <v>0.9</v>
      </c>
      <c r="F160" s="114">
        <v>0.7</v>
      </c>
      <c r="G160" s="114">
        <v>0.7</v>
      </c>
      <c r="H160" s="114">
        <v>0</v>
      </c>
      <c r="I160" s="114">
        <v>3.5000000000000003E-2</v>
      </c>
      <c r="J160" s="114">
        <v>28</v>
      </c>
      <c r="K160" s="113" t="s">
        <v>5329</v>
      </c>
      <c r="L160" s="113" t="s">
        <v>5329</v>
      </c>
      <c r="M160" s="114">
        <v>1210</v>
      </c>
    </row>
    <row r="161" spans="1:13" ht="17.25" customHeight="1">
      <c r="A161" s="113" t="s">
        <v>5363</v>
      </c>
      <c r="B161" s="113" t="s">
        <v>5363</v>
      </c>
      <c r="C161" s="113" t="s">
        <v>5188</v>
      </c>
      <c r="D161" s="113" t="s">
        <v>5329</v>
      </c>
      <c r="E161" s="114">
        <v>0.9</v>
      </c>
      <c r="F161" s="114">
        <v>0.7</v>
      </c>
      <c r="G161" s="114">
        <v>0.7</v>
      </c>
      <c r="H161" s="114">
        <v>0</v>
      </c>
      <c r="I161" s="114">
        <v>3.3000000000000002E-2</v>
      </c>
      <c r="J161" s="114">
        <v>32</v>
      </c>
      <c r="K161" s="113" t="s">
        <v>5329</v>
      </c>
      <c r="L161" s="113" t="s">
        <v>5329</v>
      </c>
      <c r="M161" s="114">
        <v>1210</v>
      </c>
    </row>
    <row r="162" spans="1:13" ht="17.25" customHeight="1">
      <c r="A162" s="113" t="s">
        <v>5364</v>
      </c>
      <c r="B162" s="113" t="s">
        <v>5364</v>
      </c>
      <c r="C162" s="113" t="s">
        <v>5188</v>
      </c>
      <c r="D162" s="113" t="s">
        <v>5194</v>
      </c>
      <c r="E162" s="114">
        <v>0.9</v>
      </c>
      <c r="F162" s="114">
        <v>0.7</v>
      </c>
      <c r="G162" s="114">
        <v>0.7</v>
      </c>
      <c r="H162" s="114">
        <v>0</v>
      </c>
      <c r="I162" s="114">
        <v>2.4500000000000001E-2</v>
      </c>
      <c r="J162" s="114">
        <v>24</v>
      </c>
      <c r="K162" s="113" t="s">
        <v>5194</v>
      </c>
      <c r="L162" s="113" t="s">
        <v>5194</v>
      </c>
      <c r="M162" s="114">
        <v>1590</v>
      </c>
    </row>
    <row r="163" spans="1:13" ht="17.25" customHeight="1">
      <c r="A163" s="113" t="s">
        <v>5365</v>
      </c>
      <c r="B163" s="113" t="s">
        <v>5365</v>
      </c>
      <c r="C163" s="113" t="s">
        <v>5188</v>
      </c>
      <c r="D163" s="113" t="s">
        <v>5194</v>
      </c>
      <c r="E163" s="114">
        <v>0.9</v>
      </c>
      <c r="F163" s="114">
        <v>0.7</v>
      </c>
      <c r="G163" s="114">
        <v>0.7</v>
      </c>
      <c r="H163" s="114">
        <v>0</v>
      </c>
      <c r="I163" s="114">
        <v>2.4500000000000001E-2</v>
      </c>
      <c r="J163" s="114">
        <v>32</v>
      </c>
      <c r="K163" s="113" t="s">
        <v>5194</v>
      </c>
      <c r="L163" s="113" t="s">
        <v>5194</v>
      </c>
      <c r="M163" s="114">
        <v>920</v>
      </c>
    </row>
    <row r="164" spans="1:13" ht="17.25" customHeight="1">
      <c r="A164" s="113" t="s">
        <v>5366</v>
      </c>
      <c r="B164" s="113" t="s">
        <v>5366</v>
      </c>
      <c r="C164" s="113" t="s">
        <v>5188</v>
      </c>
      <c r="D164" s="113" t="s">
        <v>5194</v>
      </c>
      <c r="E164" s="114">
        <v>0.9</v>
      </c>
      <c r="F164" s="114">
        <v>0.7</v>
      </c>
      <c r="G164" s="114">
        <v>0.7</v>
      </c>
      <c r="H164" s="114">
        <v>0</v>
      </c>
      <c r="I164" s="114">
        <v>0.02</v>
      </c>
      <c r="J164" s="114">
        <v>32</v>
      </c>
      <c r="K164" s="113" t="s">
        <v>5194</v>
      </c>
      <c r="L164" s="113" t="s">
        <v>5194</v>
      </c>
      <c r="M164" s="114">
        <v>920</v>
      </c>
    </row>
    <row r="165" spans="1:13" ht="17.25" customHeight="1">
      <c r="A165" s="113" t="s">
        <v>5367</v>
      </c>
      <c r="B165" s="113" t="s">
        <v>5368</v>
      </c>
      <c r="C165" s="113" t="s">
        <v>5188</v>
      </c>
      <c r="D165" s="113" t="s">
        <v>5189</v>
      </c>
      <c r="E165" s="114">
        <v>0.9</v>
      </c>
      <c r="F165" s="114">
        <v>0.7</v>
      </c>
      <c r="G165" s="114">
        <v>0.7</v>
      </c>
      <c r="H165" s="114">
        <v>0</v>
      </c>
      <c r="I165" s="114">
        <v>1.34</v>
      </c>
      <c r="J165" s="114">
        <v>2400</v>
      </c>
      <c r="K165" s="113" t="s">
        <v>5189</v>
      </c>
      <c r="L165" s="113" t="s">
        <v>5189</v>
      </c>
      <c r="M165" s="114">
        <v>790</v>
      </c>
    </row>
    <row r="166" spans="1:13" ht="17.25" customHeight="1">
      <c r="A166" s="113" t="s">
        <v>5369</v>
      </c>
      <c r="B166" s="113" t="s">
        <v>5370</v>
      </c>
      <c r="C166" s="113" t="s">
        <v>5188</v>
      </c>
      <c r="D166" s="113" t="s">
        <v>5189</v>
      </c>
      <c r="E166" s="114">
        <v>0.9</v>
      </c>
      <c r="F166" s="114">
        <v>0.7</v>
      </c>
      <c r="G166" s="114">
        <v>0.7</v>
      </c>
      <c r="H166" s="114">
        <v>0</v>
      </c>
      <c r="I166" s="114">
        <v>1.1850000000000001</v>
      </c>
      <c r="J166" s="114">
        <v>2240</v>
      </c>
      <c r="K166" s="113" t="s">
        <v>5189</v>
      </c>
      <c r="L166" s="113" t="s">
        <v>5189</v>
      </c>
      <c r="M166" s="114">
        <v>790</v>
      </c>
    </row>
    <row r="167" spans="1:13" ht="17.25" customHeight="1">
      <c r="A167" s="113" t="s">
        <v>5371</v>
      </c>
      <c r="B167" s="113" t="s">
        <v>5372</v>
      </c>
      <c r="C167" s="113" t="s">
        <v>5188</v>
      </c>
      <c r="D167" s="113" t="s">
        <v>5189</v>
      </c>
      <c r="E167" s="114">
        <v>0.9</v>
      </c>
      <c r="F167" s="114">
        <v>0.7</v>
      </c>
      <c r="G167" s="114">
        <v>0.7</v>
      </c>
      <c r="H167" s="114">
        <v>0</v>
      </c>
      <c r="I167" s="114">
        <v>1.02</v>
      </c>
      <c r="J167" s="114">
        <v>2080</v>
      </c>
      <c r="K167" s="113" t="s">
        <v>5189</v>
      </c>
      <c r="L167" s="113" t="s">
        <v>5189</v>
      </c>
      <c r="M167" s="114">
        <v>790</v>
      </c>
    </row>
    <row r="168" spans="1:13" ht="17.25" customHeight="1">
      <c r="A168" s="113" t="s">
        <v>5373</v>
      </c>
      <c r="B168" s="113" t="s">
        <v>5374</v>
      </c>
      <c r="C168" s="113" t="s">
        <v>5188</v>
      </c>
      <c r="D168" s="113" t="s">
        <v>5189</v>
      </c>
      <c r="E168" s="114">
        <v>0.9</v>
      </c>
      <c r="F168" s="114">
        <v>0.7</v>
      </c>
      <c r="G168" s="114">
        <v>0.7</v>
      </c>
      <c r="H168" s="114">
        <v>0</v>
      </c>
      <c r="I168" s="114">
        <v>0.89500000000000002</v>
      </c>
      <c r="J168" s="114">
        <v>1920</v>
      </c>
      <c r="K168" s="113" t="s">
        <v>5189</v>
      </c>
      <c r="L168" s="113" t="s">
        <v>5189</v>
      </c>
      <c r="M168" s="114">
        <v>790</v>
      </c>
    </row>
    <row r="169" spans="1:13" ht="17.25" customHeight="1">
      <c r="A169" s="113" t="s">
        <v>5375</v>
      </c>
      <c r="B169" s="113" t="s">
        <v>5376</v>
      </c>
      <c r="C169" s="113" t="s">
        <v>5188</v>
      </c>
      <c r="D169" s="113" t="s">
        <v>5189</v>
      </c>
      <c r="E169" s="114">
        <v>0.9</v>
      </c>
      <c r="F169" s="114">
        <v>0.7</v>
      </c>
      <c r="G169" s="114">
        <v>0.7</v>
      </c>
      <c r="H169" s="114">
        <v>0</v>
      </c>
      <c r="I169" s="114">
        <v>0.78</v>
      </c>
      <c r="J169" s="114">
        <v>1760</v>
      </c>
      <c r="K169" s="113" t="s">
        <v>5189</v>
      </c>
      <c r="L169" s="113" t="s">
        <v>5189</v>
      </c>
      <c r="M169" s="114">
        <v>790</v>
      </c>
    </row>
    <row r="170" spans="1:13" ht="17.25" customHeight="1">
      <c r="A170" s="113" t="s">
        <v>5377</v>
      </c>
      <c r="B170" s="113" t="s">
        <v>5378</v>
      </c>
      <c r="C170" s="113" t="s">
        <v>5188</v>
      </c>
      <c r="D170" s="113" t="s">
        <v>5189</v>
      </c>
      <c r="E170" s="114">
        <v>0.9</v>
      </c>
      <c r="F170" s="114">
        <v>0.7</v>
      </c>
      <c r="G170" s="114">
        <v>0.7</v>
      </c>
      <c r="H170" s="114">
        <v>0</v>
      </c>
      <c r="I170" s="114">
        <v>0.67500000000000004</v>
      </c>
      <c r="J170" s="114">
        <v>1600</v>
      </c>
      <c r="K170" s="113" t="s">
        <v>5189</v>
      </c>
      <c r="L170" s="113" t="s">
        <v>5189</v>
      </c>
      <c r="M170" s="114">
        <v>790</v>
      </c>
    </row>
    <row r="171" spans="1:13" ht="17.25" customHeight="1">
      <c r="A171" s="113" t="s">
        <v>5379</v>
      </c>
      <c r="B171" s="113" t="s">
        <v>5380</v>
      </c>
      <c r="C171" s="113" t="s">
        <v>5188</v>
      </c>
      <c r="D171" s="113" t="s">
        <v>5189</v>
      </c>
      <c r="E171" s="114">
        <v>0.9</v>
      </c>
      <c r="F171" s="114">
        <v>0.7</v>
      </c>
      <c r="G171" s="114">
        <v>0.7</v>
      </c>
      <c r="H171" s="114">
        <v>0</v>
      </c>
      <c r="I171" s="114">
        <v>0.56999999999999995</v>
      </c>
      <c r="J171" s="114">
        <v>1440</v>
      </c>
      <c r="K171" s="113" t="s">
        <v>5189</v>
      </c>
      <c r="L171" s="113" t="s">
        <v>5189</v>
      </c>
      <c r="M171" s="114">
        <v>790</v>
      </c>
    </row>
    <row r="172" spans="1:13" ht="17.25" customHeight="1">
      <c r="A172" s="113" t="s">
        <v>5381</v>
      </c>
      <c r="B172" s="113" t="s">
        <v>5382</v>
      </c>
      <c r="C172" s="113" t="s">
        <v>5188</v>
      </c>
      <c r="D172" s="113" t="s">
        <v>5189</v>
      </c>
      <c r="E172" s="114">
        <v>0.9</v>
      </c>
      <c r="F172" s="114">
        <v>0.7</v>
      </c>
      <c r="G172" s="114">
        <v>0.7</v>
      </c>
      <c r="H172" s="114">
        <v>0</v>
      </c>
      <c r="I172" s="114">
        <v>0.48</v>
      </c>
      <c r="J172" s="114">
        <v>1280</v>
      </c>
      <c r="K172" s="113" t="s">
        <v>5189</v>
      </c>
      <c r="L172" s="113" t="s">
        <v>5189</v>
      </c>
      <c r="M172" s="114">
        <v>790</v>
      </c>
    </row>
    <row r="173" spans="1:13" ht="17.25" customHeight="1">
      <c r="A173" s="113" t="s">
        <v>5383</v>
      </c>
      <c r="B173" s="113" t="s">
        <v>5384</v>
      </c>
      <c r="C173" s="113" t="s">
        <v>5188</v>
      </c>
      <c r="D173" s="113" t="s">
        <v>5189</v>
      </c>
      <c r="E173" s="114">
        <v>0.9</v>
      </c>
      <c r="F173" s="114">
        <v>0.7</v>
      </c>
      <c r="G173" s="114">
        <v>0.7</v>
      </c>
      <c r="H173" s="114">
        <v>0</v>
      </c>
      <c r="I173" s="114">
        <v>0.40500000000000003</v>
      </c>
      <c r="J173" s="114">
        <v>1120</v>
      </c>
      <c r="K173" s="113" t="s">
        <v>5189</v>
      </c>
      <c r="L173" s="113" t="s">
        <v>5189</v>
      </c>
      <c r="M173" s="114">
        <v>790</v>
      </c>
    </row>
    <row r="174" spans="1:13" ht="17.25" customHeight="1">
      <c r="A174" s="113" t="s">
        <v>5385</v>
      </c>
      <c r="B174" s="113" t="s">
        <v>5386</v>
      </c>
      <c r="C174" s="113" t="s">
        <v>5188</v>
      </c>
      <c r="D174" s="113" t="s">
        <v>5189</v>
      </c>
      <c r="E174" s="114">
        <v>0.9</v>
      </c>
      <c r="F174" s="114">
        <v>0.7</v>
      </c>
      <c r="G174" s="114">
        <v>0.7</v>
      </c>
      <c r="H174" s="114">
        <v>0</v>
      </c>
      <c r="I174" s="114">
        <v>10.4</v>
      </c>
      <c r="J174" s="114">
        <v>2880</v>
      </c>
      <c r="K174" s="113" t="s">
        <v>5189</v>
      </c>
      <c r="L174" s="113" t="s">
        <v>5189</v>
      </c>
      <c r="M174" s="114">
        <v>790</v>
      </c>
    </row>
    <row r="175" spans="1:13" ht="17.25" customHeight="1">
      <c r="A175" s="113" t="s">
        <v>5387</v>
      </c>
      <c r="B175" s="113" t="s">
        <v>5388</v>
      </c>
      <c r="C175" s="113" t="s">
        <v>5188</v>
      </c>
      <c r="D175" s="113" t="s">
        <v>5189</v>
      </c>
      <c r="E175" s="114">
        <v>0.9</v>
      </c>
      <c r="F175" s="114">
        <v>0.7</v>
      </c>
      <c r="G175" s="114">
        <v>0.7</v>
      </c>
      <c r="H175" s="114">
        <v>0</v>
      </c>
      <c r="I175" s="114">
        <v>6.2</v>
      </c>
      <c r="J175" s="114">
        <v>2560</v>
      </c>
      <c r="K175" s="113" t="s">
        <v>5189</v>
      </c>
      <c r="L175" s="113" t="s">
        <v>5189</v>
      </c>
      <c r="M175" s="114">
        <v>790</v>
      </c>
    </row>
    <row r="176" spans="1:13" ht="17.25" customHeight="1">
      <c r="A176" s="113" t="s">
        <v>5389</v>
      </c>
      <c r="B176" s="113" t="s">
        <v>5390</v>
      </c>
      <c r="C176" s="113" t="s">
        <v>5188</v>
      </c>
      <c r="D176" s="113" t="s">
        <v>5189</v>
      </c>
      <c r="E176" s="114">
        <v>0.9</v>
      </c>
      <c r="F176" s="114">
        <v>0.7</v>
      </c>
      <c r="G176" s="114">
        <v>0.7</v>
      </c>
      <c r="H176" s="114">
        <v>0</v>
      </c>
      <c r="I176" s="114">
        <v>3.5</v>
      </c>
      <c r="J176" s="114">
        <v>2240</v>
      </c>
      <c r="K176" s="113" t="s">
        <v>5189</v>
      </c>
      <c r="L176" s="113" t="s">
        <v>5189</v>
      </c>
      <c r="M176" s="114">
        <v>790</v>
      </c>
    </row>
    <row r="177" spans="1:13" ht="17.25" customHeight="1">
      <c r="A177" s="113" t="s">
        <v>5391</v>
      </c>
      <c r="B177" s="113" t="s">
        <v>5392</v>
      </c>
      <c r="C177" s="113" t="s">
        <v>5188</v>
      </c>
      <c r="D177" s="113" t="s">
        <v>5189</v>
      </c>
      <c r="E177" s="114">
        <v>0.9</v>
      </c>
      <c r="F177" s="114">
        <v>0.7</v>
      </c>
      <c r="G177" s="114">
        <v>0.7</v>
      </c>
      <c r="H177" s="114">
        <v>0</v>
      </c>
      <c r="I177" s="114">
        <v>1.9</v>
      </c>
      <c r="J177" s="114">
        <v>1920</v>
      </c>
      <c r="K177" s="113" t="s">
        <v>5189</v>
      </c>
      <c r="L177" s="113" t="s">
        <v>5189</v>
      </c>
      <c r="M177" s="114">
        <v>790</v>
      </c>
    </row>
    <row r="178" spans="1:13" ht="17.25" customHeight="1">
      <c r="A178" s="113" t="s">
        <v>5393</v>
      </c>
      <c r="B178" s="113" t="s">
        <v>5393</v>
      </c>
      <c r="C178" s="113" t="s">
        <v>5188</v>
      </c>
      <c r="D178" s="113" t="s">
        <v>5189</v>
      </c>
      <c r="E178" s="114">
        <v>0.9</v>
      </c>
      <c r="F178" s="114">
        <v>0.7</v>
      </c>
      <c r="G178" s="114">
        <v>0.7</v>
      </c>
      <c r="H178" s="114">
        <v>0</v>
      </c>
      <c r="I178" s="114">
        <v>4.3</v>
      </c>
      <c r="J178" s="114">
        <v>2880</v>
      </c>
      <c r="K178" s="113" t="s">
        <v>5189</v>
      </c>
      <c r="L178" s="113" t="s">
        <v>5189</v>
      </c>
      <c r="M178" s="114">
        <v>790</v>
      </c>
    </row>
    <row r="179" spans="1:13" ht="17.25" customHeight="1">
      <c r="A179" s="113" t="s">
        <v>5394</v>
      </c>
      <c r="B179" s="113" t="s">
        <v>5394</v>
      </c>
      <c r="C179" s="113" t="s">
        <v>5188</v>
      </c>
      <c r="D179" s="113" t="s">
        <v>5189</v>
      </c>
      <c r="E179" s="114">
        <v>0.9</v>
      </c>
      <c r="F179" s="114">
        <v>0.7</v>
      </c>
      <c r="G179" s="114">
        <v>0.7</v>
      </c>
      <c r="H179" s="114">
        <v>0</v>
      </c>
      <c r="I179" s="114">
        <v>3.2</v>
      </c>
      <c r="J179" s="114">
        <v>2560</v>
      </c>
      <c r="K179" s="113" t="s">
        <v>5189</v>
      </c>
      <c r="L179" s="113" t="s">
        <v>5189</v>
      </c>
      <c r="M179" s="114">
        <v>790</v>
      </c>
    </row>
    <row r="180" spans="1:13" ht="17.25" customHeight="1">
      <c r="A180" s="113" t="s">
        <v>5395</v>
      </c>
      <c r="B180" s="113" t="s">
        <v>5395</v>
      </c>
      <c r="C180" s="113" t="s">
        <v>5188</v>
      </c>
      <c r="D180" s="113" t="s">
        <v>5189</v>
      </c>
      <c r="E180" s="114">
        <v>0.9</v>
      </c>
      <c r="F180" s="114">
        <v>0.7</v>
      </c>
      <c r="G180" s="114">
        <v>0.7</v>
      </c>
      <c r="H180" s="114">
        <v>0</v>
      </c>
      <c r="I180" s="114">
        <v>2.2999999999999998</v>
      </c>
      <c r="J180" s="114">
        <v>2240</v>
      </c>
      <c r="K180" s="113" t="s">
        <v>5189</v>
      </c>
      <c r="L180" s="113" t="s">
        <v>5189</v>
      </c>
      <c r="M180" s="114">
        <v>790</v>
      </c>
    </row>
    <row r="181" spans="1:13" ht="17.25" customHeight="1">
      <c r="A181" s="113" t="s">
        <v>5396</v>
      </c>
      <c r="B181" s="113" t="s">
        <v>5396</v>
      </c>
      <c r="C181" s="113" t="s">
        <v>5188</v>
      </c>
      <c r="D181" s="113" t="s">
        <v>5189</v>
      </c>
      <c r="E181" s="114">
        <v>0.9</v>
      </c>
      <c r="F181" s="114">
        <v>0.7</v>
      </c>
      <c r="G181" s="114">
        <v>0.7</v>
      </c>
      <c r="H181" s="114">
        <v>0</v>
      </c>
      <c r="I181" s="114">
        <v>1.6</v>
      </c>
      <c r="J181" s="114">
        <v>1920</v>
      </c>
      <c r="K181" s="113" t="s">
        <v>5189</v>
      </c>
      <c r="L181" s="113" t="s">
        <v>5189</v>
      </c>
      <c r="M181" s="114">
        <v>790</v>
      </c>
    </row>
    <row r="182" spans="1:13" ht="17.25" customHeight="1">
      <c r="A182" s="113" t="s">
        <v>5397</v>
      </c>
      <c r="B182" s="113" t="s">
        <v>5397</v>
      </c>
      <c r="C182" s="113" t="s">
        <v>5188</v>
      </c>
      <c r="D182" s="113" t="s">
        <v>5189</v>
      </c>
      <c r="E182" s="114">
        <v>0.9</v>
      </c>
      <c r="F182" s="114">
        <v>0.7</v>
      </c>
      <c r="G182" s="114">
        <v>0.7</v>
      </c>
      <c r="H182" s="114">
        <v>0</v>
      </c>
      <c r="I182" s="114">
        <v>1.1000000000000001</v>
      </c>
      <c r="J182" s="114">
        <v>1600</v>
      </c>
      <c r="K182" s="113" t="s">
        <v>5189</v>
      </c>
      <c r="L182" s="113" t="s">
        <v>5189</v>
      </c>
      <c r="M182" s="114">
        <v>790</v>
      </c>
    </row>
    <row r="183" spans="1:13" ht="17.25" customHeight="1">
      <c r="A183" s="113" t="s">
        <v>5398</v>
      </c>
      <c r="B183" s="113" t="s">
        <v>5398</v>
      </c>
      <c r="C183" s="113" t="s">
        <v>5188</v>
      </c>
      <c r="D183" s="113" t="s">
        <v>5189</v>
      </c>
      <c r="E183" s="114">
        <v>0.9</v>
      </c>
      <c r="F183" s="114">
        <v>0.7</v>
      </c>
      <c r="G183" s="114">
        <v>0.7</v>
      </c>
      <c r="H183" s="114">
        <v>0</v>
      </c>
      <c r="I183" s="114">
        <v>2.15</v>
      </c>
      <c r="J183" s="114">
        <v>2400</v>
      </c>
      <c r="K183" s="113" t="s">
        <v>5189</v>
      </c>
      <c r="L183" s="113" t="s">
        <v>5189</v>
      </c>
      <c r="M183" s="114">
        <v>900</v>
      </c>
    </row>
    <row r="184" spans="1:13" ht="17.25" customHeight="1">
      <c r="A184" s="113" t="s">
        <v>5399</v>
      </c>
      <c r="B184" s="113" t="s">
        <v>5399</v>
      </c>
      <c r="C184" s="113" t="s">
        <v>5188</v>
      </c>
      <c r="D184" s="113" t="s">
        <v>5189</v>
      </c>
      <c r="E184" s="114">
        <v>0.9</v>
      </c>
      <c r="F184" s="114">
        <v>0.7</v>
      </c>
      <c r="G184" s="114">
        <v>0.7</v>
      </c>
      <c r="H184" s="114">
        <v>0</v>
      </c>
      <c r="I184" s="114">
        <v>1.95</v>
      </c>
      <c r="J184" s="114">
        <v>2240</v>
      </c>
      <c r="K184" s="113" t="s">
        <v>5189</v>
      </c>
      <c r="L184" s="113" t="s">
        <v>5189</v>
      </c>
      <c r="M184" s="114">
        <v>900</v>
      </c>
    </row>
    <row r="185" spans="1:13" ht="17.25" customHeight="1">
      <c r="A185" s="113" t="s">
        <v>5400</v>
      </c>
      <c r="B185" s="113" t="s">
        <v>5400</v>
      </c>
      <c r="C185" s="113" t="s">
        <v>5188</v>
      </c>
      <c r="D185" s="113" t="s">
        <v>5189</v>
      </c>
      <c r="E185" s="114">
        <v>0.9</v>
      </c>
      <c r="F185" s="114">
        <v>0.7</v>
      </c>
      <c r="G185" s="114">
        <v>0.7</v>
      </c>
      <c r="H185" s="114">
        <v>0</v>
      </c>
      <c r="I185" s="114">
        <v>1.45</v>
      </c>
      <c r="J185" s="114">
        <v>2080</v>
      </c>
      <c r="K185" s="113" t="s">
        <v>5189</v>
      </c>
      <c r="L185" s="113" t="s">
        <v>5189</v>
      </c>
      <c r="M185" s="114">
        <v>900</v>
      </c>
    </row>
    <row r="186" spans="1:13" ht="17.25" customHeight="1">
      <c r="A186" s="113" t="s">
        <v>5401</v>
      </c>
      <c r="B186" s="113" t="s">
        <v>5401</v>
      </c>
      <c r="C186" s="113" t="s">
        <v>5188</v>
      </c>
      <c r="D186" s="113" t="s">
        <v>5189</v>
      </c>
      <c r="E186" s="114">
        <v>0.9</v>
      </c>
      <c r="F186" s="114">
        <v>0.7</v>
      </c>
      <c r="G186" s="114">
        <v>0.7</v>
      </c>
      <c r="H186" s="114">
        <v>0</v>
      </c>
      <c r="I186" s="114">
        <v>1.6</v>
      </c>
      <c r="J186" s="114">
        <v>2240</v>
      </c>
      <c r="K186" s="113" t="s">
        <v>5189</v>
      </c>
      <c r="L186" s="113" t="s">
        <v>5189</v>
      </c>
      <c r="M186" s="114">
        <v>900</v>
      </c>
    </row>
    <row r="187" spans="1:13" ht="17.25" customHeight="1">
      <c r="A187" s="113" t="s">
        <v>5402</v>
      </c>
      <c r="B187" s="113" t="s">
        <v>5402</v>
      </c>
      <c r="C187" s="113" t="s">
        <v>5188</v>
      </c>
      <c r="D187" s="113" t="s">
        <v>5189</v>
      </c>
      <c r="E187" s="114">
        <v>0.9</v>
      </c>
      <c r="F187" s="114">
        <v>0.7</v>
      </c>
      <c r="G187" s="114">
        <v>0.7</v>
      </c>
      <c r="H187" s="114">
        <v>0</v>
      </c>
      <c r="I187" s="114">
        <v>1.1399999999999999</v>
      </c>
      <c r="J187" s="114">
        <v>1920</v>
      </c>
      <c r="K187" s="113" t="s">
        <v>5189</v>
      </c>
      <c r="L187" s="113" t="s">
        <v>5189</v>
      </c>
      <c r="M187" s="114">
        <v>900</v>
      </c>
    </row>
    <row r="188" spans="1:13" ht="17.25" customHeight="1">
      <c r="A188" s="113" t="s">
        <v>5403</v>
      </c>
      <c r="B188" s="113" t="s">
        <v>5403</v>
      </c>
      <c r="C188" s="113" t="s">
        <v>5188</v>
      </c>
      <c r="D188" s="113" t="s">
        <v>5189</v>
      </c>
      <c r="E188" s="114">
        <v>0.9</v>
      </c>
      <c r="F188" s="114">
        <v>0.7</v>
      </c>
      <c r="G188" s="114">
        <v>0.7</v>
      </c>
      <c r="H188" s="114">
        <v>0</v>
      </c>
      <c r="I188" s="114">
        <v>0.79</v>
      </c>
      <c r="J188" s="114">
        <v>1600</v>
      </c>
      <c r="K188" s="113" t="s">
        <v>5189</v>
      </c>
      <c r="L188" s="113" t="s">
        <v>5189</v>
      </c>
      <c r="M188" s="114">
        <v>900</v>
      </c>
    </row>
    <row r="189" spans="1:13" ht="17.25" customHeight="1">
      <c r="A189" s="113" t="s">
        <v>5404</v>
      </c>
      <c r="B189" s="113" t="s">
        <v>5404</v>
      </c>
      <c r="C189" s="113" t="s">
        <v>5188</v>
      </c>
      <c r="D189" s="113" t="s">
        <v>5189</v>
      </c>
      <c r="E189" s="114">
        <v>0.9</v>
      </c>
      <c r="F189" s="114">
        <v>0.7</v>
      </c>
      <c r="G189" s="114">
        <v>0.7</v>
      </c>
      <c r="H189" s="114">
        <v>0</v>
      </c>
      <c r="I189" s="114">
        <v>0.24</v>
      </c>
      <c r="J189" s="114">
        <v>816</v>
      </c>
      <c r="K189" s="113" t="s">
        <v>5189</v>
      </c>
      <c r="L189" s="113" t="s">
        <v>5189</v>
      </c>
      <c r="M189" s="114">
        <v>880</v>
      </c>
    </row>
    <row r="190" spans="1:13" ht="17.25" customHeight="1">
      <c r="A190" s="113" t="s">
        <v>5405</v>
      </c>
      <c r="B190" s="113" t="s">
        <v>5405</v>
      </c>
      <c r="C190" s="113" t="s">
        <v>5188</v>
      </c>
      <c r="D190" s="113" t="s">
        <v>5189</v>
      </c>
      <c r="E190" s="114">
        <v>0.9</v>
      </c>
      <c r="F190" s="114">
        <v>0.7</v>
      </c>
      <c r="G190" s="114">
        <v>0.7</v>
      </c>
      <c r="H190" s="114">
        <v>0</v>
      </c>
      <c r="I190" s="114">
        <v>1.4</v>
      </c>
      <c r="J190" s="114">
        <v>1920</v>
      </c>
      <c r="K190" s="113" t="s">
        <v>5189</v>
      </c>
      <c r="L190" s="113" t="s">
        <v>5189</v>
      </c>
      <c r="M190" s="114">
        <v>900</v>
      </c>
    </row>
    <row r="191" spans="1:13" ht="17.25" customHeight="1">
      <c r="A191" s="113" t="s">
        <v>5295</v>
      </c>
      <c r="B191" s="113" t="s">
        <v>5295</v>
      </c>
      <c r="C191" s="113" t="s">
        <v>5188</v>
      </c>
      <c r="D191" s="113" t="s">
        <v>5189</v>
      </c>
      <c r="E191" s="114">
        <v>0.9</v>
      </c>
      <c r="F191" s="114">
        <v>0.7</v>
      </c>
      <c r="G191" s="114">
        <v>0.7</v>
      </c>
      <c r="H191" s="114">
        <v>0</v>
      </c>
      <c r="I191" s="114">
        <v>0.97</v>
      </c>
      <c r="J191" s="114">
        <v>1600</v>
      </c>
      <c r="K191" s="113" t="s">
        <v>5189</v>
      </c>
      <c r="L191" s="113" t="s">
        <v>5189</v>
      </c>
      <c r="M191" s="114">
        <v>900</v>
      </c>
    </row>
    <row r="192" spans="1:13" ht="17.25" customHeight="1">
      <c r="A192" s="113" t="s">
        <v>5406</v>
      </c>
      <c r="B192" s="113" t="s">
        <v>5406</v>
      </c>
      <c r="C192" s="113" t="s">
        <v>5188</v>
      </c>
      <c r="D192" s="113" t="s">
        <v>5189</v>
      </c>
      <c r="E192" s="114">
        <v>0.9</v>
      </c>
      <c r="F192" s="114">
        <v>0.7</v>
      </c>
      <c r="G192" s="114">
        <v>0.7</v>
      </c>
      <c r="H192" s="114">
        <v>0</v>
      </c>
      <c r="I192" s="114">
        <v>0.65</v>
      </c>
      <c r="J192" s="114">
        <v>1280</v>
      </c>
      <c r="K192" s="113" t="s">
        <v>5189</v>
      </c>
      <c r="L192" s="113" t="s">
        <v>5189</v>
      </c>
      <c r="M192" s="114">
        <v>900</v>
      </c>
    </row>
    <row r="193" spans="1:13" ht="17.25" customHeight="1">
      <c r="A193" s="113" t="s">
        <v>5407</v>
      </c>
      <c r="B193" s="113" t="s">
        <v>5407</v>
      </c>
      <c r="C193" s="113" t="s">
        <v>5188</v>
      </c>
      <c r="D193" s="113" t="s">
        <v>5189</v>
      </c>
      <c r="E193" s="114">
        <v>0.9</v>
      </c>
      <c r="F193" s="114">
        <v>0.7</v>
      </c>
      <c r="G193" s="114">
        <v>0.7</v>
      </c>
      <c r="H193" s="114">
        <v>0</v>
      </c>
      <c r="I193" s="114">
        <v>1.1000000000000001</v>
      </c>
      <c r="J193" s="114">
        <v>1920</v>
      </c>
      <c r="K193" s="113" t="s">
        <v>5189</v>
      </c>
      <c r="L193" s="113" t="s">
        <v>5189</v>
      </c>
      <c r="M193" s="114">
        <v>840</v>
      </c>
    </row>
    <row r="194" spans="1:13" ht="17.25" customHeight="1">
      <c r="A194" s="113" t="s">
        <v>5408</v>
      </c>
      <c r="B194" s="113" t="s">
        <v>5408</v>
      </c>
      <c r="C194" s="113" t="s">
        <v>5188</v>
      </c>
      <c r="D194" s="113" t="s">
        <v>5189</v>
      </c>
      <c r="E194" s="114">
        <v>0.9</v>
      </c>
      <c r="F194" s="114">
        <v>0.7</v>
      </c>
      <c r="G194" s="114">
        <v>0.7</v>
      </c>
      <c r="H194" s="114">
        <v>0</v>
      </c>
      <c r="I194" s="114">
        <v>0.78500000000000003</v>
      </c>
      <c r="J194" s="114">
        <v>1600</v>
      </c>
      <c r="K194" s="113" t="s">
        <v>5189</v>
      </c>
      <c r="L194" s="113" t="s">
        <v>5189</v>
      </c>
      <c r="M194" s="114">
        <v>840</v>
      </c>
    </row>
    <row r="195" spans="1:13" ht="17.25" customHeight="1">
      <c r="A195" s="113" t="s">
        <v>5409</v>
      </c>
      <c r="B195" s="113" t="s">
        <v>5409</v>
      </c>
      <c r="C195" s="113" t="s">
        <v>5188</v>
      </c>
      <c r="D195" s="113" t="s">
        <v>5189</v>
      </c>
      <c r="E195" s="114">
        <v>0.9</v>
      </c>
      <c r="F195" s="114">
        <v>0.7</v>
      </c>
      <c r="G195" s="114">
        <v>0.7</v>
      </c>
      <c r="H195" s="114">
        <v>0</v>
      </c>
      <c r="I195" s="114">
        <v>0.53500000000000003</v>
      </c>
      <c r="J195" s="114">
        <v>1280</v>
      </c>
      <c r="K195" s="113" t="s">
        <v>5189</v>
      </c>
      <c r="L195" s="113" t="s">
        <v>5189</v>
      </c>
      <c r="M195" s="114">
        <v>840</v>
      </c>
    </row>
    <row r="196" spans="1:13" ht="17.25" customHeight="1">
      <c r="A196" s="113" t="s">
        <v>5410</v>
      </c>
      <c r="B196" s="113" t="s">
        <v>5410</v>
      </c>
      <c r="C196" s="113" t="s">
        <v>5188</v>
      </c>
      <c r="D196" s="113" t="s">
        <v>5189</v>
      </c>
      <c r="E196" s="114">
        <v>0.9</v>
      </c>
      <c r="F196" s="114">
        <v>0.7</v>
      </c>
      <c r="G196" s="114">
        <v>0.7</v>
      </c>
      <c r="H196" s="114">
        <v>0</v>
      </c>
      <c r="I196" s="114">
        <v>0.33</v>
      </c>
      <c r="J196" s="114">
        <v>960</v>
      </c>
      <c r="K196" s="113" t="s">
        <v>5189</v>
      </c>
      <c r="L196" s="113" t="s">
        <v>5189</v>
      </c>
      <c r="M196" s="114">
        <v>840</v>
      </c>
    </row>
    <row r="197" spans="1:13" ht="17.25" customHeight="1">
      <c r="A197" s="113" t="s">
        <v>5411</v>
      </c>
      <c r="B197" s="113" t="s">
        <v>5411</v>
      </c>
      <c r="C197" s="113" t="s">
        <v>5188</v>
      </c>
      <c r="D197" s="113" t="s">
        <v>5189</v>
      </c>
      <c r="E197" s="114">
        <v>0.9</v>
      </c>
      <c r="F197" s="114">
        <v>0.7</v>
      </c>
      <c r="G197" s="114">
        <v>0.7</v>
      </c>
      <c r="H197" s="114">
        <v>0</v>
      </c>
      <c r="I197" s="114">
        <v>0.18</v>
      </c>
      <c r="J197" s="114">
        <v>640</v>
      </c>
      <c r="K197" s="113" t="s">
        <v>5189</v>
      </c>
      <c r="L197" s="113" t="s">
        <v>5189</v>
      </c>
      <c r="M197" s="114">
        <v>840</v>
      </c>
    </row>
    <row r="198" spans="1:13" ht="17.25" customHeight="1">
      <c r="A198" s="113" t="s">
        <v>5412</v>
      </c>
      <c r="B198" s="113" t="s">
        <v>5412</v>
      </c>
      <c r="C198" s="113" t="s">
        <v>5188</v>
      </c>
      <c r="D198" s="113" t="s">
        <v>5189</v>
      </c>
      <c r="E198" s="114">
        <v>0.9</v>
      </c>
      <c r="F198" s="114">
        <v>0.7</v>
      </c>
      <c r="G198" s="114">
        <v>0.7</v>
      </c>
      <c r="H198" s="114">
        <v>0</v>
      </c>
      <c r="I198" s="114">
        <v>0.26500000000000001</v>
      </c>
      <c r="J198" s="114">
        <v>800</v>
      </c>
      <c r="K198" s="113" t="s">
        <v>5189</v>
      </c>
      <c r="L198" s="113" t="s">
        <v>5189</v>
      </c>
      <c r="M198" s="114">
        <v>795</v>
      </c>
    </row>
    <row r="199" spans="1:13" ht="17.25" customHeight="1">
      <c r="A199" s="113" t="s">
        <v>5413</v>
      </c>
      <c r="B199" s="113" t="s">
        <v>5413</v>
      </c>
      <c r="C199" s="113" t="s">
        <v>5188</v>
      </c>
      <c r="D199" s="113" t="s">
        <v>5189</v>
      </c>
      <c r="E199" s="114">
        <v>0.9</v>
      </c>
      <c r="F199" s="114">
        <v>0.7</v>
      </c>
      <c r="G199" s="114">
        <v>0.7</v>
      </c>
      <c r="H199" s="114">
        <v>0</v>
      </c>
      <c r="I199" s="114">
        <v>0.21</v>
      </c>
      <c r="J199" s="114">
        <v>640</v>
      </c>
      <c r="K199" s="113" t="s">
        <v>5189</v>
      </c>
      <c r="L199" s="113" t="s">
        <v>5189</v>
      </c>
      <c r="M199" s="114">
        <v>795</v>
      </c>
    </row>
    <row r="200" spans="1:13" ht="17.25" customHeight="1">
      <c r="A200" s="113" t="s">
        <v>5414</v>
      </c>
      <c r="B200" s="113" t="s">
        <v>5414</v>
      </c>
      <c r="C200" s="113" t="s">
        <v>5188</v>
      </c>
      <c r="D200" s="113" t="s">
        <v>5189</v>
      </c>
      <c r="E200" s="114">
        <v>0.9</v>
      </c>
      <c r="F200" s="114">
        <v>0.7</v>
      </c>
      <c r="G200" s="114">
        <v>0.7</v>
      </c>
      <c r="H200" s="114">
        <v>0</v>
      </c>
      <c r="I200" s="114">
        <v>0.16</v>
      </c>
      <c r="J200" s="114">
        <v>480</v>
      </c>
      <c r="K200" s="113" t="s">
        <v>5189</v>
      </c>
      <c r="L200" s="113" t="s">
        <v>5189</v>
      </c>
      <c r="M200" s="114">
        <v>795</v>
      </c>
    </row>
    <row r="201" spans="1:13" ht="17.25" customHeight="1">
      <c r="A201" s="113" t="s">
        <v>5415</v>
      </c>
      <c r="B201" s="113" t="s">
        <v>5415</v>
      </c>
      <c r="C201" s="113" t="s">
        <v>5188</v>
      </c>
      <c r="D201" s="113" t="s">
        <v>5189</v>
      </c>
      <c r="E201" s="114">
        <v>0.9</v>
      </c>
      <c r="F201" s="114">
        <v>0.7</v>
      </c>
      <c r="G201" s="114">
        <v>0.7</v>
      </c>
      <c r="H201" s="114">
        <v>0</v>
      </c>
      <c r="I201" s="114">
        <v>0.12</v>
      </c>
      <c r="J201" s="114">
        <v>320</v>
      </c>
      <c r="K201" s="113" t="s">
        <v>5189</v>
      </c>
      <c r="L201" s="113" t="s">
        <v>5189</v>
      </c>
      <c r="M201" s="114">
        <v>795</v>
      </c>
    </row>
    <row r="202" spans="1:13" ht="17.25" customHeight="1">
      <c r="A202" s="113" t="s">
        <v>5416</v>
      </c>
      <c r="B202" s="113" t="s">
        <v>5416</v>
      </c>
      <c r="C202" s="113" t="s">
        <v>5188</v>
      </c>
      <c r="D202" s="113" t="s">
        <v>5189</v>
      </c>
      <c r="E202" s="114">
        <v>0.9</v>
      </c>
      <c r="F202" s="114">
        <v>0.7</v>
      </c>
      <c r="G202" s="114">
        <v>0.7</v>
      </c>
      <c r="H202" s="114">
        <v>0</v>
      </c>
      <c r="I202" s="114">
        <v>0.75</v>
      </c>
      <c r="J202" s="114">
        <v>1920</v>
      </c>
      <c r="K202" s="113" t="s">
        <v>5189</v>
      </c>
      <c r="L202" s="113" t="s">
        <v>5189</v>
      </c>
      <c r="M202" s="114">
        <v>900</v>
      </c>
    </row>
    <row r="203" spans="1:13" ht="17.25" customHeight="1">
      <c r="A203" s="113" t="s">
        <v>5417</v>
      </c>
      <c r="B203" s="113" t="s">
        <v>5417</v>
      </c>
      <c r="C203" s="113" t="s">
        <v>5188</v>
      </c>
      <c r="D203" s="113" t="s">
        <v>5189</v>
      </c>
      <c r="E203" s="114">
        <v>0.9</v>
      </c>
      <c r="F203" s="114">
        <v>0.7</v>
      </c>
      <c r="G203" s="114">
        <v>0.7</v>
      </c>
      <c r="H203" s="114">
        <v>0</v>
      </c>
      <c r="I203" s="114">
        <v>0.6</v>
      </c>
      <c r="J203" s="114">
        <v>1600</v>
      </c>
      <c r="K203" s="113" t="s">
        <v>5189</v>
      </c>
      <c r="L203" s="113" t="s">
        <v>5189</v>
      </c>
      <c r="M203" s="114">
        <v>900</v>
      </c>
    </row>
    <row r="204" spans="1:13" ht="17.25" customHeight="1">
      <c r="A204" s="113" t="s">
        <v>5418</v>
      </c>
      <c r="B204" s="113" t="s">
        <v>5418</v>
      </c>
      <c r="C204" s="113" t="s">
        <v>5188</v>
      </c>
      <c r="D204" s="113" t="s">
        <v>5189</v>
      </c>
      <c r="E204" s="114">
        <v>0.9</v>
      </c>
      <c r="F204" s="114">
        <v>0.7</v>
      </c>
      <c r="G204" s="114">
        <v>0.7</v>
      </c>
      <c r="H204" s="114">
        <v>0</v>
      </c>
      <c r="I204" s="114">
        <v>0.44</v>
      </c>
      <c r="J204" s="114">
        <v>1280</v>
      </c>
      <c r="K204" s="113" t="s">
        <v>5189</v>
      </c>
      <c r="L204" s="113" t="s">
        <v>5189</v>
      </c>
      <c r="M204" s="114">
        <v>900</v>
      </c>
    </row>
    <row r="205" spans="1:13" ht="17.25" customHeight="1">
      <c r="A205" s="113" t="s">
        <v>5419</v>
      </c>
      <c r="B205" s="113" t="s">
        <v>5419</v>
      </c>
      <c r="C205" s="113" t="s">
        <v>5188</v>
      </c>
      <c r="D205" s="113" t="s">
        <v>5189</v>
      </c>
      <c r="E205" s="114">
        <v>0.9</v>
      </c>
      <c r="F205" s="114">
        <v>0.7</v>
      </c>
      <c r="G205" s="114">
        <v>0.7</v>
      </c>
      <c r="H205" s="114">
        <v>0</v>
      </c>
      <c r="I205" s="114">
        <v>0.36</v>
      </c>
      <c r="J205" s="114">
        <v>1120</v>
      </c>
      <c r="K205" s="113" t="s">
        <v>5189</v>
      </c>
      <c r="L205" s="113" t="s">
        <v>5189</v>
      </c>
      <c r="M205" s="114">
        <v>900</v>
      </c>
    </row>
    <row r="206" spans="1:13" ht="17.25" customHeight="1">
      <c r="A206" s="113" t="s">
        <v>5420</v>
      </c>
      <c r="B206" s="113" t="s">
        <v>5420</v>
      </c>
      <c r="C206" s="113" t="s">
        <v>5188</v>
      </c>
      <c r="D206" s="113" t="s">
        <v>5189</v>
      </c>
      <c r="E206" s="114">
        <v>0.9</v>
      </c>
      <c r="F206" s="114">
        <v>0.7</v>
      </c>
      <c r="G206" s="114">
        <v>0.7</v>
      </c>
      <c r="H206" s="114">
        <v>0</v>
      </c>
      <c r="I206" s="114">
        <v>0.3</v>
      </c>
      <c r="J206" s="114">
        <v>960</v>
      </c>
      <c r="K206" s="113" t="s">
        <v>5189</v>
      </c>
      <c r="L206" s="113" t="s">
        <v>5189</v>
      </c>
      <c r="M206" s="114">
        <v>900</v>
      </c>
    </row>
    <row r="207" spans="1:13" ht="17.25" customHeight="1">
      <c r="A207" s="113" t="s">
        <v>5421</v>
      </c>
      <c r="B207" s="113" t="s">
        <v>5421</v>
      </c>
      <c r="C207" s="113" t="s">
        <v>5188</v>
      </c>
      <c r="D207" s="113" t="s">
        <v>5189</v>
      </c>
      <c r="E207" s="114">
        <v>0.9</v>
      </c>
      <c r="F207" s="114">
        <v>0.7</v>
      </c>
      <c r="G207" s="114">
        <v>0.7</v>
      </c>
      <c r="H207" s="114">
        <v>0</v>
      </c>
      <c r="I207" s="114">
        <v>0.2</v>
      </c>
      <c r="J207" s="114">
        <v>640</v>
      </c>
      <c r="K207" s="113" t="s">
        <v>5189</v>
      </c>
      <c r="L207" s="113" t="s">
        <v>5189</v>
      </c>
      <c r="M207" s="114">
        <v>900</v>
      </c>
    </row>
    <row r="208" spans="1:13" ht="17.25" customHeight="1">
      <c r="A208" s="113" t="s">
        <v>5422</v>
      </c>
      <c r="B208" s="113" t="s">
        <v>5422</v>
      </c>
      <c r="C208" s="113" t="s">
        <v>5188</v>
      </c>
      <c r="D208" s="113" t="s">
        <v>5189</v>
      </c>
      <c r="E208" s="114">
        <v>0.9</v>
      </c>
      <c r="F208" s="114">
        <v>0.7</v>
      </c>
      <c r="G208" s="114">
        <v>0.7</v>
      </c>
      <c r="H208" s="114">
        <v>0</v>
      </c>
      <c r="I208" s="114">
        <v>0.12</v>
      </c>
      <c r="J208" s="114">
        <v>320</v>
      </c>
      <c r="K208" s="113" t="s">
        <v>5189</v>
      </c>
      <c r="L208" s="113" t="s">
        <v>5189</v>
      </c>
      <c r="M208" s="114">
        <v>900</v>
      </c>
    </row>
    <row r="209" spans="1:13" ht="17.25" customHeight="1">
      <c r="A209" s="113" t="s">
        <v>5423</v>
      </c>
      <c r="B209" s="113" t="s">
        <v>5423</v>
      </c>
      <c r="C209" s="113" t="s">
        <v>5188</v>
      </c>
      <c r="D209" s="113" t="s">
        <v>5189</v>
      </c>
      <c r="E209" s="114">
        <v>0.9</v>
      </c>
      <c r="F209" s="114">
        <v>0.7</v>
      </c>
      <c r="G209" s="114">
        <v>0.7</v>
      </c>
      <c r="H209" s="114">
        <v>0</v>
      </c>
      <c r="I209" s="114">
        <v>2.15</v>
      </c>
      <c r="J209" s="114">
        <v>2400</v>
      </c>
      <c r="K209" s="113" t="s">
        <v>5189</v>
      </c>
      <c r="L209" s="113" t="s">
        <v>5189</v>
      </c>
      <c r="M209" s="114">
        <v>900</v>
      </c>
    </row>
    <row r="210" spans="1:13" ht="17.25" customHeight="1">
      <c r="A210" s="113" t="s">
        <v>5424</v>
      </c>
      <c r="B210" s="113" t="s">
        <v>5424</v>
      </c>
      <c r="C210" s="113" t="s">
        <v>5188</v>
      </c>
      <c r="D210" s="113" t="s">
        <v>5189</v>
      </c>
      <c r="E210" s="114">
        <v>0.9</v>
      </c>
      <c r="F210" s="114">
        <v>0.7</v>
      </c>
      <c r="G210" s="114">
        <v>0.7</v>
      </c>
      <c r="H210" s="114">
        <v>0</v>
      </c>
      <c r="I210" s="114">
        <v>1.95</v>
      </c>
      <c r="J210" s="114">
        <v>2240</v>
      </c>
      <c r="K210" s="113" t="s">
        <v>5189</v>
      </c>
      <c r="L210" s="113" t="s">
        <v>5189</v>
      </c>
      <c r="M210" s="114">
        <v>900</v>
      </c>
    </row>
    <row r="211" spans="1:13" ht="17.25" customHeight="1">
      <c r="A211" s="113" t="s">
        <v>5425</v>
      </c>
      <c r="B211" s="113" t="s">
        <v>5425</v>
      </c>
      <c r="C211" s="113" t="s">
        <v>5188</v>
      </c>
      <c r="D211" s="113" t="s">
        <v>5189</v>
      </c>
      <c r="E211" s="114">
        <v>0.9</v>
      </c>
      <c r="F211" s="114">
        <v>0.7</v>
      </c>
      <c r="G211" s="114">
        <v>0.7</v>
      </c>
      <c r="H211" s="114">
        <v>0</v>
      </c>
      <c r="I211" s="114">
        <v>1.45</v>
      </c>
      <c r="J211" s="114">
        <v>2080</v>
      </c>
      <c r="K211" s="113" t="s">
        <v>5189</v>
      </c>
      <c r="L211" s="113" t="s">
        <v>5189</v>
      </c>
      <c r="M211" s="114">
        <v>900</v>
      </c>
    </row>
    <row r="212" spans="1:13" ht="17.25" customHeight="1">
      <c r="A212" s="113" t="s">
        <v>5426</v>
      </c>
      <c r="B212" s="113" t="s">
        <v>5426</v>
      </c>
      <c r="C212" s="113" t="s">
        <v>5188</v>
      </c>
      <c r="D212" s="113" t="s">
        <v>5189</v>
      </c>
      <c r="E212" s="114">
        <v>0.9</v>
      </c>
      <c r="F212" s="114">
        <v>0.7</v>
      </c>
      <c r="G212" s="114">
        <v>0.7</v>
      </c>
      <c r="H212" s="114">
        <v>0</v>
      </c>
      <c r="I212" s="114">
        <v>1.6</v>
      </c>
      <c r="J212" s="114">
        <v>2240</v>
      </c>
      <c r="K212" s="113" t="s">
        <v>5189</v>
      </c>
      <c r="L212" s="113" t="s">
        <v>5189</v>
      </c>
      <c r="M212" s="114">
        <v>900</v>
      </c>
    </row>
    <row r="213" spans="1:13" ht="17.25" customHeight="1">
      <c r="A213" s="113" t="s">
        <v>5427</v>
      </c>
      <c r="B213" s="113" t="s">
        <v>5427</v>
      </c>
      <c r="C213" s="113" t="s">
        <v>5188</v>
      </c>
      <c r="D213" s="113" t="s">
        <v>5189</v>
      </c>
      <c r="E213" s="114">
        <v>0.9</v>
      </c>
      <c r="F213" s="114">
        <v>0.7</v>
      </c>
      <c r="G213" s="114">
        <v>0.7</v>
      </c>
      <c r="H213" s="114">
        <v>0</v>
      </c>
      <c r="I213" s="114">
        <v>1.1399999999999999</v>
      </c>
      <c r="J213" s="114">
        <v>1920</v>
      </c>
      <c r="K213" s="113" t="s">
        <v>5189</v>
      </c>
      <c r="L213" s="113" t="s">
        <v>5189</v>
      </c>
      <c r="M213" s="114">
        <v>900</v>
      </c>
    </row>
    <row r="214" spans="1:13" ht="17.25" customHeight="1">
      <c r="A214" s="113" t="s">
        <v>5428</v>
      </c>
      <c r="B214" s="113" t="s">
        <v>5428</v>
      </c>
      <c r="C214" s="113" t="s">
        <v>5188</v>
      </c>
      <c r="D214" s="113" t="s">
        <v>5189</v>
      </c>
      <c r="E214" s="114">
        <v>0.9</v>
      </c>
      <c r="F214" s="114">
        <v>0.7</v>
      </c>
      <c r="G214" s="114">
        <v>0.7</v>
      </c>
      <c r="H214" s="114">
        <v>0</v>
      </c>
      <c r="I214" s="114">
        <v>0.79</v>
      </c>
      <c r="J214" s="114">
        <v>1600</v>
      </c>
      <c r="K214" s="113" t="s">
        <v>5189</v>
      </c>
      <c r="L214" s="113" t="s">
        <v>5189</v>
      </c>
      <c r="M214" s="114">
        <v>900</v>
      </c>
    </row>
    <row r="215" spans="1:13" ht="17.25" customHeight="1">
      <c r="A215" s="113" t="s">
        <v>5429</v>
      </c>
      <c r="B215" s="113" t="s">
        <v>5429</v>
      </c>
      <c r="C215" s="113" t="s">
        <v>5188</v>
      </c>
      <c r="D215" s="113" t="s">
        <v>5189</v>
      </c>
      <c r="E215" s="114">
        <v>0.9</v>
      </c>
      <c r="F215" s="114">
        <v>0.7</v>
      </c>
      <c r="G215" s="114">
        <v>0.7</v>
      </c>
      <c r="H215" s="114">
        <v>0</v>
      </c>
      <c r="I215" s="114">
        <v>0.24</v>
      </c>
      <c r="J215" s="114">
        <v>816</v>
      </c>
      <c r="K215" s="113" t="s">
        <v>5189</v>
      </c>
      <c r="L215" s="113" t="s">
        <v>5189</v>
      </c>
      <c r="M215" s="114">
        <v>880</v>
      </c>
    </row>
    <row r="216" spans="1:13" ht="17.25" customHeight="1">
      <c r="A216" s="113" t="s">
        <v>5430</v>
      </c>
      <c r="B216" s="113" t="s">
        <v>5430</v>
      </c>
      <c r="C216" s="113" t="s">
        <v>5188</v>
      </c>
      <c r="D216" s="113" t="s">
        <v>5189</v>
      </c>
      <c r="E216" s="114">
        <v>0.9</v>
      </c>
      <c r="F216" s="114">
        <v>0.7</v>
      </c>
      <c r="G216" s="114">
        <v>0.7</v>
      </c>
      <c r="H216" s="114">
        <v>0</v>
      </c>
      <c r="I216" s="114">
        <v>1.4</v>
      </c>
      <c r="J216" s="114">
        <v>1920</v>
      </c>
      <c r="K216" s="113" t="s">
        <v>5189</v>
      </c>
      <c r="L216" s="113" t="s">
        <v>5189</v>
      </c>
      <c r="M216" s="114">
        <v>900</v>
      </c>
    </row>
    <row r="217" spans="1:13" ht="17.25" customHeight="1">
      <c r="A217" s="113" t="s">
        <v>5431</v>
      </c>
      <c r="B217" s="113" t="s">
        <v>5431</v>
      </c>
      <c r="C217" s="113" t="s">
        <v>5188</v>
      </c>
      <c r="D217" s="113" t="s">
        <v>5189</v>
      </c>
      <c r="E217" s="114">
        <v>0.9</v>
      </c>
      <c r="F217" s="114">
        <v>0.7</v>
      </c>
      <c r="G217" s="114">
        <v>0.7</v>
      </c>
      <c r="H217" s="114">
        <v>0</v>
      </c>
      <c r="I217" s="114">
        <v>0.97</v>
      </c>
      <c r="J217" s="114">
        <v>1600</v>
      </c>
      <c r="K217" s="113" t="s">
        <v>5189</v>
      </c>
      <c r="L217" s="113" t="s">
        <v>5189</v>
      </c>
      <c r="M217" s="114">
        <v>900</v>
      </c>
    </row>
    <row r="218" spans="1:13" ht="17.25" customHeight="1">
      <c r="A218" s="113" t="s">
        <v>5432</v>
      </c>
      <c r="B218" s="113" t="s">
        <v>5432</v>
      </c>
      <c r="C218" s="113" t="s">
        <v>5188</v>
      </c>
      <c r="D218" s="113" t="s">
        <v>5189</v>
      </c>
      <c r="E218" s="114">
        <v>0.9</v>
      </c>
      <c r="F218" s="114">
        <v>0.7</v>
      </c>
      <c r="G218" s="114">
        <v>0.7</v>
      </c>
      <c r="H218" s="114">
        <v>0</v>
      </c>
      <c r="I218" s="114">
        <v>0.65</v>
      </c>
      <c r="J218" s="114">
        <v>1280</v>
      </c>
      <c r="K218" s="113" t="s">
        <v>5189</v>
      </c>
      <c r="L218" s="113" t="s">
        <v>5189</v>
      </c>
      <c r="M218" s="114">
        <v>900</v>
      </c>
    </row>
    <row r="219" spans="1:13" ht="17.25" customHeight="1">
      <c r="A219" s="113" t="s">
        <v>5433</v>
      </c>
      <c r="B219" s="113" t="s">
        <v>5433</v>
      </c>
      <c r="C219" s="113" t="s">
        <v>5188</v>
      </c>
      <c r="D219" s="113" t="s">
        <v>5189</v>
      </c>
      <c r="E219" s="114">
        <v>0.9</v>
      </c>
      <c r="F219" s="114">
        <v>0.7</v>
      </c>
      <c r="G219" s="114">
        <v>0.7</v>
      </c>
      <c r="H219" s="114">
        <v>0</v>
      </c>
      <c r="I219" s="114">
        <v>1.1000000000000001</v>
      </c>
      <c r="J219" s="114">
        <v>1920</v>
      </c>
      <c r="K219" s="113" t="s">
        <v>5189</v>
      </c>
      <c r="L219" s="113" t="s">
        <v>5189</v>
      </c>
      <c r="M219" s="114">
        <v>840</v>
      </c>
    </row>
    <row r="220" spans="1:13" ht="17.25" customHeight="1">
      <c r="A220" s="113" t="s">
        <v>5434</v>
      </c>
      <c r="B220" s="113" t="s">
        <v>5434</v>
      </c>
      <c r="C220" s="113" t="s">
        <v>5188</v>
      </c>
      <c r="D220" s="113" t="s">
        <v>5189</v>
      </c>
      <c r="E220" s="114">
        <v>0.9</v>
      </c>
      <c r="F220" s="114">
        <v>0.7</v>
      </c>
      <c r="G220" s="114">
        <v>0.7</v>
      </c>
      <c r="H220" s="114">
        <v>0</v>
      </c>
      <c r="I220" s="114">
        <v>0.78500000000000003</v>
      </c>
      <c r="J220" s="114">
        <v>1600</v>
      </c>
      <c r="K220" s="113" t="s">
        <v>5189</v>
      </c>
      <c r="L220" s="113" t="s">
        <v>5189</v>
      </c>
      <c r="M220" s="114">
        <v>840</v>
      </c>
    </row>
    <row r="221" spans="1:13" ht="17.25" customHeight="1">
      <c r="A221" s="113" t="s">
        <v>5435</v>
      </c>
      <c r="B221" s="113" t="s">
        <v>5435</v>
      </c>
      <c r="C221" s="113" t="s">
        <v>5188</v>
      </c>
      <c r="D221" s="113" t="s">
        <v>5189</v>
      </c>
      <c r="E221" s="114">
        <v>0.9</v>
      </c>
      <c r="F221" s="114">
        <v>0.7</v>
      </c>
      <c r="G221" s="114">
        <v>0.7</v>
      </c>
      <c r="H221" s="114">
        <v>0</v>
      </c>
      <c r="I221" s="114">
        <v>0.53500000000000003</v>
      </c>
      <c r="J221" s="114">
        <v>1280</v>
      </c>
      <c r="K221" s="113" t="s">
        <v>5189</v>
      </c>
      <c r="L221" s="113" t="s">
        <v>5189</v>
      </c>
      <c r="M221" s="114">
        <v>840</v>
      </c>
    </row>
    <row r="222" spans="1:13" ht="17.25" customHeight="1">
      <c r="A222" s="113" t="s">
        <v>5436</v>
      </c>
      <c r="B222" s="113" t="s">
        <v>5436</v>
      </c>
      <c r="C222" s="113" t="s">
        <v>5188</v>
      </c>
      <c r="D222" s="113" t="s">
        <v>5189</v>
      </c>
      <c r="E222" s="114">
        <v>0.9</v>
      </c>
      <c r="F222" s="114">
        <v>0.7</v>
      </c>
      <c r="G222" s="114">
        <v>0.7</v>
      </c>
      <c r="H222" s="114">
        <v>0</v>
      </c>
      <c r="I222" s="114">
        <v>0.33</v>
      </c>
      <c r="J222" s="114">
        <v>960</v>
      </c>
      <c r="K222" s="113" t="s">
        <v>5189</v>
      </c>
      <c r="L222" s="113" t="s">
        <v>5189</v>
      </c>
      <c r="M222" s="114">
        <v>840</v>
      </c>
    </row>
    <row r="223" spans="1:13" ht="17.25" customHeight="1">
      <c r="A223" s="113" t="s">
        <v>5437</v>
      </c>
      <c r="B223" s="113" t="s">
        <v>5437</v>
      </c>
      <c r="C223" s="113" t="s">
        <v>5188</v>
      </c>
      <c r="D223" s="113" t="s">
        <v>5189</v>
      </c>
      <c r="E223" s="114">
        <v>0.9</v>
      </c>
      <c r="F223" s="114">
        <v>0.7</v>
      </c>
      <c r="G223" s="114">
        <v>0.7</v>
      </c>
      <c r="H223" s="114">
        <v>0</v>
      </c>
      <c r="I223" s="114">
        <v>0.18</v>
      </c>
      <c r="J223" s="114">
        <v>640</v>
      </c>
      <c r="K223" s="113" t="s">
        <v>5189</v>
      </c>
      <c r="L223" s="113" t="s">
        <v>5189</v>
      </c>
      <c r="M223" s="114">
        <v>840</v>
      </c>
    </row>
    <row r="224" spans="1:13" ht="17.25" customHeight="1">
      <c r="A224" s="113" t="s">
        <v>5438</v>
      </c>
      <c r="B224" s="113" t="s">
        <v>5438</v>
      </c>
      <c r="C224" s="113" t="s">
        <v>5188</v>
      </c>
      <c r="D224" s="113" t="s">
        <v>5189</v>
      </c>
      <c r="E224" s="114">
        <v>0.9</v>
      </c>
      <c r="F224" s="114">
        <v>0.7</v>
      </c>
      <c r="G224" s="114">
        <v>0.7</v>
      </c>
      <c r="H224" s="114">
        <v>0</v>
      </c>
      <c r="I224" s="114">
        <v>0.26500000000000001</v>
      </c>
      <c r="J224" s="114">
        <v>800</v>
      </c>
      <c r="K224" s="113" t="s">
        <v>5189</v>
      </c>
      <c r="L224" s="113" t="s">
        <v>5189</v>
      </c>
      <c r="M224" s="114">
        <v>795</v>
      </c>
    </row>
    <row r="225" spans="1:13" ht="17.25" customHeight="1">
      <c r="A225" s="113" t="s">
        <v>5439</v>
      </c>
      <c r="B225" s="113" t="s">
        <v>5439</v>
      </c>
      <c r="C225" s="113" t="s">
        <v>5188</v>
      </c>
      <c r="D225" s="113" t="s">
        <v>5189</v>
      </c>
      <c r="E225" s="114">
        <v>0.9</v>
      </c>
      <c r="F225" s="114">
        <v>0.7</v>
      </c>
      <c r="G225" s="114">
        <v>0.7</v>
      </c>
      <c r="H225" s="114">
        <v>0</v>
      </c>
      <c r="I225" s="114">
        <v>0.21</v>
      </c>
      <c r="J225" s="114">
        <v>640</v>
      </c>
      <c r="K225" s="113" t="s">
        <v>5189</v>
      </c>
      <c r="L225" s="113" t="s">
        <v>5189</v>
      </c>
      <c r="M225" s="114">
        <v>795</v>
      </c>
    </row>
    <row r="226" spans="1:13" ht="17.25" customHeight="1">
      <c r="A226" s="113" t="s">
        <v>5440</v>
      </c>
      <c r="B226" s="113" t="s">
        <v>5440</v>
      </c>
      <c r="C226" s="113" t="s">
        <v>5188</v>
      </c>
      <c r="D226" s="113" t="s">
        <v>5189</v>
      </c>
      <c r="E226" s="114">
        <v>0.9</v>
      </c>
      <c r="F226" s="114">
        <v>0.7</v>
      </c>
      <c r="G226" s="114">
        <v>0.7</v>
      </c>
      <c r="H226" s="114">
        <v>0</v>
      </c>
      <c r="I226" s="114">
        <v>0.16</v>
      </c>
      <c r="J226" s="114">
        <v>480</v>
      </c>
      <c r="K226" s="113" t="s">
        <v>5189</v>
      </c>
      <c r="L226" s="113" t="s">
        <v>5189</v>
      </c>
      <c r="M226" s="114">
        <v>795</v>
      </c>
    </row>
    <row r="227" spans="1:13" ht="17.25" customHeight="1">
      <c r="A227" s="113" t="s">
        <v>5441</v>
      </c>
      <c r="B227" s="113" t="s">
        <v>5441</v>
      </c>
      <c r="C227" s="113" t="s">
        <v>5188</v>
      </c>
      <c r="D227" s="113" t="s">
        <v>5189</v>
      </c>
      <c r="E227" s="114">
        <v>0.9</v>
      </c>
      <c r="F227" s="114">
        <v>0.7</v>
      </c>
      <c r="G227" s="114">
        <v>0.7</v>
      </c>
      <c r="H227" s="114">
        <v>0</v>
      </c>
      <c r="I227" s="114">
        <v>0.12</v>
      </c>
      <c r="J227" s="114">
        <v>320</v>
      </c>
      <c r="K227" s="113" t="s">
        <v>5189</v>
      </c>
      <c r="L227" s="113" t="s">
        <v>5189</v>
      </c>
      <c r="M227" s="114">
        <v>795</v>
      </c>
    </row>
    <row r="228" spans="1:13" ht="17.25" customHeight="1">
      <c r="A228" s="113" t="s">
        <v>5442</v>
      </c>
      <c r="B228" s="113" t="s">
        <v>5442</v>
      </c>
      <c r="C228" s="113" t="s">
        <v>5188</v>
      </c>
      <c r="D228" s="113" t="s">
        <v>5189</v>
      </c>
      <c r="E228" s="114">
        <v>0.9</v>
      </c>
      <c r="F228" s="114">
        <v>0.7</v>
      </c>
      <c r="G228" s="114">
        <v>0.7</v>
      </c>
      <c r="H228" s="114">
        <v>0</v>
      </c>
      <c r="I228" s="114">
        <v>0.75</v>
      </c>
      <c r="J228" s="114">
        <v>1920</v>
      </c>
      <c r="K228" s="113" t="s">
        <v>5189</v>
      </c>
      <c r="L228" s="113" t="s">
        <v>5189</v>
      </c>
      <c r="M228" s="114">
        <v>900</v>
      </c>
    </row>
    <row r="229" spans="1:13" ht="17.25" customHeight="1">
      <c r="A229" s="113" t="s">
        <v>5443</v>
      </c>
      <c r="B229" s="113" t="s">
        <v>5443</v>
      </c>
      <c r="C229" s="113" t="s">
        <v>5188</v>
      </c>
      <c r="D229" s="113" t="s">
        <v>5189</v>
      </c>
      <c r="E229" s="114">
        <v>0.9</v>
      </c>
      <c r="F229" s="114">
        <v>0.7</v>
      </c>
      <c r="G229" s="114">
        <v>0.7</v>
      </c>
      <c r="H229" s="114">
        <v>0</v>
      </c>
      <c r="I229" s="114">
        <v>0.6</v>
      </c>
      <c r="J229" s="114">
        <v>1600</v>
      </c>
      <c r="K229" s="113" t="s">
        <v>5189</v>
      </c>
      <c r="L229" s="113" t="s">
        <v>5189</v>
      </c>
      <c r="M229" s="114">
        <v>900</v>
      </c>
    </row>
    <row r="230" spans="1:13" ht="17.25" customHeight="1">
      <c r="A230" s="113" t="s">
        <v>5444</v>
      </c>
      <c r="B230" s="113" t="s">
        <v>5444</v>
      </c>
      <c r="C230" s="113" t="s">
        <v>5188</v>
      </c>
      <c r="D230" s="113" t="s">
        <v>5189</v>
      </c>
      <c r="E230" s="114">
        <v>0.9</v>
      </c>
      <c r="F230" s="114">
        <v>0.7</v>
      </c>
      <c r="G230" s="114">
        <v>0.7</v>
      </c>
      <c r="H230" s="114">
        <v>0</v>
      </c>
      <c r="I230" s="114">
        <v>0.44</v>
      </c>
      <c r="J230" s="114">
        <v>1280</v>
      </c>
      <c r="K230" s="113" t="s">
        <v>5189</v>
      </c>
      <c r="L230" s="113" t="s">
        <v>5189</v>
      </c>
      <c r="M230" s="114">
        <v>900</v>
      </c>
    </row>
    <row r="231" spans="1:13" ht="17.25" customHeight="1">
      <c r="A231" s="113" t="s">
        <v>5445</v>
      </c>
      <c r="B231" s="113" t="s">
        <v>5445</v>
      </c>
      <c r="C231" s="113" t="s">
        <v>5188</v>
      </c>
      <c r="D231" s="113" t="s">
        <v>5189</v>
      </c>
      <c r="E231" s="114">
        <v>0.9</v>
      </c>
      <c r="F231" s="114">
        <v>0.7</v>
      </c>
      <c r="G231" s="114">
        <v>0.7</v>
      </c>
      <c r="H231" s="114">
        <v>0</v>
      </c>
      <c r="I231" s="114">
        <v>0.36</v>
      </c>
      <c r="J231" s="114">
        <v>1120</v>
      </c>
      <c r="K231" s="113" t="s">
        <v>5189</v>
      </c>
      <c r="L231" s="113" t="s">
        <v>5189</v>
      </c>
      <c r="M231" s="114">
        <v>900</v>
      </c>
    </row>
    <row r="232" spans="1:13" ht="17.25" customHeight="1">
      <c r="A232" s="113" t="s">
        <v>5446</v>
      </c>
      <c r="B232" s="113" t="s">
        <v>5446</v>
      </c>
      <c r="C232" s="113" t="s">
        <v>5188</v>
      </c>
      <c r="D232" s="113" t="s">
        <v>5189</v>
      </c>
      <c r="E232" s="114">
        <v>0.9</v>
      </c>
      <c r="F232" s="114">
        <v>0.7</v>
      </c>
      <c r="G232" s="114">
        <v>0.7</v>
      </c>
      <c r="H232" s="114">
        <v>0</v>
      </c>
      <c r="I232" s="114">
        <v>0.3</v>
      </c>
      <c r="J232" s="114">
        <v>960</v>
      </c>
      <c r="K232" s="113" t="s">
        <v>5189</v>
      </c>
      <c r="L232" s="113" t="s">
        <v>5189</v>
      </c>
      <c r="M232" s="114">
        <v>900</v>
      </c>
    </row>
    <row r="233" spans="1:13" ht="17.25" customHeight="1">
      <c r="A233" s="113" t="s">
        <v>5447</v>
      </c>
      <c r="B233" s="113" t="s">
        <v>5447</v>
      </c>
      <c r="C233" s="113" t="s">
        <v>5188</v>
      </c>
      <c r="D233" s="113" t="s">
        <v>5189</v>
      </c>
      <c r="E233" s="114">
        <v>0.9</v>
      </c>
      <c r="F233" s="114">
        <v>0.7</v>
      </c>
      <c r="G233" s="114">
        <v>0.7</v>
      </c>
      <c r="H233" s="114">
        <v>0</v>
      </c>
      <c r="I233" s="114">
        <v>0.2</v>
      </c>
      <c r="J233" s="114">
        <v>640</v>
      </c>
      <c r="K233" s="113" t="s">
        <v>5189</v>
      </c>
      <c r="L233" s="113" t="s">
        <v>5189</v>
      </c>
      <c r="M233" s="114">
        <v>900</v>
      </c>
    </row>
    <row r="234" spans="1:13" ht="17.25" customHeight="1">
      <c r="A234" s="113" t="s">
        <v>5448</v>
      </c>
      <c r="B234" s="113" t="s">
        <v>5448</v>
      </c>
      <c r="C234" s="113" t="s">
        <v>5188</v>
      </c>
      <c r="D234" s="113" t="s">
        <v>5189</v>
      </c>
      <c r="E234" s="114">
        <v>0.9</v>
      </c>
      <c r="F234" s="114">
        <v>0.7</v>
      </c>
      <c r="G234" s="114">
        <v>0.7</v>
      </c>
      <c r="H234" s="114">
        <v>0</v>
      </c>
      <c r="I234" s="114">
        <v>0.12</v>
      </c>
      <c r="J234" s="114">
        <v>320</v>
      </c>
      <c r="K234" s="113" t="s">
        <v>5189</v>
      </c>
      <c r="L234" s="113" t="s">
        <v>5189</v>
      </c>
      <c r="M234" s="114">
        <v>900</v>
      </c>
    </row>
    <row r="235" spans="1:13" ht="17.25" customHeight="1">
      <c r="A235" s="113" t="s">
        <v>5449</v>
      </c>
      <c r="B235" s="113" t="s">
        <v>5449</v>
      </c>
      <c r="C235" s="113" t="s">
        <v>5188</v>
      </c>
      <c r="D235" s="113" t="s">
        <v>5198</v>
      </c>
      <c r="E235" s="114">
        <v>0.9</v>
      </c>
      <c r="F235" s="114">
        <v>0.7</v>
      </c>
      <c r="G235" s="114">
        <v>0.7</v>
      </c>
      <c r="H235" s="114">
        <v>0</v>
      </c>
      <c r="I235" s="114">
        <v>0.16700000000000001</v>
      </c>
      <c r="J235" s="114">
        <v>680</v>
      </c>
      <c r="K235" s="113" t="s">
        <v>5198</v>
      </c>
      <c r="L235" s="113" t="s">
        <v>5198</v>
      </c>
      <c r="M235" s="114">
        <v>1630</v>
      </c>
    </row>
    <row r="236" spans="1:13" ht="17.25" customHeight="1">
      <c r="A236" s="113" t="s">
        <v>5450</v>
      </c>
      <c r="B236" s="113" t="s">
        <v>5450</v>
      </c>
      <c r="C236" s="113" t="s">
        <v>5188</v>
      </c>
      <c r="D236" s="113" t="s">
        <v>5198</v>
      </c>
      <c r="E236" s="114">
        <v>0.9</v>
      </c>
      <c r="F236" s="114">
        <v>0.7</v>
      </c>
      <c r="G236" s="114">
        <v>0.7</v>
      </c>
      <c r="H236" s="114">
        <v>0</v>
      </c>
      <c r="I236" s="114">
        <v>0.17</v>
      </c>
      <c r="J236" s="114">
        <v>704</v>
      </c>
      <c r="K236" s="113" t="s">
        <v>5198</v>
      </c>
      <c r="L236" s="113" t="s">
        <v>5198</v>
      </c>
      <c r="M236" s="114">
        <v>1630</v>
      </c>
    </row>
    <row r="237" spans="1:13" ht="17.25" customHeight="1">
      <c r="A237" s="113" t="s">
        <v>5451</v>
      </c>
      <c r="B237" s="113" t="s">
        <v>5451</v>
      </c>
      <c r="C237" s="113" t="s">
        <v>5188</v>
      </c>
      <c r="D237" s="113" t="s">
        <v>5198</v>
      </c>
      <c r="E237" s="114">
        <v>0.9</v>
      </c>
      <c r="F237" s="114">
        <v>0.7</v>
      </c>
      <c r="G237" s="114">
        <v>0.7</v>
      </c>
      <c r="H237" s="114">
        <v>0</v>
      </c>
      <c r="I237" s="114">
        <v>0.17199999999999999</v>
      </c>
      <c r="J237" s="114">
        <v>704</v>
      </c>
      <c r="K237" s="113" t="s">
        <v>5198</v>
      </c>
      <c r="L237" s="113" t="s">
        <v>5198</v>
      </c>
      <c r="M237" s="114">
        <v>1630</v>
      </c>
    </row>
    <row r="238" spans="1:13" ht="17.25" customHeight="1">
      <c r="A238" s="113" t="s">
        <v>5452</v>
      </c>
      <c r="B238" s="113" t="s">
        <v>5452</v>
      </c>
      <c r="C238" s="113" t="s">
        <v>5188</v>
      </c>
      <c r="D238" s="113" t="s">
        <v>5198</v>
      </c>
      <c r="E238" s="114">
        <v>0.9</v>
      </c>
      <c r="F238" s="114">
        <v>0.7</v>
      </c>
      <c r="G238" s="114">
        <v>0.7</v>
      </c>
      <c r="H238" s="114">
        <v>0</v>
      </c>
      <c r="I238" s="114">
        <v>0.16400000000000001</v>
      </c>
      <c r="J238" s="114">
        <v>671</v>
      </c>
      <c r="K238" s="113" t="s">
        <v>5198</v>
      </c>
      <c r="L238" s="113" t="s">
        <v>5198</v>
      </c>
      <c r="M238" s="114">
        <v>1630</v>
      </c>
    </row>
    <row r="239" spans="1:13" ht="17.25" customHeight="1">
      <c r="A239" s="113" t="s">
        <v>5453</v>
      </c>
      <c r="B239" s="113" t="s">
        <v>5453</v>
      </c>
      <c r="C239" s="113" t="s">
        <v>5188</v>
      </c>
      <c r="D239" s="113" t="s">
        <v>5198</v>
      </c>
      <c r="E239" s="114">
        <v>0.9</v>
      </c>
      <c r="F239" s="114">
        <v>0.7</v>
      </c>
      <c r="G239" s="114">
        <v>0.7</v>
      </c>
      <c r="H239" s="114">
        <v>0</v>
      </c>
      <c r="I239" s="114">
        <v>0.159</v>
      </c>
      <c r="J239" s="114">
        <v>642</v>
      </c>
      <c r="K239" s="113" t="s">
        <v>5198</v>
      </c>
      <c r="L239" s="113" t="s">
        <v>5198</v>
      </c>
      <c r="M239" s="114">
        <v>1630</v>
      </c>
    </row>
    <row r="240" spans="1:13" ht="17.25" customHeight="1">
      <c r="A240" s="113" t="s">
        <v>5454</v>
      </c>
      <c r="B240" s="113" t="s">
        <v>5454</v>
      </c>
      <c r="C240" s="113" t="s">
        <v>5188</v>
      </c>
      <c r="D240" s="113" t="s">
        <v>5198</v>
      </c>
      <c r="E240" s="114">
        <v>0.9</v>
      </c>
      <c r="F240" s="114">
        <v>0.7</v>
      </c>
      <c r="G240" s="114">
        <v>0.7</v>
      </c>
      <c r="H240" s="114">
        <v>0</v>
      </c>
      <c r="I240" s="114">
        <v>0.129</v>
      </c>
      <c r="J240" s="114">
        <v>496</v>
      </c>
      <c r="K240" s="113" t="s">
        <v>5198</v>
      </c>
      <c r="L240" s="113" t="s">
        <v>5198</v>
      </c>
      <c r="M240" s="114">
        <v>1630</v>
      </c>
    </row>
    <row r="241" spans="1:13" ht="17.25" customHeight="1">
      <c r="A241" s="113" t="s">
        <v>5455</v>
      </c>
      <c r="B241" s="113" t="s">
        <v>5455</v>
      </c>
      <c r="C241" s="113" t="s">
        <v>5188</v>
      </c>
      <c r="D241" s="113" t="s">
        <v>5198</v>
      </c>
      <c r="E241" s="114">
        <v>0.9</v>
      </c>
      <c r="F241" s="114">
        <v>0.7</v>
      </c>
      <c r="G241" s="114">
        <v>0.7</v>
      </c>
      <c r="H241" s="114">
        <v>0</v>
      </c>
      <c r="I241" s="114">
        <v>0.153</v>
      </c>
      <c r="J241" s="114">
        <v>615</v>
      </c>
      <c r="K241" s="113" t="s">
        <v>5198</v>
      </c>
      <c r="L241" s="113" t="s">
        <v>5198</v>
      </c>
      <c r="M241" s="114">
        <v>1630</v>
      </c>
    </row>
    <row r="242" spans="1:13" ht="17.25" customHeight="1">
      <c r="A242" s="113" t="s">
        <v>5456</v>
      </c>
      <c r="B242" s="113" t="s">
        <v>5456</v>
      </c>
      <c r="C242" s="113" t="s">
        <v>5188</v>
      </c>
      <c r="D242" s="113" t="s">
        <v>5198</v>
      </c>
      <c r="E242" s="114">
        <v>0.9</v>
      </c>
      <c r="F242" s="114">
        <v>0.7</v>
      </c>
      <c r="G242" s="114">
        <v>0.7</v>
      </c>
      <c r="H242" s="114">
        <v>0</v>
      </c>
      <c r="I242" s="114">
        <v>0.14099999999999999</v>
      </c>
      <c r="J242" s="114">
        <v>559</v>
      </c>
      <c r="K242" s="113" t="s">
        <v>5198</v>
      </c>
      <c r="L242" s="113" t="s">
        <v>5198</v>
      </c>
      <c r="M242" s="114">
        <v>1630</v>
      </c>
    </row>
    <row r="243" spans="1:13" ht="17.25" customHeight="1">
      <c r="A243" s="113" t="s">
        <v>5457</v>
      </c>
      <c r="B243" s="113" t="s">
        <v>5457</v>
      </c>
      <c r="C243" s="113" t="s">
        <v>5188</v>
      </c>
      <c r="D243" s="113" t="s">
        <v>5198</v>
      </c>
      <c r="E243" s="114">
        <v>0.9</v>
      </c>
      <c r="F243" s="114">
        <v>0.7</v>
      </c>
      <c r="G243" s="114">
        <v>0.7</v>
      </c>
      <c r="H243" s="114">
        <v>0</v>
      </c>
      <c r="I243" s="114">
        <v>0.13100000000000001</v>
      </c>
      <c r="J243" s="114">
        <v>508</v>
      </c>
      <c r="K243" s="113" t="s">
        <v>5198</v>
      </c>
      <c r="L243" s="113" t="s">
        <v>5198</v>
      </c>
      <c r="M243" s="114">
        <v>1630</v>
      </c>
    </row>
    <row r="244" spans="1:13" ht="17.25" customHeight="1">
      <c r="A244" s="113" t="s">
        <v>5458</v>
      </c>
      <c r="B244" s="113" t="s">
        <v>5458</v>
      </c>
      <c r="C244" s="113" t="s">
        <v>5188</v>
      </c>
      <c r="D244" s="113" t="s">
        <v>5198</v>
      </c>
      <c r="E244" s="114">
        <v>0.9</v>
      </c>
      <c r="F244" s="114">
        <v>0.7</v>
      </c>
      <c r="G244" s="114">
        <v>0.7</v>
      </c>
      <c r="H244" s="114">
        <v>0</v>
      </c>
      <c r="I244" s="114">
        <v>0.11899999999999999</v>
      </c>
      <c r="J244" s="114">
        <v>447</v>
      </c>
      <c r="K244" s="113" t="s">
        <v>5198</v>
      </c>
      <c r="L244" s="113" t="s">
        <v>5198</v>
      </c>
      <c r="M244" s="114">
        <v>1630</v>
      </c>
    </row>
    <row r="245" spans="1:13" ht="17.25" customHeight="1">
      <c r="A245" s="113" t="s">
        <v>5459</v>
      </c>
      <c r="B245" s="113" t="s">
        <v>5459</v>
      </c>
      <c r="C245" s="113" t="s">
        <v>5188</v>
      </c>
      <c r="D245" s="113" t="s">
        <v>5198</v>
      </c>
      <c r="E245" s="114">
        <v>0.9</v>
      </c>
      <c r="F245" s="114">
        <v>0.7</v>
      </c>
      <c r="G245" s="114">
        <v>0.7</v>
      </c>
      <c r="H245" s="114">
        <v>0</v>
      </c>
      <c r="I245" s="114">
        <v>0.114</v>
      </c>
      <c r="J245" s="114">
        <v>425</v>
      </c>
      <c r="K245" s="113" t="s">
        <v>5198</v>
      </c>
      <c r="L245" s="113" t="s">
        <v>5198</v>
      </c>
      <c r="M245" s="114">
        <v>1630</v>
      </c>
    </row>
    <row r="246" spans="1:13" ht="17.25" customHeight="1">
      <c r="A246" s="113" t="s">
        <v>5460</v>
      </c>
      <c r="B246" s="113" t="s">
        <v>5460</v>
      </c>
      <c r="C246" s="113" t="s">
        <v>5188</v>
      </c>
      <c r="D246" s="113" t="s">
        <v>5198</v>
      </c>
      <c r="E246" s="114">
        <v>0.9</v>
      </c>
      <c r="F246" s="114">
        <v>0.7</v>
      </c>
      <c r="G246" s="114">
        <v>0.7</v>
      </c>
      <c r="H246" s="114">
        <v>0</v>
      </c>
      <c r="I246" s="114">
        <v>0.113</v>
      </c>
      <c r="J246" s="114">
        <v>420</v>
      </c>
      <c r="K246" s="113" t="s">
        <v>5198</v>
      </c>
      <c r="L246" s="113" t="s">
        <v>5198</v>
      </c>
      <c r="M246" s="114">
        <v>1630</v>
      </c>
    </row>
    <row r="247" spans="1:13" ht="17.25" customHeight="1">
      <c r="A247" s="113" t="s">
        <v>5219</v>
      </c>
      <c r="B247" s="113" t="s">
        <v>5219</v>
      </c>
      <c r="C247" s="113" t="s">
        <v>5188</v>
      </c>
      <c r="D247" s="113" t="s">
        <v>5194</v>
      </c>
      <c r="E247" s="114">
        <v>0.9</v>
      </c>
      <c r="F247" s="114">
        <v>0.7</v>
      </c>
      <c r="G247" s="114">
        <v>0.7</v>
      </c>
      <c r="H247" s="114">
        <v>0</v>
      </c>
      <c r="I247" s="114">
        <v>0.909090909</v>
      </c>
      <c r="J247" s="114">
        <v>0.5</v>
      </c>
      <c r="K247" s="113" t="s">
        <v>5194</v>
      </c>
      <c r="L247" s="113" t="s">
        <v>5194</v>
      </c>
      <c r="M247" s="114">
        <v>1800</v>
      </c>
    </row>
    <row r="248" spans="1:13" ht="17.25" customHeight="1">
      <c r="A248" s="113" t="s">
        <v>5461</v>
      </c>
      <c r="B248" s="113" t="s">
        <v>5461</v>
      </c>
      <c r="C248" s="113" t="s">
        <v>5188</v>
      </c>
      <c r="D248" s="113" t="s">
        <v>5194</v>
      </c>
      <c r="E248" s="114">
        <v>0.9</v>
      </c>
      <c r="F248" s="114">
        <v>0.7</v>
      </c>
      <c r="G248" s="114">
        <v>0.7</v>
      </c>
      <c r="H248" s="114">
        <v>0</v>
      </c>
      <c r="I248" s="114">
        <v>4.7619047999999997E-2</v>
      </c>
      <c r="J248" s="114">
        <v>0.5</v>
      </c>
      <c r="K248" s="113" t="s">
        <v>5194</v>
      </c>
      <c r="L248" s="113" t="s">
        <v>5194</v>
      </c>
      <c r="M248" s="114">
        <v>1800</v>
      </c>
    </row>
    <row r="249" spans="1:13" ht="17.25" customHeight="1">
      <c r="A249" s="113" t="s">
        <v>5462</v>
      </c>
      <c r="B249" s="113" t="s">
        <v>5462</v>
      </c>
      <c r="C249" s="113" t="s">
        <v>5188</v>
      </c>
      <c r="D249" s="113" t="s">
        <v>5194</v>
      </c>
      <c r="E249" s="114">
        <v>0.9</v>
      </c>
      <c r="F249" s="114">
        <v>0.7</v>
      </c>
      <c r="G249" s="114">
        <v>0.7</v>
      </c>
      <c r="H249" s="114">
        <v>0</v>
      </c>
      <c r="I249" s="114">
        <v>5</v>
      </c>
      <c r="J249" s="114">
        <v>0.5</v>
      </c>
      <c r="K249" s="113" t="s">
        <v>5194</v>
      </c>
      <c r="L249" s="113" t="s">
        <v>5194</v>
      </c>
      <c r="M249" s="114">
        <v>1800</v>
      </c>
    </row>
    <row r="250" spans="1:13" ht="17.25" customHeight="1">
      <c r="A250" s="113" t="s">
        <v>5463</v>
      </c>
      <c r="B250" s="113" t="s">
        <v>5463</v>
      </c>
      <c r="C250" s="113" t="s">
        <v>5188</v>
      </c>
      <c r="D250" s="113" t="s">
        <v>5194</v>
      </c>
      <c r="E250" s="114">
        <v>0.9</v>
      </c>
      <c r="F250" s="114">
        <v>0.7</v>
      </c>
      <c r="G250" s="114">
        <v>0.7</v>
      </c>
      <c r="H250" s="114">
        <v>0</v>
      </c>
      <c r="I250" s="114">
        <v>2.7027026999999999E-2</v>
      </c>
      <c r="J250" s="114">
        <v>0.5</v>
      </c>
      <c r="K250" s="113" t="s">
        <v>5194</v>
      </c>
      <c r="L250" s="113" t="s">
        <v>5194</v>
      </c>
      <c r="M250" s="114">
        <v>1800</v>
      </c>
    </row>
    <row r="251" spans="1:13" ht="17.25" customHeight="1">
      <c r="A251" s="113" t="s">
        <v>5464</v>
      </c>
      <c r="B251" s="113" t="s">
        <v>5464</v>
      </c>
      <c r="C251" s="113" t="s">
        <v>5188</v>
      </c>
      <c r="D251" s="113" t="s">
        <v>5194</v>
      </c>
      <c r="E251" s="114">
        <v>0.9</v>
      </c>
      <c r="F251" s="114">
        <v>0.7</v>
      </c>
      <c r="G251" s="114">
        <v>0.7</v>
      </c>
      <c r="H251" s="114">
        <v>0</v>
      </c>
      <c r="I251" s="114">
        <v>4.5454544999999999E-2</v>
      </c>
      <c r="J251" s="114">
        <v>0.5</v>
      </c>
      <c r="K251" s="113" t="s">
        <v>5194</v>
      </c>
      <c r="L251" s="113" t="s">
        <v>5194</v>
      </c>
      <c r="M251" s="114">
        <v>1800</v>
      </c>
    </row>
    <row r="252" spans="1:13" ht="17.25" customHeight="1">
      <c r="A252" s="113" t="s">
        <v>5465</v>
      </c>
      <c r="B252" s="113" t="s">
        <v>5465</v>
      </c>
      <c r="C252" s="113" t="s">
        <v>5188</v>
      </c>
      <c r="D252" s="113" t="s">
        <v>5194</v>
      </c>
      <c r="E252" s="114">
        <v>0.9</v>
      </c>
      <c r="F252" s="114">
        <v>0.7</v>
      </c>
      <c r="G252" s="114">
        <v>0.7</v>
      </c>
      <c r="H252" s="114">
        <v>0</v>
      </c>
      <c r="I252" s="114">
        <v>0.20408163300000001</v>
      </c>
      <c r="J252" s="114">
        <v>0.5</v>
      </c>
      <c r="K252" s="113" t="s">
        <v>5194</v>
      </c>
      <c r="L252" s="113" t="s">
        <v>5194</v>
      </c>
      <c r="M252" s="114">
        <v>1800</v>
      </c>
    </row>
    <row r="253" spans="1:13" ht="17.25" customHeight="1">
      <c r="A253" s="113" t="s">
        <v>5466</v>
      </c>
      <c r="B253" s="113" t="s">
        <v>5466</v>
      </c>
      <c r="C253" s="113" t="s">
        <v>5188</v>
      </c>
      <c r="D253" s="113" t="s">
        <v>5194</v>
      </c>
      <c r="E253" s="114">
        <v>0.9</v>
      </c>
      <c r="F253" s="114">
        <v>0.7</v>
      </c>
      <c r="G253" s="114">
        <v>0.7</v>
      </c>
      <c r="H253" s="114">
        <v>0</v>
      </c>
      <c r="I253" s="114">
        <v>0.71428571399999996</v>
      </c>
      <c r="J253" s="114">
        <v>0.5</v>
      </c>
      <c r="K253" s="113" t="s">
        <v>5194</v>
      </c>
      <c r="L253" s="113" t="s">
        <v>5194</v>
      </c>
      <c r="M253" s="114">
        <v>1800</v>
      </c>
    </row>
    <row r="254" spans="1:13" ht="17.25" customHeight="1">
      <c r="A254" s="113" t="s">
        <v>5467</v>
      </c>
      <c r="B254" s="113" t="s">
        <v>5467</v>
      </c>
      <c r="C254" s="113" t="s">
        <v>5188</v>
      </c>
      <c r="D254" s="113" t="s">
        <v>5194</v>
      </c>
      <c r="E254" s="114">
        <v>0.9</v>
      </c>
      <c r="F254" s="114">
        <v>0.7</v>
      </c>
      <c r="G254" s="114">
        <v>0.7</v>
      </c>
      <c r="H254" s="114">
        <v>0</v>
      </c>
      <c r="I254" s="114">
        <v>1.111111111</v>
      </c>
      <c r="J254" s="114">
        <v>0.5</v>
      </c>
      <c r="K254" s="113" t="s">
        <v>5194</v>
      </c>
      <c r="L254" s="113" t="s">
        <v>5194</v>
      </c>
      <c r="M254" s="114">
        <v>1800</v>
      </c>
    </row>
    <row r="255" spans="1:13" ht="17.25" customHeight="1">
      <c r="A255" s="113" t="s">
        <v>5468</v>
      </c>
      <c r="B255" s="113" t="s">
        <v>5468</v>
      </c>
      <c r="C255" s="113" t="s">
        <v>5188</v>
      </c>
      <c r="D255" s="113" t="s">
        <v>5194</v>
      </c>
      <c r="E255" s="114">
        <v>0.9</v>
      </c>
      <c r="F255" s="114">
        <v>0.7</v>
      </c>
      <c r="G255" s="114">
        <v>0.7</v>
      </c>
      <c r="H255" s="114">
        <v>0</v>
      </c>
      <c r="I255" s="114">
        <v>1.111111111</v>
      </c>
      <c r="J255" s="114">
        <v>0.5</v>
      </c>
      <c r="K255" s="113" t="s">
        <v>5194</v>
      </c>
      <c r="L255" s="113" t="s">
        <v>5194</v>
      </c>
      <c r="M255" s="114">
        <v>1800</v>
      </c>
    </row>
    <row r="256" spans="1:13" ht="17.25" customHeight="1">
      <c r="A256" s="113" t="s">
        <v>5469</v>
      </c>
      <c r="B256" s="113" t="s">
        <v>5469</v>
      </c>
      <c r="C256" s="113" t="s">
        <v>5188</v>
      </c>
      <c r="D256" s="113" t="s">
        <v>5194</v>
      </c>
      <c r="E256" s="114">
        <v>0.9</v>
      </c>
      <c r="F256" s="114">
        <v>0.7</v>
      </c>
      <c r="G256" s="114">
        <v>0.7</v>
      </c>
      <c r="H256" s="114">
        <v>0</v>
      </c>
      <c r="I256" s="114">
        <v>8.3333332999999996E-2</v>
      </c>
      <c r="J256" s="114">
        <v>0.5</v>
      </c>
      <c r="K256" s="113" t="s">
        <v>5194</v>
      </c>
      <c r="L256" s="113" t="s">
        <v>5194</v>
      </c>
      <c r="M256" s="114">
        <v>1800</v>
      </c>
    </row>
    <row r="257" spans="1:13" ht="17.25" customHeight="1">
      <c r="A257" s="113" t="s">
        <v>5470</v>
      </c>
      <c r="B257" s="113" t="s">
        <v>5470</v>
      </c>
      <c r="C257" s="113" t="s">
        <v>5188</v>
      </c>
      <c r="D257" s="113" t="s">
        <v>5194</v>
      </c>
      <c r="E257" s="114">
        <v>0.9</v>
      </c>
      <c r="F257" s="114">
        <v>0.7</v>
      </c>
      <c r="G257" s="114">
        <v>0.7</v>
      </c>
      <c r="H257" s="114">
        <v>0</v>
      </c>
      <c r="I257" s="114">
        <v>4.5454544999999999E-2</v>
      </c>
      <c r="J257" s="114">
        <v>0.5</v>
      </c>
      <c r="K257" s="113" t="s">
        <v>5194</v>
      </c>
      <c r="L257" s="113" t="s">
        <v>5194</v>
      </c>
      <c r="M257" s="114">
        <v>1800</v>
      </c>
    </row>
    <row r="258" spans="1:13" ht="17.25" customHeight="1">
      <c r="A258" s="113" t="s">
        <v>5471</v>
      </c>
      <c r="B258" s="113" t="s">
        <v>5471</v>
      </c>
      <c r="C258" s="113" t="s">
        <v>5188</v>
      </c>
      <c r="D258" s="113" t="s">
        <v>5194</v>
      </c>
      <c r="E258" s="114">
        <v>0.9</v>
      </c>
      <c r="F258" s="114">
        <v>0.7</v>
      </c>
      <c r="G258" s="114">
        <v>0.7</v>
      </c>
      <c r="H258" s="114">
        <v>0</v>
      </c>
      <c r="I258" s="114">
        <v>3.0303030000000002E-2</v>
      </c>
      <c r="J258" s="114">
        <v>0.5</v>
      </c>
      <c r="K258" s="113" t="s">
        <v>5194</v>
      </c>
      <c r="L258" s="113" t="s">
        <v>5194</v>
      </c>
      <c r="M258" s="114">
        <v>1800</v>
      </c>
    </row>
    <row r="259" spans="1:13" ht="17.25" customHeight="1">
      <c r="A259" s="113" t="s">
        <v>5472</v>
      </c>
      <c r="B259" s="113" t="s">
        <v>5472</v>
      </c>
      <c r="C259" s="113" t="s">
        <v>5188</v>
      </c>
      <c r="D259" s="113" t="s">
        <v>5194</v>
      </c>
      <c r="E259" s="114">
        <v>0.9</v>
      </c>
      <c r="F259" s="114">
        <v>0.7</v>
      </c>
      <c r="G259" s="114">
        <v>0.7</v>
      </c>
      <c r="H259" s="114">
        <v>0</v>
      </c>
      <c r="I259" s="114">
        <v>0.27027026999999998</v>
      </c>
      <c r="J259" s="114">
        <v>0.5</v>
      </c>
      <c r="K259" s="113" t="s">
        <v>5194</v>
      </c>
      <c r="L259" s="113" t="s">
        <v>5194</v>
      </c>
      <c r="M259" s="114">
        <v>1800</v>
      </c>
    </row>
    <row r="260" spans="1:13" ht="17.25" customHeight="1">
      <c r="A260" s="113" t="s">
        <v>5473</v>
      </c>
      <c r="B260" s="113" t="s">
        <v>5473</v>
      </c>
      <c r="C260" s="113" t="s">
        <v>5188</v>
      </c>
      <c r="D260" s="113" t="s">
        <v>5194</v>
      </c>
      <c r="E260" s="114">
        <v>0.9</v>
      </c>
      <c r="F260" s="114">
        <v>0.7</v>
      </c>
      <c r="G260" s="114">
        <v>0.7</v>
      </c>
      <c r="H260" s="114">
        <v>0</v>
      </c>
      <c r="I260" s="114">
        <v>0.38461538499999998</v>
      </c>
      <c r="J260" s="114">
        <v>0.5</v>
      </c>
      <c r="K260" s="113" t="s">
        <v>5194</v>
      </c>
      <c r="L260" s="113" t="s">
        <v>5194</v>
      </c>
      <c r="M260" s="114">
        <v>1800</v>
      </c>
    </row>
    <row r="261" spans="1:13" ht="17.25" customHeight="1">
      <c r="A261" s="113" t="s">
        <v>5242</v>
      </c>
      <c r="B261" s="113" t="s">
        <v>5242</v>
      </c>
      <c r="C261" s="113" t="s">
        <v>5188</v>
      </c>
      <c r="D261" s="113" t="s">
        <v>5194</v>
      </c>
      <c r="E261" s="114">
        <v>0.9</v>
      </c>
      <c r="F261" s="114">
        <v>0.7</v>
      </c>
      <c r="G261" s="114">
        <v>0.7</v>
      </c>
      <c r="H261" s="114">
        <v>0</v>
      </c>
      <c r="I261" s="114">
        <v>0.12987013</v>
      </c>
      <c r="J261" s="114">
        <v>0.5</v>
      </c>
      <c r="K261" s="113" t="s">
        <v>5194</v>
      </c>
      <c r="L261" s="113" t="s">
        <v>5194</v>
      </c>
      <c r="M261" s="114">
        <v>1800</v>
      </c>
    </row>
    <row r="262" spans="1:13" ht="17.25" customHeight="1">
      <c r="A262" s="113" t="s">
        <v>5474</v>
      </c>
      <c r="B262" s="113" t="s">
        <v>5474</v>
      </c>
      <c r="C262" s="113" t="s">
        <v>5188</v>
      </c>
      <c r="D262" s="113" t="s">
        <v>5194</v>
      </c>
      <c r="E262" s="114">
        <v>0.9</v>
      </c>
      <c r="F262" s="114">
        <v>0.7</v>
      </c>
      <c r="G262" s="114">
        <v>0.7</v>
      </c>
      <c r="H262" s="114">
        <v>0</v>
      </c>
      <c r="I262" s="114">
        <v>0.17241379300000001</v>
      </c>
      <c r="J262" s="114">
        <v>0.5</v>
      </c>
      <c r="K262" s="113" t="s">
        <v>5194</v>
      </c>
      <c r="L262" s="113" t="s">
        <v>5194</v>
      </c>
      <c r="M262" s="114">
        <v>1800</v>
      </c>
    </row>
    <row r="263" spans="1:13" ht="17.25" customHeight="1">
      <c r="A263" s="113" t="s">
        <v>5475</v>
      </c>
      <c r="B263" s="113" t="s">
        <v>5475</v>
      </c>
      <c r="C263" s="113" t="s">
        <v>5188</v>
      </c>
      <c r="D263" s="113" t="s">
        <v>5194</v>
      </c>
      <c r="E263" s="114">
        <v>0.9</v>
      </c>
      <c r="F263" s="114">
        <v>0.7</v>
      </c>
      <c r="G263" s="114">
        <v>0.7</v>
      </c>
      <c r="H263" s="114">
        <v>0</v>
      </c>
      <c r="I263" s="114">
        <v>1.111111111</v>
      </c>
      <c r="J263" s="114">
        <v>0.5</v>
      </c>
      <c r="K263" s="113" t="s">
        <v>5194</v>
      </c>
      <c r="L263" s="113" t="s">
        <v>5194</v>
      </c>
      <c r="M263" s="114">
        <v>1800</v>
      </c>
    </row>
    <row r="264" spans="1:13" ht="17.25" customHeight="1">
      <c r="A264" s="113" t="s">
        <v>5476</v>
      </c>
      <c r="B264" s="113" t="s">
        <v>5476</v>
      </c>
      <c r="C264" s="113" t="s">
        <v>5188</v>
      </c>
      <c r="D264" s="113" t="s">
        <v>5194</v>
      </c>
      <c r="E264" s="114">
        <v>0.9</v>
      </c>
      <c r="F264" s="114">
        <v>0.7</v>
      </c>
      <c r="G264" s="114">
        <v>0.7</v>
      </c>
      <c r="H264" s="114">
        <v>0</v>
      </c>
      <c r="I264" s="114">
        <v>6.0240964000000001E-2</v>
      </c>
      <c r="J264" s="114">
        <v>0.5</v>
      </c>
      <c r="K264" s="113" t="s">
        <v>5194</v>
      </c>
      <c r="L264" s="113" t="s">
        <v>5194</v>
      </c>
      <c r="M264" s="114">
        <v>1800</v>
      </c>
    </row>
    <row r="265" spans="1:13" ht="17.25" customHeight="1">
      <c r="A265" s="113" t="s">
        <v>5477</v>
      </c>
      <c r="B265" s="113" t="s">
        <v>5477</v>
      </c>
      <c r="C265" s="113" t="s">
        <v>5188</v>
      </c>
      <c r="D265" s="113" t="s">
        <v>5194</v>
      </c>
      <c r="E265" s="114">
        <v>0.9</v>
      </c>
      <c r="F265" s="114">
        <v>0.7</v>
      </c>
      <c r="G265" s="114">
        <v>0.7</v>
      </c>
      <c r="H265" s="114">
        <v>0</v>
      </c>
      <c r="I265" s="114">
        <v>0.76923076899999998</v>
      </c>
      <c r="J265" s="114">
        <v>0.5</v>
      </c>
      <c r="K265" s="113" t="s">
        <v>5194</v>
      </c>
      <c r="L265" s="113" t="s">
        <v>5194</v>
      </c>
      <c r="M265" s="114">
        <v>1800</v>
      </c>
    </row>
    <row r="266" spans="1:13" ht="17.25" customHeight="1">
      <c r="A266" s="113" t="s">
        <v>5478</v>
      </c>
      <c r="B266" s="113" t="s">
        <v>5478</v>
      </c>
      <c r="C266" s="113" t="s">
        <v>5188</v>
      </c>
      <c r="D266" s="113" t="s">
        <v>5194</v>
      </c>
      <c r="E266" s="114">
        <v>0.9</v>
      </c>
      <c r="F266" s="114">
        <v>0.7</v>
      </c>
      <c r="G266" s="114">
        <v>0.7</v>
      </c>
      <c r="H266" s="114">
        <v>0</v>
      </c>
      <c r="I266" s="114">
        <v>0.38461538499999998</v>
      </c>
      <c r="J266" s="114">
        <v>0.5</v>
      </c>
      <c r="K266" s="113" t="s">
        <v>5194</v>
      </c>
      <c r="L266" s="113" t="s">
        <v>5194</v>
      </c>
      <c r="M266" s="114">
        <v>1800</v>
      </c>
    </row>
    <row r="267" spans="1:13" ht="17.25" customHeight="1">
      <c r="A267" s="113" t="s">
        <v>5479</v>
      </c>
      <c r="B267" s="113" t="s">
        <v>5479</v>
      </c>
      <c r="C267" s="113" t="s">
        <v>5188</v>
      </c>
      <c r="D267" s="113" t="s">
        <v>5194</v>
      </c>
      <c r="E267" s="114">
        <v>0.9</v>
      </c>
      <c r="F267" s="114">
        <v>0.7</v>
      </c>
      <c r="G267" s="114">
        <v>0.7</v>
      </c>
      <c r="H267" s="114">
        <v>0</v>
      </c>
      <c r="I267" s="114">
        <v>0.178571429</v>
      </c>
      <c r="J267" s="114">
        <v>0.5</v>
      </c>
      <c r="K267" s="113" t="s">
        <v>5194</v>
      </c>
      <c r="L267" s="113" t="s">
        <v>5194</v>
      </c>
      <c r="M267" s="114">
        <v>1800</v>
      </c>
    </row>
    <row r="268" spans="1:13" ht="17.25" customHeight="1">
      <c r="A268" s="113" t="s">
        <v>5480</v>
      </c>
      <c r="B268" s="113" t="s">
        <v>5480</v>
      </c>
      <c r="C268" s="113" t="s">
        <v>5188</v>
      </c>
      <c r="D268" s="113" t="s">
        <v>5194</v>
      </c>
      <c r="E268" s="114">
        <v>0.9</v>
      </c>
      <c r="F268" s="114">
        <v>0.7</v>
      </c>
      <c r="G268" s="114">
        <v>0.7</v>
      </c>
      <c r="H268" s="114">
        <v>0</v>
      </c>
      <c r="I268" s="114">
        <v>0.15151515199999999</v>
      </c>
      <c r="J268" s="114">
        <v>0.5</v>
      </c>
      <c r="K268" s="113" t="s">
        <v>5194</v>
      </c>
      <c r="L268" s="113" t="s">
        <v>5194</v>
      </c>
      <c r="M268" s="114">
        <v>1800</v>
      </c>
    </row>
    <row r="269" spans="1:13" ht="17.25" customHeight="1">
      <c r="A269" s="113" t="s">
        <v>5481</v>
      </c>
      <c r="B269" s="113" t="s">
        <v>5481</v>
      </c>
      <c r="C269" s="113" t="s">
        <v>5188</v>
      </c>
      <c r="D269" s="113" t="s">
        <v>5194</v>
      </c>
      <c r="E269" s="114">
        <v>0.9</v>
      </c>
      <c r="F269" s="114">
        <v>0.7</v>
      </c>
      <c r="G269" s="114">
        <v>0.7</v>
      </c>
      <c r="H269" s="114">
        <v>0</v>
      </c>
      <c r="I269" s="114">
        <v>0.120481928</v>
      </c>
      <c r="J269" s="114">
        <v>0.5</v>
      </c>
      <c r="K269" s="113" t="s">
        <v>5194</v>
      </c>
      <c r="L269" s="113" t="s">
        <v>5194</v>
      </c>
      <c r="M269" s="114">
        <v>1800</v>
      </c>
    </row>
    <row r="270" spans="1:13" ht="17.25" customHeight="1">
      <c r="A270" s="113" t="s">
        <v>5482</v>
      </c>
      <c r="B270" s="113" t="s">
        <v>5482</v>
      </c>
      <c r="C270" s="113" t="s">
        <v>5188</v>
      </c>
      <c r="D270" s="113" t="s">
        <v>5194</v>
      </c>
      <c r="E270" s="114">
        <v>0.9</v>
      </c>
      <c r="F270" s="114">
        <v>0.7</v>
      </c>
      <c r="G270" s="114">
        <v>0.7</v>
      </c>
      <c r="H270" s="114">
        <v>0</v>
      </c>
      <c r="I270" s="114">
        <v>0.625</v>
      </c>
      <c r="J270" s="114">
        <v>0.5</v>
      </c>
      <c r="K270" s="113" t="s">
        <v>5194</v>
      </c>
      <c r="L270" s="113" t="s">
        <v>5194</v>
      </c>
      <c r="M270" s="114">
        <v>1800</v>
      </c>
    </row>
    <row r="271" spans="1:13" ht="17.25" customHeight="1">
      <c r="A271" s="113" t="s">
        <v>5483</v>
      </c>
      <c r="B271" s="113" t="s">
        <v>5483</v>
      </c>
      <c r="C271" s="113" t="s">
        <v>5188</v>
      </c>
      <c r="D271" s="113" t="s">
        <v>5194</v>
      </c>
      <c r="E271" s="114">
        <v>0.9</v>
      </c>
      <c r="F271" s="114">
        <v>0.7</v>
      </c>
      <c r="G271" s="114">
        <v>0.7</v>
      </c>
      <c r="H271" s="114">
        <v>0</v>
      </c>
      <c r="I271" s="114">
        <v>0.52631578899999998</v>
      </c>
      <c r="J271" s="114">
        <v>0.5</v>
      </c>
      <c r="K271" s="113" t="s">
        <v>5194</v>
      </c>
      <c r="L271" s="113" t="s">
        <v>5194</v>
      </c>
      <c r="M271" s="114">
        <v>1800</v>
      </c>
    </row>
    <row r="272" spans="1:13" ht="17.25" customHeight="1">
      <c r="A272" s="113" t="s">
        <v>5484</v>
      </c>
      <c r="B272" s="113" t="s">
        <v>5484</v>
      </c>
      <c r="C272" s="113" t="s">
        <v>5188</v>
      </c>
      <c r="D272" s="113" t="s">
        <v>5194</v>
      </c>
      <c r="E272" s="114">
        <v>0.9</v>
      </c>
      <c r="F272" s="114">
        <v>0.7</v>
      </c>
      <c r="G272" s="114">
        <v>0.7</v>
      </c>
      <c r="H272" s="114">
        <v>0</v>
      </c>
      <c r="I272" s="114">
        <v>0.43478260899999999</v>
      </c>
      <c r="J272" s="114">
        <v>0.5</v>
      </c>
      <c r="K272" s="113" t="s">
        <v>5194</v>
      </c>
      <c r="L272" s="113" t="s">
        <v>5194</v>
      </c>
      <c r="M272" s="114">
        <v>1800</v>
      </c>
    </row>
    <row r="273" spans="1:13" ht="17.25" customHeight="1">
      <c r="A273" s="113" t="s">
        <v>5485</v>
      </c>
      <c r="B273" s="113" t="s">
        <v>5485</v>
      </c>
      <c r="C273" s="113" t="s">
        <v>5188</v>
      </c>
      <c r="D273" s="113" t="s">
        <v>5194</v>
      </c>
      <c r="E273" s="114">
        <v>0.9</v>
      </c>
      <c r="F273" s="114">
        <v>0.7</v>
      </c>
      <c r="G273" s="114">
        <v>0.7</v>
      </c>
      <c r="H273" s="114">
        <v>0</v>
      </c>
      <c r="I273" s="114">
        <v>4.5045044999999999E-2</v>
      </c>
      <c r="J273" s="114">
        <v>0.5</v>
      </c>
      <c r="K273" s="113" t="s">
        <v>5194</v>
      </c>
      <c r="L273" s="113" t="s">
        <v>5194</v>
      </c>
      <c r="M273" s="114">
        <v>1800</v>
      </c>
    </row>
    <row r="274" spans="1:13" ht="17.25" customHeight="1">
      <c r="A274" s="113" t="s">
        <v>5486</v>
      </c>
      <c r="B274" s="113" t="s">
        <v>5486</v>
      </c>
      <c r="C274" s="113" t="s">
        <v>5188</v>
      </c>
      <c r="D274" s="113" t="s">
        <v>5194</v>
      </c>
      <c r="E274" s="114">
        <v>0.9</v>
      </c>
      <c r="F274" s="114">
        <v>0.7</v>
      </c>
      <c r="G274" s="114">
        <v>0.7</v>
      </c>
      <c r="H274" s="114">
        <v>0</v>
      </c>
      <c r="I274" s="114">
        <v>4.2016807000000003E-2</v>
      </c>
      <c r="J274" s="114">
        <v>0.5</v>
      </c>
      <c r="K274" s="113" t="s">
        <v>5194</v>
      </c>
      <c r="L274" s="113" t="s">
        <v>5194</v>
      </c>
      <c r="M274" s="114">
        <v>1800</v>
      </c>
    </row>
    <row r="275" spans="1:13" ht="17.25" customHeight="1">
      <c r="A275" s="113" t="s">
        <v>5487</v>
      </c>
      <c r="B275" s="113" t="s">
        <v>5487</v>
      </c>
      <c r="C275" s="113" t="s">
        <v>5188</v>
      </c>
      <c r="D275" s="113" t="s">
        <v>5194</v>
      </c>
      <c r="E275" s="114">
        <v>0.9</v>
      </c>
      <c r="F275" s="114">
        <v>0.7</v>
      </c>
      <c r="G275" s="114">
        <v>0.7</v>
      </c>
      <c r="H275" s="114">
        <v>0</v>
      </c>
      <c r="I275" s="114">
        <v>3.4013605000000002E-2</v>
      </c>
      <c r="J275" s="114">
        <v>0.5</v>
      </c>
      <c r="K275" s="113" t="s">
        <v>5194</v>
      </c>
      <c r="L275" s="113" t="s">
        <v>5194</v>
      </c>
      <c r="M275" s="114">
        <v>1800</v>
      </c>
    </row>
    <row r="276" spans="1:13" ht="17.25" customHeight="1">
      <c r="A276" s="113" t="s">
        <v>5488</v>
      </c>
      <c r="B276" s="113" t="s">
        <v>5488</v>
      </c>
      <c r="C276" s="113" t="s">
        <v>5188</v>
      </c>
      <c r="D276" s="113" t="s">
        <v>5194</v>
      </c>
      <c r="E276" s="114">
        <v>0.9</v>
      </c>
      <c r="F276" s="114">
        <v>0.7</v>
      </c>
      <c r="G276" s="114">
        <v>0.7</v>
      </c>
      <c r="H276" s="114">
        <v>0</v>
      </c>
      <c r="I276" s="114">
        <v>0.27027026999999998</v>
      </c>
      <c r="J276" s="114">
        <v>0.5</v>
      </c>
      <c r="K276" s="113" t="s">
        <v>5194</v>
      </c>
      <c r="L276" s="113" t="s">
        <v>5194</v>
      </c>
      <c r="M276" s="114">
        <v>1800</v>
      </c>
    </row>
    <row r="277" spans="1:13" ht="17.25" customHeight="1">
      <c r="A277" s="113" t="s">
        <v>5489</v>
      </c>
      <c r="B277" s="113" t="s">
        <v>5489</v>
      </c>
      <c r="C277" s="113" t="s">
        <v>5188</v>
      </c>
      <c r="D277" s="113" t="s">
        <v>5194</v>
      </c>
      <c r="E277" s="114">
        <v>0.9</v>
      </c>
      <c r="F277" s="114">
        <v>0.7</v>
      </c>
      <c r="G277" s="114">
        <v>0.7</v>
      </c>
      <c r="H277" s="114">
        <v>0</v>
      </c>
      <c r="I277" s="114">
        <v>6.6666666999999999E-2</v>
      </c>
      <c r="J277" s="114">
        <v>0.5</v>
      </c>
      <c r="K277" s="113" t="s">
        <v>5194</v>
      </c>
      <c r="L277" s="113" t="s">
        <v>5194</v>
      </c>
      <c r="M277" s="114">
        <v>1800</v>
      </c>
    </row>
    <row r="278" spans="1:13" ht="17.25" customHeight="1">
      <c r="A278" s="113" t="s">
        <v>5490</v>
      </c>
      <c r="B278" s="113" t="s">
        <v>5490</v>
      </c>
      <c r="C278" s="113" t="s">
        <v>5188</v>
      </c>
      <c r="D278" s="113" t="s">
        <v>5194</v>
      </c>
      <c r="E278" s="114">
        <v>0.9</v>
      </c>
      <c r="F278" s="114">
        <v>0.7</v>
      </c>
      <c r="G278" s="114">
        <v>0.7</v>
      </c>
      <c r="H278" s="114">
        <v>0</v>
      </c>
      <c r="I278" s="114">
        <v>4.7619047999999997E-2</v>
      </c>
      <c r="J278" s="114">
        <v>0.5</v>
      </c>
      <c r="K278" s="113" t="s">
        <v>5194</v>
      </c>
      <c r="L278" s="113" t="s">
        <v>5194</v>
      </c>
      <c r="M278" s="114">
        <v>1800</v>
      </c>
    </row>
    <row r="279" spans="1:13" ht="17.25" customHeight="1">
      <c r="A279" s="113" t="s">
        <v>5491</v>
      </c>
      <c r="B279" s="113" t="s">
        <v>5491</v>
      </c>
      <c r="C279" s="113" t="s">
        <v>5188</v>
      </c>
      <c r="D279" s="113" t="s">
        <v>5194</v>
      </c>
      <c r="E279" s="114">
        <v>0.9</v>
      </c>
      <c r="F279" s="114">
        <v>0.7</v>
      </c>
      <c r="G279" s="114">
        <v>0.7</v>
      </c>
      <c r="H279" s="114">
        <v>0</v>
      </c>
      <c r="I279" s="114">
        <v>0.04</v>
      </c>
      <c r="J279" s="114">
        <v>0.5</v>
      </c>
      <c r="K279" s="113" t="s">
        <v>5194</v>
      </c>
      <c r="L279" s="113" t="s">
        <v>5194</v>
      </c>
      <c r="M279" s="114">
        <v>1800</v>
      </c>
    </row>
    <row r="280" spans="1:13" ht="17.25" customHeight="1">
      <c r="A280" s="113" t="s">
        <v>5492</v>
      </c>
      <c r="B280" s="113" t="s">
        <v>5492</v>
      </c>
      <c r="C280" s="113" t="s">
        <v>5188</v>
      </c>
      <c r="D280" s="113" t="s">
        <v>5194</v>
      </c>
      <c r="E280" s="114">
        <v>0.9</v>
      </c>
      <c r="F280" s="114">
        <v>0.7</v>
      </c>
      <c r="G280" s="114">
        <v>0.7</v>
      </c>
      <c r="H280" s="114">
        <v>0</v>
      </c>
      <c r="I280" s="114">
        <v>0.27027026999999998</v>
      </c>
      <c r="J280" s="114">
        <v>0.5</v>
      </c>
      <c r="K280" s="113" t="s">
        <v>5194</v>
      </c>
      <c r="L280" s="113" t="s">
        <v>5194</v>
      </c>
      <c r="M280" s="114">
        <v>1800</v>
      </c>
    </row>
    <row r="281" spans="1:13" ht="17.25" customHeight="1">
      <c r="A281" s="113" t="s">
        <v>5493</v>
      </c>
      <c r="B281" s="113" t="s">
        <v>5493</v>
      </c>
      <c r="C281" s="113" t="s">
        <v>5188</v>
      </c>
      <c r="D281" s="113" t="s">
        <v>5194</v>
      </c>
      <c r="E281" s="114">
        <v>0.9</v>
      </c>
      <c r="F281" s="114">
        <v>0.7</v>
      </c>
      <c r="G281" s="114">
        <v>0.7</v>
      </c>
      <c r="H281" s="114">
        <v>0</v>
      </c>
      <c r="I281" s="114">
        <v>0.38461538499999998</v>
      </c>
      <c r="J281" s="114">
        <v>0.5</v>
      </c>
      <c r="K281" s="113" t="s">
        <v>5194</v>
      </c>
      <c r="L281" s="113" t="s">
        <v>5194</v>
      </c>
      <c r="M281" s="114">
        <v>1800</v>
      </c>
    </row>
    <row r="282" spans="1:13" ht="17.25" customHeight="1">
      <c r="A282" s="113" t="s">
        <v>5494</v>
      </c>
      <c r="B282" s="113" t="s">
        <v>5494</v>
      </c>
      <c r="C282" s="113" t="s">
        <v>5188</v>
      </c>
      <c r="D282" s="113" t="s">
        <v>5194</v>
      </c>
      <c r="E282" s="114">
        <v>0.9</v>
      </c>
      <c r="F282" s="114">
        <v>0.7</v>
      </c>
      <c r="G282" s="114">
        <v>0.7</v>
      </c>
      <c r="H282" s="114">
        <v>0</v>
      </c>
      <c r="I282" s="114">
        <v>3.8461538000000003E-2</v>
      </c>
      <c r="J282" s="114">
        <v>0.5</v>
      </c>
      <c r="K282" s="113" t="s">
        <v>5194</v>
      </c>
      <c r="L282" s="113" t="s">
        <v>5194</v>
      </c>
      <c r="M282" s="114">
        <v>1800</v>
      </c>
    </row>
    <row r="283" spans="1:13" ht="17.25" customHeight="1">
      <c r="A283" s="113" t="s">
        <v>5495</v>
      </c>
      <c r="B283" s="113" t="s">
        <v>5495</v>
      </c>
      <c r="C283" s="113" t="s">
        <v>5188</v>
      </c>
      <c r="D283" s="113" t="s">
        <v>5194</v>
      </c>
      <c r="E283" s="114">
        <v>0.9</v>
      </c>
      <c r="F283" s="114">
        <v>0.7</v>
      </c>
      <c r="G283" s="114">
        <v>0.7</v>
      </c>
      <c r="H283" s="114">
        <v>0</v>
      </c>
      <c r="I283" s="114">
        <v>8.3333332999999996E-2</v>
      </c>
      <c r="J283" s="114">
        <v>0.5</v>
      </c>
      <c r="K283" s="113" t="s">
        <v>5194</v>
      </c>
      <c r="L283" s="113" t="s">
        <v>5194</v>
      </c>
      <c r="M283" s="114">
        <v>1800</v>
      </c>
    </row>
    <row r="284" spans="1:13" ht="17.25" customHeight="1">
      <c r="A284" s="113" t="s">
        <v>5496</v>
      </c>
      <c r="B284" s="113" t="s">
        <v>5496</v>
      </c>
      <c r="C284" s="113" t="s">
        <v>5188</v>
      </c>
      <c r="D284" s="113" t="s">
        <v>5194</v>
      </c>
      <c r="E284" s="114">
        <v>0.9</v>
      </c>
      <c r="F284" s="114">
        <v>0.7</v>
      </c>
      <c r="G284" s="114">
        <v>0.7</v>
      </c>
      <c r="H284" s="114">
        <v>0</v>
      </c>
      <c r="I284" s="114">
        <v>7.1428570999999996E-2</v>
      </c>
      <c r="J284" s="114">
        <v>0.5</v>
      </c>
      <c r="K284" s="113" t="s">
        <v>5194</v>
      </c>
      <c r="L284" s="113" t="s">
        <v>5194</v>
      </c>
      <c r="M284" s="114">
        <v>1800</v>
      </c>
    </row>
    <row r="285" spans="1:13" ht="17.25" customHeight="1">
      <c r="A285" s="113" t="s">
        <v>5497</v>
      </c>
      <c r="B285" s="113" t="s">
        <v>5497</v>
      </c>
      <c r="C285" s="113" t="s">
        <v>5188</v>
      </c>
      <c r="D285" s="113" t="s">
        <v>5194</v>
      </c>
      <c r="E285" s="114">
        <v>0.9</v>
      </c>
      <c r="F285" s="114">
        <v>0.7</v>
      </c>
      <c r="G285" s="114">
        <v>0.7</v>
      </c>
      <c r="H285" s="114">
        <v>0</v>
      </c>
      <c r="I285" s="114">
        <v>7.1428570999999996E-2</v>
      </c>
      <c r="J285" s="114">
        <v>0.5</v>
      </c>
      <c r="K285" s="113" t="s">
        <v>5194</v>
      </c>
      <c r="L285" s="113" t="s">
        <v>5194</v>
      </c>
      <c r="M285" s="114">
        <v>1800</v>
      </c>
    </row>
    <row r="286" spans="1:13" ht="17.25" customHeight="1">
      <c r="A286" s="113" t="s">
        <v>5498</v>
      </c>
      <c r="B286" s="113" t="s">
        <v>5498</v>
      </c>
      <c r="C286" s="113" t="s">
        <v>5188</v>
      </c>
      <c r="D286" s="113" t="s">
        <v>5194</v>
      </c>
      <c r="E286" s="114">
        <v>0.9</v>
      </c>
      <c r="F286" s="114">
        <v>0.7</v>
      </c>
      <c r="G286" s="114">
        <v>0.7</v>
      </c>
      <c r="H286" s="114">
        <v>0</v>
      </c>
      <c r="I286" s="114">
        <v>5.5555555999999999E-2</v>
      </c>
      <c r="J286" s="114">
        <v>0.5</v>
      </c>
      <c r="K286" s="113" t="s">
        <v>5194</v>
      </c>
      <c r="L286" s="113" t="s">
        <v>5194</v>
      </c>
      <c r="M286" s="114">
        <v>1800</v>
      </c>
    </row>
    <row r="287" spans="1:13" ht="17.25" customHeight="1">
      <c r="A287" s="113" t="s">
        <v>5499</v>
      </c>
      <c r="B287" s="113" t="s">
        <v>5499</v>
      </c>
      <c r="C287" s="113" t="s">
        <v>5188</v>
      </c>
      <c r="D287" s="113" t="s">
        <v>5194</v>
      </c>
      <c r="E287" s="114">
        <v>0.9</v>
      </c>
      <c r="F287" s="114">
        <v>0.7</v>
      </c>
      <c r="G287" s="114">
        <v>0.7</v>
      </c>
      <c r="H287" s="114">
        <v>0</v>
      </c>
      <c r="I287" s="114">
        <v>0.1</v>
      </c>
      <c r="J287" s="114">
        <v>0.5</v>
      </c>
      <c r="K287" s="113" t="s">
        <v>5194</v>
      </c>
      <c r="L287" s="113" t="s">
        <v>5194</v>
      </c>
      <c r="M287" s="114">
        <v>1800</v>
      </c>
    </row>
    <row r="288" spans="1:13" ht="17.25" customHeight="1">
      <c r="A288" s="113" t="s">
        <v>5500</v>
      </c>
      <c r="B288" s="113" t="s">
        <v>5500</v>
      </c>
      <c r="C288" s="113" t="s">
        <v>5188</v>
      </c>
      <c r="D288" s="113" t="s">
        <v>5194</v>
      </c>
      <c r="E288" s="114">
        <v>0.9</v>
      </c>
      <c r="F288" s="114">
        <v>0.7</v>
      </c>
      <c r="G288" s="114">
        <v>0.7</v>
      </c>
      <c r="H288" s="114">
        <v>0</v>
      </c>
      <c r="I288" s="114">
        <v>9.0909090999999997E-2</v>
      </c>
      <c r="J288" s="114">
        <v>0.5</v>
      </c>
      <c r="K288" s="113" t="s">
        <v>5194</v>
      </c>
      <c r="L288" s="113" t="s">
        <v>5194</v>
      </c>
      <c r="M288" s="114">
        <v>1800</v>
      </c>
    </row>
    <row r="289" spans="1:13" ht="17.25" customHeight="1">
      <c r="A289" s="113" t="s">
        <v>5501</v>
      </c>
      <c r="B289" s="113" t="s">
        <v>5501</v>
      </c>
      <c r="C289" s="113" t="s">
        <v>5188</v>
      </c>
      <c r="D289" s="113" t="s">
        <v>5194</v>
      </c>
      <c r="E289" s="114">
        <v>0.9</v>
      </c>
      <c r="F289" s="114">
        <v>0.7</v>
      </c>
      <c r="G289" s="114">
        <v>0.7</v>
      </c>
      <c r="H289" s="114">
        <v>0</v>
      </c>
      <c r="I289" s="114">
        <v>3.125E-2</v>
      </c>
      <c r="J289" s="114">
        <v>0.5</v>
      </c>
      <c r="K289" s="113" t="s">
        <v>5194</v>
      </c>
      <c r="L289" s="113" t="s">
        <v>5194</v>
      </c>
      <c r="M289" s="114">
        <v>1800</v>
      </c>
    </row>
    <row r="290" spans="1:13" ht="17.25" customHeight="1">
      <c r="A290" s="113" t="s">
        <v>5502</v>
      </c>
      <c r="B290" s="113" t="s">
        <v>5502</v>
      </c>
      <c r="C290" s="113" t="s">
        <v>5188</v>
      </c>
      <c r="D290" s="113" t="s">
        <v>5194</v>
      </c>
      <c r="E290" s="114">
        <v>0.9</v>
      </c>
      <c r="F290" s="114">
        <v>0.7</v>
      </c>
      <c r="G290" s="114">
        <v>0.7</v>
      </c>
      <c r="H290" s="114">
        <v>0</v>
      </c>
      <c r="I290" s="114">
        <v>1.9230769000000002E-2</v>
      </c>
      <c r="J290" s="114">
        <v>0.5</v>
      </c>
      <c r="K290" s="113" t="s">
        <v>5194</v>
      </c>
      <c r="L290" s="113" t="s">
        <v>5194</v>
      </c>
      <c r="M290" s="114">
        <v>1800</v>
      </c>
    </row>
    <row r="291" spans="1:13" ht="17.25" customHeight="1">
      <c r="A291" s="113" t="s">
        <v>5503</v>
      </c>
      <c r="B291" s="113" t="s">
        <v>5503</v>
      </c>
      <c r="C291" s="113" t="s">
        <v>5188</v>
      </c>
      <c r="D291" s="113" t="s">
        <v>5194</v>
      </c>
      <c r="E291" s="114">
        <v>0.9</v>
      </c>
      <c r="F291" s="114">
        <v>0.7</v>
      </c>
      <c r="G291" s="114">
        <v>0.7</v>
      </c>
      <c r="H291" s="114">
        <v>0</v>
      </c>
      <c r="I291" s="114">
        <v>0.55555555599999995</v>
      </c>
      <c r="J291" s="114">
        <v>0.5</v>
      </c>
      <c r="K291" s="113" t="s">
        <v>5194</v>
      </c>
      <c r="L291" s="113" t="s">
        <v>5194</v>
      </c>
      <c r="M291" s="114">
        <v>1800</v>
      </c>
    </row>
    <row r="292" spans="1:13" ht="17.25" customHeight="1">
      <c r="A292" s="113" t="s">
        <v>5504</v>
      </c>
      <c r="B292" s="113" t="s">
        <v>5504</v>
      </c>
      <c r="C292" s="113" t="s">
        <v>5188</v>
      </c>
      <c r="D292" s="113" t="s">
        <v>5202</v>
      </c>
      <c r="E292" s="114">
        <v>0.9</v>
      </c>
      <c r="F292" s="114">
        <v>0.7</v>
      </c>
      <c r="G292" s="114">
        <v>0.7</v>
      </c>
      <c r="H292" s="114">
        <v>0</v>
      </c>
      <c r="I292" s="114">
        <v>0.72642240000000002</v>
      </c>
      <c r="J292" s="114">
        <v>1601.846</v>
      </c>
      <c r="K292" s="113" t="s">
        <v>5202</v>
      </c>
      <c r="L292" s="113" t="s">
        <v>5202</v>
      </c>
      <c r="M292" s="114">
        <v>836.8</v>
      </c>
    </row>
    <row r="293" spans="1:13" ht="17.25" customHeight="1"/>
    <row r="294" spans="1:13" ht="17.25" customHeight="1"/>
    <row r="295" spans="1:13" ht="17.25" customHeight="1"/>
    <row r="296" spans="1:13" ht="17.25" customHeight="1"/>
    <row r="297" spans="1:13" ht="17.25" customHeight="1"/>
    <row r="298" spans="1:13" ht="17.25" customHeight="1"/>
    <row r="299" spans="1:13" ht="17.25" customHeight="1"/>
    <row r="300" spans="1:13" ht="17.25" customHeight="1"/>
    <row r="301" spans="1:13" ht="17.25" customHeight="1"/>
    <row r="302" spans="1:13" ht="17.25" customHeight="1"/>
    <row r="303" spans="1:13" ht="17.25" customHeight="1"/>
    <row r="304" spans="1:13"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autoFilter ref="A2:M292" xr:uid="{00000000-0009-0000-0000-000019000000}"/>
  <mergeCells count="1">
    <mergeCell ref="A1:M1"/>
  </mergeCells>
  <conditionalFormatting sqref="N14:Z14 I15">
    <cfRule type="containsBlanks" dxfId="33" priority="1">
      <formula>LEN(TRIM(N14))=0</formula>
    </cfRule>
  </conditionalFormatting>
  <dataValidations count="1">
    <dataValidation type="list" allowBlank="1" showErrorMessage="1" sqref="N14 P14 R14 T14 V14 X14 Z14 I15" xr:uid="{00000000-0002-0000-1900-000000000000}">
      <formula1>$A$76:$A$283</formula1>
    </dataValidation>
  </dataValidations>
  <pageMargins left="0.7" right="0.7" top="0.75" bottom="0.75" header="0" footer="0"/>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filterMode="1">
    <tabColor theme="7"/>
  </sheetPr>
  <dimension ref="A1:AV1000"/>
  <sheetViews>
    <sheetView workbookViewId="0">
      <pane ySplit="1" topLeftCell="A314" activePane="bottomLeft" state="frozen"/>
      <selection pane="bottomLeft" activeCell="F349" sqref="F349"/>
    </sheetView>
  </sheetViews>
  <sheetFormatPr baseColWidth="10" defaultColWidth="11.28515625" defaultRowHeight="15" customHeight="1"/>
  <cols>
    <col min="1" max="1" width="29.7109375" customWidth="1"/>
    <col min="2" max="2" width="19.5703125" customWidth="1"/>
    <col min="3" max="3" width="15" hidden="1" customWidth="1"/>
    <col min="4" max="4" width="28.7109375" customWidth="1"/>
    <col min="5" max="5" width="15.42578125" customWidth="1"/>
    <col min="6" max="6" width="40.5703125" customWidth="1"/>
    <col min="7" max="7" width="18.28515625" customWidth="1"/>
    <col min="8" max="8" width="11.42578125" customWidth="1"/>
    <col min="9" max="9" width="16.85546875" customWidth="1"/>
    <col min="10" max="19" width="11.42578125" customWidth="1"/>
    <col min="20" max="20" width="17.85546875" customWidth="1"/>
    <col min="21" max="21" width="23.28515625" customWidth="1"/>
    <col min="22" max="26" width="11.42578125" customWidth="1"/>
    <col min="27" max="27" width="12.7109375" customWidth="1"/>
    <col min="28" max="48" width="11.42578125" customWidth="1"/>
  </cols>
  <sheetData>
    <row r="1" spans="1:48" ht="73.5" customHeight="1">
      <c r="A1" s="84" t="s">
        <v>5505</v>
      </c>
      <c r="B1" s="38" t="s">
        <v>5506</v>
      </c>
      <c r="C1" s="39" t="s">
        <v>4812</v>
      </c>
      <c r="D1" s="118" t="s">
        <v>5507</v>
      </c>
      <c r="E1" s="118" t="s">
        <v>5508</v>
      </c>
      <c r="F1" s="118"/>
      <c r="G1" s="232" t="s">
        <v>5157</v>
      </c>
      <c r="H1" s="226"/>
      <c r="I1" s="226"/>
      <c r="J1" s="226"/>
      <c r="K1" s="226"/>
      <c r="L1" s="226"/>
      <c r="M1" s="226"/>
      <c r="N1" s="226"/>
      <c r="O1" s="20"/>
      <c r="P1" s="20"/>
      <c r="Q1" s="20"/>
      <c r="R1" s="93"/>
      <c r="S1" s="20"/>
      <c r="T1" s="20"/>
      <c r="U1" s="38" t="s">
        <v>5509</v>
      </c>
      <c r="V1" s="119" t="s">
        <v>5510</v>
      </c>
      <c r="W1" s="119"/>
      <c r="X1" s="119"/>
      <c r="Y1" s="120"/>
      <c r="Z1" s="20"/>
      <c r="AA1" s="20"/>
      <c r="AB1" s="20" t="s">
        <v>5511</v>
      </c>
      <c r="AC1" s="20"/>
      <c r="AD1" s="20"/>
      <c r="AE1" s="20"/>
      <c r="AF1" s="20"/>
      <c r="AG1" s="20"/>
      <c r="AH1" s="20"/>
      <c r="AI1" s="20"/>
      <c r="AJ1" s="20"/>
      <c r="AK1" s="20"/>
      <c r="AL1" s="20"/>
      <c r="AM1" s="20"/>
      <c r="AN1" s="20"/>
      <c r="AO1" s="20"/>
      <c r="AP1" s="20"/>
      <c r="AQ1" s="20"/>
      <c r="AR1" s="20"/>
      <c r="AS1" s="20"/>
      <c r="AT1" s="20"/>
      <c r="AU1" s="20"/>
      <c r="AV1" s="20"/>
    </row>
    <row r="2" spans="1:48" ht="17.25" customHeight="1">
      <c r="A2" s="121" t="s">
        <v>5512</v>
      </c>
      <c r="B2" s="121" t="s">
        <v>5038</v>
      </c>
      <c r="C2" s="121" t="s">
        <v>4816</v>
      </c>
      <c r="D2" s="121" t="s">
        <v>12</v>
      </c>
      <c r="E2" s="121" t="s">
        <v>5513</v>
      </c>
      <c r="F2" s="121" t="s">
        <v>4832</v>
      </c>
      <c r="G2" s="122" t="s">
        <v>5514</v>
      </c>
      <c r="H2" s="111" t="s">
        <v>5161</v>
      </c>
      <c r="I2" s="111" t="s">
        <v>5162</v>
      </c>
      <c r="J2" s="111" t="s">
        <v>5163</v>
      </c>
      <c r="K2" s="111" t="s">
        <v>5164</v>
      </c>
      <c r="L2" s="111" t="s">
        <v>5165</v>
      </c>
      <c r="M2" s="111" t="s">
        <v>5166</v>
      </c>
      <c r="N2" s="111" t="s">
        <v>5167</v>
      </c>
      <c r="O2" s="111" t="s">
        <v>5168</v>
      </c>
      <c r="P2" s="111" t="s">
        <v>5169</v>
      </c>
      <c r="Q2" s="111" t="s">
        <v>5170</v>
      </c>
      <c r="R2" s="112" t="s">
        <v>5171</v>
      </c>
      <c r="S2" s="111" t="s">
        <v>5515</v>
      </c>
      <c r="T2" s="112" t="s">
        <v>5516</v>
      </c>
      <c r="U2" s="121" t="s">
        <v>5517</v>
      </c>
      <c r="V2" s="121" t="s">
        <v>5518</v>
      </c>
      <c r="W2" s="121" t="s">
        <v>5519</v>
      </c>
      <c r="X2" s="121" t="s">
        <v>5520</v>
      </c>
      <c r="Y2" s="123" t="s">
        <v>5521</v>
      </c>
      <c r="Z2" s="20"/>
      <c r="AA2" s="20"/>
      <c r="AB2" s="20"/>
      <c r="AC2" s="20"/>
      <c r="AD2" s="20"/>
      <c r="AE2" s="20"/>
      <c r="AF2" s="20"/>
      <c r="AG2" s="20"/>
      <c r="AH2" s="20"/>
      <c r="AI2" s="20"/>
      <c r="AJ2" s="20"/>
      <c r="AK2" s="20"/>
      <c r="AL2" s="20"/>
      <c r="AM2" s="20"/>
      <c r="AN2" s="20"/>
      <c r="AO2" s="20"/>
      <c r="AP2" s="20"/>
      <c r="AQ2" s="20"/>
      <c r="AR2" s="20"/>
      <c r="AS2" s="20"/>
      <c r="AT2" s="20"/>
      <c r="AU2" s="20"/>
      <c r="AV2" s="20"/>
    </row>
    <row r="3" spans="1:48" ht="17.25" hidden="1" customHeight="1">
      <c r="A3" s="15" t="s">
        <v>5743</v>
      </c>
      <c r="B3" s="124" t="s">
        <v>157</v>
      </c>
      <c r="C3" s="124" t="s">
        <v>5522</v>
      </c>
      <c r="D3" s="125" t="e">
        <f t="shared" ref="D3:D257" ca="1" si="0">AA3</f>
        <v>#NAME?</v>
      </c>
      <c r="E3" s="126" t="str">
        <f t="shared" ref="E3:E257" ca="1" si="1">IFERROR(1/AB3, "Not enough information entered")</f>
        <v>Not enough information entered</v>
      </c>
      <c r="F3" s="124" t="s">
        <v>6313</v>
      </c>
      <c r="G3" s="124" t="s">
        <v>5186</v>
      </c>
      <c r="H3" s="126">
        <v>0.18</v>
      </c>
      <c r="I3" s="124" t="s">
        <v>5204</v>
      </c>
      <c r="J3" s="126">
        <v>0.02</v>
      </c>
      <c r="K3" s="124" t="s">
        <v>5200</v>
      </c>
      <c r="L3" s="126">
        <v>1.2E-2</v>
      </c>
      <c r="M3" s="124"/>
      <c r="N3" s="124"/>
      <c r="O3" s="124"/>
      <c r="P3" s="124"/>
      <c r="Q3" s="124"/>
      <c r="R3" s="124"/>
      <c r="S3" s="124"/>
      <c r="T3" s="124"/>
      <c r="U3" s="124" t="s">
        <v>5523</v>
      </c>
      <c r="V3" s="127">
        <f t="shared" ref="V3:V257" si="2">H3+J3+L3+N3+P3+R3+T3</f>
        <v>0.21199999999999999</v>
      </c>
      <c r="W3" s="126">
        <v>0</v>
      </c>
      <c r="X3" s="126">
        <v>0</v>
      </c>
      <c r="Y3" s="126">
        <v>10</v>
      </c>
      <c r="Z3" s="124"/>
      <c r="AA3" s="124" t="e">
        <f t="shared" ref="AA3:AA257" ca="1" si="3">"[" &amp; _xludf.TEXTJOIN(",",TRUE,G3:T3) &amp; "]"</f>
        <v>#NAME?</v>
      </c>
      <c r="AB3" s="126">
        <f t="array" aca="1" ref="AB3" ca="1">IFERROR(J3/_xludf.XLOOKUP(I3,Materials!$A$3:$A$292,Materials!$I$3:$I$292),0)
+IFERROR(L3/_xludf.XLOOKUP(K3,Materials!$A$3:$A$292,Materials!$I$3:$I$292),0)
+IFERROR(N3/_xludf.XLOOKUP(M3,Materials!$A$3:$A$292,Materials!$I$3:$I$292),0)
+IFERROR(P3/_xludf.XLOOKUP(O3,Materials!$A$3:$A$292,Materials!$I$3:$I$292),0)
+IFERROR(R3/_xludf.XLOOKUP(Q3,Materials!$A$3:$A$292,Materials!$I$3:$I$292),0)
+IFERROR(H3/_xludf.XLOOKUP(G3,Materials!$A$3:$A$292,Materials!$I$3:$I$292),0)</f>
        <v>0</v>
      </c>
      <c r="AC3" s="20"/>
      <c r="AD3" s="20"/>
      <c r="AE3" s="20"/>
      <c r="AF3" s="20"/>
      <c r="AG3" s="20"/>
      <c r="AH3" s="20"/>
      <c r="AI3" s="20"/>
      <c r="AJ3" s="20"/>
      <c r="AK3" s="20"/>
      <c r="AL3" s="20"/>
      <c r="AM3" s="20"/>
      <c r="AN3" s="20"/>
      <c r="AO3" s="20"/>
      <c r="AP3" s="20"/>
      <c r="AQ3" s="20"/>
      <c r="AR3" s="20"/>
      <c r="AS3" s="20"/>
      <c r="AT3" s="20"/>
      <c r="AU3" s="20"/>
      <c r="AV3" s="20"/>
    </row>
    <row r="4" spans="1:48" ht="17.25" customHeight="1">
      <c r="A4" s="15" t="s">
        <v>5743</v>
      </c>
      <c r="B4" s="124" t="s">
        <v>154</v>
      </c>
      <c r="C4" s="124" t="s">
        <v>5524</v>
      </c>
      <c r="D4" s="125" t="e">
        <f t="shared" ca="1" si="0"/>
        <v>#NAME?</v>
      </c>
      <c r="E4" s="126" t="str">
        <f t="shared" ca="1" si="1"/>
        <v>Not enough information entered</v>
      </c>
      <c r="F4" s="124" t="s">
        <v>6312</v>
      </c>
      <c r="G4" s="124" t="s">
        <v>5186</v>
      </c>
      <c r="H4" s="126">
        <v>0.15</v>
      </c>
      <c r="I4" s="124" t="s">
        <v>5196</v>
      </c>
      <c r="J4" s="126">
        <v>0.03</v>
      </c>
      <c r="K4" s="124"/>
      <c r="L4" s="124"/>
      <c r="M4" s="124"/>
      <c r="N4" s="124"/>
      <c r="O4" s="124"/>
      <c r="P4" s="124"/>
      <c r="Q4" s="124"/>
      <c r="R4" s="124"/>
      <c r="S4" s="124"/>
      <c r="T4" s="124"/>
      <c r="U4" s="124" t="s">
        <v>5523</v>
      </c>
      <c r="V4" s="127">
        <f t="shared" si="2"/>
        <v>0.18</v>
      </c>
      <c r="W4" s="124"/>
      <c r="X4" s="124"/>
      <c r="Y4" s="124"/>
      <c r="Z4" s="124"/>
      <c r="AA4" s="124" t="e">
        <f t="shared" ca="1" si="3"/>
        <v>#NAME?</v>
      </c>
      <c r="AB4" s="126">
        <f t="array" aca="1" ref="AB4" ca="1">IFERROR(J4/_xludf.XLOOKUP(I4,Materials!$A$3:$A$292,Materials!$I$3:$I$292),0)
+IFERROR(L4/_xludf.XLOOKUP(K4,Materials!$A$3:$A$292,Materials!$I$3:$I$292),0)
+IFERROR(N4/_xludf.XLOOKUP(M4,Materials!$A$3:$A$292,Materials!$I$3:$I$292),0)
+IFERROR(P4/_xludf.XLOOKUP(O4,Materials!$A$3:$A$292,Materials!$I$3:$I$292),0)
+IFERROR(R4/_xludf.XLOOKUP(Q4,Materials!$A$3:$A$292,Materials!$I$3:$I$292),0)
+IFERROR(H4/_xludf.XLOOKUP(G4,Materials!$A$3:$A$292,Materials!$I$3:$I$292),0)</f>
        <v>0</v>
      </c>
      <c r="AC4" s="20"/>
      <c r="AD4" s="20"/>
      <c r="AE4" s="20"/>
      <c r="AF4" s="20"/>
      <c r="AG4" s="20"/>
      <c r="AH4" s="20"/>
      <c r="AI4" s="20"/>
      <c r="AJ4" s="20"/>
      <c r="AK4" s="20"/>
      <c r="AL4" s="20"/>
      <c r="AM4" s="20"/>
      <c r="AN4" s="20"/>
      <c r="AO4" s="20"/>
      <c r="AP4" s="20"/>
      <c r="AQ4" s="20"/>
      <c r="AR4" s="20"/>
      <c r="AS4" s="20"/>
      <c r="AT4" s="20"/>
      <c r="AU4" s="20"/>
      <c r="AV4" s="20"/>
    </row>
    <row r="5" spans="1:48" ht="17.25" hidden="1" customHeight="1">
      <c r="A5" s="15" t="s">
        <v>5743</v>
      </c>
      <c r="B5" s="124" t="s">
        <v>155</v>
      </c>
      <c r="C5" s="124" t="s">
        <v>5525</v>
      </c>
      <c r="D5" s="125" t="e">
        <f t="shared" ca="1" si="0"/>
        <v>#NAME?</v>
      </c>
      <c r="E5" s="126" t="str">
        <f t="shared" ca="1" si="1"/>
        <v>Not enough information entered</v>
      </c>
      <c r="F5" s="124" t="s">
        <v>6318</v>
      </c>
      <c r="G5" s="124" t="s">
        <v>5215</v>
      </c>
      <c r="H5" s="126">
        <v>0.2</v>
      </c>
      <c r="I5" s="124" t="s">
        <v>5204</v>
      </c>
      <c r="J5" s="126">
        <v>0.04</v>
      </c>
      <c r="K5" s="124" t="s">
        <v>5200</v>
      </c>
      <c r="L5" s="126">
        <v>1.2E-2</v>
      </c>
      <c r="M5" s="124"/>
      <c r="N5" s="124"/>
      <c r="O5" s="124"/>
      <c r="P5" s="124"/>
      <c r="Q5" s="124"/>
      <c r="R5" s="124"/>
      <c r="S5" s="124"/>
      <c r="T5" s="124"/>
      <c r="U5" s="124" t="s">
        <v>5523</v>
      </c>
      <c r="V5" s="127">
        <f t="shared" si="2"/>
        <v>0.252</v>
      </c>
      <c r="W5" s="126">
        <v>0</v>
      </c>
      <c r="X5" s="126">
        <v>0</v>
      </c>
      <c r="Y5" s="126">
        <v>10</v>
      </c>
      <c r="Z5" s="124"/>
      <c r="AA5" s="124" t="e">
        <f t="shared" ca="1" si="3"/>
        <v>#NAME?</v>
      </c>
      <c r="AB5" s="126">
        <f t="array" aca="1" ref="AB5" ca="1">IFERROR(J5/_xludf.XLOOKUP(I5,Materials!$A$3:$A$292,Materials!$I$3:$I$292),0)
+IFERROR(L5/_xludf.XLOOKUP(K5,Materials!$A$3:$A$292,Materials!$I$3:$I$292),0)
+IFERROR(N5/_xludf.XLOOKUP(M5,Materials!$A$3:$A$292,Materials!$I$3:$I$292),0)
+IFERROR(P5/_xludf.XLOOKUP(O5,Materials!$A$3:$A$292,Materials!$I$3:$I$292),0)
+IFERROR(R5/_xludf.XLOOKUP(Q5,Materials!$A$3:$A$292,Materials!$I$3:$I$292),0)
+IFERROR(H5/_xludf.XLOOKUP(G5,Materials!$A$3:$A$292,Materials!$I$3:$I$292),0)</f>
        <v>0</v>
      </c>
      <c r="AC5" s="20"/>
      <c r="AD5" s="20"/>
      <c r="AE5" s="20"/>
      <c r="AF5" s="20"/>
      <c r="AG5" s="20"/>
      <c r="AH5" s="20"/>
      <c r="AI5" s="20"/>
      <c r="AJ5" s="20"/>
      <c r="AK5" s="20"/>
      <c r="AL5" s="20"/>
      <c r="AM5" s="20"/>
      <c r="AN5" s="20"/>
      <c r="AO5" s="20"/>
      <c r="AP5" s="20"/>
      <c r="AQ5" s="20"/>
      <c r="AR5" s="20"/>
      <c r="AS5" s="20"/>
      <c r="AT5" s="20"/>
      <c r="AU5" s="20"/>
      <c r="AV5" s="20"/>
    </row>
    <row r="6" spans="1:48" ht="17.25" hidden="1" customHeight="1">
      <c r="A6" s="15" t="s">
        <v>5743</v>
      </c>
      <c r="B6" s="124" t="s">
        <v>160</v>
      </c>
      <c r="C6" s="124" t="s">
        <v>5526</v>
      </c>
      <c r="D6" s="125" t="e">
        <f t="shared" ca="1" si="0"/>
        <v>#NAME?</v>
      </c>
      <c r="E6" s="126" t="str">
        <f t="shared" ca="1" si="1"/>
        <v>Not enough information entered</v>
      </c>
      <c r="F6" s="124" t="s">
        <v>6315</v>
      </c>
      <c r="G6" s="124" t="s">
        <v>5186</v>
      </c>
      <c r="H6" s="126">
        <v>0.18</v>
      </c>
      <c r="I6" s="124" t="s">
        <v>5196</v>
      </c>
      <c r="J6" s="126">
        <v>0.03</v>
      </c>
      <c r="K6" s="124"/>
      <c r="L6" s="124"/>
      <c r="M6" s="124"/>
      <c r="N6" s="124"/>
      <c r="O6" s="124"/>
      <c r="P6" s="124"/>
      <c r="Q6" s="124"/>
      <c r="R6" s="124"/>
      <c r="S6" s="124"/>
      <c r="T6" s="124"/>
      <c r="U6" s="124" t="s">
        <v>5523</v>
      </c>
      <c r="V6" s="127">
        <f t="shared" si="2"/>
        <v>0.21</v>
      </c>
      <c r="W6" s="126">
        <v>0</v>
      </c>
      <c r="X6" s="126">
        <v>0</v>
      </c>
      <c r="Y6" s="126">
        <v>10</v>
      </c>
      <c r="Z6" s="124"/>
      <c r="AA6" s="124" t="e">
        <f t="shared" ca="1" si="3"/>
        <v>#NAME?</v>
      </c>
      <c r="AB6" s="126">
        <f t="array" aca="1" ref="AB6" ca="1">IFERROR(J6/_xludf.XLOOKUP(I6,Materials!$A$3:$A$292,Materials!$I$3:$I$292),0)
+IFERROR(L6/_xludf.XLOOKUP(K6,Materials!$A$3:$A$292,Materials!$I$3:$I$292),0)
+IFERROR(N6/_xludf.XLOOKUP(M6,Materials!$A$3:$A$292,Materials!$I$3:$I$292),0)
+IFERROR(P6/_xludf.XLOOKUP(O6,Materials!$A$3:$A$292,Materials!$I$3:$I$292),0)
+IFERROR(R6/_xludf.XLOOKUP(Q6,Materials!$A$3:$A$292,Materials!$I$3:$I$292),0)
+IFERROR(H6/_xludf.XLOOKUP(G6,Materials!$A$3:$A$292,Materials!$I$3:$I$292),0)</f>
        <v>0</v>
      </c>
      <c r="AC6" s="20"/>
      <c r="AD6" s="20"/>
      <c r="AE6" s="20"/>
      <c r="AF6" s="20"/>
      <c r="AG6" s="20"/>
      <c r="AH6" s="20"/>
      <c r="AI6" s="20"/>
      <c r="AJ6" s="20"/>
      <c r="AK6" s="20"/>
      <c r="AL6" s="20"/>
      <c r="AM6" s="20"/>
      <c r="AN6" s="20"/>
      <c r="AO6" s="20"/>
      <c r="AP6" s="20"/>
      <c r="AQ6" s="20"/>
      <c r="AR6" s="20"/>
      <c r="AS6" s="20"/>
      <c r="AT6" s="20"/>
      <c r="AU6" s="20"/>
      <c r="AV6" s="20"/>
    </row>
    <row r="7" spans="1:48" ht="17.25" hidden="1" customHeight="1">
      <c r="A7" s="15" t="s">
        <v>5744</v>
      </c>
      <c r="B7" s="124" t="s">
        <v>157</v>
      </c>
      <c r="C7" s="124" t="s">
        <v>5522</v>
      </c>
      <c r="D7" s="125" t="e">
        <f t="shared" ca="1" si="0"/>
        <v>#NAME?</v>
      </c>
      <c r="E7" s="126" t="str">
        <f t="shared" ca="1" si="1"/>
        <v>Not enough information entered</v>
      </c>
      <c r="F7" s="124" t="s">
        <v>6370</v>
      </c>
      <c r="G7" s="124" t="s">
        <v>5211</v>
      </c>
      <c r="H7" s="126">
        <v>0.03</v>
      </c>
      <c r="I7" s="124" t="s">
        <v>5186</v>
      </c>
      <c r="J7" s="126">
        <v>0.18</v>
      </c>
      <c r="K7" s="124" t="s">
        <v>5204</v>
      </c>
      <c r="L7" s="126">
        <v>0.02</v>
      </c>
      <c r="M7" s="124" t="s">
        <v>5200</v>
      </c>
      <c r="N7" s="126">
        <v>1.2E-2</v>
      </c>
      <c r="O7" s="124"/>
      <c r="P7" s="124"/>
      <c r="Q7" s="124"/>
      <c r="R7" s="124"/>
      <c r="S7" s="124"/>
      <c r="T7" s="124"/>
      <c r="U7" s="124" t="s">
        <v>5523</v>
      </c>
      <c r="V7" s="127">
        <f t="shared" si="2"/>
        <v>0.24199999999999999</v>
      </c>
      <c r="W7" s="126">
        <v>0</v>
      </c>
      <c r="X7" s="126">
        <v>0</v>
      </c>
      <c r="Y7" s="126">
        <v>10</v>
      </c>
      <c r="Z7" s="124"/>
      <c r="AA7" s="124" t="e">
        <f t="shared" ca="1" si="3"/>
        <v>#NAME?</v>
      </c>
      <c r="AB7" s="126">
        <f t="array" aca="1" ref="AB7" ca="1">IFERROR(J7/_xludf.XLOOKUP(I7,Materials!$A$3:$A$292,Materials!$I$3:$I$292),0)
+IFERROR(L7/_xludf.XLOOKUP(K7,Materials!$A$3:$A$292,Materials!$I$3:$I$292),0)
+IFERROR(N7/_xludf.XLOOKUP(M7,Materials!$A$3:$A$292,Materials!$I$3:$I$292),0)
+IFERROR(P7/_xludf.XLOOKUP(O7,Materials!$A$3:$A$292,Materials!$I$3:$I$292),0)
+IFERROR(R7/_xludf.XLOOKUP(Q7,Materials!$A$3:$A$292,Materials!$I$3:$I$292),0)
+IFERROR(H7/_xludf.XLOOKUP(G7,Materials!$A$3:$A$292,Materials!$I$3:$I$292),0)</f>
        <v>0</v>
      </c>
      <c r="AC7" s="20"/>
      <c r="AD7" s="20"/>
      <c r="AE7" s="20"/>
      <c r="AF7" s="20"/>
      <c r="AG7" s="20"/>
      <c r="AH7" s="20"/>
      <c r="AI7" s="20"/>
      <c r="AJ7" s="20"/>
      <c r="AK7" s="20"/>
      <c r="AL7" s="20"/>
      <c r="AM7" s="20"/>
      <c r="AN7" s="20"/>
      <c r="AO7" s="20"/>
      <c r="AP7" s="20"/>
      <c r="AQ7" s="20"/>
      <c r="AR7" s="20"/>
      <c r="AS7" s="20"/>
      <c r="AT7" s="20"/>
      <c r="AU7" s="20"/>
      <c r="AV7" s="20"/>
    </row>
    <row r="8" spans="1:48" ht="17.25" customHeight="1">
      <c r="A8" s="15" t="s">
        <v>5744</v>
      </c>
      <c r="B8" s="124" t="s">
        <v>154</v>
      </c>
      <c r="C8" s="124" t="s">
        <v>5524</v>
      </c>
      <c r="D8" s="125" t="e">
        <f t="shared" ca="1" si="0"/>
        <v>#NAME?</v>
      </c>
      <c r="E8" s="126" t="str">
        <f t="shared" ca="1" si="1"/>
        <v>Not enough information entered</v>
      </c>
      <c r="F8" s="124" t="s">
        <v>6356</v>
      </c>
      <c r="G8" s="124" t="s">
        <v>5211</v>
      </c>
      <c r="H8" s="126">
        <v>4.7E-2</v>
      </c>
      <c r="I8" s="124" t="s">
        <v>5186</v>
      </c>
      <c r="J8" s="126">
        <v>0.15</v>
      </c>
      <c r="K8" s="124" t="s">
        <v>5196</v>
      </c>
      <c r="L8" s="124">
        <v>0.03</v>
      </c>
      <c r="M8" s="124"/>
      <c r="N8" s="124"/>
      <c r="O8" s="124"/>
      <c r="P8" s="124"/>
      <c r="Q8" s="124"/>
      <c r="R8" s="124"/>
      <c r="S8" s="124"/>
      <c r="T8" s="124"/>
      <c r="U8" s="124" t="s">
        <v>5523</v>
      </c>
      <c r="V8" s="127">
        <f t="shared" si="2"/>
        <v>0.22700000000000001</v>
      </c>
      <c r="W8" s="124"/>
      <c r="X8" s="124"/>
      <c r="Y8" s="124"/>
      <c r="Z8" s="124"/>
      <c r="AA8" s="124" t="e">
        <f t="shared" ca="1" si="3"/>
        <v>#NAME?</v>
      </c>
      <c r="AB8" s="126">
        <f t="array" aca="1" ref="AB8" ca="1">IFERROR(J8/_xludf.XLOOKUP(I8,Materials!$A$3:$A$292,Materials!$I$3:$I$292),0)
+IFERROR(L8/_xludf.XLOOKUP(K8,Materials!$A$3:$A$292,Materials!$I$3:$I$292),0)
+IFERROR(N8/_xludf.XLOOKUP(M8,Materials!$A$3:$A$292,Materials!$I$3:$I$292),0)
+IFERROR(P8/_xludf.XLOOKUP(O8,Materials!$A$3:$A$292,Materials!$I$3:$I$292),0)
+IFERROR(R8/_xludf.XLOOKUP(Q8,Materials!$A$3:$A$292,Materials!$I$3:$I$292),0)
+IFERROR(H8/_xludf.XLOOKUP(G8,Materials!$A$3:$A$292,Materials!$I$3:$I$292),0)</f>
        <v>0</v>
      </c>
      <c r="AC8" s="20"/>
      <c r="AD8" s="20"/>
      <c r="AE8" s="20"/>
      <c r="AF8" s="20"/>
      <c r="AG8" s="20"/>
      <c r="AH8" s="20"/>
      <c r="AI8" s="20"/>
      <c r="AJ8" s="20"/>
      <c r="AK8" s="20"/>
      <c r="AL8" s="20"/>
      <c r="AM8" s="20"/>
      <c r="AN8" s="20"/>
      <c r="AO8" s="20"/>
      <c r="AP8" s="20"/>
      <c r="AQ8" s="20"/>
      <c r="AR8" s="20"/>
      <c r="AS8" s="20"/>
      <c r="AT8" s="20"/>
      <c r="AU8" s="20"/>
      <c r="AV8" s="20"/>
    </row>
    <row r="9" spans="1:48" ht="17.25" hidden="1" customHeight="1">
      <c r="A9" s="15" t="s">
        <v>5744</v>
      </c>
      <c r="B9" s="124" t="s">
        <v>155</v>
      </c>
      <c r="C9" s="124" t="s">
        <v>5525</v>
      </c>
      <c r="D9" s="125" t="e">
        <f t="shared" ca="1" si="0"/>
        <v>#NAME?</v>
      </c>
      <c r="E9" s="126" t="str">
        <f t="shared" ca="1" si="1"/>
        <v>Not enough information entered</v>
      </c>
      <c r="F9" s="124" t="s">
        <v>6459</v>
      </c>
      <c r="G9" s="124" t="s">
        <v>5215</v>
      </c>
      <c r="H9" s="126">
        <v>0.2</v>
      </c>
      <c r="I9" s="124" t="s">
        <v>5204</v>
      </c>
      <c r="J9" s="126">
        <v>0.04</v>
      </c>
      <c r="K9" s="124" t="s">
        <v>5200</v>
      </c>
      <c r="L9" s="126">
        <v>1.2E-2</v>
      </c>
      <c r="M9" s="124"/>
      <c r="N9" s="124"/>
      <c r="O9" s="124"/>
      <c r="P9" s="124"/>
      <c r="Q9" s="128"/>
      <c r="R9" s="124"/>
      <c r="S9" s="124"/>
      <c r="T9" s="124"/>
      <c r="U9" s="124" t="s">
        <v>5523</v>
      </c>
      <c r="V9" s="127">
        <f t="shared" si="2"/>
        <v>0.252</v>
      </c>
      <c r="W9" s="126">
        <v>0</v>
      </c>
      <c r="X9" s="126">
        <v>0</v>
      </c>
      <c r="Y9" s="126">
        <v>10</v>
      </c>
      <c r="Z9" s="124"/>
      <c r="AA9" s="124" t="e">
        <f t="shared" ca="1" si="3"/>
        <v>#NAME?</v>
      </c>
      <c r="AB9" s="126">
        <f t="array" aca="1" ref="AB9" ca="1">IFERROR(J9/_xludf.XLOOKUP(I9,Materials!$A$3:$A$292,Materials!$I$3:$I$292),0)
+IFERROR(L9/_xludf.XLOOKUP(K9,Materials!$A$3:$A$292,Materials!$I$3:$I$292),0)
+IFERROR(N9/_xludf.XLOOKUP(M9,Materials!$A$3:$A$292,Materials!$I$3:$I$292),0)
+IFERROR(P9/_xludf.XLOOKUP(O9,Materials!$A$3:$A$292,Materials!$I$3:$I$292),0)
+IFERROR(R9/_xludf.XLOOKUP(Q9,Materials!$A$3:$A$292,Materials!$I$3:$I$292),0)
+IFERROR(H9/_xludf.XLOOKUP(G9,Materials!$A$3:$A$292,Materials!$I$3:$I$292),0)</f>
        <v>0</v>
      </c>
      <c r="AC9" s="20"/>
      <c r="AD9" s="20"/>
      <c r="AE9" s="20"/>
      <c r="AF9" s="20"/>
      <c r="AG9" s="20"/>
      <c r="AH9" s="20"/>
      <c r="AI9" s="20"/>
      <c r="AJ9" s="20"/>
      <c r="AK9" s="20"/>
      <c r="AL9" s="20"/>
      <c r="AM9" s="20"/>
      <c r="AN9" s="20"/>
      <c r="AO9" s="20"/>
      <c r="AP9" s="20"/>
      <c r="AQ9" s="20"/>
      <c r="AR9" s="20"/>
      <c r="AS9" s="20"/>
      <c r="AT9" s="20"/>
      <c r="AU9" s="20"/>
      <c r="AV9" s="20"/>
    </row>
    <row r="10" spans="1:48" ht="17.25" hidden="1" customHeight="1">
      <c r="A10" s="15" t="s">
        <v>5744</v>
      </c>
      <c r="B10" s="124" t="s">
        <v>160</v>
      </c>
      <c r="C10" s="124" t="s">
        <v>5526</v>
      </c>
      <c r="D10" s="125" t="e">
        <f t="shared" ca="1" si="0"/>
        <v>#NAME?</v>
      </c>
      <c r="E10" s="126" t="str">
        <f t="shared" ca="1" si="1"/>
        <v>Not enough information entered</v>
      </c>
      <c r="F10" s="124" t="s">
        <v>6565</v>
      </c>
      <c r="G10" s="124" t="s">
        <v>5186</v>
      </c>
      <c r="H10" s="126">
        <v>0.18</v>
      </c>
      <c r="I10" s="124" t="s">
        <v>5196</v>
      </c>
      <c r="J10" s="126">
        <v>0.03</v>
      </c>
      <c r="K10" s="124"/>
      <c r="L10" s="124"/>
      <c r="M10" s="124"/>
      <c r="N10" s="124"/>
      <c r="O10" s="124"/>
      <c r="P10" s="124"/>
      <c r="Q10" s="124"/>
      <c r="R10" s="124"/>
      <c r="S10" s="124"/>
      <c r="T10" s="124"/>
      <c r="U10" s="124" t="s">
        <v>5523</v>
      </c>
      <c r="V10" s="127">
        <f t="shared" si="2"/>
        <v>0.21</v>
      </c>
      <c r="W10" s="126">
        <v>0</v>
      </c>
      <c r="X10" s="126">
        <v>0</v>
      </c>
      <c r="Y10" s="126">
        <v>10</v>
      </c>
      <c r="Z10" s="124"/>
      <c r="AA10" s="124" t="e">
        <f t="shared" ca="1" si="3"/>
        <v>#NAME?</v>
      </c>
      <c r="AB10" s="126">
        <f t="array" aca="1" ref="AB10" ca="1">IFERROR(J10/_xludf.XLOOKUP(I10,Materials!$A$3:$A$292,Materials!$I$3:$I$292),0)
+IFERROR(L10/_xludf.XLOOKUP(K10,Materials!$A$3:$A$292,Materials!$I$3:$I$292),0)
+IFERROR(N10/_xludf.XLOOKUP(M10,Materials!$A$3:$A$292,Materials!$I$3:$I$292),0)
+IFERROR(P10/_xludf.XLOOKUP(O10,Materials!$A$3:$A$292,Materials!$I$3:$I$292),0)
+IFERROR(R10/_xludf.XLOOKUP(Q10,Materials!$A$3:$A$292,Materials!$I$3:$I$292),0)
+IFERROR(H10/_xludf.XLOOKUP(G10,Materials!$A$3:$A$292,Materials!$I$3:$I$292),0)</f>
        <v>0</v>
      </c>
      <c r="AC10" s="20"/>
      <c r="AD10" s="20"/>
      <c r="AE10" s="20"/>
      <c r="AF10" s="20"/>
      <c r="AG10" s="20"/>
      <c r="AH10" s="20"/>
      <c r="AI10" s="20"/>
      <c r="AJ10" s="20"/>
      <c r="AK10" s="20"/>
      <c r="AL10" s="20"/>
      <c r="AM10" s="20"/>
      <c r="AN10" s="20"/>
      <c r="AO10" s="20"/>
      <c r="AP10" s="20"/>
      <c r="AQ10" s="20"/>
      <c r="AR10" s="20"/>
      <c r="AS10" s="20"/>
      <c r="AT10" s="20"/>
      <c r="AU10" s="20"/>
      <c r="AV10" s="20"/>
    </row>
    <row r="11" spans="1:48" ht="17.25" hidden="1" customHeight="1">
      <c r="A11" s="15" t="s">
        <v>5745</v>
      </c>
      <c r="B11" s="124" t="s">
        <v>157</v>
      </c>
      <c r="C11" s="124" t="s">
        <v>5522</v>
      </c>
      <c r="D11" s="125" t="e">
        <f t="shared" ca="1" si="0"/>
        <v>#NAME?</v>
      </c>
      <c r="E11" s="126" t="str">
        <f t="shared" ca="1" si="1"/>
        <v>Not enough information entered</v>
      </c>
      <c r="F11" s="124" t="s">
        <v>6371</v>
      </c>
      <c r="G11" s="124" t="s">
        <v>5211</v>
      </c>
      <c r="H11" s="126">
        <v>0.04</v>
      </c>
      <c r="I11" s="124" t="s">
        <v>5186</v>
      </c>
      <c r="J11" s="126">
        <v>0.18</v>
      </c>
      <c r="K11" s="124" t="s">
        <v>5204</v>
      </c>
      <c r="L11" s="126">
        <v>0.02</v>
      </c>
      <c r="M11" s="124" t="s">
        <v>5200</v>
      </c>
      <c r="N11" s="126">
        <v>1.2E-2</v>
      </c>
      <c r="O11" s="124"/>
      <c r="P11" s="124"/>
      <c r="Q11" s="124"/>
      <c r="R11" s="124"/>
      <c r="S11" s="124"/>
      <c r="T11" s="124"/>
      <c r="U11" s="124" t="s">
        <v>5523</v>
      </c>
      <c r="V11" s="127">
        <f t="shared" si="2"/>
        <v>0.252</v>
      </c>
      <c r="W11" s="126">
        <v>0</v>
      </c>
      <c r="X11" s="126">
        <v>0</v>
      </c>
      <c r="Y11" s="126">
        <v>10</v>
      </c>
      <c r="Z11" s="124"/>
      <c r="AA11" s="124" t="e">
        <f t="shared" ca="1" si="3"/>
        <v>#NAME?</v>
      </c>
      <c r="AB11" s="126">
        <f t="array" aca="1" ref="AB11" ca="1">IFERROR(J11/_xludf.XLOOKUP(I11,Materials!$A$3:$A$292,Materials!$I$3:$I$292),0)
+IFERROR(L11/_xludf.XLOOKUP(K11,Materials!$A$3:$A$292,Materials!$I$3:$I$292),0)
+IFERROR(N11/_xludf.XLOOKUP(M11,Materials!$A$3:$A$292,Materials!$I$3:$I$292),0)
+IFERROR(P11/_xludf.XLOOKUP(O11,Materials!$A$3:$A$292,Materials!$I$3:$I$292),0)
+IFERROR(R11/_xludf.XLOOKUP(Q11,Materials!$A$3:$A$292,Materials!$I$3:$I$292),0)
+IFERROR(H11/_xludf.XLOOKUP(G11,Materials!$A$3:$A$292,Materials!$I$3:$I$292),0)</f>
        <v>0</v>
      </c>
      <c r="AC11" s="20"/>
      <c r="AD11" s="20"/>
      <c r="AE11" s="20"/>
      <c r="AF11" s="20"/>
      <c r="AG11" s="20"/>
      <c r="AH11" s="20"/>
      <c r="AI11" s="20"/>
      <c r="AJ11" s="20"/>
      <c r="AK11" s="20"/>
      <c r="AL11" s="20"/>
      <c r="AM11" s="20"/>
      <c r="AN11" s="20"/>
      <c r="AO11" s="20"/>
      <c r="AP11" s="20"/>
      <c r="AQ11" s="20"/>
      <c r="AR11" s="20"/>
      <c r="AS11" s="20"/>
      <c r="AT11" s="20"/>
      <c r="AU11" s="20"/>
      <c r="AV11" s="20"/>
    </row>
    <row r="12" spans="1:48" ht="17.25" customHeight="1">
      <c r="A12" s="15" t="s">
        <v>5745</v>
      </c>
      <c r="B12" s="124" t="s">
        <v>154</v>
      </c>
      <c r="C12" s="124" t="s">
        <v>5524</v>
      </c>
      <c r="D12" s="125" t="e">
        <f t="shared" ca="1" si="0"/>
        <v>#NAME?</v>
      </c>
      <c r="E12" s="126" t="str">
        <f t="shared" ca="1" si="1"/>
        <v>Not enough information entered</v>
      </c>
      <c r="F12" s="124" t="s">
        <v>6357</v>
      </c>
      <c r="G12" s="124" t="s">
        <v>5211</v>
      </c>
      <c r="H12" s="126">
        <v>5.8999999999999997E-2</v>
      </c>
      <c r="I12" s="124" t="s">
        <v>5186</v>
      </c>
      <c r="J12" s="126">
        <v>0.15</v>
      </c>
      <c r="K12" s="124" t="s">
        <v>5196</v>
      </c>
      <c r="L12" s="124">
        <v>0.03</v>
      </c>
      <c r="M12" s="124"/>
      <c r="N12" s="124"/>
      <c r="O12" s="124"/>
      <c r="P12" s="124"/>
      <c r="Q12" s="124"/>
      <c r="R12" s="124"/>
      <c r="S12" s="124"/>
      <c r="T12" s="124"/>
      <c r="U12" s="124" t="s">
        <v>5523</v>
      </c>
      <c r="V12" s="127">
        <f t="shared" si="2"/>
        <v>0.23899999999999999</v>
      </c>
      <c r="W12" s="124"/>
      <c r="X12" s="124"/>
      <c r="Y12" s="124"/>
      <c r="Z12" s="124"/>
      <c r="AA12" s="124" t="e">
        <f t="shared" ca="1" si="3"/>
        <v>#NAME?</v>
      </c>
      <c r="AB12" s="126">
        <f t="array" aca="1" ref="AB12" ca="1">IFERROR(J12/_xludf.XLOOKUP(I12,Materials!$A$3:$A$292,Materials!$I$3:$I$292),0)
+IFERROR(L12/_xludf.XLOOKUP(K12,Materials!$A$3:$A$292,Materials!$I$3:$I$292),0)
+IFERROR(N12/_xludf.XLOOKUP(M12,Materials!$A$3:$A$292,Materials!$I$3:$I$292),0)
+IFERROR(P12/_xludf.XLOOKUP(O12,Materials!$A$3:$A$292,Materials!$I$3:$I$292),0)
+IFERROR(R12/_xludf.XLOOKUP(Q12,Materials!$A$3:$A$292,Materials!$I$3:$I$292),0)
+IFERROR(H12/_xludf.XLOOKUP(G12,Materials!$A$3:$A$292,Materials!$I$3:$I$292),0)</f>
        <v>0</v>
      </c>
      <c r="AC12" s="20"/>
      <c r="AD12" s="20"/>
      <c r="AE12" s="20"/>
      <c r="AF12" s="20"/>
      <c r="AG12" s="20"/>
      <c r="AH12" s="20"/>
      <c r="AI12" s="20"/>
      <c r="AJ12" s="20"/>
      <c r="AK12" s="20"/>
      <c r="AL12" s="20"/>
      <c r="AM12" s="20"/>
      <c r="AN12" s="20"/>
      <c r="AO12" s="20"/>
      <c r="AP12" s="20"/>
      <c r="AQ12" s="20"/>
      <c r="AR12" s="20"/>
      <c r="AS12" s="20"/>
      <c r="AT12" s="20"/>
      <c r="AU12" s="20"/>
      <c r="AV12" s="20"/>
    </row>
    <row r="13" spans="1:48" ht="17.25" hidden="1" customHeight="1">
      <c r="A13" s="15" t="s">
        <v>5745</v>
      </c>
      <c r="B13" s="124" t="s">
        <v>155</v>
      </c>
      <c r="C13" s="124" t="s">
        <v>5525</v>
      </c>
      <c r="D13" s="125" t="e">
        <f t="shared" ca="1" si="0"/>
        <v>#NAME?</v>
      </c>
      <c r="E13" s="126" t="str">
        <f t="shared" ca="1" si="1"/>
        <v>Not enough information entered</v>
      </c>
      <c r="F13" s="124" t="s">
        <v>6460</v>
      </c>
      <c r="G13" s="124" t="s">
        <v>5215</v>
      </c>
      <c r="H13" s="126">
        <v>0.2</v>
      </c>
      <c r="I13" s="124" t="s">
        <v>5204</v>
      </c>
      <c r="J13" s="126">
        <v>0.04</v>
      </c>
      <c r="K13" s="124" t="s">
        <v>5200</v>
      </c>
      <c r="L13" s="126">
        <v>1.2E-2</v>
      </c>
      <c r="M13" s="124"/>
      <c r="N13" s="124"/>
      <c r="O13" s="124"/>
      <c r="P13" s="124"/>
      <c r="Q13" s="124"/>
      <c r="R13" s="124"/>
      <c r="S13" s="124"/>
      <c r="T13" s="124"/>
      <c r="U13" s="124" t="s">
        <v>5523</v>
      </c>
      <c r="V13" s="127">
        <f t="shared" si="2"/>
        <v>0.252</v>
      </c>
      <c r="W13" s="126">
        <v>0</v>
      </c>
      <c r="X13" s="126">
        <v>0</v>
      </c>
      <c r="Y13" s="126">
        <v>10</v>
      </c>
      <c r="Z13" s="124"/>
      <c r="AA13" s="124" t="e">
        <f t="shared" ca="1" si="3"/>
        <v>#NAME?</v>
      </c>
      <c r="AB13" s="126">
        <f t="array" aca="1" ref="AB13" ca="1">IFERROR(J13/_xludf.XLOOKUP(I13,Materials!$A$3:$A$292,Materials!$I$3:$I$292),0)
+IFERROR(L13/_xludf.XLOOKUP(K13,Materials!$A$3:$A$292,Materials!$I$3:$I$292),0)
+IFERROR(N13/_xludf.XLOOKUP(M13,Materials!$A$3:$A$292,Materials!$I$3:$I$292),0)
+IFERROR(P13/_xludf.XLOOKUP(O13,Materials!$A$3:$A$292,Materials!$I$3:$I$292),0)
+IFERROR(R13/_xludf.XLOOKUP(Q13,Materials!$A$3:$A$292,Materials!$I$3:$I$292),0)
+IFERROR(H13/_xludf.XLOOKUP(G13,Materials!$A$3:$A$292,Materials!$I$3:$I$292),0)</f>
        <v>0</v>
      </c>
      <c r="AC13" s="20"/>
      <c r="AD13" s="20"/>
      <c r="AE13" s="20"/>
      <c r="AF13" s="20"/>
      <c r="AG13" s="20"/>
      <c r="AH13" s="20"/>
      <c r="AI13" s="20"/>
      <c r="AJ13" s="20"/>
      <c r="AK13" s="20"/>
      <c r="AL13" s="20"/>
      <c r="AM13" s="20"/>
      <c r="AN13" s="20"/>
      <c r="AO13" s="20"/>
      <c r="AP13" s="20"/>
      <c r="AQ13" s="20"/>
      <c r="AR13" s="20"/>
      <c r="AS13" s="20"/>
      <c r="AT13" s="20"/>
      <c r="AU13" s="20"/>
      <c r="AV13" s="20"/>
    </row>
    <row r="14" spans="1:48" ht="17.25" hidden="1" customHeight="1">
      <c r="A14" s="15" t="s">
        <v>5745</v>
      </c>
      <c r="B14" s="124" t="s">
        <v>160</v>
      </c>
      <c r="C14" s="124" t="s">
        <v>5526</v>
      </c>
      <c r="D14" s="125" t="e">
        <f t="shared" ca="1" si="0"/>
        <v>#NAME?</v>
      </c>
      <c r="E14" s="126" t="str">
        <f t="shared" ca="1" si="1"/>
        <v>Not enough information entered</v>
      </c>
      <c r="F14" s="124" t="s">
        <v>6566</v>
      </c>
      <c r="G14" s="124" t="s">
        <v>5211</v>
      </c>
      <c r="H14" s="126">
        <v>0.03</v>
      </c>
      <c r="I14" s="124" t="s">
        <v>5186</v>
      </c>
      <c r="J14" s="126">
        <v>0.18</v>
      </c>
      <c r="K14" s="124" t="s">
        <v>5196</v>
      </c>
      <c r="L14" s="124">
        <v>0.03</v>
      </c>
      <c r="M14" s="124"/>
      <c r="N14" s="124"/>
      <c r="O14" s="124"/>
      <c r="P14" s="124"/>
      <c r="Q14" s="124"/>
      <c r="R14" s="124"/>
      <c r="S14" s="124"/>
      <c r="T14" s="124"/>
      <c r="U14" s="124" t="s">
        <v>5523</v>
      </c>
      <c r="V14" s="127">
        <f t="shared" si="2"/>
        <v>0.24</v>
      </c>
      <c r="W14" s="126">
        <v>0</v>
      </c>
      <c r="X14" s="126">
        <v>0</v>
      </c>
      <c r="Y14" s="126">
        <v>10</v>
      </c>
      <c r="Z14" s="124"/>
      <c r="AA14" s="124" t="e">
        <f t="shared" ca="1" si="3"/>
        <v>#NAME?</v>
      </c>
      <c r="AB14" s="126">
        <f t="array" aca="1" ref="AB14" ca="1">IFERROR(J14/_xludf.XLOOKUP(I14,Materials!$A$3:$A$292,Materials!$I$3:$I$292),0)
+IFERROR(L14/_xludf.XLOOKUP(K14,Materials!$A$3:$A$292,Materials!$I$3:$I$292),0)
+IFERROR(N14/_xludf.XLOOKUP(M14,Materials!$A$3:$A$292,Materials!$I$3:$I$292),0)
+IFERROR(P14/_xludf.XLOOKUP(O14,Materials!$A$3:$A$292,Materials!$I$3:$I$292),0)
+IFERROR(R14/_xludf.XLOOKUP(Q14,Materials!$A$3:$A$292,Materials!$I$3:$I$292),0)
+IFERROR(H14/_xludf.XLOOKUP(G14,Materials!$A$3:$A$292,Materials!$I$3:$I$292),0)</f>
        <v>0</v>
      </c>
      <c r="AC14" s="20"/>
      <c r="AD14" s="20"/>
      <c r="AE14" s="20"/>
      <c r="AF14" s="20"/>
      <c r="AG14" s="20"/>
      <c r="AH14" s="20"/>
      <c r="AI14" s="20"/>
      <c r="AJ14" s="20"/>
      <c r="AK14" s="20"/>
      <c r="AL14" s="20"/>
      <c r="AM14" s="20"/>
      <c r="AN14" s="20"/>
      <c r="AO14" s="20"/>
      <c r="AP14" s="20"/>
      <c r="AQ14" s="20"/>
      <c r="AR14" s="20"/>
      <c r="AS14" s="20"/>
      <c r="AT14" s="20"/>
      <c r="AU14" s="20"/>
      <c r="AV14" s="20"/>
    </row>
    <row r="15" spans="1:48" ht="17.25" hidden="1" customHeight="1">
      <c r="A15" s="15" t="s">
        <v>5746</v>
      </c>
      <c r="B15" s="124" t="s">
        <v>157</v>
      </c>
      <c r="C15" s="124" t="s">
        <v>5522</v>
      </c>
      <c r="D15" s="125" t="e">
        <f t="shared" ca="1" si="0"/>
        <v>#NAME?</v>
      </c>
      <c r="E15" s="126" t="str">
        <f t="shared" ca="1" si="1"/>
        <v>Not enough information entered</v>
      </c>
      <c r="F15" s="124" t="s">
        <v>6372</v>
      </c>
      <c r="G15" s="124" t="s">
        <v>5211</v>
      </c>
      <c r="H15" s="126">
        <v>0.06</v>
      </c>
      <c r="I15" s="124" t="s">
        <v>5186</v>
      </c>
      <c r="J15" s="126">
        <v>0.18</v>
      </c>
      <c r="K15" s="124" t="s">
        <v>5204</v>
      </c>
      <c r="L15" s="126">
        <v>0.02</v>
      </c>
      <c r="M15" s="124" t="s">
        <v>5200</v>
      </c>
      <c r="N15" s="126">
        <v>1.2E-2</v>
      </c>
      <c r="O15" s="124"/>
      <c r="P15" s="124"/>
      <c r="Q15" s="124"/>
      <c r="R15" s="124"/>
      <c r="S15" s="124"/>
      <c r="T15" s="124"/>
      <c r="U15" s="124" t="s">
        <v>5523</v>
      </c>
      <c r="V15" s="127">
        <f t="shared" si="2"/>
        <v>0.27200000000000002</v>
      </c>
      <c r="W15" s="126">
        <v>0</v>
      </c>
      <c r="X15" s="126">
        <v>0</v>
      </c>
      <c r="Y15" s="126">
        <v>10</v>
      </c>
      <c r="Z15" s="124"/>
      <c r="AA15" s="124" t="e">
        <f t="shared" ca="1" si="3"/>
        <v>#NAME?</v>
      </c>
      <c r="AB15" s="126">
        <f t="array" aca="1" ref="AB15" ca="1">IFERROR(J15/_xludf.XLOOKUP(I15,Materials!$A$3:$A$292,Materials!$I$3:$I$292),0)
+IFERROR(L15/_xludf.XLOOKUP(K15,Materials!$A$3:$A$292,Materials!$I$3:$I$292),0)
+IFERROR(N15/_xludf.XLOOKUP(M15,Materials!$A$3:$A$292,Materials!$I$3:$I$292),0)
+IFERROR(P15/_xludf.XLOOKUP(O15,Materials!$A$3:$A$292,Materials!$I$3:$I$292),0)
+IFERROR(R15/_xludf.XLOOKUP(Q15,Materials!$A$3:$A$292,Materials!$I$3:$I$292),0)
+IFERROR(H15/_xludf.XLOOKUP(G15,Materials!$A$3:$A$292,Materials!$I$3:$I$292),0)</f>
        <v>0</v>
      </c>
      <c r="AC15" s="20"/>
      <c r="AD15" s="20"/>
      <c r="AE15" s="20"/>
      <c r="AF15" s="20"/>
      <c r="AG15" s="20"/>
      <c r="AH15" s="20"/>
      <c r="AI15" s="20"/>
      <c r="AJ15" s="20"/>
      <c r="AK15" s="20"/>
      <c r="AL15" s="20"/>
      <c r="AM15" s="20"/>
      <c r="AN15" s="20"/>
      <c r="AO15" s="20"/>
      <c r="AP15" s="20"/>
      <c r="AQ15" s="20"/>
      <c r="AR15" s="20"/>
      <c r="AS15" s="20"/>
      <c r="AT15" s="20"/>
      <c r="AU15" s="20"/>
      <c r="AV15" s="20"/>
    </row>
    <row r="16" spans="1:48" ht="17.25" customHeight="1">
      <c r="A16" s="15" t="s">
        <v>5746</v>
      </c>
      <c r="B16" s="124" t="s">
        <v>154</v>
      </c>
      <c r="C16" s="124" t="s">
        <v>5524</v>
      </c>
      <c r="D16" s="125" t="e">
        <f t="shared" ca="1" si="0"/>
        <v>#NAME?</v>
      </c>
      <c r="E16" s="126" t="str">
        <f t="shared" ca="1" si="1"/>
        <v>Not enough information entered</v>
      </c>
      <c r="F16" s="124" t="s">
        <v>6358</v>
      </c>
      <c r="G16" s="124" t="s">
        <v>5211</v>
      </c>
      <c r="H16" s="126">
        <v>7.8E-2</v>
      </c>
      <c r="I16" s="124" t="s">
        <v>5186</v>
      </c>
      <c r="J16" s="126">
        <v>0.15</v>
      </c>
      <c r="K16" s="124" t="s">
        <v>5196</v>
      </c>
      <c r="L16" s="124">
        <v>0.03</v>
      </c>
      <c r="M16" s="124"/>
      <c r="N16" s="124"/>
      <c r="O16" s="124"/>
      <c r="P16" s="124"/>
      <c r="Q16" s="124"/>
      <c r="R16" s="124"/>
      <c r="S16" s="124"/>
      <c r="T16" s="124"/>
      <c r="U16" s="124" t="s">
        <v>5523</v>
      </c>
      <c r="V16" s="127">
        <f t="shared" si="2"/>
        <v>0.25800000000000001</v>
      </c>
      <c r="W16" s="124"/>
      <c r="X16" s="124"/>
      <c r="Y16" s="124"/>
      <c r="Z16" s="124"/>
      <c r="AA16" s="124" t="e">
        <f t="shared" ca="1" si="3"/>
        <v>#NAME?</v>
      </c>
      <c r="AB16" s="126">
        <f t="array" aca="1" ref="AB16" ca="1">IFERROR(J16/_xludf.XLOOKUP(I16,Materials!$A$3:$A$292,Materials!$I$3:$I$292),0)
+IFERROR(L16/_xludf.XLOOKUP(K16,Materials!$A$3:$A$292,Materials!$I$3:$I$292),0)
+IFERROR(N16/_xludf.XLOOKUP(M16,Materials!$A$3:$A$292,Materials!$I$3:$I$292),0)
+IFERROR(P16/_xludf.XLOOKUP(O16,Materials!$A$3:$A$292,Materials!$I$3:$I$292),0)
+IFERROR(R16/_xludf.XLOOKUP(Q16,Materials!$A$3:$A$292,Materials!$I$3:$I$292),0)
+IFERROR(H16/_xludf.XLOOKUP(G16,Materials!$A$3:$A$292,Materials!$I$3:$I$292),0)</f>
        <v>0</v>
      </c>
      <c r="AC16" s="20"/>
      <c r="AD16" s="20"/>
      <c r="AE16" s="20"/>
      <c r="AF16" s="20"/>
      <c r="AG16" s="20"/>
      <c r="AH16" s="20"/>
      <c r="AI16" s="20"/>
      <c r="AJ16" s="20"/>
      <c r="AK16" s="20"/>
      <c r="AL16" s="20"/>
      <c r="AM16" s="20"/>
      <c r="AN16" s="20"/>
      <c r="AO16" s="20"/>
      <c r="AP16" s="20"/>
      <c r="AQ16" s="20"/>
      <c r="AR16" s="20"/>
      <c r="AS16" s="20"/>
      <c r="AT16" s="20"/>
      <c r="AU16" s="20"/>
      <c r="AV16" s="20"/>
    </row>
    <row r="17" spans="1:48" ht="17.25" hidden="1" customHeight="1">
      <c r="A17" s="15" t="s">
        <v>5746</v>
      </c>
      <c r="B17" s="124" t="s">
        <v>155</v>
      </c>
      <c r="C17" s="124" t="s">
        <v>5525</v>
      </c>
      <c r="D17" s="125" t="e">
        <f t="shared" ca="1" si="0"/>
        <v>#NAME?</v>
      </c>
      <c r="E17" s="126" t="str">
        <f t="shared" ca="1" si="1"/>
        <v>Not enough information entered</v>
      </c>
      <c r="F17" s="124" t="s">
        <v>6461</v>
      </c>
      <c r="G17" s="124" t="s">
        <v>5215</v>
      </c>
      <c r="H17" s="126">
        <v>0.2</v>
      </c>
      <c r="I17" s="124" t="s">
        <v>5204</v>
      </c>
      <c r="J17" s="126">
        <v>0.04</v>
      </c>
      <c r="K17" s="124" t="s">
        <v>5200</v>
      </c>
      <c r="L17" s="126">
        <v>1.2E-2</v>
      </c>
      <c r="M17" s="124"/>
      <c r="N17" s="124"/>
      <c r="O17" s="124"/>
      <c r="P17" s="124"/>
      <c r="Q17" s="124"/>
      <c r="R17" s="124"/>
      <c r="S17" s="124"/>
      <c r="T17" s="124"/>
      <c r="U17" s="124" t="s">
        <v>5523</v>
      </c>
      <c r="V17" s="127">
        <f t="shared" si="2"/>
        <v>0.252</v>
      </c>
      <c r="W17" s="126">
        <v>0</v>
      </c>
      <c r="X17" s="126">
        <v>0</v>
      </c>
      <c r="Y17" s="126">
        <v>10</v>
      </c>
      <c r="Z17" s="124"/>
      <c r="AA17" s="124" t="e">
        <f t="shared" ca="1" si="3"/>
        <v>#NAME?</v>
      </c>
      <c r="AB17" s="126">
        <f t="array" aca="1" ref="AB17" ca="1">IFERROR(J17/_xludf.XLOOKUP(I17,Materials!$A$3:$A$292,Materials!$I$3:$I$292),0)
+IFERROR(L17/_xludf.XLOOKUP(K17,Materials!$A$3:$A$292,Materials!$I$3:$I$292),0)
+IFERROR(N17/_xludf.XLOOKUP(M17,Materials!$A$3:$A$292,Materials!$I$3:$I$292),0)
+IFERROR(P17/_xludf.XLOOKUP(O17,Materials!$A$3:$A$292,Materials!$I$3:$I$292),0)
+IFERROR(R17/_xludf.XLOOKUP(Q17,Materials!$A$3:$A$292,Materials!$I$3:$I$292),0)
+IFERROR(H17/_xludf.XLOOKUP(G17,Materials!$A$3:$A$292,Materials!$I$3:$I$292),0)</f>
        <v>0</v>
      </c>
      <c r="AC17" s="20"/>
      <c r="AD17" s="20"/>
      <c r="AE17" s="20"/>
      <c r="AF17" s="20"/>
      <c r="AG17" s="20"/>
      <c r="AH17" s="20"/>
      <c r="AI17" s="20"/>
      <c r="AJ17" s="20"/>
      <c r="AK17" s="20"/>
      <c r="AL17" s="20"/>
      <c r="AM17" s="20"/>
      <c r="AN17" s="20"/>
      <c r="AO17" s="20"/>
      <c r="AP17" s="20"/>
      <c r="AQ17" s="20"/>
      <c r="AR17" s="20"/>
      <c r="AS17" s="20"/>
      <c r="AT17" s="20"/>
      <c r="AU17" s="20"/>
      <c r="AV17" s="20"/>
    </row>
    <row r="18" spans="1:48" ht="17.25" hidden="1" customHeight="1">
      <c r="A18" s="15" t="s">
        <v>5746</v>
      </c>
      <c r="B18" s="124" t="s">
        <v>160</v>
      </c>
      <c r="C18" s="124" t="s">
        <v>5526</v>
      </c>
      <c r="D18" s="125" t="e">
        <f t="shared" ca="1" si="0"/>
        <v>#NAME?</v>
      </c>
      <c r="E18" s="126" t="str">
        <f t="shared" ca="1" si="1"/>
        <v>Not enough information entered</v>
      </c>
      <c r="F18" s="124" t="s">
        <v>6319</v>
      </c>
      <c r="G18" s="124" t="s">
        <v>5211</v>
      </c>
      <c r="H18" s="126">
        <v>0.05</v>
      </c>
      <c r="I18" s="124" t="s">
        <v>5186</v>
      </c>
      <c r="J18" s="126">
        <v>0.18</v>
      </c>
      <c r="K18" s="124" t="s">
        <v>5196</v>
      </c>
      <c r="L18" s="124">
        <v>0.03</v>
      </c>
      <c r="M18" s="124"/>
      <c r="N18" s="124"/>
      <c r="O18" s="124"/>
      <c r="P18" s="124"/>
      <c r="Q18" s="128"/>
      <c r="R18" s="124"/>
      <c r="S18" s="124"/>
      <c r="T18" s="124"/>
      <c r="U18" s="124" t="s">
        <v>5523</v>
      </c>
      <c r="V18" s="127">
        <f t="shared" si="2"/>
        <v>0.26</v>
      </c>
      <c r="W18" s="126">
        <v>0</v>
      </c>
      <c r="X18" s="126">
        <v>0</v>
      </c>
      <c r="Y18" s="126">
        <v>10</v>
      </c>
      <c r="Z18" s="124"/>
      <c r="AA18" s="124" t="e">
        <f t="shared" ca="1" si="3"/>
        <v>#NAME?</v>
      </c>
      <c r="AB18" s="126">
        <f t="array" aca="1" ref="AB18" ca="1">IFERROR(J18/_xludf.XLOOKUP(I18,Materials!$A$3:$A$292,Materials!$I$3:$I$292),0)
+IFERROR(L18/_xludf.XLOOKUP(K18,Materials!$A$3:$A$292,Materials!$I$3:$I$292),0)
+IFERROR(N18/_xludf.XLOOKUP(M18,Materials!$A$3:$A$292,Materials!$I$3:$I$292),0)
+IFERROR(P18/_xludf.XLOOKUP(O18,Materials!$A$3:$A$292,Materials!$I$3:$I$292),0)
+IFERROR(R18/_xludf.XLOOKUP(Q18,Materials!$A$3:$A$292,Materials!$I$3:$I$292),0)
+IFERROR(H18/_xludf.XLOOKUP(G18,Materials!$A$3:$A$292,Materials!$I$3:$I$292),0)</f>
        <v>0</v>
      </c>
      <c r="AC18" s="20"/>
      <c r="AD18" s="20"/>
      <c r="AE18" s="20"/>
      <c r="AF18" s="20"/>
      <c r="AG18" s="20"/>
      <c r="AH18" s="20"/>
      <c r="AI18" s="20"/>
      <c r="AJ18" s="20"/>
      <c r="AK18" s="20"/>
      <c r="AL18" s="20"/>
      <c r="AM18" s="20"/>
      <c r="AN18" s="20"/>
      <c r="AO18" s="20"/>
      <c r="AP18" s="20"/>
      <c r="AQ18" s="20"/>
      <c r="AR18" s="20"/>
      <c r="AS18" s="20"/>
      <c r="AT18" s="20"/>
      <c r="AU18" s="20"/>
      <c r="AV18" s="20"/>
    </row>
    <row r="19" spans="1:48" ht="17.25" hidden="1" customHeight="1">
      <c r="A19" s="15" t="s">
        <v>5747</v>
      </c>
      <c r="B19" s="124" t="s">
        <v>157</v>
      </c>
      <c r="C19" s="124" t="s">
        <v>5522</v>
      </c>
      <c r="D19" s="125" t="e">
        <f t="shared" ca="1" si="0"/>
        <v>#NAME?</v>
      </c>
      <c r="E19" s="126" t="str">
        <f t="shared" ca="1" si="1"/>
        <v>Not enough information entered</v>
      </c>
      <c r="F19" s="124" t="s">
        <v>6373</v>
      </c>
      <c r="G19" s="124" t="s">
        <v>5211</v>
      </c>
      <c r="H19" s="126">
        <v>6.9000000000000006E-2</v>
      </c>
      <c r="I19" s="124" t="s">
        <v>5186</v>
      </c>
      <c r="J19" s="126">
        <v>0.18</v>
      </c>
      <c r="K19" s="124" t="s">
        <v>5204</v>
      </c>
      <c r="L19" s="126">
        <v>0.02</v>
      </c>
      <c r="M19" s="124" t="s">
        <v>5200</v>
      </c>
      <c r="N19" s="126">
        <v>1.2E-2</v>
      </c>
      <c r="O19" s="124"/>
      <c r="P19" s="124"/>
      <c r="Q19" s="124"/>
      <c r="R19" s="124"/>
      <c r="S19" s="124"/>
      <c r="T19" s="124"/>
      <c r="U19" s="124" t="s">
        <v>5523</v>
      </c>
      <c r="V19" s="127">
        <f t="shared" si="2"/>
        <v>0.28100000000000003</v>
      </c>
      <c r="W19" s="126">
        <v>0</v>
      </c>
      <c r="X19" s="126">
        <v>0</v>
      </c>
      <c r="Y19" s="126">
        <v>10</v>
      </c>
      <c r="Z19" s="124"/>
      <c r="AA19" s="124" t="e">
        <f t="shared" ca="1" si="3"/>
        <v>#NAME?</v>
      </c>
      <c r="AB19" s="126">
        <f t="array" aca="1" ref="AB19" ca="1">IFERROR(J19/_xludf.XLOOKUP(I19,Materials!$A$3:$A$292,Materials!$I$3:$I$292),0)
+IFERROR(L19/_xludf.XLOOKUP(K19,Materials!$A$3:$A$292,Materials!$I$3:$I$292),0)
+IFERROR(N19/_xludf.XLOOKUP(M19,Materials!$A$3:$A$292,Materials!$I$3:$I$292),0)
+IFERROR(P19/_xludf.XLOOKUP(O19,Materials!$A$3:$A$292,Materials!$I$3:$I$292),0)
+IFERROR(R19/_xludf.XLOOKUP(Q19,Materials!$A$3:$A$292,Materials!$I$3:$I$292),0)
+IFERROR(H19/_xludf.XLOOKUP(G19,Materials!$A$3:$A$292,Materials!$I$3:$I$292),0)</f>
        <v>0</v>
      </c>
      <c r="AC19" s="20"/>
      <c r="AD19" s="20"/>
      <c r="AE19" s="20"/>
      <c r="AF19" s="20"/>
      <c r="AG19" s="20"/>
      <c r="AH19" s="20"/>
      <c r="AI19" s="20"/>
      <c r="AJ19" s="20"/>
      <c r="AK19" s="20"/>
      <c r="AL19" s="20"/>
      <c r="AM19" s="20"/>
      <c r="AN19" s="20"/>
      <c r="AO19" s="20"/>
      <c r="AP19" s="20"/>
      <c r="AQ19" s="20"/>
      <c r="AR19" s="20"/>
      <c r="AS19" s="20"/>
      <c r="AT19" s="20"/>
      <c r="AU19" s="20"/>
      <c r="AV19" s="20"/>
    </row>
    <row r="20" spans="1:48" ht="17.25" customHeight="1">
      <c r="A20" s="15" t="s">
        <v>5747</v>
      </c>
      <c r="B20" s="124" t="s">
        <v>154</v>
      </c>
      <c r="C20" s="124" t="s">
        <v>5524</v>
      </c>
      <c r="D20" s="125" t="e">
        <f t="shared" ca="1" si="0"/>
        <v>#NAME?</v>
      </c>
      <c r="E20" s="126" t="str">
        <f t="shared" ca="1" si="1"/>
        <v>Not enough information entered</v>
      </c>
      <c r="F20" s="124" t="s">
        <v>6359</v>
      </c>
      <c r="G20" s="124" t="s">
        <v>5211</v>
      </c>
      <c r="H20" s="126">
        <v>9.4E-2</v>
      </c>
      <c r="I20" s="124" t="s">
        <v>5186</v>
      </c>
      <c r="J20" s="126">
        <v>0.15</v>
      </c>
      <c r="K20" s="124" t="s">
        <v>5196</v>
      </c>
      <c r="L20" s="124">
        <v>0.03</v>
      </c>
      <c r="M20" s="124"/>
      <c r="N20" s="124"/>
      <c r="O20" s="124"/>
      <c r="P20" s="124"/>
      <c r="Q20" s="124"/>
      <c r="R20" s="124"/>
      <c r="S20" s="124"/>
      <c r="T20" s="124"/>
      <c r="U20" s="124" t="s">
        <v>5523</v>
      </c>
      <c r="V20" s="127">
        <f t="shared" si="2"/>
        <v>0.27400000000000002</v>
      </c>
      <c r="W20" s="124"/>
      <c r="X20" s="124"/>
      <c r="Y20" s="124"/>
      <c r="Z20" s="124"/>
      <c r="AA20" s="124" t="e">
        <f t="shared" ca="1" si="3"/>
        <v>#NAME?</v>
      </c>
      <c r="AB20" s="126">
        <f t="array" aca="1" ref="AB20" ca="1">IFERROR(J20/_xludf.XLOOKUP(I20,Materials!$A$3:$A$292,Materials!$I$3:$I$292),0)
+IFERROR(L20/_xludf.XLOOKUP(K20,Materials!$A$3:$A$292,Materials!$I$3:$I$292),0)
+IFERROR(N20/_xludf.XLOOKUP(M20,Materials!$A$3:$A$292,Materials!$I$3:$I$292),0)
+IFERROR(P20/_xludf.XLOOKUP(O20,Materials!$A$3:$A$292,Materials!$I$3:$I$292),0)
+IFERROR(R20/_xludf.XLOOKUP(Q20,Materials!$A$3:$A$292,Materials!$I$3:$I$292),0)
+IFERROR(H20/_xludf.XLOOKUP(G20,Materials!$A$3:$A$292,Materials!$I$3:$I$292),0)</f>
        <v>0</v>
      </c>
      <c r="AC20" s="20"/>
      <c r="AD20" s="20"/>
      <c r="AE20" s="20"/>
      <c r="AF20" s="20"/>
      <c r="AG20" s="20"/>
      <c r="AH20" s="20"/>
      <c r="AI20" s="20"/>
      <c r="AJ20" s="20"/>
      <c r="AK20" s="20"/>
      <c r="AL20" s="20"/>
      <c r="AM20" s="20"/>
      <c r="AN20" s="20"/>
      <c r="AO20" s="20"/>
      <c r="AP20" s="20"/>
      <c r="AQ20" s="20"/>
      <c r="AR20" s="20"/>
      <c r="AS20" s="20"/>
      <c r="AT20" s="20"/>
      <c r="AU20" s="20"/>
      <c r="AV20" s="20"/>
    </row>
    <row r="21" spans="1:48" ht="17.25" hidden="1" customHeight="1">
      <c r="A21" s="15" t="s">
        <v>5747</v>
      </c>
      <c r="B21" s="124" t="s">
        <v>155</v>
      </c>
      <c r="C21" s="124" t="s">
        <v>5525</v>
      </c>
      <c r="D21" s="125" t="e">
        <f t="shared" ca="1" si="0"/>
        <v>#NAME?</v>
      </c>
      <c r="E21" s="126" t="str">
        <f t="shared" ca="1" si="1"/>
        <v>Not enough information entered</v>
      </c>
      <c r="F21" s="124" t="s">
        <v>6462</v>
      </c>
      <c r="G21" s="124" t="s">
        <v>5211</v>
      </c>
      <c r="H21" s="126">
        <v>4.0000000000000001E-3</v>
      </c>
      <c r="I21" s="124" t="s">
        <v>5215</v>
      </c>
      <c r="J21" s="126">
        <v>0.2</v>
      </c>
      <c r="K21" s="124" t="s">
        <v>5204</v>
      </c>
      <c r="L21" s="126">
        <v>0.04</v>
      </c>
      <c r="M21" s="124" t="s">
        <v>5200</v>
      </c>
      <c r="N21" s="124">
        <v>1.2E-2</v>
      </c>
      <c r="O21" s="124"/>
      <c r="P21" s="124"/>
      <c r="Q21" s="128"/>
      <c r="R21" s="124"/>
      <c r="S21" s="124"/>
      <c r="T21" s="124"/>
      <c r="U21" s="124" t="s">
        <v>5523</v>
      </c>
      <c r="V21" s="127">
        <f t="shared" si="2"/>
        <v>0.25600000000000001</v>
      </c>
      <c r="W21" s="126">
        <v>0</v>
      </c>
      <c r="X21" s="126">
        <v>0</v>
      </c>
      <c r="Y21" s="126">
        <v>10</v>
      </c>
      <c r="Z21" s="124"/>
      <c r="AA21" s="124" t="e">
        <f t="shared" ca="1" si="3"/>
        <v>#NAME?</v>
      </c>
      <c r="AB21" s="126">
        <f t="array" aca="1" ref="AB21" ca="1">IFERROR(J21/_xludf.XLOOKUP(I21,Materials!$A$3:$A$292,Materials!$I$3:$I$292),0)
+IFERROR(L21/_xludf.XLOOKUP(K21,Materials!$A$3:$A$292,Materials!$I$3:$I$292),0)
+IFERROR(N21/_xludf.XLOOKUP(M21,Materials!$A$3:$A$292,Materials!$I$3:$I$292),0)
+IFERROR(P21/_xludf.XLOOKUP(O21,Materials!$A$3:$A$292,Materials!$I$3:$I$292),0)
+IFERROR(R21/_xludf.XLOOKUP(Q21,Materials!$A$3:$A$292,Materials!$I$3:$I$292),0)
+IFERROR(H21/_xludf.XLOOKUP(G21,Materials!$A$3:$A$292,Materials!$I$3:$I$292),0)</f>
        <v>0</v>
      </c>
      <c r="AC21" s="20"/>
      <c r="AD21" s="20"/>
      <c r="AE21" s="20"/>
      <c r="AF21" s="20"/>
      <c r="AG21" s="20"/>
      <c r="AH21" s="20"/>
      <c r="AI21" s="20"/>
      <c r="AJ21" s="20"/>
      <c r="AK21" s="20"/>
      <c r="AL21" s="20"/>
      <c r="AM21" s="20"/>
      <c r="AN21" s="20"/>
      <c r="AO21" s="20"/>
      <c r="AP21" s="20"/>
      <c r="AQ21" s="20"/>
      <c r="AR21" s="20"/>
      <c r="AS21" s="20"/>
      <c r="AT21" s="20"/>
      <c r="AU21" s="20"/>
      <c r="AV21" s="20"/>
    </row>
    <row r="22" spans="1:48" ht="17.25" hidden="1" customHeight="1">
      <c r="A22" s="15" t="s">
        <v>5747</v>
      </c>
      <c r="B22" s="124" t="s">
        <v>160</v>
      </c>
      <c r="C22" s="124" t="s">
        <v>5526</v>
      </c>
      <c r="D22" s="125" t="e">
        <f t="shared" ca="1" si="0"/>
        <v>#NAME?</v>
      </c>
      <c r="E22" s="126" t="str">
        <f t="shared" ca="1" si="1"/>
        <v>Not enough information entered</v>
      </c>
      <c r="F22" s="124" t="s">
        <v>6567</v>
      </c>
      <c r="G22" s="124" t="s">
        <v>5211</v>
      </c>
      <c r="H22" s="126">
        <v>9.2999999999999999E-2</v>
      </c>
      <c r="I22" s="124" t="s">
        <v>5186</v>
      </c>
      <c r="J22" s="126">
        <v>0.18</v>
      </c>
      <c r="K22" s="124" t="s">
        <v>5196</v>
      </c>
      <c r="L22" s="124">
        <v>0.03</v>
      </c>
      <c r="M22" s="124"/>
      <c r="N22" s="124"/>
      <c r="O22" s="124"/>
      <c r="P22" s="124"/>
      <c r="Q22" s="128"/>
      <c r="R22" s="124"/>
      <c r="S22" s="124"/>
      <c r="T22" s="124"/>
      <c r="U22" s="124" t="s">
        <v>5523</v>
      </c>
      <c r="V22" s="127">
        <f t="shared" si="2"/>
        <v>0.30300000000000005</v>
      </c>
      <c r="W22" s="126">
        <v>0</v>
      </c>
      <c r="X22" s="126">
        <v>0</v>
      </c>
      <c r="Y22" s="126">
        <v>10</v>
      </c>
      <c r="Z22" s="124"/>
      <c r="AA22" s="124" t="e">
        <f t="shared" ca="1" si="3"/>
        <v>#NAME?</v>
      </c>
      <c r="AB22" s="126">
        <f t="array" aca="1" ref="AB22" ca="1">IFERROR(J22/_xludf.XLOOKUP(I22,Materials!$A$3:$A$292,Materials!$I$3:$I$292),0)
+IFERROR(L22/_xludf.XLOOKUP(K22,Materials!$A$3:$A$292,Materials!$I$3:$I$292),0)
+IFERROR(N22/_xludf.XLOOKUP(M22,Materials!$A$3:$A$292,Materials!$I$3:$I$292),0)
+IFERROR(P22/_xludf.XLOOKUP(O22,Materials!$A$3:$A$292,Materials!$I$3:$I$292),0)
+IFERROR(R22/_xludf.XLOOKUP(Q22,Materials!$A$3:$A$292,Materials!$I$3:$I$292),0)
+IFERROR(H22/_xludf.XLOOKUP(G22,Materials!$A$3:$A$292,Materials!$I$3:$I$292),0)</f>
        <v>0</v>
      </c>
      <c r="AC22" s="20"/>
      <c r="AD22" s="20"/>
      <c r="AE22" s="20"/>
      <c r="AF22" s="20"/>
      <c r="AG22" s="20"/>
      <c r="AH22" s="20"/>
      <c r="AI22" s="20"/>
      <c r="AJ22" s="20"/>
      <c r="AK22" s="20"/>
      <c r="AL22" s="20"/>
      <c r="AM22" s="20"/>
      <c r="AN22" s="20"/>
      <c r="AO22" s="20"/>
      <c r="AP22" s="20"/>
      <c r="AQ22" s="20"/>
      <c r="AR22" s="20"/>
      <c r="AS22" s="20"/>
      <c r="AT22" s="20"/>
      <c r="AU22" s="20"/>
      <c r="AV22" s="20"/>
    </row>
    <row r="23" spans="1:48" ht="17.25" hidden="1" customHeight="1">
      <c r="A23" s="15" t="s">
        <v>4837</v>
      </c>
      <c r="B23" s="124" t="s">
        <v>158</v>
      </c>
      <c r="C23" s="124" t="s">
        <v>5527</v>
      </c>
      <c r="D23" s="125" t="e">
        <f t="shared" ca="1" si="0"/>
        <v>#NAME?</v>
      </c>
      <c r="E23" s="126" t="str">
        <f t="shared" ca="1" si="1"/>
        <v>Not enough information entered</v>
      </c>
      <c r="F23" s="124" t="s">
        <v>6311</v>
      </c>
      <c r="G23" s="124" t="s">
        <v>5200</v>
      </c>
      <c r="H23" s="124">
        <v>1.2500000000000001E-2</v>
      </c>
      <c r="I23" s="124" t="s">
        <v>5204</v>
      </c>
      <c r="J23" s="124">
        <v>0.05</v>
      </c>
      <c r="K23" s="124" t="s">
        <v>5200</v>
      </c>
      <c r="L23" s="124">
        <v>1.2500000000000001E-2</v>
      </c>
      <c r="M23" s="124"/>
      <c r="N23" s="124"/>
      <c r="O23" s="124"/>
      <c r="P23" s="124"/>
      <c r="Q23" s="124"/>
      <c r="R23" s="124"/>
      <c r="S23" s="124"/>
      <c r="T23" s="124"/>
      <c r="U23" s="124" t="s">
        <v>5523</v>
      </c>
      <c r="V23" s="127">
        <f t="shared" si="2"/>
        <v>7.4999999999999997E-2</v>
      </c>
      <c r="W23" s="124"/>
      <c r="X23" s="124"/>
      <c r="Y23" s="124"/>
      <c r="Z23" s="124"/>
      <c r="AA23" s="124" t="e">
        <f t="shared" ca="1" si="3"/>
        <v>#NAME?</v>
      </c>
      <c r="AB23" s="126">
        <f t="array" aca="1" ref="AB23" ca="1">IFERROR(J23/_xludf.XLOOKUP(I23,Materials!$A$3:$A$292,Materials!$I$3:$I$292),0)
+IFERROR(L23/_xludf.XLOOKUP(K23,Materials!$A$3:$A$292,Materials!$I$3:$I$292),0)
+IFERROR(N23/_xludf.XLOOKUP(M23,Materials!$A$3:$A$292,Materials!$I$3:$I$292),0)
+IFERROR(P23/_xludf.XLOOKUP(O23,Materials!$A$3:$A$292,Materials!$I$3:$I$292),0)
+IFERROR(R23/_xludf.XLOOKUP(Q23,Materials!$A$3:$A$292,Materials!$I$3:$I$292),0)
+IFERROR(H23/_xludf.XLOOKUP(G23,Materials!$A$3:$A$292,Materials!$I$3:$I$292),0)</f>
        <v>0</v>
      </c>
      <c r="AC23" s="20"/>
      <c r="AD23" s="20"/>
      <c r="AE23" s="20"/>
      <c r="AF23" s="20"/>
      <c r="AG23" s="20"/>
      <c r="AH23" s="20"/>
      <c r="AI23" s="20"/>
      <c r="AJ23" s="20"/>
      <c r="AK23" s="20"/>
      <c r="AL23" s="20"/>
      <c r="AM23" s="20"/>
      <c r="AN23" s="20"/>
      <c r="AO23" s="20"/>
      <c r="AP23" s="20"/>
      <c r="AQ23" s="20"/>
      <c r="AR23" s="20"/>
      <c r="AS23" s="20"/>
      <c r="AT23" s="20"/>
      <c r="AU23" s="20"/>
      <c r="AV23" s="20"/>
    </row>
    <row r="24" spans="1:48" ht="17.25" hidden="1" customHeight="1">
      <c r="A24" s="15" t="s">
        <v>6217</v>
      </c>
      <c r="B24" s="124" t="s">
        <v>166</v>
      </c>
      <c r="C24" s="124" t="s">
        <v>5528</v>
      </c>
      <c r="D24" s="125" t="e">
        <f t="shared" ca="1" si="0"/>
        <v>#NAME?</v>
      </c>
      <c r="E24" s="126" t="str">
        <f t="shared" ca="1" si="1"/>
        <v>Not enough information entered</v>
      </c>
      <c r="F24" s="124" t="s">
        <v>6320</v>
      </c>
      <c r="G24" s="124" t="s">
        <v>5186</v>
      </c>
      <c r="H24" s="124">
        <v>0.18</v>
      </c>
      <c r="I24" s="124" t="s">
        <v>5211</v>
      </c>
      <c r="J24" s="124">
        <v>0.08</v>
      </c>
      <c r="K24" s="124" t="s">
        <v>5196</v>
      </c>
      <c r="L24" s="124">
        <v>0.03</v>
      </c>
      <c r="M24" s="124"/>
      <c r="N24" s="124"/>
      <c r="O24" s="124"/>
      <c r="P24" s="124"/>
      <c r="Q24" s="124"/>
      <c r="R24" s="124"/>
      <c r="S24" s="124"/>
      <c r="T24" s="124"/>
      <c r="U24" s="124" t="s">
        <v>5523</v>
      </c>
      <c r="V24" s="127">
        <f t="shared" si="2"/>
        <v>0.29000000000000004</v>
      </c>
      <c r="W24" s="124"/>
      <c r="X24" s="124"/>
      <c r="Y24" s="124"/>
      <c r="Z24" s="124"/>
      <c r="AA24" s="124" t="e">
        <f t="shared" ca="1" si="3"/>
        <v>#NAME?</v>
      </c>
      <c r="AB24" s="126">
        <f t="array" aca="1" ref="AB24" ca="1">IFERROR(J24/_xludf.XLOOKUP(I24,Materials!$A$3:$A$292,Materials!$I$3:$I$292),0)
+IFERROR(L24/_xludf.XLOOKUP(K24,Materials!$A$3:$A$292,Materials!$I$3:$I$292),0)
+IFERROR(N24/_xludf.XLOOKUP(M24,Materials!$A$3:$A$292,Materials!$I$3:$I$292),0)
+IFERROR(P24/_xludf.XLOOKUP(O24,Materials!$A$3:$A$292,Materials!$I$3:$I$292),0)
+IFERROR(R24/_xludf.XLOOKUP(Q24,Materials!$A$3:$A$292,Materials!$I$3:$I$292),0)
+IFERROR(H24/_xludf.XLOOKUP(G24,Materials!$A$3:$A$292,Materials!$I$3:$I$292),0)</f>
        <v>0</v>
      </c>
      <c r="AC24" s="20"/>
      <c r="AD24" s="20"/>
      <c r="AE24" s="20"/>
      <c r="AF24" s="20"/>
      <c r="AG24" s="20"/>
      <c r="AH24" s="20"/>
      <c r="AI24" s="20"/>
      <c r="AJ24" s="20"/>
      <c r="AK24" s="20"/>
      <c r="AL24" s="20"/>
      <c r="AM24" s="20"/>
      <c r="AN24" s="20"/>
      <c r="AO24" s="20"/>
      <c r="AP24" s="20"/>
      <c r="AQ24" s="20"/>
      <c r="AR24" s="20"/>
      <c r="AS24" s="20"/>
      <c r="AT24" s="20"/>
      <c r="AU24" s="20"/>
      <c r="AV24" s="20"/>
    </row>
    <row r="25" spans="1:48" ht="17.25" hidden="1" customHeight="1">
      <c r="A25" s="15" t="s">
        <v>4837</v>
      </c>
      <c r="B25" s="124" t="s">
        <v>162</v>
      </c>
      <c r="C25" s="124" t="s">
        <v>5529</v>
      </c>
      <c r="D25" s="125" t="e">
        <f t="shared" ca="1" si="0"/>
        <v>#NAME?</v>
      </c>
      <c r="E25" s="126" t="str">
        <f t="shared" ca="1" si="1"/>
        <v>Not enough information entered</v>
      </c>
      <c r="F25" s="124" t="s">
        <v>6314</v>
      </c>
      <c r="G25" s="124" t="s">
        <v>5186</v>
      </c>
      <c r="H25" s="124">
        <v>0.18</v>
      </c>
      <c r="I25" s="124" t="s">
        <v>5196</v>
      </c>
      <c r="J25" s="124">
        <v>0.03</v>
      </c>
      <c r="K25" s="124"/>
      <c r="L25" s="124"/>
      <c r="M25" s="124"/>
      <c r="N25" s="124"/>
      <c r="O25" s="124"/>
      <c r="P25" s="124"/>
      <c r="Q25" s="124"/>
      <c r="R25" s="124"/>
      <c r="S25" s="124"/>
      <c r="T25" s="124"/>
      <c r="U25" s="124" t="s">
        <v>5523</v>
      </c>
      <c r="V25" s="127">
        <f t="shared" si="2"/>
        <v>0.21</v>
      </c>
      <c r="W25" s="124"/>
      <c r="X25" s="124"/>
      <c r="Y25" s="124"/>
      <c r="Z25" s="124"/>
      <c r="AA25" s="124" t="e">
        <f t="shared" ca="1" si="3"/>
        <v>#NAME?</v>
      </c>
      <c r="AB25" s="126">
        <f t="array" aca="1" ref="AB25" ca="1">IFERROR(J25/_xludf.XLOOKUP(I25,Materials!$A$3:$A$292,Materials!$I$3:$I$292),0)
+IFERROR(L25/_xludf.XLOOKUP(K25,Materials!$A$3:$A$292,Materials!$I$3:$I$292),0)
+IFERROR(N25/_xludf.XLOOKUP(M25,Materials!$A$3:$A$292,Materials!$I$3:$I$292),0)
+IFERROR(P25/_xludf.XLOOKUP(O25,Materials!$A$3:$A$292,Materials!$I$3:$I$292),0)
+IFERROR(R25/_xludf.XLOOKUP(Q25,Materials!$A$3:$A$292,Materials!$I$3:$I$292),0)
+IFERROR(H25/_xludf.XLOOKUP(G25,Materials!$A$3:$A$292,Materials!$I$3:$I$292),0)</f>
        <v>0</v>
      </c>
      <c r="AC25" s="20"/>
      <c r="AD25" s="20"/>
      <c r="AE25" s="20"/>
      <c r="AF25" s="20"/>
      <c r="AG25" s="20"/>
      <c r="AH25" s="20"/>
      <c r="AI25" s="20"/>
      <c r="AJ25" s="20"/>
      <c r="AK25" s="20"/>
      <c r="AL25" s="20"/>
      <c r="AM25" s="20"/>
      <c r="AN25" s="20"/>
      <c r="AO25" s="20"/>
      <c r="AP25" s="20"/>
      <c r="AQ25" s="20"/>
      <c r="AR25" s="20"/>
      <c r="AS25" s="20"/>
      <c r="AT25" s="20"/>
      <c r="AU25" s="20"/>
      <c r="AV25" s="20"/>
    </row>
    <row r="26" spans="1:48" ht="17.25" hidden="1" customHeight="1">
      <c r="A26" s="15" t="s">
        <v>4837</v>
      </c>
      <c r="B26" s="124" t="s">
        <v>159</v>
      </c>
      <c r="C26" s="124" t="s">
        <v>5530</v>
      </c>
      <c r="D26" s="125" t="e">
        <f t="shared" ca="1" si="0"/>
        <v>#NAME?</v>
      </c>
      <c r="E26" s="126" t="str">
        <f t="shared" ca="1" si="1"/>
        <v>Not enough information entered</v>
      </c>
      <c r="F26" s="124" t="s">
        <v>6316</v>
      </c>
      <c r="G26" s="124" t="s">
        <v>5186</v>
      </c>
      <c r="H26" s="124">
        <v>0.2</v>
      </c>
      <c r="I26" s="124" t="s">
        <v>5211</v>
      </c>
      <c r="J26" s="124">
        <v>0.05</v>
      </c>
      <c r="K26" s="124"/>
      <c r="L26" s="124"/>
      <c r="M26" s="124"/>
      <c r="N26" s="124"/>
      <c r="O26" s="124"/>
      <c r="P26" s="124"/>
      <c r="Q26" s="124"/>
      <c r="R26" s="124"/>
      <c r="S26" s="124"/>
      <c r="T26" s="124"/>
      <c r="U26" s="124" t="s">
        <v>5523</v>
      </c>
      <c r="V26" s="127">
        <f t="shared" si="2"/>
        <v>0.25</v>
      </c>
      <c r="W26" s="124"/>
      <c r="X26" s="124"/>
      <c r="Y26" s="124"/>
      <c r="Z26" s="124"/>
      <c r="AA26" s="124" t="e">
        <f t="shared" ca="1" si="3"/>
        <v>#NAME?</v>
      </c>
      <c r="AB26" s="126">
        <f t="array" aca="1" ref="AB26" ca="1">IFERROR(J26/_xludf.XLOOKUP(I26,Materials!$A$3:$A$292,Materials!$I$3:$I$292),0)
+IFERROR(L26/_xludf.XLOOKUP(K26,Materials!$A$3:$A$292,Materials!$I$3:$I$292),0)
+IFERROR(N26/_xludf.XLOOKUP(M26,Materials!$A$3:$A$292,Materials!$I$3:$I$292),0)
+IFERROR(P26/_xludf.XLOOKUP(O26,Materials!$A$3:$A$292,Materials!$I$3:$I$292),0)
+IFERROR(R26/_xludf.XLOOKUP(Q26,Materials!$A$3:$A$292,Materials!$I$3:$I$292),0)
+IFERROR(H26/_xludf.XLOOKUP(G26,Materials!$A$3:$A$292,Materials!$I$3:$I$292),0)</f>
        <v>0</v>
      </c>
      <c r="AC26" s="20"/>
      <c r="AD26" s="20"/>
      <c r="AE26" s="20"/>
      <c r="AF26" s="20"/>
      <c r="AG26" s="20"/>
      <c r="AH26" s="20"/>
      <c r="AI26" s="20"/>
      <c r="AJ26" s="20"/>
      <c r="AK26" s="20"/>
      <c r="AL26" s="20"/>
      <c r="AM26" s="20"/>
      <c r="AN26" s="20"/>
      <c r="AO26" s="20"/>
      <c r="AP26" s="20"/>
      <c r="AQ26" s="20"/>
      <c r="AR26" s="20"/>
      <c r="AS26" s="20"/>
      <c r="AT26" s="20"/>
      <c r="AU26" s="20"/>
      <c r="AV26" s="20"/>
    </row>
    <row r="27" spans="1:48" ht="17.25" hidden="1" customHeight="1">
      <c r="A27" s="15"/>
      <c r="B27" s="124"/>
      <c r="C27" s="124" t="s">
        <v>5532</v>
      </c>
      <c r="D27" s="125"/>
      <c r="E27" s="126"/>
      <c r="F27" s="124"/>
      <c r="G27" s="124"/>
      <c r="H27" s="124"/>
      <c r="I27" s="124"/>
      <c r="J27" s="124"/>
      <c r="K27" s="124"/>
      <c r="L27" s="124"/>
      <c r="M27" s="124"/>
      <c r="N27" s="124"/>
      <c r="O27" s="124"/>
      <c r="P27" s="124"/>
      <c r="Q27" s="124"/>
      <c r="R27" s="124"/>
      <c r="S27" s="124"/>
      <c r="T27" s="124"/>
      <c r="U27" s="124"/>
      <c r="V27" s="127"/>
      <c r="W27" s="124"/>
      <c r="X27" s="124"/>
      <c r="Y27" s="124"/>
      <c r="Z27" s="124"/>
      <c r="AA27" s="124"/>
      <c r="AB27" s="126"/>
      <c r="AC27" s="20"/>
      <c r="AD27" s="20"/>
      <c r="AE27" s="20"/>
      <c r="AF27" s="20"/>
      <c r="AG27" s="20"/>
      <c r="AH27" s="20"/>
      <c r="AI27" s="20"/>
      <c r="AJ27" s="20"/>
      <c r="AK27" s="20"/>
      <c r="AL27" s="20"/>
      <c r="AM27" s="20"/>
      <c r="AN27" s="20"/>
      <c r="AO27" s="20"/>
      <c r="AP27" s="20"/>
      <c r="AQ27" s="20"/>
      <c r="AR27" s="20"/>
      <c r="AS27" s="20"/>
      <c r="AT27" s="20"/>
      <c r="AU27" s="20"/>
      <c r="AV27" s="20"/>
    </row>
    <row r="28" spans="1:48" ht="17.25" hidden="1" customHeight="1">
      <c r="A28" s="15" t="s">
        <v>4837</v>
      </c>
      <c r="B28" s="124" t="s">
        <v>161</v>
      </c>
      <c r="C28" s="124" t="s">
        <v>5533</v>
      </c>
      <c r="D28" s="125" t="e">
        <f t="shared" ca="1" si="0"/>
        <v>#NAME?</v>
      </c>
      <c r="E28" s="126" t="str">
        <f t="shared" ca="1" si="1"/>
        <v>Not enough information entered</v>
      </c>
      <c r="F28" s="124" t="s">
        <v>6317</v>
      </c>
      <c r="G28" s="124" t="s">
        <v>5186</v>
      </c>
      <c r="H28" s="124">
        <v>0.18</v>
      </c>
      <c r="I28" s="124" t="s">
        <v>5207</v>
      </c>
      <c r="J28" s="124">
        <v>0.06</v>
      </c>
      <c r="K28" s="124" t="s">
        <v>5200</v>
      </c>
      <c r="L28" s="124">
        <v>1.2500000000000001E-2</v>
      </c>
      <c r="M28" s="124"/>
      <c r="N28" s="124"/>
      <c r="O28" s="124"/>
      <c r="P28" s="124"/>
      <c r="Q28" s="124"/>
      <c r="R28" s="124"/>
      <c r="S28" s="124"/>
      <c r="T28" s="124"/>
      <c r="U28" s="124" t="s">
        <v>5523</v>
      </c>
      <c r="V28" s="127">
        <f t="shared" si="2"/>
        <v>0.2525</v>
      </c>
      <c r="W28" s="124"/>
      <c r="X28" s="124"/>
      <c r="Y28" s="124"/>
      <c r="Z28" s="124"/>
      <c r="AA28" s="124" t="e">
        <f t="shared" ca="1" si="3"/>
        <v>#NAME?</v>
      </c>
      <c r="AB28" s="126">
        <f t="array" aca="1" ref="AB28" ca="1">IFERROR(J28/_xludf.XLOOKUP(I28,Materials!$A$3:$A$292,Materials!$I$3:$I$292),0)
+IFERROR(L28/_xludf.XLOOKUP(K28,Materials!$A$3:$A$292,Materials!$I$3:$I$292),0)
+IFERROR(N28/_xludf.XLOOKUP(M28,Materials!$A$3:$A$292,Materials!$I$3:$I$292),0)
+IFERROR(P28/_xludf.XLOOKUP(O28,Materials!$A$3:$A$292,Materials!$I$3:$I$292),0)
+IFERROR(R28/_xludf.XLOOKUP(Q28,Materials!$A$3:$A$292,Materials!$I$3:$I$292),0)
+IFERROR(H28/_xludf.XLOOKUP(G28,Materials!$A$3:$A$292,Materials!$I$3:$I$292),0)</f>
        <v>0</v>
      </c>
      <c r="AC28" s="129"/>
      <c r="AD28" s="129"/>
      <c r="AE28" s="129"/>
      <c r="AF28" s="129"/>
      <c r="AG28" s="129"/>
      <c r="AH28" s="129"/>
      <c r="AI28" s="129"/>
      <c r="AJ28" s="129"/>
      <c r="AK28" s="129"/>
      <c r="AL28" s="129"/>
      <c r="AM28" s="129"/>
      <c r="AN28" s="129"/>
      <c r="AO28" s="129"/>
      <c r="AP28" s="129"/>
      <c r="AQ28" s="129"/>
      <c r="AR28" s="129"/>
      <c r="AS28" s="129"/>
      <c r="AT28" s="129"/>
      <c r="AU28" s="129"/>
      <c r="AV28" s="129"/>
    </row>
    <row r="29" spans="1:48" ht="17.25" hidden="1" customHeight="1">
      <c r="A29" s="15" t="s">
        <v>6217</v>
      </c>
      <c r="B29" s="124" t="s">
        <v>156</v>
      </c>
      <c r="C29" s="124" t="s">
        <v>5534</v>
      </c>
      <c r="D29" s="125" t="e">
        <f t="shared" ca="1" si="0"/>
        <v>#NAME?</v>
      </c>
      <c r="E29" s="126" t="str">
        <f t="shared" ca="1" si="1"/>
        <v>Not enough information entered</v>
      </c>
      <c r="F29" s="124" t="s">
        <v>6321</v>
      </c>
      <c r="G29" s="124" t="s">
        <v>5215</v>
      </c>
      <c r="H29" s="124">
        <v>1.7999999999999999E-2</v>
      </c>
      <c r="I29" s="124" t="s">
        <v>5213</v>
      </c>
      <c r="J29" s="124">
        <v>0.12</v>
      </c>
      <c r="K29" s="124" t="s">
        <v>5200</v>
      </c>
      <c r="L29" s="124">
        <v>1.2500000000000001E-2</v>
      </c>
      <c r="M29" s="124"/>
      <c r="N29" s="124"/>
      <c r="O29" s="124"/>
      <c r="P29" s="124"/>
      <c r="Q29" s="124"/>
      <c r="R29" s="124"/>
      <c r="S29" s="124"/>
      <c r="T29" s="124"/>
      <c r="U29" s="124" t="s">
        <v>5523</v>
      </c>
      <c r="V29" s="127">
        <f t="shared" si="2"/>
        <v>0.15049999999999999</v>
      </c>
      <c r="W29" s="124"/>
      <c r="X29" s="124"/>
      <c r="Y29" s="124"/>
      <c r="Z29" s="124"/>
      <c r="AA29" s="124" t="e">
        <f t="shared" ca="1" si="3"/>
        <v>#NAME?</v>
      </c>
      <c r="AB29" s="126">
        <f t="array" aca="1" ref="AB29" ca="1">IFERROR(J29/_xludf.XLOOKUP(I29,Materials!$A$3:$A$292,Materials!$I$3:$I$292),0)
+IFERROR(L29/_xludf.XLOOKUP(K29,Materials!$A$3:$A$292,Materials!$I$3:$I$292),0)
+IFERROR(N29/_xludf.XLOOKUP(M29,Materials!$A$3:$A$292,Materials!$I$3:$I$292),0)
+IFERROR(P29/_xludf.XLOOKUP(O29,Materials!$A$3:$A$292,Materials!$I$3:$I$292),0)
+IFERROR(R29/_xludf.XLOOKUP(Q29,Materials!$A$3:$A$292,Materials!$I$3:$I$292),0)
+IFERROR(H29/_xludf.XLOOKUP(G29,Materials!$A$3:$A$292,Materials!$I$3:$I$292),0)</f>
        <v>0</v>
      </c>
      <c r="AC29" s="20"/>
      <c r="AD29" s="20"/>
      <c r="AE29" s="20"/>
      <c r="AF29" s="20"/>
      <c r="AG29" s="20"/>
      <c r="AH29" s="20"/>
      <c r="AI29" s="20"/>
      <c r="AJ29" s="20"/>
      <c r="AK29" s="20"/>
      <c r="AL29" s="20"/>
      <c r="AM29" s="20"/>
      <c r="AN29" s="20"/>
      <c r="AO29" s="20"/>
      <c r="AP29" s="20"/>
      <c r="AQ29" s="20"/>
      <c r="AR29" s="20"/>
      <c r="AS29" s="20"/>
      <c r="AT29" s="20"/>
      <c r="AU29" s="20"/>
      <c r="AV29" s="20"/>
    </row>
    <row r="30" spans="1:48" ht="17.25" hidden="1" customHeight="1">
      <c r="A30" s="15" t="s">
        <v>5748</v>
      </c>
      <c r="B30" s="124" t="s">
        <v>157</v>
      </c>
      <c r="C30" s="124" t="s">
        <v>5522</v>
      </c>
      <c r="D30" s="125" t="e">
        <f t="shared" ca="1" si="0"/>
        <v>#NAME?</v>
      </c>
      <c r="E30" s="126" t="str">
        <f t="shared" ca="1" si="1"/>
        <v>Not enough information entered</v>
      </c>
      <c r="F30" s="124" t="s">
        <v>6374</v>
      </c>
      <c r="G30" s="124" t="s">
        <v>5186</v>
      </c>
      <c r="H30" s="126">
        <v>0.18</v>
      </c>
      <c r="I30" s="124" t="s">
        <v>5204</v>
      </c>
      <c r="J30" s="126">
        <v>0.02</v>
      </c>
      <c r="K30" s="124" t="s">
        <v>5200</v>
      </c>
      <c r="L30" s="126">
        <v>1.2E-2</v>
      </c>
      <c r="M30" s="124"/>
      <c r="N30" s="124"/>
      <c r="O30" s="124"/>
      <c r="P30" s="124"/>
      <c r="Q30" s="128"/>
      <c r="R30" s="124"/>
      <c r="S30" s="124"/>
      <c r="T30" s="124"/>
      <c r="U30" s="124" t="s">
        <v>5523</v>
      </c>
      <c r="V30" s="127">
        <f t="shared" si="2"/>
        <v>0.21199999999999999</v>
      </c>
      <c r="W30" s="126">
        <v>0</v>
      </c>
      <c r="X30" s="126">
        <v>0</v>
      </c>
      <c r="Y30" s="126">
        <v>10</v>
      </c>
      <c r="Z30" s="124"/>
      <c r="AA30" s="124" t="e">
        <f t="shared" ca="1" si="3"/>
        <v>#NAME?</v>
      </c>
      <c r="AB30" s="126">
        <f t="array" aca="1" ref="AB30" ca="1">IFERROR(J30/_xludf.XLOOKUP(I30,Materials!$A$3:$A$292,Materials!$I$3:$I$292),0)
+IFERROR(L30/_xludf.XLOOKUP(K30,Materials!$A$3:$A$292,Materials!$I$3:$I$292),0)
+IFERROR(N30/_xludf.XLOOKUP(M30,Materials!$A$3:$A$292,Materials!$I$3:$I$292),0)
+IFERROR(P30/_xludf.XLOOKUP(O30,Materials!$A$3:$A$292,Materials!$I$3:$I$292),0)
+IFERROR(R30/_xludf.XLOOKUP(Q30,Materials!$A$3:$A$292,Materials!$I$3:$I$292),0)
+IFERROR(H30/_xludf.XLOOKUP(G30,Materials!$A$3:$A$292,Materials!$I$3:$I$292),0)</f>
        <v>0</v>
      </c>
      <c r="AC30" s="129"/>
      <c r="AD30" s="129"/>
      <c r="AE30" s="129"/>
      <c r="AF30" s="129"/>
      <c r="AG30" s="129"/>
      <c r="AH30" s="129"/>
      <c r="AI30" s="129"/>
      <c r="AJ30" s="129"/>
      <c r="AK30" s="129"/>
      <c r="AL30" s="129"/>
      <c r="AM30" s="129"/>
      <c r="AN30" s="129"/>
      <c r="AO30" s="129"/>
      <c r="AP30" s="129"/>
      <c r="AQ30" s="129"/>
      <c r="AR30" s="129"/>
      <c r="AS30" s="129"/>
      <c r="AT30" s="129"/>
      <c r="AU30" s="129"/>
      <c r="AV30" s="129"/>
    </row>
    <row r="31" spans="1:48" ht="17.25" customHeight="1">
      <c r="A31" s="15" t="s">
        <v>5748</v>
      </c>
      <c r="B31" s="124" t="s">
        <v>154</v>
      </c>
      <c r="C31" s="124" t="s">
        <v>5524</v>
      </c>
      <c r="D31" s="125" t="e">
        <f t="shared" ca="1" si="0"/>
        <v>#NAME?</v>
      </c>
      <c r="E31" s="126" t="str">
        <f t="shared" ca="1" si="1"/>
        <v>Not enough information entered</v>
      </c>
      <c r="F31" s="124" t="s">
        <v>6360</v>
      </c>
      <c r="G31" s="124" t="s">
        <v>5186</v>
      </c>
      <c r="H31" s="126">
        <v>0.15</v>
      </c>
      <c r="I31" s="124" t="s">
        <v>5196</v>
      </c>
      <c r="J31" s="126">
        <v>0.03</v>
      </c>
      <c r="K31" s="124"/>
      <c r="L31" s="124"/>
      <c r="M31" s="124"/>
      <c r="N31" s="124"/>
      <c r="O31" s="124"/>
      <c r="P31" s="124"/>
      <c r="Q31" s="128"/>
      <c r="R31" s="124"/>
      <c r="S31" s="124"/>
      <c r="T31" s="124"/>
      <c r="U31" s="124" t="s">
        <v>5523</v>
      </c>
      <c r="V31" s="127">
        <f t="shared" si="2"/>
        <v>0.18</v>
      </c>
      <c r="W31" s="124"/>
      <c r="X31" s="124"/>
      <c r="Y31" s="124"/>
      <c r="Z31" s="124"/>
      <c r="AA31" s="124" t="e">
        <f t="shared" ca="1" si="3"/>
        <v>#NAME?</v>
      </c>
      <c r="AB31" s="126">
        <f t="array" aca="1" ref="AB31" ca="1">IFERROR(J31/_xludf.XLOOKUP(I31,Materials!$A$3:$A$292,Materials!$I$3:$I$292),0)
+IFERROR(L31/_xludf.XLOOKUP(K31,Materials!$A$3:$A$292,Materials!$I$3:$I$292),0)
+IFERROR(N31/_xludf.XLOOKUP(M31,Materials!$A$3:$A$292,Materials!$I$3:$I$292),0)
+IFERROR(P31/_xludf.XLOOKUP(O31,Materials!$A$3:$A$292,Materials!$I$3:$I$292),0)
+IFERROR(R31/_xludf.XLOOKUP(Q31,Materials!$A$3:$A$292,Materials!$I$3:$I$292),0)
+IFERROR(H31/_xludf.XLOOKUP(G31,Materials!$A$3:$A$292,Materials!$I$3:$I$292),0)</f>
        <v>0</v>
      </c>
      <c r="AC31" s="20"/>
      <c r="AD31" s="20"/>
      <c r="AE31" s="20"/>
      <c r="AF31" s="20"/>
      <c r="AG31" s="20"/>
      <c r="AH31" s="20"/>
      <c r="AI31" s="20"/>
      <c r="AJ31" s="20"/>
      <c r="AK31" s="20"/>
      <c r="AL31" s="20"/>
      <c r="AM31" s="20"/>
      <c r="AN31" s="20"/>
      <c r="AO31" s="20"/>
      <c r="AP31" s="20"/>
      <c r="AQ31" s="20"/>
      <c r="AR31" s="20"/>
      <c r="AS31" s="20"/>
      <c r="AT31" s="20"/>
      <c r="AU31" s="20"/>
      <c r="AV31" s="20"/>
    </row>
    <row r="32" spans="1:48" ht="17.25" hidden="1" customHeight="1">
      <c r="A32" s="15" t="s">
        <v>5748</v>
      </c>
      <c r="B32" s="124" t="s">
        <v>160</v>
      </c>
      <c r="C32" s="124" t="s">
        <v>5526</v>
      </c>
      <c r="D32" s="125" t="e">
        <f t="shared" ca="1" si="0"/>
        <v>#NAME?</v>
      </c>
      <c r="E32" s="126" t="str">
        <f t="shared" ca="1" si="1"/>
        <v>Not enough information entered</v>
      </c>
      <c r="F32" s="124" t="s">
        <v>6568</v>
      </c>
      <c r="G32" s="124" t="s">
        <v>5186</v>
      </c>
      <c r="H32" s="126">
        <v>0.18</v>
      </c>
      <c r="I32" s="124" t="s">
        <v>5196</v>
      </c>
      <c r="J32" s="126">
        <v>0.03</v>
      </c>
      <c r="K32" s="124"/>
      <c r="L32" s="124"/>
      <c r="M32" s="124"/>
      <c r="N32" s="124"/>
      <c r="O32" s="124"/>
      <c r="P32" s="124"/>
      <c r="Q32" s="124"/>
      <c r="R32" s="124"/>
      <c r="S32" s="124"/>
      <c r="T32" s="124"/>
      <c r="U32" s="124" t="s">
        <v>5523</v>
      </c>
      <c r="V32" s="127">
        <f t="shared" si="2"/>
        <v>0.21</v>
      </c>
      <c r="W32" s="126">
        <v>0</v>
      </c>
      <c r="X32" s="126">
        <v>0</v>
      </c>
      <c r="Y32" s="126">
        <v>10</v>
      </c>
      <c r="Z32" s="124"/>
      <c r="AA32" s="124" t="e">
        <f t="shared" ca="1" si="3"/>
        <v>#NAME?</v>
      </c>
      <c r="AB32" s="126">
        <f t="array" aca="1" ref="AB32" ca="1">IFERROR(J32/_xludf.XLOOKUP(I32,Materials!$A$3:$A$292,Materials!$I$3:$I$292),0)
+IFERROR(L32/_xludf.XLOOKUP(K32,Materials!$A$3:$A$292,Materials!$I$3:$I$292),0)
+IFERROR(N32/_xludf.XLOOKUP(M32,Materials!$A$3:$A$292,Materials!$I$3:$I$292),0)
+IFERROR(P32/_xludf.XLOOKUP(O32,Materials!$A$3:$A$292,Materials!$I$3:$I$292),0)
+IFERROR(R32/_xludf.XLOOKUP(Q32,Materials!$A$3:$A$292,Materials!$I$3:$I$292),0)
+IFERROR(H32/_xludf.XLOOKUP(G32,Materials!$A$3:$A$292,Materials!$I$3:$I$292),0)</f>
        <v>0</v>
      </c>
      <c r="AC32" s="20"/>
      <c r="AD32" s="20"/>
      <c r="AE32" s="20"/>
      <c r="AF32" s="20"/>
      <c r="AG32" s="20"/>
      <c r="AH32" s="20"/>
      <c r="AI32" s="20"/>
      <c r="AJ32" s="20"/>
      <c r="AK32" s="20"/>
      <c r="AL32" s="20"/>
      <c r="AM32" s="20"/>
      <c r="AN32" s="20"/>
      <c r="AO32" s="20"/>
      <c r="AP32" s="20"/>
      <c r="AQ32" s="20"/>
      <c r="AR32" s="20"/>
      <c r="AS32" s="20"/>
      <c r="AT32" s="20"/>
      <c r="AU32" s="20"/>
      <c r="AV32" s="20"/>
    </row>
    <row r="33" spans="1:48" ht="17.25" hidden="1" customHeight="1">
      <c r="A33" s="15" t="s">
        <v>5749</v>
      </c>
      <c r="B33" s="124" t="s">
        <v>157</v>
      </c>
      <c r="C33" s="124" t="s">
        <v>5522</v>
      </c>
      <c r="D33" s="125" t="e">
        <f t="shared" ca="1" si="0"/>
        <v>#NAME?</v>
      </c>
      <c r="E33" s="126" t="str">
        <f t="shared" ca="1" si="1"/>
        <v>Not enough information entered</v>
      </c>
      <c r="F33" s="124" t="s">
        <v>6375</v>
      </c>
      <c r="G33" s="124" t="s">
        <v>5211</v>
      </c>
      <c r="H33" s="126">
        <v>0.03</v>
      </c>
      <c r="I33" s="124" t="s">
        <v>5186</v>
      </c>
      <c r="J33" s="126">
        <v>0.18</v>
      </c>
      <c r="K33" s="124" t="s">
        <v>5204</v>
      </c>
      <c r="L33" s="126">
        <v>0.02</v>
      </c>
      <c r="M33" s="124" t="s">
        <v>5200</v>
      </c>
      <c r="N33" s="126">
        <v>1.2E-2</v>
      </c>
      <c r="O33" s="124"/>
      <c r="P33" s="124"/>
      <c r="Q33" s="128"/>
      <c r="R33" s="124"/>
      <c r="S33" s="124"/>
      <c r="T33" s="124"/>
      <c r="U33" s="124" t="s">
        <v>5523</v>
      </c>
      <c r="V33" s="127">
        <f t="shared" si="2"/>
        <v>0.24199999999999999</v>
      </c>
      <c r="W33" s="126">
        <v>0</v>
      </c>
      <c r="X33" s="126">
        <v>0</v>
      </c>
      <c r="Y33" s="126">
        <v>10</v>
      </c>
      <c r="Z33" s="124"/>
      <c r="AA33" s="124" t="e">
        <f t="shared" ca="1" si="3"/>
        <v>#NAME?</v>
      </c>
      <c r="AB33" s="126">
        <f t="array" aca="1" ref="AB33" ca="1">IFERROR(J33/_xludf.XLOOKUP(I33,Materials!$A$3:$A$292,Materials!$I$3:$I$292),0)
+IFERROR(L33/_xludf.XLOOKUP(K33,Materials!$A$3:$A$292,Materials!$I$3:$I$292),0)
+IFERROR(N33/_xludf.XLOOKUP(M33,Materials!$A$3:$A$292,Materials!$I$3:$I$292),0)
+IFERROR(P33/_xludf.XLOOKUP(O33,Materials!$A$3:$A$292,Materials!$I$3:$I$292),0)
+IFERROR(R33/_xludf.XLOOKUP(Q33,Materials!$A$3:$A$292,Materials!$I$3:$I$292),0)
+IFERROR(H33/_xludf.XLOOKUP(G33,Materials!$A$3:$A$292,Materials!$I$3:$I$292),0)</f>
        <v>0</v>
      </c>
      <c r="AC33" s="20"/>
      <c r="AD33" s="20"/>
      <c r="AE33" s="20"/>
      <c r="AF33" s="20"/>
      <c r="AG33" s="20"/>
      <c r="AH33" s="20"/>
      <c r="AI33" s="20"/>
      <c r="AJ33" s="20"/>
      <c r="AK33" s="20"/>
      <c r="AL33" s="20"/>
      <c r="AM33" s="20"/>
      <c r="AN33" s="20"/>
      <c r="AO33" s="20"/>
      <c r="AP33" s="20"/>
      <c r="AQ33" s="20"/>
      <c r="AR33" s="20"/>
      <c r="AS33" s="20"/>
      <c r="AT33" s="20"/>
      <c r="AU33" s="20"/>
      <c r="AV33" s="20"/>
    </row>
    <row r="34" spans="1:48" ht="17.25" customHeight="1">
      <c r="A34" s="15" t="s">
        <v>5749</v>
      </c>
      <c r="B34" s="124" t="s">
        <v>154</v>
      </c>
      <c r="C34" s="124" t="s">
        <v>5524</v>
      </c>
      <c r="D34" s="125" t="e">
        <f t="shared" ca="1" si="0"/>
        <v>#NAME?</v>
      </c>
      <c r="E34" s="126" t="str">
        <f t="shared" ca="1" si="1"/>
        <v>Not enough information entered</v>
      </c>
      <c r="F34" s="124" t="s">
        <v>6361</v>
      </c>
      <c r="G34" s="124" t="s">
        <v>5211</v>
      </c>
      <c r="H34" s="126">
        <v>5.8000000000000003E-2</v>
      </c>
      <c r="I34" s="124" t="s">
        <v>5186</v>
      </c>
      <c r="J34" s="126">
        <v>0.15</v>
      </c>
      <c r="K34" s="124" t="s">
        <v>5196</v>
      </c>
      <c r="L34" s="124">
        <v>0.03</v>
      </c>
      <c r="M34" s="124"/>
      <c r="N34" s="124"/>
      <c r="O34" s="124"/>
      <c r="P34" s="124"/>
      <c r="Q34" s="128"/>
      <c r="R34" s="124"/>
      <c r="S34" s="124"/>
      <c r="T34" s="124"/>
      <c r="U34" s="124" t="s">
        <v>5523</v>
      </c>
      <c r="V34" s="127">
        <f t="shared" si="2"/>
        <v>0.23799999999999999</v>
      </c>
      <c r="W34" s="124"/>
      <c r="X34" s="124"/>
      <c r="Y34" s="124"/>
      <c r="Z34" s="124"/>
      <c r="AA34" s="124" t="e">
        <f t="shared" ca="1" si="3"/>
        <v>#NAME?</v>
      </c>
      <c r="AB34" s="126">
        <f t="array" aca="1" ref="AB34" ca="1">IFERROR(J34/_xludf.XLOOKUP(I34,Materials!$A$3:$A$292,Materials!$I$3:$I$292),0)
+IFERROR(L34/_xludf.XLOOKUP(K34,Materials!$A$3:$A$292,Materials!$I$3:$I$292),0)
+IFERROR(N34/_xludf.XLOOKUP(M34,Materials!$A$3:$A$292,Materials!$I$3:$I$292),0)
+IFERROR(P34/_xludf.XLOOKUP(O34,Materials!$A$3:$A$292,Materials!$I$3:$I$292),0)
+IFERROR(R34/_xludf.XLOOKUP(Q34,Materials!$A$3:$A$292,Materials!$I$3:$I$292),0)
+IFERROR(H34/_xludf.XLOOKUP(G34,Materials!$A$3:$A$292,Materials!$I$3:$I$292),0)</f>
        <v>0</v>
      </c>
      <c r="AC34" s="20"/>
      <c r="AD34" s="20"/>
      <c r="AE34" s="20"/>
      <c r="AF34" s="20"/>
      <c r="AG34" s="20"/>
      <c r="AH34" s="20"/>
      <c r="AI34" s="20"/>
      <c r="AJ34" s="20"/>
      <c r="AK34" s="20"/>
      <c r="AL34" s="20"/>
      <c r="AM34" s="20"/>
      <c r="AN34" s="20"/>
      <c r="AO34" s="20"/>
      <c r="AP34" s="20"/>
      <c r="AQ34" s="20"/>
      <c r="AR34" s="20"/>
      <c r="AS34" s="20"/>
      <c r="AT34" s="20"/>
      <c r="AU34" s="20"/>
      <c r="AV34" s="20"/>
    </row>
    <row r="35" spans="1:48" ht="17.25" hidden="1" customHeight="1">
      <c r="A35" s="15" t="s">
        <v>5749</v>
      </c>
      <c r="B35" s="124" t="s">
        <v>160</v>
      </c>
      <c r="C35" s="124" t="s">
        <v>5526</v>
      </c>
      <c r="D35" s="125" t="e">
        <f t="shared" ca="1" si="0"/>
        <v>#NAME?</v>
      </c>
      <c r="E35" s="126" t="str">
        <f t="shared" ca="1" si="1"/>
        <v>Not enough information entered</v>
      </c>
      <c r="F35" s="124" t="s">
        <v>6569</v>
      </c>
      <c r="G35" s="124" t="s">
        <v>5211</v>
      </c>
      <c r="H35" s="126">
        <v>4.7E-2</v>
      </c>
      <c r="I35" s="124" t="s">
        <v>5186</v>
      </c>
      <c r="J35" s="126">
        <v>0.18</v>
      </c>
      <c r="K35" s="124" t="s">
        <v>5196</v>
      </c>
      <c r="L35" s="124">
        <v>0.03</v>
      </c>
      <c r="M35" s="124"/>
      <c r="N35" s="124"/>
      <c r="O35" s="124"/>
      <c r="P35" s="124"/>
      <c r="Q35" s="124"/>
      <c r="R35" s="124"/>
      <c r="S35" s="124"/>
      <c r="T35" s="124"/>
      <c r="U35" s="124" t="s">
        <v>5523</v>
      </c>
      <c r="V35" s="127">
        <f t="shared" si="2"/>
        <v>0.25700000000000001</v>
      </c>
      <c r="W35" s="126">
        <v>0</v>
      </c>
      <c r="X35" s="126">
        <v>0</v>
      </c>
      <c r="Y35" s="126">
        <v>10</v>
      </c>
      <c r="Z35" s="124"/>
      <c r="AA35" s="124" t="e">
        <f t="shared" ca="1" si="3"/>
        <v>#NAME?</v>
      </c>
      <c r="AB35" s="126">
        <f t="array" aca="1" ref="AB35" ca="1">IFERROR(J35/_xludf.XLOOKUP(I35,Materials!$A$3:$A$292,Materials!$I$3:$I$292),0)
+IFERROR(L35/_xludf.XLOOKUP(K35,Materials!$A$3:$A$292,Materials!$I$3:$I$292),0)
+IFERROR(N35/_xludf.XLOOKUP(M35,Materials!$A$3:$A$292,Materials!$I$3:$I$292),0)
+IFERROR(P35/_xludf.XLOOKUP(O35,Materials!$A$3:$A$292,Materials!$I$3:$I$292),0)
+IFERROR(R35/_xludf.XLOOKUP(Q35,Materials!$A$3:$A$292,Materials!$I$3:$I$292),0)
+IFERROR(H35/_xludf.XLOOKUP(G35,Materials!$A$3:$A$292,Materials!$I$3:$I$292),0)</f>
        <v>0</v>
      </c>
      <c r="AC35" s="20"/>
      <c r="AD35" s="20"/>
      <c r="AE35" s="20"/>
      <c r="AF35" s="20"/>
      <c r="AG35" s="20"/>
      <c r="AH35" s="20"/>
      <c r="AI35" s="20"/>
      <c r="AJ35" s="20"/>
      <c r="AK35" s="20"/>
      <c r="AL35" s="20"/>
      <c r="AM35" s="20"/>
      <c r="AN35" s="20"/>
      <c r="AO35" s="20"/>
      <c r="AP35" s="20"/>
      <c r="AQ35" s="20"/>
      <c r="AR35" s="20"/>
      <c r="AS35" s="20"/>
      <c r="AT35" s="20"/>
      <c r="AU35" s="20"/>
      <c r="AV35" s="20"/>
    </row>
    <row r="36" spans="1:48" ht="17.25" hidden="1" customHeight="1">
      <c r="A36" s="15" t="s">
        <v>5750</v>
      </c>
      <c r="B36" s="124" t="s">
        <v>157</v>
      </c>
      <c r="C36" s="124" t="s">
        <v>5522</v>
      </c>
      <c r="D36" s="125" t="e">
        <f t="shared" ca="1" si="0"/>
        <v>#NAME?</v>
      </c>
      <c r="E36" s="126" t="str">
        <f t="shared" ca="1" si="1"/>
        <v>Not enough information entered</v>
      </c>
      <c r="F36" s="124" t="s">
        <v>6376</v>
      </c>
      <c r="G36" s="124" t="s">
        <v>5211</v>
      </c>
      <c r="H36" s="126">
        <v>0.04</v>
      </c>
      <c r="I36" s="124" t="s">
        <v>5186</v>
      </c>
      <c r="J36" s="126">
        <v>0.18</v>
      </c>
      <c r="K36" s="124" t="s">
        <v>5204</v>
      </c>
      <c r="L36" s="126">
        <v>0.02</v>
      </c>
      <c r="M36" s="124" t="s">
        <v>5200</v>
      </c>
      <c r="N36" s="126">
        <v>1.2E-2</v>
      </c>
      <c r="O36" s="124"/>
      <c r="P36" s="124"/>
      <c r="Q36" s="124"/>
      <c r="R36" s="124"/>
      <c r="S36" s="128"/>
      <c r="T36" s="124"/>
      <c r="U36" s="124" t="s">
        <v>5523</v>
      </c>
      <c r="V36" s="127">
        <f t="shared" si="2"/>
        <v>0.252</v>
      </c>
      <c r="W36" s="126">
        <v>0</v>
      </c>
      <c r="X36" s="126">
        <v>0</v>
      </c>
      <c r="Y36" s="126">
        <v>10</v>
      </c>
      <c r="Z36" s="124"/>
      <c r="AA36" s="124" t="e">
        <f t="shared" ca="1" si="3"/>
        <v>#NAME?</v>
      </c>
      <c r="AB36" s="126">
        <f t="array" aca="1" ref="AB36" ca="1">IFERROR(J36/_xludf.XLOOKUP(I36,Materials!$A$3:$A$292,Materials!$I$3:$I$292),0)
+IFERROR(L36/_xludf.XLOOKUP(K36,Materials!$A$3:$A$292,Materials!$I$3:$I$292),0)
+IFERROR(N36/_xludf.XLOOKUP(M36,Materials!$A$3:$A$292,Materials!$I$3:$I$292),0)
+IFERROR(P36/_xludf.XLOOKUP(O36,Materials!$A$3:$A$292,Materials!$I$3:$I$292),0)
+IFERROR(R36/_xludf.XLOOKUP(Q36,Materials!$A$3:$A$292,Materials!$I$3:$I$292),0)
+IFERROR(H36/_xludf.XLOOKUP(G36,Materials!$A$3:$A$292,Materials!$I$3:$I$292),0)</f>
        <v>0</v>
      </c>
      <c r="AC36" s="20"/>
      <c r="AD36" s="20"/>
      <c r="AE36" s="20"/>
      <c r="AF36" s="20"/>
      <c r="AG36" s="20"/>
      <c r="AH36" s="20"/>
      <c r="AI36" s="20"/>
      <c r="AJ36" s="20"/>
      <c r="AK36" s="20"/>
      <c r="AL36" s="20"/>
      <c r="AM36" s="20"/>
      <c r="AN36" s="20"/>
      <c r="AO36" s="20"/>
      <c r="AP36" s="20"/>
      <c r="AQ36" s="20"/>
      <c r="AR36" s="20"/>
      <c r="AS36" s="20"/>
      <c r="AT36" s="20"/>
      <c r="AU36" s="20"/>
      <c r="AV36" s="20"/>
    </row>
    <row r="37" spans="1:48" ht="17.25" customHeight="1">
      <c r="A37" s="15" t="s">
        <v>5750</v>
      </c>
      <c r="B37" s="124" t="s">
        <v>154</v>
      </c>
      <c r="C37" s="124" t="s">
        <v>5524</v>
      </c>
      <c r="D37" s="125" t="e">
        <f t="shared" ca="1" si="0"/>
        <v>#NAME?</v>
      </c>
      <c r="E37" s="126" t="str">
        <f t="shared" ca="1" si="1"/>
        <v>Not enough information entered</v>
      </c>
      <c r="F37" s="124" t="s">
        <v>6362</v>
      </c>
      <c r="G37" s="124" t="s">
        <v>5211</v>
      </c>
      <c r="H37" s="126">
        <v>5.8999999999999997E-2</v>
      </c>
      <c r="I37" s="124" t="s">
        <v>5186</v>
      </c>
      <c r="J37" s="126">
        <v>0.15</v>
      </c>
      <c r="K37" s="124" t="s">
        <v>5196</v>
      </c>
      <c r="L37" s="124">
        <v>0.03</v>
      </c>
      <c r="M37" s="124"/>
      <c r="N37" s="124"/>
      <c r="O37" s="124"/>
      <c r="P37" s="124"/>
      <c r="Q37" s="124"/>
      <c r="R37" s="124"/>
      <c r="S37" s="124"/>
      <c r="T37" s="124"/>
      <c r="U37" s="124" t="s">
        <v>5523</v>
      </c>
      <c r="V37" s="127">
        <f t="shared" si="2"/>
        <v>0.23899999999999999</v>
      </c>
      <c r="W37" s="124"/>
      <c r="X37" s="124"/>
      <c r="Y37" s="124"/>
      <c r="Z37" s="124"/>
      <c r="AA37" s="124" t="e">
        <f t="shared" ca="1" si="3"/>
        <v>#NAME?</v>
      </c>
      <c r="AB37" s="126">
        <f t="array" aca="1" ref="AB37" ca="1">IFERROR(J37/_xludf.XLOOKUP(I37,Materials!$A$3:$A$292,Materials!$I$3:$I$292),0)
+IFERROR(L37/_xludf.XLOOKUP(K37,Materials!$A$3:$A$292,Materials!$I$3:$I$292),0)
+IFERROR(N37/_xludf.XLOOKUP(M37,Materials!$A$3:$A$292,Materials!$I$3:$I$292),0)
+IFERROR(P37/_xludf.XLOOKUP(O37,Materials!$A$3:$A$292,Materials!$I$3:$I$292),0)
+IFERROR(R37/_xludf.XLOOKUP(Q37,Materials!$A$3:$A$292,Materials!$I$3:$I$292),0)
+IFERROR(H37/_xludf.XLOOKUP(G37,Materials!$A$3:$A$292,Materials!$I$3:$I$292),0)</f>
        <v>0</v>
      </c>
      <c r="AC37" s="20"/>
      <c r="AD37" s="20"/>
      <c r="AE37" s="20"/>
      <c r="AF37" s="20"/>
      <c r="AG37" s="20"/>
      <c r="AH37" s="20"/>
      <c r="AI37" s="20"/>
      <c r="AJ37" s="20"/>
      <c r="AK37" s="20"/>
      <c r="AL37" s="20"/>
      <c r="AM37" s="20"/>
      <c r="AN37" s="20"/>
      <c r="AO37" s="20"/>
      <c r="AP37" s="20"/>
      <c r="AQ37" s="20"/>
      <c r="AR37" s="20"/>
      <c r="AS37" s="20"/>
      <c r="AT37" s="20"/>
      <c r="AU37" s="20"/>
      <c r="AV37" s="20"/>
    </row>
    <row r="38" spans="1:48" ht="17.25" hidden="1" customHeight="1">
      <c r="A38" s="15" t="s">
        <v>5750</v>
      </c>
      <c r="B38" s="124" t="s">
        <v>160</v>
      </c>
      <c r="C38" s="124" t="s">
        <v>5526</v>
      </c>
      <c r="D38" s="125" t="e">
        <f t="shared" ca="1" si="0"/>
        <v>#NAME?</v>
      </c>
      <c r="E38" s="126" t="str">
        <f t="shared" ca="1" si="1"/>
        <v>Not enough information entered</v>
      </c>
      <c r="F38" s="124" t="s">
        <v>6570</v>
      </c>
      <c r="G38" s="124" t="s">
        <v>5211</v>
      </c>
      <c r="H38" s="126">
        <v>5.8000000000000003E-2</v>
      </c>
      <c r="I38" s="124" t="s">
        <v>5186</v>
      </c>
      <c r="J38" s="126">
        <v>0.18</v>
      </c>
      <c r="K38" s="124" t="s">
        <v>5196</v>
      </c>
      <c r="L38" s="124">
        <v>0.03</v>
      </c>
      <c r="M38" s="124"/>
      <c r="N38" s="124"/>
      <c r="O38" s="124"/>
      <c r="P38" s="124"/>
      <c r="Q38" s="128"/>
      <c r="R38" s="124"/>
      <c r="S38" s="124"/>
      <c r="T38" s="124"/>
      <c r="U38" s="124" t="s">
        <v>5523</v>
      </c>
      <c r="V38" s="127">
        <f t="shared" si="2"/>
        <v>0.26800000000000002</v>
      </c>
      <c r="W38" s="126">
        <v>0</v>
      </c>
      <c r="X38" s="126">
        <v>0</v>
      </c>
      <c r="Y38" s="126">
        <v>10</v>
      </c>
      <c r="Z38" s="124"/>
      <c r="AA38" s="124" t="e">
        <f t="shared" ca="1" si="3"/>
        <v>#NAME?</v>
      </c>
      <c r="AB38" s="126">
        <f t="array" aca="1" ref="AB38" ca="1">IFERROR(J38/_xludf.XLOOKUP(I38,Materials!$A$3:$A$292,Materials!$I$3:$I$292),0)
+IFERROR(L38/_xludf.XLOOKUP(K38,Materials!$A$3:$A$292,Materials!$I$3:$I$292),0)
+IFERROR(N38/_xludf.XLOOKUP(M38,Materials!$A$3:$A$292,Materials!$I$3:$I$292),0)
+IFERROR(P38/_xludf.XLOOKUP(O38,Materials!$A$3:$A$292,Materials!$I$3:$I$292),0)
+IFERROR(R38/_xludf.XLOOKUP(Q38,Materials!$A$3:$A$292,Materials!$I$3:$I$292),0)
+IFERROR(H38/_xludf.XLOOKUP(G38,Materials!$A$3:$A$292,Materials!$I$3:$I$292),0)</f>
        <v>0</v>
      </c>
      <c r="AC38" s="20"/>
      <c r="AD38" s="20"/>
      <c r="AE38" s="20"/>
      <c r="AF38" s="20"/>
      <c r="AG38" s="20"/>
      <c r="AH38" s="20"/>
      <c r="AI38" s="20"/>
      <c r="AJ38" s="20"/>
      <c r="AK38" s="20"/>
      <c r="AL38" s="20"/>
      <c r="AM38" s="20"/>
      <c r="AN38" s="20"/>
      <c r="AO38" s="20"/>
      <c r="AP38" s="20"/>
      <c r="AQ38" s="20"/>
      <c r="AR38" s="20"/>
      <c r="AS38" s="20"/>
      <c r="AT38" s="20"/>
      <c r="AU38" s="20"/>
      <c r="AV38" s="20"/>
    </row>
    <row r="39" spans="1:48" ht="17.25" hidden="1" customHeight="1">
      <c r="A39" s="15" t="s">
        <v>5751</v>
      </c>
      <c r="B39" s="124" t="s">
        <v>157</v>
      </c>
      <c r="C39" s="124" t="s">
        <v>5522</v>
      </c>
      <c r="D39" s="125" t="e">
        <f t="shared" ca="1" si="0"/>
        <v>#NAME?</v>
      </c>
      <c r="E39" s="126" t="str">
        <f t="shared" ca="1" si="1"/>
        <v>Not enough information entered</v>
      </c>
      <c r="F39" s="124" t="s">
        <v>6377</v>
      </c>
      <c r="G39" s="124" t="s">
        <v>5211</v>
      </c>
      <c r="H39" s="126">
        <v>0.06</v>
      </c>
      <c r="I39" s="124" t="s">
        <v>5186</v>
      </c>
      <c r="J39" s="126">
        <v>0.18</v>
      </c>
      <c r="K39" s="124" t="s">
        <v>5204</v>
      </c>
      <c r="L39" s="126">
        <v>0.02</v>
      </c>
      <c r="M39" s="124" t="s">
        <v>5200</v>
      </c>
      <c r="N39" s="126">
        <v>1.2E-2</v>
      </c>
      <c r="O39" s="128"/>
      <c r="P39" s="124"/>
      <c r="Q39" s="128"/>
      <c r="R39" s="124"/>
      <c r="S39" s="124"/>
      <c r="T39" s="124"/>
      <c r="U39" s="124" t="s">
        <v>5523</v>
      </c>
      <c r="V39" s="127">
        <f t="shared" si="2"/>
        <v>0.27200000000000002</v>
      </c>
      <c r="W39" s="126">
        <v>0</v>
      </c>
      <c r="X39" s="126">
        <v>0</v>
      </c>
      <c r="Y39" s="126">
        <v>10</v>
      </c>
      <c r="Z39" s="124"/>
      <c r="AA39" s="124" t="e">
        <f t="shared" ca="1" si="3"/>
        <v>#NAME?</v>
      </c>
      <c r="AB39" s="126">
        <f t="array" aca="1" ref="AB39" ca="1">IFERROR(J39/_xludf.XLOOKUP(I39,Materials!$A$3:$A$292,Materials!$I$3:$I$292),0)
+IFERROR(L39/_xludf.XLOOKUP(K39,Materials!$A$3:$A$292,Materials!$I$3:$I$292),0)
+IFERROR(N39/_xludf.XLOOKUP(M39,Materials!$A$3:$A$292,Materials!$I$3:$I$292),0)
+IFERROR(P39/_xludf.XLOOKUP(O39,Materials!$A$3:$A$292,Materials!$I$3:$I$292),0)
+IFERROR(R39/_xludf.XLOOKUP(Q39,Materials!$A$3:$A$292,Materials!$I$3:$I$292),0)
+IFERROR(H39/_xludf.XLOOKUP(G39,Materials!$A$3:$A$292,Materials!$I$3:$I$292),0)</f>
        <v>0</v>
      </c>
      <c r="AC39" s="20"/>
      <c r="AD39" s="20"/>
      <c r="AE39" s="20"/>
      <c r="AF39" s="20"/>
      <c r="AG39" s="20"/>
      <c r="AH39" s="20"/>
      <c r="AI39" s="20"/>
      <c r="AJ39" s="20"/>
      <c r="AK39" s="20"/>
      <c r="AL39" s="20"/>
      <c r="AM39" s="20"/>
      <c r="AN39" s="20"/>
      <c r="AO39" s="20"/>
      <c r="AP39" s="20"/>
      <c r="AQ39" s="20"/>
      <c r="AR39" s="20"/>
      <c r="AS39" s="20"/>
      <c r="AT39" s="20"/>
      <c r="AU39" s="20"/>
      <c r="AV39" s="20"/>
    </row>
    <row r="40" spans="1:48" ht="17.25" customHeight="1">
      <c r="A40" s="15" t="s">
        <v>5751</v>
      </c>
      <c r="B40" s="124" t="s">
        <v>154</v>
      </c>
      <c r="C40" s="124" t="s">
        <v>5524</v>
      </c>
      <c r="D40" s="125" t="e">
        <f t="shared" ca="1" si="0"/>
        <v>#NAME?</v>
      </c>
      <c r="E40" s="126" t="str">
        <f t="shared" ca="1" si="1"/>
        <v>Not enough information entered</v>
      </c>
      <c r="F40" s="124" t="s">
        <v>6363</v>
      </c>
      <c r="G40" s="124" t="s">
        <v>5211</v>
      </c>
      <c r="H40" s="126">
        <v>7.8E-2</v>
      </c>
      <c r="I40" s="124" t="s">
        <v>5186</v>
      </c>
      <c r="J40" s="126">
        <v>0.15</v>
      </c>
      <c r="K40" s="124" t="s">
        <v>5196</v>
      </c>
      <c r="L40" s="124">
        <v>0.03</v>
      </c>
      <c r="M40" s="128"/>
      <c r="N40" s="124"/>
      <c r="O40" s="128"/>
      <c r="P40" s="124"/>
      <c r="Q40" s="128"/>
      <c r="R40" s="124"/>
      <c r="S40" s="124"/>
      <c r="T40" s="124"/>
      <c r="U40" s="124" t="s">
        <v>5523</v>
      </c>
      <c r="V40" s="127">
        <f t="shared" si="2"/>
        <v>0.25800000000000001</v>
      </c>
      <c r="W40" s="124"/>
      <c r="X40" s="124"/>
      <c r="Y40" s="124"/>
      <c r="Z40" s="124"/>
      <c r="AA40" s="124" t="e">
        <f t="shared" ca="1" si="3"/>
        <v>#NAME?</v>
      </c>
      <c r="AB40" s="126">
        <f t="array" aca="1" ref="AB40" ca="1">IFERROR(J40/_xludf.XLOOKUP(I40,Materials!$A$3:$A$292,Materials!$I$3:$I$292),0)
+IFERROR(L40/_xludf.XLOOKUP(K40,Materials!$A$3:$A$292,Materials!$I$3:$I$292),0)
+IFERROR(N40/_xludf.XLOOKUP(M40,Materials!$A$3:$A$292,Materials!$I$3:$I$292),0)
+IFERROR(P40/_xludf.XLOOKUP(O40,Materials!$A$3:$A$292,Materials!$I$3:$I$292),0)
+IFERROR(R40/_xludf.XLOOKUP(Q40,Materials!$A$3:$A$292,Materials!$I$3:$I$292),0)
+IFERROR(H40/_xludf.XLOOKUP(G40,Materials!$A$3:$A$292,Materials!$I$3:$I$292),0)</f>
        <v>0</v>
      </c>
      <c r="AC40" s="20"/>
      <c r="AD40" s="20"/>
      <c r="AE40" s="20"/>
      <c r="AF40" s="20"/>
      <c r="AG40" s="20"/>
      <c r="AH40" s="20"/>
      <c r="AI40" s="20"/>
      <c r="AJ40" s="20"/>
      <c r="AK40" s="20"/>
      <c r="AL40" s="20"/>
      <c r="AM40" s="20"/>
      <c r="AN40" s="20"/>
      <c r="AO40" s="20"/>
      <c r="AP40" s="20"/>
      <c r="AQ40" s="20"/>
      <c r="AR40" s="20"/>
      <c r="AS40" s="20"/>
      <c r="AT40" s="20"/>
      <c r="AU40" s="20"/>
      <c r="AV40" s="20"/>
    </row>
    <row r="41" spans="1:48" ht="17.25" hidden="1" customHeight="1">
      <c r="A41" s="15" t="s">
        <v>5751</v>
      </c>
      <c r="B41" s="124" t="s">
        <v>160</v>
      </c>
      <c r="C41" s="124" t="s">
        <v>5526</v>
      </c>
      <c r="D41" s="125" t="e">
        <f t="shared" ca="1" si="0"/>
        <v>#NAME?</v>
      </c>
      <c r="E41" s="126" t="str">
        <f t="shared" ca="1" si="1"/>
        <v>Not enough information entered</v>
      </c>
      <c r="F41" s="124" t="s">
        <v>6571</v>
      </c>
      <c r="G41" s="124" t="s">
        <v>5211</v>
      </c>
      <c r="H41" s="126">
        <v>7.6999999999999999E-2</v>
      </c>
      <c r="I41" s="124" t="s">
        <v>5186</v>
      </c>
      <c r="J41" s="126">
        <v>0.18</v>
      </c>
      <c r="K41" s="124" t="s">
        <v>5196</v>
      </c>
      <c r="L41" s="124">
        <v>0.03</v>
      </c>
      <c r="M41" s="128"/>
      <c r="N41" s="124"/>
      <c r="O41" s="128"/>
      <c r="P41" s="124"/>
      <c r="Q41" s="128"/>
      <c r="R41" s="124"/>
      <c r="S41" s="124"/>
      <c r="T41" s="124"/>
      <c r="U41" s="124" t="s">
        <v>5523</v>
      </c>
      <c r="V41" s="127">
        <f t="shared" si="2"/>
        <v>0.28700000000000003</v>
      </c>
      <c r="W41" s="126">
        <v>0</v>
      </c>
      <c r="X41" s="126">
        <v>0</v>
      </c>
      <c r="Y41" s="126">
        <v>10</v>
      </c>
      <c r="Z41" s="124"/>
      <c r="AA41" s="124" t="e">
        <f t="shared" ca="1" si="3"/>
        <v>#NAME?</v>
      </c>
      <c r="AB41" s="126">
        <f t="array" aca="1" ref="AB41" ca="1">IFERROR(J41/_xludf.XLOOKUP(I41,Materials!$A$3:$A$292,Materials!$I$3:$I$292),0)
+IFERROR(L41/_xludf.XLOOKUP(K41,Materials!$A$3:$A$292,Materials!$I$3:$I$292),0)
+IFERROR(N41/_xludf.XLOOKUP(M41,Materials!$A$3:$A$292,Materials!$I$3:$I$292),0)
+IFERROR(P41/_xludf.XLOOKUP(O41,Materials!$A$3:$A$292,Materials!$I$3:$I$292),0)
+IFERROR(R41/_xludf.XLOOKUP(Q41,Materials!$A$3:$A$292,Materials!$I$3:$I$292),0)
+IFERROR(H41/_xludf.XLOOKUP(G41,Materials!$A$3:$A$292,Materials!$I$3:$I$292),0)</f>
        <v>0</v>
      </c>
      <c r="AC41" s="20"/>
      <c r="AD41" s="20"/>
      <c r="AE41" s="20"/>
      <c r="AF41" s="20"/>
      <c r="AG41" s="20"/>
      <c r="AH41" s="20"/>
      <c r="AI41" s="20"/>
      <c r="AJ41" s="20"/>
      <c r="AK41" s="20"/>
      <c r="AL41" s="20"/>
      <c r="AM41" s="20"/>
      <c r="AN41" s="20"/>
      <c r="AO41" s="20"/>
      <c r="AP41" s="20"/>
      <c r="AQ41" s="20"/>
      <c r="AR41" s="20"/>
      <c r="AS41" s="20"/>
      <c r="AT41" s="20"/>
      <c r="AU41" s="20"/>
      <c r="AV41" s="20"/>
    </row>
    <row r="42" spans="1:48" ht="17.25" hidden="1" customHeight="1">
      <c r="A42" s="15" t="s">
        <v>5752</v>
      </c>
      <c r="B42" s="124" t="s">
        <v>157</v>
      </c>
      <c r="C42" s="124" t="s">
        <v>5522</v>
      </c>
      <c r="D42" s="125" t="e">
        <f t="shared" ca="1" si="0"/>
        <v>#NAME?</v>
      </c>
      <c r="E42" s="126" t="str">
        <f t="shared" ca="1" si="1"/>
        <v>Not enough information entered</v>
      </c>
      <c r="F42" s="124" t="s">
        <v>6378</v>
      </c>
      <c r="G42" s="124" t="s">
        <v>5211</v>
      </c>
      <c r="H42" s="126">
        <v>6.9000000000000006E-2</v>
      </c>
      <c r="I42" s="124" t="s">
        <v>5186</v>
      </c>
      <c r="J42" s="126">
        <v>0.18</v>
      </c>
      <c r="K42" s="124" t="s">
        <v>5204</v>
      </c>
      <c r="L42" s="126">
        <v>0.02</v>
      </c>
      <c r="M42" s="124" t="s">
        <v>5200</v>
      </c>
      <c r="N42" s="126">
        <v>1.2E-2</v>
      </c>
      <c r="O42" s="128"/>
      <c r="P42" s="124"/>
      <c r="Q42" s="128"/>
      <c r="R42" s="124"/>
      <c r="S42" s="124"/>
      <c r="T42" s="124"/>
      <c r="U42" s="124" t="s">
        <v>5523</v>
      </c>
      <c r="V42" s="127">
        <f t="shared" si="2"/>
        <v>0.28100000000000003</v>
      </c>
      <c r="W42" s="126">
        <v>0</v>
      </c>
      <c r="X42" s="126">
        <v>0</v>
      </c>
      <c r="Y42" s="126">
        <v>10</v>
      </c>
      <c r="Z42" s="124"/>
      <c r="AA42" s="124" t="e">
        <f t="shared" ca="1" si="3"/>
        <v>#NAME?</v>
      </c>
      <c r="AB42" s="126">
        <f t="array" aca="1" ref="AB42" ca="1">IFERROR(J42/_xludf.XLOOKUP(I42,Materials!$A$3:$A$292,Materials!$I$3:$I$292),0)
+IFERROR(L42/_xludf.XLOOKUP(K42,Materials!$A$3:$A$292,Materials!$I$3:$I$292),0)
+IFERROR(N42/_xludf.XLOOKUP(M42,Materials!$A$3:$A$292,Materials!$I$3:$I$292),0)
+IFERROR(P42/_xludf.XLOOKUP(O42,Materials!$A$3:$A$292,Materials!$I$3:$I$292),0)
+IFERROR(R42/_xludf.XLOOKUP(Q42,Materials!$A$3:$A$292,Materials!$I$3:$I$292),0)
+IFERROR(H42/_xludf.XLOOKUP(G42,Materials!$A$3:$A$292,Materials!$I$3:$I$292),0)</f>
        <v>0</v>
      </c>
      <c r="AC42" s="20"/>
      <c r="AD42" s="20"/>
      <c r="AE42" s="20"/>
      <c r="AF42" s="20"/>
      <c r="AG42" s="20"/>
      <c r="AH42" s="20"/>
      <c r="AI42" s="20"/>
      <c r="AJ42" s="20"/>
      <c r="AK42" s="20"/>
      <c r="AL42" s="20"/>
      <c r="AM42" s="20"/>
      <c r="AN42" s="20"/>
      <c r="AO42" s="20"/>
      <c r="AP42" s="20"/>
      <c r="AQ42" s="20"/>
      <c r="AR42" s="20"/>
      <c r="AS42" s="20"/>
      <c r="AT42" s="20"/>
      <c r="AU42" s="20"/>
      <c r="AV42" s="20"/>
    </row>
    <row r="43" spans="1:48" ht="17.25" customHeight="1">
      <c r="A43" s="15" t="s">
        <v>5752</v>
      </c>
      <c r="B43" s="124" t="s">
        <v>154</v>
      </c>
      <c r="C43" s="124" t="s">
        <v>5524</v>
      </c>
      <c r="D43" s="125" t="e">
        <f t="shared" ca="1" si="0"/>
        <v>#NAME?</v>
      </c>
      <c r="E43" s="126" t="str">
        <f t="shared" ca="1" si="1"/>
        <v>Not enough information entered</v>
      </c>
      <c r="F43" s="124" t="s">
        <v>6364</v>
      </c>
      <c r="G43" s="124" t="s">
        <v>5211</v>
      </c>
      <c r="H43" s="126">
        <v>9.4E-2</v>
      </c>
      <c r="I43" s="124" t="s">
        <v>5186</v>
      </c>
      <c r="J43" s="126">
        <v>0.15</v>
      </c>
      <c r="K43" s="124" t="s">
        <v>5196</v>
      </c>
      <c r="L43" s="124">
        <v>0.03</v>
      </c>
      <c r="M43" s="128"/>
      <c r="N43" s="124"/>
      <c r="O43" s="128"/>
      <c r="P43" s="124"/>
      <c r="Q43" s="128"/>
      <c r="R43" s="124"/>
      <c r="S43" s="124"/>
      <c r="T43" s="124"/>
      <c r="U43" s="124" t="s">
        <v>5523</v>
      </c>
      <c r="V43" s="127">
        <f t="shared" si="2"/>
        <v>0.27400000000000002</v>
      </c>
      <c r="W43" s="124"/>
      <c r="X43" s="124"/>
      <c r="Y43" s="124"/>
      <c r="Z43" s="124"/>
      <c r="AA43" s="124" t="e">
        <f t="shared" ca="1" si="3"/>
        <v>#NAME?</v>
      </c>
      <c r="AB43" s="126">
        <f t="array" aca="1" ref="AB43" ca="1">IFERROR(J43/_xludf.XLOOKUP(I43,Materials!$A$3:$A$292,Materials!$I$3:$I$292),0)
+IFERROR(L43/_xludf.XLOOKUP(K43,Materials!$A$3:$A$292,Materials!$I$3:$I$292),0)
+IFERROR(N43/_xludf.XLOOKUP(M43,Materials!$A$3:$A$292,Materials!$I$3:$I$292),0)
+IFERROR(P43/_xludf.XLOOKUP(O43,Materials!$A$3:$A$292,Materials!$I$3:$I$292),0)
+IFERROR(R43/_xludf.XLOOKUP(Q43,Materials!$A$3:$A$292,Materials!$I$3:$I$292),0)
+IFERROR(H43/_xludf.XLOOKUP(G43,Materials!$A$3:$A$292,Materials!$I$3:$I$292),0)</f>
        <v>0</v>
      </c>
      <c r="AC43" s="20"/>
      <c r="AD43" s="20"/>
      <c r="AE43" s="20"/>
      <c r="AF43" s="20"/>
      <c r="AG43" s="20"/>
      <c r="AH43" s="20"/>
      <c r="AI43" s="20"/>
      <c r="AJ43" s="20"/>
      <c r="AK43" s="20"/>
      <c r="AL43" s="20"/>
      <c r="AM43" s="20"/>
      <c r="AN43" s="20"/>
      <c r="AO43" s="20"/>
      <c r="AP43" s="20"/>
      <c r="AQ43" s="20"/>
      <c r="AR43" s="20"/>
      <c r="AS43" s="20"/>
      <c r="AT43" s="20"/>
      <c r="AU43" s="20"/>
      <c r="AV43" s="20"/>
    </row>
    <row r="44" spans="1:48" ht="17.25" hidden="1" customHeight="1">
      <c r="A44" s="15" t="s">
        <v>5752</v>
      </c>
      <c r="B44" s="124" t="s">
        <v>160</v>
      </c>
      <c r="C44" s="124" t="s">
        <v>5526</v>
      </c>
      <c r="D44" s="125" t="e">
        <f t="shared" ca="1" si="0"/>
        <v>#NAME?</v>
      </c>
      <c r="E44" s="126" t="str">
        <f t="shared" ca="1" si="1"/>
        <v>Not enough information entered</v>
      </c>
      <c r="F44" s="124" t="s">
        <v>6572</v>
      </c>
      <c r="G44" s="124" t="s">
        <v>5211</v>
      </c>
      <c r="H44" s="126">
        <v>9.2999999999999999E-2</v>
      </c>
      <c r="I44" s="124" t="s">
        <v>5186</v>
      </c>
      <c r="J44" s="126">
        <v>0.18</v>
      </c>
      <c r="K44" s="124" t="s">
        <v>5196</v>
      </c>
      <c r="L44" s="124">
        <v>0.03</v>
      </c>
      <c r="M44" s="128"/>
      <c r="N44" s="124"/>
      <c r="O44" s="128"/>
      <c r="P44" s="124"/>
      <c r="Q44" s="128"/>
      <c r="R44" s="124"/>
      <c r="S44" s="124"/>
      <c r="T44" s="124"/>
      <c r="U44" s="124" t="s">
        <v>5523</v>
      </c>
      <c r="V44" s="127">
        <f t="shared" si="2"/>
        <v>0.30300000000000005</v>
      </c>
      <c r="W44" s="126">
        <v>0</v>
      </c>
      <c r="X44" s="126">
        <v>0</v>
      </c>
      <c r="Y44" s="126">
        <v>10</v>
      </c>
      <c r="Z44" s="124"/>
      <c r="AA44" s="124" t="e">
        <f t="shared" ca="1" si="3"/>
        <v>#NAME?</v>
      </c>
      <c r="AB44" s="126">
        <f t="array" aca="1" ref="AB44" ca="1">IFERROR(J44/_xludf.XLOOKUP(I44,Materials!$A$3:$A$292,Materials!$I$3:$I$292),0)
+IFERROR(L44/_xludf.XLOOKUP(K44,Materials!$A$3:$A$292,Materials!$I$3:$I$292),0)
+IFERROR(N44/_xludf.XLOOKUP(M44,Materials!$A$3:$A$292,Materials!$I$3:$I$292),0)
+IFERROR(P44/_xludf.XLOOKUP(O44,Materials!$A$3:$A$292,Materials!$I$3:$I$292),0)
+IFERROR(R44/_xludf.XLOOKUP(Q44,Materials!$A$3:$A$292,Materials!$I$3:$I$292),0)
+IFERROR(H44/_xludf.XLOOKUP(G44,Materials!$A$3:$A$292,Materials!$I$3:$I$292),0)</f>
        <v>0</v>
      </c>
      <c r="AC44" s="20"/>
      <c r="AD44" s="20"/>
      <c r="AE44" s="20"/>
      <c r="AF44" s="20"/>
      <c r="AG44" s="20"/>
      <c r="AH44" s="20"/>
      <c r="AI44" s="20"/>
      <c r="AJ44" s="20"/>
      <c r="AK44" s="20"/>
      <c r="AL44" s="20"/>
      <c r="AM44" s="20"/>
      <c r="AN44" s="20"/>
      <c r="AO44" s="20"/>
      <c r="AP44" s="20"/>
      <c r="AQ44" s="20"/>
      <c r="AR44" s="20"/>
      <c r="AS44" s="20"/>
      <c r="AT44" s="20"/>
      <c r="AU44" s="20"/>
      <c r="AV44" s="20"/>
    </row>
    <row r="45" spans="1:48" ht="17.25" hidden="1" customHeight="1">
      <c r="A45" s="15" t="s">
        <v>4841</v>
      </c>
      <c r="B45" s="124" t="s">
        <v>158</v>
      </c>
      <c r="C45" s="124" t="s">
        <v>5527</v>
      </c>
      <c r="D45" s="125" t="e">
        <f t="shared" ca="1" si="0"/>
        <v>#NAME?</v>
      </c>
      <c r="E45" s="126" t="str">
        <f t="shared" ca="1" si="1"/>
        <v>Not enough information entered</v>
      </c>
      <c r="F45" s="124" t="s">
        <v>6339</v>
      </c>
      <c r="G45" s="124" t="s">
        <v>5200</v>
      </c>
      <c r="H45" s="124">
        <v>1.2500000000000001E-2</v>
      </c>
      <c r="I45" s="124" t="s">
        <v>5204</v>
      </c>
      <c r="J45" s="124">
        <v>0.05</v>
      </c>
      <c r="K45" s="124" t="s">
        <v>5200</v>
      </c>
      <c r="L45" s="124">
        <v>1.2500000000000001E-2</v>
      </c>
      <c r="M45" s="128"/>
      <c r="N45" s="124"/>
      <c r="O45" s="128"/>
      <c r="P45" s="124"/>
      <c r="Q45" s="128"/>
      <c r="R45" s="124"/>
      <c r="S45" s="124"/>
      <c r="T45" s="124"/>
      <c r="U45" s="124" t="s">
        <v>5523</v>
      </c>
      <c r="V45" s="127">
        <f t="shared" si="2"/>
        <v>7.4999999999999997E-2</v>
      </c>
      <c r="W45" s="124"/>
      <c r="X45" s="124"/>
      <c r="Y45" s="124"/>
      <c r="Z45" s="124"/>
      <c r="AA45" s="124" t="e">
        <f t="shared" ca="1" si="3"/>
        <v>#NAME?</v>
      </c>
      <c r="AB45" s="126">
        <f t="array" aca="1" ref="AB45" ca="1">IFERROR(J45/_xludf.XLOOKUP(I45,Materials!$A$3:$A$292,Materials!$I$3:$I$292),0)
+IFERROR(L45/_xludf.XLOOKUP(K45,Materials!$A$3:$A$292,Materials!$I$3:$I$292),0)
+IFERROR(N45/_xludf.XLOOKUP(M45,Materials!$A$3:$A$292,Materials!$I$3:$I$292),0)
+IFERROR(P45/_xludf.XLOOKUP(O45,Materials!$A$3:$A$292,Materials!$I$3:$I$292),0)
+IFERROR(R45/_xludf.XLOOKUP(Q45,Materials!$A$3:$A$292,Materials!$I$3:$I$292),0)
+IFERROR(H45/_xludf.XLOOKUP(G45,Materials!$A$3:$A$292,Materials!$I$3:$I$292),0)</f>
        <v>0</v>
      </c>
      <c r="AC45" s="20"/>
      <c r="AD45" s="20"/>
      <c r="AE45" s="20"/>
      <c r="AF45" s="20"/>
      <c r="AG45" s="20"/>
      <c r="AH45" s="20"/>
      <c r="AI45" s="20"/>
      <c r="AJ45" s="20"/>
      <c r="AK45" s="20"/>
      <c r="AL45" s="20"/>
      <c r="AM45" s="20"/>
      <c r="AN45" s="20"/>
      <c r="AO45" s="20"/>
      <c r="AP45" s="20"/>
      <c r="AQ45" s="20"/>
      <c r="AR45" s="20"/>
      <c r="AS45" s="20"/>
      <c r="AT45" s="20"/>
      <c r="AU45" s="20"/>
      <c r="AV45" s="20"/>
    </row>
    <row r="46" spans="1:48" ht="17.25" hidden="1" customHeight="1">
      <c r="A46" s="15" t="s">
        <v>4841</v>
      </c>
      <c r="B46" s="124" t="s">
        <v>166</v>
      </c>
      <c r="C46" s="124" t="s">
        <v>5528</v>
      </c>
      <c r="D46" s="125" t="e">
        <f t="shared" ca="1" si="0"/>
        <v>#NAME?</v>
      </c>
      <c r="E46" s="126" t="str">
        <f t="shared" ca="1" si="1"/>
        <v>Not enough information entered</v>
      </c>
      <c r="F46" s="124" t="s">
        <v>6686</v>
      </c>
      <c r="G46" s="124" t="s">
        <v>5186</v>
      </c>
      <c r="H46" s="124">
        <v>0.18</v>
      </c>
      <c r="I46" s="124" t="s">
        <v>5211</v>
      </c>
      <c r="J46" s="124">
        <v>0.08</v>
      </c>
      <c r="K46" s="124" t="s">
        <v>5196</v>
      </c>
      <c r="L46" s="124">
        <v>0.03</v>
      </c>
      <c r="M46" s="128"/>
      <c r="N46" s="124"/>
      <c r="O46" s="128"/>
      <c r="P46" s="124"/>
      <c r="Q46" s="128"/>
      <c r="R46" s="124"/>
      <c r="S46" s="124"/>
      <c r="T46" s="124"/>
      <c r="U46" s="124" t="s">
        <v>5523</v>
      </c>
      <c r="V46" s="127">
        <f t="shared" si="2"/>
        <v>0.29000000000000004</v>
      </c>
      <c r="W46" s="124"/>
      <c r="X46" s="124"/>
      <c r="Y46" s="124"/>
      <c r="Z46" s="124"/>
      <c r="AA46" s="124" t="e">
        <f t="shared" ca="1" si="3"/>
        <v>#NAME?</v>
      </c>
      <c r="AB46" s="126">
        <f t="array" aca="1" ref="AB46" ca="1">IFERROR(J46/_xludf.XLOOKUP(I46,Materials!$A$3:$A$292,Materials!$I$3:$I$292),0)
+IFERROR(L46/_xludf.XLOOKUP(K46,Materials!$A$3:$A$292,Materials!$I$3:$I$292),0)
+IFERROR(N46/_xludf.XLOOKUP(M46,Materials!$A$3:$A$292,Materials!$I$3:$I$292),0)
+IFERROR(P46/_xludf.XLOOKUP(O46,Materials!$A$3:$A$292,Materials!$I$3:$I$292),0)
+IFERROR(R46/_xludf.XLOOKUP(Q46,Materials!$A$3:$A$292,Materials!$I$3:$I$292),0)
+IFERROR(H46/_xludf.XLOOKUP(G46,Materials!$A$3:$A$292,Materials!$I$3:$I$292),0)</f>
        <v>0</v>
      </c>
      <c r="AC46" s="20"/>
      <c r="AD46" s="20"/>
      <c r="AE46" s="20"/>
      <c r="AF46" s="20"/>
      <c r="AG46" s="20"/>
      <c r="AH46" s="20"/>
      <c r="AI46" s="20"/>
      <c r="AJ46" s="20"/>
      <c r="AK46" s="20"/>
      <c r="AL46" s="20"/>
      <c r="AM46" s="20"/>
      <c r="AN46" s="20"/>
      <c r="AO46" s="20"/>
      <c r="AP46" s="20"/>
      <c r="AQ46" s="20"/>
      <c r="AR46" s="20"/>
      <c r="AS46" s="20"/>
      <c r="AT46" s="20"/>
      <c r="AU46" s="20"/>
      <c r="AV46" s="20"/>
    </row>
    <row r="47" spans="1:48" ht="17.25" hidden="1" customHeight="1">
      <c r="A47" s="15" t="s">
        <v>4841</v>
      </c>
      <c r="B47" s="124" t="s">
        <v>162</v>
      </c>
      <c r="C47" s="124" t="s">
        <v>5529</v>
      </c>
      <c r="D47" s="125" t="e">
        <f t="shared" ca="1" si="0"/>
        <v>#NAME?</v>
      </c>
      <c r="E47" s="126" t="str">
        <f t="shared" ca="1" si="1"/>
        <v>Not enough information entered</v>
      </c>
      <c r="F47" s="124" t="s">
        <v>6548</v>
      </c>
      <c r="G47" s="124" t="s">
        <v>5186</v>
      </c>
      <c r="H47" s="124">
        <v>0.18</v>
      </c>
      <c r="I47" s="124" t="s">
        <v>5196</v>
      </c>
      <c r="J47" s="124">
        <v>0.03</v>
      </c>
      <c r="K47" s="124"/>
      <c r="L47" s="124"/>
      <c r="M47" s="128"/>
      <c r="N47" s="124"/>
      <c r="O47" s="128"/>
      <c r="P47" s="124"/>
      <c r="Q47" s="128"/>
      <c r="R47" s="124"/>
      <c r="S47" s="124"/>
      <c r="T47" s="124"/>
      <c r="U47" s="124" t="s">
        <v>5523</v>
      </c>
      <c r="V47" s="127">
        <f t="shared" si="2"/>
        <v>0.21</v>
      </c>
      <c r="W47" s="124"/>
      <c r="X47" s="124"/>
      <c r="Y47" s="124"/>
      <c r="Z47" s="124"/>
      <c r="AA47" s="124" t="e">
        <f t="shared" ca="1" si="3"/>
        <v>#NAME?</v>
      </c>
      <c r="AB47" s="126">
        <f t="array" aca="1" ref="AB47" ca="1">IFERROR(J47/_xludf.XLOOKUP(I47,Materials!$A$3:$A$292,Materials!$I$3:$I$292),0)
+IFERROR(L47/_xludf.XLOOKUP(K47,Materials!$A$3:$A$292,Materials!$I$3:$I$292),0)
+IFERROR(N47/_xludf.XLOOKUP(M47,Materials!$A$3:$A$292,Materials!$I$3:$I$292),0)
+IFERROR(P47/_xludf.XLOOKUP(O47,Materials!$A$3:$A$292,Materials!$I$3:$I$292),0)
+IFERROR(R47/_xludf.XLOOKUP(Q47,Materials!$A$3:$A$292,Materials!$I$3:$I$292),0)
+IFERROR(H47/_xludf.XLOOKUP(G47,Materials!$A$3:$A$292,Materials!$I$3:$I$292),0)</f>
        <v>0</v>
      </c>
      <c r="AC47" s="20"/>
      <c r="AD47" s="20"/>
      <c r="AE47" s="20"/>
      <c r="AF47" s="20"/>
      <c r="AG47" s="20"/>
      <c r="AH47" s="20"/>
      <c r="AI47" s="20"/>
      <c r="AJ47" s="20"/>
      <c r="AK47" s="20"/>
      <c r="AL47" s="20"/>
      <c r="AM47" s="20"/>
      <c r="AN47" s="20"/>
      <c r="AO47" s="20"/>
      <c r="AP47" s="20"/>
      <c r="AQ47" s="20"/>
      <c r="AR47" s="20"/>
      <c r="AS47" s="20"/>
      <c r="AT47" s="20"/>
      <c r="AU47" s="20"/>
      <c r="AV47" s="20"/>
    </row>
    <row r="48" spans="1:48" ht="17.25" hidden="1" customHeight="1">
      <c r="A48" s="15" t="s">
        <v>4841</v>
      </c>
      <c r="B48" s="124" t="s">
        <v>159</v>
      </c>
      <c r="C48" s="124" t="s">
        <v>5530</v>
      </c>
      <c r="D48" s="125" t="e">
        <f t="shared" ca="1" si="0"/>
        <v>#NAME?</v>
      </c>
      <c r="E48" s="126" t="str">
        <f t="shared" ca="1" si="1"/>
        <v>Not enough information entered</v>
      </c>
      <c r="F48" s="124" t="s">
        <v>6653</v>
      </c>
      <c r="G48" s="124" t="s">
        <v>5186</v>
      </c>
      <c r="H48" s="124">
        <v>0.2</v>
      </c>
      <c r="I48" s="124" t="s">
        <v>5211</v>
      </c>
      <c r="J48" s="124">
        <v>0.05</v>
      </c>
      <c r="K48" s="128"/>
      <c r="L48" s="124"/>
      <c r="M48" s="128"/>
      <c r="N48" s="124"/>
      <c r="O48" s="128"/>
      <c r="P48" s="124"/>
      <c r="Q48" s="128"/>
      <c r="R48" s="124"/>
      <c r="S48" s="124"/>
      <c r="T48" s="124"/>
      <c r="U48" s="124" t="s">
        <v>5523</v>
      </c>
      <c r="V48" s="127">
        <f t="shared" si="2"/>
        <v>0.25</v>
      </c>
      <c r="W48" s="124"/>
      <c r="X48" s="124"/>
      <c r="Y48" s="124"/>
      <c r="Z48" s="124"/>
      <c r="AA48" s="124" t="e">
        <f t="shared" ca="1" si="3"/>
        <v>#NAME?</v>
      </c>
      <c r="AB48" s="126">
        <f t="array" aca="1" ref="AB48" ca="1">IFERROR(J48/_xludf.XLOOKUP(I48,Materials!$A$3:$A$292,Materials!$I$3:$I$292),0)
+IFERROR(L48/_xludf.XLOOKUP(K48,Materials!$A$3:$A$292,Materials!$I$3:$I$292),0)
+IFERROR(N48/_xludf.XLOOKUP(M48,Materials!$A$3:$A$292,Materials!$I$3:$I$292),0)
+IFERROR(P48/_xludf.XLOOKUP(O48,Materials!$A$3:$A$292,Materials!$I$3:$I$292),0)
+IFERROR(R48/_xludf.XLOOKUP(Q48,Materials!$A$3:$A$292,Materials!$I$3:$I$292),0)
+IFERROR(H48/_xludf.XLOOKUP(G48,Materials!$A$3:$A$292,Materials!$I$3:$I$292),0)</f>
        <v>0</v>
      </c>
      <c r="AC48" s="20"/>
      <c r="AD48" s="20"/>
      <c r="AE48" s="20"/>
      <c r="AF48" s="20"/>
      <c r="AG48" s="20"/>
      <c r="AH48" s="20"/>
      <c r="AI48" s="20"/>
      <c r="AJ48" s="20"/>
      <c r="AK48" s="20"/>
      <c r="AL48" s="20"/>
      <c r="AM48" s="20"/>
      <c r="AN48" s="20"/>
      <c r="AO48" s="20"/>
      <c r="AP48" s="20"/>
      <c r="AQ48" s="20"/>
      <c r="AR48" s="20"/>
      <c r="AS48" s="20"/>
      <c r="AT48" s="20"/>
      <c r="AU48" s="20"/>
      <c r="AV48" s="20"/>
    </row>
    <row r="49" spans="1:48" ht="17.25" hidden="1" customHeight="1">
      <c r="A49" s="15"/>
      <c r="B49" s="124"/>
      <c r="C49" s="124" t="s">
        <v>5532</v>
      </c>
      <c r="D49" s="125"/>
      <c r="E49" s="126"/>
      <c r="F49" s="124"/>
      <c r="G49" s="124"/>
      <c r="H49" s="124"/>
      <c r="I49" s="128"/>
      <c r="J49" s="124"/>
      <c r="K49" s="124"/>
      <c r="L49" s="124"/>
      <c r="M49" s="128"/>
      <c r="N49" s="124"/>
      <c r="O49" s="128"/>
      <c r="P49" s="124"/>
      <c r="Q49" s="128"/>
      <c r="R49" s="124"/>
      <c r="S49" s="124"/>
      <c r="T49" s="124"/>
      <c r="U49" s="124"/>
      <c r="V49" s="127"/>
      <c r="W49" s="124"/>
      <c r="X49" s="124"/>
      <c r="Y49" s="124"/>
      <c r="Z49" s="124"/>
      <c r="AA49" s="124"/>
      <c r="AB49" s="126"/>
      <c r="AC49" s="20"/>
      <c r="AD49" s="20"/>
      <c r="AE49" s="20"/>
      <c r="AF49" s="20"/>
      <c r="AG49" s="20"/>
      <c r="AH49" s="20"/>
      <c r="AI49" s="20"/>
      <c r="AJ49" s="20"/>
      <c r="AK49" s="20"/>
      <c r="AL49" s="20"/>
      <c r="AM49" s="20"/>
      <c r="AN49" s="20"/>
      <c r="AO49" s="20"/>
      <c r="AP49" s="20"/>
      <c r="AQ49" s="20"/>
      <c r="AR49" s="20"/>
      <c r="AS49" s="20"/>
      <c r="AT49" s="20"/>
      <c r="AU49" s="20"/>
      <c r="AV49" s="20"/>
    </row>
    <row r="50" spans="1:48" ht="17.25" hidden="1" customHeight="1">
      <c r="A50" s="15" t="s">
        <v>4841</v>
      </c>
      <c r="B50" s="124" t="s">
        <v>161</v>
      </c>
      <c r="C50" s="124" t="s">
        <v>5533</v>
      </c>
      <c r="D50" s="125" t="e">
        <f t="shared" ca="1" si="0"/>
        <v>#NAME?</v>
      </c>
      <c r="E50" s="126" t="str">
        <f t="shared" ca="1" si="1"/>
        <v>Not enough information entered</v>
      </c>
      <c r="F50" s="124" t="s">
        <v>6669</v>
      </c>
      <c r="G50" s="124" t="s">
        <v>5186</v>
      </c>
      <c r="H50" s="124">
        <v>0.18</v>
      </c>
      <c r="I50" s="124" t="s">
        <v>5207</v>
      </c>
      <c r="J50" s="124">
        <v>0.06</v>
      </c>
      <c r="K50" s="124" t="s">
        <v>5200</v>
      </c>
      <c r="L50" s="124">
        <v>1.2500000000000001E-2</v>
      </c>
      <c r="M50" s="128"/>
      <c r="N50" s="124"/>
      <c r="O50" s="128"/>
      <c r="P50" s="124"/>
      <c r="Q50" s="128"/>
      <c r="R50" s="124"/>
      <c r="S50" s="124"/>
      <c r="T50" s="124"/>
      <c r="U50" s="124" t="s">
        <v>5523</v>
      </c>
      <c r="V50" s="127">
        <f t="shared" si="2"/>
        <v>0.2525</v>
      </c>
      <c r="W50" s="124"/>
      <c r="X50" s="124"/>
      <c r="Y50" s="124"/>
      <c r="Z50" s="124"/>
      <c r="AA50" s="124" t="e">
        <f t="shared" ca="1" si="3"/>
        <v>#NAME?</v>
      </c>
      <c r="AB50" s="126">
        <f t="array" aca="1" ref="AB50" ca="1">IFERROR(J50/_xludf.XLOOKUP(I50,Materials!$A$3:$A$292,Materials!$I$3:$I$292),0)
+IFERROR(L50/_xludf.XLOOKUP(K50,Materials!$A$3:$A$292,Materials!$I$3:$I$292),0)
+IFERROR(N50/_xludf.XLOOKUP(M50,Materials!$A$3:$A$292,Materials!$I$3:$I$292),0)
+IFERROR(P50/_xludf.XLOOKUP(O50,Materials!$A$3:$A$292,Materials!$I$3:$I$292),0)
+IFERROR(R50/_xludf.XLOOKUP(Q50,Materials!$A$3:$A$292,Materials!$I$3:$I$292),0)
+IFERROR(H50/_xludf.XLOOKUP(G50,Materials!$A$3:$A$292,Materials!$I$3:$I$292),0)</f>
        <v>0</v>
      </c>
      <c r="AC50" s="20"/>
      <c r="AD50" s="20"/>
      <c r="AE50" s="20"/>
      <c r="AF50" s="20"/>
      <c r="AG50" s="20"/>
      <c r="AH50" s="20"/>
      <c r="AI50" s="20"/>
      <c r="AJ50" s="20"/>
      <c r="AK50" s="20"/>
      <c r="AL50" s="20"/>
      <c r="AM50" s="20"/>
      <c r="AN50" s="20"/>
      <c r="AO50" s="20"/>
      <c r="AP50" s="20"/>
      <c r="AQ50" s="20"/>
      <c r="AR50" s="20"/>
      <c r="AS50" s="20"/>
      <c r="AT50" s="20"/>
      <c r="AU50" s="20"/>
      <c r="AV50" s="20"/>
    </row>
    <row r="51" spans="1:48" ht="17.25" hidden="1" customHeight="1">
      <c r="A51" s="15" t="s">
        <v>5753</v>
      </c>
      <c r="B51" s="124" t="s">
        <v>157</v>
      </c>
      <c r="C51" s="124" t="s">
        <v>5522</v>
      </c>
      <c r="D51" s="125" t="e">
        <f t="shared" ca="1" si="0"/>
        <v>#NAME?</v>
      </c>
      <c r="E51" s="126" t="str">
        <f t="shared" ca="1" si="1"/>
        <v>Not enough information entered</v>
      </c>
      <c r="F51" s="124" t="s">
        <v>6379</v>
      </c>
      <c r="G51" s="124" t="s">
        <v>5186</v>
      </c>
      <c r="H51" s="126">
        <v>0.18</v>
      </c>
      <c r="I51" s="124" t="s">
        <v>5204</v>
      </c>
      <c r="J51" s="126">
        <v>0.02</v>
      </c>
      <c r="K51" s="124" t="s">
        <v>5200</v>
      </c>
      <c r="L51" s="126">
        <v>1.2E-2</v>
      </c>
      <c r="M51" s="128"/>
      <c r="N51" s="124"/>
      <c r="O51" s="128"/>
      <c r="P51" s="124"/>
      <c r="Q51" s="128"/>
      <c r="R51" s="124"/>
      <c r="S51" s="124"/>
      <c r="T51" s="124"/>
      <c r="U51" s="124" t="s">
        <v>5523</v>
      </c>
      <c r="V51" s="127">
        <f t="shared" si="2"/>
        <v>0.21199999999999999</v>
      </c>
      <c r="W51" s="126">
        <v>0</v>
      </c>
      <c r="X51" s="126">
        <v>0</v>
      </c>
      <c r="Y51" s="126">
        <v>10</v>
      </c>
      <c r="Z51" s="124"/>
      <c r="AA51" s="124" t="e">
        <f t="shared" ca="1" si="3"/>
        <v>#NAME?</v>
      </c>
      <c r="AB51" s="126">
        <f t="array" aca="1" ref="AB51" ca="1">IFERROR(J51/_xludf.XLOOKUP(I51,Materials!$A$3:$A$292,Materials!$I$3:$I$292),0)
+IFERROR(L51/_xludf.XLOOKUP(K51,Materials!$A$3:$A$292,Materials!$I$3:$I$292),0)
+IFERROR(N51/_xludf.XLOOKUP(M51,Materials!$A$3:$A$292,Materials!$I$3:$I$292),0)
+IFERROR(P51/_xludf.XLOOKUP(O51,Materials!$A$3:$A$292,Materials!$I$3:$I$292),0)
+IFERROR(R51/_xludf.XLOOKUP(Q51,Materials!$A$3:$A$292,Materials!$I$3:$I$292),0)
+IFERROR(H51/_xludf.XLOOKUP(G51,Materials!$A$3:$A$292,Materials!$I$3:$I$292),0)</f>
        <v>0</v>
      </c>
      <c r="AC51" s="20"/>
      <c r="AD51" s="20"/>
      <c r="AE51" s="20"/>
      <c r="AF51" s="20"/>
      <c r="AG51" s="20"/>
      <c r="AH51" s="20"/>
      <c r="AI51" s="20"/>
      <c r="AJ51" s="20"/>
      <c r="AK51" s="20"/>
      <c r="AL51" s="20"/>
      <c r="AM51" s="20"/>
      <c r="AN51" s="20"/>
      <c r="AO51" s="20"/>
      <c r="AP51" s="20"/>
      <c r="AQ51" s="20"/>
      <c r="AR51" s="20"/>
      <c r="AS51" s="20"/>
      <c r="AT51" s="20"/>
      <c r="AU51" s="20"/>
      <c r="AV51" s="20"/>
    </row>
    <row r="52" spans="1:48" ht="15" customHeight="1">
      <c r="A52" s="15" t="s">
        <v>5753</v>
      </c>
      <c r="B52" s="124" t="s">
        <v>154</v>
      </c>
      <c r="C52" s="124" t="s">
        <v>5524</v>
      </c>
      <c r="D52" s="125" t="e">
        <f t="shared" ca="1" si="0"/>
        <v>#NAME?</v>
      </c>
      <c r="E52" s="126" t="str">
        <f t="shared" ca="1" si="1"/>
        <v>Not enough information entered</v>
      </c>
      <c r="F52" s="124" t="s">
        <v>6365</v>
      </c>
      <c r="G52" s="124" t="s">
        <v>5186</v>
      </c>
      <c r="H52" s="126">
        <v>0.15</v>
      </c>
      <c r="I52" s="124" t="s">
        <v>5196</v>
      </c>
      <c r="J52" s="126">
        <v>0.03</v>
      </c>
      <c r="K52" s="124"/>
      <c r="L52" s="124"/>
      <c r="M52" s="128"/>
      <c r="N52" s="124"/>
      <c r="O52" s="128"/>
      <c r="P52" s="124"/>
      <c r="Q52" s="128"/>
      <c r="R52" s="124"/>
      <c r="S52" s="124"/>
      <c r="T52" s="124"/>
      <c r="U52" s="124" t="s">
        <v>5523</v>
      </c>
      <c r="V52" s="127">
        <f t="shared" si="2"/>
        <v>0.18</v>
      </c>
      <c r="W52" s="124"/>
      <c r="X52" s="124"/>
      <c r="Y52" s="124"/>
      <c r="Z52" s="124"/>
      <c r="AA52" s="124" t="e">
        <f t="shared" ca="1" si="3"/>
        <v>#NAME?</v>
      </c>
      <c r="AB52" s="126">
        <f t="array" aca="1" ref="AB52" ca="1">IFERROR(J52/_xludf.XLOOKUP(I52,Materials!$A$3:$A$292,Materials!$I$3:$I$292),0)
+IFERROR(L52/_xludf.XLOOKUP(K52,Materials!$A$3:$A$292,Materials!$I$3:$I$292),0)
+IFERROR(N52/_xludf.XLOOKUP(M52,Materials!$A$3:$A$292,Materials!$I$3:$I$292),0)
+IFERROR(P52/_xludf.XLOOKUP(O52,Materials!$A$3:$A$292,Materials!$I$3:$I$292),0)
+IFERROR(R52/_xludf.XLOOKUP(Q52,Materials!$A$3:$A$292,Materials!$I$3:$I$292),0)
+IFERROR(H52/_xludf.XLOOKUP(G52,Materials!$A$3:$A$292,Materials!$I$3:$I$292),0)</f>
        <v>0</v>
      </c>
      <c r="AC52" s="20"/>
      <c r="AD52" s="20"/>
      <c r="AE52" s="20"/>
      <c r="AF52" s="20"/>
      <c r="AG52" s="20"/>
      <c r="AH52" s="20"/>
      <c r="AI52" s="20"/>
      <c r="AJ52" s="20"/>
      <c r="AK52" s="20"/>
      <c r="AL52" s="20"/>
      <c r="AM52" s="20"/>
      <c r="AN52" s="20"/>
      <c r="AO52" s="20"/>
      <c r="AP52" s="20"/>
      <c r="AQ52" s="20"/>
      <c r="AR52" s="20"/>
      <c r="AS52" s="20"/>
      <c r="AT52" s="20"/>
      <c r="AU52" s="20"/>
      <c r="AV52" s="20"/>
    </row>
    <row r="53" spans="1:48" ht="17.25" hidden="1" customHeight="1">
      <c r="A53" s="15" t="s">
        <v>5753</v>
      </c>
      <c r="B53" s="124" t="s">
        <v>160</v>
      </c>
      <c r="C53" s="124" t="s">
        <v>5526</v>
      </c>
      <c r="D53" s="125" t="e">
        <f t="shared" ca="1" si="0"/>
        <v>#NAME?</v>
      </c>
      <c r="E53" s="126" t="str">
        <f t="shared" ca="1" si="1"/>
        <v>Not enough information entered</v>
      </c>
      <c r="F53" s="124" t="s">
        <v>6573</v>
      </c>
      <c r="G53" s="124" t="s">
        <v>5186</v>
      </c>
      <c r="H53" s="126">
        <v>0.18</v>
      </c>
      <c r="I53" s="124" t="s">
        <v>5196</v>
      </c>
      <c r="J53" s="126">
        <v>0.03</v>
      </c>
      <c r="K53" s="124"/>
      <c r="L53" s="124"/>
      <c r="M53" s="128"/>
      <c r="N53" s="124"/>
      <c r="O53" s="128"/>
      <c r="P53" s="124"/>
      <c r="Q53" s="128"/>
      <c r="R53" s="124"/>
      <c r="S53" s="124"/>
      <c r="T53" s="124"/>
      <c r="U53" s="124" t="s">
        <v>5523</v>
      </c>
      <c r="V53" s="127">
        <f t="shared" si="2"/>
        <v>0.21</v>
      </c>
      <c r="W53" s="126">
        <v>0</v>
      </c>
      <c r="X53" s="126">
        <v>0</v>
      </c>
      <c r="Y53" s="126">
        <v>10</v>
      </c>
      <c r="Z53" s="124"/>
      <c r="AA53" s="124" t="e">
        <f t="shared" ca="1" si="3"/>
        <v>#NAME?</v>
      </c>
      <c r="AB53" s="126">
        <f t="array" aca="1" ref="AB53" ca="1">IFERROR(J53/_xludf.XLOOKUP(I53,Materials!$A$3:$A$292,Materials!$I$3:$I$292),0)
+IFERROR(L53/_xludf.XLOOKUP(K53,Materials!$A$3:$A$292,Materials!$I$3:$I$292),0)
+IFERROR(N53/_xludf.XLOOKUP(M53,Materials!$A$3:$A$292,Materials!$I$3:$I$292),0)
+IFERROR(P53/_xludf.XLOOKUP(O53,Materials!$A$3:$A$292,Materials!$I$3:$I$292),0)
+IFERROR(R53/_xludf.XLOOKUP(Q53,Materials!$A$3:$A$292,Materials!$I$3:$I$292),0)
+IFERROR(H53/_xludf.XLOOKUP(G53,Materials!$A$3:$A$292,Materials!$I$3:$I$292),0)</f>
        <v>0</v>
      </c>
      <c r="AC53" s="20"/>
      <c r="AD53" s="20"/>
      <c r="AE53" s="20"/>
      <c r="AF53" s="20"/>
      <c r="AG53" s="20"/>
      <c r="AH53" s="20"/>
      <c r="AI53" s="20"/>
      <c r="AJ53" s="20"/>
      <c r="AK53" s="20"/>
      <c r="AL53" s="20"/>
      <c r="AM53" s="20"/>
      <c r="AN53" s="20"/>
      <c r="AO53" s="20"/>
      <c r="AP53" s="20"/>
      <c r="AQ53" s="20"/>
      <c r="AR53" s="20"/>
      <c r="AS53" s="20"/>
      <c r="AT53" s="20"/>
      <c r="AU53" s="20"/>
      <c r="AV53" s="20"/>
    </row>
    <row r="54" spans="1:48" ht="17.25" hidden="1" customHeight="1">
      <c r="A54" s="15" t="s">
        <v>5754</v>
      </c>
      <c r="B54" s="124" t="s">
        <v>157</v>
      </c>
      <c r="C54" s="124" t="s">
        <v>5522</v>
      </c>
      <c r="D54" s="125" t="e">
        <f t="shared" ca="1" si="0"/>
        <v>#NAME?</v>
      </c>
      <c r="E54" s="126" t="str">
        <f t="shared" ca="1" si="1"/>
        <v>Not enough information entered</v>
      </c>
      <c r="F54" s="124" t="s">
        <v>6380</v>
      </c>
      <c r="G54" s="124" t="s">
        <v>5211</v>
      </c>
      <c r="H54" s="126">
        <v>0.03</v>
      </c>
      <c r="I54" s="124" t="s">
        <v>5186</v>
      </c>
      <c r="J54" s="126">
        <v>0.18</v>
      </c>
      <c r="K54" s="124" t="s">
        <v>5204</v>
      </c>
      <c r="L54" s="126">
        <v>0.02</v>
      </c>
      <c r="M54" s="124" t="s">
        <v>5200</v>
      </c>
      <c r="N54" s="126">
        <v>1.2E-2</v>
      </c>
      <c r="O54" s="128"/>
      <c r="P54" s="124"/>
      <c r="Q54" s="128"/>
      <c r="R54" s="124"/>
      <c r="S54" s="124"/>
      <c r="T54" s="124"/>
      <c r="U54" s="124" t="s">
        <v>5523</v>
      </c>
      <c r="V54" s="127">
        <f t="shared" si="2"/>
        <v>0.24199999999999999</v>
      </c>
      <c r="W54" s="126">
        <v>0</v>
      </c>
      <c r="X54" s="126">
        <v>0</v>
      </c>
      <c r="Y54" s="126">
        <v>10</v>
      </c>
      <c r="Z54" s="124"/>
      <c r="AA54" s="124" t="e">
        <f t="shared" ca="1" si="3"/>
        <v>#NAME?</v>
      </c>
      <c r="AB54" s="126">
        <f t="array" aca="1" ref="AB54" ca="1">IFERROR(J54/_xludf.XLOOKUP(I54,Materials!$A$3:$A$292,Materials!$I$3:$I$292),0)
+IFERROR(L54/_xludf.XLOOKUP(K54,Materials!$A$3:$A$292,Materials!$I$3:$I$292),0)
+IFERROR(N54/_xludf.XLOOKUP(M54,Materials!$A$3:$A$292,Materials!$I$3:$I$292),0)
+IFERROR(P54/_xludf.XLOOKUP(O54,Materials!$A$3:$A$292,Materials!$I$3:$I$292),0)
+IFERROR(R54/_xludf.XLOOKUP(Q54,Materials!$A$3:$A$292,Materials!$I$3:$I$292),0)
+IFERROR(H54/_xludf.XLOOKUP(G54,Materials!$A$3:$A$292,Materials!$I$3:$I$292),0)</f>
        <v>0</v>
      </c>
      <c r="AC54" s="20"/>
      <c r="AD54" s="20"/>
      <c r="AE54" s="20"/>
      <c r="AF54" s="20"/>
      <c r="AG54" s="20"/>
      <c r="AH54" s="20"/>
      <c r="AI54" s="20"/>
      <c r="AJ54" s="20"/>
      <c r="AK54" s="20"/>
      <c r="AL54" s="20"/>
      <c r="AM54" s="20"/>
      <c r="AN54" s="20"/>
      <c r="AO54" s="20"/>
      <c r="AP54" s="20"/>
      <c r="AQ54" s="20"/>
      <c r="AR54" s="20"/>
      <c r="AS54" s="20"/>
      <c r="AT54" s="20"/>
      <c r="AU54" s="20"/>
      <c r="AV54" s="20"/>
    </row>
    <row r="55" spans="1:48" ht="17.25" customHeight="1">
      <c r="A55" s="15" t="s">
        <v>5754</v>
      </c>
      <c r="B55" s="124" t="s">
        <v>154</v>
      </c>
      <c r="C55" s="124" t="s">
        <v>5524</v>
      </c>
      <c r="D55" s="125" t="e">
        <f t="shared" ca="1" si="0"/>
        <v>#NAME?</v>
      </c>
      <c r="E55" s="126" t="str">
        <f t="shared" ca="1" si="1"/>
        <v>Not enough information entered</v>
      </c>
      <c r="F55" s="124" t="s">
        <v>6366</v>
      </c>
      <c r="G55" s="124" t="s">
        <v>5211</v>
      </c>
      <c r="H55" s="126">
        <v>5.8000000000000003E-2</v>
      </c>
      <c r="I55" s="124" t="s">
        <v>5186</v>
      </c>
      <c r="J55" s="126">
        <v>0.15</v>
      </c>
      <c r="K55" s="124" t="s">
        <v>5196</v>
      </c>
      <c r="L55" s="124">
        <v>0.03</v>
      </c>
      <c r="M55" s="128"/>
      <c r="N55" s="124"/>
      <c r="O55" s="124"/>
      <c r="P55" s="124"/>
      <c r="Q55" s="128"/>
      <c r="R55" s="124"/>
      <c r="S55" s="124"/>
      <c r="T55" s="124"/>
      <c r="U55" s="124" t="s">
        <v>5523</v>
      </c>
      <c r="V55" s="127">
        <f t="shared" si="2"/>
        <v>0.23799999999999999</v>
      </c>
      <c r="W55" s="124"/>
      <c r="X55" s="124"/>
      <c r="Y55" s="124"/>
      <c r="Z55" s="124"/>
      <c r="AA55" s="124" t="e">
        <f t="shared" ca="1" si="3"/>
        <v>#NAME?</v>
      </c>
      <c r="AB55" s="126">
        <f t="array" aca="1" ref="AB55" ca="1">IFERROR(J55/_xludf.XLOOKUP(I55,Materials!$A$3:$A$292,Materials!$I$3:$I$292),0)
+IFERROR(L55/_xludf.XLOOKUP(K55,Materials!$A$3:$A$292,Materials!$I$3:$I$292),0)
+IFERROR(N55/_xludf.XLOOKUP(M55,Materials!$A$3:$A$292,Materials!$I$3:$I$292),0)
+IFERROR(P55/_xludf.XLOOKUP(O55,Materials!$A$3:$A$292,Materials!$I$3:$I$292),0)
+IFERROR(R55/_xludf.XLOOKUP(Q55,Materials!$A$3:$A$292,Materials!$I$3:$I$292),0)
+IFERROR(H55/_xludf.XLOOKUP(G55,Materials!$A$3:$A$292,Materials!$I$3:$I$292),0)</f>
        <v>0</v>
      </c>
      <c r="AC55" s="20"/>
      <c r="AD55" s="20"/>
      <c r="AE55" s="20"/>
      <c r="AF55" s="20"/>
      <c r="AG55" s="20"/>
      <c r="AH55" s="20"/>
      <c r="AI55" s="20"/>
      <c r="AJ55" s="20"/>
      <c r="AK55" s="20"/>
      <c r="AL55" s="20"/>
      <c r="AM55" s="20"/>
      <c r="AN55" s="20"/>
      <c r="AO55" s="20"/>
      <c r="AP55" s="20"/>
      <c r="AQ55" s="20"/>
      <c r="AR55" s="20"/>
      <c r="AS55" s="20"/>
      <c r="AT55" s="20"/>
      <c r="AU55" s="20"/>
      <c r="AV55" s="20"/>
    </row>
    <row r="56" spans="1:48" ht="17.25" hidden="1" customHeight="1">
      <c r="A56" s="15" t="s">
        <v>5754</v>
      </c>
      <c r="B56" s="124" t="s">
        <v>160</v>
      </c>
      <c r="C56" s="124" t="s">
        <v>5526</v>
      </c>
      <c r="D56" s="125" t="e">
        <f t="shared" ca="1" si="0"/>
        <v>#NAME?</v>
      </c>
      <c r="E56" s="126" t="str">
        <f t="shared" ca="1" si="1"/>
        <v>Not enough information entered</v>
      </c>
      <c r="F56" s="124" t="s">
        <v>6574</v>
      </c>
      <c r="G56" s="124" t="s">
        <v>5211</v>
      </c>
      <c r="H56" s="126">
        <v>4.7E-2</v>
      </c>
      <c r="I56" s="124" t="s">
        <v>5186</v>
      </c>
      <c r="J56" s="126">
        <v>0.18</v>
      </c>
      <c r="K56" s="124" t="s">
        <v>5196</v>
      </c>
      <c r="L56" s="124">
        <v>0.03</v>
      </c>
      <c r="M56" s="128"/>
      <c r="N56" s="124"/>
      <c r="O56" s="128"/>
      <c r="P56" s="124"/>
      <c r="Q56" s="128"/>
      <c r="R56" s="124"/>
      <c r="S56" s="124"/>
      <c r="T56" s="124"/>
      <c r="U56" s="124" t="s">
        <v>5523</v>
      </c>
      <c r="V56" s="127">
        <f t="shared" si="2"/>
        <v>0.25700000000000001</v>
      </c>
      <c r="W56" s="126">
        <v>0</v>
      </c>
      <c r="X56" s="126">
        <v>0</v>
      </c>
      <c r="Y56" s="126">
        <v>10</v>
      </c>
      <c r="Z56" s="124"/>
      <c r="AA56" s="124" t="e">
        <f t="shared" ca="1" si="3"/>
        <v>#NAME?</v>
      </c>
      <c r="AB56" s="126">
        <f t="array" aca="1" ref="AB56" ca="1">IFERROR(J56/_xludf.XLOOKUP(I56,Materials!$A$3:$A$292,Materials!$I$3:$I$292),0)
+IFERROR(L56/_xludf.XLOOKUP(K56,Materials!$A$3:$A$292,Materials!$I$3:$I$292),0)
+IFERROR(N56/_xludf.XLOOKUP(M56,Materials!$A$3:$A$292,Materials!$I$3:$I$292),0)
+IFERROR(P56/_xludf.XLOOKUP(O56,Materials!$A$3:$A$292,Materials!$I$3:$I$292),0)
+IFERROR(R56/_xludf.XLOOKUP(Q56,Materials!$A$3:$A$292,Materials!$I$3:$I$292),0)
+IFERROR(H56/_xludf.XLOOKUP(G56,Materials!$A$3:$A$292,Materials!$I$3:$I$292),0)</f>
        <v>0</v>
      </c>
      <c r="AC56" s="20"/>
      <c r="AD56" s="20"/>
      <c r="AE56" s="20"/>
      <c r="AF56" s="20"/>
      <c r="AG56" s="20"/>
      <c r="AH56" s="20"/>
      <c r="AI56" s="20"/>
      <c r="AJ56" s="20"/>
      <c r="AK56" s="20"/>
      <c r="AL56" s="20"/>
      <c r="AM56" s="20"/>
      <c r="AN56" s="20"/>
      <c r="AO56" s="20"/>
      <c r="AP56" s="20"/>
      <c r="AQ56" s="20"/>
      <c r="AR56" s="20"/>
      <c r="AS56" s="20"/>
      <c r="AT56" s="20"/>
      <c r="AU56" s="20"/>
      <c r="AV56" s="20"/>
    </row>
    <row r="57" spans="1:48" ht="17.25" hidden="1" customHeight="1">
      <c r="A57" s="15" t="s">
        <v>5755</v>
      </c>
      <c r="B57" s="124" t="s">
        <v>157</v>
      </c>
      <c r="C57" s="124" t="s">
        <v>5522</v>
      </c>
      <c r="D57" s="125" t="e">
        <f t="shared" ca="1" si="0"/>
        <v>#NAME?</v>
      </c>
      <c r="E57" s="126" t="str">
        <f t="shared" ca="1" si="1"/>
        <v>Not enough information entered</v>
      </c>
      <c r="F57" s="124" t="s">
        <v>6381</v>
      </c>
      <c r="G57" s="124" t="s">
        <v>5211</v>
      </c>
      <c r="H57" s="126">
        <v>0.04</v>
      </c>
      <c r="I57" s="124" t="s">
        <v>5186</v>
      </c>
      <c r="J57" s="126">
        <v>0.18</v>
      </c>
      <c r="K57" s="124" t="s">
        <v>5204</v>
      </c>
      <c r="L57" s="126">
        <v>0.02</v>
      </c>
      <c r="M57" s="124" t="s">
        <v>5200</v>
      </c>
      <c r="N57" s="126">
        <v>1.2E-2</v>
      </c>
      <c r="O57" s="124"/>
      <c r="P57" s="124"/>
      <c r="Q57" s="128"/>
      <c r="R57" s="124"/>
      <c r="S57" s="124"/>
      <c r="T57" s="124"/>
      <c r="U57" s="124" t="s">
        <v>5523</v>
      </c>
      <c r="V57" s="127">
        <f t="shared" si="2"/>
        <v>0.252</v>
      </c>
      <c r="W57" s="126">
        <v>0</v>
      </c>
      <c r="X57" s="126">
        <v>0</v>
      </c>
      <c r="Y57" s="126">
        <v>10</v>
      </c>
      <c r="Z57" s="124"/>
      <c r="AA57" s="124" t="e">
        <f t="shared" ca="1" si="3"/>
        <v>#NAME?</v>
      </c>
      <c r="AB57" s="126">
        <f t="array" aca="1" ref="AB57" ca="1">IFERROR(J57/_xludf.XLOOKUP(I57,Materials!$A$3:$A$292,Materials!$I$3:$I$292),0)
+IFERROR(L57/_xludf.XLOOKUP(K57,Materials!$A$3:$A$292,Materials!$I$3:$I$292),0)
+IFERROR(N57/_xludf.XLOOKUP(M57,Materials!$A$3:$A$292,Materials!$I$3:$I$292),0)
+IFERROR(P57/_xludf.XLOOKUP(O57,Materials!$A$3:$A$292,Materials!$I$3:$I$292),0)
+IFERROR(R57/_xludf.XLOOKUP(Q57,Materials!$A$3:$A$292,Materials!$I$3:$I$292),0)
+IFERROR(H57/_xludf.XLOOKUP(G57,Materials!$A$3:$A$292,Materials!$I$3:$I$292),0)</f>
        <v>0</v>
      </c>
      <c r="AC57" s="20"/>
      <c r="AD57" s="20"/>
      <c r="AE57" s="20"/>
      <c r="AF57" s="20"/>
      <c r="AG57" s="20"/>
      <c r="AH57" s="20"/>
      <c r="AI57" s="20"/>
      <c r="AJ57" s="20"/>
      <c r="AK57" s="20"/>
      <c r="AL57" s="20"/>
      <c r="AM57" s="20"/>
      <c r="AN57" s="20"/>
      <c r="AO57" s="20"/>
      <c r="AP57" s="20"/>
      <c r="AQ57" s="20"/>
      <c r="AR57" s="20"/>
      <c r="AS57" s="20"/>
      <c r="AT57" s="20"/>
      <c r="AU57" s="20"/>
      <c r="AV57" s="20"/>
    </row>
    <row r="58" spans="1:48" ht="17.25" customHeight="1">
      <c r="A58" s="15" t="s">
        <v>5755</v>
      </c>
      <c r="B58" s="124" t="s">
        <v>154</v>
      </c>
      <c r="C58" s="124" t="s">
        <v>5524</v>
      </c>
      <c r="D58" s="125" t="e">
        <f t="shared" ca="1" si="0"/>
        <v>#NAME?</v>
      </c>
      <c r="E58" s="126" t="str">
        <f t="shared" ca="1" si="1"/>
        <v>Not enough information entered</v>
      </c>
      <c r="F58" s="124" t="s">
        <v>6367</v>
      </c>
      <c r="G58" s="124" t="s">
        <v>5211</v>
      </c>
      <c r="H58" s="126">
        <v>5.8999999999999997E-2</v>
      </c>
      <c r="I58" s="124" t="s">
        <v>5186</v>
      </c>
      <c r="J58" s="126">
        <v>0.15</v>
      </c>
      <c r="K58" s="124" t="s">
        <v>5196</v>
      </c>
      <c r="L58" s="124">
        <v>0.03</v>
      </c>
      <c r="M58" s="128"/>
      <c r="N58" s="124"/>
      <c r="O58" s="124"/>
      <c r="P58" s="124"/>
      <c r="Q58" s="128"/>
      <c r="R58" s="124"/>
      <c r="S58" s="124"/>
      <c r="T58" s="124"/>
      <c r="U58" s="124" t="s">
        <v>5523</v>
      </c>
      <c r="V58" s="127">
        <f t="shared" si="2"/>
        <v>0.23899999999999999</v>
      </c>
      <c r="W58" s="124"/>
      <c r="X58" s="124"/>
      <c r="Y58" s="124"/>
      <c r="Z58" s="124"/>
      <c r="AA58" s="124" t="e">
        <f t="shared" ca="1" si="3"/>
        <v>#NAME?</v>
      </c>
      <c r="AB58" s="126">
        <f t="array" aca="1" ref="AB58" ca="1">IFERROR(J58/_xludf.XLOOKUP(I58,Materials!$A$3:$A$292,Materials!$I$3:$I$292),0)
+IFERROR(L58/_xludf.XLOOKUP(K58,Materials!$A$3:$A$292,Materials!$I$3:$I$292),0)
+IFERROR(N58/_xludf.XLOOKUP(M58,Materials!$A$3:$A$292,Materials!$I$3:$I$292),0)
+IFERROR(P58/_xludf.XLOOKUP(O58,Materials!$A$3:$A$292,Materials!$I$3:$I$292),0)
+IFERROR(R58/_xludf.XLOOKUP(Q58,Materials!$A$3:$A$292,Materials!$I$3:$I$292),0)
+IFERROR(H58/_xludf.XLOOKUP(G58,Materials!$A$3:$A$292,Materials!$I$3:$I$292),0)</f>
        <v>0</v>
      </c>
      <c r="AC58" s="20"/>
      <c r="AD58" s="20"/>
      <c r="AE58" s="20"/>
      <c r="AF58" s="20"/>
      <c r="AG58" s="20"/>
      <c r="AH58" s="20"/>
      <c r="AI58" s="20"/>
      <c r="AJ58" s="20"/>
      <c r="AK58" s="20"/>
      <c r="AL58" s="20"/>
      <c r="AM58" s="20"/>
      <c r="AN58" s="20"/>
      <c r="AO58" s="20"/>
      <c r="AP58" s="20"/>
      <c r="AQ58" s="20"/>
      <c r="AR58" s="20"/>
      <c r="AS58" s="20"/>
      <c r="AT58" s="20"/>
      <c r="AU58" s="20"/>
      <c r="AV58" s="20"/>
    </row>
    <row r="59" spans="1:48" ht="17.25" hidden="1" customHeight="1">
      <c r="A59" s="15" t="s">
        <v>5755</v>
      </c>
      <c r="B59" s="124" t="s">
        <v>160</v>
      </c>
      <c r="C59" s="124" t="s">
        <v>5526</v>
      </c>
      <c r="D59" s="125" t="e">
        <f t="shared" ca="1" si="0"/>
        <v>#NAME?</v>
      </c>
      <c r="E59" s="126" t="str">
        <f t="shared" ca="1" si="1"/>
        <v>Not enough information entered</v>
      </c>
      <c r="F59" s="124" t="s">
        <v>6575</v>
      </c>
      <c r="G59" s="124" t="s">
        <v>5211</v>
      </c>
      <c r="H59" s="126">
        <v>5.8000000000000003E-2</v>
      </c>
      <c r="I59" s="124" t="s">
        <v>5186</v>
      </c>
      <c r="J59" s="126">
        <v>0.18</v>
      </c>
      <c r="K59" s="124" t="s">
        <v>5196</v>
      </c>
      <c r="L59" s="124">
        <v>0.03</v>
      </c>
      <c r="M59" s="128"/>
      <c r="N59" s="124"/>
      <c r="O59" s="128"/>
      <c r="P59" s="124"/>
      <c r="Q59" s="128"/>
      <c r="R59" s="124"/>
      <c r="S59" s="124"/>
      <c r="T59" s="124"/>
      <c r="U59" s="124" t="s">
        <v>5523</v>
      </c>
      <c r="V59" s="127">
        <f t="shared" si="2"/>
        <v>0.26800000000000002</v>
      </c>
      <c r="W59" s="126">
        <v>0</v>
      </c>
      <c r="X59" s="126">
        <v>0</v>
      </c>
      <c r="Y59" s="126">
        <v>10</v>
      </c>
      <c r="Z59" s="124"/>
      <c r="AA59" s="124" t="e">
        <f t="shared" ca="1" si="3"/>
        <v>#NAME?</v>
      </c>
      <c r="AB59" s="126">
        <f t="array" aca="1" ref="AB59" ca="1">IFERROR(J59/_xludf.XLOOKUP(I59,Materials!$A$3:$A$292,Materials!$I$3:$I$292),0)
+IFERROR(L59/_xludf.XLOOKUP(K59,Materials!$A$3:$A$292,Materials!$I$3:$I$292),0)
+IFERROR(N59/_xludf.XLOOKUP(M59,Materials!$A$3:$A$292,Materials!$I$3:$I$292),0)
+IFERROR(P59/_xludf.XLOOKUP(O59,Materials!$A$3:$A$292,Materials!$I$3:$I$292),0)
+IFERROR(R59/_xludf.XLOOKUP(Q59,Materials!$A$3:$A$292,Materials!$I$3:$I$292),0)
+IFERROR(H59/_xludf.XLOOKUP(G59,Materials!$A$3:$A$292,Materials!$I$3:$I$292),0)</f>
        <v>0</v>
      </c>
      <c r="AC59" s="20"/>
      <c r="AD59" s="20"/>
      <c r="AE59" s="20"/>
      <c r="AF59" s="20"/>
      <c r="AG59" s="20"/>
      <c r="AH59" s="20"/>
      <c r="AI59" s="20"/>
      <c r="AJ59" s="20"/>
      <c r="AK59" s="20"/>
      <c r="AL59" s="20"/>
      <c r="AM59" s="20"/>
      <c r="AN59" s="20"/>
      <c r="AO59" s="20"/>
      <c r="AP59" s="20"/>
      <c r="AQ59" s="20"/>
      <c r="AR59" s="20"/>
      <c r="AS59" s="20"/>
      <c r="AT59" s="20"/>
      <c r="AU59" s="20"/>
      <c r="AV59" s="20"/>
    </row>
    <row r="60" spans="1:48" ht="17.25" hidden="1" customHeight="1">
      <c r="A60" s="15" t="s">
        <v>5756</v>
      </c>
      <c r="B60" s="124" t="s">
        <v>157</v>
      </c>
      <c r="C60" s="124" t="s">
        <v>5522</v>
      </c>
      <c r="D60" s="125" t="e">
        <f t="shared" ca="1" si="0"/>
        <v>#NAME?</v>
      </c>
      <c r="E60" s="126" t="str">
        <f t="shared" ca="1" si="1"/>
        <v>Not enough information entered</v>
      </c>
      <c r="F60" s="124" t="s">
        <v>6382</v>
      </c>
      <c r="G60" s="124" t="s">
        <v>5211</v>
      </c>
      <c r="H60" s="126">
        <v>0.06</v>
      </c>
      <c r="I60" s="124" t="s">
        <v>5186</v>
      </c>
      <c r="J60" s="126">
        <v>0.18</v>
      </c>
      <c r="K60" s="124" t="s">
        <v>5204</v>
      </c>
      <c r="L60" s="126">
        <v>0.02</v>
      </c>
      <c r="M60" s="124" t="s">
        <v>5200</v>
      </c>
      <c r="N60" s="126">
        <v>1.2E-2</v>
      </c>
      <c r="O60" s="128"/>
      <c r="P60" s="124"/>
      <c r="Q60" s="128"/>
      <c r="R60" s="124"/>
      <c r="S60" s="124"/>
      <c r="T60" s="124"/>
      <c r="U60" s="124" t="s">
        <v>5523</v>
      </c>
      <c r="V60" s="127">
        <f t="shared" si="2"/>
        <v>0.27200000000000002</v>
      </c>
      <c r="W60" s="126">
        <v>0</v>
      </c>
      <c r="X60" s="126">
        <v>0</v>
      </c>
      <c r="Y60" s="126">
        <v>10</v>
      </c>
      <c r="Z60" s="124"/>
      <c r="AA60" s="124" t="e">
        <f t="shared" ca="1" si="3"/>
        <v>#NAME?</v>
      </c>
      <c r="AB60" s="126">
        <f t="array" aca="1" ref="AB60" ca="1">IFERROR(J60/_xludf.XLOOKUP(I60,Materials!$A$3:$A$292,Materials!$I$3:$I$292),0)
+IFERROR(L60/_xludf.XLOOKUP(K60,Materials!$A$3:$A$292,Materials!$I$3:$I$292),0)
+IFERROR(N60/_xludf.XLOOKUP(M60,Materials!$A$3:$A$292,Materials!$I$3:$I$292),0)
+IFERROR(P60/_xludf.XLOOKUP(O60,Materials!$A$3:$A$292,Materials!$I$3:$I$292),0)
+IFERROR(R60/_xludf.XLOOKUP(Q60,Materials!$A$3:$A$292,Materials!$I$3:$I$292),0)
+IFERROR(H60/_xludf.XLOOKUP(G60,Materials!$A$3:$A$292,Materials!$I$3:$I$292),0)</f>
        <v>0</v>
      </c>
      <c r="AC60" s="20"/>
      <c r="AD60" s="20"/>
      <c r="AE60" s="20"/>
      <c r="AF60" s="20"/>
      <c r="AG60" s="20"/>
      <c r="AH60" s="20"/>
      <c r="AI60" s="20"/>
      <c r="AJ60" s="20"/>
      <c r="AK60" s="20"/>
      <c r="AL60" s="20"/>
      <c r="AM60" s="20"/>
      <c r="AN60" s="20"/>
      <c r="AO60" s="20"/>
      <c r="AP60" s="20"/>
      <c r="AQ60" s="20"/>
      <c r="AR60" s="20"/>
      <c r="AS60" s="20"/>
      <c r="AT60" s="20"/>
      <c r="AU60" s="20"/>
      <c r="AV60" s="20"/>
    </row>
    <row r="61" spans="1:48" ht="17.25" customHeight="1">
      <c r="A61" s="15" t="s">
        <v>5756</v>
      </c>
      <c r="B61" s="124" t="s">
        <v>154</v>
      </c>
      <c r="C61" s="124" t="s">
        <v>5524</v>
      </c>
      <c r="D61" s="125" t="e">
        <f t="shared" ca="1" si="0"/>
        <v>#NAME?</v>
      </c>
      <c r="E61" s="126" t="str">
        <f t="shared" ca="1" si="1"/>
        <v>Not enough information entered</v>
      </c>
      <c r="F61" s="124" t="s">
        <v>6368</v>
      </c>
      <c r="G61" s="124" t="s">
        <v>5211</v>
      </c>
      <c r="H61" s="126">
        <v>7.8E-2</v>
      </c>
      <c r="I61" s="124" t="s">
        <v>5186</v>
      </c>
      <c r="J61" s="126">
        <v>0.15</v>
      </c>
      <c r="K61" s="124" t="s">
        <v>5196</v>
      </c>
      <c r="L61" s="124">
        <v>0.03</v>
      </c>
      <c r="M61" s="124"/>
      <c r="N61" s="124"/>
      <c r="O61" s="124"/>
      <c r="P61" s="124"/>
      <c r="Q61" s="124"/>
      <c r="R61" s="124"/>
      <c r="S61" s="124"/>
      <c r="T61" s="124"/>
      <c r="U61" s="124" t="s">
        <v>5523</v>
      </c>
      <c r="V61" s="127">
        <f t="shared" si="2"/>
        <v>0.25800000000000001</v>
      </c>
      <c r="W61" s="124"/>
      <c r="X61" s="124"/>
      <c r="Y61" s="124"/>
      <c r="Z61" s="124"/>
      <c r="AA61" s="124" t="e">
        <f t="shared" ca="1" si="3"/>
        <v>#NAME?</v>
      </c>
      <c r="AB61" s="126">
        <f t="array" aca="1" ref="AB61" ca="1">IFERROR(J61/_xludf.XLOOKUP(I61,Materials!$A$3:$A$292,Materials!$I$3:$I$292),0)
+IFERROR(L61/_xludf.XLOOKUP(K61,Materials!$A$3:$A$292,Materials!$I$3:$I$292),0)
+IFERROR(N61/_xludf.XLOOKUP(M61,Materials!$A$3:$A$292,Materials!$I$3:$I$292),0)
+IFERROR(P61/_xludf.XLOOKUP(O61,Materials!$A$3:$A$292,Materials!$I$3:$I$292),0)
+IFERROR(R61/_xludf.XLOOKUP(Q61,Materials!$A$3:$A$292,Materials!$I$3:$I$292),0)
+IFERROR(H61/_xludf.XLOOKUP(G61,Materials!$A$3:$A$292,Materials!$I$3:$I$292),0)</f>
        <v>0</v>
      </c>
      <c r="AC61" s="20"/>
      <c r="AD61" s="20"/>
      <c r="AE61" s="20"/>
      <c r="AF61" s="20"/>
      <c r="AG61" s="20"/>
      <c r="AH61" s="20"/>
      <c r="AI61" s="20"/>
      <c r="AJ61" s="20"/>
      <c r="AK61" s="20"/>
      <c r="AL61" s="20"/>
      <c r="AM61" s="20"/>
      <c r="AN61" s="20"/>
      <c r="AO61" s="20"/>
      <c r="AP61" s="20"/>
      <c r="AQ61" s="20"/>
      <c r="AR61" s="20"/>
      <c r="AS61" s="20"/>
      <c r="AT61" s="20"/>
      <c r="AU61" s="20"/>
      <c r="AV61" s="20"/>
    </row>
    <row r="62" spans="1:48" ht="17.25" hidden="1" customHeight="1">
      <c r="A62" s="15" t="s">
        <v>5756</v>
      </c>
      <c r="B62" s="124" t="s">
        <v>160</v>
      </c>
      <c r="C62" s="124" t="s">
        <v>5526</v>
      </c>
      <c r="D62" s="125" t="e">
        <f t="shared" ca="1" si="0"/>
        <v>#NAME?</v>
      </c>
      <c r="E62" s="126" t="str">
        <f t="shared" ca="1" si="1"/>
        <v>Not enough information entered</v>
      </c>
      <c r="F62" s="124" t="s">
        <v>6576</v>
      </c>
      <c r="G62" s="124" t="s">
        <v>5211</v>
      </c>
      <c r="H62" s="126">
        <v>7.6999999999999999E-2</v>
      </c>
      <c r="I62" s="124" t="s">
        <v>5186</v>
      </c>
      <c r="J62" s="126">
        <v>0.18</v>
      </c>
      <c r="K62" s="124" t="s">
        <v>5196</v>
      </c>
      <c r="L62" s="124">
        <v>0.03</v>
      </c>
      <c r="M62" s="124"/>
      <c r="N62" s="124"/>
      <c r="O62" s="124"/>
      <c r="P62" s="124"/>
      <c r="Q62" s="124"/>
      <c r="R62" s="124"/>
      <c r="S62" s="124"/>
      <c r="T62" s="124"/>
      <c r="U62" s="124" t="s">
        <v>5523</v>
      </c>
      <c r="V62" s="127">
        <f t="shared" si="2"/>
        <v>0.28700000000000003</v>
      </c>
      <c r="W62" s="126">
        <v>0</v>
      </c>
      <c r="X62" s="126">
        <v>0</v>
      </c>
      <c r="Y62" s="126">
        <v>10</v>
      </c>
      <c r="Z62" s="124"/>
      <c r="AA62" s="124" t="e">
        <f t="shared" ca="1" si="3"/>
        <v>#NAME?</v>
      </c>
      <c r="AB62" s="126">
        <f t="array" aca="1" ref="AB62" ca="1">IFERROR(J62/_xludf.XLOOKUP(I62,Materials!$A$3:$A$292,Materials!$I$3:$I$292),0)
+IFERROR(L62/_xludf.XLOOKUP(K62,Materials!$A$3:$A$292,Materials!$I$3:$I$292),0)
+IFERROR(N62/_xludf.XLOOKUP(M62,Materials!$A$3:$A$292,Materials!$I$3:$I$292),0)
+IFERROR(P62/_xludf.XLOOKUP(O62,Materials!$A$3:$A$292,Materials!$I$3:$I$292),0)
+IFERROR(R62/_xludf.XLOOKUP(Q62,Materials!$A$3:$A$292,Materials!$I$3:$I$292),0)
+IFERROR(H62/_xludf.XLOOKUP(G62,Materials!$A$3:$A$292,Materials!$I$3:$I$292),0)</f>
        <v>0</v>
      </c>
      <c r="AC62" s="20"/>
      <c r="AD62" s="20"/>
      <c r="AE62" s="20"/>
      <c r="AF62" s="20"/>
      <c r="AG62" s="20"/>
      <c r="AH62" s="20"/>
      <c r="AI62" s="20"/>
      <c r="AJ62" s="20"/>
      <c r="AK62" s="20"/>
      <c r="AL62" s="20"/>
      <c r="AM62" s="20"/>
      <c r="AN62" s="20"/>
      <c r="AO62" s="20"/>
      <c r="AP62" s="20"/>
      <c r="AQ62" s="20"/>
      <c r="AR62" s="20"/>
      <c r="AS62" s="20"/>
      <c r="AT62" s="20"/>
      <c r="AU62" s="20"/>
      <c r="AV62" s="20"/>
    </row>
    <row r="63" spans="1:48" ht="17.25" hidden="1" customHeight="1">
      <c r="A63" s="15" t="s">
        <v>5757</v>
      </c>
      <c r="B63" s="124" t="s">
        <v>157</v>
      </c>
      <c r="C63" s="124" t="s">
        <v>5522</v>
      </c>
      <c r="D63" s="125" t="e">
        <f t="shared" ca="1" si="0"/>
        <v>#NAME?</v>
      </c>
      <c r="E63" s="126" t="str">
        <f t="shared" ca="1" si="1"/>
        <v>Not enough information entered</v>
      </c>
      <c r="F63" s="124" t="s">
        <v>6383</v>
      </c>
      <c r="G63" s="124" t="s">
        <v>5211</v>
      </c>
      <c r="H63" s="126">
        <v>6.9000000000000006E-2</v>
      </c>
      <c r="I63" s="124" t="s">
        <v>5186</v>
      </c>
      <c r="J63" s="126">
        <v>0.18</v>
      </c>
      <c r="K63" s="124" t="s">
        <v>5204</v>
      </c>
      <c r="L63" s="126">
        <v>0.02</v>
      </c>
      <c r="M63" s="124" t="s">
        <v>5200</v>
      </c>
      <c r="N63" s="126">
        <v>1.2E-2</v>
      </c>
      <c r="O63" s="124"/>
      <c r="P63" s="124"/>
      <c r="Q63" s="124"/>
      <c r="R63" s="124"/>
      <c r="S63" s="124"/>
      <c r="T63" s="124"/>
      <c r="U63" s="124" t="s">
        <v>5523</v>
      </c>
      <c r="V63" s="127">
        <f t="shared" si="2"/>
        <v>0.28100000000000003</v>
      </c>
      <c r="W63" s="126">
        <v>0</v>
      </c>
      <c r="X63" s="126">
        <v>0</v>
      </c>
      <c r="Y63" s="126">
        <v>10</v>
      </c>
      <c r="Z63" s="124"/>
      <c r="AA63" s="124" t="e">
        <f t="shared" ca="1" si="3"/>
        <v>#NAME?</v>
      </c>
      <c r="AB63" s="126">
        <f t="array" aca="1" ref="AB63" ca="1">IFERROR(J63/_xludf.XLOOKUP(I63,Materials!$A$3:$A$292,Materials!$I$3:$I$292),0)
+IFERROR(L63/_xludf.XLOOKUP(K63,Materials!$A$3:$A$292,Materials!$I$3:$I$292),0)
+IFERROR(N63/_xludf.XLOOKUP(M63,Materials!$A$3:$A$292,Materials!$I$3:$I$292),0)
+IFERROR(P63/_xludf.XLOOKUP(O63,Materials!$A$3:$A$292,Materials!$I$3:$I$292),0)
+IFERROR(R63/_xludf.XLOOKUP(Q63,Materials!$A$3:$A$292,Materials!$I$3:$I$292),0)
+IFERROR(H63/_xludf.XLOOKUP(G63,Materials!$A$3:$A$292,Materials!$I$3:$I$292),0)</f>
        <v>0</v>
      </c>
      <c r="AC63" s="20"/>
      <c r="AD63" s="20"/>
      <c r="AE63" s="20"/>
      <c r="AF63" s="20"/>
      <c r="AG63" s="20"/>
      <c r="AH63" s="20"/>
      <c r="AI63" s="20"/>
      <c r="AJ63" s="20"/>
      <c r="AK63" s="20"/>
      <c r="AL63" s="20"/>
      <c r="AM63" s="20"/>
      <c r="AN63" s="20"/>
      <c r="AO63" s="20"/>
      <c r="AP63" s="20"/>
      <c r="AQ63" s="20"/>
      <c r="AR63" s="20"/>
      <c r="AS63" s="20"/>
      <c r="AT63" s="20"/>
      <c r="AU63" s="20"/>
      <c r="AV63" s="20"/>
    </row>
    <row r="64" spans="1:48" ht="17.25" customHeight="1">
      <c r="A64" s="15" t="s">
        <v>5757</v>
      </c>
      <c r="B64" s="124" t="s">
        <v>154</v>
      </c>
      <c r="C64" s="124" t="s">
        <v>5524</v>
      </c>
      <c r="D64" s="125" t="e">
        <f t="shared" ca="1" si="0"/>
        <v>#NAME?</v>
      </c>
      <c r="E64" s="126" t="str">
        <f t="shared" ca="1" si="1"/>
        <v>Not enough information entered</v>
      </c>
      <c r="F64" s="124" t="s">
        <v>6369</v>
      </c>
      <c r="G64" s="124" t="s">
        <v>5211</v>
      </c>
      <c r="H64" s="126">
        <v>9.4E-2</v>
      </c>
      <c r="I64" s="124" t="s">
        <v>5186</v>
      </c>
      <c r="J64" s="126">
        <v>0.15</v>
      </c>
      <c r="K64" s="124" t="s">
        <v>5196</v>
      </c>
      <c r="L64" s="124">
        <v>0.03</v>
      </c>
      <c r="M64" s="124"/>
      <c r="N64" s="124"/>
      <c r="O64" s="124"/>
      <c r="P64" s="124"/>
      <c r="Q64" s="124"/>
      <c r="R64" s="124"/>
      <c r="S64" s="124"/>
      <c r="T64" s="124"/>
      <c r="U64" s="124" t="s">
        <v>5523</v>
      </c>
      <c r="V64" s="127">
        <f t="shared" si="2"/>
        <v>0.27400000000000002</v>
      </c>
      <c r="W64" s="124"/>
      <c r="X64" s="124"/>
      <c r="Y64" s="124"/>
      <c r="Z64" s="124"/>
      <c r="AA64" s="124" t="e">
        <f t="shared" ca="1" si="3"/>
        <v>#NAME?</v>
      </c>
      <c r="AB64" s="126">
        <f t="array" aca="1" ref="AB64" ca="1">IFERROR(J64/_xludf.XLOOKUP(I64,Materials!$A$3:$A$292,Materials!$I$3:$I$292),0)
+IFERROR(L64/_xludf.XLOOKUP(K64,Materials!$A$3:$A$292,Materials!$I$3:$I$292),0)
+IFERROR(N64/_xludf.XLOOKUP(M64,Materials!$A$3:$A$292,Materials!$I$3:$I$292),0)
+IFERROR(P64/_xludf.XLOOKUP(O64,Materials!$A$3:$A$292,Materials!$I$3:$I$292),0)
+IFERROR(R64/_xludf.XLOOKUP(Q64,Materials!$A$3:$A$292,Materials!$I$3:$I$292),0)
+IFERROR(H64/_xludf.XLOOKUP(G64,Materials!$A$3:$A$292,Materials!$I$3:$I$292),0)</f>
        <v>0</v>
      </c>
      <c r="AC64" s="20"/>
      <c r="AD64" s="20"/>
      <c r="AE64" s="20"/>
      <c r="AF64" s="20"/>
      <c r="AG64" s="20"/>
      <c r="AH64" s="20"/>
      <c r="AI64" s="20"/>
      <c r="AJ64" s="20"/>
      <c r="AK64" s="20"/>
      <c r="AL64" s="20"/>
      <c r="AM64" s="20"/>
      <c r="AN64" s="20"/>
      <c r="AO64" s="20"/>
      <c r="AP64" s="20"/>
      <c r="AQ64" s="20"/>
      <c r="AR64" s="20"/>
      <c r="AS64" s="20"/>
      <c r="AT64" s="20"/>
      <c r="AU64" s="20"/>
      <c r="AV64" s="20"/>
    </row>
    <row r="65" spans="1:48" ht="17.25" hidden="1" customHeight="1">
      <c r="A65" s="15" t="s">
        <v>5757</v>
      </c>
      <c r="B65" s="124" t="s">
        <v>160</v>
      </c>
      <c r="C65" s="124" t="s">
        <v>5526</v>
      </c>
      <c r="D65" s="125" t="e">
        <f t="shared" ca="1" si="0"/>
        <v>#NAME?</v>
      </c>
      <c r="E65" s="126" t="str">
        <f t="shared" ca="1" si="1"/>
        <v>Not enough information entered</v>
      </c>
      <c r="F65" s="124" t="s">
        <v>6577</v>
      </c>
      <c r="G65" s="124" t="s">
        <v>5211</v>
      </c>
      <c r="H65" s="126">
        <v>9.2999999999999999E-2</v>
      </c>
      <c r="I65" s="124" t="s">
        <v>5186</v>
      </c>
      <c r="J65" s="126">
        <v>0.18</v>
      </c>
      <c r="K65" s="124" t="s">
        <v>5196</v>
      </c>
      <c r="L65" s="124">
        <v>0.03</v>
      </c>
      <c r="M65" s="124"/>
      <c r="N65" s="124"/>
      <c r="O65" s="124"/>
      <c r="P65" s="124"/>
      <c r="Q65" s="124"/>
      <c r="R65" s="124"/>
      <c r="S65" s="124"/>
      <c r="T65" s="124"/>
      <c r="U65" s="124" t="s">
        <v>5523</v>
      </c>
      <c r="V65" s="127">
        <f t="shared" si="2"/>
        <v>0.30300000000000005</v>
      </c>
      <c r="W65" s="126">
        <v>0</v>
      </c>
      <c r="X65" s="126">
        <v>0</v>
      </c>
      <c r="Y65" s="126">
        <v>10</v>
      </c>
      <c r="Z65" s="124"/>
      <c r="AA65" s="124" t="e">
        <f t="shared" ca="1" si="3"/>
        <v>#NAME?</v>
      </c>
      <c r="AB65" s="126">
        <f t="array" aca="1" ref="AB65" ca="1">IFERROR(J65/_xludf.XLOOKUP(I65,Materials!$A$3:$A$292,Materials!$I$3:$I$292),0)
+IFERROR(L65/_xludf.XLOOKUP(K65,Materials!$A$3:$A$292,Materials!$I$3:$I$292),0)
+IFERROR(N65/_xludf.XLOOKUP(M65,Materials!$A$3:$A$292,Materials!$I$3:$I$292),0)
+IFERROR(P65/_xludf.XLOOKUP(O65,Materials!$A$3:$A$292,Materials!$I$3:$I$292),0)
+IFERROR(R65/_xludf.XLOOKUP(Q65,Materials!$A$3:$A$292,Materials!$I$3:$I$292),0)
+IFERROR(H65/_xludf.XLOOKUP(G65,Materials!$A$3:$A$292,Materials!$I$3:$I$292),0)</f>
        <v>0</v>
      </c>
      <c r="AC65" s="20"/>
      <c r="AD65" s="20"/>
      <c r="AE65" s="20"/>
      <c r="AF65" s="20"/>
      <c r="AG65" s="20"/>
      <c r="AH65" s="20"/>
      <c r="AI65" s="20"/>
      <c r="AJ65" s="20"/>
      <c r="AK65" s="20"/>
      <c r="AL65" s="20"/>
      <c r="AM65" s="20"/>
      <c r="AN65" s="20"/>
      <c r="AO65" s="20"/>
      <c r="AP65" s="20"/>
      <c r="AQ65" s="20"/>
      <c r="AR65" s="20"/>
      <c r="AS65" s="20"/>
      <c r="AT65" s="20"/>
      <c r="AU65" s="20"/>
      <c r="AV65" s="20"/>
    </row>
    <row r="66" spans="1:48" ht="17.25" hidden="1" customHeight="1">
      <c r="A66" s="15" t="s">
        <v>4842</v>
      </c>
      <c r="B66" s="124" t="s">
        <v>158</v>
      </c>
      <c r="C66" s="124" t="s">
        <v>5527</v>
      </c>
      <c r="D66" s="125" t="e">
        <f t="shared" ca="1" si="0"/>
        <v>#NAME?</v>
      </c>
      <c r="E66" s="126" t="str">
        <f t="shared" ca="1" si="1"/>
        <v>Not enough information entered</v>
      </c>
      <c r="F66" s="124" t="s">
        <v>6340</v>
      </c>
      <c r="G66" s="124" t="s">
        <v>5200</v>
      </c>
      <c r="H66" s="124">
        <v>1.2500000000000001E-2</v>
      </c>
      <c r="I66" s="124" t="s">
        <v>5204</v>
      </c>
      <c r="J66" s="124">
        <v>0.05</v>
      </c>
      <c r="K66" s="124" t="s">
        <v>5200</v>
      </c>
      <c r="L66" s="124">
        <v>1.2500000000000001E-2</v>
      </c>
      <c r="M66" s="124"/>
      <c r="N66" s="124"/>
      <c r="O66" s="124"/>
      <c r="P66" s="124"/>
      <c r="Q66" s="124"/>
      <c r="R66" s="124"/>
      <c r="S66" s="124"/>
      <c r="T66" s="124"/>
      <c r="U66" s="124" t="s">
        <v>5523</v>
      </c>
      <c r="V66" s="127">
        <f t="shared" si="2"/>
        <v>7.4999999999999997E-2</v>
      </c>
      <c r="W66" s="124"/>
      <c r="X66" s="124"/>
      <c r="Y66" s="124"/>
      <c r="Z66" s="124"/>
      <c r="AA66" s="124" t="e">
        <f t="shared" ca="1" si="3"/>
        <v>#NAME?</v>
      </c>
      <c r="AB66" s="126">
        <f t="array" aca="1" ref="AB66" ca="1">IFERROR(J66/_xludf.XLOOKUP(I66,Materials!$A$3:$A$292,Materials!$I$3:$I$292),0)
+IFERROR(L66/_xludf.XLOOKUP(K66,Materials!$A$3:$A$292,Materials!$I$3:$I$292),0)
+IFERROR(N66/_xludf.XLOOKUP(M66,Materials!$A$3:$A$292,Materials!$I$3:$I$292),0)
+IFERROR(P66/_xludf.XLOOKUP(O66,Materials!$A$3:$A$292,Materials!$I$3:$I$292),0)
+IFERROR(R66/_xludf.XLOOKUP(Q66,Materials!$A$3:$A$292,Materials!$I$3:$I$292),0)
+IFERROR(H66/_xludf.XLOOKUP(G66,Materials!$A$3:$A$292,Materials!$I$3:$I$292),0)</f>
        <v>0</v>
      </c>
      <c r="AC66" s="20"/>
      <c r="AD66" s="20"/>
      <c r="AE66" s="20"/>
      <c r="AF66" s="20"/>
      <c r="AG66" s="20"/>
      <c r="AH66" s="20"/>
      <c r="AI66" s="20"/>
      <c r="AJ66" s="20"/>
      <c r="AK66" s="20"/>
      <c r="AL66" s="20"/>
      <c r="AM66" s="20"/>
      <c r="AN66" s="20"/>
      <c r="AO66" s="20"/>
      <c r="AP66" s="20"/>
      <c r="AQ66" s="20"/>
      <c r="AR66" s="20"/>
      <c r="AS66" s="20"/>
      <c r="AT66" s="20"/>
      <c r="AU66" s="20"/>
      <c r="AV66" s="20"/>
    </row>
    <row r="67" spans="1:48" ht="17.25" hidden="1" customHeight="1">
      <c r="A67" s="15" t="s">
        <v>4842</v>
      </c>
      <c r="B67" s="124" t="s">
        <v>166</v>
      </c>
      <c r="C67" s="124" t="s">
        <v>5528</v>
      </c>
      <c r="D67" s="125" t="e">
        <f t="shared" ca="1" si="0"/>
        <v>#NAME?</v>
      </c>
      <c r="E67" s="126" t="str">
        <f t="shared" ca="1" si="1"/>
        <v>Not enough information entered</v>
      </c>
      <c r="F67" s="124" t="s">
        <v>6229</v>
      </c>
      <c r="G67" s="124" t="s">
        <v>5186</v>
      </c>
      <c r="H67" s="124">
        <v>0.18</v>
      </c>
      <c r="I67" s="124" t="s">
        <v>5211</v>
      </c>
      <c r="J67" s="124">
        <v>0.08</v>
      </c>
      <c r="K67" s="124" t="s">
        <v>5196</v>
      </c>
      <c r="L67" s="124">
        <v>0.03</v>
      </c>
      <c r="M67" s="124"/>
      <c r="N67" s="124"/>
      <c r="O67" s="124"/>
      <c r="P67" s="124"/>
      <c r="Q67" s="124"/>
      <c r="R67" s="124"/>
      <c r="S67" s="124"/>
      <c r="T67" s="124"/>
      <c r="U67" s="124" t="s">
        <v>5523</v>
      </c>
      <c r="V67" s="127">
        <f t="shared" si="2"/>
        <v>0.29000000000000004</v>
      </c>
      <c r="W67" s="124"/>
      <c r="X67" s="124"/>
      <c r="Y67" s="124"/>
      <c r="Z67" s="124"/>
      <c r="AA67" s="124" t="e">
        <f t="shared" ca="1" si="3"/>
        <v>#NAME?</v>
      </c>
      <c r="AB67" s="126">
        <f t="array" aca="1" ref="AB67" ca="1">IFERROR(J67/_xludf.XLOOKUP(I67,Materials!$A$3:$A$292,Materials!$I$3:$I$292),0)
+IFERROR(L67/_xludf.XLOOKUP(K67,Materials!$A$3:$A$292,Materials!$I$3:$I$292),0)
+IFERROR(N67/_xludf.XLOOKUP(M67,Materials!$A$3:$A$292,Materials!$I$3:$I$292),0)
+IFERROR(P67/_xludf.XLOOKUP(O67,Materials!$A$3:$A$292,Materials!$I$3:$I$292),0)
+IFERROR(R67/_xludf.XLOOKUP(Q67,Materials!$A$3:$A$292,Materials!$I$3:$I$292),0)
+IFERROR(H67/_xludf.XLOOKUP(G67,Materials!$A$3:$A$292,Materials!$I$3:$I$292),0)</f>
        <v>0</v>
      </c>
      <c r="AC67" s="20"/>
      <c r="AD67" s="20"/>
      <c r="AE67" s="20"/>
      <c r="AF67" s="20"/>
      <c r="AG67" s="20"/>
      <c r="AH67" s="20"/>
      <c r="AI67" s="20"/>
      <c r="AJ67" s="20"/>
      <c r="AK67" s="20"/>
      <c r="AL67" s="20"/>
      <c r="AM67" s="20"/>
      <c r="AN67" s="20"/>
      <c r="AO67" s="20"/>
      <c r="AP67" s="20"/>
      <c r="AQ67" s="20"/>
      <c r="AR67" s="20"/>
      <c r="AS67" s="20"/>
      <c r="AT67" s="20"/>
      <c r="AU67" s="20"/>
      <c r="AV67" s="20"/>
    </row>
    <row r="68" spans="1:48" ht="17.25" hidden="1" customHeight="1">
      <c r="A68" s="15" t="s">
        <v>4842</v>
      </c>
      <c r="B68" s="124" t="s">
        <v>162</v>
      </c>
      <c r="C68" s="124" t="s">
        <v>5529</v>
      </c>
      <c r="D68" s="125" t="e">
        <f t="shared" ca="1" si="0"/>
        <v>#NAME?</v>
      </c>
      <c r="E68" s="126" t="str">
        <f t="shared" ca="1" si="1"/>
        <v>Not enough information entered</v>
      </c>
      <c r="F68" s="124" t="s">
        <v>6549</v>
      </c>
      <c r="G68" s="124" t="s">
        <v>5186</v>
      </c>
      <c r="H68" s="124">
        <v>0.18</v>
      </c>
      <c r="I68" s="124" t="s">
        <v>5196</v>
      </c>
      <c r="J68" s="124">
        <v>0.03</v>
      </c>
      <c r="K68" s="124"/>
      <c r="L68" s="124"/>
      <c r="M68" s="124"/>
      <c r="N68" s="124"/>
      <c r="O68" s="124"/>
      <c r="P68" s="124"/>
      <c r="Q68" s="124"/>
      <c r="R68" s="124"/>
      <c r="S68" s="124"/>
      <c r="T68" s="124"/>
      <c r="U68" s="124" t="s">
        <v>5523</v>
      </c>
      <c r="V68" s="127">
        <f t="shared" si="2"/>
        <v>0.21</v>
      </c>
      <c r="W68" s="124"/>
      <c r="X68" s="124"/>
      <c r="Y68" s="124"/>
      <c r="Z68" s="124"/>
      <c r="AA68" s="124" t="e">
        <f t="shared" ca="1" si="3"/>
        <v>#NAME?</v>
      </c>
      <c r="AB68" s="126">
        <f t="array" aca="1" ref="AB68" ca="1">IFERROR(J68/_xludf.XLOOKUP(I68,Materials!$A$3:$A$292,Materials!$I$3:$I$292),0)
+IFERROR(L68/_xludf.XLOOKUP(K68,Materials!$A$3:$A$292,Materials!$I$3:$I$292),0)
+IFERROR(N68/_xludf.XLOOKUP(M68,Materials!$A$3:$A$292,Materials!$I$3:$I$292),0)
+IFERROR(P68/_xludf.XLOOKUP(O68,Materials!$A$3:$A$292,Materials!$I$3:$I$292),0)
+IFERROR(R68/_xludf.XLOOKUP(Q68,Materials!$A$3:$A$292,Materials!$I$3:$I$292),0)
+IFERROR(H68/_xludf.XLOOKUP(G68,Materials!$A$3:$A$292,Materials!$I$3:$I$292),0)</f>
        <v>0</v>
      </c>
      <c r="AC68" s="20"/>
      <c r="AD68" s="20"/>
      <c r="AE68" s="20"/>
      <c r="AF68" s="20"/>
      <c r="AG68" s="20"/>
      <c r="AH68" s="20"/>
      <c r="AI68" s="20"/>
      <c r="AJ68" s="20"/>
      <c r="AK68" s="20"/>
      <c r="AL68" s="20"/>
      <c r="AM68" s="20"/>
      <c r="AN68" s="20"/>
      <c r="AO68" s="20"/>
      <c r="AP68" s="20"/>
      <c r="AQ68" s="20"/>
      <c r="AR68" s="20"/>
      <c r="AS68" s="20"/>
      <c r="AT68" s="20"/>
      <c r="AU68" s="20"/>
      <c r="AV68" s="20"/>
    </row>
    <row r="69" spans="1:48" ht="17.25" hidden="1" customHeight="1">
      <c r="A69" s="15" t="s">
        <v>4842</v>
      </c>
      <c r="B69" s="124" t="s">
        <v>159</v>
      </c>
      <c r="C69" s="124" t="s">
        <v>5530</v>
      </c>
      <c r="D69" s="125" t="e">
        <f t="shared" ca="1" si="0"/>
        <v>#NAME?</v>
      </c>
      <c r="E69" s="126" t="str">
        <f t="shared" ca="1" si="1"/>
        <v>Not enough information entered</v>
      </c>
      <c r="F69" s="124" t="s">
        <v>6654</v>
      </c>
      <c r="G69" s="124" t="s">
        <v>5186</v>
      </c>
      <c r="H69" s="124">
        <v>0.2</v>
      </c>
      <c r="I69" s="124" t="s">
        <v>5211</v>
      </c>
      <c r="J69" s="124">
        <v>0.05</v>
      </c>
      <c r="K69" s="124"/>
      <c r="L69" s="124"/>
      <c r="M69" s="124"/>
      <c r="N69" s="124"/>
      <c r="O69" s="124"/>
      <c r="P69" s="124"/>
      <c r="Q69" s="124"/>
      <c r="R69" s="124"/>
      <c r="S69" s="124"/>
      <c r="T69" s="124"/>
      <c r="U69" s="124" t="s">
        <v>5523</v>
      </c>
      <c r="V69" s="127">
        <f t="shared" si="2"/>
        <v>0.25</v>
      </c>
      <c r="W69" s="124"/>
      <c r="X69" s="124"/>
      <c r="Y69" s="124"/>
      <c r="Z69" s="124"/>
      <c r="AA69" s="124" t="e">
        <f t="shared" ca="1" si="3"/>
        <v>#NAME?</v>
      </c>
      <c r="AB69" s="126">
        <f t="array" aca="1" ref="AB69" ca="1">IFERROR(J69/_xludf.XLOOKUP(I69,Materials!$A$3:$A$292,Materials!$I$3:$I$292),0)
+IFERROR(L69/_xludf.XLOOKUP(K69,Materials!$A$3:$A$292,Materials!$I$3:$I$292),0)
+IFERROR(N69/_xludf.XLOOKUP(M69,Materials!$A$3:$A$292,Materials!$I$3:$I$292),0)
+IFERROR(P69/_xludf.XLOOKUP(O69,Materials!$A$3:$A$292,Materials!$I$3:$I$292),0)
+IFERROR(R69/_xludf.XLOOKUP(Q69,Materials!$A$3:$A$292,Materials!$I$3:$I$292),0)
+IFERROR(H69/_xludf.XLOOKUP(G69,Materials!$A$3:$A$292,Materials!$I$3:$I$292),0)</f>
        <v>0</v>
      </c>
      <c r="AC69" s="20"/>
      <c r="AD69" s="20"/>
      <c r="AE69" s="20"/>
      <c r="AF69" s="20"/>
      <c r="AG69" s="20"/>
      <c r="AH69" s="20"/>
      <c r="AI69" s="20"/>
      <c r="AJ69" s="20"/>
      <c r="AK69" s="20"/>
      <c r="AL69" s="20"/>
      <c r="AM69" s="20"/>
      <c r="AN69" s="20"/>
      <c r="AO69" s="20"/>
      <c r="AP69" s="20"/>
      <c r="AQ69" s="20"/>
      <c r="AR69" s="20"/>
      <c r="AS69" s="20"/>
      <c r="AT69" s="20"/>
      <c r="AU69" s="20"/>
      <c r="AV69" s="20"/>
    </row>
    <row r="70" spans="1:48" ht="17.25" hidden="1" customHeight="1">
      <c r="A70" s="15"/>
      <c r="B70" s="124"/>
      <c r="C70" s="124" t="s">
        <v>5532</v>
      </c>
      <c r="D70" s="125"/>
      <c r="E70" s="126"/>
      <c r="F70" s="124"/>
      <c r="G70" s="124"/>
      <c r="H70" s="124"/>
      <c r="I70" s="128"/>
      <c r="J70" s="124"/>
      <c r="K70" s="124"/>
      <c r="L70" s="124"/>
      <c r="M70" s="124"/>
      <c r="N70" s="124"/>
      <c r="O70" s="124"/>
      <c r="P70" s="124"/>
      <c r="Q70" s="124"/>
      <c r="R70" s="124"/>
      <c r="S70" s="124"/>
      <c r="T70" s="124"/>
      <c r="U70" s="124"/>
      <c r="V70" s="127"/>
      <c r="W70" s="124"/>
      <c r="X70" s="124"/>
      <c r="Y70" s="124"/>
      <c r="Z70" s="124"/>
      <c r="AA70" s="124"/>
      <c r="AB70" s="126"/>
      <c r="AC70" s="20"/>
      <c r="AD70" s="20"/>
      <c r="AE70" s="20"/>
      <c r="AF70" s="20"/>
      <c r="AG70" s="20"/>
      <c r="AH70" s="20"/>
      <c r="AI70" s="20"/>
      <c r="AJ70" s="20"/>
      <c r="AK70" s="20"/>
      <c r="AL70" s="20"/>
      <c r="AM70" s="20"/>
      <c r="AN70" s="20"/>
      <c r="AO70" s="20"/>
      <c r="AP70" s="20"/>
      <c r="AQ70" s="20"/>
      <c r="AR70" s="20"/>
      <c r="AS70" s="20"/>
      <c r="AT70" s="20"/>
      <c r="AU70" s="20"/>
      <c r="AV70" s="20"/>
    </row>
    <row r="71" spans="1:48" ht="17.25" hidden="1" customHeight="1">
      <c r="A71" s="15" t="s">
        <v>4842</v>
      </c>
      <c r="B71" s="124" t="s">
        <v>161</v>
      </c>
      <c r="C71" s="124" t="s">
        <v>5533</v>
      </c>
      <c r="D71" s="125" t="e">
        <f t="shared" ca="1" si="0"/>
        <v>#NAME?</v>
      </c>
      <c r="E71" s="126" t="str">
        <f t="shared" ca="1" si="1"/>
        <v>Not enough information entered</v>
      </c>
      <c r="F71" s="124" t="s">
        <v>6670</v>
      </c>
      <c r="G71" s="124" t="s">
        <v>5186</v>
      </c>
      <c r="H71" s="124">
        <v>0.18</v>
      </c>
      <c r="I71" s="124" t="s">
        <v>5207</v>
      </c>
      <c r="J71" s="124">
        <v>0.06</v>
      </c>
      <c r="K71" s="124" t="s">
        <v>5200</v>
      </c>
      <c r="L71" s="124">
        <v>1.2500000000000001E-2</v>
      </c>
      <c r="M71" s="124"/>
      <c r="N71" s="124"/>
      <c r="O71" s="124"/>
      <c r="P71" s="124"/>
      <c r="Q71" s="124"/>
      <c r="R71" s="124"/>
      <c r="S71" s="124"/>
      <c r="T71" s="124"/>
      <c r="U71" s="124" t="s">
        <v>5523</v>
      </c>
      <c r="V71" s="127">
        <f t="shared" si="2"/>
        <v>0.2525</v>
      </c>
      <c r="W71" s="124"/>
      <c r="X71" s="124"/>
      <c r="Y71" s="124"/>
      <c r="Z71" s="124"/>
      <c r="AA71" s="124" t="e">
        <f t="shared" ca="1" si="3"/>
        <v>#NAME?</v>
      </c>
      <c r="AB71" s="126">
        <f t="array" aca="1" ref="AB71" ca="1">IFERROR(J71/_xludf.XLOOKUP(I71,Materials!$A$3:$A$292,Materials!$I$3:$I$292),0)
+IFERROR(L71/_xludf.XLOOKUP(K71,Materials!$A$3:$A$292,Materials!$I$3:$I$292),0)
+IFERROR(N71/_xludf.XLOOKUP(M71,Materials!$A$3:$A$292,Materials!$I$3:$I$292),0)
+IFERROR(P71/_xludf.XLOOKUP(O71,Materials!$A$3:$A$292,Materials!$I$3:$I$292),0)
+IFERROR(R71/_xludf.XLOOKUP(Q71,Materials!$A$3:$A$292,Materials!$I$3:$I$292),0)
+IFERROR(H71/_xludf.XLOOKUP(G71,Materials!$A$3:$A$292,Materials!$I$3:$I$292),0)</f>
        <v>0</v>
      </c>
      <c r="AC71" s="20"/>
      <c r="AD71" s="20"/>
      <c r="AE71" s="20"/>
      <c r="AF71" s="20"/>
      <c r="AG71" s="20"/>
      <c r="AH71" s="20"/>
      <c r="AI71" s="20"/>
      <c r="AJ71" s="20"/>
      <c r="AK71" s="20"/>
      <c r="AL71" s="20"/>
      <c r="AM71" s="20"/>
      <c r="AN71" s="20"/>
      <c r="AO71" s="20"/>
      <c r="AP71" s="20"/>
      <c r="AQ71" s="20"/>
      <c r="AR71" s="20"/>
      <c r="AS71" s="20"/>
      <c r="AT71" s="20"/>
      <c r="AU71" s="20"/>
      <c r="AV71" s="20"/>
    </row>
    <row r="72" spans="1:48" ht="17.25" hidden="1" customHeight="1">
      <c r="A72" s="15" t="s">
        <v>5758</v>
      </c>
      <c r="B72" s="124" t="s">
        <v>157</v>
      </c>
      <c r="C72" s="124" t="s">
        <v>5522</v>
      </c>
      <c r="D72" s="125" t="e">
        <f t="shared" ca="1" si="0"/>
        <v>#NAME?</v>
      </c>
      <c r="E72" s="126" t="str">
        <f t="shared" ca="1" si="1"/>
        <v>Not enough information entered</v>
      </c>
      <c r="F72" s="124" t="s">
        <v>6384</v>
      </c>
      <c r="G72" s="124" t="s">
        <v>5186</v>
      </c>
      <c r="H72" s="126">
        <v>0.18</v>
      </c>
      <c r="I72" s="124" t="s">
        <v>5204</v>
      </c>
      <c r="J72" s="126">
        <v>0.02</v>
      </c>
      <c r="K72" s="124" t="s">
        <v>5200</v>
      </c>
      <c r="L72" s="126">
        <v>1.2E-2</v>
      </c>
      <c r="M72" s="124"/>
      <c r="N72" s="124"/>
      <c r="O72" s="124"/>
      <c r="P72" s="124"/>
      <c r="Q72" s="124"/>
      <c r="R72" s="124"/>
      <c r="S72" s="124"/>
      <c r="T72" s="124"/>
      <c r="U72" s="124" t="s">
        <v>5523</v>
      </c>
      <c r="V72" s="127">
        <f t="shared" si="2"/>
        <v>0.21199999999999999</v>
      </c>
      <c r="W72" s="126">
        <v>0</v>
      </c>
      <c r="X72" s="126">
        <v>0</v>
      </c>
      <c r="Y72" s="126">
        <v>10</v>
      </c>
      <c r="Z72" s="124"/>
      <c r="AA72" s="124" t="e">
        <f t="shared" ca="1" si="3"/>
        <v>#NAME?</v>
      </c>
      <c r="AB72" s="126">
        <f t="array" aca="1" ref="AB72" ca="1">IFERROR(J72/_xludf.XLOOKUP(I72,Materials!$A$3:$A$292,Materials!$I$3:$I$292),0)
+IFERROR(L72/_xludf.XLOOKUP(K72,Materials!$A$3:$A$292,Materials!$I$3:$I$292),0)
+IFERROR(N72/_xludf.XLOOKUP(M72,Materials!$A$3:$A$292,Materials!$I$3:$I$292),0)
+IFERROR(P72/_xludf.XLOOKUP(O72,Materials!$A$3:$A$292,Materials!$I$3:$I$292),0)
+IFERROR(R72/_xludf.XLOOKUP(Q72,Materials!$A$3:$A$292,Materials!$I$3:$I$292),0)
+IFERROR(H72/_xludf.XLOOKUP(G72,Materials!$A$3:$A$292,Materials!$I$3:$I$292),0)</f>
        <v>0</v>
      </c>
      <c r="AC72" s="20"/>
      <c r="AD72" s="20"/>
      <c r="AE72" s="20"/>
      <c r="AF72" s="20"/>
      <c r="AG72" s="20"/>
      <c r="AH72" s="20"/>
      <c r="AI72" s="20"/>
      <c r="AJ72" s="20"/>
      <c r="AK72" s="20"/>
      <c r="AL72" s="20"/>
      <c r="AM72" s="20"/>
      <c r="AN72" s="20"/>
      <c r="AO72" s="20"/>
      <c r="AP72" s="20"/>
      <c r="AQ72" s="20"/>
      <c r="AR72" s="20"/>
      <c r="AS72" s="20"/>
      <c r="AT72" s="20"/>
      <c r="AU72" s="20"/>
      <c r="AV72" s="20"/>
    </row>
    <row r="73" spans="1:48" ht="17.25" customHeight="1">
      <c r="A73" s="15" t="s">
        <v>5758</v>
      </c>
      <c r="B73" s="124" t="s">
        <v>154</v>
      </c>
      <c r="C73" s="124" t="s">
        <v>5524</v>
      </c>
      <c r="D73" s="125" t="e">
        <f t="shared" ca="1" si="0"/>
        <v>#NAME?</v>
      </c>
      <c r="E73" s="126" t="str">
        <f t="shared" ca="1" si="1"/>
        <v>Not enough information entered</v>
      </c>
      <c r="F73" s="124" t="s">
        <v>6230</v>
      </c>
      <c r="G73" s="124" t="s">
        <v>5186</v>
      </c>
      <c r="H73" s="126">
        <v>0.15</v>
      </c>
      <c r="I73" s="124" t="s">
        <v>5196</v>
      </c>
      <c r="J73" s="126">
        <v>0.03</v>
      </c>
      <c r="K73" s="124"/>
      <c r="L73" s="124"/>
      <c r="M73" s="124"/>
      <c r="N73" s="124"/>
      <c r="O73" s="124"/>
      <c r="P73" s="124"/>
      <c r="Q73" s="124"/>
      <c r="R73" s="124"/>
      <c r="S73" s="124"/>
      <c r="T73" s="124"/>
      <c r="U73" s="124" t="s">
        <v>5523</v>
      </c>
      <c r="V73" s="127">
        <f t="shared" si="2"/>
        <v>0.18</v>
      </c>
      <c r="W73" s="124"/>
      <c r="X73" s="124"/>
      <c r="Y73" s="124"/>
      <c r="Z73" s="124"/>
      <c r="AA73" s="124" t="e">
        <f t="shared" ca="1" si="3"/>
        <v>#NAME?</v>
      </c>
      <c r="AB73" s="126">
        <f t="array" aca="1" ref="AB73" ca="1">IFERROR(J73/_xludf.XLOOKUP(I73,Materials!$A$3:$A$292,Materials!$I$3:$I$292),0)
+IFERROR(L73/_xludf.XLOOKUP(K73,Materials!$A$3:$A$292,Materials!$I$3:$I$292),0)
+IFERROR(N73/_xludf.XLOOKUP(M73,Materials!$A$3:$A$292,Materials!$I$3:$I$292),0)
+IFERROR(P73/_xludf.XLOOKUP(O73,Materials!$A$3:$A$292,Materials!$I$3:$I$292),0)
+IFERROR(R73/_xludf.XLOOKUP(Q73,Materials!$A$3:$A$292,Materials!$I$3:$I$292),0)
+IFERROR(H73/_xludf.XLOOKUP(G73,Materials!$A$3:$A$292,Materials!$I$3:$I$292),0)</f>
        <v>0</v>
      </c>
      <c r="AC73" s="20"/>
      <c r="AD73" s="20"/>
      <c r="AE73" s="20"/>
      <c r="AF73" s="20"/>
      <c r="AG73" s="20"/>
      <c r="AH73" s="20"/>
      <c r="AI73" s="20"/>
      <c r="AJ73" s="20"/>
      <c r="AK73" s="20"/>
      <c r="AL73" s="20"/>
      <c r="AM73" s="20"/>
      <c r="AN73" s="20"/>
      <c r="AO73" s="20"/>
      <c r="AP73" s="20"/>
      <c r="AQ73" s="20"/>
      <c r="AR73" s="20"/>
      <c r="AS73" s="20"/>
      <c r="AT73" s="20"/>
      <c r="AU73" s="20"/>
      <c r="AV73" s="20"/>
    </row>
    <row r="74" spans="1:48" ht="17.25" hidden="1" customHeight="1">
      <c r="A74" s="15" t="s">
        <v>5758</v>
      </c>
      <c r="B74" s="124" t="s">
        <v>160</v>
      </c>
      <c r="C74" s="124" t="s">
        <v>5526</v>
      </c>
      <c r="D74" s="125" t="e">
        <f t="shared" ca="1" si="0"/>
        <v>#NAME?</v>
      </c>
      <c r="E74" s="126" t="str">
        <f t="shared" ca="1" si="1"/>
        <v>Not enough information entered</v>
      </c>
      <c r="F74" s="124" t="s">
        <v>6578</v>
      </c>
      <c r="G74" s="124" t="s">
        <v>5186</v>
      </c>
      <c r="H74" s="126">
        <v>0.18</v>
      </c>
      <c r="I74" s="124" t="s">
        <v>5196</v>
      </c>
      <c r="J74" s="126">
        <v>0.03</v>
      </c>
      <c r="K74" s="124"/>
      <c r="L74" s="124"/>
      <c r="M74" s="124"/>
      <c r="N74" s="124"/>
      <c r="O74" s="124"/>
      <c r="P74" s="124"/>
      <c r="Q74" s="124"/>
      <c r="R74" s="124"/>
      <c r="S74" s="124"/>
      <c r="T74" s="124"/>
      <c r="U74" s="124" t="s">
        <v>5523</v>
      </c>
      <c r="V74" s="127">
        <f t="shared" si="2"/>
        <v>0.21</v>
      </c>
      <c r="W74" s="126">
        <v>0</v>
      </c>
      <c r="X74" s="126">
        <v>0</v>
      </c>
      <c r="Y74" s="126">
        <v>10</v>
      </c>
      <c r="Z74" s="124"/>
      <c r="AA74" s="124" t="e">
        <f t="shared" ca="1" si="3"/>
        <v>#NAME?</v>
      </c>
      <c r="AB74" s="126">
        <f t="array" aca="1" ref="AB74" ca="1">IFERROR(J74/_xludf.XLOOKUP(I74,Materials!$A$3:$A$292,Materials!$I$3:$I$292),0)
+IFERROR(L74/_xludf.XLOOKUP(K74,Materials!$A$3:$A$292,Materials!$I$3:$I$292),0)
+IFERROR(N74/_xludf.XLOOKUP(M74,Materials!$A$3:$A$292,Materials!$I$3:$I$292),0)
+IFERROR(P74/_xludf.XLOOKUP(O74,Materials!$A$3:$A$292,Materials!$I$3:$I$292),0)
+IFERROR(R74/_xludf.XLOOKUP(Q74,Materials!$A$3:$A$292,Materials!$I$3:$I$292),0)
+IFERROR(H74/_xludf.XLOOKUP(G74,Materials!$A$3:$A$292,Materials!$I$3:$I$292),0)</f>
        <v>0</v>
      </c>
      <c r="AC74" s="20"/>
      <c r="AD74" s="20"/>
      <c r="AE74" s="20"/>
      <c r="AF74" s="20"/>
      <c r="AG74" s="20"/>
      <c r="AH74" s="20"/>
      <c r="AI74" s="20"/>
      <c r="AJ74" s="20"/>
      <c r="AK74" s="20"/>
      <c r="AL74" s="20"/>
      <c r="AM74" s="20"/>
      <c r="AN74" s="20"/>
      <c r="AO74" s="20"/>
      <c r="AP74" s="20"/>
      <c r="AQ74" s="20"/>
      <c r="AR74" s="20"/>
      <c r="AS74" s="20"/>
      <c r="AT74" s="20"/>
      <c r="AU74" s="20"/>
      <c r="AV74" s="20"/>
    </row>
    <row r="75" spans="1:48" ht="17.25" hidden="1" customHeight="1">
      <c r="A75" s="15" t="s">
        <v>5759</v>
      </c>
      <c r="B75" s="124" t="s">
        <v>157</v>
      </c>
      <c r="C75" s="124" t="s">
        <v>5522</v>
      </c>
      <c r="D75" s="125" t="e">
        <f t="shared" ca="1" si="0"/>
        <v>#NAME?</v>
      </c>
      <c r="E75" s="126" t="str">
        <f t="shared" ca="1" si="1"/>
        <v>Not enough information entered</v>
      </c>
      <c r="F75" s="124" t="s">
        <v>6385</v>
      </c>
      <c r="G75" s="124" t="s">
        <v>5211</v>
      </c>
      <c r="H75" s="126">
        <v>0.03</v>
      </c>
      <c r="I75" s="124" t="s">
        <v>5186</v>
      </c>
      <c r="J75" s="126">
        <v>0.18</v>
      </c>
      <c r="K75" s="124" t="s">
        <v>5204</v>
      </c>
      <c r="L75" s="126">
        <v>0.02</v>
      </c>
      <c r="M75" s="124" t="s">
        <v>5200</v>
      </c>
      <c r="N75" s="126">
        <v>1.2E-2</v>
      </c>
      <c r="O75" s="124"/>
      <c r="P75" s="124"/>
      <c r="Q75" s="124"/>
      <c r="R75" s="124"/>
      <c r="S75" s="124"/>
      <c r="T75" s="124"/>
      <c r="U75" s="124" t="s">
        <v>5523</v>
      </c>
      <c r="V75" s="127">
        <f t="shared" si="2"/>
        <v>0.24199999999999999</v>
      </c>
      <c r="W75" s="126">
        <v>0</v>
      </c>
      <c r="X75" s="126">
        <v>0</v>
      </c>
      <c r="Y75" s="126">
        <v>10</v>
      </c>
      <c r="Z75" s="124"/>
      <c r="AA75" s="124" t="e">
        <f t="shared" ca="1" si="3"/>
        <v>#NAME?</v>
      </c>
      <c r="AB75" s="126">
        <f t="array" aca="1" ref="AB75" ca="1">IFERROR(J75/_xludf.XLOOKUP(I75,Materials!$A$3:$A$292,Materials!$I$3:$I$292),0)
+IFERROR(L75/_xludf.XLOOKUP(K75,Materials!$A$3:$A$292,Materials!$I$3:$I$292),0)
+IFERROR(N75/_xludf.XLOOKUP(M75,Materials!$A$3:$A$292,Materials!$I$3:$I$292),0)
+IFERROR(P75/_xludf.XLOOKUP(O75,Materials!$A$3:$A$292,Materials!$I$3:$I$292),0)
+IFERROR(R75/_xludf.XLOOKUP(Q75,Materials!$A$3:$A$292,Materials!$I$3:$I$292),0)
+IFERROR(H75/_xludf.XLOOKUP(G75,Materials!$A$3:$A$292,Materials!$I$3:$I$292),0)</f>
        <v>0</v>
      </c>
      <c r="AC75" s="20"/>
      <c r="AD75" s="20"/>
      <c r="AE75" s="20"/>
      <c r="AF75" s="20"/>
      <c r="AG75" s="20"/>
      <c r="AH75" s="20"/>
      <c r="AI75" s="20"/>
      <c r="AJ75" s="20"/>
      <c r="AK75" s="20"/>
      <c r="AL75" s="20"/>
      <c r="AM75" s="20"/>
      <c r="AN75" s="20"/>
      <c r="AO75" s="20"/>
      <c r="AP75" s="20"/>
      <c r="AQ75" s="20"/>
      <c r="AR75" s="20"/>
      <c r="AS75" s="20"/>
      <c r="AT75" s="20"/>
      <c r="AU75" s="20"/>
      <c r="AV75" s="20"/>
    </row>
    <row r="76" spans="1:48" ht="17.25" customHeight="1">
      <c r="A76" s="15" t="s">
        <v>5759</v>
      </c>
      <c r="B76" s="124" t="s">
        <v>154</v>
      </c>
      <c r="C76" s="124" t="s">
        <v>5524</v>
      </c>
      <c r="D76" s="125" t="e">
        <f t="shared" ca="1" si="0"/>
        <v>#NAME?</v>
      </c>
      <c r="E76" s="126" t="str">
        <f t="shared" ca="1" si="1"/>
        <v>Not enough information entered</v>
      </c>
      <c r="F76" s="124" t="s">
        <v>6231</v>
      </c>
      <c r="G76" s="124" t="s">
        <v>5211</v>
      </c>
      <c r="H76" s="126">
        <v>5.8000000000000003E-2</v>
      </c>
      <c r="I76" s="124" t="s">
        <v>5186</v>
      </c>
      <c r="J76" s="126">
        <v>0.15</v>
      </c>
      <c r="K76" s="124" t="s">
        <v>5196</v>
      </c>
      <c r="L76" s="124">
        <v>0.03</v>
      </c>
      <c r="M76" s="124"/>
      <c r="N76" s="124"/>
      <c r="O76" s="124"/>
      <c r="P76" s="124"/>
      <c r="Q76" s="124"/>
      <c r="R76" s="124"/>
      <c r="S76" s="124"/>
      <c r="T76" s="124"/>
      <c r="U76" s="124" t="s">
        <v>5523</v>
      </c>
      <c r="V76" s="127">
        <f t="shared" si="2"/>
        <v>0.23799999999999999</v>
      </c>
      <c r="W76" s="124"/>
      <c r="X76" s="124"/>
      <c r="Y76" s="124"/>
      <c r="Z76" s="124"/>
      <c r="AA76" s="124" t="e">
        <f t="shared" ca="1" si="3"/>
        <v>#NAME?</v>
      </c>
      <c r="AB76" s="126">
        <f t="array" aca="1" ref="AB76" ca="1">IFERROR(J76/_xludf.XLOOKUP(I76,Materials!$A$3:$A$292,Materials!$I$3:$I$292),0)
+IFERROR(L76/_xludf.XLOOKUP(K76,Materials!$A$3:$A$292,Materials!$I$3:$I$292),0)
+IFERROR(N76/_xludf.XLOOKUP(M76,Materials!$A$3:$A$292,Materials!$I$3:$I$292),0)
+IFERROR(P76/_xludf.XLOOKUP(O76,Materials!$A$3:$A$292,Materials!$I$3:$I$292),0)
+IFERROR(R76/_xludf.XLOOKUP(Q76,Materials!$A$3:$A$292,Materials!$I$3:$I$292),0)
+IFERROR(H76/_xludf.XLOOKUP(G76,Materials!$A$3:$A$292,Materials!$I$3:$I$292),0)</f>
        <v>0</v>
      </c>
      <c r="AC76" s="20"/>
      <c r="AD76" s="20"/>
      <c r="AE76" s="20"/>
      <c r="AF76" s="20"/>
      <c r="AG76" s="20"/>
      <c r="AH76" s="20"/>
      <c r="AI76" s="20"/>
      <c r="AJ76" s="20"/>
      <c r="AK76" s="20"/>
      <c r="AL76" s="20"/>
      <c r="AM76" s="20"/>
      <c r="AN76" s="20"/>
      <c r="AO76" s="20"/>
      <c r="AP76" s="20"/>
      <c r="AQ76" s="20"/>
      <c r="AR76" s="20"/>
      <c r="AS76" s="20"/>
      <c r="AT76" s="20"/>
      <c r="AU76" s="20"/>
      <c r="AV76" s="20"/>
    </row>
    <row r="77" spans="1:48" ht="17.25" hidden="1" customHeight="1">
      <c r="A77" s="15" t="s">
        <v>5759</v>
      </c>
      <c r="B77" s="124" t="s">
        <v>160</v>
      </c>
      <c r="C77" s="124" t="s">
        <v>5526</v>
      </c>
      <c r="D77" s="125" t="e">
        <f t="shared" ca="1" si="0"/>
        <v>#NAME?</v>
      </c>
      <c r="E77" s="126" t="str">
        <f t="shared" ca="1" si="1"/>
        <v>Not enough information entered</v>
      </c>
      <c r="F77" s="124" t="s">
        <v>6579</v>
      </c>
      <c r="G77" s="124" t="s">
        <v>5211</v>
      </c>
      <c r="H77" s="126">
        <v>4.7E-2</v>
      </c>
      <c r="I77" s="124" t="s">
        <v>5186</v>
      </c>
      <c r="J77" s="126">
        <v>0.18</v>
      </c>
      <c r="K77" s="124" t="s">
        <v>5196</v>
      </c>
      <c r="L77" s="124">
        <v>0.03</v>
      </c>
      <c r="M77" s="124"/>
      <c r="N77" s="124"/>
      <c r="O77" s="124"/>
      <c r="P77" s="124"/>
      <c r="Q77" s="124"/>
      <c r="R77" s="124"/>
      <c r="S77" s="124"/>
      <c r="T77" s="124"/>
      <c r="U77" s="124" t="s">
        <v>5523</v>
      </c>
      <c r="V77" s="127">
        <f t="shared" si="2"/>
        <v>0.25700000000000001</v>
      </c>
      <c r="W77" s="126">
        <v>0</v>
      </c>
      <c r="X77" s="126">
        <v>0</v>
      </c>
      <c r="Y77" s="126">
        <v>10</v>
      </c>
      <c r="Z77" s="124"/>
      <c r="AA77" s="124" t="e">
        <f t="shared" ca="1" si="3"/>
        <v>#NAME?</v>
      </c>
      <c r="AB77" s="126">
        <f t="array" aca="1" ref="AB77" ca="1">IFERROR(J77/_xludf.XLOOKUP(I77,Materials!$A$3:$A$292,Materials!$I$3:$I$292),0)
+IFERROR(L77/_xludf.XLOOKUP(K77,Materials!$A$3:$A$292,Materials!$I$3:$I$292),0)
+IFERROR(N77/_xludf.XLOOKUP(M77,Materials!$A$3:$A$292,Materials!$I$3:$I$292),0)
+IFERROR(P77/_xludf.XLOOKUP(O77,Materials!$A$3:$A$292,Materials!$I$3:$I$292),0)
+IFERROR(R77/_xludf.XLOOKUP(Q77,Materials!$A$3:$A$292,Materials!$I$3:$I$292),0)
+IFERROR(H77/_xludf.XLOOKUP(G77,Materials!$A$3:$A$292,Materials!$I$3:$I$292),0)</f>
        <v>0</v>
      </c>
      <c r="AC77" s="20"/>
      <c r="AD77" s="20"/>
      <c r="AE77" s="20"/>
      <c r="AF77" s="20"/>
      <c r="AG77" s="20"/>
      <c r="AH77" s="20"/>
      <c r="AI77" s="20"/>
      <c r="AJ77" s="20"/>
      <c r="AK77" s="20"/>
      <c r="AL77" s="20"/>
      <c r="AM77" s="20"/>
      <c r="AN77" s="20"/>
      <c r="AO77" s="20"/>
      <c r="AP77" s="20"/>
      <c r="AQ77" s="20"/>
      <c r="AR77" s="20"/>
      <c r="AS77" s="20"/>
      <c r="AT77" s="20"/>
      <c r="AU77" s="20"/>
      <c r="AV77" s="20"/>
    </row>
    <row r="78" spans="1:48" ht="17.25" hidden="1" customHeight="1">
      <c r="A78" s="15" t="s">
        <v>5760</v>
      </c>
      <c r="B78" s="124" t="s">
        <v>157</v>
      </c>
      <c r="C78" s="124" t="s">
        <v>5522</v>
      </c>
      <c r="D78" s="125" t="e">
        <f t="shared" ca="1" si="0"/>
        <v>#NAME?</v>
      </c>
      <c r="E78" s="126" t="str">
        <f t="shared" ca="1" si="1"/>
        <v>Not enough information entered</v>
      </c>
      <c r="F78" s="124" t="s">
        <v>6386</v>
      </c>
      <c r="G78" s="124" t="s">
        <v>5211</v>
      </c>
      <c r="H78" s="126">
        <v>0.04</v>
      </c>
      <c r="I78" s="124" t="s">
        <v>5186</v>
      </c>
      <c r="J78" s="126">
        <v>0.18</v>
      </c>
      <c r="K78" s="124" t="s">
        <v>5204</v>
      </c>
      <c r="L78" s="126">
        <v>0.02</v>
      </c>
      <c r="M78" s="124" t="s">
        <v>5200</v>
      </c>
      <c r="N78" s="126">
        <v>1.2E-2</v>
      </c>
      <c r="O78" s="124"/>
      <c r="P78" s="124"/>
      <c r="Q78" s="124"/>
      <c r="R78" s="124"/>
      <c r="S78" s="124"/>
      <c r="T78" s="124"/>
      <c r="U78" s="124" t="s">
        <v>5523</v>
      </c>
      <c r="V78" s="127">
        <f t="shared" si="2"/>
        <v>0.252</v>
      </c>
      <c r="W78" s="126">
        <v>0</v>
      </c>
      <c r="X78" s="126">
        <v>0</v>
      </c>
      <c r="Y78" s="126">
        <v>10</v>
      </c>
      <c r="Z78" s="124"/>
      <c r="AA78" s="124" t="e">
        <f t="shared" ca="1" si="3"/>
        <v>#NAME?</v>
      </c>
      <c r="AB78" s="126">
        <f t="array" aca="1" ref="AB78" ca="1">IFERROR(J78/_xludf.XLOOKUP(I78,Materials!$A$3:$A$292,Materials!$I$3:$I$292),0)
+IFERROR(L78/_xludf.XLOOKUP(K78,Materials!$A$3:$A$292,Materials!$I$3:$I$292),0)
+IFERROR(N78/_xludf.XLOOKUP(M78,Materials!$A$3:$A$292,Materials!$I$3:$I$292),0)
+IFERROR(P78/_xludf.XLOOKUP(O78,Materials!$A$3:$A$292,Materials!$I$3:$I$292),0)
+IFERROR(R78/_xludf.XLOOKUP(Q78,Materials!$A$3:$A$292,Materials!$I$3:$I$292),0)
+IFERROR(H78/_xludf.XLOOKUP(G78,Materials!$A$3:$A$292,Materials!$I$3:$I$292),0)</f>
        <v>0</v>
      </c>
      <c r="AC78" s="20"/>
      <c r="AD78" s="20"/>
      <c r="AE78" s="20"/>
      <c r="AF78" s="20"/>
      <c r="AG78" s="20"/>
      <c r="AH78" s="20"/>
      <c r="AI78" s="20"/>
      <c r="AJ78" s="20"/>
      <c r="AK78" s="20"/>
      <c r="AL78" s="20"/>
      <c r="AM78" s="20"/>
      <c r="AN78" s="20"/>
      <c r="AO78" s="20"/>
      <c r="AP78" s="20"/>
      <c r="AQ78" s="20"/>
      <c r="AR78" s="20"/>
      <c r="AS78" s="20"/>
      <c r="AT78" s="20"/>
      <c r="AU78" s="20"/>
      <c r="AV78" s="20"/>
    </row>
    <row r="79" spans="1:48" ht="17.25" customHeight="1">
      <c r="A79" s="15" t="s">
        <v>5760</v>
      </c>
      <c r="B79" s="124" t="s">
        <v>154</v>
      </c>
      <c r="C79" s="124" t="s">
        <v>5524</v>
      </c>
      <c r="D79" s="125" t="e">
        <f t="shared" ca="1" si="0"/>
        <v>#NAME?</v>
      </c>
      <c r="E79" s="126" t="str">
        <f t="shared" ca="1" si="1"/>
        <v>Not enough information entered</v>
      </c>
      <c r="F79" s="124" t="s">
        <v>6232</v>
      </c>
      <c r="G79" s="124" t="s">
        <v>5211</v>
      </c>
      <c r="H79" s="126">
        <v>5.8999999999999997E-2</v>
      </c>
      <c r="I79" s="124" t="s">
        <v>5186</v>
      </c>
      <c r="J79" s="126">
        <v>0.15</v>
      </c>
      <c r="K79" s="124" t="s">
        <v>5196</v>
      </c>
      <c r="L79" s="124">
        <v>0.03</v>
      </c>
      <c r="M79" s="124"/>
      <c r="N79" s="124"/>
      <c r="O79" s="124"/>
      <c r="P79" s="124"/>
      <c r="Q79" s="124"/>
      <c r="R79" s="124"/>
      <c r="S79" s="124"/>
      <c r="T79" s="124"/>
      <c r="U79" s="124" t="s">
        <v>5523</v>
      </c>
      <c r="V79" s="127">
        <f t="shared" si="2"/>
        <v>0.23899999999999999</v>
      </c>
      <c r="W79" s="124"/>
      <c r="X79" s="124"/>
      <c r="Y79" s="124"/>
      <c r="Z79" s="124"/>
      <c r="AA79" s="124" t="e">
        <f t="shared" ca="1" si="3"/>
        <v>#NAME?</v>
      </c>
      <c r="AB79" s="126">
        <f t="array" aca="1" ref="AB79" ca="1">IFERROR(J79/_xludf.XLOOKUP(I79,Materials!$A$3:$A$292,Materials!$I$3:$I$292),0)
+IFERROR(L79/_xludf.XLOOKUP(K79,Materials!$A$3:$A$292,Materials!$I$3:$I$292),0)
+IFERROR(N79/_xludf.XLOOKUP(M79,Materials!$A$3:$A$292,Materials!$I$3:$I$292),0)
+IFERROR(P79/_xludf.XLOOKUP(O79,Materials!$A$3:$A$292,Materials!$I$3:$I$292),0)
+IFERROR(R79/_xludf.XLOOKUP(Q79,Materials!$A$3:$A$292,Materials!$I$3:$I$292),0)
+IFERROR(H79/_xludf.XLOOKUP(G79,Materials!$A$3:$A$292,Materials!$I$3:$I$292),0)</f>
        <v>0</v>
      </c>
      <c r="AC79" s="20"/>
      <c r="AD79" s="20"/>
      <c r="AE79" s="20"/>
      <c r="AF79" s="20"/>
      <c r="AG79" s="20"/>
      <c r="AH79" s="20"/>
      <c r="AI79" s="20"/>
      <c r="AJ79" s="20"/>
      <c r="AK79" s="20"/>
      <c r="AL79" s="20"/>
      <c r="AM79" s="20"/>
      <c r="AN79" s="20"/>
      <c r="AO79" s="20"/>
      <c r="AP79" s="20"/>
      <c r="AQ79" s="20"/>
      <c r="AR79" s="20"/>
      <c r="AS79" s="20"/>
      <c r="AT79" s="20"/>
      <c r="AU79" s="20"/>
      <c r="AV79" s="20"/>
    </row>
    <row r="80" spans="1:48" ht="17.25" hidden="1" customHeight="1">
      <c r="A80" s="15" t="s">
        <v>5760</v>
      </c>
      <c r="B80" s="124" t="s">
        <v>160</v>
      </c>
      <c r="C80" s="124" t="s">
        <v>5526</v>
      </c>
      <c r="D80" s="125" t="e">
        <f t="shared" ca="1" si="0"/>
        <v>#NAME?</v>
      </c>
      <c r="E80" s="126" t="str">
        <f t="shared" ca="1" si="1"/>
        <v>Not enough information entered</v>
      </c>
      <c r="F80" s="124" t="s">
        <v>6580</v>
      </c>
      <c r="G80" s="124" t="s">
        <v>5211</v>
      </c>
      <c r="H80" s="126">
        <v>5.8000000000000003E-2</v>
      </c>
      <c r="I80" s="124" t="s">
        <v>5186</v>
      </c>
      <c r="J80" s="126">
        <v>0.18</v>
      </c>
      <c r="K80" s="124" t="s">
        <v>5196</v>
      </c>
      <c r="L80" s="124">
        <v>0.03</v>
      </c>
      <c r="M80" s="124"/>
      <c r="N80" s="124"/>
      <c r="O80" s="124"/>
      <c r="P80" s="124"/>
      <c r="Q80" s="124"/>
      <c r="R80" s="124"/>
      <c r="S80" s="124"/>
      <c r="T80" s="124"/>
      <c r="U80" s="124" t="s">
        <v>5523</v>
      </c>
      <c r="V80" s="127">
        <f t="shared" si="2"/>
        <v>0.26800000000000002</v>
      </c>
      <c r="W80" s="126">
        <v>0</v>
      </c>
      <c r="X80" s="126">
        <v>0</v>
      </c>
      <c r="Y80" s="126">
        <v>10</v>
      </c>
      <c r="Z80" s="124"/>
      <c r="AA80" s="124" t="e">
        <f t="shared" ca="1" si="3"/>
        <v>#NAME?</v>
      </c>
      <c r="AB80" s="126">
        <f t="array" aca="1" ref="AB80" ca="1">IFERROR(J80/_xludf.XLOOKUP(I80,Materials!$A$3:$A$292,Materials!$I$3:$I$292),0)
+IFERROR(L80/_xludf.XLOOKUP(K80,Materials!$A$3:$A$292,Materials!$I$3:$I$292),0)
+IFERROR(N80/_xludf.XLOOKUP(M80,Materials!$A$3:$A$292,Materials!$I$3:$I$292),0)
+IFERROR(P80/_xludf.XLOOKUP(O80,Materials!$A$3:$A$292,Materials!$I$3:$I$292),0)
+IFERROR(R80/_xludf.XLOOKUP(Q80,Materials!$A$3:$A$292,Materials!$I$3:$I$292),0)
+IFERROR(H80/_xludf.XLOOKUP(G80,Materials!$A$3:$A$292,Materials!$I$3:$I$292),0)</f>
        <v>0</v>
      </c>
      <c r="AC80" s="20"/>
      <c r="AD80" s="20"/>
      <c r="AE80" s="20"/>
      <c r="AF80" s="20"/>
      <c r="AG80" s="20"/>
      <c r="AH80" s="20"/>
      <c r="AI80" s="20"/>
      <c r="AJ80" s="20"/>
      <c r="AK80" s="20"/>
      <c r="AL80" s="20"/>
      <c r="AM80" s="20"/>
      <c r="AN80" s="20"/>
      <c r="AO80" s="20"/>
      <c r="AP80" s="20"/>
      <c r="AQ80" s="20"/>
      <c r="AR80" s="20"/>
      <c r="AS80" s="20"/>
      <c r="AT80" s="20"/>
      <c r="AU80" s="20"/>
      <c r="AV80" s="20"/>
    </row>
    <row r="81" spans="1:48" ht="17.25" hidden="1" customHeight="1">
      <c r="A81" s="15" t="s">
        <v>5761</v>
      </c>
      <c r="B81" s="124" t="s">
        <v>157</v>
      </c>
      <c r="C81" s="124" t="s">
        <v>5522</v>
      </c>
      <c r="D81" s="125" t="e">
        <f t="shared" ca="1" si="0"/>
        <v>#NAME?</v>
      </c>
      <c r="E81" s="126" t="str">
        <f t="shared" ca="1" si="1"/>
        <v>Not enough information entered</v>
      </c>
      <c r="F81" s="124" t="s">
        <v>6387</v>
      </c>
      <c r="G81" s="124" t="s">
        <v>5211</v>
      </c>
      <c r="H81" s="126">
        <v>0.06</v>
      </c>
      <c r="I81" s="124" t="s">
        <v>5186</v>
      </c>
      <c r="J81" s="126">
        <v>0.18</v>
      </c>
      <c r="K81" s="124" t="s">
        <v>5204</v>
      </c>
      <c r="L81" s="126">
        <v>0.02</v>
      </c>
      <c r="M81" s="124" t="s">
        <v>5200</v>
      </c>
      <c r="N81" s="126">
        <v>1.2E-2</v>
      </c>
      <c r="O81" s="124"/>
      <c r="P81" s="124"/>
      <c r="Q81" s="124"/>
      <c r="R81" s="124"/>
      <c r="S81" s="124"/>
      <c r="T81" s="124"/>
      <c r="U81" s="124" t="s">
        <v>5523</v>
      </c>
      <c r="V81" s="127">
        <f t="shared" si="2"/>
        <v>0.27200000000000002</v>
      </c>
      <c r="W81" s="126">
        <v>0</v>
      </c>
      <c r="X81" s="126">
        <v>0</v>
      </c>
      <c r="Y81" s="126">
        <v>10</v>
      </c>
      <c r="Z81" s="124"/>
      <c r="AA81" s="124" t="e">
        <f t="shared" ca="1" si="3"/>
        <v>#NAME?</v>
      </c>
      <c r="AB81" s="126">
        <f t="array" aca="1" ref="AB81" ca="1">IFERROR(J81/_xludf.XLOOKUP(I81,Materials!$A$3:$A$292,Materials!$I$3:$I$292),0)
+IFERROR(L81/_xludf.XLOOKUP(K81,Materials!$A$3:$A$292,Materials!$I$3:$I$292),0)
+IFERROR(N81/_xludf.XLOOKUP(M81,Materials!$A$3:$A$292,Materials!$I$3:$I$292),0)
+IFERROR(P81/_xludf.XLOOKUP(O81,Materials!$A$3:$A$292,Materials!$I$3:$I$292),0)
+IFERROR(R81/_xludf.XLOOKUP(Q81,Materials!$A$3:$A$292,Materials!$I$3:$I$292),0)
+IFERROR(H81/_xludf.XLOOKUP(G81,Materials!$A$3:$A$292,Materials!$I$3:$I$292),0)</f>
        <v>0</v>
      </c>
      <c r="AC81" s="20"/>
      <c r="AD81" s="20"/>
      <c r="AE81" s="20"/>
      <c r="AF81" s="20"/>
      <c r="AG81" s="20"/>
      <c r="AH81" s="20"/>
      <c r="AI81" s="20"/>
      <c r="AJ81" s="20"/>
      <c r="AK81" s="20"/>
      <c r="AL81" s="20"/>
      <c r="AM81" s="20"/>
      <c r="AN81" s="20"/>
      <c r="AO81" s="20"/>
      <c r="AP81" s="20"/>
      <c r="AQ81" s="20"/>
      <c r="AR81" s="20"/>
      <c r="AS81" s="20"/>
      <c r="AT81" s="20"/>
      <c r="AU81" s="20"/>
      <c r="AV81" s="20"/>
    </row>
    <row r="82" spans="1:48" ht="17.25" customHeight="1">
      <c r="A82" s="15" t="s">
        <v>5761</v>
      </c>
      <c r="B82" s="124" t="s">
        <v>154</v>
      </c>
      <c r="C82" s="124" t="s">
        <v>5524</v>
      </c>
      <c r="D82" s="125" t="e">
        <f t="shared" ca="1" si="0"/>
        <v>#NAME?</v>
      </c>
      <c r="E82" s="126" t="str">
        <f t="shared" ca="1" si="1"/>
        <v>Not enough information entered</v>
      </c>
      <c r="F82" s="124" t="s">
        <v>6233</v>
      </c>
      <c r="G82" s="124" t="s">
        <v>5211</v>
      </c>
      <c r="H82" s="126">
        <v>7.8E-2</v>
      </c>
      <c r="I82" s="124" t="s">
        <v>5186</v>
      </c>
      <c r="J82" s="126">
        <v>0.15</v>
      </c>
      <c r="K82" s="124" t="s">
        <v>5196</v>
      </c>
      <c r="L82" s="124">
        <v>0.03</v>
      </c>
      <c r="M82" s="124"/>
      <c r="N82" s="124"/>
      <c r="O82" s="124"/>
      <c r="P82" s="124"/>
      <c r="Q82" s="124"/>
      <c r="R82" s="124"/>
      <c r="S82" s="124"/>
      <c r="T82" s="124"/>
      <c r="U82" s="124" t="s">
        <v>5523</v>
      </c>
      <c r="V82" s="127">
        <f t="shared" si="2"/>
        <v>0.25800000000000001</v>
      </c>
      <c r="W82" s="124"/>
      <c r="X82" s="124"/>
      <c r="Y82" s="124"/>
      <c r="Z82" s="124"/>
      <c r="AA82" s="124" t="e">
        <f t="shared" ca="1" si="3"/>
        <v>#NAME?</v>
      </c>
      <c r="AB82" s="126">
        <f t="array" aca="1" ref="AB82" ca="1">IFERROR(J82/_xludf.XLOOKUP(I82,Materials!$A$3:$A$292,Materials!$I$3:$I$292),0)
+IFERROR(L82/_xludf.XLOOKUP(K82,Materials!$A$3:$A$292,Materials!$I$3:$I$292),0)
+IFERROR(N82/_xludf.XLOOKUP(M82,Materials!$A$3:$A$292,Materials!$I$3:$I$292),0)
+IFERROR(P82/_xludf.XLOOKUP(O82,Materials!$A$3:$A$292,Materials!$I$3:$I$292),0)
+IFERROR(R82/_xludf.XLOOKUP(Q82,Materials!$A$3:$A$292,Materials!$I$3:$I$292),0)
+IFERROR(H82/_xludf.XLOOKUP(G82,Materials!$A$3:$A$292,Materials!$I$3:$I$292),0)</f>
        <v>0</v>
      </c>
      <c r="AC82" s="20"/>
      <c r="AD82" s="20"/>
      <c r="AE82" s="20"/>
      <c r="AF82" s="20"/>
      <c r="AG82" s="20"/>
      <c r="AH82" s="20"/>
      <c r="AI82" s="20"/>
      <c r="AJ82" s="20"/>
      <c r="AK82" s="20"/>
      <c r="AL82" s="20"/>
      <c r="AM82" s="20"/>
      <c r="AN82" s="20"/>
      <c r="AO82" s="20"/>
      <c r="AP82" s="20"/>
      <c r="AQ82" s="20"/>
      <c r="AR82" s="20"/>
      <c r="AS82" s="20"/>
      <c r="AT82" s="20"/>
      <c r="AU82" s="20"/>
      <c r="AV82" s="20"/>
    </row>
    <row r="83" spans="1:48" ht="17.25" hidden="1" customHeight="1">
      <c r="A83" s="15" t="s">
        <v>5761</v>
      </c>
      <c r="B83" s="124" t="s">
        <v>160</v>
      </c>
      <c r="C83" s="124" t="s">
        <v>5526</v>
      </c>
      <c r="D83" s="125" t="e">
        <f t="shared" ca="1" si="0"/>
        <v>#NAME?</v>
      </c>
      <c r="E83" s="126" t="str">
        <f t="shared" ca="1" si="1"/>
        <v>Not enough information entered</v>
      </c>
      <c r="F83" s="124" t="s">
        <v>6581</v>
      </c>
      <c r="G83" s="124" t="s">
        <v>5211</v>
      </c>
      <c r="H83" s="126">
        <v>7.6999999999999999E-2</v>
      </c>
      <c r="I83" s="124" t="s">
        <v>5186</v>
      </c>
      <c r="J83" s="126">
        <v>0.18</v>
      </c>
      <c r="K83" s="124" t="s">
        <v>5196</v>
      </c>
      <c r="L83" s="124">
        <v>0.03</v>
      </c>
      <c r="M83" s="124"/>
      <c r="N83" s="124"/>
      <c r="O83" s="124"/>
      <c r="P83" s="124"/>
      <c r="Q83" s="124"/>
      <c r="R83" s="124"/>
      <c r="S83" s="124"/>
      <c r="T83" s="124"/>
      <c r="U83" s="124" t="s">
        <v>5523</v>
      </c>
      <c r="V83" s="127">
        <f t="shared" si="2"/>
        <v>0.28700000000000003</v>
      </c>
      <c r="W83" s="126">
        <v>0</v>
      </c>
      <c r="X83" s="126">
        <v>0</v>
      </c>
      <c r="Y83" s="126">
        <v>10</v>
      </c>
      <c r="Z83" s="124"/>
      <c r="AA83" s="124" t="e">
        <f t="shared" ca="1" si="3"/>
        <v>#NAME?</v>
      </c>
      <c r="AB83" s="126">
        <f t="array" aca="1" ref="AB83" ca="1">IFERROR(J83/_xludf.XLOOKUP(I83,Materials!$A$3:$A$292,Materials!$I$3:$I$292),0)
+IFERROR(L83/_xludf.XLOOKUP(K83,Materials!$A$3:$A$292,Materials!$I$3:$I$292),0)
+IFERROR(N83/_xludf.XLOOKUP(M83,Materials!$A$3:$A$292,Materials!$I$3:$I$292),0)
+IFERROR(P83/_xludf.XLOOKUP(O83,Materials!$A$3:$A$292,Materials!$I$3:$I$292),0)
+IFERROR(R83/_xludf.XLOOKUP(Q83,Materials!$A$3:$A$292,Materials!$I$3:$I$292),0)
+IFERROR(H83/_xludf.XLOOKUP(G83,Materials!$A$3:$A$292,Materials!$I$3:$I$292),0)</f>
        <v>0</v>
      </c>
      <c r="AC83" s="20"/>
      <c r="AD83" s="20"/>
      <c r="AE83" s="20"/>
      <c r="AF83" s="20"/>
      <c r="AG83" s="20"/>
      <c r="AH83" s="20"/>
      <c r="AI83" s="20"/>
      <c r="AJ83" s="20"/>
      <c r="AK83" s="20"/>
      <c r="AL83" s="20"/>
      <c r="AM83" s="20"/>
      <c r="AN83" s="20"/>
      <c r="AO83" s="20"/>
      <c r="AP83" s="20"/>
      <c r="AQ83" s="20"/>
      <c r="AR83" s="20"/>
      <c r="AS83" s="20"/>
      <c r="AT83" s="20"/>
      <c r="AU83" s="20"/>
      <c r="AV83" s="20"/>
    </row>
    <row r="84" spans="1:48" ht="17.25" hidden="1" customHeight="1">
      <c r="A84" s="15" t="s">
        <v>5762</v>
      </c>
      <c r="B84" s="124" t="s">
        <v>157</v>
      </c>
      <c r="C84" s="124" t="s">
        <v>5522</v>
      </c>
      <c r="D84" s="125" t="e">
        <f t="shared" ca="1" si="0"/>
        <v>#NAME?</v>
      </c>
      <c r="E84" s="126" t="str">
        <f t="shared" ca="1" si="1"/>
        <v>Not enough information entered</v>
      </c>
      <c r="F84" s="124" t="s">
        <v>6388</v>
      </c>
      <c r="G84" s="124" t="s">
        <v>5211</v>
      </c>
      <c r="H84" s="126">
        <v>6.9000000000000006E-2</v>
      </c>
      <c r="I84" s="124" t="s">
        <v>5186</v>
      </c>
      <c r="J84" s="126">
        <v>0.18</v>
      </c>
      <c r="K84" s="124" t="s">
        <v>5204</v>
      </c>
      <c r="L84" s="126">
        <v>0.02</v>
      </c>
      <c r="M84" s="124" t="s">
        <v>5200</v>
      </c>
      <c r="N84" s="126">
        <v>1.2E-2</v>
      </c>
      <c r="O84" s="124"/>
      <c r="P84" s="124"/>
      <c r="Q84" s="124"/>
      <c r="R84" s="124"/>
      <c r="S84" s="124"/>
      <c r="T84" s="124"/>
      <c r="U84" s="124" t="s">
        <v>5523</v>
      </c>
      <c r="V84" s="127">
        <f t="shared" si="2"/>
        <v>0.28100000000000003</v>
      </c>
      <c r="W84" s="126">
        <v>0</v>
      </c>
      <c r="X84" s="126">
        <v>0</v>
      </c>
      <c r="Y84" s="126">
        <v>10</v>
      </c>
      <c r="Z84" s="124"/>
      <c r="AA84" s="124" t="e">
        <f t="shared" ca="1" si="3"/>
        <v>#NAME?</v>
      </c>
      <c r="AB84" s="126">
        <f t="array" aca="1" ref="AB84" ca="1">IFERROR(J84/_xludf.XLOOKUP(I84,Materials!$A$3:$A$292,Materials!$I$3:$I$292),0)
+IFERROR(L84/_xludf.XLOOKUP(K84,Materials!$A$3:$A$292,Materials!$I$3:$I$292),0)
+IFERROR(N84/_xludf.XLOOKUP(M84,Materials!$A$3:$A$292,Materials!$I$3:$I$292),0)
+IFERROR(P84/_xludf.XLOOKUP(O84,Materials!$A$3:$A$292,Materials!$I$3:$I$292),0)
+IFERROR(R84/_xludf.XLOOKUP(Q84,Materials!$A$3:$A$292,Materials!$I$3:$I$292),0)
+IFERROR(H84/_xludf.XLOOKUP(G84,Materials!$A$3:$A$292,Materials!$I$3:$I$292),0)</f>
        <v>0</v>
      </c>
      <c r="AC84" s="20"/>
      <c r="AD84" s="20"/>
      <c r="AE84" s="20"/>
      <c r="AF84" s="20"/>
      <c r="AG84" s="20"/>
      <c r="AH84" s="20"/>
      <c r="AI84" s="20"/>
      <c r="AJ84" s="20"/>
      <c r="AK84" s="20"/>
      <c r="AL84" s="20"/>
      <c r="AM84" s="20"/>
      <c r="AN84" s="20"/>
      <c r="AO84" s="20"/>
      <c r="AP84" s="20"/>
      <c r="AQ84" s="20"/>
      <c r="AR84" s="20"/>
      <c r="AS84" s="20"/>
      <c r="AT84" s="20"/>
      <c r="AU84" s="20"/>
      <c r="AV84" s="20"/>
    </row>
    <row r="85" spans="1:48" ht="17.25" customHeight="1">
      <c r="A85" s="15" t="s">
        <v>5762</v>
      </c>
      <c r="B85" s="124" t="s">
        <v>154</v>
      </c>
      <c r="C85" s="124" t="s">
        <v>5524</v>
      </c>
      <c r="D85" s="125" t="e">
        <f t="shared" ca="1" si="0"/>
        <v>#NAME?</v>
      </c>
      <c r="E85" s="126" t="str">
        <f t="shared" ca="1" si="1"/>
        <v>Not enough information entered</v>
      </c>
      <c r="F85" s="124" t="s">
        <v>6234</v>
      </c>
      <c r="G85" s="124" t="s">
        <v>5211</v>
      </c>
      <c r="H85" s="126">
        <v>9.4E-2</v>
      </c>
      <c r="I85" s="124" t="s">
        <v>5186</v>
      </c>
      <c r="J85" s="126">
        <v>0.15</v>
      </c>
      <c r="K85" s="124" t="s">
        <v>5196</v>
      </c>
      <c r="L85" s="124">
        <v>0.03</v>
      </c>
      <c r="M85" s="124"/>
      <c r="N85" s="124"/>
      <c r="O85" s="124"/>
      <c r="P85" s="124"/>
      <c r="Q85" s="124"/>
      <c r="R85" s="124"/>
      <c r="S85" s="124"/>
      <c r="T85" s="124"/>
      <c r="U85" s="124" t="s">
        <v>5523</v>
      </c>
      <c r="V85" s="127">
        <f t="shared" si="2"/>
        <v>0.27400000000000002</v>
      </c>
      <c r="W85" s="124"/>
      <c r="X85" s="124"/>
      <c r="Y85" s="124"/>
      <c r="Z85" s="124"/>
      <c r="AA85" s="124" t="e">
        <f t="shared" ca="1" si="3"/>
        <v>#NAME?</v>
      </c>
      <c r="AB85" s="126">
        <f t="array" aca="1" ref="AB85" ca="1">IFERROR(J85/_xludf.XLOOKUP(I85,Materials!$A$3:$A$292,Materials!$I$3:$I$292),0)
+IFERROR(L85/_xludf.XLOOKUP(K85,Materials!$A$3:$A$292,Materials!$I$3:$I$292),0)
+IFERROR(N85/_xludf.XLOOKUP(M85,Materials!$A$3:$A$292,Materials!$I$3:$I$292),0)
+IFERROR(P85/_xludf.XLOOKUP(O85,Materials!$A$3:$A$292,Materials!$I$3:$I$292),0)
+IFERROR(R85/_xludf.XLOOKUP(Q85,Materials!$A$3:$A$292,Materials!$I$3:$I$292),0)
+IFERROR(H85/_xludf.XLOOKUP(G85,Materials!$A$3:$A$292,Materials!$I$3:$I$292),0)</f>
        <v>0</v>
      </c>
      <c r="AC85" s="20"/>
      <c r="AD85" s="20"/>
      <c r="AE85" s="20"/>
      <c r="AF85" s="20"/>
      <c r="AG85" s="20"/>
      <c r="AH85" s="20"/>
      <c r="AI85" s="20"/>
      <c r="AJ85" s="20"/>
      <c r="AK85" s="20"/>
      <c r="AL85" s="20"/>
      <c r="AM85" s="20"/>
      <c r="AN85" s="20"/>
      <c r="AO85" s="20"/>
      <c r="AP85" s="20"/>
      <c r="AQ85" s="20"/>
      <c r="AR85" s="20"/>
      <c r="AS85" s="20"/>
      <c r="AT85" s="20"/>
      <c r="AU85" s="20"/>
      <c r="AV85" s="20"/>
    </row>
    <row r="86" spans="1:48" ht="17.25" hidden="1" customHeight="1">
      <c r="A86" s="15" t="s">
        <v>5762</v>
      </c>
      <c r="B86" s="124" t="s">
        <v>160</v>
      </c>
      <c r="C86" s="124" t="s">
        <v>5526</v>
      </c>
      <c r="D86" s="125" t="e">
        <f t="shared" ca="1" si="0"/>
        <v>#NAME?</v>
      </c>
      <c r="E86" s="126" t="str">
        <f t="shared" ca="1" si="1"/>
        <v>Not enough information entered</v>
      </c>
      <c r="F86" s="124" t="s">
        <v>6582</v>
      </c>
      <c r="G86" s="124" t="s">
        <v>5211</v>
      </c>
      <c r="H86" s="126">
        <v>9.2999999999999999E-2</v>
      </c>
      <c r="I86" s="124" t="s">
        <v>5186</v>
      </c>
      <c r="J86" s="126">
        <v>0.18</v>
      </c>
      <c r="K86" s="124" t="s">
        <v>5196</v>
      </c>
      <c r="L86" s="124">
        <v>0.03</v>
      </c>
      <c r="M86" s="124"/>
      <c r="N86" s="124"/>
      <c r="O86" s="124"/>
      <c r="P86" s="124"/>
      <c r="Q86" s="124"/>
      <c r="R86" s="124"/>
      <c r="S86" s="124"/>
      <c r="T86" s="124"/>
      <c r="U86" s="124" t="s">
        <v>5523</v>
      </c>
      <c r="V86" s="127">
        <f t="shared" si="2"/>
        <v>0.30300000000000005</v>
      </c>
      <c r="W86" s="126">
        <v>0</v>
      </c>
      <c r="X86" s="126">
        <v>0</v>
      </c>
      <c r="Y86" s="126">
        <v>10</v>
      </c>
      <c r="Z86" s="124"/>
      <c r="AA86" s="124" t="e">
        <f t="shared" ca="1" si="3"/>
        <v>#NAME?</v>
      </c>
      <c r="AB86" s="126">
        <f t="array" aca="1" ref="AB86" ca="1">IFERROR(J86/_xludf.XLOOKUP(I86,Materials!$A$3:$A$292,Materials!$I$3:$I$292),0)
+IFERROR(L86/_xludf.XLOOKUP(K86,Materials!$A$3:$A$292,Materials!$I$3:$I$292),0)
+IFERROR(N86/_xludf.XLOOKUP(M86,Materials!$A$3:$A$292,Materials!$I$3:$I$292),0)
+IFERROR(P86/_xludf.XLOOKUP(O86,Materials!$A$3:$A$292,Materials!$I$3:$I$292),0)
+IFERROR(R86/_xludf.XLOOKUP(Q86,Materials!$A$3:$A$292,Materials!$I$3:$I$292),0)
+IFERROR(H86/_xludf.XLOOKUP(G86,Materials!$A$3:$A$292,Materials!$I$3:$I$292),0)</f>
        <v>0</v>
      </c>
      <c r="AC86" s="20"/>
      <c r="AD86" s="20"/>
      <c r="AE86" s="20"/>
      <c r="AF86" s="20"/>
      <c r="AG86" s="20"/>
      <c r="AH86" s="20"/>
      <c r="AI86" s="20"/>
      <c r="AJ86" s="20"/>
      <c r="AK86" s="20"/>
      <c r="AL86" s="20"/>
      <c r="AM86" s="20"/>
      <c r="AN86" s="20"/>
      <c r="AO86" s="20"/>
      <c r="AP86" s="20"/>
      <c r="AQ86" s="20"/>
      <c r="AR86" s="20"/>
      <c r="AS86" s="20"/>
      <c r="AT86" s="20"/>
      <c r="AU86" s="20"/>
      <c r="AV86" s="20"/>
    </row>
    <row r="87" spans="1:48" ht="17.25" hidden="1" customHeight="1">
      <c r="A87" s="15" t="s">
        <v>4843</v>
      </c>
      <c r="B87" s="124" t="s">
        <v>158</v>
      </c>
      <c r="C87" s="124" t="s">
        <v>5527</v>
      </c>
      <c r="D87" s="125" t="e">
        <f t="shared" ca="1" si="0"/>
        <v>#NAME?</v>
      </c>
      <c r="E87" s="126" t="str">
        <f t="shared" ca="1" si="1"/>
        <v>Not enough information entered</v>
      </c>
      <c r="F87" s="124" t="s">
        <v>6341</v>
      </c>
      <c r="G87" s="124" t="s">
        <v>5200</v>
      </c>
      <c r="H87" s="124">
        <v>1.2500000000000001E-2</v>
      </c>
      <c r="I87" s="124" t="s">
        <v>5204</v>
      </c>
      <c r="J87" s="124">
        <v>0.05</v>
      </c>
      <c r="K87" s="124" t="s">
        <v>5200</v>
      </c>
      <c r="L87" s="124">
        <v>1.2500000000000001E-2</v>
      </c>
      <c r="M87" s="124"/>
      <c r="N87" s="124"/>
      <c r="O87" s="124"/>
      <c r="P87" s="124"/>
      <c r="Q87" s="124"/>
      <c r="R87" s="124"/>
      <c r="S87" s="124"/>
      <c r="T87" s="124"/>
      <c r="U87" s="124" t="s">
        <v>5523</v>
      </c>
      <c r="V87" s="127">
        <f t="shared" si="2"/>
        <v>7.4999999999999997E-2</v>
      </c>
      <c r="W87" s="124"/>
      <c r="X87" s="124"/>
      <c r="Y87" s="124"/>
      <c r="Z87" s="124"/>
      <c r="AA87" s="124" t="e">
        <f t="shared" ca="1" si="3"/>
        <v>#NAME?</v>
      </c>
      <c r="AB87" s="126">
        <f t="array" aca="1" ref="AB87" ca="1">IFERROR(J87/_xludf.XLOOKUP(I87,Materials!$A$3:$A$292,Materials!$I$3:$I$292),0)
+IFERROR(L87/_xludf.XLOOKUP(K87,Materials!$A$3:$A$292,Materials!$I$3:$I$292),0)
+IFERROR(N87/_xludf.XLOOKUP(M87,Materials!$A$3:$A$292,Materials!$I$3:$I$292),0)
+IFERROR(P87/_xludf.XLOOKUP(O87,Materials!$A$3:$A$292,Materials!$I$3:$I$292),0)
+IFERROR(R87/_xludf.XLOOKUP(Q87,Materials!$A$3:$A$292,Materials!$I$3:$I$292),0)
+IFERROR(H87/_xludf.XLOOKUP(G87,Materials!$A$3:$A$292,Materials!$I$3:$I$292),0)</f>
        <v>0</v>
      </c>
      <c r="AC87" s="20"/>
      <c r="AD87" s="20"/>
      <c r="AE87" s="20"/>
      <c r="AF87" s="20"/>
      <c r="AG87" s="20"/>
      <c r="AH87" s="20"/>
      <c r="AI87" s="20"/>
      <c r="AJ87" s="20"/>
      <c r="AK87" s="20"/>
      <c r="AL87" s="20"/>
      <c r="AM87" s="20"/>
      <c r="AN87" s="20"/>
      <c r="AO87" s="20"/>
      <c r="AP87" s="20"/>
      <c r="AQ87" s="20"/>
      <c r="AR87" s="20"/>
      <c r="AS87" s="20"/>
      <c r="AT87" s="20"/>
      <c r="AU87" s="20"/>
      <c r="AV87" s="20"/>
    </row>
    <row r="88" spans="1:48" ht="17.25" hidden="1" customHeight="1">
      <c r="A88" s="15" t="s">
        <v>4843</v>
      </c>
      <c r="B88" s="124" t="s">
        <v>162</v>
      </c>
      <c r="C88" s="124" t="s">
        <v>5529</v>
      </c>
      <c r="D88" s="125" t="e">
        <f t="shared" ca="1" si="0"/>
        <v>#NAME?</v>
      </c>
      <c r="E88" s="126" t="str">
        <f t="shared" ca="1" si="1"/>
        <v>Not enough information entered</v>
      </c>
      <c r="F88" s="124" t="s">
        <v>6550</v>
      </c>
      <c r="G88" s="124" t="s">
        <v>5186</v>
      </c>
      <c r="H88" s="124">
        <v>0.18</v>
      </c>
      <c r="I88" s="124" t="s">
        <v>5196</v>
      </c>
      <c r="J88" s="124">
        <v>0.03</v>
      </c>
      <c r="K88" s="124"/>
      <c r="L88" s="124"/>
      <c r="M88" s="124"/>
      <c r="N88" s="124"/>
      <c r="O88" s="124"/>
      <c r="P88" s="124"/>
      <c r="Q88" s="124"/>
      <c r="R88" s="124"/>
      <c r="S88" s="124"/>
      <c r="T88" s="124"/>
      <c r="U88" s="124" t="s">
        <v>5523</v>
      </c>
      <c r="V88" s="127">
        <f t="shared" si="2"/>
        <v>0.21</v>
      </c>
      <c r="W88" s="124"/>
      <c r="X88" s="124"/>
      <c r="Y88" s="124"/>
      <c r="Z88" s="124"/>
      <c r="AA88" s="124" t="e">
        <f t="shared" ca="1" si="3"/>
        <v>#NAME?</v>
      </c>
      <c r="AB88" s="126">
        <f t="array" aca="1" ref="AB88" ca="1">IFERROR(J88/_xludf.XLOOKUP(I88,Materials!$A$3:$A$292,Materials!$I$3:$I$292),0)
+IFERROR(L88/_xludf.XLOOKUP(K88,Materials!$A$3:$A$292,Materials!$I$3:$I$292),0)
+IFERROR(N88/_xludf.XLOOKUP(M88,Materials!$A$3:$A$292,Materials!$I$3:$I$292),0)
+IFERROR(P88/_xludf.XLOOKUP(O88,Materials!$A$3:$A$292,Materials!$I$3:$I$292),0)
+IFERROR(R88/_xludf.XLOOKUP(Q88,Materials!$A$3:$A$292,Materials!$I$3:$I$292),0)
+IFERROR(H88/_xludf.XLOOKUP(G88,Materials!$A$3:$A$292,Materials!$I$3:$I$292),0)</f>
        <v>0</v>
      </c>
      <c r="AC88" s="20"/>
      <c r="AD88" s="20"/>
      <c r="AE88" s="20"/>
      <c r="AF88" s="20"/>
      <c r="AG88" s="20"/>
      <c r="AH88" s="20"/>
      <c r="AI88" s="20"/>
      <c r="AJ88" s="20"/>
      <c r="AK88" s="20"/>
      <c r="AL88" s="20"/>
      <c r="AM88" s="20"/>
      <c r="AN88" s="20"/>
      <c r="AO88" s="20"/>
      <c r="AP88" s="20"/>
      <c r="AQ88" s="20"/>
      <c r="AR88" s="20"/>
      <c r="AS88" s="20"/>
      <c r="AT88" s="20"/>
      <c r="AU88" s="20"/>
      <c r="AV88" s="20"/>
    </row>
    <row r="89" spans="1:48" ht="17.25" hidden="1" customHeight="1">
      <c r="A89" s="15" t="s">
        <v>4843</v>
      </c>
      <c r="B89" s="124" t="s">
        <v>159</v>
      </c>
      <c r="C89" s="124" t="s">
        <v>5530</v>
      </c>
      <c r="D89" s="125" t="e">
        <f t="shared" ca="1" si="0"/>
        <v>#NAME?</v>
      </c>
      <c r="E89" s="126" t="str">
        <f t="shared" ca="1" si="1"/>
        <v>Not enough information entered</v>
      </c>
      <c r="F89" s="124" t="s">
        <v>6655</v>
      </c>
      <c r="G89" s="124" t="s">
        <v>5186</v>
      </c>
      <c r="H89" s="124">
        <v>0.2</v>
      </c>
      <c r="I89" s="124" t="s">
        <v>5211</v>
      </c>
      <c r="J89" s="124">
        <v>0.05</v>
      </c>
      <c r="K89" s="124"/>
      <c r="L89" s="124"/>
      <c r="M89" s="124"/>
      <c r="N89" s="124"/>
      <c r="O89" s="124"/>
      <c r="P89" s="124"/>
      <c r="Q89" s="124"/>
      <c r="R89" s="124"/>
      <c r="S89" s="124"/>
      <c r="T89" s="124"/>
      <c r="U89" s="124" t="s">
        <v>5523</v>
      </c>
      <c r="V89" s="127">
        <f t="shared" si="2"/>
        <v>0.25</v>
      </c>
      <c r="W89" s="124"/>
      <c r="X89" s="124"/>
      <c r="Y89" s="124"/>
      <c r="Z89" s="124"/>
      <c r="AA89" s="124" t="e">
        <f t="shared" ca="1" si="3"/>
        <v>#NAME?</v>
      </c>
      <c r="AB89" s="126">
        <f t="array" aca="1" ref="AB89" ca="1">IFERROR(J89/_xludf.XLOOKUP(I89,Materials!$A$3:$A$292,Materials!$I$3:$I$292),0)
+IFERROR(L89/_xludf.XLOOKUP(K89,Materials!$A$3:$A$292,Materials!$I$3:$I$292),0)
+IFERROR(N89/_xludf.XLOOKUP(M89,Materials!$A$3:$A$292,Materials!$I$3:$I$292),0)
+IFERROR(P89/_xludf.XLOOKUP(O89,Materials!$A$3:$A$292,Materials!$I$3:$I$292),0)
+IFERROR(R89/_xludf.XLOOKUP(Q89,Materials!$A$3:$A$292,Materials!$I$3:$I$292),0)
+IFERROR(H89/_xludf.XLOOKUP(G89,Materials!$A$3:$A$292,Materials!$I$3:$I$292),0)</f>
        <v>0</v>
      </c>
      <c r="AC89" s="20"/>
      <c r="AD89" s="20"/>
      <c r="AE89" s="20"/>
      <c r="AF89" s="20"/>
      <c r="AG89" s="20"/>
      <c r="AH89" s="20"/>
      <c r="AI89" s="20"/>
      <c r="AJ89" s="20"/>
      <c r="AK89" s="20"/>
      <c r="AL89" s="20"/>
      <c r="AM89" s="20"/>
      <c r="AN89" s="20"/>
      <c r="AO89" s="20"/>
      <c r="AP89" s="20"/>
      <c r="AQ89" s="20"/>
      <c r="AR89" s="20"/>
      <c r="AS89" s="20"/>
      <c r="AT89" s="20"/>
      <c r="AU89" s="20"/>
      <c r="AV89" s="20"/>
    </row>
    <row r="90" spans="1:48" ht="17.25" hidden="1" customHeight="1">
      <c r="A90" s="15"/>
      <c r="B90" s="124"/>
      <c r="C90" s="124" t="s">
        <v>5532</v>
      </c>
      <c r="D90" s="125"/>
      <c r="E90" s="126"/>
      <c r="F90" s="124"/>
      <c r="G90" s="124"/>
      <c r="H90" s="124"/>
      <c r="I90" s="128"/>
      <c r="J90" s="124"/>
      <c r="K90" s="124"/>
      <c r="L90" s="124"/>
      <c r="M90" s="124"/>
      <c r="N90" s="124"/>
      <c r="O90" s="124"/>
      <c r="P90" s="124"/>
      <c r="Q90" s="124"/>
      <c r="R90" s="124"/>
      <c r="S90" s="124"/>
      <c r="T90" s="124"/>
      <c r="U90" s="124"/>
      <c r="V90" s="127"/>
      <c r="W90" s="124"/>
      <c r="X90" s="124"/>
      <c r="Y90" s="124"/>
      <c r="Z90" s="124"/>
      <c r="AA90" s="124"/>
      <c r="AB90" s="126"/>
      <c r="AC90" s="20"/>
      <c r="AD90" s="20"/>
      <c r="AE90" s="20"/>
      <c r="AF90" s="20"/>
      <c r="AG90" s="20"/>
      <c r="AH90" s="20"/>
      <c r="AI90" s="20"/>
      <c r="AJ90" s="20"/>
      <c r="AK90" s="20"/>
      <c r="AL90" s="20"/>
      <c r="AM90" s="20"/>
      <c r="AN90" s="20"/>
      <c r="AO90" s="20"/>
      <c r="AP90" s="20"/>
      <c r="AQ90" s="20"/>
      <c r="AR90" s="20"/>
      <c r="AS90" s="20"/>
      <c r="AT90" s="20"/>
      <c r="AU90" s="20"/>
      <c r="AV90" s="20"/>
    </row>
    <row r="91" spans="1:48" ht="17.25" hidden="1" customHeight="1">
      <c r="A91" s="15" t="s">
        <v>4843</v>
      </c>
      <c r="B91" s="124" t="s">
        <v>161</v>
      </c>
      <c r="C91" s="124" t="s">
        <v>5533</v>
      </c>
      <c r="D91" s="125" t="e">
        <f t="shared" ca="1" si="0"/>
        <v>#NAME?</v>
      </c>
      <c r="E91" s="126" t="str">
        <f t="shared" ca="1" si="1"/>
        <v>Not enough information entered</v>
      </c>
      <c r="F91" s="124" t="s">
        <v>6671</v>
      </c>
      <c r="G91" s="124" t="s">
        <v>5186</v>
      </c>
      <c r="H91" s="124">
        <v>0.18</v>
      </c>
      <c r="I91" s="124" t="s">
        <v>5207</v>
      </c>
      <c r="J91" s="124">
        <v>0.06</v>
      </c>
      <c r="K91" s="124" t="s">
        <v>5200</v>
      </c>
      <c r="L91" s="124">
        <v>1.2500000000000001E-2</v>
      </c>
      <c r="M91" s="124"/>
      <c r="N91" s="124"/>
      <c r="O91" s="124"/>
      <c r="P91" s="124"/>
      <c r="Q91" s="124"/>
      <c r="R91" s="124"/>
      <c r="S91" s="124"/>
      <c r="T91" s="124"/>
      <c r="U91" s="124" t="s">
        <v>5523</v>
      </c>
      <c r="V91" s="127">
        <f t="shared" si="2"/>
        <v>0.2525</v>
      </c>
      <c r="W91" s="124"/>
      <c r="X91" s="124"/>
      <c r="Y91" s="124"/>
      <c r="Z91" s="124"/>
      <c r="AA91" s="124" t="e">
        <f t="shared" ca="1" si="3"/>
        <v>#NAME?</v>
      </c>
      <c r="AB91" s="126">
        <f t="array" aca="1" ref="AB91" ca="1">IFERROR(J91/_xludf.XLOOKUP(I91,Materials!$A$3:$A$292,Materials!$I$3:$I$292),0)
+IFERROR(L91/_xludf.XLOOKUP(K91,Materials!$A$3:$A$292,Materials!$I$3:$I$292),0)
+IFERROR(N91/_xludf.XLOOKUP(M91,Materials!$A$3:$A$292,Materials!$I$3:$I$292),0)
+IFERROR(P91/_xludf.XLOOKUP(O91,Materials!$A$3:$A$292,Materials!$I$3:$I$292),0)
+IFERROR(R91/_xludf.XLOOKUP(Q91,Materials!$A$3:$A$292,Materials!$I$3:$I$292),0)
+IFERROR(H91/_xludf.XLOOKUP(G91,Materials!$A$3:$A$292,Materials!$I$3:$I$292),0)</f>
        <v>0</v>
      </c>
      <c r="AC91" s="20"/>
      <c r="AD91" s="20"/>
      <c r="AE91" s="20"/>
      <c r="AF91" s="20"/>
      <c r="AG91" s="20"/>
      <c r="AH91" s="20"/>
      <c r="AI91" s="20"/>
      <c r="AJ91" s="20"/>
      <c r="AK91" s="20"/>
      <c r="AL91" s="20"/>
      <c r="AM91" s="20"/>
      <c r="AN91" s="20"/>
      <c r="AO91" s="20"/>
      <c r="AP91" s="20"/>
      <c r="AQ91" s="20"/>
      <c r="AR91" s="20"/>
      <c r="AS91" s="20"/>
      <c r="AT91" s="20"/>
      <c r="AU91" s="20"/>
      <c r="AV91" s="20"/>
    </row>
    <row r="92" spans="1:48" ht="17.25" hidden="1" customHeight="1">
      <c r="A92" s="15" t="s">
        <v>5763</v>
      </c>
      <c r="B92" s="124" t="s">
        <v>157</v>
      </c>
      <c r="C92" s="124" t="s">
        <v>5522</v>
      </c>
      <c r="D92" s="125" t="e">
        <f t="shared" ca="1" si="0"/>
        <v>#NAME?</v>
      </c>
      <c r="E92" s="126" t="str">
        <f t="shared" ca="1" si="1"/>
        <v>Not enough information entered</v>
      </c>
      <c r="F92" s="124" t="s">
        <v>6389</v>
      </c>
      <c r="G92" s="124" t="s">
        <v>5186</v>
      </c>
      <c r="H92" s="126">
        <v>0.18</v>
      </c>
      <c r="I92" s="124" t="s">
        <v>5204</v>
      </c>
      <c r="J92" s="126">
        <v>0.02</v>
      </c>
      <c r="K92" s="124" t="s">
        <v>5200</v>
      </c>
      <c r="L92" s="126">
        <v>1.2E-2</v>
      </c>
      <c r="M92" s="124"/>
      <c r="N92" s="124"/>
      <c r="O92" s="124"/>
      <c r="P92" s="124"/>
      <c r="Q92" s="124"/>
      <c r="R92" s="124"/>
      <c r="S92" s="124"/>
      <c r="T92" s="124"/>
      <c r="U92" s="124" t="s">
        <v>5523</v>
      </c>
      <c r="V92" s="127">
        <f t="shared" si="2"/>
        <v>0.21199999999999999</v>
      </c>
      <c r="W92" s="126">
        <v>0</v>
      </c>
      <c r="X92" s="126">
        <v>0</v>
      </c>
      <c r="Y92" s="126">
        <v>10</v>
      </c>
      <c r="Z92" s="124"/>
      <c r="AA92" s="124" t="e">
        <f t="shared" ca="1" si="3"/>
        <v>#NAME?</v>
      </c>
      <c r="AB92" s="126">
        <f t="array" aca="1" ref="AB92" ca="1">IFERROR(J92/_xludf.XLOOKUP(I92,Materials!$A$3:$A$292,Materials!$I$3:$I$292),0)
+IFERROR(L92/_xludf.XLOOKUP(K92,Materials!$A$3:$A$292,Materials!$I$3:$I$292),0)
+IFERROR(N92/_xludf.XLOOKUP(M92,Materials!$A$3:$A$292,Materials!$I$3:$I$292),0)
+IFERROR(P92/_xludf.XLOOKUP(O92,Materials!$A$3:$A$292,Materials!$I$3:$I$292),0)
+IFERROR(R92/_xludf.XLOOKUP(Q92,Materials!$A$3:$A$292,Materials!$I$3:$I$292),0)
+IFERROR(H92/_xludf.XLOOKUP(G92,Materials!$A$3:$A$292,Materials!$I$3:$I$292),0)</f>
        <v>0</v>
      </c>
      <c r="AC92" s="20"/>
      <c r="AD92" s="20"/>
      <c r="AE92" s="20"/>
      <c r="AF92" s="20"/>
      <c r="AG92" s="20"/>
      <c r="AH92" s="20"/>
      <c r="AI92" s="20"/>
      <c r="AJ92" s="20"/>
      <c r="AK92" s="20"/>
      <c r="AL92" s="20"/>
      <c r="AM92" s="20"/>
      <c r="AN92" s="20"/>
      <c r="AO92" s="20"/>
      <c r="AP92" s="20"/>
      <c r="AQ92" s="20"/>
      <c r="AR92" s="20"/>
      <c r="AS92" s="20"/>
      <c r="AT92" s="20"/>
      <c r="AU92" s="20"/>
      <c r="AV92" s="20"/>
    </row>
    <row r="93" spans="1:48" ht="17.25" customHeight="1">
      <c r="A93" s="15" t="s">
        <v>5763</v>
      </c>
      <c r="B93" s="124" t="s">
        <v>154</v>
      </c>
      <c r="C93" s="124" t="s">
        <v>5524</v>
      </c>
      <c r="D93" s="125" t="e">
        <f t="shared" ca="1" si="0"/>
        <v>#NAME?</v>
      </c>
      <c r="E93" s="126" t="str">
        <f t="shared" ca="1" si="1"/>
        <v>Not enough information entered</v>
      </c>
      <c r="F93" s="124" t="s">
        <v>6235</v>
      </c>
      <c r="G93" s="124" t="s">
        <v>5186</v>
      </c>
      <c r="H93" s="126">
        <v>0.15</v>
      </c>
      <c r="I93" s="124" t="s">
        <v>5196</v>
      </c>
      <c r="J93" s="126">
        <v>0.03</v>
      </c>
      <c r="K93" s="124"/>
      <c r="L93" s="124"/>
      <c r="M93" s="124"/>
      <c r="N93" s="124"/>
      <c r="O93" s="124"/>
      <c r="P93" s="124"/>
      <c r="Q93" s="124"/>
      <c r="R93" s="124"/>
      <c r="S93" s="124"/>
      <c r="T93" s="124"/>
      <c r="U93" s="124" t="s">
        <v>5523</v>
      </c>
      <c r="V93" s="127">
        <f t="shared" si="2"/>
        <v>0.18</v>
      </c>
      <c r="W93" s="124"/>
      <c r="X93" s="124"/>
      <c r="Y93" s="124"/>
      <c r="Z93" s="124"/>
      <c r="AA93" s="124" t="e">
        <f t="shared" ca="1" si="3"/>
        <v>#NAME?</v>
      </c>
      <c r="AB93" s="126">
        <f t="array" aca="1" ref="AB93" ca="1">IFERROR(J93/_xludf.XLOOKUP(I93,Materials!$A$3:$A$292,Materials!$I$3:$I$292),0)
+IFERROR(L93/_xludf.XLOOKUP(K93,Materials!$A$3:$A$292,Materials!$I$3:$I$292),0)
+IFERROR(N93/_xludf.XLOOKUP(M93,Materials!$A$3:$A$292,Materials!$I$3:$I$292),0)
+IFERROR(P93/_xludf.XLOOKUP(O93,Materials!$A$3:$A$292,Materials!$I$3:$I$292),0)
+IFERROR(R93/_xludf.XLOOKUP(Q93,Materials!$A$3:$A$292,Materials!$I$3:$I$292),0)
+IFERROR(H93/_xludf.XLOOKUP(G93,Materials!$A$3:$A$292,Materials!$I$3:$I$292),0)</f>
        <v>0</v>
      </c>
      <c r="AC93" s="20"/>
      <c r="AD93" s="20"/>
      <c r="AE93" s="20"/>
      <c r="AF93" s="20"/>
      <c r="AG93" s="20"/>
      <c r="AH93" s="20"/>
      <c r="AI93" s="20"/>
      <c r="AJ93" s="20"/>
      <c r="AK93" s="20"/>
      <c r="AL93" s="20"/>
      <c r="AM93" s="20"/>
      <c r="AN93" s="20"/>
      <c r="AO93" s="20"/>
      <c r="AP93" s="20"/>
      <c r="AQ93" s="20"/>
      <c r="AR93" s="20"/>
      <c r="AS93" s="20"/>
      <c r="AT93" s="20"/>
      <c r="AU93" s="20"/>
      <c r="AV93" s="20"/>
    </row>
    <row r="94" spans="1:48" ht="17.25" hidden="1" customHeight="1">
      <c r="A94" s="15" t="s">
        <v>5763</v>
      </c>
      <c r="B94" s="124" t="s">
        <v>160</v>
      </c>
      <c r="C94" s="124" t="s">
        <v>5526</v>
      </c>
      <c r="D94" s="125" t="e">
        <f t="shared" ca="1" si="0"/>
        <v>#NAME?</v>
      </c>
      <c r="E94" s="126" t="str">
        <f t="shared" ca="1" si="1"/>
        <v>Not enough information entered</v>
      </c>
      <c r="F94" s="124" t="s">
        <v>6583</v>
      </c>
      <c r="G94" s="124" t="s">
        <v>5186</v>
      </c>
      <c r="H94" s="126">
        <v>0.18</v>
      </c>
      <c r="I94" s="124" t="s">
        <v>5196</v>
      </c>
      <c r="J94" s="126">
        <v>0.03</v>
      </c>
      <c r="K94" s="124"/>
      <c r="L94" s="124"/>
      <c r="M94" s="124"/>
      <c r="N94" s="124"/>
      <c r="O94" s="124"/>
      <c r="P94" s="124"/>
      <c r="Q94" s="124"/>
      <c r="R94" s="124"/>
      <c r="S94" s="124"/>
      <c r="T94" s="124"/>
      <c r="U94" s="124" t="s">
        <v>5523</v>
      </c>
      <c r="V94" s="127">
        <f t="shared" si="2"/>
        <v>0.21</v>
      </c>
      <c r="W94" s="126">
        <v>0</v>
      </c>
      <c r="X94" s="126">
        <v>0</v>
      </c>
      <c r="Y94" s="126">
        <v>10</v>
      </c>
      <c r="Z94" s="124"/>
      <c r="AA94" s="124" t="e">
        <f t="shared" ca="1" si="3"/>
        <v>#NAME?</v>
      </c>
      <c r="AB94" s="126">
        <f t="array" aca="1" ref="AB94" ca="1">IFERROR(J94/_xludf.XLOOKUP(I94,Materials!$A$3:$A$292,Materials!$I$3:$I$292),0)
+IFERROR(L94/_xludf.XLOOKUP(K94,Materials!$A$3:$A$292,Materials!$I$3:$I$292),0)
+IFERROR(N94/_xludf.XLOOKUP(M94,Materials!$A$3:$A$292,Materials!$I$3:$I$292),0)
+IFERROR(P94/_xludf.XLOOKUP(O94,Materials!$A$3:$A$292,Materials!$I$3:$I$292),0)
+IFERROR(R94/_xludf.XLOOKUP(Q94,Materials!$A$3:$A$292,Materials!$I$3:$I$292),0)
+IFERROR(H94/_xludf.XLOOKUP(G94,Materials!$A$3:$A$292,Materials!$I$3:$I$292),0)</f>
        <v>0</v>
      </c>
      <c r="AC94" s="20"/>
      <c r="AD94" s="20"/>
      <c r="AE94" s="20"/>
      <c r="AF94" s="20"/>
      <c r="AG94" s="20"/>
      <c r="AH94" s="20"/>
      <c r="AI94" s="20"/>
      <c r="AJ94" s="20"/>
      <c r="AK94" s="20"/>
      <c r="AL94" s="20"/>
      <c r="AM94" s="20"/>
      <c r="AN94" s="20"/>
      <c r="AO94" s="20"/>
      <c r="AP94" s="20"/>
      <c r="AQ94" s="20"/>
      <c r="AR94" s="20"/>
      <c r="AS94" s="20"/>
      <c r="AT94" s="20"/>
      <c r="AU94" s="20"/>
      <c r="AV94" s="20"/>
    </row>
    <row r="95" spans="1:48" ht="17.25" hidden="1" customHeight="1">
      <c r="A95" s="15" t="s">
        <v>5764</v>
      </c>
      <c r="B95" s="124" t="s">
        <v>157</v>
      </c>
      <c r="C95" s="124" t="s">
        <v>5522</v>
      </c>
      <c r="D95" s="125" t="e">
        <f t="shared" ca="1" si="0"/>
        <v>#NAME?</v>
      </c>
      <c r="E95" s="126" t="str">
        <f t="shared" ca="1" si="1"/>
        <v>Not enough information entered</v>
      </c>
      <c r="F95" s="124" t="s">
        <v>6390</v>
      </c>
      <c r="G95" s="124" t="s">
        <v>5211</v>
      </c>
      <c r="H95" s="126">
        <v>0.03</v>
      </c>
      <c r="I95" s="124" t="s">
        <v>5186</v>
      </c>
      <c r="J95" s="126">
        <v>0.18</v>
      </c>
      <c r="K95" s="124" t="s">
        <v>5204</v>
      </c>
      <c r="L95" s="126">
        <v>0.02</v>
      </c>
      <c r="M95" s="124" t="s">
        <v>5200</v>
      </c>
      <c r="N95" s="126">
        <v>1.2E-2</v>
      </c>
      <c r="O95" s="124"/>
      <c r="P95" s="124"/>
      <c r="Q95" s="128"/>
      <c r="R95" s="124"/>
      <c r="S95" s="124"/>
      <c r="T95" s="124"/>
      <c r="U95" s="124" t="s">
        <v>5523</v>
      </c>
      <c r="V95" s="127">
        <f t="shared" si="2"/>
        <v>0.24199999999999999</v>
      </c>
      <c r="W95" s="126">
        <v>0</v>
      </c>
      <c r="X95" s="126">
        <v>0</v>
      </c>
      <c r="Y95" s="126">
        <v>10</v>
      </c>
      <c r="Z95" s="124"/>
      <c r="AA95" s="124" t="e">
        <f t="shared" ca="1" si="3"/>
        <v>#NAME?</v>
      </c>
      <c r="AB95" s="126">
        <f t="array" aca="1" ref="AB95" ca="1">IFERROR(J95/_xludf.XLOOKUP(I95,Materials!$A$3:$A$292,Materials!$I$3:$I$292),0)
+IFERROR(L95/_xludf.XLOOKUP(K95,Materials!$A$3:$A$292,Materials!$I$3:$I$292),0)
+IFERROR(N95/_xludf.XLOOKUP(M95,Materials!$A$3:$A$292,Materials!$I$3:$I$292),0)
+IFERROR(P95/_xludf.XLOOKUP(O95,Materials!$A$3:$A$292,Materials!$I$3:$I$292),0)
+IFERROR(R95/_xludf.XLOOKUP(Q95,Materials!$A$3:$A$292,Materials!$I$3:$I$292),0)
+IFERROR(H95/_xludf.XLOOKUP(G95,Materials!$A$3:$A$292,Materials!$I$3:$I$292),0)</f>
        <v>0</v>
      </c>
      <c r="AC95" s="20"/>
      <c r="AD95" s="20"/>
      <c r="AE95" s="20"/>
      <c r="AF95" s="20"/>
      <c r="AG95" s="20"/>
      <c r="AH95" s="20"/>
      <c r="AI95" s="20"/>
      <c r="AJ95" s="20"/>
      <c r="AK95" s="20"/>
      <c r="AL95" s="20"/>
      <c r="AM95" s="20"/>
      <c r="AN95" s="20"/>
      <c r="AO95" s="20"/>
      <c r="AP95" s="20"/>
      <c r="AQ95" s="20"/>
      <c r="AR95" s="20"/>
      <c r="AS95" s="20"/>
      <c r="AT95" s="20"/>
      <c r="AU95" s="20"/>
      <c r="AV95" s="20"/>
    </row>
    <row r="96" spans="1:48" ht="17.25" customHeight="1">
      <c r="A96" s="15" t="s">
        <v>5764</v>
      </c>
      <c r="B96" s="124" t="s">
        <v>154</v>
      </c>
      <c r="C96" s="124" t="s">
        <v>5524</v>
      </c>
      <c r="D96" s="125" t="e">
        <f t="shared" ca="1" si="0"/>
        <v>#NAME?</v>
      </c>
      <c r="E96" s="126" t="str">
        <f t="shared" ca="1" si="1"/>
        <v>Not enough information entered</v>
      </c>
      <c r="F96" s="124" t="s">
        <v>6236</v>
      </c>
      <c r="G96" s="124" t="s">
        <v>5211</v>
      </c>
      <c r="H96" s="126">
        <v>5.8000000000000003E-2</v>
      </c>
      <c r="I96" s="124" t="s">
        <v>5186</v>
      </c>
      <c r="J96" s="126">
        <v>0.15</v>
      </c>
      <c r="K96" s="124" t="s">
        <v>5196</v>
      </c>
      <c r="L96" s="124">
        <v>0.03</v>
      </c>
      <c r="M96" s="124"/>
      <c r="N96" s="124"/>
      <c r="O96" s="124"/>
      <c r="P96" s="124"/>
      <c r="Q96" s="128"/>
      <c r="R96" s="124"/>
      <c r="S96" s="124"/>
      <c r="T96" s="124"/>
      <c r="U96" s="124" t="s">
        <v>5523</v>
      </c>
      <c r="V96" s="127">
        <f t="shared" si="2"/>
        <v>0.23799999999999999</v>
      </c>
      <c r="W96" s="124"/>
      <c r="X96" s="124"/>
      <c r="Y96" s="124"/>
      <c r="Z96" s="124"/>
      <c r="AA96" s="124" t="e">
        <f t="shared" ca="1" si="3"/>
        <v>#NAME?</v>
      </c>
      <c r="AB96" s="126">
        <f t="array" aca="1" ref="AB96" ca="1">IFERROR(J96/_xludf.XLOOKUP(I96,Materials!$A$3:$A$292,Materials!$I$3:$I$292),0)
+IFERROR(L96/_xludf.XLOOKUP(K96,Materials!$A$3:$A$292,Materials!$I$3:$I$292),0)
+IFERROR(N96/_xludf.XLOOKUP(M96,Materials!$A$3:$A$292,Materials!$I$3:$I$292),0)
+IFERROR(P96/_xludf.XLOOKUP(O96,Materials!$A$3:$A$292,Materials!$I$3:$I$292),0)
+IFERROR(R96/_xludf.XLOOKUP(Q96,Materials!$A$3:$A$292,Materials!$I$3:$I$292),0)
+IFERROR(H96/_xludf.XLOOKUP(G96,Materials!$A$3:$A$292,Materials!$I$3:$I$292),0)</f>
        <v>0</v>
      </c>
      <c r="AC96" s="20"/>
      <c r="AD96" s="20"/>
      <c r="AE96" s="20"/>
      <c r="AF96" s="20"/>
      <c r="AG96" s="20"/>
      <c r="AH96" s="20"/>
      <c r="AI96" s="20"/>
      <c r="AJ96" s="20"/>
      <c r="AK96" s="20"/>
      <c r="AL96" s="20"/>
      <c r="AM96" s="20"/>
      <c r="AN96" s="20"/>
      <c r="AO96" s="20"/>
      <c r="AP96" s="20"/>
      <c r="AQ96" s="20"/>
      <c r="AR96" s="20"/>
      <c r="AS96" s="20"/>
      <c r="AT96" s="20"/>
      <c r="AU96" s="20"/>
      <c r="AV96" s="20"/>
    </row>
    <row r="97" spans="1:48" ht="17.25" hidden="1" customHeight="1">
      <c r="A97" s="15" t="s">
        <v>5764</v>
      </c>
      <c r="B97" s="124" t="s">
        <v>160</v>
      </c>
      <c r="C97" s="124" t="s">
        <v>5526</v>
      </c>
      <c r="D97" s="125" t="e">
        <f t="shared" ca="1" si="0"/>
        <v>#NAME?</v>
      </c>
      <c r="E97" s="126" t="str">
        <f t="shared" ca="1" si="1"/>
        <v>Not enough information entered</v>
      </c>
      <c r="F97" s="124" t="s">
        <v>6584</v>
      </c>
      <c r="G97" s="124" t="s">
        <v>5211</v>
      </c>
      <c r="H97" s="126">
        <v>4.7E-2</v>
      </c>
      <c r="I97" s="124" t="s">
        <v>5186</v>
      </c>
      <c r="J97" s="126">
        <v>0.18</v>
      </c>
      <c r="K97" s="124" t="s">
        <v>5196</v>
      </c>
      <c r="L97" s="124">
        <v>0.03</v>
      </c>
      <c r="M97" s="124"/>
      <c r="N97" s="124"/>
      <c r="O97" s="128"/>
      <c r="P97" s="124"/>
      <c r="Q97" s="128"/>
      <c r="R97" s="124"/>
      <c r="S97" s="124"/>
      <c r="T97" s="124"/>
      <c r="U97" s="124" t="s">
        <v>5523</v>
      </c>
      <c r="V97" s="127">
        <f t="shared" si="2"/>
        <v>0.25700000000000001</v>
      </c>
      <c r="W97" s="126">
        <v>0</v>
      </c>
      <c r="X97" s="126">
        <v>0</v>
      </c>
      <c r="Y97" s="126">
        <v>10</v>
      </c>
      <c r="Z97" s="124"/>
      <c r="AA97" s="124" t="e">
        <f t="shared" ca="1" si="3"/>
        <v>#NAME?</v>
      </c>
      <c r="AB97" s="126">
        <f t="array" aca="1" ref="AB97" ca="1">IFERROR(J97/_xludf.XLOOKUP(I97,Materials!$A$3:$A$292,Materials!$I$3:$I$292),0)
+IFERROR(L97/_xludf.XLOOKUP(K97,Materials!$A$3:$A$292,Materials!$I$3:$I$292),0)
+IFERROR(N97/_xludf.XLOOKUP(M97,Materials!$A$3:$A$292,Materials!$I$3:$I$292),0)
+IFERROR(P97/_xludf.XLOOKUP(O97,Materials!$A$3:$A$292,Materials!$I$3:$I$292),0)
+IFERROR(R97/_xludf.XLOOKUP(Q97,Materials!$A$3:$A$292,Materials!$I$3:$I$292),0)
+IFERROR(H97/_xludf.XLOOKUP(G97,Materials!$A$3:$A$292,Materials!$I$3:$I$292),0)</f>
        <v>0</v>
      </c>
      <c r="AC97" s="20"/>
      <c r="AD97" s="20"/>
      <c r="AE97" s="20"/>
      <c r="AF97" s="20"/>
      <c r="AG97" s="20"/>
      <c r="AH97" s="20"/>
      <c r="AI97" s="20"/>
      <c r="AJ97" s="20"/>
      <c r="AK97" s="20"/>
      <c r="AL97" s="20"/>
      <c r="AM97" s="20"/>
      <c r="AN97" s="20"/>
      <c r="AO97" s="20"/>
      <c r="AP97" s="20"/>
      <c r="AQ97" s="20"/>
      <c r="AR97" s="20"/>
      <c r="AS97" s="20"/>
      <c r="AT97" s="20"/>
      <c r="AU97" s="20"/>
      <c r="AV97" s="20"/>
    </row>
    <row r="98" spans="1:48" ht="17.25" hidden="1" customHeight="1">
      <c r="A98" s="15" t="s">
        <v>5765</v>
      </c>
      <c r="B98" s="124" t="s">
        <v>157</v>
      </c>
      <c r="C98" s="124" t="s">
        <v>5522</v>
      </c>
      <c r="D98" s="125" t="e">
        <f t="shared" ca="1" si="0"/>
        <v>#NAME?</v>
      </c>
      <c r="E98" s="126" t="str">
        <f t="shared" ca="1" si="1"/>
        <v>Not enough information entered</v>
      </c>
      <c r="F98" s="124" t="s">
        <v>6391</v>
      </c>
      <c r="G98" s="124" t="s">
        <v>5211</v>
      </c>
      <c r="H98" s="126">
        <v>0.04</v>
      </c>
      <c r="I98" s="124" t="s">
        <v>5186</v>
      </c>
      <c r="J98" s="126">
        <v>0.18</v>
      </c>
      <c r="K98" s="124" t="s">
        <v>5204</v>
      </c>
      <c r="L98" s="126">
        <v>0.02</v>
      </c>
      <c r="M98" s="124" t="s">
        <v>5200</v>
      </c>
      <c r="N98" s="126">
        <v>1.2E-2</v>
      </c>
      <c r="O98" s="128"/>
      <c r="P98" s="124"/>
      <c r="Q98" s="128"/>
      <c r="R98" s="124"/>
      <c r="S98" s="124"/>
      <c r="T98" s="124"/>
      <c r="U98" s="124" t="s">
        <v>5523</v>
      </c>
      <c r="V98" s="127">
        <f t="shared" si="2"/>
        <v>0.252</v>
      </c>
      <c r="W98" s="126">
        <v>0</v>
      </c>
      <c r="X98" s="126">
        <v>0</v>
      </c>
      <c r="Y98" s="126">
        <v>10</v>
      </c>
      <c r="Z98" s="124"/>
      <c r="AA98" s="124" t="e">
        <f t="shared" ca="1" si="3"/>
        <v>#NAME?</v>
      </c>
      <c r="AB98" s="126">
        <f t="array" aca="1" ref="AB98" ca="1">IFERROR(J98/_xludf.XLOOKUP(I98,Materials!$A$3:$A$292,Materials!$I$3:$I$292),0)
+IFERROR(L98/_xludf.XLOOKUP(K98,Materials!$A$3:$A$292,Materials!$I$3:$I$292),0)
+IFERROR(N98/_xludf.XLOOKUP(M98,Materials!$A$3:$A$292,Materials!$I$3:$I$292),0)
+IFERROR(P98/_xludf.XLOOKUP(O98,Materials!$A$3:$A$292,Materials!$I$3:$I$292),0)
+IFERROR(R98/_xludf.XLOOKUP(Q98,Materials!$A$3:$A$292,Materials!$I$3:$I$292),0)
+IFERROR(H98/_xludf.XLOOKUP(G98,Materials!$A$3:$A$292,Materials!$I$3:$I$292),0)</f>
        <v>0</v>
      </c>
      <c r="AC98" s="20"/>
      <c r="AD98" s="20"/>
      <c r="AE98" s="20"/>
      <c r="AF98" s="20"/>
      <c r="AG98" s="20"/>
      <c r="AH98" s="20"/>
      <c r="AI98" s="20"/>
      <c r="AJ98" s="20"/>
      <c r="AK98" s="20"/>
      <c r="AL98" s="20"/>
      <c r="AM98" s="20"/>
      <c r="AN98" s="20"/>
      <c r="AO98" s="20"/>
      <c r="AP98" s="20"/>
      <c r="AQ98" s="20"/>
      <c r="AR98" s="20"/>
      <c r="AS98" s="20"/>
      <c r="AT98" s="20"/>
      <c r="AU98" s="20"/>
      <c r="AV98" s="20"/>
    </row>
    <row r="99" spans="1:48" ht="17.25" customHeight="1">
      <c r="A99" s="15" t="s">
        <v>5765</v>
      </c>
      <c r="B99" s="124" t="s">
        <v>154</v>
      </c>
      <c r="C99" s="124" t="s">
        <v>5524</v>
      </c>
      <c r="D99" s="125" t="e">
        <f t="shared" ca="1" si="0"/>
        <v>#NAME?</v>
      </c>
      <c r="E99" s="126" t="str">
        <f t="shared" ca="1" si="1"/>
        <v>Not enough information entered</v>
      </c>
      <c r="F99" s="124" t="s">
        <v>6237</v>
      </c>
      <c r="G99" s="124" t="s">
        <v>5211</v>
      </c>
      <c r="H99" s="126">
        <v>5.8999999999999997E-2</v>
      </c>
      <c r="I99" s="124" t="s">
        <v>5186</v>
      </c>
      <c r="J99" s="126">
        <v>0.15</v>
      </c>
      <c r="K99" s="124" t="s">
        <v>5196</v>
      </c>
      <c r="L99" s="124">
        <v>0.03</v>
      </c>
      <c r="M99" s="124"/>
      <c r="N99" s="124"/>
      <c r="O99" s="124"/>
      <c r="P99" s="124"/>
      <c r="Q99" s="128"/>
      <c r="R99" s="124"/>
      <c r="S99" s="124"/>
      <c r="T99" s="124"/>
      <c r="U99" s="124" t="s">
        <v>5523</v>
      </c>
      <c r="V99" s="127">
        <f t="shared" si="2"/>
        <v>0.23899999999999999</v>
      </c>
      <c r="W99" s="124"/>
      <c r="X99" s="124"/>
      <c r="Y99" s="124"/>
      <c r="Z99" s="124"/>
      <c r="AA99" s="124" t="e">
        <f t="shared" ca="1" si="3"/>
        <v>#NAME?</v>
      </c>
      <c r="AB99" s="126">
        <f t="array" aca="1" ref="AB99" ca="1">IFERROR(J99/_xludf.XLOOKUP(I99,Materials!$A$3:$A$292,Materials!$I$3:$I$292),0)
+IFERROR(L99/_xludf.XLOOKUP(K99,Materials!$A$3:$A$292,Materials!$I$3:$I$292),0)
+IFERROR(N99/_xludf.XLOOKUP(M99,Materials!$A$3:$A$292,Materials!$I$3:$I$292),0)
+IFERROR(P99/_xludf.XLOOKUP(O99,Materials!$A$3:$A$292,Materials!$I$3:$I$292),0)
+IFERROR(R99/_xludf.XLOOKUP(Q99,Materials!$A$3:$A$292,Materials!$I$3:$I$292),0)
+IFERROR(H99/_xludf.XLOOKUP(G99,Materials!$A$3:$A$292,Materials!$I$3:$I$292),0)</f>
        <v>0</v>
      </c>
      <c r="AC99" s="20"/>
      <c r="AD99" s="20"/>
      <c r="AE99" s="20"/>
      <c r="AF99" s="20"/>
      <c r="AG99" s="20"/>
      <c r="AH99" s="20"/>
      <c r="AI99" s="20"/>
      <c r="AJ99" s="20"/>
      <c r="AK99" s="20"/>
      <c r="AL99" s="20"/>
      <c r="AM99" s="20"/>
      <c r="AN99" s="20"/>
      <c r="AO99" s="20"/>
      <c r="AP99" s="20"/>
      <c r="AQ99" s="20"/>
      <c r="AR99" s="20"/>
      <c r="AS99" s="20"/>
      <c r="AT99" s="20"/>
      <c r="AU99" s="20"/>
      <c r="AV99" s="20"/>
    </row>
    <row r="100" spans="1:48" ht="17.25" hidden="1" customHeight="1">
      <c r="A100" s="15" t="s">
        <v>5765</v>
      </c>
      <c r="B100" s="124" t="s">
        <v>160</v>
      </c>
      <c r="C100" s="124" t="s">
        <v>5526</v>
      </c>
      <c r="D100" s="125" t="e">
        <f t="shared" ca="1" si="0"/>
        <v>#NAME?</v>
      </c>
      <c r="E100" s="126" t="str">
        <f t="shared" ca="1" si="1"/>
        <v>Not enough information entered</v>
      </c>
      <c r="F100" s="124" t="s">
        <v>6585</v>
      </c>
      <c r="G100" s="124" t="s">
        <v>5211</v>
      </c>
      <c r="H100" s="126">
        <v>5.8000000000000003E-2</v>
      </c>
      <c r="I100" s="124" t="s">
        <v>5186</v>
      </c>
      <c r="J100" s="126">
        <v>0.18</v>
      </c>
      <c r="K100" s="124" t="s">
        <v>5196</v>
      </c>
      <c r="L100" s="124">
        <v>0.03</v>
      </c>
      <c r="M100" s="124"/>
      <c r="N100" s="124"/>
      <c r="O100" s="124"/>
      <c r="P100" s="124"/>
      <c r="Q100" s="124"/>
      <c r="R100" s="124"/>
      <c r="S100" s="124"/>
      <c r="T100" s="124"/>
      <c r="U100" s="124" t="s">
        <v>5523</v>
      </c>
      <c r="V100" s="127">
        <f t="shared" si="2"/>
        <v>0.26800000000000002</v>
      </c>
      <c r="W100" s="126">
        <v>0</v>
      </c>
      <c r="X100" s="126">
        <v>0</v>
      </c>
      <c r="Y100" s="126">
        <v>10</v>
      </c>
      <c r="Z100" s="124"/>
      <c r="AA100" s="124" t="e">
        <f t="shared" ca="1" si="3"/>
        <v>#NAME?</v>
      </c>
      <c r="AB100" s="126">
        <f t="array" aca="1" ref="AB100" ca="1">IFERROR(J100/_xludf.XLOOKUP(I100,Materials!$A$3:$A$292,Materials!$I$3:$I$292),0)
+IFERROR(L100/_xludf.XLOOKUP(K100,Materials!$A$3:$A$292,Materials!$I$3:$I$292),0)
+IFERROR(N100/_xludf.XLOOKUP(M100,Materials!$A$3:$A$292,Materials!$I$3:$I$292),0)
+IFERROR(P100/_xludf.XLOOKUP(O100,Materials!$A$3:$A$292,Materials!$I$3:$I$292),0)
+IFERROR(R100/_xludf.XLOOKUP(Q100,Materials!$A$3:$A$292,Materials!$I$3:$I$292),0)
+IFERROR(H100/_xludf.XLOOKUP(G100,Materials!$A$3:$A$292,Materials!$I$3:$I$292),0)</f>
        <v>0</v>
      </c>
      <c r="AC100" s="20"/>
      <c r="AD100" s="20"/>
      <c r="AE100" s="20"/>
      <c r="AF100" s="20"/>
      <c r="AG100" s="20"/>
      <c r="AH100" s="20"/>
      <c r="AI100" s="20"/>
      <c r="AJ100" s="20"/>
      <c r="AK100" s="20"/>
      <c r="AL100" s="20"/>
      <c r="AM100" s="20"/>
      <c r="AN100" s="20"/>
      <c r="AO100" s="20"/>
      <c r="AP100" s="20"/>
      <c r="AQ100" s="20"/>
      <c r="AR100" s="20"/>
      <c r="AS100" s="20"/>
      <c r="AT100" s="20"/>
      <c r="AU100" s="20"/>
      <c r="AV100" s="20"/>
    </row>
    <row r="101" spans="1:48" ht="17.25" hidden="1" customHeight="1">
      <c r="A101" s="15" t="s">
        <v>5766</v>
      </c>
      <c r="B101" s="124" t="s">
        <v>157</v>
      </c>
      <c r="C101" s="124" t="s">
        <v>5522</v>
      </c>
      <c r="D101" s="125" t="e">
        <f t="shared" ca="1" si="0"/>
        <v>#NAME?</v>
      </c>
      <c r="E101" s="126" t="str">
        <f t="shared" ca="1" si="1"/>
        <v>Not enough information entered</v>
      </c>
      <c r="F101" s="124" t="s">
        <v>6392</v>
      </c>
      <c r="G101" s="124" t="s">
        <v>5211</v>
      </c>
      <c r="H101" s="126">
        <v>0.06</v>
      </c>
      <c r="I101" s="124" t="s">
        <v>5186</v>
      </c>
      <c r="J101" s="126">
        <v>0.18</v>
      </c>
      <c r="K101" s="124" t="s">
        <v>5204</v>
      </c>
      <c r="L101" s="126">
        <v>0.02</v>
      </c>
      <c r="M101" s="124" t="s">
        <v>5200</v>
      </c>
      <c r="N101" s="126">
        <v>1.2E-2</v>
      </c>
      <c r="O101" s="124"/>
      <c r="P101" s="124"/>
      <c r="Q101" s="124"/>
      <c r="R101" s="124"/>
      <c r="S101" s="124"/>
      <c r="T101" s="124"/>
      <c r="U101" s="124" t="s">
        <v>5523</v>
      </c>
      <c r="V101" s="127">
        <f t="shared" si="2"/>
        <v>0.27200000000000002</v>
      </c>
      <c r="W101" s="126">
        <v>0</v>
      </c>
      <c r="X101" s="126">
        <v>0</v>
      </c>
      <c r="Y101" s="126">
        <v>10</v>
      </c>
      <c r="Z101" s="124"/>
      <c r="AA101" s="124" t="e">
        <f t="shared" ca="1" si="3"/>
        <v>#NAME?</v>
      </c>
      <c r="AB101" s="126">
        <f t="array" aca="1" ref="AB101" ca="1">IFERROR(J101/_xludf.XLOOKUP(I101,Materials!$A$3:$A$292,Materials!$I$3:$I$292),0)
+IFERROR(L101/_xludf.XLOOKUP(K101,Materials!$A$3:$A$292,Materials!$I$3:$I$292),0)
+IFERROR(N101/_xludf.XLOOKUP(M101,Materials!$A$3:$A$292,Materials!$I$3:$I$292),0)
+IFERROR(P101/_xludf.XLOOKUP(O101,Materials!$A$3:$A$292,Materials!$I$3:$I$292),0)
+IFERROR(R101/_xludf.XLOOKUP(Q101,Materials!$A$3:$A$292,Materials!$I$3:$I$292),0)
+IFERROR(H101/_xludf.XLOOKUP(G101,Materials!$A$3:$A$292,Materials!$I$3:$I$292),0)</f>
        <v>0</v>
      </c>
      <c r="AC101" s="20"/>
      <c r="AD101" s="20"/>
      <c r="AE101" s="20"/>
      <c r="AF101" s="20"/>
      <c r="AG101" s="20"/>
      <c r="AH101" s="20"/>
      <c r="AI101" s="20"/>
      <c r="AJ101" s="20"/>
      <c r="AK101" s="20"/>
      <c r="AL101" s="20"/>
      <c r="AM101" s="20"/>
      <c r="AN101" s="20"/>
      <c r="AO101" s="20"/>
      <c r="AP101" s="20"/>
      <c r="AQ101" s="20"/>
      <c r="AR101" s="20"/>
      <c r="AS101" s="20"/>
      <c r="AT101" s="20"/>
      <c r="AU101" s="20"/>
      <c r="AV101" s="20"/>
    </row>
    <row r="102" spans="1:48" ht="17.25" customHeight="1">
      <c r="A102" s="15" t="s">
        <v>5766</v>
      </c>
      <c r="B102" s="124" t="s">
        <v>154</v>
      </c>
      <c r="C102" s="124" t="s">
        <v>5524</v>
      </c>
      <c r="D102" s="125" t="e">
        <f t="shared" ca="1" si="0"/>
        <v>#NAME?</v>
      </c>
      <c r="E102" s="126" t="str">
        <f t="shared" ca="1" si="1"/>
        <v>Not enough information entered</v>
      </c>
      <c r="F102" s="124" t="s">
        <v>6238</v>
      </c>
      <c r="G102" s="124" t="s">
        <v>5211</v>
      </c>
      <c r="H102" s="126">
        <v>7.8E-2</v>
      </c>
      <c r="I102" s="124" t="s">
        <v>5186</v>
      </c>
      <c r="J102" s="126">
        <v>0.15</v>
      </c>
      <c r="K102" s="124" t="s">
        <v>5196</v>
      </c>
      <c r="L102" s="124">
        <v>0.03</v>
      </c>
      <c r="M102" s="124"/>
      <c r="N102" s="124"/>
      <c r="O102" s="124"/>
      <c r="P102" s="124"/>
      <c r="Q102" s="128"/>
      <c r="R102" s="124"/>
      <c r="S102" s="124"/>
      <c r="T102" s="124"/>
      <c r="U102" s="124" t="s">
        <v>5523</v>
      </c>
      <c r="V102" s="127">
        <f t="shared" si="2"/>
        <v>0.25800000000000001</v>
      </c>
      <c r="W102" s="124"/>
      <c r="X102" s="124"/>
      <c r="Y102" s="124"/>
      <c r="Z102" s="124"/>
      <c r="AA102" s="124" t="e">
        <f t="shared" ca="1" si="3"/>
        <v>#NAME?</v>
      </c>
      <c r="AB102" s="126">
        <f t="array" aca="1" ref="AB102" ca="1">IFERROR(J102/_xludf.XLOOKUP(I102,Materials!$A$3:$A$292,Materials!$I$3:$I$292),0)
+IFERROR(L102/_xludf.XLOOKUP(K102,Materials!$A$3:$A$292,Materials!$I$3:$I$292),0)
+IFERROR(N102/_xludf.XLOOKUP(M102,Materials!$A$3:$A$292,Materials!$I$3:$I$292),0)
+IFERROR(P102/_xludf.XLOOKUP(O102,Materials!$A$3:$A$292,Materials!$I$3:$I$292),0)
+IFERROR(R102/_xludf.XLOOKUP(Q102,Materials!$A$3:$A$292,Materials!$I$3:$I$292),0)
+IFERROR(H102/_xludf.XLOOKUP(G102,Materials!$A$3:$A$292,Materials!$I$3:$I$292),0)</f>
        <v>0</v>
      </c>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row>
    <row r="103" spans="1:48" ht="17.25" hidden="1" customHeight="1">
      <c r="A103" s="15" t="s">
        <v>5766</v>
      </c>
      <c r="B103" s="124" t="s">
        <v>160</v>
      </c>
      <c r="C103" s="124" t="s">
        <v>5526</v>
      </c>
      <c r="D103" s="125" t="e">
        <f t="shared" ca="1" si="0"/>
        <v>#NAME?</v>
      </c>
      <c r="E103" s="126" t="str">
        <f t="shared" ca="1" si="1"/>
        <v>Not enough information entered</v>
      </c>
      <c r="F103" s="124" t="s">
        <v>6586</v>
      </c>
      <c r="G103" s="124" t="s">
        <v>5211</v>
      </c>
      <c r="H103" s="126">
        <v>7.6999999999999999E-2</v>
      </c>
      <c r="I103" s="124" t="s">
        <v>5186</v>
      </c>
      <c r="J103" s="126">
        <v>0.18</v>
      </c>
      <c r="K103" s="124" t="s">
        <v>5196</v>
      </c>
      <c r="L103" s="124">
        <v>0.03</v>
      </c>
      <c r="M103" s="124"/>
      <c r="N103" s="124"/>
      <c r="O103" s="124"/>
      <c r="P103" s="124"/>
      <c r="Q103" s="128"/>
      <c r="R103" s="124"/>
      <c r="S103" s="124"/>
      <c r="T103" s="124"/>
      <c r="U103" s="124" t="s">
        <v>5523</v>
      </c>
      <c r="V103" s="127">
        <f t="shared" si="2"/>
        <v>0.28700000000000003</v>
      </c>
      <c r="W103" s="126">
        <v>0</v>
      </c>
      <c r="X103" s="126">
        <v>0</v>
      </c>
      <c r="Y103" s="126">
        <v>10</v>
      </c>
      <c r="Z103" s="124"/>
      <c r="AA103" s="124" t="e">
        <f t="shared" ca="1" si="3"/>
        <v>#NAME?</v>
      </c>
      <c r="AB103" s="126">
        <f t="array" aca="1" ref="AB103" ca="1">IFERROR(J103/_xludf.XLOOKUP(I103,Materials!$A$3:$A$292,Materials!$I$3:$I$292),0)
+IFERROR(L103/_xludf.XLOOKUP(K103,Materials!$A$3:$A$292,Materials!$I$3:$I$292),0)
+IFERROR(N103/_xludf.XLOOKUP(M103,Materials!$A$3:$A$292,Materials!$I$3:$I$292),0)
+IFERROR(P103/_xludf.XLOOKUP(O103,Materials!$A$3:$A$292,Materials!$I$3:$I$292),0)
+IFERROR(R103/_xludf.XLOOKUP(Q103,Materials!$A$3:$A$292,Materials!$I$3:$I$292),0)
+IFERROR(H103/_xludf.XLOOKUP(G103,Materials!$A$3:$A$292,Materials!$I$3:$I$292),0)</f>
        <v>0</v>
      </c>
      <c r="AC103" s="20"/>
      <c r="AD103" s="20"/>
      <c r="AE103" s="20"/>
      <c r="AF103" s="20"/>
      <c r="AG103" s="20"/>
      <c r="AH103" s="20"/>
      <c r="AI103" s="20"/>
      <c r="AJ103" s="20"/>
      <c r="AK103" s="20"/>
      <c r="AL103" s="20"/>
      <c r="AM103" s="20"/>
      <c r="AN103" s="20"/>
      <c r="AO103" s="20"/>
      <c r="AP103" s="20"/>
      <c r="AQ103" s="20"/>
      <c r="AR103" s="20"/>
      <c r="AS103" s="20"/>
      <c r="AT103" s="20"/>
      <c r="AU103" s="20"/>
      <c r="AV103" s="20"/>
    </row>
    <row r="104" spans="1:48" ht="17.25" hidden="1" customHeight="1">
      <c r="A104" s="15" t="s">
        <v>5767</v>
      </c>
      <c r="B104" s="124" t="s">
        <v>157</v>
      </c>
      <c r="C104" s="124" t="s">
        <v>5522</v>
      </c>
      <c r="D104" s="125" t="e">
        <f t="shared" ca="1" si="0"/>
        <v>#NAME?</v>
      </c>
      <c r="E104" s="126" t="str">
        <f t="shared" ca="1" si="1"/>
        <v>Not enough information entered</v>
      </c>
      <c r="F104" s="124" t="s">
        <v>6393</v>
      </c>
      <c r="G104" s="124" t="s">
        <v>5211</v>
      </c>
      <c r="H104" s="126">
        <v>6.9000000000000006E-2</v>
      </c>
      <c r="I104" s="124" t="s">
        <v>5186</v>
      </c>
      <c r="J104" s="126">
        <v>0.18</v>
      </c>
      <c r="K104" s="124" t="s">
        <v>5204</v>
      </c>
      <c r="L104" s="126">
        <v>0.02</v>
      </c>
      <c r="M104" s="124" t="s">
        <v>5200</v>
      </c>
      <c r="N104" s="126">
        <v>1.2E-2</v>
      </c>
      <c r="O104" s="128"/>
      <c r="P104" s="124"/>
      <c r="Q104" s="128"/>
      <c r="R104" s="124"/>
      <c r="S104" s="124"/>
      <c r="T104" s="124"/>
      <c r="U104" s="124" t="s">
        <v>5523</v>
      </c>
      <c r="V104" s="127">
        <f t="shared" si="2"/>
        <v>0.28100000000000003</v>
      </c>
      <c r="W104" s="126">
        <v>0</v>
      </c>
      <c r="X104" s="126">
        <v>0</v>
      </c>
      <c r="Y104" s="126">
        <v>10</v>
      </c>
      <c r="Z104" s="124"/>
      <c r="AA104" s="124" t="e">
        <f t="shared" ca="1" si="3"/>
        <v>#NAME?</v>
      </c>
      <c r="AB104" s="126">
        <f t="array" aca="1" ref="AB104" ca="1">IFERROR(J104/_xludf.XLOOKUP(I104,Materials!$A$3:$A$292,Materials!$I$3:$I$292),0)
+IFERROR(L104/_xludf.XLOOKUP(K104,Materials!$A$3:$A$292,Materials!$I$3:$I$292),0)
+IFERROR(N104/_xludf.XLOOKUP(M104,Materials!$A$3:$A$292,Materials!$I$3:$I$292),0)
+IFERROR(P104/_xludf.XLOOKUP(O104,Materials!$A$3:$A$292,Materials!$I$3:$I$292),0)
+IFERROR(R104/_xludf.XLOOKUP(Q104,Materials!$A$3:$A$292,Materials!$I$3:$I$292),0)
+IFERROR(H104/_xludf.XLOOKUP(G104,Materials!$A$3:$A$292,Materials!$I$3:$I$292),0)</f>
        <v>0</v>
      </c>
      <c r="AC104" s="20"/>
      <c r="AD104" s="20"/>
      <c r="AE104" s="20"/>
      <c r="AF104" s="20"/>
      <c r="AG104" s="20"/>
      <c r="AH104" s="20"/>
      <c r="AI104" s="20"/>
      <c r="AJ104" s="20"/>
      <c r="AK104" s="20"/>
      <c r="AL104" s="20"/>
      <c r="AM104" s="20"/>
      <c r="AN104" s="20"/>
      <c r="AO104" s="20"/>
      <c r="AP104" s="20"/>
      <c r="AQ104" s="20"/>
      <c r="AR104" s="20"/>
      <c r="AS104" s="20"/>
      <c r="AT104" s="20"/>
      <c r="AU104" s="20"/>
      <c r="AV104" s="20"/>
    </row>
    <row r="105" spans="1:48" ht="17.25" customHeight="1">
      <c r="A105" s="15" t="s">
        <v>5767</v>
      </c>
      <c r="B105" s="124" t="s">
        <v>154</v>
      </c>
      <c r="C105" s="124" t="s">
        <v>5524</v>
      </c>
      <c r="D105" s="125" t="e">
        <f t="shared" ca="1" si="0"/>
        <v>#NAME?</v>
      </c>
      <c r="E105" s="126" t="str">
        <f t="shared" ca="1" si="1"/>
        <v>Not enough information entered</v>
      </c>
      <c r="F105" s="124" t="s">
        <v>6239</v>
      </c>
      <c r="G105" s="124" t="s">
        <v>5211</v>
      </c>
      <c r="H105" s="126">
        <v>9.4E-2</v>
      </c>
      <c r="I105" s="124" t="s">
        <v>5186</v>
      </c>
      <c r="J105" s="126">
        <v>0.15</v>
      </c>
      <c r="K105" s="124" t="s">
        <v>5196</v>
      </c>
      <c r="L105" s="124">
        <v>0.03</v>
      </c>
      <c r="M105" s="128"/>
      <c r="N105" s="124"/>
      <c r="O105" s="128"/>
      <c r="P105" s="124"/>
      <c r="Q105" s="128"/>
      <c r="R105" s="124"/>
      <c r="S105" s="124"/>
      <c r="T105" s="124"/>
      <c r="U105" s="124" t="s">
        <v>5523</v>
      </c>
      <c r="V105" s="127">
        <f t="shared" si="2"/>
        <v>0.27400000000000002</v>
      </c>
      <c r="W105" s="124"/>
      <c r="X105" s="124"/>
      <c r="Y105" s="124"/>
      <c r="Z105" s="124"/>
      <c r="AA105" s="124" t="e">
        <f t="shared" ca="1" si="3"/>
        <v>#NAME?</v>
      </c>
      <c r="AB105" s="126">
        <f t="array" aca="1" ref="AB105" ca="1">IFERROR(J105/_xludf.XLOOKUP(I105,Materials!$A$3:$A$292,Materials!$I$3:$I$292),0)
+IFERROR(L105/_xludf.XLOOKUP(K105,Materials!$A$3:$A$292,Materials!$I$3:$I$292),0)
+IFERROR(N105/_xludf.XLOOKUP(M105,Materials!$A$3:$A$292,Materials!$I$3:$I$292),0)
+IFERROR(P105/_xludf.XLOOKUP(O105,Materials!$A$3:$A$292,Materials!$I$3:$I$292),0)
+IFERROR(R105/_xludf.XLOOKUP(Q105,Materials!$A$3:$A$292,Materials!$I$3:$I$292),0)
+IFERROR(H105/_xludf.XLOOKUP(G105,Materials!$A$3:$A$292,Materials!$I$3:$I$292),0)</f>
        <v>0</v>
      </c>
      <c r="AC105" s="20"/>
      <c r="AD105" s="20"/>
      <c r="AE105" s="20"/>
      <c r="AF105" s="20"/>
      <c r="AG105" s="20"/>
      <c r="AH105" s="20"/>
      <c r="AI105" s="20"/>
      <c r="AJ105" s="20"/>
      <c r="AK105" s="20"/>
      <c r="AL105" s="20"/>
      <c r="AM105" s="20"/>
      <c r="AN105" s="20"/>
      <c r="AO105" s="20"/>
      <c r="AP105" s="20"/>
      <c r="AQ105" s="20"/>
      <c r="AR105" s="20"/>
      <c r="AS105" s="20"/>
      <c r="AT105" s="20"/>
      <c r="AU105" s="20"/>
      <c r="AV105" s="20"/>
    </row>
    <row r="106" spans="1:48" ht="17.25" hidden="1" customHeight="1">
      <c r="A106" s="15" t="s">
        <v>5767</v>
      </c>
      <c r="B106" s="124" t="s">
        <v>160</v>
      </c>
      <c r="C106" s="124" t="s">
        <v>5526</v>
      </c>
      <c r="D106" s="125" t="e">
        <f t="shared" ca="1" si="0"/>
        <v>#NAME?</v>
      </c>
      <c r="E106" s="126" t="str">
        <f t="shared" ca="1" si="1"/>
        <v>Not enough information entered</v>
      </c>
      <c r="F106" s="124" t="s">
        <v>6587</v>
      </c>
      <c r="G106" s="124" t="s">
        <v>5211</v>
      </c>
      <c r="H106" s="126">
        <v>9.2999999999999999E-2</v>
      </c>
      <c r="I106" s="124" t="s">
        <v>5186</v>
      </c>
      <c r="J106" s="126">
        <v>0.18</v>
      </c>
      <c r="K106" s="124" t="s">
        <v>5196</v>
      </c>
      <c r="L106" s="124">
        <v>0.03</v>
      </c>
      <c r="M106" s="128"/>
      <c r="N106" s="124"/>
      <c r="O106" s="128"/>
      <c r="P106" s="124"/>
      <c r="Q106" s="128"/>
      <c r="R106" s="124"/>
      <c r="S106" s="124"/>
      <c r="T106" s="124"/>
      <c r="U106" s="124" t="s">
        <v>5523</v>
      </c>
      <c r="V106" s="127">
        <f t="shared" si="2"/>
        <v>0.30300000000000005</v>
      </c>
      <c r="W106" s="126">
        <v>0</v>
      </c>
      <c r="X106" s="126">
        <v>0</v>
      </c>
      <c r="Y106" s="126">
        <v>10</v>
      </c>
      <c r="Z106" s="124"/>
      <c r="AA106" s="124" t="e">
        <f t="shared" ca="1" si="3"/>
        <v>#NAME?</v>
      </c>
      <c r="AB106" s="126">
        <f t="array" aca="1" ref="AB106" ca="1">IFERROR(J106/_xludf.XLOOKUP(I106,Materials!$A$3:$A$292,Materials!$I$3:$I$292),0)
+IFERROR(L106/_xludf.XLOOKUP(K106,Materials!$A$3:$A$292,Materials!$I$3:$I$292),0)
+IFERROR(N106/_xludf.XLOOKUP(M106,Materials!$A$3:$A$292,Materials!$I$3:$I$292),0)
+IFERROR(P106/_xludf.XLOOKUP(O106,Materials!$A$3:$A$292,Materials!$I$3:$I$292),0)
+IFERROR(R106/_xludf.XLOOKUP(Q106,Materials!$A$3:$A$292,Materials!$I$3:$I$292),0)
+IFERROR(H106/_xludf.XLOOKUP(G106,Materials!$A$3:$A$292,Materials!$I$3:$I$292),0)</f>
        <v>0</v>
      </c>
      <c r="AC106" s="20"/>
      <c r="AD106" s="20"/>
      <c r="AE106" s="20"/>
      <c r="AF106" s="20"/>
      <c r="AG106" s="20"/>
      <c r="AH106" s="20"/>
      <c r="AI106" s="20"/>
      <c r="AJ106" s="20"/>
      <c r="AK106" s="20"/>
      <c r="AL106" s="20"/>
      <c r="AM106" s="20"/>
      <c r="AN106" s="20"/>
      <c r="AO106" s="20"/>
      <c r="AP106" s="20"/>
      <c r="AQ106" s="20"/>
      <c r="AR106" s="20"/>
      <c r="AS106" s="20"/>
      <c r="AT106" s="20"/>
      <c r="AU106" s="20"/>
      <c r="AV106" s="20"/>
    </row>
    <row r="107" spans="1:48" ht="17.25" hidden="1" customHeight="1">
      <c r="A107" s="15" t="s">
        <v>4845</v>
      </c>
      <c r="B107" s="124" t="s">
        <v>158</v>
      </c>
      <c r="C107" s="124" t="s">
        <v>5527</v>
      </c>
      <c r="D107" s="125" t="e">
        <f t="shared" ca="1" si="0"/>
        <v>#NAME?</v>
      </c>
      <c r="E107" s="126" t="str">
        <f t="shared" ca="1" si="1"/>
        <v>Not enough information entered</v>
      </c>
      <c r="F107" s="124" t="s">
        <v>6342</v>
      </c>
      <c r="G107" s="124" t="s">
        <v>5200</v>
      </c>
      <c r="H107" s="124">
        <v>1.2500000000000001E-2</v>
      </c>
      <c r="I107" s="124" t="s">
        <v>5204</v>
      </c>
      <c r="J107" s="124">
        <v>0.05</v>
      </c>
      <c r="K107" s="124" t="s">
        <v>5200</v>
      </c>
      <c r="L107" s="124">
        <v>1.2500000000000001E-2</v>
      </c>
      <c r="M107" s="128"/>
      <c r="N107" s="124"/>
      <c r="O107" s="128"/>
      <c r="P107" s="124"/>
      <c r="Q107" s="128"/>
      <c r="R107" s="124"/>
      <c r="S107" s="124"/>
      <c r="T107" s="124"/>
      <c r="U107" s="124" t="s">
        <v>5523</v>
      </c>
      <c r="V107" s="127">
        <f t="shared" si="2"/>
        <v>7.4999999999999997E-2</v>
      </c>
      <c r="W107" s="124"/>
      <c r="X107" s="124"/>
      <c r="Y107" s="124"/>
      <c r="Z107" s="124"/>
      <c r="AA107" s="124" t="e">
        <f t="shared" ca="1" si="3"/>
        <v>#NAME?</v>
      </c>
      <c r="AB107" s="126">
        <f t="array" aca="1" ref="AB107" ca="1">IFERROR(J107/_xludf.XLOOKUP(I107,Materials!$A$3:$A$292,Materials!$I$3:$I$292),0)
+IFERROR(L107/_xludf.XLOOKUP(K107,Materials!$A$3:$A$292,Materials!$I$3:$I$292),0)
+IFERROR(N107/_xludf.XLOOKUP(M107,Materials!$A$3:$A$292,Materials!$I$3:$I$292),0)
+IFERROR(P107/_xludf.XLOOKUP(O107,Materials!$A$3:$A$292,Materials!$I$3:$I$292),0)
+IFERROR(R107/_xludf.XLOOKUP(Q107,Materials!$A$3:$A$292,Materials!$I$3:$I$292),0)
+IFERROR(H107/_xludf.XLOOKUP(G107,Materials!$A$3:$A$292,Materials!$I$3:$I$292),0)</f>
        <v>0</v>
      </c>
      <c r="AC107" s="20"/>
      <c r="AD107" s="20"/>
      <c r="AE107" s="20"/>
      <c r="AF107" s="20"/>
      <c r="AG107" s="20"/>
      <c r="AH107" s="20"/>
      <c r="AI107" s="20"/>
      <c r="AJ107" s="20"/>
      <c r="AK107" s="20"/>
      <c r="AL107" s="20"/>
      <c r="AM107" s="20"/>
      <c r="AN107" s="20"/>
      <c r="AO107" s="20"/>
      <c r="AP107" s="20"/>
      <c r="AQ107" s="20"/>
      <c r="AR107" s="20"/>
      <c r="AS107" s="20"/>
      <c r="AT107" s="20"/>
      <c r="AU107" s="20"/>
      <c r="AV107" s="20"/>
    </row>
    <row r="108" spans="1:48" ht="17.25" hidden="1" customHeight="1">
      <c r="A108" s="15" t="s">
        <v>4845</v>
      </c>
      <c r="B108" s="124" t="s">
        <v>162</v>
      </c>
      <c r="C108" s="124" t="s">
        <v>5529</v>
      </c>
      <c r="D108" s="125" t="e">
        <f t="shared" ca="1" si="0"/>
        <v>#NAME?</v>
      </c>
      <c r="E108" s="126" t="str">
        <f t="shared" ca="1" si="1"/>
        <v>Not enough information entered</v>
      </c>
      <c r="F108" s="124" t="s">
        <v>6551</v>
      </c>
      <c r="G108" s="124" t="s">
        <v>5186</v>
      </c>
      <c r="H108" s="124">
        <v>0.18</v>
      </c>
      <c r="I108" s="124" t="s">
        <v>5196</v>
      </c>
      <c r="J108" s="124">
        <v>0.03</v>
      </c>
      <c r="K108" s="128"/>
      <c r="L108" s="124"/>
      <c r="M108" s="128"/>
      <c r="N108" s="124"/>
      <c r="O108" s="128"/>
      <c r="P108" s="124"/>
      <c r="Q108" s="128"/>
      <c r="R108" s="124"/>
      <c r="S108" s="124"/>
      <c r="T108" s="124"/>
      <c r="U108" s="124" t="s">
        <v>5523</v>
      </c>
      <c r="V108" s="127">
        <f t="shared" si="2"/>
        <v>0.21</v>
      </c>
      <c r="W108" s="124"/>
      <c r="X108" s="124"/>
      <c r="Y108" s="124"/>
      <c r="Z108" s="124"/>
      <c r="AA108" s="124" t="e">
        <f t="shared" ca="1" si="3"/>
        <v>#NAME?</v>
      </c>
      <c r="AB108" s="126">
        <f t="array" aca="1" ref="AB108" ca="1">IFERROR(J108/_xludf.XLOOKUP(I108,Materials!$A$3:$A$292,Materials!$I$3:$I$292),0)
+IFERROR(L108/_xludf.XLOOKUP(K108,Materials!$A$3:$A$292,Materials!$I$3:$I$292),0)
+IFERROR(N108/_xludf.XLOOKUP(M108,Materials!$A$3:$A$292,Materials!$I$3:$I$292),0)
+IFERROR(P108/_xludf.XLOOKUP(O108,Materials!$A$3:$A$292,Materials!$I$3:$I$292),0)
+IFERROR(R108/_xludf.XLOOKUP(Q108,Materials!$A$3:$A$292,Materials!$I$3:$I$292),0)
+IFERROR(H108/_xludf.XLOOKUP(G108,Materials!$A$3:$A$292,Materials!$I$3:$I$292),0)</f>
        <v>0</v>
      </c>
      <c r="AC108" s="20"/>
      <c r="AD108" s="20"/>
      <c r="AE108" s="20"/>
      <c r="AF108" s="20"/>
      <c r="AG108" s="20"/>
      <c r="AH108" s="20"/>
      <c r="AI108" s="20"/>
      <c r="AJ108" s="20"/>
      <c r="AK108" s="20"/>
      <c r="AL108" s="20"/>
      <c r="AM108" s="20"/>
      <c r="AN108" s="20"/>
      <c r="AO108" s="20"/>
      <c r="AP108" s="20"/>
      <c r="AQ108" s="20"/>
      <c r="AR108" s="20"/>
      <c r="AS108" s="20"/>
      <c r="AT108" s="20"/>
      <c r="AU108" s="20"/>
      <c r="AV108" s="20"/>
    </row>
    <row r="109" spans="1:48" ht="17.25" hidden="1" customHeight="1">
      <c r="A109" s="15" t="s">
        <v>4845</v>
      </c>
      <c r="B109" s="124" t="s">
        <v>159</v>
      </c>
      <c r="C109" s="124" t="s">
        <v>5530</v>
      </c>
      <c r="D109" s="125" t="e">
        <f t="shared" ca="1" si="0"/>
        <v>#NAME?</v>
      </c>
      <c r="E109" s="126" t="str">
        <f t="shared" ca="1" si="1"/>
        <v>Not enough information entered</v>
      </c>
      <c r="F109" s="124" t="s">
        <v>6656</v>
      </c>
      <c r="G109" s="124" t="s">
        <v>5186</v>
      </c>
      <c r="H109" s="124">
        <v>0.2</v>
      </c>
      <c r="I109" s="124" t="s">
        <v>5211</v>
      </c>
      <c r="J109" s="124">
        <v>0.05</v>
      </c>
      <c r="K109" s="128"/>
      <c r="L109" s="124"/>
      <c r="M109" s="128"/>
      <c r="N109" s="124"/>
      <c r="O109" s="128"/>
      <c r="P109" s="124"/>
      <c r="Q109" s="128"/>
      <c r="R109" s="124"/>
      <c r="S109" s="124"/>
      <c r="T109" s="124"/>
      <c r="U109" s="124" t="s">
        <v>5523</v>
      </c>
      <c r="V109" s="127">
        <f t="shared" si="2"/>
        <v>0.25</v>
      </c>
      <c r="W109" s="124"/>
      <c r="X109" s="124"/>
      <c r="Y109" s="124"/>
      <c r="Z109" s="124"/>
      <c r="AA109" s="124" t="e">
        <f t="shared" ca="1" si="3"/>
        <v>#NAME?</v>
      </c>
      <c r="AB109" s="126">
        <f t="array" aca="1" ref="AB109" ca="1">IFERROR(J109/_xludf.XLOOKUP(I109,Materials!$A$3:$A$292,Materials!$I$3:$I$292),0)
+IFERROR(L109/_xludf.XLOOKUP(K109,Materials!$A$3:$A$292,Materials!$I$3:$I$292),0)
+IFERROR(N109/_xludf.XLOOKUP(M109,Materials!$A$3:$A$292,Materials!$I$3:$I$292),0)
+IFERROR(P109/_xludf.XLOOKUP(O109,Materials!$A$3:$A$292,Materials!$I$3:$I$292),0)
+IFERROR(R109/_xludf.XLOOKUP(Q109,Materials!$A$3:$A$292,Materials!$I$3:$I$292),0)
+IFERROR(H109/_xludf.XLOOKUP(G109,Materials!$A$3:$A$292,Materials!$I$3:$I$292),0)</f>
        <v>0</v>
      </c>
      <c r="AC109" s="20"/>
      <c r="AD109" s="20"/>
      <c r="AE109" s="20"/>
      <c r="AF109" s="20"/>
      <c r="AG109" s="20"/>
      <c r="AH109" s="20"/>
      <c r="AI109" s="20"/>
      <c r="AJ109" s="20"/>
      <c r="AK109" s="20"/>
      <c r="AL109" s="20"/>
      <c r="AM109" s="20"/>
      <c r="AN109" s="20"/>
      <c r="AO109" s="20"/>
      <c r="AP109" s="20"/>
      <c r="AQ109" s="20"/>
      <c r="AR109" s="20"/>
      <c r="AS109" s="20"/>
      <c r="AT109" s="20"/>
      <c r="AU109" s="20"/>
      <c r="AV109" s="20"/>
    </row>
    <row r="110" spans="1:48" ht="17.25" hidden="1" customHeight="1">
      <c r="A110" s="15"/>
      <c r="B110" s="124"/>
      <c r="C110" s="124" t="s">
        <v>5532</v>
      </c>
      <c r="D110" s="125"/>
      <c r="E110" s="126"/>
      <c r="F110" s="124"/>
      <c r="G110" s="124"/>
      <c r="H110" s="124"/>
      <c r="I110" s="128"/>
      <c r="J110" s="124"/>
      <c r="K110" s="124"/>
      <c r="L110" s="124"/>
      <c r="M110" s="128"/>
      <c r="N110" s="124"/>
      <c r="O110" s="128"/>
      <c r="P110" s="124"/>
      <c r="Q110" s="128"/>
      <c r="R110" s="124"/>
      <c r="S110" s="124"/>
      <c r="T110" s="124"/>
      <c r="U110" s="124"/>
      <c r="V110" s="127"/>
      <c r="W110" s="124"/>
      <c r="X110" s="124"/>
      <c r="Y110" s="124"/>
      <c r="Z110" s="124"/>
      <c r="AA110" s="124"/>
      <c r="AB110" s="126"/>
      <c r="AC110" s="20"/>
      <c r="AD110" s="20"/>
      <c r="AE110" s="20"/>
      <c r="AF110" s="20"/>
      <c r="AG110" s="20"/>
      <c r="AH110" s="20"/>
      <c r="AI110" s="20"/>
      <c r="AJ110" s="20"/>
      <c r="AK110" s="20"/>
      <c r="AL110" s="20"/>
      <c r="AM110" s="20"/>
      <c r="AN110" s="20"/>
      <c r="AO110" s="20"/>
      <c r="AP110" s="20"/>
      <c r="AQ110" s="20"/>
      <c r="AR110" s="20"/>
      <c r="AS110" s="20"/>
      <c r="AT110" s="20"/>
      <c r="AU110" s="20"/>
      <c r="AV110" s="20"/>
    </row>
    <row r="111" spans="1:48" ht="17.25" hidden="1" customHeight="1">
      <c r="A111" s="15" t="s">
        <v>4845</v>
      </c>
      <c r="B111" s="124" t="s">
        <v>161</v>
      </c>
      <c r="C111" s="124" t="s">
        <v>5533</v>
      </c>
      <c r="D111" s="125" t="e">
        <f t="shared" ca="1" si="0"/>
        <v>#NAME?</v>
      </c>
      <c r="E111" s="126" t="str">
        <f t="shared" ca="1" si="1"/>
        <v>Not enough information entered</v>
      </c>
      <c r="F111" s="124" t="s">
        <v>6672</v>
      </c>
      <c r="G111" s="124" t="s">
        <v>5186</v>
      </c>
      <c r="H111" s="124">
        <v>0.18</v>
      </c>
      <c r="I111" s="124" t="s">
        <v>5207</v>
      </c>
      <c r="J111" s="124">
        <v>0.06</v>
      </c>
      <c r="K111" s="124" t="s">
        <v>5200</v>
      </c>
      <c r="L111" s="124">
        <v>1.2500000000000001E-2</v>
      </c>
      <c r="M111" s="128"/>
      <c r="N111" s="124"/>
      <c r="O111" s="128"/>
      <c r="P111" s="124"/>
      <c r="Q111" s="128"/>
      <c r="R111" s="124"/>
      <c r="S111" s="124"/>
      <c r="T111" s="124"/>
      <c r="U111" s="124" t="s">
        <v>5523</v>
      </c>
      <c r="V111" s="127">
        <f t="shared" si="2"/>
        <v>0.2525</v>
      </c>
      <c r="W111" s="124"/>
      <c r="X111" s="124"/>
      <c r="Y111" s="124"/>
      <c r="Z111" s="124"/>
      <c r="AA111" s="124" t="e">
        <f t="shared" ca="1" si="3"/>
        <v>#NAME?</v>
      </c>
      <c r="AB111" s="126">
        <f t="array" aca="1" ref="AB111" ca="1">IFERROR(J111/_xludf.XLOOKUP(I111,Materials!$A$3:$A$292,Materials!$I$3:$I$292),0)
+IFERROR(L111/_xludf.XLOOKUP(K111,Materials!$A$3:$A$292,Materials!$I$3:$I$292),0)
+IFERROR(N111/_xludf.XLOOKUP(M111,Materials!$A$3:$A$292,Materials!$I$3:$I$292),0)
+IFERROR(P111/_xludf.XLOOKUP(O111,Materials!$A$3:$A$292,Materials!$I$3:$I$292),0)
+IFERROR(R111/_xludf.XLOOKUP(Q111,Materials!$A$3:$A$292,Materials!$I$3:$I$292),0)
+IFERROR(H111/_xludf.XLOOKUP(G111,Materials!$A$3:$A$292,Materials!$I$3:$I$292),0)</f>
        <v>0</v>
      </c>
      <c r="AC111" s="20"/>
      <c r="AD111" s="20"/>
      <c r="AE111" s="20"/>
      <c r="AF111" s="20"/>
      <c r="AG111" s="20"/>
      <c r="AH111" s="20"/>
      <c r="AI111" s="20"/>
      <c r="AJ111" s="20"/>
      <c r="AK111" s="20"/>
      <c r="AL111" s="20"/>
      <c r="AM111" s="20"/>
      <c r="AN111" s="20"/>
      <c r="AO111" s="20"/>
      <c r="AP111" s="20"/>
      <c r="AQ111" s="20"/>
      <c r="AR111" s="20"/>
      <c r="AS111" s="20"/>
      <c r="AT111" s="20"/>
      <c r="AU111" s="20"/>
      <c r="AV111" s="20"/>
    </row>
    <row r="112" spans="1:48" ht="17.25" hidden="1" customHeight="1">
      <c r="A112" s="15" t="s">
        <v>5768</v>
      </c>
      <c r="B112" s="124" t="s">
        <v>157</v>
      </c>
      <c r="C112" s="124" t="s">
        <v>5522</v>
      </c>
      <c r="D112" s="125" t="e">
        <f t="shared" ca="1" si="0"/>
        <v>#NAME?</v>
      </c>
      <c r="E112" s="126" t="str">
        <f t="shared" ca="1" si="1"/>
        <v>Not enough information entered</v>
      </c>
      <c r="F112" s="124" t="s">
        <v>6394</v>
      </c>
      <c r="G112" s="124" t="s">
        <v>5186</v>
      </c>
      <c r="H112" s="126">
        <v>0.18</v>
      </c>
      <c r="I112" s="124" t="s">
        <v>5204</v>
      </c>
      <c r="J112" s="126">
        <v>0.02</v>
      </c>
      <c r="K112" s="124" t="s">
        <v>5200</v>
      </c>
      <c r="L112" s="126">
        <v>1.2E-2</v>
      </c>
      <c r="M112" s="128"/>
      <c r="N112" s="124"/>
      <c r="O112" s="128"/>
      <c r="P112" s="124"/>
      <c r="Q112" s="128"/>
      <c r="R112" s="124"/>
      <c r="S112" s="124"/>
      <c r="T112" s="124"/>
      <c r="U112" s="124" t="s">
        <v>5523</v>
      </c>
      <c r="V112" s="127">
        <f t="shared" si="2"/>
        <v>0.21199999999999999</v>
      </c>
      <c r="W112" s="126">
        <v>0</v>
      </c>
      <c r="X112" s="126">
        <v>0</v>
      </c>
      <c r="Y112" s="126">
        <v>10</v>
      </c>
      <c r="Z112" s="124"/>
      <c r="AA112" s="124" t="e">
        <f t="shared" ca="1" si="3"/>
        <v>#NAME?</v>
      </c>
      <c r="AB112" s="126">
        <f t="array" aca="1" ref="AB112" ca="1">IFERROR(J112/_xludf.XLOOKUP(I112,Materials!$A$3:$A$292,Materials!$I$3:$I$292),0)
+IFERROR(L112/_xludf.XLOOKUP(K112,Materials!$A$3:$A$292,Materials!$I$3:$I$292),0)
+IFERROR(N112/_xludf.XLOOKUP(M112,Materials!$A$3:$A$292,Materials!$I$3:$I$292),0)
+IFERROR(P112/_xludf.XLOOKUP(O112,Materials!$A$3:$A$292,Materials!$I$3:$I$292),0)
+IFERROR(R112/_xludf.XLOOKUP(Q112,Materials!$A$3:$A$292,Materials!$I$3:$I$292),0)
+IFERROR(H112/_xludf.XLOOKUP(G112,Materials!$A$3:$A$292,Materials!$I$3:$I$292),0)</f>
        <v>0</v>
      </c>
      <c r="AC112" s="20"/>
      <c r="AD112" s="20"/>
      <c r="AE112" s="20"/>
      <c r="AF112" s="20"/>
      <c r="AG112" s="20"/>
      <c r="AH112" s="20"/>
      <c r="AI112" s="20"/>
      <c r="AJ112" s="20"/>
      <c r="AK112" s="20"/>
      <c r="AL112" s="20"/>
      <c r="AM112" s="20"/>
      <c r="AN112" s="20"/>
      <c r="AO112" s="20"/>
      <c r="AP112" s="20"/>
      <c r="AQ112" s="20"/>
      <c r="AR112" s="20"/>
      <c r="AS112" s="20"/>
      <c r="AT112" s="20"/>
      <c r="AU112" s="20"/>
      <c r="AV112" s="20"/>
    </row>
    <row r="113" spans="1:48" ht="17.25" customHeight="1">
      <c r="A113" s="15" t="s">
        <v>5768</v>
      </c>
      <c r="B113" s="124" t="s">
        <v>154</v>
      </c>
      <c r="C113" s="124" t="s">
        <v>5524</v>
      </c>
      <c r="D113" s="125" t="e">
        <f t="shared" ca="1" si="0"/>
        <v>#NAME?</v>
      </c>
      <c r="E113" s="126" t="str">
        <f t="shared" ca="1" si="1"/>
        <v>Not enough information entered</v>
      </c>
      <c r="F113" s="124" t="s">
        <v>6240</v>
      </c>
      <c r="G113" s="124" t="s">
        <v>5186</v>
      </c>
      <c r="H113" s="126">
        <v>0.15</v>
      </c>
      <c r="I113" s="124" t="s">
        <v>5196</v>
      </c>
      <c r="J113" s="126">
        <v>0.03</v>
      </c>
      <c r="K113" s="124"/>
      <c r="L113" s="124"/>
      <c r="M113" s="124"/>
      <c r="N113" s="124"/>
      <c r="O113" s="124"/>
      <c r="P113" s="124"/>
      <c r="Q113" s="124"/>
      <c r="R113" s="124"/>
      <c r="S113" s="124"/>
      <c r="T113" s="124"/>
      <c r="U113" s="124" t="s">
        <v>5523</v>
      </c>
      <c r="V113" s="127">
        <f t="shared" si="2"/>
        <v>0.18</v>
      </c>
      <c r="W113" s="124"/>
      <c r="X113" s="124"/>
      <c r="Y113" s="124"/>
      <c r="Z113" s="124"/>
      <c r="AA113" s="124" t="e">
        <f t="shared" ca="1" si="3"/>
        <v>#NAME?</v>
      </c>
      <c r="AB113" s="126">
        <f t="array" aca="1" ref="AB113" ca="1">IFERROR(J113/_xludf.XLOOKUP(I113,Materials!$A$3:$A$292,Materials!$I$3:$I$292),0)
+IFERROR(L113/_xludf.XLOOKUP(K113,Materials!$A$3:$A$292,Materials!$I$3:$I$292),0)
+IFERROR(N113/_xludf.XLOOKUP(M113,Materials!$A$3:$A$292,Materials!$I$3:$I$292),0)
+IFERROR(P113/_xludf.XLOOKUP(O113,Materials!$A$3:$A$292,Materials!$I$3:$I$292),0)
+IFERROR(R113/_xludf.XLOOKUP(Q113,Materials!$A$3:$A$292,Materials!$I$3:$I$292),0)
+IFERROR(H113/_xludf.XLOOKUP(G113,Materials!$A$3:$A$292,Materials!$I$3:$I$292),0)</f>
        <v>0</v>
      </c>
      <c r="AC113" s="20"/>
      <c r="AD113" s="20"/>
      <c r="AE113" s="20"/>
      <c r="AF113" s="20"/>
      <c r="AG113" s="20"/>
      <c r="AH113" s="20"/>
      <c r="AI113" s="20"/>
      <c r="AJ113" s="20"/>
      <c r="AK113" s="20"/>
      <c r="AL113" s="20"/>
      <c r="AM113" s="20"/>
      <c r="AN113" s="20"/>
      <c r="AO113" s="20"/>
      <c r="AP113" s="20"/>
      <c r="AQ113" s="20"/>
      <c r="AR113" s="20"/>
      <c r="AS113" s="20"/>
      <c r="AT113" s="20"/>
      <c r="AU113" s="20"/>
      <c r="AV113" s="20"/>
    </row>
    <row r="114" spans="1:48" ht="17.25" hidden="1" customHeight="1">
      <c r="A114" s="15" t="s">
        <v>5768</v>
      </c>
      <c r="B114" s="124" t="s">
        <v>160</v>
      </c>
      <c r="C114" s="124" t="s">
        <v>5526</v>
      </c>
      <c r="D114" s="125" t="e">
        <f t="shared" ca="1" si="0"/>
        <v>#NAME?</v>
      </c>
      <c r="E114" s="126" t="str">
        <f t="shared" ca="1" si="1"/>
        <v>Not enough information entered</v>
      </c>
      <c r="F114" s="124" t="s">
        <v>6588</v>
      </c>
      <c r="G114" s="124" t="s">
        <v>5186</v>
      </c>
      <c r="H114" s="126">
        <v>0.18</v>
      </c>
      <c r="I114" s="124" t="s">
        <v>5196</v>
      </c>
      <c r="J114" s="126">
        <v>0.03</v>
      </c>
      <c r="K114" s="124"/>
      <c r="L114" s="124"/>
      <c r="M114" s="124"/>
      <c r="N114" s="124"/>
      <c r="O114" s="124"/>
      <c r="P114" s="124"/>
      <c r="Q114" s="124"/>
      <c r="R114" s="124"/>
      <c r="S114" s="124"/>
      <c r="T114" s="124"/>
      <c r="U114" s="124" t="s">
        <v>5523</v>
      </c>
      <c r="V114" s="127">
        <f t="shared" si="2"/>
        <v>0.21</v>
      </c>
      <c r="W114" s="126">
        <v>0</v>
      </c>
      <c r="X114" s="126">
        <v>0</v>
      </c>
      <c r="Y114" s="126">
        <v>10</v>
      </c>
      <c r="Z114" s="124"/>
      <c r="AA114" s="124" t="e">
        <f t="shared" ca="1" si="3"/>
        <v>#NAME?</v>
      </c>
      <c r="AB114" s="126">
        <f t="array" aca="1" ref="AB114" ca="1">IFERROR(J114/_xludf.XLOOKUP(I114,Materials!$A$3:$A$292,Materials!$I$3:$I$292),0)
+IFERROR(L114/_xludf.XLOOKUP(K114,Materials!$A$3:$A$292,Materials!$I$3:$I$292),0)
+IFERROR(N114/_xludf.XLOOKUP(M114,Materials!$A$3:$A$292,Materials!$I$3:$I$292),0)
+IFERROR(P114/_xludf.XLOOKUP(O114,Materials!$A$3:$A$292,Materials!$I$3:$I$292),0)
+IFERROR(R114/_xludf.XLOOKUP(Q114,Materials!$A$3:$A$292,Materials!$I$3:$I$292),0)
+IFERROR(H114/_xludf.XLOOKUP(G114,Materials!$A$3:$A$292,Materials!$I$3:$I$292),0)</f>
        <v>0</v>
      </c>
      <c r="AC114" s="20"/>
      <c r="AD114" s="20"/>
      <c r="AE114" s="20"/>
      <c r="AF114" s="20"/>
      <c r="AG114" s="20"/>
      <c r="AH114" s="20"/>
      <c r="AI114" s="20"/>
      <c r="AJ114" s="20"/>
      <c r="AK114" s="20"/>
      <c r="AL114" s="20"/>
      <c r="AM114" s="20"/>
      <c r="AN114" s="20"/>
      <c r="AO114" s="20"/>
      <c r="AP114" s="20"/>
      <c r="AQ114" s="20"/>
      <c r="AR114" s="20"/>
      <c r="AS114" s="20"/>
      <c r="AT114" s="20"/>
      <c r="AU114" s="20"/>
      <c r="AV114" s="20"/>
    </row>
    <row r="115" spans="1:48" ht="17.25" hidden="1" customHeight="1">
      <c r="A115" s="15" t="s">
        <v>5769</v>
      </c>
      <c r="B115" s="124" t="s">
        <v>157</v>
      </c>
      <c r="C115" s="124" t="s">
        <v>5522</v>
      </c>
      <c r="D115" s="125" t="e">
        <f t="shared" ca="1" si="0"/>
        <v>#NAME?</v>
      </c>
      <c r="E115" s="126" t="str">
        <f t="shared" ca="1" si="1"/>
        <v>Not enough information entered</v>
      </c>
      <c r="F115" s="124" t="s">
        <v>6395</v>
      </c>
      <c r="G115" s="124" t="s">
        <v>5211</v>
      </c>
      <c r="H115" s="126">
        <v>0.03</v>
      </c>
      <c r="I115" s="124" t="s">
        <v>5186</v>
      </c>
      <c r="J115" s="126">
        <v>0.18</v>
      </c>
      <c r="K115" s="124" t="s">
        <v>5204</v>
      </c>
      <c r="L115" s="126">
        <v>0.02</v>
      </c>
      <c r="M115" s="124" t="s">
        <v>5200</v>
      </c>
      <c r="N115" s="126">
        <v>1.2E-2</v>
      </c>
      <c r="O115" s="124"/>
      <c r="P115" s="124"/>
      <c r="Q115" s="124"/>
      <c r="R115" s="124"/>
      <c r="S115" s="124"/>
      <c r="T115" s="124"/>
      <c r="U115" s="124" t="s">
        <v>5523</v>
      </c>
      <c r="V115" s="127">
        <f t="shared" si="2"/>
        <v>0.24199999999999999</v>
      </c>
      <c r="W115" s="126">
        <v>0</v>
      </c>
      <c r="X115" s="126">
        <v>0</v>
      </c>
      <c r="Y115" s="126">
        <v>10</v>
      </c>
      <c r="Z115" s="124"/>
      <c r="AA115" s="124" t="e">
        <f t="shared" ca="1" si="3"/>
        <v>#NAME?</v>
      </c>
      <c r="AB115" s="126">
        <f t="array" aca="1" ref="AB115" ca="1">IFERROR(J115/_xludf.XLOOKUP(I115,Materials!$A$3:$A$292,Materials!$I$3:$I$292),0)
+IFERROR(L115/_xludf.XLOOKUP(K115,Materials!$A$3:$A$292,Materials!$I$3:$I$292),0)
+IFERROR(N115/_xludf.XLOOKUP(M115,Materials!$A$3:$A$292,Materials!$I$3:$I$292),0)
+IFERROR(P115/_xludf.XLOOKUP(O115,Materials!$A$3:$A$292,Materials!$I$3:$I$292),0)
+IFERROR(R115/_xludf.XLOOKUP(Q115,Materials!$A$3:$A$292,Materials!$I$3:$I$292),0)
+IFERROR(H115/_xludf.XLOOKUP(G115,Materials!$A$3:$A$292,Materials!$I$3:$I$292),0)</f>
        <v>0</v>
      </c>
      <c r="AC115" s="20"/>
      <c r="AD115" s="20"/>
      <c r="AE115" s="20"/>
      <c r="AF115" s="20"/>
      <c r="AG115" s="20"/>
      <c r="AH115" s="20"/>
      <c r="AI115" s="20"/>
      <c r="AJ115" s="20"/>
      <c r="AK115" s="20"/>
      <c r="AL115" s="20"/>
      <c r="AM115" s="20"/>
      <c r="AN115" s="20"/>
      <c r="AO115" s="20"/>
      <c r="AP115" s="20"/>
      <c r="AQ115" s="20"/>
      <c r="AR115" s="20"/>
      <c r="AS115" s="20"/>
      <c r="AT115" s="20"/>
      <c r="AU115" s="20"/>
      <c r="AV115" s="20"/>
    </row>
    <row r="116" spans="1:48" ht="17.25" customHeight="1">
      <c r="A116" s="15" t="s">
        <v>5769</v>
      </c>
      <c r="B116" s="124" t="s">
        <v>154</v>
      </c>
      <c r="C116" s="124" t="s">
        <v>5524</v>
      </c>
      <c r="D116" s="125" t="e">
        <f t="shared" ca="1" si="0"/>
        <v>#NAME?</v>
      </c>
      <c r="E116" s="126" t="str">
        <f t="shared" ca="1" si="1"/>
        <v>Not enough information entered</v>
      </c>
      <c r="F116" s="124" t="s">
        <v>6241</v>
      </c>
      <c r="G116" s="124" t="s">
        <v>5211</v>
      </c>
      <c r="H116" s="126">
        <v>5.8000000000000003E-2</v>
      </c>
      <c r="I116" s="124" t="s">
        <v>5186</v>
      </c>
      <c r="J116" s="126">
        <v>0.15</v>
      </c>
      <c r="K116" s="124" t="s">
        <v>5196</v>
      </c>
      <c r="L116" s="124">
        <v>0.03</v>
      </c>
      <c r="M116" s="124"/>
      <c r="N116" s="124"/>
      <c r="O116" s="124"/>
      <c r="P116" s="124"/>
      <c r="Q116" s="124"/>
      <c r="R116" s="124"/>
      <c r="S116" s="124"/>
      <c r="T116" s="124"/>
      <c r="U116" s="124" t="s">
        <v>5523</v>
      </c>
      <c r="V116" s="127">
        <f t="shared" si="2"/>
        <v>0.23799999999999999</v>
      </c>
      <c r="W116" s="124"/>
      <c r="X116" s="124"/>
      <c r="Y116" s="124"/>
      <c r="Z116" s="124"/>
      <c r="AA116" s="124" t="e">
        <f t="shared" ca="1" si="3"/>
        <v>#NAME?</v>
      </c>
      <c r="AB116" s="126">
        <f t="array" aca="1" ref="AB116" ca="1">IFERROR(J116/_xludf.XLOOKUP(I116,Materials!$A$3:$A$292,Materials!$I$3:$I$292),0)
+IFERROR(L116/_xludf.XLOOKUP(K116,Materials!$A$3:$A$292,Materials!$I$3:$I$292),0)
+IFERROR(N116/_xludf.XLOOKUP(M116,Materials!$A$3:$A$292,Materials!$I$3:$I$292),0)
+IFERROR(P116/_xludf.XLOOKUP(O116,Materials!$A$3:$A$292,Materials!$I$3:$I$292),0)
+IFERROR(R116/_xludf.XLOOKUP(Q116,Materials!$A$3:$A$292,Materials!$I$3:$I$292),0)
+IFERROR(H116/_xludf.XLOOKUP(G116,Materials!$A$3:$A$292,Materials!$I$3:$I$292),0)</f>
        <v>0</v>
      </c>
      <c r="AC116" s="20"/>
      <c r="AD116" s="20"/>
      <c r="AE116" s="20"/>
      <c r="AF116" s="20"/>
      <c r="AG116" s="20"/>
      <c r="AH116" s="20"/>
      <c r="AI116" s="20"/>
      <c r="AJ116" s="20"/>
      <c r="AK116" s="20"/>
      <c r="AL116" s="20"/>
      <c r="AM116" s="20"/>
      <c r="AN116" s="20"/>
      <c r="AO116" s="20"/>
      <c r="AP116" s="20"/>
      <c r="AQ116" s="20"/>
      <c r="AR116" s="20"/>
      <c r="AS116" s="20"/>
      <c r="AT116" s="20"/>
      <c r="AU116" s="20"/>
      <c r="AV116" s="20"/>
    </row>
    <row r="117" spans="1:48" ht="17.25" hidden="1" customHeight="1">
      <c r="A117" s="15" t="s">
        <v>5769</v>
      </c>
      <c r="B117" s="124" t="s">
        <v>160</v>
      </c>
      <c r="C117" s="124" t="s">
        <v>5526</v>
      </c>
      <c r="D117" s="125" t="e">
        <f t="shared" ca="1" si="0"/>
        <v>#NAME?</v>
      </c>
      <c r="E117" s="126" t="str">
        <f t="shared" ca="1" si="1"/>
        <v>Not enough information entered</v>
      </c>
      <c r="F117" s="124" t="s">
        <v>6589</v>
      </c>
      <c r="G117" s="124" t="s">
        <v>5211</v>
      </c>
      <c r="H117" s="126">
        <v>4.7E-2</v>
      </c>
      <c r="I117" s="124" t="s">
        <v>5186</v>
      </c>
      <c r="J117" s="126">
        <v>0.18</v>
      </c>
      <c r="K117" s="124" t="s">
        <v>5196</v>
      </c>
      <c r="L117" s="124">
        <v>0.03</v>
      </c>
      <c r="M117" s="124"/>
      <c r="N117" s="124"/>
      <c r="O117" s="124"/>
      <c r="P117" s="124"/>
      <c r="Q117" s="124"/>
      <c r="R117" s="124"/>
      <c r="S117" s="124"/>
      <c r="T117" s="124"/>
      <c r="U117" s="124" t="s">
        <v>5523</v>
      </c>
      <c r="V117" s="127">
        <f t="shared" si="2"/>
        <v>0.25700000000000001</v>
      </c>
      <c r="W117" s="126">
        <v>0</v>
      </c>
      <c r="X117" s="126">
        <v>0</v>
      </c>
      <c r="Y117" s="126">
        <v>10</v>
      </c>
      <c r="Z117" s="124"/>
      <c r="AA117" s="124" t="e">
        <f t="shared" ca="1" si="3"/>
        <v>#NAME?</v>
      </c>
      <c r="AB117" s="126">
        <f t="array" aca="1" ref="AB117" ca="1">IFERROR(J117/_xludf.XLOOKUP(I117,Materials!$A$3:$A$292,Materials!$I$3:$I$292),0)
+IFERROR(L117/_xludf.XLOOKUP(K117,Materials!$A$3:$A$292,Materials!$I$3:$I$292),0)
+IFERROR(N117/_xludf.XLOOKUP(M117,Materials!$A$3:$A$292,Materials!$I$3:$I$292),0)
+IFERROR(P117/_xludf.XLOOKUP(O117,Materials!$A$3:$A$292,Materials!$I$3:$I$292),0)
+IFERROR(R117/_xludf.XLOOKUP(Q117,Materials!$A$3:$A$292,Materials!$I$3:$I$292),0)
+IFERROR(H117/_xludf.XLOOKUP(G117,Materials!$A$3:$A$292,Materials!$I$3:$I$292),0)</f>
        <v>0</v>
      </c>
      <c r="AC117" s="20"/>
      <c r="AD117" s="20"/>
      <c r="AE117" s="20"/>
      <c r="AF117" s="20"/>
      <c r="AG117" s="20"/>
      <c r="AH117" s="20"/>
      <c r="AI117" s="20"/>
      <c r="AJ117" s="20"/>
      <c r="AK117" s="20"/>
      <c r="AL117" s="20"/>
      <c r="AM117" s="20"/>
      <c r="AN117" s="20"/>
      <c r="AO117" s="20"/>
      <c r="AP117" s="20"/>
      <c r="AQ117" s="20"/>
      <c r="AR117" s="20"/>
      <c r="AS117" s="20"/>
      <c r="AT117" s="20"/>
      <c r="AU117" s="20"/>
      <c r="AV117" s="20"/>
    </row>
    <row r="118" spans="1:48" ht="17.25" hidden="1" customHeight="1">
      <c r="A118" s="15" t="s">
        <v>5770</v>
      </c>
      <c r="B118" s="124" t="s">
        <v>157</v>
      </c>
      <c r="C118" s="124" t="s">
        <v>5522</v>
      </c>
      <c r="D118" s="125" t="e">
        <f t="shared" ca="1" si="0"/>
        <v>#NAME?</v>
      </c>
      <c r="E118" s="126" t="str">
        <f t="shared" ca="1" si="1"/>
        <v>Not enough information entered</v>
      </c>
      <c r="F118" s="124" t="s">
        <v>6396</v>
      </c>
      <c r="G118" s="124" t="s">
        <v>5211</v>
      </c>
      <c r="H118" s="126">
        <v>0.04</v>
      </c>
      <c r="I118" s="124" t="s">
        <v>5186</v>
      </c>
      <c r="J118" s="126">
        <v>0.18</v>
      </c>
      <c r="K118" s="124" t="s">
        <v>5204</v>
      </c>
      <c r="L118" s="126">
        <v>0.02</v>
      </c>
      <c r="M118" s="124" t="s">
        <v>5200</v>
      </c>
      <c r="N118" s="126">
        <v>1.2E-2</v>
      </c>
      <c r="O118" s="124"/>
      <c r="P118" s="124"/>
      <c r="Q118" s="124"/>
      <c r="R118" s="124"/>
      <c r="S118" s="124"/>
      <c r="T118" s="124"/>
      <c r="U118" s="124" t="s">
        <v>5523</v>
      </c>
      <c r="V118" s="127">
        <f t="shared" si="2"/>
        <v>0.252</v>
      </c>
      <c r="W118" s="126">
        <v>0</v>
      </c>
      <c r="X118" s="126">
        <v>0</v>
      </c>
      <c r="Y118" s="126">
        <v>10</v>
      </c>
      <c r="Z118" s="124"/>
      <c r="AA118" s="124" t="e">
        <f t="shared" ca="1" si="3"/>
        <v>#NAME?</v>
      </c>
      <c r="AB118" s="126">
        <f t="array" aca="1" ref="AB118" ca="1">IFERROR(J118/_xludf.XLOOKUP(I118,Materials!$A$3:$A$292,Materials!$I$3:$I$292),0)
+IFERROR(L118/_xludf.XLOOKUP(K118,Materials!$A$3:$A$292,Materials!$I$3:$I$292),0)
+IFERROR(N118/_xludf.XLOOKUP(M118,Materials!$A$3:$A$292,Materials!$I$3:$I$292),0)
+IFERROR(P118/_xludf.XLOOKUP(O118,Materials!$A$3:$A$292,Materials!$I$3:$I$292),0)
+IFERROR(R118/_xludf.XLOOKUP(Q118,Materials!$A$3:$A$292,Materials!$I$3:$I$292),0)
+IFERROR(H118/_xludf.XLOOKUP(G118,Materials!$A$3:$A$292,Materials!$I$3:$I$292),0)</f>
        <v>0</v>
      </c>
      <c r="AC118" s="20"/>
      <c r="AD118" s="20"/>
      <c r="AE118" s="20"/>
      <c r="AF118" s="20"/>
      <c r="AG118" s="20"/>
      <c r="AH118" s="20"/>
      <c r="AI118" s="20"/>
      <c r="AJ118" s="20"/>
      <c r="AK118" s="20"/>
      <c r="AL118" s="20"/>
      <c r="AM118" s="20"/>
      <c r="AN118" s="20"/>
      <c r="AO118" s="20"/>
      <c r="AP118" s="20"/>
      <c r="AQ118" s="20"/>
      <c r="AR118" s="20"/>
      <c r="AS118" s="20"/>
      <c r="AT118" s="20"/>
      <c r="AU118" s="20"/>
      <c r="AV118" s="20"/>
    </row>
    <row r="119" spans="1:48" ht="17.25" customHeight="1">
      <c r="A119" s="15" t="s">
        <v>5770</v>
      </c>
      <c r="B119" s="124" t="s">
        <v>154</v>
      </c>
      <c r="C119" s="124" t="s">
        <v>5524</v>
      </c>
      <c r="D119" s="125" t="e">
        <f t="shared" ca="1" si="0"/>
        <v>#NAME?</v>
      </c>
      <c r="E119" s="126" t="str">
        <f t="shared" ca="1" si="1"/>
        <v>Not enough information entered</v>
      </c>
      <c r="F119" s="124" t="s">
        <v>6242</v>
      </c>
      <c r="G119" s="124" t="s">
        <v>5211</v>
      </c>
      <c r="H119" s="126">
        <v>5.8999999999999997E-2</v>
      </c>
      <c r="I119" s="124" t="s">
        <v>5186</v>
      </c>
      <c r="J119" s="126">
        <v>0.15</v>
      </c>
      <c r="K119" s="124" t="s">
        <v>5196</v>
      </c>
      <c r="L119" s="124">
        <v>0.03</v>
      </c>
      <c r="M119" s="124"/>
      <c r="N119" s="124"/>
      <c r="O119" s="124"/>
      <c r="P119" s="124"/>
      <c r="Q119" s="124"/>
      <c r="R119" s="124"/>
      <c r="S119" s="124"/>
      <c r="T119" s="124"/>
      <c r="U119" s="124" t="s">
        <v>5523</v>
      </c>
      <c r="V119" s="127">
        <f t="shared" si="2"/>
        <v>0.23899999999999999</v>
      </c>
      <c r="W119" s="124"/>
      <c r="X119" s="124"/>
      <c r="Y119" s="124"/>
      <c r="Z119" s="124"/>
      <c r="AA119" s="124" t="e">
        <f t="shared" ca="1" si="3"/>
        <v>#NAME?</v>
      </c>
      <c r="AB119" s="126">
        <f t="array" aca="1" ref="AB119" ca="1">IFERROR(J119/_xludf.XLOOKUP(I119,Materials!$A$3:$A$292,Materials!$I$3:$I$292),0)
+IFERROR(L119/_xludf.XLOOKUP(K119,Materials!$A$3:$A$292,Materials!$I$3:$I$292),0)
+IFERROR(N119/_xludf.XLOOKUP(M119,Materials!$A$3:$A$292,Materials!$I$3:$I$292),0)
+IFERROR(P119/_xludf.XLOOKUP(O119,Materials!$A$3:$A$292,Materials!$I$3:$I$292),0)
+IFERROR(R119/_xludf.XLOOKUP(Q119,Materials!$A$3:$A$292,Materials!$I$3:$I$292),0)
+IFERROR(H119/_xludf.XLOOKUP(G119,Materials!$A$3:$A$292,Materials!$I$3:$I$292),0)</f>
        <v>0</v>
      </c>
      <c r="AC119" s="20"/>
      <c r="AD119" s="20"/>
      <c r="AE119" s="20"/>
      <c r="AF119" s="20"/>
      <c r="AG119" s="20"/>
      <c r="AH119" s="20"/>
      <c r="AI119" s="20"/>
      <c r="AJ119" s="20"/>
      <c r="AK119" s="20"/>
      <c r="AL119" s="20"/>
      <c r="AM119" s="20"/>
      <c r="AN119" s="20"/>
      <c r="AO119" s="20"/>
      <c r="AP119" s="20"/>
      <c r="AQ119" s="20"/>
      <c r="AR119" s="20"/>
      <c r="AS119" s="20"/>
      <c r="AT119" s="20"/>
      <c r="AU119" s="20"/>
      <c r="AV119" s="20"/>
    </row>
    <row r="120" spans="1:48" ht="17.25" hidden="1" customHeight="1">
      <c r="A120" s="15" t="s">
        <v>5770</v>
      </c>
      <c r="B120" s="124" t="s">
        <v>160</v>
      </c>
      <c r="C120" s="124" t="s">
        <v>5526</v>
      </c>
      <c r="D120" s="125" t="e">
        <f t="shared" ca="1" si="0"/>
        <v>#NAME?</v>
      </c>
      <c r="E120" s="126" t="str">
        <f t="shared" ca="1" si="1"/>
        <v>Not enough information entered</v>
      </c>
      <c r="F120" s="124" t="s">
        <v>6590</v>
      </c>
      <c r="G120" s="124" t="s">
        <v>5211</v>
      </c>
      <c r="H120" s="126">
        <v>5.8000000000000003E-2</v>
      </c>
      <c r="I120" s="124" t="s">
        <v>5186</v>
      </c>
      <c r="J120" s="126">
        <v>0.18</v>
      </c>
      <c r="K120" s="124" t="s">
        <v>5196</v>
      </c>
      <c r="L120" s="124">
        <v>0.03</v>
      </c>
      <c r="M120" s="124"/>
      <c r="N120" s="124"/>
      <c r="O120" s="124"/>
      <c r="P120" s="124"/>
      <c r="Q120" s="124"/>
      <c r="R120" s="124"/>
      <c r="S120" s="124"/>
      <c r="T120" s="124"/>
      <c r="U120" s="124" t="s">
        <v>5523</v>
      </c>
      <c r="V120" s="127">
        <f t="shared" si="2"/>
        <v>0.26800000000000002</v>
      </c>
      <c r="W120" s="126">
        <v>0</v>
      </c>
      <c r="X120" s="126">
        <v>0</v>
      </c>
      <c r="Y120" s="126">
        <v>10</v>
      </c>
      <c r="Z120" s="124"/>
      <c r="AA120" s="124" t="e">
        <f t="shared" ca="1" si="3"/>
        <v>#NAME?</v>
      </c>
      <c r="AB120" s="126">
        <f t="array" aca="1" ref="AB120" ca="1">IFERROR(J120/_xludf.XLOOKUP(I120,Materials!$A$3:$A$292,Materials!$I$3:$I$292),0)
+IFERROR(L120/_xludf.XLOOKUP(K120,Materials!$A$3:$A$292,Materials!$I$3:$I$292),0)
+IFERROR(N120/_xludf.XLOOKUP(M120,Materials!$A$3:$A$292,Materials!$I$3:$I$292),0)
+IFERROR(P120/_xludf.XLOOKUP(O120,Materials!$A$3:$A$292,Materials!$I$3:$I$292),0)
+IFERROR(R120/_xludf.XLOOKUP(Q120,Materials!$A$3:$A$292,Materials!$I$3:$I$292),0)
+IFERROR(H120/_xludf.XLOOKUP(G120,Materials!$A$3:$A$292,Materials!$I$3:$I$292),0)</f>
        <v>0</v>
      </c>
      <c r="AC120" s="20"/>
      <c r="AD120" s="20"/>
      <c r="AE120" s="20"/>
      <c r="AF120" s="20"/>
      <c r="AG120" s="20"/>
      <c r="AH120" s="20"/>
      <c r="AI120" s="20"/>
      <c r="AJ120" s="20"/>
      <c r="AK120" s="20"/>
      <c r="AL120" s="20"/>
      <c r="AM120" s="20"/>
      <c r="AN120" s="20"/>
      <c r="AO120" s="20"/>
      <c r="AP120" s="20"/>
      <c r="AQ120" s="20"/>
      <c r="AR120" s="20"/>
      <c r="AS120" s="20"/>
      <c r="AT120" s="20"/>
      <c r="AU120" s="20"/>
      <c r="AV120" s="20"/>
    </row>
    <row r="121" spans="1:48" ht="17.25" hidden="1" customHeight="1">
      <c r="A121" s="15" t="s">
        <v>5771</v>
      </c>
      <c r="B121" s="124" t="s">
        <v>157</v>
      </c>
      <c r="C121" s="124" t="s">
        <v>5522</v>
      </c>
      <c r="D121" s="125" t="e">
        <f t="shared" ca="1" si="0"/>
        <v>#NAME?</v>
      </c>
      <c r="E121" s="126" t="str">
        <f t="shared" ca="1" si="1"/>
        <v>Not enough information entered</v>
      </c>
      <c r="F121" s="124" t="s">
        <v>6397</v>
      </c>
      <c r="G121" s="124" t="s">
        <v>5211</v>
      </c>
      <c r="H121" s="126">
        <v>0.06</v>
      </c>
      <c r="I121" s="124" t="s">
        <v>5186</v>
      </c>
      <c r="J121" s="126">
        <v>0.18</v>
      </c>
      <c r="K121" s="124" t="s">
        <v>5204</v>
      </c>
      <c r="L121" s="126">
        <v>0.02</v>
      </c>
      <c r="M121" s="124" t="s">
        <v>5200</v>
      </c>
      <c r="N121" s="126">
        <v>1.2E-2</v>
      </c>
      <c r="O121" s="124"/>
      <c r="P121" s="124"/>
      <c r="Q121" s="124"/>
      <c r="R121" s="124"/>
      <c r="S121" s="124"/>
      <c r="T121" s="124"/>
      <c r="U121" s="124" t="s">
        <v>5523</v>
      </c>
      <c r="V121" s="127">
        <f t="shared" si="2"/>
        <v>0.27200000000000002</v>
      </c>
      <c r="W121" s="126">
        <v>0</v>
      </c>
      <c r="X121" s="126">
        <v>0</v>
      </c>
      <c r="Y121" s="126">
        <v>10</v>
      </c>
      <c r="Z121" s="124"/>
      <c r="AA121" s="124" t="e">
        <f t="shared" ca="1" si="3"/>
        <v>#NAME?</v>
      </c>
      <c r="AB121" s="126">
        <f t="array" aca="1" ref="AB121" ca="1">IFERROR(J121/_xludf.XLOOKUP(I121,Materials!$A$3:$A$292,Materials!$I$3:$I$292),0)
+IFERROR(L121/_xludf.XLOOKUP(K121,Materials!$A$3:$A$292,Materials!$I$3:$I$292),0)
+IFERROR(N121/_xludf.XLOOKUP(M121,Materials!$A$3:$A$292,Materials!$I$3:$I$292),0)
+IFERROR(P121/_xludf.XLOOKUP(O121,Materials!$A$3:$A$292,Materials!$I$3:$I$292),0)
+IFERROR(R121/_xludf.XLOOKUP(Q121,Materials!$A$3:$A$292,Materials!$I$3:$I$292),0)
+IFERROR(H121/_xludf.XLOOKUP(G121,Materials!$A$3:$A$292,Materials!$I$3:$I$292),0)</f>
        <v>0</v>
      </c>
      <c r="AC121" s="20"/>
      <c r="AD121" s="20"/>
      <c r="AE121" s="20"/>
      <c r="AF121" s="20"/>
      <c r="AG121" s="20"/>
      <c r="AH121" s="20"/>
      <c r="AI121" s="20"/>
      <c r="AJ121" s="20"/>
      <c r="AK121" s="20"/>
      <c r="AL121" s="20"/>
      <c r="AM121" s="20"/>
      <c r="AN121" s="20"/>
      <c r="AO121" s="20"/>
      <c r="AP121" s="20"/>
      <c r="AQ121" s="20"/>
      <c r="AR121" s="20"/>
      <c r="AS121" s="20"/>
      <c r="AT121" s="20"/>
      <c r="AU121" s="20"/>
      <c r="AV121" s="20"/>
    </row>
    <row r="122" spans="1:48" ht="17.25" customHeight="1">
      <c r="A122" s="15" t="s">
        <v>5771</v>
      </c>
      <c r="B122" s="124" t="s">
        <v>154</v>
      </c>
      <c r="C122" s="124" t="s">
        <v>5524</v>
      </c>
      <c r="D122" s="125" t="e">
        <f t="shared" ca="1" si="0"/>
        <v>#NAME?</v>
      </c>
      <c r="E122" s="126" t="str">
        <f t="shared" ca="1" si="1"/>
        <v>Not enough information entered</v>
      </c>
      <c r="F122" s="124" t="s">
        <v>6243</v>
      </c>
      <c r="G122" s="124" t="s">
        <v>5211</v>
      </c>
      <c r="H122" s="126">
        <v>7.8E-2</v>
      </c>
      <c r="I122" s="124" t="s">
        <v>5186</v>
      </c>
      <c r="J122" s="126">
        <v>0.15</v>
      </c>
      <c r="K122" s="124" t="s">
        <v>5196</v>
      </c>
      <c r="L122" s="124">
        <v>0.03</v>
      </c>
      <c r="M122" s="124"/>
      <c r="N122" s="124"/>
      <c r="O122" s="124"/>
      <c r="P122" s="124"/>
      <c r="Q122" s="124"/>
      <c r="R122" s="124"/>
      <c r="S122" s="124"/>
      <c r="T122" s="124"/>
      <c r="U122" s="124" t="s">
        <v>5523</v>
      </c>
      <c r="V122" s="127">
        <f t="shared" si="2"/>
        <v>0.25800000000000001</v>
      </c>
      <c r="W122" s="124"/>
      <c r="X122" s="124"/>
      <c r="Y122" s="124"/>
      <c r="Z122" s="124"/>
      <c r="AA122" s="124" t="e">
        <f t="shared" ca="1" si="3"/>
        <v>#NAME?</v>
      </c>
      <c r="AB122" s="126">
        <f t="array" aca="1" ref="AB122" ca="1">IFERROR(J122/_xludf.XLOOKUP(I122,Materials!$A$3:$A$292,Materials!$I$3:$I$292),0)
+IFERROR(L122/_xludf.XLOOKUP(K122,Materials!$A$3:$A$292,Materials!$I$3:$I$292),0)
+IFERROR(N122/_xludf.XLOOKUP(M122,Materials!$A$3:$A$292,Materials!$I$3:$I$292),0)
+IFERROR(P122/_xludf.XLOOKUP(O122,Materials!$A$3:$A$292,Materials!$I$3:$I$292),0)
+IFERROR(R122/_xludf.XLOOKUP(Q122,Materials!$A$3:$A$292,Materials!$I$3:$I$292),0)
+IFERROR(H122/_xludf.XLOOKUP(G122,Materials!$A$3:$A$292,Materials!$I$3:$I$292),0)</f>
        <v>0</v>
      </c>
      <c r="AC122" s="20"/>
      <c r="AD122" s="20"/>
      <c r="AE122" s="20"/>
      <c r="AF122" s="20"/>
      <c r="AG122" s="20"/>
      <c r="AH122" s="20"/>
      <c r="AI122" s="20"/>
      <c r="AJ122" s="20"/>
      <c r="AK122" s="20"/>
      <c r="AL122" s="20"/>
      <c r="AM122" s="20"/>
      <c r="AN122" s="20"/>
      <c r="AO122" s="20"/>
      <c r="AP122" s="20"/>
      <c r="AQ122" s="20"/>
      <c r="AR122" s="20"/>
      <c r="AS122" s="20"/>
      <c r="AT122" s="20"/>
      <c r="AU122" s="20"/>
      <c r="AV122" s="20"/>
    </row>
    <row r="123" spans="1:48" ht="17.25" hidden="1" customHeight="1">
      <c r="A123" s="15" t="s">
        <v>5771</v>
      </c>
      <c r="B123" s="124" t="s">
        <v>160</v>
      </c>
      <c r="C123" s="124" t="s">
        <v>5526</v>
      </c>
      <c r="D123" s="125" t="e">
        <f t="shared" ca="1" si="0"/>
        <v>#NAME?</v>
      </c>
      <c r="E123" s="126" t="str">
        <f t="shared" ca="1" si="1"/>
        <v>Not enough information entered</v>
      </c>
      <c r="F123" s="124" t="s">
        <v>6591</v>
      </c>
      <c r="G123" s="124" t="s">
        <v>5211</v>
      </c>
      <c r="H123" s="126">
        <v>7.6999999999999999E-2</v>
      </c>
      <c r="I123" s="124" t="s">
        <v>5186</v>
      </c>
      <c r="J123" s="126">
        <v>0.18</v>
      </c>
      <c r="K123" s="124" t="s">
        <v>5196</v>
      </c>
      <c r="L123" s="124">
        <v>0.03</v>
      </c>
      <c r="M123" s="124"/>
      <c r="N123" s="124"/>
      <c r="O123" s="124"/>
      <c r="P123" s="124"/>
      <c r="Q123" s="124"/>
      <c r="R123" s="124"/>
      <c r="S123" s="124"/>
      <c r="T123" s="124"/>
      <c r="U123" s="124" t="s">
        <v>5523</v>
      </c>
      <c r="V123" s="127">
        <f t="shared" si="2"/>
        <v>0.28700000000000003</v>
      </c>
      <c r="W123" s="126">
        <v>0</v>
      </c>
      <c r="X123" s="126">
        <v>0</v>
      </c>
      <c r="Y123" s="126">
        <v>10</v>
      </c>
      <c r="Z123" s="124"/>
      <c r="AA123" s="124" t="e">
        <f t="shared" ca="1" si="3"/>
        <v>#NAME?</v>
      </c>
      <c r="AB123" s="126">
        <f t="array" aca="1" ref="AB123" ca="1">IFERROR(J123/_xludf.XLOOKUP(I123,Materials!$A$3:$A$292,Materials!$I$3:$I$292),0)
+IFERROR(L123/_xludf.XLOOKUP(K123,Materials!$A$3:$A$292,Materials!$I$3:$I$292),0)
+IFERROR(N123/_xludf.XLOOKUP(M123,Materials!$A$3:$A$292,Materials!$I$3:$I$292),0)
+IFERROR(P123/_xludf.XLOOKUP(O123,Materials!$A$3:$A$292,Materials!$I$3:$I$292),0)
+IFERROR(R123/_xludf.XLOOKUP(Q123,Materials!$A$3:$A$292,Materials!$I$3:$I$292),0)
+IFERROR(H123/_xludf.XLOOKUP(G123,Materials!$A$3:$A$292,Materials!$I$3:$I$292),0)</f>
        <v>0</v>
      </c>
      <c r="AC123" s="20"/>
      <c r="AD123" s="20"/>
      <c r="AE123" s="20"/>
      <c r="AF123" s="20"/>
      <c r="AG123" s="20"/>
      <c r="AH123" s="20"/>
      <c r="AI123" s="20"/>
      <c r="AJ123" s="20"/>
      <c r="AK123" s="20"/>
      <c r="AL123" s="20"/>
      <c r="AM123" s="20"/>
      <c r="AN123" s="20"/>
      <c r="AO123" s="20"/>
      <c r="AP123" s="20"/>
      <c r="AQ123" s="20"/>
      <c r="AR123" s="20"/>
      <c r="AS123" s="20"/>
      <c r="AT123" s="20"/>
      <c r="AU123" s="20"/>
      <c r="AV123" s="20"/>
    </row>
    <row r="124" spans="1:48" ht="17.25" hidden="1" customHeight="1">
      <c r="A124" s="15" t="s">
        <v>5772</v>
      </c>
      <c r="B124" s="124" t="s">
        <v>157</v>
      </c>
      <c r="C124" s="124" t="s">
        <v>5522</v>
      </c>
      <c r="D124" s="125" t="e">
        <f t="shared" ca="1" si="0"/>
        <v>#NAME?</v>
      </c>
      <c r="E124" s="126" t="str">
        <f t="shared" ca="1" si="1"/>
        <v>Not enough information entered</v>
      </c>
      <c r="F124" s="124" t="s">
        <v>6398</v>
      </c>
      <c r="G124" s="124" t="s">
        <v>5211</v>
      </c>
      <c r="H124" s="126">
        <v>6.9000000000000006E-2</v>
      </c>
      <c r="I124" s="124" t="s">
        <v>5186</v>
      </c>
      <c r="J124" s="126">
        <v>0.18</v>
      </c>
      <c r="K124" s="124" t="s">
        <v>5204</v>
      </c>
      <c r="L124" s="126">
        <v>0.02</v>
      </c>
      <c r="M124" s="124" t="s">
        <v>5200</v>
      </c>
      <c r="N124" s="126">
        <v>1.2E-2</v>
      </c>
      <c r="O124" s="124"/>
      <c r="P124" s="124"/>
      <c r="Q124" s="124"/>
      <c r="R124" s="124"/>
      <c r="S124" s="124"/>
      <c r="T124" s="124"/>
      <c r="U124" s="124" t="s">
        <v>5523</v>
      </c>
      <c r="V124" s="127">
        <f t="shared" si="2"/>
        <v>0.28100000000000003</v>
      </c>
      <c r="W124" s="126">
        <v>0</v>
      </c>
      <c r="X124" s="126">
        <v>0</v>
      </c>
      <c r="Y124" s="126">
        <v>10</v>
      </c>
      <c r="Z124" s="124"/>
      <c r="AA124" s="124" t="e">
        <f t="shared" ca="1" si="3"/>
        <v>#NAME?</v>
      </c>
      <c r="AB124" s="126">
        <f t="array" aca="1" ref="AB124" ca="1">IFERROR(J124/_xludf.XLOOKUP(I124,Materials!$A$3:$A$292,Materials!$I$3:$I$292),0)
+IFERROR(L124/_xludf.XLOOKUP(K124,Materials!$A$3:$A$292,Materials!$I$3:$I$292),0)
+IFERROR(N124/_xludf.XLOOKUP(M124,Materials!$A$3:$A$292,Materials!$I$3:$I$292),0)
+IFERROR(P124/_xludf.XLOOKUP(O124,Materials!$A$3:$A$292,Materials!$I$3:$I$292),0)
+IFERROR(R124/_xludf.XLOOKUP(Q124,Materials!$A$3:$A$292,Materials!$I$3:$I$292),0)
+IFERROR(H124/_xludf.XLOOKUP(G124,Materials!$A$3:$A$292,Materials!$I$3:$I$292),0)</f>
        <v>0</v>
      </c>
      <c r="AC124" s="20"/>
      <c r="AD124" s="20"/>
      <c r="AE124" s="20"/>
      <c r="AF124" s="20"/>
      <c r="AG124" s="20"/>
      <c r="AH124" s="20"/>
      <c r="AI124" s="20"/>
      <c r="AJ124" s="20"/>
      <c r="AK124" s="20"/>
      <c r="AL124" s="20"/>
      <c r="AM124" s="20"/>
      <c r="AN124" s="20"/>
      <c r="AO124" s="20"/>
      <c r="AP124" s="20"/>
      <c r="AQ124" s="20"/>
      <c r="AR124" s="20"/>
      <c r="AS124" s="20"/>
      <c r="AT124" s="20"/>
      <c r="AU124" s="20"/>
      <c r="AV124" s="20"/>
    </row>
    <row r="125" spans="1:48" ht="17.25" customHeight="1">
      <c r="A125" s="15" t="s">
        <v>5772</v>
      </c>
      <c r="B125" s="124" t="s">
        <v>154</v>
      </c>
      <c r="C125" s="124" t="s">
        <v>5524</v>
      </c>
      <c r="D125" s="125" t="e">
        <f t="shared" ca="1" si="0"/>
        <v>#NAME?</v>
      </c>
      <c r="E125" s="126" t="str">
        <f t="shared" ca="1" si="1"/>
        <v>Not enough information entered</v>
      </c>
      <c r="F125" s="124" t="s">
        <v>6244</v>
      </c>
      <c r="G125" s="124" t="s">
        <v>5211</v>
      </c>
      <c r="H125" s="126">
        <v>9.4E-2</v>
      </c>
      <c r="I125" s="124" t="s">
        <v>5186</v>
      </c>
      <c r="J125" s="126">
        <v>0.15</v>
      </c>
      <c r="K125" s="124" t="s">
        <v>5196</v>
      </c>
      <c r="L125" s="124">
        <v>0.03</v>
      </c>
      <c r="M125" s="124"/>
      <c r="N125" s="124"/>
      <c r="O125" s="124"/>
      <c r="P125" s="124"/>
      <c r="Q125" s="124"/>
      <c r="R125" s="124"/>
      <c r="S125" s="124"/>
      <c r="T125" s="124"/>
      <c r="U125" s="124" t="s">
        <v>5523</v>
      </c>
      <c r="V125" s="127">
        <f t="shared" si="2"/>
        <v>0.27400000000000002</v>
      </c>
      <c r="W125" s="124"/>
      <c r="X125" s="124"/>
      <c r="Y125" s="124"/>
      <c r="Z125" s="124"/>
      <c r="AA125" s="124" t="e">
        <f t="shared" ca="1" si="3"/>
        <v>#NAME?</v>
      </c>
      <c r="AB125" s="126">
        <f t="array" aca="1" ref="AB125" ca="1">IFERROR(J125/_xludf.XLOOKUP(I125,Materials!$A$3:$A$292,Materials!$I$3:$I$292),0)
+IFERROR(L125/_xludf.XLOOKUP(K125,Materials!$A$3:$A$292,Materials!$I$3:$I$292),0)
+IFERROR(N125/_xludf.XLOOKUP(M125,Materials!$A$3:$A$292,Materials!$I$3:$I$292),0)
+IFERROR(P125/_xludf.XLOOKUP(O125,Materials!$A$3:$A$292,Materials!$I$3:$I$292),0)
+IFERROR(R125/_xludf.XLOOKUP(Q125,Materials!$A$3:$A$292,Materials!$I$3:$I$292),0)
+IFERROR(H125/_xludf.XLOOKUP(G125,Materials!$A$3:$A$292,Materials!$I$3:$I$292),0)</f>
        <v>0</v>
      </c>
      <c r="AC125" s="20"/>
      <c r="AD125" s="20"/>
      <c r="AE125" s="20"/>
      <c r="AF125" s="20"/>
      <c r="AG125" s="20"/>
      <c r="AH125" s="20"/>
      <c r="AI125" s="20"/>
      <c r="AJ125" s="20"/>
      <c r="AK125" s="20"/>
      <c r="AL125" s="20"/>
      <c r="AM125" s="20"/>
      <c r="AN125" s="20"/>
      <c r="AO125" s="20"/>
      <c r="AP125" s="20"/>
      <c r="AQ125" s="20"/>
      <c r="AR125" s="20"/>
      <c r="AS125" s="20"/>
      <c r="AT125" s="20"/>
      <c r="AU125" s="20"/>
      <c r="AV125" s="20"/>
    </row>
    <row r="126" spans="1:48" ht="17.25" hidden="1" customHeight="1">
      <c r="A126" s="15" t="s">
        <v>5772</v>
      </c>
      <c r="B126" s="124" t="s">
        <v>160</v>
      </c>
      <c r="C126" s="124" t="s">
        <v>5526</v>
      </c>
      <c r="D126" s="125" t="e">
        <f t="shared" ca="1" si="0"/>
        <v>#NAME?</v>
      </c>
      <c r="E126" s="126" t="str">
        <f t="shared" ca="1" si="1"/>
        <v>Not enough information entered</v>
      </c>
      <c r="F126" s="124" t="s">
        <v>6592</v>
      </c>
      <c r="G126" s="124" t="s">
        <v>5211</v>
      </c>
      <c r="H126" s="126">
        <v>9.2999999999999999E-2</v>
      </c>
      <c r="I126" s="124" t="s">
        <v>5186</v>
      </c>
      <c r="J126" s="126">
        <v>0.18</v>
      </c>
      <c r="K126" s="124" t="s">
        <v>5196</v>
      </c>
      <c r="L126" s="124">
        <v>0.03</v>
      </c>
      <c r="M126" s="124"/>
      <c r="N126" s="124"/>
      <c r="O126" s="124"/>
      <c r="P126" s="124"/>
      <c r="Q126" s="124"/>
      <c r="R126" s="124"/>
      <c r="S126" s="124"/>
      <c r="T126" s="124"/>
      <c r="U126" s="124" t="s">
        <v>5523</v>
      </c>
      <c r="V126" s="127">
        <f t="shared" si="2"/>
        <v>0.30300000000000005</v>
      </c>
      <c r="W126" s="126">
        <v>0</v>
      </c>
      <c r="X126" s="126">
        <v>0</v>
      </c>
      <c r="Y126" s="126">
        <v>10</v>
      </c>
      <c r="Z126" s="124"/>
      <c r="AA126" s="124" t="e">
        <f t="shared" ca="1" si="3"/>
        <v>#NAME?</v>
      </c>
      <c r="AB126" s="126">
        <f t="array" aca="1" ref="AB126" ca="1">IFERROR(J126/_xludf.XLOOKUP(I126,Materials!$A$3:$A$292,Materials!$I$3:$I$292),0)
+IFERROR(L126/_xludf.XLOOKUP(K126,Materials!$A$3:$A$292,Materials!$I$3:$I$292),0)
+IFERROR(N126/_xludf.XLOOKUP(M126,Materials!$A$3:$A$292,Materials!$I$3:$I$292),0)
+IFERROR(P126/_xludf.XLOOKUP(O126,Materials!$A$3:$A$292,Materials!$I$3:$I$292),0)
+IFERROR(R126/_xludf.XLOOKUP(Q126,Materials!$A$3:$A$292,Materials!$I$3:$I$292),0)
+IFERROR(H126/_xludf.XLOOKUP(G126,Materials!$A$3:$A$292,Materials!$I$3:$I$292),0)</f>
        <v>0</v>
      </c>
      <c r="AC126" s="20"/>
      <c r="AD126" s="20"/>
      <c r="AE126" s="20"/>
      <c r="AF126" s="20"/>
      <c r="AG126" s="20"/>
      <c r="AH126" s="20"/>
      <c r="AI126" s="20"/>
      <c r="AJ126" s="20"/>
      <c r="AK126" s="20"/>
      <c r="AL126" s="20"/>
      <c r="AM126" s="20"/>
      <c r="AN126" s="20"/>
      <c r="AO126" s="20"/>
      <c r="AP126" s="20"/>
      <c r="AQ126" s="20"/>
      <c r="AR126" s="20"/>
      <c r="AS126" s="20"/>
      <c r="AT126" s="20"/>
      <c r="AU126" s="20"/>
      <c r="AV126" s="20"/>
    </row>
    <row r="127" spans="1:48" ht="17.25" hidden="1" customHeight="1">
      <c r="A127" s="15" t="s">
        <v>4846</v>
      </c>
      <c r="B127" s="124" t="s">
        <v>158</v>
      </c>
      <c r="C127" s="124" t="s">
        <v>5527</v>
      </c>
      <c r="D127" s="125" t="e">
        <f t="shared" ca="1" si="0"/>
        <v>#NAME?</v>
      </c>
      <c r="E127" s="126" t="str">
        <f t="shared" ca="1" si="1"/>
        <v>Not enough information entered</v>
      </c>
      <c r="F127" s="124" t="s">
        <v>6343</v>
      </c>
      <c r="G127" s="124" t="s">
        <v>5200</v>
      </c>
      <c r="H127" s="124">
        <v>1.2500000000000001E-2</v>
      </c>
      <c r="I127" s="124" t="s">
        <v>5204</v>
      </c>
      <c r="J127" s="124">
        <v>0.05</v>
      </c>
      <c r="K127" s="124" t="s">
        <v>5200</v>
      </c>
      <c r="L127" s="124">
        <v>1.2500000000000001E-2</v>
      </c>
      <c r="M127" s="124"/>
      <c r="N127" s="124"/>
      <c r="O127" s="124"/>
      <c r="P127" s="124"/>
      <c r="Q127" s="128"/>
      <c r="R127" s="124"/>
      <c r="S127" s="124"/>
      <c r="T127" s="124"/>
      <c r="U127" s="124" t="s">
        <v>5523</v>
      </c>
      <c r="V127" s="127">
        <f t="shared" si="2"/>
        <v>7.4999999999999997E-2</v>
      </c>
      <c r="W127" s="124"/>
      <c r="X127" s="124"/>
      <c r="Y127" s="124"/>
      <c r="Z127" s="124"/>
      <c r="AA127" s="124" t="e">
        <f t="shared" ca="1" si="3"/>
        <v>#NAME?</v>
      </c>
      <c r="AB127" s="126">
        <f t="array" aca="1" ref="AB127" ca="1">IFERROR(J127/_xludf.XLOOKUP(I127,Materials!$A$3:$A$292,Materials!$I$3:$I$292),0)
+IFERROR(L127/_xludf.XLOOKUP(K127,Materials!$A$3:$A$292,Materials!$I$3:$I$292),0)
+IFERROR(N127/_xludf.XLOOKUP(M127,Materials!$A$3:$A$292,Materials!$I$3:$I$292),0)
+IFERROR(P127/_xludf.XLOOKUP(O127,Materials!$A$3:$A$292,Materials!$I$3:$I$292),0)
+IFERROR(R127/_xludf.XLOOKUP(Q127,Materials!$A$3:$A$292,Materials!$I$3:$I$292),0)
+IFERROR(H127/_xludf.XLOOKUP(G127,Materials!$A$3:$A$292,Materials!$I$3:$I$292),0)</f>
        <v>0</v>
      </c>
      <c r="AC127" s="20"/>
      <c r="AD127" s="20"/>
      <c r="AE127" s="20"/>
      <c r="AF127" s="20"/>
      <c r="AG127" s="20"/>
      <c r="AH127" s="20"/>
      <c r="AI127" s="20"/>
      <c r="AJ127" s="20"/>
      <c r="AK127" s="20"/>
      <c r="AL127" s="20"/>
      <c r="AM127" s="20"/>
      <c r="AN127" s="20"/>
      <c r="AO127" s="20"/>
      <c r="AP127" s="20"/>
      <c r="AQ127" s="20"/>
      <c r="AR127" s="20"/>
      <c r="AS127" s="20"/>
      <c r="AT127" s="20"/>
      <c r="AU127" s="20"/>
      <c r="AV127" s="20"/>
    </row>
    <row r="128" spans="1:48" ht="17.25" hidden="1" customHeight="1">
      <c r="A128" s="15" t="s">
        <v>4846</v>
      </c>
      <c r="B128" s="124" t="s">
        <v>162</v>
      </c>
      <c r="C128" s="124" t="s">
        <v>5529</v>
      </c>
      <c r="D128" s="125" t="e">
        <f t="shared" ca="1" si="0"/>
        <v>#NAME?</v>
      </c>
      <c r="E128" s="126" t="str">
        <f t="shared" ca="1" si="1"/>
        <v>Not enough information entered</v>
      </c>
      <c r="F128" s="124" t="s">
        <v>6552</v>
      </c>
      <c r="G128" s="124" t="s">
        <v>5186</v>
      </c>
      <c r="H128" s="124">
        <v>0.18</v>
      </c>
      <c r="I128" s="124" t="s">
        <v>5196</v>
      </c>
      <c r="J128" s="124">
        <v>0.03</v>
      </c>
      <c r="K128" s="124"/>
      <c r="L128" s="124"/>
      <c r="M128" s="124"/>
      <c r="N128" s="124"/>
      <c r="O128" s="128"/>
      <c r="P128" s="124"/>
      <c r="Q128" s="128"/>
      <c r="R128" s="124"/>
      <c r="S128" s="124"/>
      <c r="T128" s="124"/>
      <c r="U128" s="124" t="s">
        <v>5523</v>
      </c>
      <c r="V128" s="127">
        <f t="shared" si="2"/>
        <v>0.21</v>
      </c>
      <c r="W128" s="124"/>
      <c r="X128" s="124"/>
      <c r="Y128" s="124"/>
      <c r="Z128" s="124"/>
      <c r="AA128" s="124" t="e">
        <f t="shared" ca="1" si="3"/>
        <v>#NAME?</v>
      </c>
      <c r="AB128" s="126">
        <f t="array" aca="1" ref="AB128" ca="1">IFERROR(J128/_xludf.XLOOKUP(I128,Materials!$A$3:$A$292,Materials!$I$3:$I$292),0)
+IFERROR(L128/_xludf.XLOOKUP(K128,Materials!$A$3:$A$292,Materials!$I$3:$I$292),0)
+IFERROR(N128/_xludf.XLOOKUP(M128,Materials!$A$3:$A$292,Materials!$I$3:$I$292),0)
+IFERROR(P128/_xludf.XLOOKUP(O128,Materials!$A$3:$A$292,Materials!$I$3:$I$292),0)
+IFERROR(R128/_xludf.XLOOKUP(Q128,Materials!$A$3:$A$292,Materials!$I$3:$I$292),0)
+IFERROR(H128/_xludf.XLOOKUP(G128,Materials!$A$3:$A$292,Materials!$I$3:$I$292),0)</f>
        <v>0</v>
      </c>
      <c r="AC128" s="20"/>
      <c r="AD128" s="20"/>
      <c r="AE128" s="20"/>
      <c r="AF128" s="20"/>
      <c r="AG128" s="20"/>
      <c r="AH128" s="20"/>
      <c r="AI128" s="20"/>
      <c r="AJ128" s="20"/>
      <c r="AK128" s="20"/>
      <c r="AL128" s="20"/>
      <c r="AM128" s="20"/>
      <c r="AN128" s="20"/>
      <c r="AO128" s="20"/>
      <c r="AP128" s="20"/>
      <c r="AQ128" s="20"/>
      <c r="AR128" s="20"/>
      <c r="AS128" s="20"/>
      <c r="AT128" s="20"/>
      <c r="AU128" s="20"/>
      <c r="AV128" s="20"/>
    </row>
    <row r="129" spans="1:48" ht="17.25" hidden="1" customHeight="1">
      <c r="A129" s="15" t="s">
        <v>4846</v>
      </c>
      <c r="B129" s="124" t="s">
        <v>159</v>
      </c>
      <c r="C129" s="124" t="s">
        <v>5530</v>
      </c>
      <c r="D129" s="125" t="e">
        <f t="shared" ca="1" si="0"/>
        <v>#NAME?</v>
      </c>
      <c r="E129" s="126" t="str">
        <f t="shared" ca="1" si="1"/>
        <v>Not enough information entered</v>
      </c>
      <c r="F129" s="124" t="s">
        <v>6657</v>
      </c>
      <c r="G129" s="124" t="s">
        <v>5186</v>
      </c>
      <c r="H129" s="124">
        <v>0.2</v>
      </c>
      <c r="I129" s="124" t="s">
        <v>5211</v>
      </c>
      <c r="J129" s="124">
        <v>0.05</v>
      </c>
      <c r="K129" s="124"/>
      <c r="L129" s="124"/>
      <c r="M129" s="124"/>
      <c r="N129" s="124"/>
      <c r="O129" s="128"/>
      <c r="P129" s="124"/>
      <c r="Q129" s="128"/>
      <c r="R129" s="124"/>
      <c r="S129" s="124"/>
      <c r="T129" s="124"/>
      <c r="U129" s="124" t="s">
        <v>5523</v>
      </c>
      <c r="V129" s="127">
        <f t="shared" si="2"/>
        <v>0.25</v>
      </c>
      <c r="W129" s="124"/>
      <c r="X129" s="124"/>
      <c r="Y129" s="124"/>
      <c r="Z129" s="124"/>
      <c r="AA129" s="124" t="e">
        <f t="shared" ca="1" si="3"/>
        <v>#NAME?</v>
      </c>
      <c r="AB129" s="126">
        <f t="array" aca="1" ref="AB129" ca="1">IFERROR(J129/_xludf.XLOOKUP(I129,Materials!$A$3:$A$292,Materials!$I$3:$I$292),0)
+IFERROR(L129/_xludf.XLOOKUP(K129,Materials!$A$3:$A$292,Materials!$I$3:$I$292),0)
+IFERROR(N129/_xludf.XLOOKUP(M129,Materials!$A$3:$A$292,Materials!$I$3:$I$292),0)
+IFERROR(P129/_xludf.XLOOKUP(O129,Materials!$A$3:$A$292,Materials!$I$3:$I$292),0)
+IFERROR(R129/_xludf.XLOOKUP(Q129,Materials!$A$3:$A$292,Materials!$I$3:$I$292),0)
+IFERROR(H129/_xludf.XLOOKUP(G129,Materials!$A$3:$A$292,Materials!$I$3:$I$292),0)</f>
        <v>0</v>
      </c>
      <c r="AC129" s="20"/>
      <c r="AD129" s="20"/>
      <c r="AE129" s="20"/>
      <c r="AF129" s="20"/>
      <c r="AG129" s="20"/>
      <c r="AH129" s="20"/>
      <c r="AI129" s="20"/>
      <c r="AJ129" s="20"/>
      <c r="AK129" s="20"/>
      <c r="AL129" s="20"/>
      <c r="AM129" s="20"/>
      <c r="AN129" s="20"/>
      <c r="AO129" s="20"/>
      <c r="AP129" s="20"/>
      <c r="AQ129" s="20"/>
      <c r="AR129" s="20"/>
      <c r="AS129" s="20"/>
      <c r="AT129" s="20"/>
      <c r="AU129" s="20"/>
      <c r="AV129" s="20"/>
    </row>
    <row r="130" spans="1:48" ht="17.25" hidden="1" customHeight="1">
      <c r="A130" s="15"/>
      <c r="B130" s="124"/>
      <c r="C130" s="124" t="s">
        <v>5532</v>
      </c>
      <c r="D130" s="125"/>
      <c r="E130" s="126"/>
      <c r="F130" s="124"/>
      <c r="G130" s="124"/>
      <c r="H130" s="124"/>
      <c r="I130" s="128"/>
      <c r="J130" s="124"/>
      <c r="K130" s="124"/>
      <c r="L130" s="124"/>
      <c r="M130" s="124"/>
      <c r="N130" s="124"/>
      <c r="O130" s="128"/>
      <c r="P130" s="124"/>
      <c r="Q130" s="128"/>
      <c r="R130" s="124"/>
      <c r="S130" s="124"/>
      <c r="T130" s="124"/>
      <c r="U130" s="124"/>
      <c r="V130" s="127"/>
      <c r="W130" s="124"/>
      <c r="X130" s="124"/>
      <c r="Y130" s="124"/>
      <c r="Z130" s="124"/>
      <c r="AA130" s="124"/>
      <c r="AB130" s="126"/>
      <c r="AC130" s="20"/>
      <c r="AD130" s="20"/>
      <c r="AE130" s="20"/>
      <c r="AF130" s="20"/>
      <c r="AG130" s="20"/>
      <c r="AH130" s="20"/>
      <c r="AI130" s="20"/>
      <c r="AJ130" s="20"/>
      <c r="AK130" s="20"/>
      <c r="AL130" s="20"/>
      <c r="AM130" s="20"/>
      <c r="AN130" s="20"/>
      <c r="AO130" s="20"/>
      <c r="AP130" s="20"/>
      <c r="AQ130" s="20"/>
      <c r="AR130" s="20"/>
      <c r="AS130" s="20"/>
      <c r="AT130" s="20"/>
      <c r="AU130" s="20"/>
      <c r="AV130" s="20"/>
    </row>
    <row r="131" spans="1:48" ht="17.25" hidden="1" customHeight="1">
      <c r="A131" s="15" t="s">
        <v>4846</v>
      </c>
      <c r="B131" s="124" t="s">
        <v>161</v>
      </c>
      <c r="C131" s="124" t="s">
        <v>5533</v>
      </c>
      <c r="D131" s="125" t="e">
        <f t="shared" ca="1" si="0"/>
        <v>#NAME?</v>
      </c>
      <c r="E131" s="126" t="str">
        <f t="shared" ca="1" si="1"/>
        <v>Not enough information entered</v>
      </c>
      <c r="F131" s="124" t="s">
        <v>6673</v>
      </c>
      <c r="G131" s="124" t="s">
        <v>5186</v>
      </c>
      <c r="H131" s="124">
        <v>0.18</v>
      </c>
      <c r="I131" s="124" t="s">
        <v>5207</v>
      </c>
      <c r="J131" s="124">
        <v>0.06</v>
      </c>
      <c r="K131" s="124" t="s">
        <v>5200</v>
      </c>
      <c r="L131" s="124">
        <v>1.2500000000000001E-2</v>
      </c>
      <c r="M131" s="124"/>
      <c r="N131" s="124"/>
      <c r="O131" s="124"/>
      <c r="P131" s="124"/>
      <c r="Q131" s="128"/>
      <c r="R131" s="124"/>
      <c r="S131" s="124"/>
      <c r="T131" s="124"/>
      <c r="U131" s="124" t="s">
        <v>5523</v>
      </c>
      <c r="V131" s="127">
        <f t="shared" si="2"/>
        <v>0.2525</v>
      </c>
      <c r="W131" s="124"/>
      <c r="X131" s="124"/>
      <c r="Y131" s="124"/>
      <c r="Z131" s="124"/>
      <c r="AA131" s="124" t="e">
        <f t="shared" ca="1" si="3"/>
        <v>#NAME?</v>
      </c>
      <c r="AB131" s="126">
        <f t="array" aca="1" ref="AB131" ca="1">IFERROR(J131/_xludf.XLOOKUP(I131,Materials!$A$3:$A$292,Materials!$I$3:$I$292),0)
+IFERROR(L131/_xludf.XLOOKUP(K131,Materials!$A$3:$A$292,Materials!$I$3:$I$292),0)
+IFERROR(N131/_xludf.XLOOKUP(M131,Materials!$A$3:$A$292,Materials!$I$3:$I$292),0)
+IFERROR(P131/_xludf.XLOOKUP(O131,Materials!$A$3:$A$292,Materials!$I$3:$I$292),0)
+IFERROR(R131/_xludf.XLOOKUP(Q131,Materials!$A$3:$A$292,Materials!$I$3:$I$292),0)
+IFERROR(H131/_xludf.XLOOKUP(G131,Materials!$A$3:$A$292,Materials!$I$3:$I$292),0)</f>
        <v>0</v>
      </c>
      <c r="AC131" s="20"/>
      <c r="AD131" s="20"/>
      <c r="AE131" s="20"/>
      <c r="AF131" s="20"/>
      <c r="AG131" s="20"/>
      <c r="AH131" s="20"/>
      <c r="AI131" s="20"/>
      <c r="AJ131" s="20"/>
      <c r="AK131" s="20"/>
      <c r="AL131" s="20"/>
      <c r="AM131" s="20"/>
      <c r="AN131" s="20"/>
      <c r="AO131" s="20"/>
      <c r="AP131" s="20"/>
      <c r="AQ131" s="20"/>
      <c r="AR131" s="20"/>
      <c r="AS131" s="20"/>
      <c r="AT131" s="20"/>
      <c r="AU131" s="20"/>
      <c r="AV131" s="20"/>
    </row>
    <row r="132" spans="1:48" ht="17.25" hidden="1" customHeight="1">
      <c r="A132" s="15" t="s">
        <v>5773</v>
      </c>
      <c r="B132" s="124" t="s">
        <v>157</v>
      </c>
      <c r="C132" s="124" t="s">
        <v>5522</v>
      </c>
      <c r="D132" s="125" t="e">
        <f t="shared" ca="1" si="0"/>
        <v>#NAME?</v>
      </c>
      <c r="E132" s="126" t="str">
        <f t="shared" ca="1" si="1"/>
        <v>Not enough information entered</v>
      </c>
      <c r="F132" s="124" t="s">
        <v>6399</v>
      </c>
      <c r="G132" s="124" t="s">
        <v>5186</v>
      </c>
      <c r="H132" s="126">
        <v>0.18</v>
      </c>
      <c r="I132" s="124" t="s">
        <v>5204</v>
      </c>
      <c r="J132" s="126">
        <v>0.02</v>
      </c>
      <c r="K132" s="124" t="s">
        <v>5200</v>
      </c>
      <c r="L132" s="126">
        <v>1.2E-2</v>
      </c>
      <c r="M132" s="124"/>
      <c r="N132" s="124"/>
      <c r="O132" s="124"/>
      <c r="P132" s="124"/>
      <c r="Q132" s="124"/>
      <c r="R132" s="124"/>
      <c r="S132" s="124"/>
      <c r="T132" s="124"/>
      <c r="U132" s="124" t="s">
        <v>5523</v>
      </c>
      <c r="V132" s="127">
        <f t="shared" si="2"/>
        <v>0.21199999999999999</v>
      </c>
      <c r="W132" s="126">
        <v>0</v>
      </c>
      <c r="X132" s="126">
        <v>0</v>
      </c>
      <c r="Y132" s="126">
        <v>10</v>
      </c>
      <c r="Z132" s="124"/>
      <c r="AA132" s="124" t="e">
        <f t="shared" ca="1" si="3"/>
        <v>#NAME?</v>
      </c>
      <c r="AB132" s="126">
        <f t="array" aca="1" ref="AB132" ca="1">IFERROR(J132/_xludf.XLOOKUP(I132,Materials!$A$3:$A$292,Materials!$I$3:$I$292),0)
+IFERROR(L132/_xludf.XLOOKUP(K132,Materials!$A$3:$A$292,Materials!$I$3:$I$292),0)
+IFERROR(N132/_xludf.XLOOKUP(M132,Materials!$A$3:$A$292,Materials!$I$3:$I$292),0)
+IFERROR(P132/_xludf.XLOOKUP(O132,Materials!$A$3:$A$292,Materials!$I$3:$I$292),0)
+IFERROR(R132/_xludf.XLOOKUP(Q132,Materials!$A$3:$A$292,Materials!$I$3:$I$292),0)
+IFERROR(H132/_xludf.XLOOKUP(G132,Materials!$A$3:$A$292,Materials!$I$3:$I$292),0)</f>
        <v>0</v>
      </c>
      <c r="AC132" s="20"/>
      <c r="AD132" s="20"/>
      <c r="AE132" s="20"/>
      <c r="AF132" s="20"/>
      <c r="AG132" s="20"/>
      <c r="AH132" s="20"/>
      <c r="AI132" s="20"/>
      <c r="AJ132" s="20"/>
      <c r="AK132" s="20"/>
      <c r="AL132" s="20"/>
      <c r="AM132" s="20"/>
      <c r="AN132" s="20"/>
      <c r="AO132" s="20"/>
      <c r="AP132" s="20"/>
      <c r="AQ132" s="20"/>
      <c r="AR132" s="20"/>
      <c r="AS132" s="20"/>
      <c r="AT132" s="20"/>
      <c r="AU132" s="20"/>
      <c r="AV132" s="20"/>
    </row>
    <row r="133" spans="1:48" ht="17.25" customHeight="1">
      <c r="A133" s="15" t="s">
        <v>5773</v>
      </c>
      <c r="B133" s="124" t="s">
        <v>154</v>
      </c>
      <c r="C133" s="124" t="s">
        <v>5524</v>
      </c>
      <c r="D133" s="125" t="e">
        <f t="shared" ca="1" si="0"/>
        <v>#NAME?</v>
      </c>
      <c r="E133" s="126" t="str">
        <f t="shared" ca="1" si="1"/>
        <v>Not enough information entered</v>
      </c>
      <c r="F133" s="124" t="s">
        <v>6245</v>
      </c>
      <c r="G133" s="124" t="s">
        <v>5186</v>
      </c>
      <c r="H133" s="126">
        <v>0.15</v>
      </c>
      <c r="I133" s="124" t="s">
        <v>5196</v>
      </c>
      <c r="J133" s="126">
        <v>0.03</v>
      </c>
      <c r="K133" s="124"/>
      <c r="L133" s="124"/>
      <c r="M133" s="124"/>
      <c r="N133" s="124"/>
      <c r="O133" s="124"/>
      <c r="P133" s="124"/>
      <c r="Q133" s="124"/>
      <c r="R133" s="124"/>
      <c r="S133" s="124"/>
      <c r="T133" s="124"/>
      <c r="U133" s="124" t="s">
        <v>5523</v>
      </c>
      <c r="V133" s="127">
        <f t="shared" si="2"/>
        <v>0.18</v>
      </c>
      <c r="W133" s="124"/>
      <c r="X133" s="124"/>
      <c r="Y133" s="124"/>
      <c r="Z133" s="124"/>
      <c r="AA133" s="124" t="e">
        <f t="shared" ca="1" si="3"/>
        <v>#NAME?</v>
      </c>
      <c r="AB133" s="126">
        <f t="array" aca="1" ref="AB133" ca="1">IFERROR(J133/_xludf.XLOOKUP(I133,Materials!$A$3:$A$292,Materials!$I$3:$I$292),0)
+IFERROR(L133/_xludf.XLOOKUP(K133,Materials!$A$3:$A$292,Materials!$I$3:$I$292),0)
+IFERROR(N133/_xludf.XLOOKUP(M133,Materials!$A$3:$A$292,Materials!$I$3:$I$292),0)
+IFERROR(P133/_xludf.XLOOKUP(O133,Materials!$A$3:$A$292,Materials!$I$3:$I$292),0)
+IFERROR(R133/_xludf.XLOOKUP(Q133,Materials!$A$3:$A$292,Materials!$I$3:$I$292),0)
+IFERROR(H133/_xludf.XLOOKUP(G133,Materials!$A$3:$A$292,Materials!$I$3:$I$292),0)</f>
        <v>0</v>
      </c>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row>
    <row r="134" spans="1:48" ht="17.25" hidden="1" customHeight="1">
      <c r="A134" s="15" t="s">
        <v>5773</v>
      </c>
      <c r="B134" s="124" t="s">
        <v>160</v>
      </c>
      <c r="C134" s="124" t="s">
        <v>5526</v>
      </c>
      <c r="D134" s="125" t="e">
        <f t="shared" ca="1" si="0"/>
        <v>#NAME?</v>
      </c>
      <c r="E134" s="126" t="str">
        <f t="shared" ca="1" si="1"/>
        <v>Not enough information entered</v>
      </c>
      <c r="F134" s="124" t="s">
        <v>6593</v>
      </c>
      <c r="G134" s="124" t="s">
        <v>5186</v>
      </c>
      <c r="H134" s="126">
        <v>0.18</v>
      </c>
      <c r="I134" s="124" t="s">
        <v>5196</v>
      </c>
      <c r="J134" s="126">
        <v>0.03</v>
      </c>
      <c r="K134" s="124"/>
      <c r="L134" s="124"/>
      <c r="M134" s="124"/>
      <c r="N134" s="124"/>
      <c r="O134" s="124"/>
      <c r="P134" s="124"/>
      <c r="Q134" s="128"/>
      <c r="R134" s="124"/>
      <c r="S134" s="124"/>
      <c r="T134" s="124"/>
      <c r="U134" s="124" t="s">
        <v>5523</v>
      </c>
      <c r="V134" s="127">
        <f t="shared" si="2"/>
        <v>0.21</v>
      </c>
      <c r="W134" s="126">
        <v>0</v>
      </c>
      <c r="X134" s="126">
        <v>0</v>
      </c>
      <c r="Y134" s="126">
        <v>10</v>
      </c>
      <c r="Z134" s="124"/>
      <c r="AA134" s="124" t="e">
        <f t="shared" ca="1" si="3"/>
        <v>#NAME?</v>
      </c>
      <c r="AB134" s="126">
        <f t="array" aca="1" ref="AB134" ca="1">IFERROR(J134/_xludf.XLOOKUP(I134,Materials!$A$3:$A$292,Materials!$I$3:$I$292),0)
+IFERROR(L134/_xludf.XLOOKUP(K134,Materials!$A$3:$A$292,Materials!$I$3:$I$292),0)
+IFERROR(N134/_xludf.XLOOKUP(M134,Materials!$A$3:$A$292,Materials!$I$3:$I$292),0)
+IFERROR(P134/_xludf.XLOOKUP(O134,Materials!$A$3:$A$292,Materials!$I$3:$I$292),0)
+IFERROR(R134/_xludf.XLOOKUP(Q134,Materials!$A$3:$A$292,Materials!$I$3:$I$292),0)
+IFERROR(H134/_xludf.XLOOKUP(G134,Materials!$A$3:$A$292,Materials!$I$3:$I$292),0)</f>
        <v>0</v>
      </c>
      <c r="AC134" s="20"/>
      <c r="AD134" s="20"/>
      <c r="AE134" s="20"/>
      <c r="AF134" s="20"/>
      <c r="AG134" s="20"/>
      <c r="AH134" s="20"/>
      <c r="AI134" s="20"/>
      <c r="AJ134" s="20"/>
      <c r="AK134" s="20"/>
      <c r="AL134" s="20"/>
      <c r="AM134" s="20"/>
      <c r="AN134" s="20"/>
      <c r="AO134" s="20"/>
      <c r="AP134" s="20"/>
      <c r="AQ134" s="20"/>
      <c r="AR134" s="20"/>
      <c r="AS134" s="20"/>
      <c r="AT134" s="20"/>
      <c r="AU134" s="20"/>
      <c r="AV134" s="20"/>
    </row>
    <row r="135" spans="1:48" ht="17.25" hidden="1" customHeight="1">
      <c r="A135" s="15" t="s">
        <v>5774</v>
      </c>
      <c r="B135" s="124" t="s">
        <v>157</v>
      </c>
      <c r="C135" s="124" t="s">
        <v>5522</v>
      </c>
      <c r="D135" s="125" t="e">
        <f t="shared" ca="1" si="0"/>
        <v>#NAME?</v>
      </c>
      <c r="E135" s="126" t="str">
        <f t="shared" ca="1" si="1"/>
        <v>Not enough information entered</v>
      </c>
      <c r="F135" s="124" t="s">
        <v>6400</v>
      </c>
      <c r="G135" s="124" t="s">
        <v>5211</v>
      </c>
      <c r="H135" s="126">
        <v>0.03</v>
      </c>
      <c r="I135" s="124" t="s">
        <v>5186</v>
      </c>
      <c r="J135" s="126">
        <v>0.18</v>
      </c>
      <c r="K135" s="124" t="s">
        <v>5204</v>
      </c>
      <c r="L135" s="126">
        <v>0.02</v>
      </c>
      <c r="M135" s="124" t="s">
        <v>5200</v>
      </c>
      <c r="N135" s="126">
        <v>1.2E-2</v>
      </c>
      <c r="O135" s="128"/>
      <c r="P135" s="124"/>
      <c r="Q135" s="128"/>
      <c r="R135" s="124"/>
      <c r="S135" s="124"/>
      <c r="T135" s="124"/>
      <c r="U135" s="124" t="s">
        <v>5523</v>
      </c>
      <c r="V135" s="127">
        <f t="shared" si="2"/>
        <v>0.24199999999999999</v>
      </c>
      <c r="W135" s="126">
        <v>0</v>
      </c>
      <c r="X135" s="126">
        <v>0</v>
      </c>
      <c r="Y135" s="126">
        <v>10</v>
      </c>
      <c r="Z135" s="124"/>
      <c r="AA135" s="124" t="e">
        <f t="shared" ca="1" si="3"/>
        <v>#NAME?</v>
      </c>
      <c r="AB135" s="126">
        <f t="array" aca="1" ref="AB135" ca="1">IFERROR(J135/_xludf.XLOOKUP(I135,Materials!$A$3:$A$292,Materials!$I$3:$I$292),0)
+IFERROR(L135/_xludf.XLOOKUP(K135,Materials!$A$3:$A$292,Materials!$I$3:$I$292),0)
+IFERROR(N135/_xludf.XLOOKUP(M135,Materials!$A$3:$A$292,Materials!$I$3:$I$292),0)
+IFERROR(P135/_xludf.XLOOKUP(O135,Materials!$A$3:$A$292,Materials!$I$3:$I$292),0)
+IFERROR(R135/_xludf.XLOOKUP(Q135,Materials!$A$3:$A$292,Materials!$I$3:$I$292),0)
+IFERROR(H135/_xludf.XLOOKUP(G135,Materials!$A$3:$A$292,Materials!$I$3:$I$292),0)</f>
        <v>0</v>
      </c>
      <c r="AC135" s="20"/>
      <c r="AD135" s="20"/>
      <c r="AE135" s="20"/>
      <c r="AF135" s="20"/>
      <c r="AG135" s="20"/>
      <c r="AH135" s="20"/>
      <c r="AI135" s="20"/>
      <c r="AJ135" s="20"/>
      <c r="AK135" s="20"/>
      <c r="AL135" s="20"/>
      <c r="AM135" s="20"/>
      <c r="AN135" s="20"/>
      <c r="AO135" s="20"/>
      <c r="AP135" s="20"/>
      <c r="AQ135" s="20"/>
      <c r="AR135" s="20"/>
      <c r="AS135" s="20"/>
      <c r="AT135" s="20"/>
      <c r="AU135" s="20"/>
      <c r="AV135" s="20"/>
    </row>
    <row r="136" spans="1:48" ht="17.25" customHeight="1">
      <c r="A136" s="15" t="s">
        <v>5774</v>
      </c>
      <c r="B136" s="124" t="s">
        <v>154</v>
      </c>
      <c r="C136" s="124" t="s">
        <v>5524</v>
      </c>
      <c r="D136" s="125" t="e">
        <f t="shared" ca="1" si="0"/>
        <v>#NAME?</v>
      </c>
      <c r="E136" s="126" t="str">
        <f t="shared" ca="1" si="1"/>
        <v>Not enough information entered</v>
      </c>
      <c r="F136" s="124" t="s">
        <v>6246</v>
      </c>
      <c r="G136" s="124" t="s">
        <v>5211</v>
      </c>
      <c r="H136" s="126">
        <v>5.8000000000000003E-2</v>
      </c>
      <c r="I136" s="124" t="s">
        <v>5186</v>
      </c>
      <c r="J136" s="126">
        <v>0.15</v>
      </c>
      <c r="K136" s="124" t="s">
        <v>5196</v>
      </c>
      <c r="L136" s="124">
        <v>0.03</v>
      </c>
      <c r="M136" s="124"/>
      <c r="N136" s="124"/>
      <c r="O136" s="128"/>
      <c r="P136" s="124"/>
      <c r="Q136" s="128"/>
      <c r="R136" s="124"/>
      <c r="S136" s="124"/>
      <c r="T136" s="124"/>
      <c r="U136" s="124" t="s">
        <v>5523</v>
      </c>
      <c r="V136" s="127">
        <f t="shared" si="2"/>
        <v>0.23799999999999999</v>
      </c>
      <c r="W136" s="124"/>
      <c r="X136" s="124"/>
      <c r="Y136" s="124"/>
      <c r="Z136" s="124"/>
      <c r="AA136" s="124" t="e">
        <f t="shared" ca="1" si="3"/>
        <v>#NAME?</v>
      </c>
      <c r="AB136" s="126">
        <f t="array" aca="1" ref="AB136" ca="1">IFERROR(J136/_xludf.XLOOKUP(I136,Materials!$A$3:$A$292,Materials!$I$3:$I$292),0)
+IFERROR(L136/_xludf.XLOOKUP(K136,Materials!$A$3:$A$292,Materials!$I$3:$I$292),0)
+IFERROR(N136/_xludf.XLOOKUP(M136,Materials!$A$3:$A$292,Materials!$I$3:$I$292),0)
+IFERROR(P136/_xludf.XLOOKUP(O136,Materials!$A$3:$A$292,Materials!$I$3:$I$292),0)
+IFERROR(R136/_xludf.XLOOKUP(Q136,Materials!$A$3:$A$292,Materials!$I$3:$I$292),0)
+IFERROR(H136/_xludf.XLOOKUP(G136,Materials!$A$3:$A$292,Materials!$I$3:$I$292),0)</f>
        <v>0</v>
      </c>
      <c r="AC136" s="20"/>
      <c r="AD136" s="20"/>
      <c r="AE136" s="20"/>
      <c r="AF136" s="20"/>
      <c r="AG136" s="20"/>
      <c r="AH136" s="20"/>
      <c r="AI136" s="20"/>
      <c r="AJ136" s="20"/>
      <c r="AK136" s="20"/>
      <c r="AL136" s="20"/>
      <c r="AM136" s="20"/>
      <c r="AN136" s="20"/>
      <c r="AO136" s="20"/>
      <c r="AP136" s="20"/>
      <c r="AQ136" s="20"/>
      <c r="AR136" s="20"/>
      <c r="AS136" s="20"/>
      <c r="AT136" s="20"/>
      <c r="AU136" s="20"/>
      <c r="AV136" s="20"/>
    </row>
    <row r="137" spans="1:48" ht="17.25" hidden="1" customHeight="1">
      <c r="A137" s="15" t="s">
        <v>5774</v>
      </c>
      <c r="B137" s="124" t="s">
        <v>160</v>
      </c>
      <c r="C137" s="124" t="s">
        <v>5526</v>
      </c>
      <c r="D137" s="125" t="e">
        <f t="shared" ca="1" si="0"/>
        <v>#NAME?</v>
      </c>
      <c r="E137" s="126" t="str">
        <f t="shared" ca="1" si="1"/>
        <v>Not enough information entered</v>
      </c>
      <c r="F137" s="124" t="s">
        <v>6594</v>
      </c>
      <c r="G137" s="124" t="s">
        <v>5211</v>
      </c>
      <c r="H137" s="126">
        <v>4.7E-2</v>
      </c>
      <c r="I137" s="124" t="s">
        <v>5186</v>
      </c>
      <c r="J137" s="126">
        <v>0.18</v>
      </c>
      <c r="K137" s="124" t="s">
        <v>5196</v>
      </c>
      <c r="L137" s="124">
        <v>0.03</v>
      </c>
      <c r="M137" s="128"/>
      <c r="N137" s="124"/>
      <c r="O137" s="128"/>
      <c r="P137" s="124"/>
      <c r="Q137" s="128"/>
      <c r="R137" s="124"/>
      <c r="S137" s="124"/>
      <c r="T137" s="124"/>
      <c r="U137" s="124" t="s">
        <v>5523</v>
      </c>
      <c r="V137" s="127">
        <f t="shared" si="2"/>
        <v>0.25700000000000001</v>
      </c>
      <c r="W137" s="126">
        <v>0</v>
      </c>
      <c r="X137" s="126">
        <v>0</v>
      </c>
      <c r="Y137" s="126">
        <v>10</v>
      </c>
      <c r="Z137" s="124"/>
      <c r="AA137" s="124" t="e">
        <f t="shared" ca="1" si="3"/>
        <v>#NAME?</v>
      </c>
      <c r="AB137" s="126">
        <f t="array" aca="1" ref="AB137" ca="1">IFERROR(J137/_xludf.XLOOKUP(I137,Materials!$A$3:$A$292,Materials!$I$3:$I$292),0)
+IFERROR(L137/_xludf.XLOOKUP(K137,Materials!$A$3:$A$292,Materials!$I$3:$I$292),0)
+IFERROR(N137/_xludf.XLOOKUP(M137,Materials!$A$3:$A$292,Materials!$I$3:$I$292),0)
+IFERROR(P137/_xludf.XLOOKUP(O137,Materials!$A$3:$A$292,Materials!$I$3:$I$292),0)
+IFERROR(R137/_xludf.XLOOKUP(Q137,Materials!$A$3:$A$292,Materials!$I$3:$I$292),0)
+IFERROR(H137/_xludf.XLOOKUP(G137,Materials!$A$3:$A$292,Materials!$I$3:$I$292),0)</f>
        <v>0</v>
      </c>
      <c r="AC137" s="20"/>
      <c r="AD137" s="20"/>
      <c r="AE137" s="20"/>
      <c r="AF137" s="20"/>
      <c r="AG137" s="20"/>
      <c r="AH137" s="20"/>
      <c r="AI137" s="20"/>
      <c r="AJ137" s="20"/>
      <c r="AK137" s="20"/>
      <c r="AL137" s="20"/>
      <c r="AM137" s="20"/>
      <c r="AN137" s="20"/>
      <c r="AO137" s="20"/>
      <c r="AP137" s="20"/>
      <c r="AQ137" s="20"/>
      <c r="AR137" s="20"/>
      <c r="AS137" s="20"/>
      <c r="AT137" s="20"/>
      <c r="AU137" s="20"/>
      <c r="AV137" s="20"/>
    </row>
    <row r="138" spans="1:48" ht="17.25" hidden="1" customHeight="1">
      <c r="A138" s="15" t="s">
        <v>5775</v>
      </c>
      <c r="B138" s="124" t="s">
        <v>157</v>
      </c>
      <c r="C138" s="124" t="s">
        <v>5522</v>
      </c>
      <c r="D138" s="125" t="e">
        <f t="shared" ca="1" si="0"/>
        <v>#NAME?</v>
      </c>
      <c r="E138" s="126" t="str">
        <f t="shared" ca="1" si="1"/>
        <v>Not enough information entered</v>
      </c>
      <c r="F138" s="124" t="s">
        <v>6401</v>
      </c>
      <c r="G138" s="124" t="s">
        <v>5211</v>
      </c>
      <c r="H138" s="126">
        <v>0.04</v>
      </c>
      <c r="I138" s="124" t="s">
        <v>5186</v>
      </c>
      <c r="J138" s="126">
        <v>0.18</v>
      </c>
      <c r="K138" s="124" t="s">
        <v>5204</v>
      </c>
      <c r="L138" s="126">
        <v>0.02</v>
      </c>
      <c r="M138" s="124" t="s">
        <v>5200</v>
      </c>
      <c r="N138" s="126">
        <v>1.2E-2</v>
      </c>
      <c r="O138" s="128"/>
      <c r="P138" s="124"/>
      <c r="Q138" s="128"/>
      <c r="R138" s="124"/>
      <c r="S138" s="124"/>
      <c r="T138" s="124"/>
      <c r="U138" s="124" t="s">
        <v>5523</v>
      </c>
      <c r="V138" s="127">
        <f t="shared" si="2"/>
        <v>0.252</v>
      </c>
      <c r="W138" s="126">
        <v>0</v>
      </c>
      <c r="X138" s="126">
        <v>0</v>
      </c>
      <c r="Y138" s="126">
        <v>10</v>
      </c>
      <c r="Z138" s="124"/>
      <c r="AA138" s="124" t="e">
        <f t="shared" ca="1" si="3"/>
        <v>#NAME?</v>
      </c>
      <c r="AB138" s="126">
        <f t="array" aca="1" ref="AB138" ca="1">IFERROR(J138/_xludf.XLOOKUP(I138,Materials!$A$3:$A$292,Materials!$I$3:$I$292),0)
+IFERROR(L138/_xludf.XLOOKUP(K138,Materials!$A$3:$A$292,Materials!$I$3:$I$292),0)
+IFERROR(N138/_xludf.XLOOKUP(M138,Materials!$A$3:$A$292,Materials!$I$3:$I$292),0)
+IFERROR(P138/_xludf.XLOOKUP(O138,Materials!$A$3:$A$292,Materials!$I$3:$I$292),0)
+IFERROR(R138/_xludf.XLOOKUP(Q138,Materials!$A$3:$A$292,Materials!$I$3:$I$292),0)
+IFERROR(H138/_xludf.XLOOKUP(G138,Materials!$A$3:$A$292,Materials!$I$3:$I$292),0)</f>
        <v>0</v>
      </c>
      <c r="AC138" s="20"/>
      <c r="AD138" s="20"/>
      <c r="AE138" s="20"/>
      <c r="AF138" s="20"/>
      <c r="AG138" s="20"/>
      <c r="AH138" s="20"/>
      <c r="AI138" s="20"/>
      <c r="AJ138" s="20"/>
      <c r="AK138" s="20"/>
      <c r="AL138" s="20"/>
      <c r="AM138" s="20"/>
      <c r="AN138" s="20"/>
      <c r="AO138" s="20"/>
      <c r="AP138" s="20"/>
      <c r="AQ138" s="20"/>
      <c r="AR138" s="20"/>
      <c r="AS138" s="20"/>
      <c r="AT138" s="20"/>
      <c r="AU138" s="20"/>
      <c r="AV138" s="20"/>
    </row>
    <row r="139" spans="1:48" ht="17.25" customHeight="1">
      <c r="A139" s="15" t="s">
        <v>5775</v>
      </c>
      <c r="B139" s="124" t="s">
        <v>154</v>
      </c>
      <c r="C139" s="124" t="s">
        <v>5524</v>
      </c>
      <c r="D139" s="125" t="e">
        <f t="shared" ca="1" si="0"/>
        <v>#NAME?</v>
      </c>
      <c r="E139" s="126" t="str">
        <f t="shared" ca="1" si="1"/>
        <v>Not enough information entered</v>
      </c>
      <c r="F139" s="124" t="s">
        <v>6247</v>
      </c>
      <c r="G139" s="124" t="s">
        <v>5211</v>
      </c>
      <c r="H139" s="126">
        <v>5.8999999999999997E-2</v>
      </c>
      <c r="I139" s="124" t="s">
        <v>5186</v>
      </c>
      <c r="J139" s="126">
        <v>0.15</v>
      </c>
      <c r="K139" s="128" t="s">
        <v>5196</v>
      </c>
      <c r="L139" s="124">
        <v>0.03</v>
      </c>
      <c r="M139" s="128"/>
      <c r="N139" s="124"/>
      <c r="O139" s="128"/>
      <c r="P139" s="124"/>
      <c r="Q139" s="128"/>
      <c r="R139" s="124"/>
      <c r="S139" s="124"/>
      <c r="T139" s="124"/>
      <c r="U139" s="124" t="s">
        <v>5523</v>
      </c>
      <c r="V139" s="127">
        <f t="shared" si="2"/>
        <v>0.23899999999999999</v>
      </c>
      <c r="W139" s="124"/>
      <c r="X139" s="124"/>
      <c r="Y139" s="124"/>
      <c r="Z139" s="124"/>
      <c r="AA139" s="124" t="e">
        <f t="shared" ca="1" si="3"/>
        <v>#NAME?</v>
      </c>
      <c r="AB139" s="126">
        <f t="array" aca="1" ref="AB139" ca="1">IFERROR(J139/_xludf.XLOOKUP(I139,Materials!$A$3:$A$292,Materials!$I$3:$I$292),0)
+IFERROR(L139/_xludf.XLOOKUP(K139,Materials!$A$3:$A$292,Materials!$I$3:$I$292),0)
+IFERROR(N139/_xludf.XLOOKUP(M139,Materials!$A$3:$A$292,Materials!$I$3:$I$292),0)
+IFERROR(P139/_xludf.XLOOKUP(O139,Materials!$A$3:$A$292,Materials!$I$3:$I$292),0)
+IFERROR(R139/_xludf.XLOOKUP(Q139,Materials!$A$3:$A$292,Materials!$I$3:$I$292),0)
+IFERROR(H139/_xludf.XLOOKUP(G139,Materials!$A$3:$A$292,Materials!$I$3:$I$292),0)</f>
        <v>0</v>
      </c>
      <c r="AC139" s="20"/>
      <c r="AD139" s="20"/>
      <c r="AE139" s="20"/>
      <c r="AF139" s="20"/>
      <c r="AG139" s="20"/>
      <c r="AH139" s="20"/>
      <c r="AI139" s="20"/>
      <c r="AJ139" s="20"/>
      <c r="AK139" s="20"/>
      <c r="AL139" s="20"/>
      <c r="AM139" s="20"/>
      <c r="AN139" s="20"/>
      <c r="AO139" s="20"/>
      <c r="AP139" s="20"/>
      <c r="AQ139" s="20"/>
      <c r="AR139" s="20"/>
      <c r="AS139" s="20"/>
      <c r="AT139" s="20"/>
      <c r="AU139" s="20"/>
      <c r="AV139" s="20"/>
    </row>
    <row r="140" spans="1:48" ht="17.25" hidden="1" customHeight="1">
      <c r="A140" s="15" t="s">
        <v>5775</v>
      </c>
      <c r="B140" s="124" t="s">
        <v>160</v>
      </c>
      <c r="C140" s="124" t="s">
        <v>5526</v>
      </c>
      <c r="D140" s="125" t="e">
        <f t="shared" ca="1" si="0"/>
        <v>#NAME?</v>
      </c>
      <c r="E140" s="126" t="str">
        <f t="shared" ca="1" si="1"/>
        <v>Not enough information entered</v>
      </c>
      <c r="F140" s="124" t="s">
        <v>6595</v>
      </c>
      <c r="G140" s="124" t="s">
        <v>5211</v>
      </c>
      <c r="H140" s="126">
        <v>5.8000000000000003E-2</v>
      </c>
      <c r="I140" s="124" t="s">
        <v>5186</v>
      </c>
      <c r="J140" s="126">
        <v>0.18</v>
      </c>
      <c r="K140" s="128" t="s">
        <v>5196</v>
      </c>
      <c r="L140" s="124">
        <v>0.03</v>
      </c>
      <c r="M140" s="128"/>
      <c r="N140" s="124"/>
      <c r="O140" s="128"/>
      <c r="P140" s="124"/>
      <c r="Q140" s="128"/>
      <c r="R140" s="124"/>
      <c r="S140" s="124"/>
      <c r="T140" s="124"/>
      <c r="U140" s="124" t="s">
        <v>5523</v>
      </c>
      <c r="V140" s="127">
        <f t="shared" si="2"/>
        <v>0.26800000000000002</v>
      </c>
      <c r="W140" s="126">
        <v>0</v>
      </c>
      <c r="X140" s="126">
        <v>0</v>
      </c>
      <c r="Y140" s="126">
        <v>10</v>
      </c>
      <c r="Z140" s="124"/>
      <c r="AA140" s="124" t="e">
        <f t="shared" ca="1" si="3"/>
        <v>#NAME?</v>
      </c>
      <c r="AB140" s="126">
        <f t="array" aca="1" ref="AB140" ca="1">IFERROR(J140/_xludf.XLOOKUP(I140,Materials!$A$3:$A$292,Materials!$I$3:$I$292),0)
+IFERROR(L140/_xludf.XLOOKUP(K140,Materials!$A$3:$A$292,Materials!$I$3:$I$292),0)
+IFERROR(N140/_xludf.XLOOKUP(M140,Materials!$A$3:$A$292,Materials!$I$3:$I$292),0)
+IFERROR(P140/_xludf.XLOOKUP(O140,Materials!$A$3:$A$292,Materials!$I$3:$I$292),0)
+IFERROR(R140/_xludf.XLOOKUP(Q140,Materials!$A$3:$A$292,Materials!$I$3:$I$292),0)
+IFERROR(H140/_xludf.XLOOKUP(G140,Materials!$A$3:$A$292,Materials!$I$3:$I$292),0)</f>
        <v>0</v>
      </c>
      <c r="AC140" s="20"/>
      <c r="AD140" s="20"/>
      <c r="AE140" s="20"/>
      <c r="AF140" s="20"/>
      <c r="AG140" s="20"/>
      <c r="AH140" s="20"/>
      <c r="AI140" s="20"/>
      <c r="AJ140" s="20"/>
      <c r="AK140" s="20"/>
      <c r="AL140" s="20"/>
      <c r="AM140" s="20"/>
      <c r="AN140" s="20"/>
      <c r="AO140" s="20"/>
      <c r="AP140" s="20"/>
      <c r="AQ140" s="20"/>
      <c r="AR140" s="20"/>
      <c r="AS140" s="20"/>
      <c r="AT140" s="20"/>
      <c r="AU140" s="20"/>
      <c r="AV140" s="20"/>
    </row>
    <row r="141" spans="1:48" ht="17.25" hidden="1" customHeight="1">
      <c r="A141" s="15" t="s">
        <v>5776</v>
      </c>
      <c r="B141" s="124" t="s">
        <v>157</v>
      </c>
      <c r="C141" s="124" t="s">
        <v>5522</v>
      </c>
      <c r="D141" s="125" t="e">
        <f t="shared" ca="1" si="0"/>
        <v>#NAME?</v>
      </c>
      <c r="E141" s="126" t="str">
        <f t="shared" ca="1" si="1"/>
        <v>Not enough information entered</v>
      </c>
      <c r="F141" s="124" t="s">
        <v>6402</v>
      </c>
      <c r="G141" s="124" t="s">
        <v>5211</v>
      </c>
      <c r="H141" s="126">
        <v>0.06</v>
      </c>
      <c r="I141" s="124" t="s">
        <v>5186</v>
      </c>
      <c r="J141" s="126">
        <v>0.18</v>
      </c>
      <c r="K141" s="124" t="s">
        <v>5204</v>
      </c>
      <c r="L141" s="126">
        <v>0.02</v>
      </c>
      <c r="M141" s="124" t="s">
        <v>5200</v>
      </c>
      <c r="N141" s="126">
        <v>1.2E-2</v>
      </c>
      <c r="O141" s="128"/>
      <c r="P141" s="124"/>
      <c r="Q141" s="128"/>
      <c r="R141" s="124"/>
      <c r="S141" s="124"/>
      <c r="T141" s="124"/>
      <c r="U141" s="124" t="s">
        <v>5523</v>
      </c>
      <c r="V141" s="127">
        <f t="shared" si="2"/>
        <v>0.27200000000000002</v>
      </c>
      <c r="W141" s="126">
        <v>0</v>
      </c>
      <c r="X141" s="126">
        <v>0</v>
      </c>
      <c r="Y141" s="126">
        <v>10</v>
      </c>
      <c r="Z141" s="124"/>
      <c r="AA141" s="124" t="e">
        <f t="shared" ca="1" si="3"/>
        <v>#NAME?</v>
      </c>
      <c r="AB141" s="126">
        <f t="array" aca="1" ref="AB141" ca="1">IFERROR(J141/_xludf.XLOOKUP(I141,Materials!$A$3:$A$292,Materials!$I$3:$I$292),0)
+IFERROR(L141/_xludf.XLOOKUP(K141,Materials!$A$3:$A$292,Materials!$I$3:$I$292),0)
+IFERROR(N141/_xludf.XLOOKUP(M141,Materials!$A$3:$A$292,Materials!$I$3:$I$292),0)
+IFERROR(P141/_xludf.XLOOKUP(O141,Materials!$A$3:$A$292,Materials!$I$3:$I$292),0)
+IFERROR(R141/_xludf.XLOOKUP(Q141,Materials!$A$3:$A$292,Materials!$I$3:$I$292),0)
+IFERROR(H141/_xludf.XLOOKUP(G141,Materials!$A$3:$A$292,Materials!$I$3:$I$292),0)</f>
        <v>0</v>
      </c>
      <c r="AC141" s="20"/>
      <c r="AD141" s="20"/>
      <c r="AE141" s="20"/>
      <c r="AF141" s="20"/>
      <c r="AG141" s="20"/>
      <c r="AH141" s="20"/>
      <c r="AI141" s="20"/>
      <c r="AJ141" s="20"/>
      <c r="AK141" s="20"/>
      <c r="AL141" s="20"/>
      <c r="AM141" s="20"/>
      <c r="AN141" s="20"/>
      <c r="AO141" s="20"/>
      <c r="AP141" s="20"/>
      <c r="AQ141" s="20"/>
      <c r="AR141" s="20"/>
      <c r="AS141" s="20"/>
      <c r="AT141" s="20"/>
      <c r="AU141" s="20"/>
      <c r="AV141" s="20"/>
    </row>
    <row r="142" spans="1:48" ht="17.25" customHeight="1">
      <c r="A142" s="15" t="s">
        <v>5776</v>
      </c>
      <c r="B142" s="124" t="s">
        <v>154</v>
      </c>
      <c r="C142" s="124" t="s">
        <v>5524</v>
      </c>
      <c r="D142" s="125" t="e">
        <f t="shared" ca="1" si="0"/>
        <v>#NAME?</v>
      </c>
      <c r="E142" s="126" t="str">
        <f t="shared" ca="1" si="1"/>
        <v>Not enough information entered</v>
      </c>
      <c r="F142" s="124" t="s">
        <v>6248</v>
      </c>
      <c r="G142" s="124" t="s">
        <v>5211</v>
      </c>
      <c r="H142" s="126">
        <v>7.8E-2</v>
      </c>
      <c r="I142" s="124" t="s">
        <v>5186</v>
      </c>
      <c r="J142" s="126">
        <v>0.15</v>
      </c>
      <c r="K142" s="124" t="s">
        <v>5196</v>
      </c>
      <c r="L142" s="124">
        <v>0.03</v>
      </c>
      <c r="M142" s="128"/>
      <c r="N142" s="124"/>
      <c r="O142" s="128"/>
      <c r="P142" s="124"/>
      <c r="Q142" s="128"/>
      <c r="R142" s="124"/>
      <c r="S142" s="124"/>
      <c r="T142" s="124"/>
      <c r="U142" s="124" t="s">
        <v>5523</v>
      </c>
      <c r="V142" s="127">
        <f t="shared" si="2"/>
        <v>0.25800000000000001</v>
      </c>
      <c r="W142" s="124"/>
      <c r="X142" s="124"/>
      <c r="Y142" s="124"/>
      <c r="Z142" s="124"/>
      <c r="AA142" s="124" t="e">
        <f t="shared" ca="1" si="3"/>
        <v>#NAME?</v>
      </c>
      <c r="AB142" s="126">
        <f t="array" aca="1" ref="AB142" ca="1">IFERROR(J142/_xludf.XLOOKUP(I142,Materials!$A$3:$A$292,Materials!$I$3:$I$292),0)
+IFERROR(L142/_xludf.XLOOKUP(K142,Materials!$A$3:$A$292,Materials!$I$3:$I$292),0)
+IFERROR(N142/_xludf.XLOOKUP(M142,Materials!$A$3:$A$292,Materials!$I$3:$I$292),0)
+IFERROR(P142/_xludf.XLOOKUP(O142,Materials!$A$3:$A$292,Materials!$I$3:$I$292),0)
+IFERROR(R142/_xludf.XLOOKUP(Q142,Materials!$A$3:$A$292,Materials!$I$3:$I$292),0)
+IFERROR(H142/_xludf.XLOOKUP(G142,Materials!$A$3:$A$292,Materials!$I$3:$I$292),0)</f>
        <v>0</v>
      </c>
      <c r="AC142" s="20"/>
      <c r="AD142" s="20"/>
      <c r="AE142" s="20"/>
      <c r="AF142" s="20"/>
      <c r="AG142" s="20"/>
      <c r="AH142" s="20"/>
      <c r="AI142" s="20"/>
      <c r="AJ142" s="20"/>
      <c r="AK142" s="20"/>
      <c r="AL142" s="20"/>
      <c r="AM142" s="20"/>
      <c r="AN142" s="20"/>
      <c r="AO142" s="20"/>
      <c r="AP142" s="20"/>
      <c r="AQ142" s="20"/>
      <c r="AR142" s="20"/>
      <c r="AS142" s="20"/>
      <c r="AT142" s="20"/>
      <c r="AU142" s="20"/>
      <c r="AV142" s="20"/>
    </row>
    <row r="143" spans="1:48" ht="17.25" hidden="1" customHeight="1">
      <c r="A143" s="15" t="s">
        <v>5776</v>
      </c>
      <c r="B143" s="124" t="s">
        <v>160</v>
      </c>
      <c r="C143" s="124" t="s">
        <v>5526</v>
      </c>
      <c r="D143" s="125" t="e">
        <f t="shared" ca="1" si="0"/>
        <v>#NAME?</v>
      </c>
      <c r="E143" s="126" t="str">
        <f t="shared" ca="1" si="1"/>
        <v>Not enough information entered</v>
      </c>
      <c r="F143" s="124" t="s">
        <v>6596</v>
      </c>
      <c r="G143" s="124" t="s">
        <v>5211</v>
      </c>
      <c r="H143" s="126">
        <v>7.6999999999999999E-2</v>
      </c>
      <c r="I143" s="124" t="s">
        <v>5186</v>
      </c>
      <c r="J143" s="126">
        <v>0.18</v>
      </c>
      <c r="K143" s="124" t="s">
        <v>5196</v>
      </c>
      <c r="L143" s="124">
        <v>0.03</v>
      </c>
      <c r="M143" s="128"/>
      <c r="N143" s="124"/>
      <c r="O143" s="128"/>
      <c r="P143" s="124"/>
      <c r="Q143" s="128"/>
      <c r="R143" s="124"/>
      <c r="S143" s="124"/>
      <c r="T143" s="124"/>
      <c r="U143" s="124" t="s">
        <v>5523</v>
      </c>
      <c r="V143" s="127">
        <f t="shared" si="2"/>
        <v>0.28700000000000003</v>
      </c>
      <c r="W143" s="126">
        <v>0</v>
      </c>
      <c r="X143" s="126">
        <v>0</v>
      </c>
      <c r="Y143" s="126">
        <v>10</v>
      </c>
      <c r="Z143" s="124"/>
      <c r="AA143" s="124" t="e">
        <f t="shared" ca="1" si="3"/>
        <v>#NAME?</v>
      </c>
      <c r="AB143" s="126">
        <f t="array" aca="1" ref="AB143" ca="1">IFERROR(J143/_xludf.XLOOKUP(I143,Materials!$A$3:$A$292,Materials!$I$3:$I$292),0)
+IFERROR(L143/_xludf.XLOOKUP(K143,Materials!$A$3:$A$292,Materials!$I$3:$I$292),0)
+IFERROR(N143/_xludf.XLOOKUP(M143,Materials!$A$3:$A$292,Materials!$I$3:$I$292),0)
+IFERROR(P143/_xludf.XLOOKUP(O143,Materials!$A$3:$A$292,Materials!$I$3:$I$292),0)
+IFERROR(R143/_xludf.XLOOKUP(Q143,Materials!$A$3:$A$292,Materials!$I$3:$I$292),0)
+IFERROR(H143/_xludf.XLOOKUP(G143,Materials!$A$3:$A$292,Materials!$I$3:$I$292),0)</f>
        <v>0</v>
      </c>
      <c r="AC143" s="20"/>
      <c r="AD143" s="20"/>
      <c r="AE143" s="20"/>
      <c r="AF143" s="20"/>
      <c r="AG143" s="20"/>
      <c r="AH143" s="20"/>
      <c r="AI143" s="20"/>
      <c r="AJ143" s="20"/>
      <c r="AK143" s="20"/>
      <c r="AL143" s="20"/>
      <c r="AM143" s="20"/>
      <c r="AN143" s="20"/>
      <c r="AO143" s="20"/>
      <c r="AP143" s="20"/>
      <c r="AQ143" s="20"/>
      <c r="AR143" s="20"/>
      <c r="AS143" s="20"/>
      <c r="AT143" s="20"/>
      <c r="AU143" s="20"/>
      <c r="AV143" s="20"/>
    </row>
    <row r="144" spans="1:48" ht="17.25" hidden="1" customHeight="1">
      <c r="A144" s="15" t="s">
        <v>5777</v>
      </c>
      <c r="B144" s="124" t="s">
        <v>157</v>
      </c>
      <c r="C144" s="124" t="s">
        <v>5522</v>
      </c>
      <c r="D144" s="125" t="e">
        <f t="shared" ca="1" si="0"/>
        <v>#NAME?</v>
      </c>
      <c r="E144" s="126" t="str">
        <f t="shared" ca="1" si="1"/>
        <v>Not enough information entered</v>
      </c>
      <c r="F144" s="124" t="s">
        <v>6403</v>
      </c>
      <c r="G144" s="124" t="s">
        <v>5211</v>
      </c>
      <c r="H144" s="126">
        <v>6.9000000000000006E-2</v>
      </c>
      <c r="I144" s="124" t="s">
        <v>5186</v>
      </c>
      <c r="J144" s="126">
        <v>0.18</v>
      </c>
      <c r="K144" s="124" t="s">
        <v>5204</v>
      </c>
      <c r="L144" s="126">
        <v>0.02</v>
      </c>
      <c r="M144" s="124" t="s">
        <v>5200</v>
      </c>
      <c r="N144" s="126">
        <v>1.2E-2</v>
      </c>
      <c r="O144" s="128"/>
      <c r="P144" s="124"/>
      <c r="Q144" s="128"/>
      <c r="R144" s="124"/>
      <c r="S144" s="124"/>
      <c r="T144" s="124"/>
      <c r="U144" s="124" t="s">
        <v>5523</v>
      </c>
      <c r="V144" s="127">
        <f t="shared" si="2"/>
        <v>0.28100000000000003</v>
      </c>
      <c r="W144" s="126">
        <v>0</v>
      </c>
      <c r="X144" s="126">
        <v>0</v>
      </c>
      <c r="Y144" s="126">
        <v>10</v>
      </c>
      <c r="Z144" s="124"/>
      <c r="AA144" s="124" t="e">
        <f t="shared" ca="1" si="3"/>
        <v>#NAME?</v>
      </c>
      <c r="AB144" s="126">
        <f t="array" aca="1" ref="AB144" ca="1">IFERROR(J144/_xludf.XLOOKUP(I144,Materials!$A$3:$A$292,Materials!$I$3:$I$292),0)
+IFERROR(L144/_xludf.XLOOKUP(K144,Materials!$A$3:$A$292,Materials!$I$3:$I$292),0)
+IFERROR(N144/_xludf.XLOOKUP(M144,Materials!$A$3:$A$292,Materials!$I$3:$I$292),0)
+IFERROR(P144/_xludf.XLOOKUP(O144,Materials!$A$3:$A$292,Materials!$I$3:$I$292),0)
+IFERROR(R144/_xludf.XLOOKUP(Q144,Materials!$A$3:$A$292,Materials!$I$3:$I$292),0)
+IFERROR(H144/_xludf.XLOOKUP(G144,Materials!$A$3:$A$292,Materials!$I$3:$I$292),0)</f>
        <v>0</v>
      </c>
      <c r="AC144" s="20"/>
      <c r="AD144" s="20"/>
      <c r="AE144" s="20"/>
      <c r="AF144" s="20"/>
      <c r="AG144" s="20"/>
      <c r="AH144" s="20"/>
      <c r="AI144" s="20"/>
      <c r="AJ144" s="20"/>
      <c r="AK144" s="20"/>
      <c r="AL144" s="20"/>
      <c r="AM144" s="20"/>
      <c r="AN144" s="20"/>
      <c r="AO144" s="20"/>
      <c r="AP144" s="20"/>
      <c r="AQ144" s="20"/>
      <c r="AR144" s="20"/>
      <c r="AS144" s="20"/>
      <c r="AT144" s="20"/>
      <c r="AU144" s="20"/>
      <c r="AV144" s="20"/>
    </row>
    <row r="145" spans="1:48" ht="17.25" customHeight="1">
      <c r="A145" s="15" t="s">
        <v>5777</v>
      </c>
      <c r="B145" s="124" t="s">
        <v>154</v>
      </c>
      <c r="C145" s="124" t="s">
        <v>5524</v>
      </c>
      <c r="D145" s="125" t="e">
        <f t="shared" ca="1" si="0"/>
        <v>#NAME?</v>
      </c>
      <c r="E145" s="126" t="str">
        <f t="shared" ca="1" si="1"/>
        <v>Not enough information entered</v>
      </c>
      <c r="F145" s="124" t="s">
        <v>6249</v>
      </c>
      <c r="G145" s="124" t="s">
        <v>5211</v>
      </c>
      <c r="H145" s="126">
        <v>9.4E-2</v>
      </c>
      <c r="I145" s="124" t="s">
        <v>5186</v>
      </c>
      <c r="J145" s="126">
        <v>0.15</v>
      </c>
      <c r="K145" s="124" t="s">
        <v>5196</v>
      </c>
      <c r="L145" s="124">
        <v>0.03</v>
      </c>
      <c r="M145" s="124"/>
      <c r="N145" s="124"/>
      <c r="O145" s="124"/>
      <c r="P145" s="124"/>
      <c r="Q145" s="124"/>
      <c r="R145" s="124"/>
      <c r="S145" s="124"/>
      <c r="T145" s="124"/>
      <c r="U145" s="124" t="s">
        <v>5523</v>
      </c>
      <c r="V145" s="127">
        <f t="shared" si="2"/>
        <v>0.27400000000000002</v>
      </c>
      <c r="W145" s="124"/>
      <c r="X145" s="124"/>
      <c r="Y145" s="124"/>
      <c r="Z145" s="124"/>
      <c r="AA145" s="124" t="e">
        <f t="shared" ca="1" si="3"/>
        <v>#NAME?</v>
      </c>
      <c r="AB145" s="126">
        <f t="array" aca="1" ref="AB145" ca="1">IFERROR(J145/_xludf.XLOOKUP(I145,Materials!$A$3:$A$292,Materials!$I$3:$I$292),0)
+IFERROR(L145/_xludf.XLOOKUP(K145,Materials!$A$3:$A$292,Materials!$I$3:$I$292),0)
+IFERROR(N145/_xludf.XLOOKUP(M145,Materials!$A$3:$A$292,Materials!$I$3:$I$292),0)
+IFERROR(P145/_xludf.XLOOKUP(O145,Materials!$A$3:$A$292,Materials!$I$3:$I$292),0)
+IFERROR(R145/_xludf.XLOOKUP(Q145,Materials!$A$3:$A$292,Materials!$I$3:$I$292),0)
+IFERROR(H145/_xludf.XLOOKUP(G145,Materials!$A$3:$A$292,Materials!$I$3:$I$292),0)</f>
        <v>0</v>
      </c>
      <c r="AC145" s="20"/>
      <c r="AD145" s="20"/>
      <c r="AE145" s="20"/>
      <c r="AF145" s="20"/>
      <c r="AG145" s="20"/>
      <c r="AH145" s="20"/>
      <c r="AI145" s="20"/>
      <c r="AJ145" s="20"/>
      <c r="AK145" s="20"/>
      <c r="AL145" s="20"/>
      <c r="AM145" s="20"/>
      <c r="AN145" s="20"/>
      <c r="AO145" s="20"/>
      <c r="AP145" s="20"/>
      <c r="AQ145" s="20"/>
      <c r="AR145" s="20"/>
      <c r="AS145" s="20"/>
      <c r="AT145" s="20"/>
      <c r="AU145" s="20"/>
      <c r="AV145" s="20"/>
    </row>
    <row r="146" spans="1:48" ht="17.25" hidden="1" customHeight="1">
      <c r="A146" s="15" t="s">
        <v>5777</v>
      </c>
      <c r="B146" s="124" t="s">
        <v>160</v>
      </c>
      <c r="C146" s="124" t="s">
        <v>5526</v>
      </c>
      <c r="D146" s="125" t="e">
        <f t="shared" ca="1" si="0"/>
        <v>#NAME?</v>
      </c>
      <c r="E146" s="126" t="str">
        <f t="shared" ca="1" si="1"/>
        <v>Not enough information entered</v>
      </c>
      <c r="F146" s="124" t="s">
        <v>6597</v>
      </c>
      <c r="G146" s="124" t="s">
        <v>5211</v>
      </c>
      <c r="H146" s="126">
        <v>9.2999999999999999E-2</v>
      </c>
      <c r="I146" s="124" t="s">
        <v>5186</v>
      </c>
      <c r="J146" s="126">
        <v>0.18</v>
      </c>
      <c r="K146" s="124" t="s">
        <v>5196</v>
      </c>
      <c r="L146" s="124">
        <v>0.03</v>
      </c>
      <c r="M146" s="124"/>
      <c r="N146" s="124"/>
      <c r="O146" s="124"/>
      <c r="P146" s="124"/>
      <c r="Q146" s="124"/>
      <c r="R146" s="124"/>
      <c r="S146" s="124"/>
      <c r="T146" s="124"/>
      <c r="U146" s="124" t="s">
        <v>5523</v>
      </c>
      <c r="V146" s="127">
        <f t="shared" si="2"/>
        <v>0.30300000000000005</v>
      </c>
      <c r="W146" s="126">
        <v>0</v>
      </c>
      <c r="X146" s="126">
        <v>0</v>
      </c>
      <c r="Y146" s="126">
        <v>10</v>
      </c>
      <c r="Z146" s="124"/>
      <c r="AA146" s="124" t="e">
        <f t="shared" ca="1" si="3"/>
        <v>#NAME?</v>
      </c>
      <c r="AB146" s="126">
        <f t="array" aca="1" ref="AB146" ca="1">IFERROR(J146/_xludf.XLOOKUP(I146,Materials!$A$3:$A$292,Materials!$I$3:$I$292),0)
+IFERROR(L146/_xludf.XLOOKUP(K146,Materials!$A$3:$A$292,Materials!$I$3:$I$292),0)
+IFERROR(N146/_xludf.XLOOKUP(M146,Materials!$A$3:$A$292,Materials!$I$3:$I$292),0)
+IFERROR(P146/_xludf.XLOOKUP(O146,Materials!$A$3:$A$292,Materials!$I$3:$I$292),0)
+IFERROR(R146/_xludf.XLOOKUP(Q146,Materials!$A$3:$A$292,Materials!$I$3:$I$292),0)
+IFERROR(H146/_xludf.XLOOKUP(G146,Materials!$A$3:$A$292,Materials!$I$3:$I$292),0)</f>
        <v>0</v>
      </c>
      <c r="AC146" s="20"/>
      <c r="AD146" s="20"/>
      <c r="AE146" s="20"/>
      <c r="AF146" s="20"/>
      <c r="AG146" s="20"/>
      <c r="AH146" s="20"/>
      <c r="AI146" s="20"/>
      <c r="AJ146" s="20"/>
      <c r="AK146" s="20"/>
      <c r="AL146" s="20"/>
      <c r="AM146" s="20"/>
      <c r="AN146" s="20"/>
      <c r="AO146" s="20"/>
      <c r="AP146" s="20"/>
      <c r="AQ146" s="20"/>
      <c r="AR146" s="20"/>
      <c r="AS146" s="20"/>
      <c r="AT146" s="20"/>
      <c r="AU146" s="20"/>
      <c r="AV146" s="20"/>
    </row>
    <row r="147" spans="1:48" ht="17.25" hidden="1" customHeight="1">
      <c r="A147" s="15" t="s">
        <v>4847</v>
      </c>
      <c r="B147" s="124" t="s">
        <v>158</v>
      </c>
      <c r="C147" s="124" t="s">
        <v>5527</v>
      </c>
      <c r="D147" s="125" t="e">
        <f t="shared" ca="1" si="0"/>
        <v>#NAME?</v>
      </c>
      <c r="E147" s="126" t="str">
        <f t="shared" ca="1" si="1"/>
        <v>Not enough information entered</v>
      </c>
      <c r="F147" s="124" t="s">
        <v>6344</v>
      </c>
      <c r="G147" s="124" t="s">
        <v>5200</v>
      </c>
      <c r="H147" s="124">
        <v>1.2500000000000001E-2</v>
      </c>
      <c r="I147" s="124" t="s">
        <v>5204</v>
      </c>
      <c r="J147" s="124">
        <v>0.05</v>
      </c>
      <c r="K147" s="124" t="s">
        <v>5200</v>
      </c>
      <c r="L147" s="124">
        <v>1.2500000000000001E-2</v>
      </c>
      <c r="M147" s="124"/>
      <c r="N147" s="124"/>
      <c r="O147" s="124"/>
      <c r="P147" s="124"/>
      <c r="Q147" s="128"/>
      <c r="R147" s="124"/>
      <c r="S147" s="124"/>
      <c r="T147" s="124"/>
      <c r="U147" s="124" t="s">
        <v>5523</v>
      </c>
      <c r="V147" s="127">
        <f t="shared" si="2"/>
        <v>7.4999999999999997E-2</v>
      </c>
      <c r="W147" s="124"/>
      <c r="X147" s="124"/>
      <c r="Y147" s="124"/>
      <c r="Z147" s="124"/>
      <c r="AA147" s="124" t="e">
        <f t="shared" ca="1" si="3"/>
        <v>#NAME?</v>
      </c>
      <c r="AB147" s="126">
        <f t="array" aca="1" ref="AB147" ca="1">IFERROR(J147/_xludf.XLOOKUP(I147,Materials!$A$3:$A$292,Materials!$I$3:$I$292),0)
+IFERROR(L147/_xludf.XLOOKUP(K147,Materials!$A$3:$A$292,Materials!$I$3:$I$292),0)
+IFERROR(N147/_xludf.XLOOKUP(M147,Materials!$A$3:$A$292,Materials!$I$3:$I$292),0)
+IFERROR(P147/_xludf.XLOOKUP(O147,Materials!$A$3:$A$292,Materials!$I$3:$I$292),0)
+IFERROR(R147/_xludf.XLOOKUP(Q147,Materials!$A$3:$A$292,Materials!$I$3:$I$292),0)
+IFERROR(H147/_xludf.XLOOKUP(G147,Materials!$A$3:$A$292,Materials!$I$3:$I$292),0)</f>
        <v>0</v>
      </c>
      <c r="AC147" s="20"/>
      <c r="AD147" s="20"/>
      <c r="AE147" s="20"/>
      <c r="AF147" s="20"/>
      <c r="AG147" s="20"/>
      <c r="AH147" s="20"/>
      <c r="AI147" s="20"/>
      <c r="AJ147" s="20"/>
      <c r="AK147" s="20"/>
      <c r="AL147" s="20"/>
      <c r="AM147" s="20"/>
      <c r="AN147" s="20"/>
      <c r="AO147" s="20"/>
      <c r="AP147" s="20"/>
      <c r="AQ147" s="20"/>
      <c r="AR147" s="20"/>
      <c r="AS147" s="20"/>
      <c r="AT147" s="20"/>
      <c r="AU147" s="20"/>
      <c r="AV147" s="20"/>
    </row>
    <row r="148" spans="1:48" ht="17.25" hidden="1" customHeight="1">
      <c r="A148" s="15" t="s">
        <v>4847</v>
      </c>
      <c r="B148" s="124" t="s">
        <v>162</v>
      </c>
      <c r="C148" s="124" t="s">
        <v>5529</v>
      </c>
      <c r="D148" s="125" t="e">
        <f t="shared" ca="1" si="0"/>
        <v>#NAME?</v>
      </c>
      <c r="E148" s="126" t="str">
        <f t="shared" ca="1" si="1"/>
        <v>Not enough information entered</v>
      </c>
      <c r="F148" s="124" t="s">
        <v>6553</v>
      </c>
      <c r="G148" s="124" t="s">
        <v>5186</v>
      </c>
      <c r="H148" s="124">
        <v>0.18</v>
      </c>
      <c r="I148" s="124" t="s">
        <v>5196</v>
      </c>
      <c r="J148" s="124">
        <v>0.03</v>
      </c>
      <c r="K148" s="124"/>
      <c r="L148" s="124"/>
      <c r="M148" s="124"/>
      <c r="N148" s="124"/>
      <c r="O148" s="128"/>
      <c r="P148" s="124"/>
      <c r="Q148" s="128"/>
      <c r="R148" s="124"/>
      <c r="S148" s="124"/>
      <c r="T148" s="124"/>
      <c r="U148" s="124" t="s">
        <v>5523</v>
      </c>
      <c r="V148" s="127">
        <f t="shared" si="2"/>
        <v>0.21</v>
      </c>
      <c r="W148" s="124"/>
      <c r="X148" s="124"/>
      <c r="Y148" s="124"/>
      <c r="Z148" s="124"/>
      <c r="AA148" s="124" t="e">
        <f t="shared" ca="1" si="3"/>
        <v>#NAME?</v>
      </c>
      <c r="AB148" s="126">
        <f t="array" aca="1" ref="AB148" ca="1">IFERROR(J148/_xludf.XLOOKUP(I148,Materials!$A$3:$A$292,Materials!$I$3:$I$292),0)
+IFERROR(L148/_xludf.XLOOKUP(K148,Materials!$A$3:$A$292,Materials!$I$3:$I$292),0)
+IFERROR(N148/_xludf.XLOOKUP(M148,Materials!$A$3:$A$292,Materials!$I$3:$I$292),0)
+IFERROR(P148/_xludf.XLOOKUP(O148,Materials!$A$3:$A$292,Materials!$I$3:$I$292),0)
+IFERROR(R148/_xludf.XLOOKUP(Q148,Materials!$A$3:$A$292,Materials!$I$3:$I$292),0)
+IFERROR(H148/_xludf.XLOOKUP(G148,Materials!$A$3:$A$292,Materials!$I$3:$I$292),0)</f>
        <v>0</v>
      </c>
      <c r="AC148" s="20"/>
      <c r="AD148" s="20"/>
      <c r="AE148" s="20"/>
      <c r="AF148" s="20"/>
      <c r="AG148" s="20"/>
      <c r="AH148" s="20"/>
      <c r="AI148" s="20"/>
      <c r="AJ148" s="20"/>
      <c r="AK148" s="20"/>
      <c r="AL148" s="20"/>
      <c r="AM148" s="20"/>
      <c r="AN148" s="20"/>
      <c r="AO148" s="20"/>
      <c r="AP148" s="20"/>
      <c r="AQ148" s="20"/>
      <c r="AR148" s="20"/>
      <c r="AS148" s="20"/>
      <c r="AT148" s="20"/>
      <c r="AU148" s="20"/>
      <c r="AV148" s="20"/>
    </row>
    <row r="149" spans="1:48" ht="17.25" hidden="1" customHeight="1">
      <c r="A149" s="15" t="s">
        <v>4847</v>
      </c>
      <c r="B149" s="124" t="s">
        <v>159</v>
      </c>
      <c r="C149" s="124" t="s">
        <v>5530</v>
      </c>
      <c r="D149" s="125" t="e">
        <f t="shared" ca="1" si="0"/>
        <v>#NAME?</v>
      </c>
      <c r="E149" s="126" t="str">
        <f t="shared" ca="1" si="1"/>
        <v>Not enough information entered</v>
      </c>
      <c r="F149" s="124" t="s">
        <v>6658</v>
      </c>
      <c r="G149" s="124" t="s">
        <v>5186</v>
      </c>
      <c r="H149" s="124">
        <v>0.2</v>
      </c>
      <c r="I149" s="124" t="s">
        <v>5211</v>
      </c>
      <c r="J149" s="124">
        <v>0.05</v>
      </c>
      <c r="K149" s="124"/>
      <c r="L149" s="124"/>
      <c r="M149" s="124"/>
      <c r="N149" s="124"/>
      <c r="O149" s="128"/>
      <c r="P149" s="124"/>
      <c r="Q149" s="128"/>
      <c r="R149" s="124"/>
      <c r="S149" s="124"/>
      <c r="T149" s="124"/>
      <c r="U149" s="124" t="s">
        <v>5523</v>
      </c>
      <c r="V149" s="127">
        <f t="shared" si="2"/>
        <v>0.25</v>
      </c>
      <c r="W149" s="124"/>
      <c r="X149" s="124"/>
      <c r="Y149" s="124"/>
      <c r="Z149" s="124"/>
      <c r="AA149" s="124" t="e">
        <f t="shared" ca="1" si="3"/>
        <v>#NAME?</v>
      </c>
      <c r="AB149" s="126">
        <f t="array" aca="1" ref="AB149" ca="1">IFERROR(J149/_xludf.XLOOKUP(I149,Materials!$A$3:$A$292,Materials!$I$3:$I$292),0)
+IFERROR(L149/_xludf.XLOOKUP(K149,Materials!$A$3:$A$292,Materials!$I$3:$I$292),0)
+IFERROR(N149/_xludf.XLOOKUP(M149,Materials!$A$3:$A$292,Materials!$I$3:$I$292),0)
+IFERROR(P149/_xludf.XLOOKUP(O149,Materials!$A$3:$A$292,Materials!$I$3:$I$292),0)
+IFERROR(R149/_xludf.XLOOKUP(Q149,Materials!$A$3:$A$292,Materials!$I$3:$I$292),0)
+IFERROR(H149/_xludf.XLOOKUP(G149,Materials!$A$3:$A$292,Materials!$I$3:$I$292),0)</f>
        <v>0</v>
      </c>
      <c r="AC149" s="20"/>
      <c r="AD149" s="20"/>
      <c r="AE149" s="20"/>
      <c r="AF149" s="20"/>
      <c r="AG149" s="20"/>
      <c r="AH149" s="20"/>
      <c r="AI149" s="20"/>
      <c r="AJ149" s="20"/>
      <c r="AK149" s="20"/>
      <c r="AL149" s="20"/>
      <c r="AM149" s="20"/>
      <c r="AN149" s="20"/>
      <c r="AO149" s="20"/>
      <c r="AP149" s="20"/>
      <c r="AQ149" s="20"/>
      <c r="AR149" s="20"/>
      <c r="AS149" s="20"/>
      <c r="AT149" s="20"/>
      <c r="AU149" s="20"/>
      <c r="AV149" s="20"/>
    </row>
    <row r="150" spans="1:48" ht="17.25" hidden="1" customHeight="1">
      <c r="A150" s="15"/>
      <c r="B150" s="124"/>
      <c r="C150" s="124" t="s">
        <v>5532</v>
      </c>
      <c r="D150" s="125"/>
      <c r="E150" s="126"/>
      <c r="F150" s="124"/>
      <c r="G150" s="124"/>
      <c r="H150" s="124"/>
      <c r="I150" s="128"/>
      <c r="J150" s="124"/>
      <c r="K150" s="124"/>
      <c r="L150" s="124"/>
      <c r="M150" s="124"/>
      <c r="N150" s="124"/>
      <c r="O150" s="128"/>
      <c r="P150" s="124"/>
      <c r="Q150" s="128"/>
      <c r="R150" s="124"/>
      <c r="S150" s="124"/>
      <c r="T150" s="124"/>
      <c r="U150" s="124"/>
      <c r="V150" s="127"/>
      <c r="W150" s="124"/>
      <c r="X150" s="124"/>
      <c r="Y150" s="124"/>
      <c r="Z150" s="124"/>
      <c r="AA150" s="124"/>
      <c r="AB150" s="126"/>
      <c r="AC150" s="20"/>
      <c r="AD150" s="20"/>
      <c r="AE150" s="20"/>
      <c r="AF150" s="20"/>
      <c r="AG150" s="20"/>
      <c r="AH150" s="20"/>
      <c r="AI150" s="20"/>
      <c r="AJ150" s="20"/>
      <c r="AK150" s="20"/>
      <c r="AL150" s="20"/>
      <c r="AM150" s="20"/>
      <c r="AN150" s="20"/>
      <c r="AO150" s="20"/>
      <c r="AP150" s="20"/>
      <c r="AQ150" s="20"/>
      <c r="AR150" s="20"/>
      <c r="AS150" s="20"/>
      <c r="AT150" s="20"/>
      <c r="AU150" s="20"/>
      <c r="AV150" s="20"/>
    </row>
    <row r="151" spans="1:48" ht="17.25" hidden="1" customHeight="1">
      <c r="A151" s="15" t="s">
        <v>4847</v>
      </c>
      <c r="B151" s="124" t="s">
        <v>161</v>
      </c>
      <c r="C151" s="124" t="s">
        <v>5533</v>
      </c>
      <c r="D151" s="125" t="e">
        <f t="shared" ca="1" si="0"/>
        <v>#NAME?</v>
      </c>
      <c r="E151" s="126" t="str">
        <f t="shared" ca="1" si="1"/>
        <v>Not enough information entered</v>
      </c>
      <c r="F151" s="124" t="s">
        <v>6674</v>
      </c>
      <c r="G151" s="124" t="s">
        <v>5186</v>
      </c>
      <c r="H151" s="124">
        <v>0.18</v>
      </c>
      <c r="I151" s="124" t="s">
        <v>5207</v>
      </c>
      <c r="J151" s="124">
        <v>0.06</v>
      </c>
      <c r="K151" s="124" t="s">
        <v>5200</v>
      </c>
      <c r="L151" s="124">
        <v>1.2500000000000001E-2</v>
      </c>
      <c r="M151" s="124"/>
      <c r="N151" s="124"/>
      <c r="O151" s="124"/>
      <c r="P151" s="124"/>
      <c r="Q151" s="128"/>
      <c r="R151" s="124"/>
      <c r="S151" s="124"/>
      <c r="T151" s="124"/>
      <c r="U151" s="124" t="s">
        <v>5523</v>
      </c>
      <c r="V151" s="127">
        <f t="shared" si="2"/>
        <v>0.2525</v>
      </c>
      <c r="W151" s="124"/>
      <c r="X151" s="124"/>
      <c r="Y151" s="124"/>
      <c r="Z151" s="124"/>
      <c r="AA151" s="124" t="e">
        <f t="shared" ca="1" si="3"/>
        <v>#NAME?</v>
      </c>
      <c r="AB151" s="126">
        <f t="array" aca="1" ref="AB151" ca="1">IFERROR(J151/_xludf.XLOOKUP(I151,Materials!$A$3:$A$292,Materials!$I$3:$I$292),0)
+IFERROR(L151/_xludf.XLOOKUP(K151,Materials!$A$3:$A$292,Materials!$I$3:$I$292),0)
+IFERROR(N151/_xludf.XLOOKUP(M151,Materials!$A$3:$A$292,Materials!$I$3:$I$292),0)
+IFERROR(P151/_xludf.XLOOKUP(O151,Materials!$A$3:$A$292,Materials!$I$3:$I$292),0)
+IFERROR(R151/_xludf.XLOOKUP(Q151,Materials!$A$3:$A$292,Materials!$I$3:$I$292),0)
+IFERROR(H151/_xludf.XLOOKUP(G151,Materials!$A$3:$A$292,Materials!$I$3:$I$292),0)</f>
        <v>0</v>
      </c>
      <c r="AC151" s="20"/>
      <c r="AD151" s="20"/>
      <c r="AE151" s="20"/>
      <c r="AF151" s="20"/>
      <c r="AG151" s="20"/>
      <c r="AH151" s="20"/>
      <c r="AI151" s="20"/>
      <c r="AJ151" s="20"/>
      <c r="AK151" s="20"/>
      <c r="AL151" s="20"/>
      <c r="AM151" s="20"/>
      <c r="AN151" s="20"/>
      <c r="AO151" s="20"/>
      <c r="AP151" s="20"/>
      <c r="AQ151" s="20"/>
      <c r="AR151" s="20"/>
      <c r="AS151" s="20"/>
      <c r="AT151" s="20"/>
      <c r="AU151" s="20"/>
      <c r="AV151" s="20"/>
    </row>
    <row r="152" spans="1:48" ht="17.25" hidden="1" customHeight="1">
      <c r="A152" s="15" t="s">
        <v>5778</v>
      </c>
      <c r="B152" s="124" t="s">
        <v>157</v>
      </c>
      <c r="C152" s="124" t="s">
        <v>5522</v>
      </c>
      <c r="D152" s="125" t="e">
        <f t="shared" ca="1" si="0"/>
        <v>#NAME?</v>
      </c>
      <c r="E152" s="126" t="str">
        <f t="shared" ca="1" si="1"/>
        <v>Not enough information entered</v>
      </c>
      <c r="F152" s="124" t="s">
        <v>6404</v>
      </c>
      <c r="G152" s="124" t="s">
        <v>5186</v>
      </c>
      <c r="H152" s="126">
        <v>0.18</v>
      </c>
      <c r="I152" s="124" t="s">
        <v>5204</v>
      </c>
      <c r="J152" s="126">
        <v>0.02</v>
      </c>
      <c r="K152" s="124" t="s">
        <v>5200</v>
      </c>
      <c r="L152" s="126">
        <v>1.2E-2</v>
      </c>
      <c r="M152" s="124"/>
      <c r="N152" s="124"/>
      <c r="O152" s="124"/>
      <c r="P152" s="124"/>
      <c r="Q152" s="124"/>
      <c r="R152" s="124"/>
      <c r="S152" s="124"/>
      <c r="T152" s="124"/>
      <c r="U152" s="124" t="s">
        <v>5523</v>
      </c>
      <c r="V152" s="127">
        <f t="shared" si="2"/>
        <v>0.21199999999999999</v>
      </c>
      <c r="W152" s="126">
        <v>0</v>
      </c>
      <c r="X152" s="126">
        <v>0</v>
      </c>
      <c r="Y152" s="126">
        <v>10</v>
      </c>
      <c r="Z152" s="124"/>
      <c r="AA152" s="124" t="e">
        <f t="shared" ca="1" si="3"/>
        <v>#NAME?</v>
      </c>
      <c r="AB152" s="126">
        <f t="array" aca="1" ref="AB152" ca="1">IFERROR(J152/_xludf.XLOOKUP(I152,Materials!$A$3:$A$292,Materials!$I$3:$I$292),0)
+IFERROR(L152/_xludf.XLOOKUP(K152,Materials!$A$3:$A$292,Materials!$I$3:$I$292),0)
+IFERROR(N152/_xludf.XLOOKUP(M152,Materials!$A$3:$A$292,Materials!$I$3:$I$292),0)
+IFERROR(P152/_xludf.XLOOKUP(O152,Materials!$A$3:$A$292,Materials!$I$3:$I$292),0)
+IFERROR(R152/_xludf.XLOOKUP(Q152,Materials!$A$3:$A$292,Materials!$I$3:$I$292),0)
+IFERROR(H152/_xludf.XLOOKUP(G152,Materials!$A$3:$A$292,Materials!$I$3:$I$292),0)</f>
        <v>0</v>
      </c>
      <c r="AC152" s="20"/>
      <c r="AD152" s="20"/>
      <c r="AE152" s="20"/>
      <c r="AF152" s="20"/>
      <c r="AG152" s="20"/>
      <c r="AH152" s="20"/>
      <c r="AI152" s="20"/>
      <c r="AJ152" s="20"/>
      <c r="AK152" s="20"/>
      <c r="AL152" s="20"/>
      <c r="AM152" s="20"/>
      <c r="AN152" s="20"/>
      <c r="AO152" s="20"/>
      <c r="AP152" s="20"/>
      <c r="AQ152" s="20"/>
      <c r="AR152" s="20"/>
      <c r="AS152" s="20"/>
      <c r="AT152" s="20"/>
      <c r="AU152" s="20"/>
      <c r="AV152" s="20"/>
    </row>
    <row r="153" spans="1:48" ht="17.25" customHeight="1">
      <c r="A153" s="15" t="s">
        <v>5778</v>
      </c>
      <c r="B153" s="124" t="s">
        <v>154</v>
      </c>
      <c r="C153" s="124" t="s">
        <v>5524</v>
      </c>
      <c r="D153" s="125" t="e">
        <f t="shared" ca="1" si="0"/>
        <v>#NAME?</v>
      </c>
      <c r="E153" s="126" t="str">
        <f t="shared" ca="1" si="1"/>
        <v>Not enough information entered</v>
      </c>
      <c r="F153" s="124" t="s">
        <v>6250</v>
      </c>
      <c r="G153" s="124" t="s">
        <v>5186</v>
      </c>
      <c r="H153" s="126">
        <v>0.15</v>
      </c>
      <c r="I153" s="124" t="s">
        <v>5196</v>
      </c>
      <c r="J153" s="126">
        <v>0.03</v>
      </c>
      <c r="K153" s="124"/>
      <c r="L153" s="124"/>
      <c r="M153" s="124"/>
      <c r="N153" s="124"/>
      <c r="O153" s="124"/>
      <c r="P153" s="124"/>
      <c r="Q153" s="124"/>
      <c r="R153" s="124"/>
      <c r="S153" s="124"/>
      <c r="T153" s="124"/>
      <c r="U153" s="124" t="s">
        <v>5523</v>
      </c>
      <c r="V153" s="127">
        <f t="shared" si="2"/>
        <v>0.18</v>
      </c>
      <c r="W153" s="124"/>
      <c r="X153" s="124"/>
      <c r="Y153" s="124"/>
      <c r="Z153" s="124"/>
      <c r="AA153" s="124" t="e">
        <f t="shared" ca="1" si="3"/>
        <v>#NAME?</v>
      </c>
      <c r="AB153" s="126">
        <f t="array" aca="1" ref="AB153" ca="1">IFERROR(J153/_xludf.XLOOKUP(I153,Materials!$A$3:$A$292,Materials!$I$3:$I$292),0)
+IFERROR(L153/_xludf.XLOOKUP(K153,Materials!$A$3:$A$292,Materials!$I$3:$I$292),0)
+IFERROR(N153/_xludf.XLOOKUP(M153,Materials!$A$3:$A$292,Materials!$I$3:$I$292),0)
+IFERROR(P153/_xludf.XLOOKUP(O153,Materials!$A$3:$A$292,Materials!$I$3:$I$292),0)
+IFERROR(R153/_xludf.XLOOKUP(Q153,Materials!$A$3:$A$292,Materials!$I$3:$I$292),0)
+IFERROR(H153/_xludf.XLOOKUP(G153,Materials!$A$3:$A$292,Materials!$I$3:$I$292),0)</f>
        <v>0</v>
      </c>
      <c r="AC153" s="20"/>
      <c r="AD153" s="20"/>
      <c r="AE153" s="20"/>
      <c r="AF153" s="20"/>
      <c r="AG153" s="20"/>
      <c r="AH153" s="20"/>
      <c r="AI153" s="20"/>
      <c r="AJ153" s="20"/>
      <c r="AK153" s="20"/>
      <c r="AL153" s="20"/>
      <c r="AM153" s="20"/>
      <c r="AN153" s="20"/>
      <c r="AO153" s="20"/>
      <c r="AP153" s="20"/>
      <c r="AQ153" s="20"/>
      <c r="AR153" s="20"/>
      <c r="AS153" s="20"/>
      <c r="AT153" s="20"/>
      <c r="AU153" s="20"/>
      <c r="AV153" s="20"/>
    </row>
    <row r="154" spans="1:48" ht="17.25" hidden="1" customHeight="1">
      <c r="A154" s="15" t="s">
        <v>5778</v>
      </c>
      <c r="B154" s="124" t="s">
        <v>160</v>
      </c>
      <c r="C154" s="124" t="s">
        <v>5526</v>
      </c>
      <c r="D154" s="125" t="e">
        <f t="shared" ca="1" si="0"/>
        <v>#NAME?</v>
      </c>
      <c r="E154" s="126" t="str">
        <f t="shared" ca="1" si="1"/>
        <v>Not enough information entered</v>
      </c>
      <c r="F154" s="124" t="s">
        <v>6598</v>
      </c>
      <c r="G154" s="124" t="s">
        <v>5186</v>
      </c>
      <c r="H154" s="126">
        <v>0.18</v>
      </c>
      <c r="I154" s="124" t="s">
        <v>5196</v>
      </c>
      <c r="J154" s="126">
        <v>0.03</v>
      </c>
      <c r="K154" s="124"/>
      <c r="L154" s="124"/>
      <c r="M154" s="124"/>
      <c r="N154" s="124"/>
      <c r="O154" s="124"/>
      <c r="P154" s="124"/>
      <c r="Q154" s="128"/>
      <c r="R154" s="124"/>
      <c r="S154" s="124"/>
      <c r="T154" s="124"/>
      <c r="U154" s="124" t="s">
        <v>5523</v>
      </c>
      <c r="V154" s="127">
        <f t="shared" si="2"/>
        <v>0.21</v>
      </c>
      <c r="W154" s="126">
        <v>0</v>
      </c>
      <c r="X154" s="126">
        <v>0</v>
      </c>
      <c r="Y154" s="126">
        <v>10</v>
      </c>
      <c r="Z154" s="124"/>
      <c r="AA154" s="124" t="e">
        <f t="shared" ca="1" si="3"/>
        <v>#NAME?</v>
      </c>
      <c r="AB154" s="126">
        <f t="array" aca="1" ref="AB154" ca="1">IFERROR(J154/_xludf.XLOOKUP(I154,Materials!$A$3:$A$292,Materials!$I$3:$I$292),0)
+IFERROR(L154/_xludf.XLOOKUP(K154,Materials!$A$3:$A$292,Materials!$I$3:$I$292),0)
+IFERROR(N154/_xludf.XLOOKUP(M154,Materials!$A$3:$A$292,Materials!$I$3:$I$292),0)
+IFERROR(P154/_xludf.XLOOKUP(O154,Materials!$A$3:$A$292,Materials!$I$3:$I$292),0)
+IFERROR(R154/_xludf.XLOOKUP(Q154,Materials!$A$3:$A$292,Materials!$I$3:$I$292),0)
+IFERROR(H154/_xludf.XLOOKUP(G154,Materials!$A$3:$A$292,Materials!$I$3:$I$292),0)</f>
        <v>0</v>
      </c>
      <c r="AC154" s="20"/>
      <c r="AD154" s="20"/>
      <c r="AE154" s="20"/>
      <c r="AF154" s="20"/>
      <c r="AG154" s="20"/>
      <c r="AH154" s="20"/>
      <c r="AI154" s="20"/>
      <c r="AJ154" s="20"/>
      <c r="AK154" s="20"/>
      <c r="AL154" s="20"/>
      <c r="AM154" s="20"/>
      <c r="AN154" s="20"/>
      <c r="AO154" s="20"/>
      <c r="AP154" s="20"/>
      <c r="AQ154" s="20"/>
      <c r="AR154" s="20"/>
      <c r="AS154" s="20"/>
      <c r="AT154" s="20"/>
      <c r="AU154" s="20"/>
      <c r="AV154" s="20"/>
    </row>
    <row r="155" spans="1:48" ht="17.25" hidden="1" customHeight="1">
      <c r="A155" s="15" t="s">
        <v>5779</v>
      </c>
      <c r="B155" s="124" t="s">
        <v>157</v>
      </c>
      <c r="C155" s="124" t="s">
        <v>5522</v>
      </c>
      <c r="D155" s="125" t="e">
        <f t="shared" ca="1" si="0"/>
        <v>#NAME?</v>
      </c>
      <c r="E155" s="126" t="str">
        <f t="shared" ca="1" si="1"/>
        <v>Not enough information entered</v>
      </c>
      <c r="F155" s="124" t="s">
        <v>6405</v>
      </c>
      <c r="G155" s="124" t="s">
        <v>5211</v>
      </c>
      <c r="H155" s="126">
        <v>0.03</v>
      </c>
      <c r="I155" s="124" t="s">
        <v>5186</v>
      </c>
      <c r="J155" s="126">
        <v>0.18</v>
      </c>
      <c r="K155" s="124" t="s">
        <v>5204</v>
      </c>
      <c r="L155" s="126">
        <v>0.02</v>
      </c>
      <c r="M155" s="124" t="s">
        <v>5200</v>
      </c>
      <c r="N155" s="126">
        <v>1.2E-2</v>
      </c>
      <c r="O155" s="128"/>
      <c r="P155" s="124"/>
      <c r="Q155" s="128"/>
      <c r="R155" s="124"/>
      <c r="S155" s="124"/>
      <c r="T155" s="124"/>
      <c r="U155" s="124" t="s">
        <v>5523</v>
      </c>
      <c r="V155" s="127">
        <f t="shared" si="2"/>
        <v>0.24199999999999999</v>
      </c>
      <c r="W155" s="126">
        <v>0</v>
      </c>
      <c r="X155" s="126">
        <v>0</v>
      </c>
      <c r="Y155" s="126">
        <v>10</v>
      </c>
      <c r="Z155" s="124"/>
      <c r="AA155" s="124" t="e">
        <f t="shared" ca="1" si="3"/>
        <v>#NAME?</v>
      </c>
      <c r="AB155" s="126">
        <f t="array" aca="1" ref="AB155" ca="1">IFERROR(J155/_xludf.XLOOKUP(I155,Materials!$A$3:$A$292,Materials!$I$3:$I$292),0)
+IFERROR(L155/_xludf.XLOOKUP(K155,Materials!$A$3:$A$292,Materials!$I$3:$I$292),0)
+IFERROR(N155/_xludf.XLOOKUP(M155,Materials!$A$3:$A$292,Materials!$I$3:$I$292),0)
+IFERROR(P155/_xludf.XLOOKUP(O155,Materials!$A$3:$A$292,Materials!$I$3:$I$292),0)
+IFERROR(R155/_xludf.XLOOKUP(Q155,Materials!$A$3:$A$292,Materials!$I$3:$I$292),0)
+IFERROR(H155/_xludf.XLOOKUP(G155,Materials!$A$3:$A$292,Materials!$I$3:$I$292),0)</f>
        <v>0</v>
      </c>
      <c r="AC155" s="20"/>
      <c r="AD155" s="20"/>
      <c r="AE155" s="20"/>
      <c r="AF155" s="20"/>
      <c r="AG155" s="20"/>
      <c r="AH155" s="20"/>
      <c r="AI155" s="20"/>
      <c r="AJ155" s="20"/>
      <c r="AK155" s="20"/>
      <c r="AL155" s="20"/>
      <c r="AM155" s="20"/>
      <c r="AN155" s="20"/>
      <c r="AO155" s="20"/>
      <c r="AP155" s="20"/>
      <c r="AQ155" s="20"/>
      <c r="AR155" s="20"/>
      <c r="AS155" s="20"/>
      <c r="AT155" s="20"/>
      <c r="AU155" s="20"/>
      <c r="AV155" s="20"/>
    </row>
    <row r="156" spans="1:48" ht="17.25" customHeight="1">
      <c r="A156" s="15" t="s">
        <v>5779</v>
      </c>
      <c r="B156" s="124" t="s">
        <v>154</v>
      </c>
      <c r="C156" s="124" t="s">
        <v>5524</v>
      </c>
      <c r="D156" s="125" t="e">
        <f t="shared" ca="1" si="0"/>
        <v>#NAME?</v>
      </c>
      <c r="E156" s="126" t="str">
        <f t="shared" ca="1" si="1"/>
        <v>Not enough information entered</v>
      </c>
      <c r="F156" s="124" t="s">
        <v>6251</v>
      </c>
      <c r="G156" s="124" t="s">
        <v>5211</v>
      </c>
      <c r="H156" s="126">
        <v>5.8000000000000003E-2</v>
      </c>
      <c r="I156" s="124" t="s">
        <v>5186</v>
      </c>
      <c r="J156" s="126">
        <v>0.15</v>
      </c>
      <c r="K156" s="124" t="s">
        <v>5196</v>
      </c>
      <c r="L156" s="124">
        <v>0.03</v>
      </c>
      <c r="M156" s="124"/>
      <c r="N156" s="124"/>
      <c r="O156" s="124"/>
      <c r="P156" s="124"/>
      <c r="Q156" s="128"/>
      <c r="R156" s="124"/>
      <c r="S156" s="124"/>
      <c r="T156" s="124"/>
      <c r="U156" s="124" t="s">
        <v>5523</v>
      </c>
      <c r="V156" s="127">
        <f t="shared" si="2"/>
        <v>0.23799999999999999</v>
      </c>
      <c r="W156" s="124"/>
      <c r="X156" s="124"/>
      <c r="Y156" s="124"/>
      <c r="Z156" s="124"/>
      <c r="AA156" s="124" t="e">
        <f t="shared" ca="1" si="3"/>
        <v>#NAME?</v>
      </c>
      <c r="AB156" s="126">
        <f t="array" aca="1" ref="AB156" ca="1">IFERROR(J156/_xludf.XLOOKUP(I156,Materials!$A$3:$A$292,Materials!$I$3:$I$292),0)
+IFERROR(L156/_xludf.XLOOKUP(K156,Materials!$A$3:$A$292,Materials!$I$3:$I$292),0)
+IFERROR(N156/_xludf.XLOOKUP(M156,Materials!$A$3:$A$292,Materials!$I$3:$I$292),0)
+IFERROR(P156/_xludf.XLOOKUP(O156,Materials!$A$3:$A$292,Materials!$I$3:$I$292),0)
+IFERROR(R156/_xludf.XLOOKUP(Q156,Materials!$A$3:$A$292,Materials!$I$3:$I$292),0)
+IFERROR(H156/_xludf.XLOOKUP(G156,Materials!$A$3:$A$292,Materials!$I$3:$I$292),0)</f>
        <v>0</v>
      </c>
      <c r="AC156" s="20"/>
      <c r="AD156" s="20"/>
      <c r="AE156" s="20"/>
      <c r="AF156" s="20"/>
      <c r="AG156" s="20"/>
      <c r="AH156" s="20"/>
      <c r="AI156" s="20"/>
      <c r="AJ156" s="20"/>
      <c r="AK156" s="20"/>
      <c r="AL156" s="20"/>
      <c r="AM156" s="20"/>
      <c r="AN156" s="20"/>
      <c r="AO156" s="20"/>
      <c r="AP156" s="20"/>
      <c r="AQ156" s="20"/>
      <c r="AR156" s="20"/>
      <c r="AS156" s="20"/>
      <c r="AT156" s="20"/>
      <c r="AU156" s="20"/>
      <c r="AV156" s="20"/>
    </row>
    <row r="157" spans="1:48" ht="17.25" hidden="1" customHeight="1">
      <c r="A157" s="15" t="s">
        <v>5779</v>
      </c>
      <c r="B157" s="124" t="s">
        <v>160</v>
      </c>
      <c r="C157" s="124" t="s">
        <v>5526</v>
      </c>
      <c r="D157" s="125" t="e">
        <f t="shared" ca="1" si="0"/>
        <v>#NAME?</v>
      </c>
      <c r="E157" s="126" t="str">
        <f t="shared" ca="1" si="1"/>
        <v>Not enough information entered</v>
      </c>
      <c r="F157" s="124" t="s">
        <v>6599</v>
      </c>
      <c r="G157" s="124" t="s">
        <v>5211</v>
      </c>
      <c r="H157" s="126">
        <v>4.7E-2</v>
      </c>
      <c r="I157" s="124" t="s">
        <v>5186</v>
      </c>
      <c r="J157" s="126">
        <v>0.18</v>
      </c>
      <c r="K157" s="124" t="s">
        <v>5196</v>
      </c>
      <c r="L157" s="124">
        <v>0.03</v>
      </c>
      <c r="M157" s="128"/>
      <c r="N157" s="124"/>
      <c r="O157" s="128"/>
      <c r="P157" s="124"/>
      <c r="Q157" s="128"/>
      <c r="R157" s="124"/>
      <c r="S157" s="124"/>
      <c r="T157" s="124"/>
      <c r="U157" s="124" t="s">
        <v>5523</v>
      </c>
      <c r="V157" s="127">
        <f t="shared" si="2"/>
        <v>0.25700000000000001</v>
      </c>
      <c r="W157" s="126">
        <v>0</v>
      </c>
      <c r="X157" s="126">
        <v>0</v>
      </c>
      <c r="Y157" s="126">
        <v>10</v>
      </c>
      <c r="Z157" s="124"/>
      <c r="AA157" s="124" t="e">
        <f t="shared" ca="1" si="3"/>
        <v>#NAME?</v>
      </c>
      <c r="AB157" s="126">
        <f t="array" aca="1" ref="AB157" ca="1">IFERROR(J157/_xludf.XLOOKUP(I157,Materials!$A$3:$A$292,Materials!$I$3:$I$292),0)
+IFERROR(L157/_xludf.XLOOKUP(K157,Materials!$A$3:$A$292,Materials!$I$3:$I$292),0)
+IFERROR(N157/_xludf.XLOOKUP(M157,Materials!$A$3:$A$292,Materials!$I$3:$I$292),0)
+IFERROR(P157/_xludf.XLOOKUP(O157,Materials!$A$3:$A$292,Materials!$I$3:$I$292),0)
+IFERROR(R157/_xludf.XLOOKUP(Q157,Materials!$A$3:$A$292,Materials!$I$3:$I$292),0)
+IFERROR(H157/_xludf.XLOOKUP(G157,Materials!$A$3:$A$292,Materials!$I$3:$I$292),0)</f>
        <v>0</v>
      </c>
      <c r="AC157" s="20"/>
      <c r="AD157" s="20"/>
      <c r="AE157" s="20"/>
      <c r="AF157" s="20"/>
      <c r="AG157" s="20"/>
      <c r="AH157" s="20"/>
      <c r="AI157" s="20"/>
      <c r="AJ157" s="20"/>
      <c r="AK157" s="20"/>
      <c r="AL157" s="20"/>
      <c r="AM157" s="20"/>
      <c r="AN157" s="20"/>
      <c r="AO157" s="20"/>
      <c r="AP157" s="20"/>
      <c r="AQ157" s="20"/>
      <c r="AR157" s="20"/>
      <c r="AS157" s="20"/>
      <c r="AT157" s="20"/>
      <c r="AU157" s="20"/>
      <c r="AV157" s="20"/>
    </row>
    <row r="158" spans="1:48" ht="17.25" hidden="1" customHeight="1">
      <c r="A158" s="15" t="s">
        <v>5780</v>
      </c>
      <c r="B158" s="124" t="s">
        <v>157</v>
      </c>
      <c r="C158" s="124" t="s">
        <v>5522</v>
      </c>
      <c r="D158" s="125" t="e">
        <f t="shared" ca="1" si="0"/>
        <v>#NAME?</v>
      </c>
      <c r="E158" s="126" t="str">
        <f t="shared" ca="1" si="1"/>
        <v>Not enough information entered</v>
      </c>
      <c r="F158" s="124" t="s">
        <v>6406</v>
      </c>
      <c r="G158" s="124" t="s">
        <v>5211</v>
      </c>
      <c r="H158" s="126">
        <v>0.04</v>
      </c>
      <c r="I158" s="124" t="s">
        <v>5186</v>
      </c>
      <c r="J158" s="126">
        <v>0.18</v>
      </c>
      <c r="K158" s="124" t="s">
        <v>5204</v>
      </c>
      <c r="L158" s="126">
        <v>0.02</v>
      </c>
      <c r="M158" s="124" t="s">
        <v>5200</v>
      </c>
      <c r="N158" s="126">
        <v>1.2E-2</v>
      </c>
      <c r="O158" s="128"/>
      <c r="P158" s="124"/>
      <c r="Q158" s="128"/>
      <c r="R158" s="124"/>
      <c r="S158" s="124"/>
      <c r="T158" s="124"/>
      <c r="U158" s="124" t="s">
        <v>5523</v>
      </c>
      <c r="V158" s="127">
        <f t="shared" si="2"/>
        <v>0.252</v>
      </c>
      <c r="W158" s="126">
        <v>0</v>
      </c>
      <c r="X158" s="126">
        <v>0</v>
      </c>
      <c r="Y158" s="126">
        <v>10</v>
      </c>
      <c r="Z158" s="124"/>
      <c r="AA158" s="124" t="e">
        <f t="shared" ca="1" si="3"/>
        <v>#NAME?</v>
      </c>
      <c r="AB158" s="126">
        <f t="array" aca="1" ref="AB158" ca="1">IFERROR(J158/_xludf.XLOOKUP(I158,Materials!$A$3:$A$292,Materials!$I$3:$I$292),0)
+IFERROR(L158/_xludf.XLOOKUP(K158,Materials!$A$3:$A$292,Materials!$I$3:$I$292),0)
+IFERROR(N158/_xludf.XLOOKUP(M158,Materials!$A$3:$A$292,Materials!$I$3:$I$292),0)
+IFERROR(P158/_xludf.XLOOKUP(O158,Materials!$A$3:$A$292,Materials!$I$3:$I$292),0)
+IFERROR(R158/_xludf.XLOOKUP(Q158,Materials!$A$3:$A$292,Materials!$I$3:$I$292),0)
+IFERROR(H158/_xludf.XLOOKUP(G158,Materials!$A$3:$A$292,Materials!$I$3:$I$292),0)</f>
        <v>0</v>
      </c>
      <c r="AC158" s="20"/>
      <c r="AD158" s="20"/>
      <c r="AE158" s="20"/>
      <c r="AF158" s="20"/>
      <c r="AG158" s="20"/>
      <c r="AH158" s="20"/>
      <c r="AI158" s="20"/>
      <c r="AJ158" s="20"/>
      <c r="AK158" s="20"/>
      <c r="AL158" s="20"/>
      <c r="AM158" s="20"/>
      <c r="AN158" s="20"/>
      <c r="AO158" s="20"/>
      <c r="AP158" s="20"/>
      <c r="AQ158" s="20"/>
      <c r="AR158" s="20"/>
      <c r="AS158" s="20"/>
      <c r="AT158" s="20"/>
      <c r="AU158" s="20"/>
      <c r="AV158" s="20"/>
    </row>
    <row r="159" spans="1:48" ht="17.25" customHeight="1">
      <c r="A159" s="15" t="s">
        <v>5780</v>
      </c>
      <c r="B159" s="124" t="s">
        <v>154</v>
      </c>
      <c r="C159" s="124" t="s">
        <v>5524</v>
      </c>
      <c r="D159" s="125" t="e">
        <f t="shared" ca="1" si="0"/>
        <v>#NAME?</v>
      </c>
      <c r="E159" s="126" t="str">
        <f t="shared" ca="1" si="1"/>
        <v>Not enough information entered</v>
      </c>
      <c r="F159" s="124" t="s">
        <v>6252</v>
      </c>
      <c r="G159" s="124" t="s">
        <v>5211</v>
      </c>
      <c r="H159" s="126">
        <v>5.8999999999999997E-2</v>
      </c>
      <c r="I159" s="124" t="s">
        <v>5186</v>
      </c>
      <c r="J159" s="126">
        <v>0.15</v>
      </c>
      <c r="K159" s="124" t="s">
        <v>5196</v>
      </c>
      <c r="L159" s="124">
        <v>0.03</v>
      </c>
      <c r="M159" s="124"/>
      <c r="N159" s="124"/>
      <c r="O159" s="124"/>
      <c r="P159" s="124"/>
      <c r="Q159" s="124"/>
      <c r="R159" s="124"/>
      <c r="S159" s="124"/>
      <c r="T159" s="124"/>
      <c r="U159" s="124" t="s">
        <v>5523</v>
      </c>
      <c r="V159" s="127">
        <f t="shared" si="2"/>
        <v>0.23899999999999999</v>
      </c>
      <c r="W159" s="124"/>
      <c r="X159" s="124"/>
      <c r="Y159" s="124"/>
      <c r="Z159" s="124"/>
      <c r="AA159" s="124" t="e">
        <f t="shared" ca="1" si="3"/>
        <v>#NAME?</v>
      </c>
      <c r="AB159" s="126">
        <f t="array" aca="1" ref="AB159" ca="1">IFERROR(J159/_xludf.XLOOKUP(I159,Materials!$A$3:$A$292,Materials!$I$3:$I$292),0)
+IFERROR(L159/_xludf.XLOOKUP(K159,Materials!$A$3:$A$292,Materials!$I$3:$I$292),0)
+IFERROR(N159/_xludf.XLOOKUP(M159,Materials!$A$3:$A$292,Materials!$I$3:$I$292),0)
+IFERROR(P159/_xludf.XLOOKUP(O159,Materials!$A$3:$A$292,Materials!$I$3:$I$292),0)
+IFERROR(R159/_xludf.XLOOKUP(Q159,Materials!$A$3:$A$292,Materials!$I$3:$I$292),0)
+IFERROR(H159/_xludf.XLOOKUP(G159,Materials!$A$3:$A$292,Materials!$I$3:$I$292),0)</f>
        <v>0</v>
      </c>
      <c r="AC159" s="20"/>
      <c r="AD159" s="20"/>
      <c r="AE159" s="20"/>
      <c r="AF159" s="20"/>
      <c r="AG159" s="20"/>
      <c r="AH159" s="20"/>
      <c r="AI159" s="20"/>
      <c r="AJ159" s="20"/>
      <c r="AK159" s="20"/>
      <c r="AL159" s="20"/>
      <c r="AM159" s="20"/>
      <c r="AN159" s="20"/>
      <c r="AO159" s="20"/>
      <c r="AP159" s="20"/>
      <c r="AQ159" s="20"/>
      <c r="AR159" s="20"/>
      <c r="AS159" s="20"/>
      <c r="AT159" s="20"/>
      <c r="AU159" s="20"/>
      <c r="AV159" s="20"/>
    </row>
    <row r="160" spans="1:48" ht="17.25" hidden="1" customHeight="1">
      <c r="A160" s="15" t="s">
        <v>5780</v>
      </c>
      <c r="B160" s="124" t="s">
        <v>160</v>
      </c>
      <c r="C160" s="124" t="s">
        <v>5526</v>
      </c>
      <c r="D160" s="125" t="e">
        <f t="shared" ca="1" si="0"/>
        <v>#NAME?</v>
      </c>
      <c r="E160" s="126" t="str">
        <f t="shared" ca="1" si="1"/>
        <v>Not enough information entered</v>
      </c>
      <c r="F160" s="124" t="s">
        <v>6600</v>
      </c>
      <c r="G160" s="124" t="s">
        <v>5211</v>
      </c>
      <c r="H160" s="126">
        <v>5.8000000000000003E-2</v>
      </c>
      <c r="I160" s="124" t="s">
        <v>5186</v>
      </c>
      <c r="J160" s="126">
        <v>0.18</v>
      </c>
      <c r="K160" s="124" t="s">
        <v>5196</v>
      </c>
      <c r="L160" s="124">
        <v>0.03</v>
      </c>
      <c r="M160" s="124"/>
      <c r="N160" s="124"/>
      <c r="O160" s="124"/>
      <c r="P160" s="124"/>
      <c r="Q160" s="124"/>
      <c r="R160" s="124"/>
      <c r="S160" s="124"/>
      <c r="T160" s="124"/>
      <c r="U160" s="124" t="s">
        <v>5523</v>
      </c>
      <c r="V160" s="127">
        <f t="shared" si="2"/>
        <v>0.26800000000000002</v>
      </c>
      <c r="W160" s="126">
        <v>0</v>
      </c>
      <c r="X160" s="126">
        <v>0</v>
      </c>
      <c r="Y160" s="126">
        <v>10</v>
      </c>
      <c r="Z160" s="124"/>
      <c r="AA160" s="124" t="e">
        <f t="shared" ca="1" si="3"/>
        <v>#NAME?</v>
      </c>
      <c r="AB160" s="126">
        <f t="array" aca="1" ref="AB160" ca="1">IFERROR(J160/_xludf.XLOOKUP(I160,Materials!$A$3:$A$292,Materials!$I$3:$I$292),0)
+IFERROR(L160/_xludf.XLOOKUP(K160,Materials!$A$3:$A$292,Materials!$I$3:$I$292),0)
+IFERROR(N160/_xludf.XLOOKUP(M160,Materials!$A$3:$A$292,Materials!$I$3:$I$292),0)
+IFERROR(P160/_xludf.XLOOKUP(O160,Materials!$A$3:$A$292,Materials!$I$3:$I$292),0)
+IFERROR(R160/_xludf.XLOOKUP(Q160,Materials!$A$3:$A$292,Materials!$I$3:$I$292),0)
+IFERROR(H160/_xludf.XLOOKUP(G160,Materials!$A$3:$A$292,Materials!$I$3:$I$292),0)</f>
        <v>0</v>
      </c>
      <c r="AC160" s="20"/>
      <c r="AD160" s="20"/>
      <c r="AE160" s="20"/>
      <c r="AF160" s="20"/>
      <c r="AG160" s="20"/>
      <c r="AH160" s="20"/>
      <c r="AI160" s="20"/>
      <c r="AJ160" s="20"/>
      <c r="AK160" s="20"/>
      <c r="AL160" s="20"/>
      <c r="AM160" s="20"/>
      <c r="AN160" s="20"/>
      <c r="AO160" s="20"/>
      <c r="AP160" s="20"/>
      <c r="AQ160" s="20"/>
      <c r="AR160" s="20"/>
      <c r="AS160" s="20"/>
      <c r="AT160" s="20"/>
      <c r="AU160" s="20"/>
      <c r="AV160" s="20"/>
    </row>
    <row r="161" spans="1:48" ht="17.25" hidden="1" customHeight="1">
      <c r="A161" s="15" t="s">
        <v>5781</v>
      </c>
      <c r="B161" s="124" t="s">
        <v>157</v>
      </c>
      <c r="C161" s="124" t="s">
        <v>5522</v>
      </c>
      <c r="D161" s="125" t="e">
        <f t="shared" ca="1" si="0"/>
        <v>#NAME?</v>
      </c>
      <c r="E161" s="126" t="str">
        <f t="shared" ca="1" si="1"/>
        <v>Not enough information entered</v>
      </c>
      <c r="F161" s="124" t="s">
        <v>6407</v>
      </c>
      <c r="G161" s="124" t="s">
        <v>5211</v>
      </c>
      <c r="H161" s="126">
        <v>0.06</v>
      </c>
      <c r="I161" s="124" t="s">
        <v>5186</v>
      </c>
      <c r="J161" s="126">
        <v>0.18</v>
      </c>
      <c r="K161" s="124" t="s">
        <v>5204</v>
      </c>
      <c r="L161" s="126">
        <v>0.02</v>
      </c>
      <c r="M161" s="124" t="s">
        <v>5200</v>
      </c>
      <c r="N161" s="126">
        <v>1.2E-2</v>
      </c>
      <c r="O161" s="124"/>
      <c r="P161" s="124"/>
      <c r="Q161" s="124"/>
      <c r="R161" s="124"/>
      <c r="S161" s="124"/>
      <c r="T161" s="124"/>
      <c r="U161" s="124" t="s">
        <v>5523</v>
      </c>
      <c r="V161" s="127">
        <f t="shared" si="2"/>
        <v>0.27200000000000002</v>
      </c>
      <c r="W161" s="126">
        <v>0</v>
      </c>
      <c r="X161" s="126">
        <v>0</v>
      </c>
      <c r="Y161" s="126">
        <v>10</v>
      </c>
      <c r="Z161" s="124"/>
      <c r="AA161" s="124" t="e">
        <f t="shared" ca="1" si="3"/>
        <v>#NAME?</v>
      </c>
      <c r="AB161" s="126">
        <f t="array" aca="1" ref="AB161" ca="1">IFERROR(J161/_xludf.XLOOKUP(I161,Materials!$A$3:$A$292,Materials!$I$3:$I$292),0)
+IFERROR(L161/_xludf.XLOOKUP(K161,Materials!$A$3:$A$292,Materials!$I$3:$I$292),0)
+IFERROR(N161/_xludf.XLOOKUP(M161,Materials!$A$3:$A$292,Materials!$I$3:$I$292),0)
+IFERROR(P161/_xludf.XLOOKUP(O161,Materials!$A$3:$A$292,Materials!$I$3:$I$292),0)
+IFERROR(R161/_xludf.XLOOKUP(Q161,Materials!$A$3:$A$292,Materials!$I$3:$I$292),0)
+IFERROR(H161/_xludf.XLOOKUP(G161,Materials!$A$3:$A$292,Materials!$I$3:$I$292),0)</f>
        <v>0</v>
      </c>
      <c r="AC161" s="20"/>
      <c r="AD161" s="20"/>
      <c r="AE161" s="20"/>
      <c r="AF161" s="20"/>
      <c r="AG161" s="20"/>
      <c r="AH161" s="20"/>
      <c r="AI161" s="20"/>
      <c r="AJ161" s="20"/>
      <c r="AK161" s="20"/>
      <c r="AL161" s="20"/>
      <c r="AM161" s="20"/>
      <c r="AN161" s="20"/>
      <c r="AO161" s="20"/>
      <c r="AP161" s="20"/>
      <c r="AQ161" s="20"/>
      <c r="AR161" s="20"/>
      <c r="AS161" s="20"/>
      <c r="AT161" s="20"/>
      <c r="AU161" s="20"/>
      <c r="AV161" s="20"/>
    </row>
    <row r="162" spans="1:48" ht="17.25" customHeight="1">
      <c r="A162" s="15" t="s">
        <v>5781</v>
      </c>
      <c r="B162" s="124" t="s">
        <v>154</v>
      </c>
      <c r="C162" s="124" t="s">
        <v>5524</v>
      </c>
      <c r="D162" s="125" t="e">
        <f t="shared" ca="1" si="0"/>
        <v>#NAME?</v>
      </c>
      <c r="E162" s="126" t="str">
        <f t="shared" ca="1" si="1"/>
        <v>Not enough information entered</v>
      </c>
      <c r="F162" s="124" t="s">
        <v>6253</v>
      </c>
      <c r="G162" s="124" t="s">
        <v>5211</v>
      </c>
      <c r="H162" s="126">
        <v>7.8E-2</v>
      </c>
      <c r="I162" s="124" t="s">
        <v>5186</v>
      </c>
      <c r="J162" s="126">
        <v>0.15</v>
      </c>
      <c r="K162" s="124" t="s">
        <v>5196</v>
      </c>
      <c r="L162" s="124">
        <v>0.03</v>
      </c>
      <c r="M162" s="124"/>
      <c r="N162" s="124"/>
      <c r="O162" s="124"/>
      <c r="P162" s="124"/>
      <c r="Q162" s="124"/>
      <c r="R162" s="124"/>
      <c r="S162" s="124"/>
      <c r="T162" s="124"/>
      <c r="U162" s="124" t="s">
        <v>5523</v>
      </c>
      <c r="V162" s="127">
        <f t="shared" si="2"/>
        <v>0.25800000000000001</v>
      </c>
      <c r="W162" s="124"/>
      <c r="X162" s="124"/>
      <c r="Y162" s="124"/>
      <c r="Z162" s="124"/>
      <c r="AA162" s="124" t="e">
        <f t="shared" ca="1" si="3"/>
        <v>#NAME?</v>
      </c>
      <c r="AB162" s="126">
        <f t="array" aca="1" ref="AB162" ca="1">IFERROR(J162/_xludf.XLOOKUP(I162,Materials!$A$3:$A$292,Materials!$I$3:$I$292),0)
+IFERROR(L162/_xludf.XLOOKUP(K162,Materials!$A$3:$A$292,Materials!$I$3:$I$292),0)
+IFERROR(N162/_xludf.XLOOKUP(M162,Materials!$A$3:$A$292,Materials!$I$3:$I$292),0)
+IFERROR(P162/_xludf.XLOOKUP(O162,Materials!$A$3:$A$292,Materials!$I$3:$I$292),0)
+IFERROR(R162/_xludf.XLOOKUP(Q162,Materials!$A$3:$A$292,Materials!$I$3:$I$292),0)
+IFERROR(H162/_xludf.XLOOKUP(G162,Materials!$A$3:$A$292,Materials!$I$3:$I$292),0)</f>
        <v>0</v>
      </c>
      <c r="AC162" s="20"/>
      <c r="AD162" s="20"/>
      <c r="AE162" s="20"/>
      <c r="AF162" s="20"/>
      <c r="AG162" s="20"/>
      <c r="AH162" s="20"/>
      <c r="AI162" s="20"/>
      <c r="AJ162" s="20"/>
      <c r="AK162" s="20"/>
      <c r="AL162" s="20"/>
      <c r="AM162" s="20"/>
      <c r="AN162" s="20"/>
      <c r="AO162" s="20"/>
      <c r="AP162" s="20"/>
      <c r="AQ162" s="20"/>
      <c r="AR162" s="20"/>
      <c r="AS162" s="20"/>
      <c r="AT162" s="20"/>
      <c r="AU162" s="20"/>
      <c r="AV162" s="20"/>
    </row>
    <row r="163" spans="1:48" ht="17.25" hidden="1" customHeight="1">
      <c r="A163" s="15" t="s">
        <v>5781</v>
      </c>
      <c r="B163" s="124" t="s">
        <v>160</v>
      </c>
      <c r="C163" s="124" t="s">
        <v>5526</v>
      </c>
      <c r="D163" s="125" t="e">
        <f t="shared" ca="1" si="0"/>
        <v>#NAME?</v>
      </c>
      <c r="E163" s="126" t="str">
        <f t="shared" ca="1" si="1"/>
        <v>Not enough information entered</v>
      </c>
      <c r="F163" s="124" t="s">
        <v>6601</v>
      </c>
      <c r="G163" s="124" t="s">
        <v>5211</v>
      </c>
      <c r="H163" s="126">
        <v>7.6999999999999999E-2</v>
      </c>
      <c r="I163" s="124" t="s">
        <v>5186</v>
      </c>
      <c r="J163" s="126">
        <v>0.18</v>
      </c>
      <c r="K163" s="124" t="s">
        <v>5196</v>
      </c>
      <c r="L163" s="124">
        <v>0.03</v>
      </c>
      <c r="M163" s="124"/>
      <c r="N163" s="124"/>
      <c r="O163" s="124"/>
      <c r="P163" s="124"/>
      <c r="Q163" s="124"/>
      <c r="R163" s="124"/>
      <c r="S163" s="124"/>
      <c r="T163" s="124"/>
      <c r="U163" s="124" t="s">
        <v>5523</v>
      </c>
      <c r="V163" s="127">
        <f t="shared" si="2"/>
        <v>0.28700000000000003</v>
      </c>
      <c r="W163" s="126">
        <v>0</v>
      </c>
      <c r="X163" s="126">
        <v>0</v>
      </c>
      <c r="Y163" s="126">
        <v>10</v>
      </c>
      <c r="Z163" s="124"/>
      <c r="AA163" s="124" t="e">
        <f t="shared" ca="1" si="3"/>
        <v>#NAME?</v>
      </c>
      <c r="AB163" s="126">
        <f t="array" aca="1" ref="AB163" ca="1">IFERROR(J163/_xludf.XLOOKUP(I163,Materials!$A$3:$A$292,Materials!$I$3:$I$292),0)
+IFERROR(L163/_xludf.XLOOKUP(K163,Materials!$A$3:$A$292,Materials!$I$3:$I$292),0)
+IFERROR(N163/_xludf.XLOOKUP(M163,Materials!$A$3:$A$292,Materials!$I$3:$I$292),0)
+IFERROR(P163/_xludf.XLOOKUP(O163,Materials!$A$3:$A$292,Materials!$I$3:$I$292),0)
+IFERROR(R163/_xludf.XLOOKUP(Q163,Materials!$A$3:$A$292,Materials!$I$3:$I$292),0)
+IFERROR(H163/_xludf.XLOOKUP(G163,Materials!$A$3:$A$292,Materials!$I$3:$I$292),0)</f>
        <v>0</v>
      </c>
      <c r="AC163" s="20"/>
      <c r="AD163" s="20"/>
      <c r="AE163" s="20"/>
      <c r="AF163" s="20"/>
      <c r="AG163" s="20"/>
      <c r="AH163" s="20"/>
      <c r="AI163" s="20"/>
      <c r="AJ163" s="20"/>
      <c r="AK163" s="20"/>
      <c r="AL163" s="20"/>
      <c r="AM163" s="20"/>
      <c r="AN163" s="20"/>
      <c r="AO163" s="20"/>
      <c r="AP163" s="20"/>
      <c r="AQ163" s="20"/>
      <c r="AR163" s="20"/>
      <c r="AS163" s="20"/>
      <c r="AT163" s="20"/>
      <c r="AU163" s="20"/>
      <c r="AV163" s="20"/>
    </row>
    <row r="164" spans="1:48" ht="17.25" hidden="1" customHeight="1">
      <c r="A164" s="15" t="s">
        <v>5782</v>
      </c>
      <c r="B164" s="124" t="s">
        <v>157</v>
      </c>
      <c r="C164" s="124" t="s">
        <v>5522</v>
      </c>
      <c r="D164" s="125" t="e">
        <f t="shared" ca="1" si="0"/>
        <v>#NAME?</v>
      </c>
      <c r="E164" s="126" t="str">
        <f t="shared" ca="1" si="1"/>
        <v>Not enough information entered</v>
      </c>
      <c r="F164" s="124" t="s">
        <v>6408</v>
      </c>
      <c r="G164" s="124" t="s">
        <v>5211</v>
      </c>
      <c r="H164" s="126">
        <v>6.9000000000000006E-2</v>
      </c>
      <c r="I164" s="124" t="s">
        <v>5186</v>
      </c>
      <c r="J164" s="126">
        <v>0.18</v>
      </c>
      <c r="K164" s="124" t="s">
        <v>5204</v>
      </c>
      <c r="L164" s="126">
        <v>0.02</v>
      </c>
      <c r="M164" s="124" t="s">
        <v>5200</v>
      </c>
      <c r="N164" s="126">
        <v>1.2E-2</v>
      </c>
      <c r="O164" s="124"/>
      <c r="P164" s="124"/>
      <c r="Q164" s="124"/>
      <c r="R164" s="124"/>
      <c r="S164" s="124"/>
      <c r="T164" s="124"/>
      <c r="U164" s="124" t="s">
        <v>5523</v>
      </c>
      <c r="V164" s="127">
        <f t="shared" si="2"/>
        <v>0.28100000000000003</v>
      </c>
      <c r="W164" s="126">
        <v>0</v>
      </c>
      <c r="X164" s="126">
        <v>0</v>
      </c>
      <c r="Y164" s="126">
        <v>10</v>
      </c>
      <c r="Z164" s="124"/>
      <c r="AA164" s="124" t="e">
        <f t="shared" ca="1" si="3"/>
        <v>#NAME?</v>
      </c>
      <c r="AB164" s="126">
        <f t="array" aca="1" ref="AB164" ca="1">IFERROR(J164/_xludf.XLOOKUP(I164,Materials!$A$3:$A$292,Materials!$I$3:$I$292),0)
+IFERROR(L164/_xludf.XLOOKUP(K164,Materials!$A$3:$A$292,Materials!$I$3:$I$292),0)
+IFERROR(N164/_xludf.XLOOKUP(M164,Materials!$A$3:$A$292,Materials!$I$3:$I$292),0)
+IFERROR(P164/_xludf.XLOOKUP(O164,Materials!$A$3:$A$292,Materials!$I$3:$I$292),0)
+IFERROR(R164/_xludf.XLOOKUP(Q164,Materials!$A$3:$A$292,Materials!$I$3:$I$292),0)
+IFERROR(H164/_xludf.XLOOKUP(G164,Materials!$A$3:$A$292,Materials!$I$3:$I$292),0)</f>
        <v>0</v>
      </c>
      <c r="AC164" s="20"/>
      <c r="AD164" s="20"/>
      <c r="AE164" s="20"/>
      <c r="AF164" s="20"/>
      <c r="AG164" s="20"/>
      <c r="AH164" s="20"/>
      <c r="AI164" s="20"/>
      <c r="AJ164" s="20"/>
      <c r="AK164" s="20"/>
      <c r="AL164" s="20"/>
      <c r="AM164" s="20"/>
      <c r="AN164" s="20"/>
      <c r="AO164" s="20"/>
      <c r="AP164" s="20"/>
      <c r="AQ164" s="20"/>
      <c r="AR164" s="20"/>
      <c r="AS164" s="20"/>
      <c r="AT164" s="20"/>
      <c r="AU164" s="20"/>
      <c r="AV164" s="20"/>
    </row>
    <row r="165" spans="1:48" ht="17.25" customHeight="1">
      <c r="A165" s="15" t="s">
        <v>5782</v>
      </c>
      <c r="B165" s="124" t="s">
        <v>154</v>
      </c>
      <c r="C165" s="124" t="s">
        <v>5524</v>
      </c>
      <c r="D165" s="125" t="e">
        <f t="shared" ca="1" si="0"/>
        <v>#NAME?</v>
      </c>
      <c r="E165" s="126" t="str">
        <f t="shared" ca="1" si="1"/>
        <v>Not enough information entered</v>
      </c>
      <c r="F165" s="124" t="s">
        <v>6254</v>
      </c>
      <c r="G165" s="124" t="s">
        <v>5211</v>
      </c>
      <c r="H165" s="126">
        <v>9.4E-2</v>
      </c>
      <c r="I165" s="124" t="s">
        <v>5186</v>
      </c>
      <c r="J165" s="126">
        <v>0.15</v>
      </c>
      <c r="K165" s="124" t="s">
        <v>5196</v>
      </c>
      <c r="L165" s="124">
        <v>0.03</v>
      </c>
      <c r="M165" s="124"/>
      <c r="N165" s="124"/>
      <c r="O165" s="124"/>
      <c r="P165" s="124"/>
      <c r="Q165" s="124"/>
      <c r="R165" s="124"/>
      <c r="S165" s="124"/>
      <c r="T165" s="124"/>
      <c r="U165" s="124" t="s">
        <v>5523</v>
      </c>
      <c r="V165" s="127">
        <f t="shared" si="2"/>
        <v>0.27400000000000002</v>
      </c>
      <c r="W165" s="124"/>
      <c r="X165" s="124"/>
      <c r="Y165" s="124"/>
      <c r="Z165" s="124"/>
      <c r="AA165" s="124" t="e">
        <f t="shared" ca="1" si="3"/>
        <v>#NAME?</v>
      </c>
      <c r="AB165" s="126">
        <f t="array" aca="1" ref="AB165" ca="1">IFERROR(J165/_xludf.XLOOKUP(I165,Materials!$A$3:$A$292,Materials!$I$3:$I$292),0)
+IFERROR(L165/_xludf.XLOOKUP(K165,Materials!$A$3:$A$292,Materials!$I$3:$I$292),0)
+IFERROR(N165/_xludf.XLOOKUP(M165,Materials!$A$3:$A$292,Materials!$I$3:$I$292),0)
+IFERROR(P165/_xludf.XLOOKUP(O165,Materials!$A$3:$A$292,Materials!$I$3:$I$292),0)
+IFERROR(R165/_xludf.XLOOKUP(Q165,Materials!$A$3:$A$292,Materials!$I$3:$I$292),0)
+IFERROR(H165/_xludf.XLOOKUP(G165,Materials!$A$3:$A$292,Materials!$I$3:$I$292),0)</f>
        <v>0</v>
      </c>
      <c r="AC165" s="20"/>
      <c r="AD165" s="20"/>
      <c r="AE165" s="20"/>
      <c r="AF165" s="20"/>
      <c r="AG165" s="20"/>
      <c r="AH165" s="20"/>
      <c r="AI165" s="20"/>
      <c r="AJ165" s="20"/>
      <c r="AK165" s="20"/>
      <c r="AL165" s="20"/>
      <c r="AM165" s="20"/>
      <c r="AN165" s="20"/>
      <c r="AO165" s="20"/>
      <c r="AP165" s="20"/>
      <c r="AQ165" s="20"/>
      <c r="AR165" s="20"/>
      <c r="AS165" s="20"/>
      <c r="AT165" s="20"/>
      <c r="AU165" s="20"/>
      <c r="AV165" s="20"/>
    </row>
    <row r="166" spans="1:48" ht="17.25" hidden="1" customHeight="1">
      <c r="A166" s="15" t="s">
        <v>5782</v>
      </c>
      <c r="B166" s="124" t="s">
        <v>160</v>
      </c>
      <c r="C166" s="124" t="s">
        <v>5526</v>
      </c>
      <c r="D166" s="125" t="e">
        <f t="shared" ca="1" si="0"/>
        <v>#NAME?</v>
      </c>
      <c r="E166" s="126" t="str">
        <f t="shared" ca="1" si="1"/>
        <v>Not enough information entered</v>
      </c>
      <c r="F166" s="124" t="s">
        <v>6602</v>
      </c>
      <c r="G166" s="124" t="s">
        <v>5211</v>
      </c>
      <c r="H166" s="126">
        <v>9.2999999999999999E-2</v>
      </c>
      <c r="I166" s="124" t="s">
        <v>5186</v>
      </c>
      <c r="J166" s="126">
        <v>0.18</v>
      </c>
      <c r="K166" s="124" t="s">
        <v>5196</v>
      </c>
      <c r="L166" s="124">
        <v>0.03</v>
      </c>
      <c r="M166" s="124"/>
      <c r="N166" s="124"/>
      <c r="O166" s="124"/>
      <c r="P166" s="124"/>
      <c r="Q166" s="124"/>
      <c r="R166" s="124"/>
      <c r="S166" s="124"/>
      <c r="T166" s="124"/>
      <c r="U166" s="124" t="s">
        <v>5523</v>
      </c>
      <c r="V166" s="127">
        <f t="shared" si="2"/>
        <v>0.30300000000000005</v>
      </c>
      <c r="W166" s="126">
        <v>0</v>
      </c>
      <c r="X166" s="126">
        <v>0</v>
      </c>
      <c r="Y166" s="126">
        <v>10</v>
      </c>
      <c r="Z166" s="124"/>
      <c r="AA166" s="124" t="e">
        <f t="shared" ca="1" si="3"/>
        <v>#NAME?</v>
      </c>
      <c r="AB166" s="126">
        <f t="array" aca="1" ref="AB166" ca="1">IFERROR(J166/_xludf.XLOOKUP(I166,Materials!$A$3:$A$292,Materials!$I$3:$I$292),0)
+IFERROR(L166/_xludf.XLOOKUP(K166,Materials!$A$3:$A$292,Materials!$I$3:$I$292),0)
+IFERROR(N166/_xludf.XLOOKUP(M166,Materials!$A$3:$A$292,Materials!$I$3:$I$292),0)
+IFERROR(P166/_xludf.XLOOKUP(O166,Materials!$A$3:$A$292,Materials!$I$3:$I$292),0)
+IFERROR(R166/_xludf.XLOOKUP(Q166,Materials!$A$3:$A$292,Materials!$I$3:$I$292),0)
+IFERROR(H166/_xludf.XLOOKUP(G166,Materials!$A$3:$A$292,Materials!$I$3:$I$292),0)</f>
        <v>0</v>
      </c>
      <c r="AC166" s="20"/>
      <c r="AD166" s="20"/>
      <c r="AE166" s="20"/>
      <c r="AF166" s="20"/>
      <c r="AG166" s="20"/>
      <c r="AH166" s="20"/>
      <c r="AI166" s="20"/>
      <c r="AJ166" s="20"/>
      <c r="AK166" s="20"/>
      <c r="AL166" s="20"/>
      <c r="AM166" s="20"/>
      <c r="AN166" s="20"/>
      <c r="AO166" s="20"/>
      <c r="AP166" s="20"/>
      <c r="AQ166" s="20"/>
      <c r="AR166" s="20"/>
      <c r="AS166" s="20"/>
      <c r="AT166" s="20"/>
      <c r="AU166" s="20"/>
      <c r="AV166" s="20"/>
    </row>
    <row r="167" spans="1:48" ht="17.25" hidden="1" customHeight="1">
      <c r="A167" s="15" t="s">
        <v>4849</v>
      </c>
      <c r="B167" s="124" t="s">
        <v>158</v>
      </c>
      <c r="C167" s="124" t="s">
        <v>5527</v>
      </c>
      <c r="D167" s="125" t="e">
        <f t="shared" ca="1" si="0"/>
        <v>#NAME?</v>
      </c>
      <c r="E167" s="126" t="str">
        <f t="shared" ca="1" si="1"/>
        <v>Not enough information entered</v>
      </c>
      <c r="F167" s="124" t="s">
        <v>6345</v>
      </c>
      <c r="G167" s="124" t="s">
        <v>5200</v>
      </c>
      <c r="H167" s="124">
        <v>1.2500000000000001E-2</v>
      </c>
      <c r="I167" s="124" t="s">
        <v>5204</v>
      </c>
      <c r="J167" s="124">
        <v>0.05</v>
      </c>
      <c r="K167" s="124" t="s">
        <v>5200</v>
      </c>
      <c r="L167" s="124">
        <v>1.2500000000000001E-2</v>
      </c>
      <c r="M167" s="124"/>
      <c r="N167" s="124"/>
      <c r="O167" s="124"/>
      <c r="P167" s="124"/>
      <c r="Q167" s="124"/>
      <c r="R167" s="124"/>
      <c r="S167" s="124"/>
      <c r="T167" s="124"/>
      <c r="U167" s="124" t="s">
        <v>5523</v>
      </c>
      <c r="V167" s="127">
        <f t="shared" si="2"/>
        <v>7.4999999999999997E-2</v>
      </c>
      <c r="W167" s="124"/>
      <c r="X167" s="124"/>
      <c r="Y167" s="124"/>
      <c r="Z167" s="124"/>
      <c r="AA167" s="124" t="e">
        <f t="shared" ca="1" si="3"/>
        <v>#NAME?</v>
      </c>
      <c r="AB167" s="126">
        <f t="array" aca="1" ref="AB167" ca="1">IFERROR(J167/_xludf.XLOOKUP(I167,Materials!$A$3:$A$292,Materials!$I$3:$I$292),0)
+IFERROR(L167/_xludf.XLOOKUP(K167,Materials!$A$3:$A$292,Materials!$I$3:$I$292),0)
+IFERROR(N167/_xludf.XLOOKUP(M167,Materials!$A$3:$A$292,Materials!$I$3:$I$292),0)
+IFERROR(P167/_xludf.XLOOKUP(O167,Materials!$A$3:$A$292,Materials!$I$3:$I$292),0)
+IFERROR(R167/_xludf.XLOOKUP(Q167,Materials!$A$3:$A$292,Materials!$I$3:$I$292),0)
+IFERROR(H167/_xludf.XLOOKUP(G167,Materials!$A$3:$A$292,Materials!$I$3:$I$292),0)</f>
        <v>0</v>
      </c>
      <c r="AC167" s="20"/>
      <c r="AD167" s="20"/>
      <c r="AE167" s="20"/>
      <c r="AF167" s="20"/>
      <c r="AG167" s="20"/>
      <c r="AH167" s="20"/>
      <c r="AI167" s="20"/>
      <c r="AJ167" s="20"/>
      <c r="AK167" s="20"/>
      <c r="AL167" s="20"/>
      <c r="AM167" s="20"/>
      <c r="AN167" s="20"/>
      <c r="AO167" s="20"/>
      <c r="AP167" s="20"/>
      <c r="AQ167" s="20"/>
      <c r="AR167" s="20"/>
      <c r="AS167" s="20"/>
      <c r="AT167" s="20"/>
      <c r="AU167" s="20"/>
      <c r="AV167" s="20"/>
    </row>
    <row r="168" spans="1:48" ht="17.25" hidden="1" customHeight="1">
      <c r="A168" s="15" t="s">
        <v>4849</v>
      </c>
      <c r="B168" s="124" t="s">
        <v>162</v>
      </c>
      <c r="C168" s="124" t="s">
        <v>5529</v>
      </c>
      <c r="D168" s="125" t="e">
        <f t="shared" ca="1" si="0"/>
        <v>#NAME?</v>
      </c>
      <c r="E168" s="126" t="str">
        <f t="shared" ca="1" si="1"/>
        <v>Not enough information entered</v>
      </c>
      <c r="F168" s="124" t="s">
        <v>6554</v>
      </c>
      <c r="G168" s="124" t="s">
        <v>5186</v>
      </c>
      <c r="H168" s="124">
        <v>0.18</v>
      </c>
      <c r="I168" s="124" t="s">
        <v>5196</v>
      </c>
      <c r="J168" s="124">
        <v>0.03</v>
      </c>
      <c r="K168" s="124"/>
      <c r="L168" s="124"/>
      <c r="M168" s="124"/>
      <c r="N168" s="124"/>
      <c r="O168" s="124"/>
      <c r="P168" s="124"/>
      <c r="Q168" s="124"/>
      <c r="R168" s="124"/>
      <c r="S168" s="124"/>
      <c r="T168" s="124"/>
      <c r="U168" s="124" t="s">
        <v>5523</v>
      </c>
      <c r="V168" s="127">
        <f t="shared" si="2"/>
        <v>0.21</v>
      </c>
      <c r="W168" s="124"/>
      <c r="X168" s="124"/>
      <c r="Y168" s="124"/>
      <c r="Z168" s="124"/>
      <c r="AA168" s="124" t="e">
        <f t="shared" ca="1" si="3"/>
        <v>#NAME?</v>
      </c>
      <c r="AB168" s="126">
        <f t="array" aca="1" ref="AB168" ca="1">IFERROR(J168/_xludf.XLOOKUP(I168,Materials!$A$3:$A$292,Materials!$I$3:$I$292),0)
+IFERROR(L168/_xludf.XLOOKUP(K168,Materials!$A$3:$A$292,Materials!$I$3:$I$292),0)
+IFERROR(N168/_xludf.XLOOKUP(M168,Materials!$A$3:$A$292,Materials!$I$3:$I$292),0)
+IFERROR(P168/_xludf.XLOOKUP(O168,Materials!$A$3:$A$292,Materials!$I$3:$I$292),0)
+IFERROR(R168/_xludf.XLOOKUP(Q168,Materials!$A$3:$A$292,Materials!$I$3:$I$292),0)
+IFERROR(H168/_xludf.XLOOKUP(G168,Materials!$A$3:$A$292,Materials!$I$3:$I$292),0)</f>
        <v>0</v>
      </c>
      <c r="AC168" s="20"/>
      <c r="AD168" s="20"/>
      <c r="AE168" s="20"/>
      <c r="AF168" s="20"/>
      <c r="AG168" s="20"/>
      <c r="AH168" s="20"/>
      <c r="AI168" s="20"/>
      <c r="AJ168" s="20"/>
      <c r="AK168" s="20"/>
      <c r="AL168" s="20"/>
      <c r="AM168" s="20"/>
      <c r="AN168" s="20"/>
      <c r="AO168" s="20"/>
      <c r="AP168" s="20"/>
      <c r="AQ168" s="20"/>
      <c r="AR168" s="20"/>
      <c r="AS168" s="20"/>
      <c r="AT168" s="20"/>
      <c r="AU168" s="20"/>
      <c r="AV168" s="20"/>
    </row>
    <row r="169" spans="1:48" ht="17.25" hidden="1" customHeight="1">
      <c r="A169" s="15" t="s">
        <v>4849</v>
      </c>
      <c r="B169" s="124" t="s">
        <v>159</v>
      </c>
      <c r="C169" s="124" t="s">
        <v>5530</v>
      </c>
      <c r="D169" s="125" t="e">
        <f t="shared" ca="1" si="0"/>
        <v>#NAME?</v>
      </c>
      <c r="E169" s="126" t="str">
        <f t="shared" ca="1" si="1"/>
        <v>Not enough information entered</v>
      </c>
      <c r="F169" s="124" t="s">
        <v>6659</v>
      </c>
      <c r="G169" s="124" t="s">
        <v>5186</v>
      </c>
      <c r="H169" s="124">
        <v>0.2</v>
      </c>
      <c r="I169" s="124" t="s">
        <v>5211</v>
      </c>
      <c r="J169" s="124">
        <v>0.05</v>
      </c>
      <c r="K169" s="124"/>
      <c r="L169" s="124"/>
      <c r="M169" s="124"/>
      <c r="N169" s="124"/>
      <c r="O169" s="124"/>
      <c r="P169" s="124"/>
      <c r="Q169" s="124"/>
      <c r="R169" s="124"/>
      <c r="S169" s="124"/>
      <c r="T169" s="124"/>
      <c r="U169" s="124" t="s">
        <v>5523</v>
      </c>
      <c r="V169" s="127">
        <f t="shared" si="2"/>
        <v>0.25</v>
      </c>
      <c r="W169" s="124"/>
      <c r="X169" s="124"/>
      <c r="Y169" s="124"/>
      <c r="Z169" s="124"/>
      <c r="AA169" s="124" t="e">
        <f t="shared" ca="1" si="3"/>
        <v>#NAME?</v>
      </c>
      <c r="AB169" s="126">
        <f t="array" aca="1" ref="AB169" ca="1">IFERROR(J169/_xludf.XLOOKUP(I169,Materials!$A$3:$A$292,Materials!$I$3:$I$292),0)
+IFERROR(L169/_xludf.XLOOKUP(K169,Materials!$A$3:$A$292,Materials!$I$3:$I$292),0)
+IFERROR(N169/_xludf.XLOOKUP(M169,Materials!$A$3:$A$292,Materials!$I$3:$I$292),0)
+IFERROR(P169/_xludf.XLOOKUP(O169,Materials!$A$3:$A$292,Materials!$I$3:$I$292),0)
+IFERROR(R169/_xludf.XLOOKUP(Q169,Materials!$A$3:$A$292,Materials!$I$3:$I$292),0)
+IFERROR(H169/_xludf.XLOOKUP(G169,Materials!$A$3:$A$292,Materials!$I$3:$I$292),0)</f>
        <v>0</v>
      </c>
      <c r="AC169" s="20"/>
      <c r="AD169" s="20"/>
      <c r="AE169" s="20"/>
      <c r="AF169" s="20"/>
      <c r="AG169" s="20"/>
      <c r="AH169" s="20"/>
      <c r="AI169" s="20"/>
      <c r="AJ169" s="20"/>
      <c r="AK169" s="20"/>
      <c r="AL169" s="20"/>
      <c r="AM169" s="20"/>
      <c r="AN169" s="20"/>
      <c r="AO169" s="20"/>
      <c r="AP169" s="20"/>
      <c r="AQ169" s="20"/>
      <c r="AR169" s="20"/>
      <c r="AS169" s="20"/>
      <c r="AT169" s="20"/>
      <c r="AU169" s="20"/>
      <c r="AV169" s="20"/>
    </row>
    <row r="170" spans="1:48" ht="17.25" hidden="1" customHeight="1">
      <c r="A170" s="15"/>
      <c r="B170" s="124"/>
      <c r="C170" s="124" t="s">
        <v>5532</v>
      </c>
      <c r="D170" s="125"/>
      <c r="E170" s="126"/>
      <c r="F170" s="124"/>
      <c r="G170" s="124"/>
      <c r="H170" s="124"/>
      <c r="I170" s="128"/>
      <c r="J170" s="124"/>
      <c r="K170" s="124"/>
      <c r="L170" s="124"/>
      <c r="M170" s="124"/>
      <c r="N170" s="124"/>
      <c r="O170" s="124"/>
      <c r="P170" s="124"/>
      <c r="Q170" s="124"/>
      <c r="R170" s="124"/>
      <c r="S170" s="124"/>
      <c r="T170" s="124"/>
      <c r="U170" s="124"/>
      <c r="V170" s="127"/>
      <c r="W170" s="124"/>
      <c r="X170" s="124"/>
      <c r="Y170" s="124"/>
      <c r="Z170" s="124"/>
      <c r="AA170" s="124"/>
      <c r="AB170" s="126"/>
      <c r="AC170" s="20"/>
      <c r="AD170" s="20"/>
      <c r="AE170" s="20"/>
      <c r="AF170" s="20"/>
      <c r="AG170" s="20"/>
      <c r="AH170" s="20"/>
      <c r="AI170" s="20"/>
      <c r="AJ170" s="20"/>
      <c r="AK170" s="20"/>
      <c r="AL170" s="20"/>
      <c r="AM170" s="20"/>
      <c r="AN170" s="20"/>
      <c r="AO170" s="20"/>
      <c r="AP170" s="20"/>
      <c r="AQ170" s="20"/>
      <c r="AR170" s="20"/>
      <c r="AS170" s="20"/>
      <c r="AT170" s="20"/>
      <c r="AU170" s="20"/>
      <c r="AV170" s="20"/>
    </row>
    <row r="171" spans="1:48" ht="17.25" hidden="1" customHeight="1">
      <c r="A171" s="15" t="s">
        <v>4849</v>
      </c>
      <c r="B171" s="124" t="s">
        <v>161</v>
      </c>
      <c r="C171" s="124" t="s">
        <v>5533</v>
      </c>
      <c r="D171" s="125" t="e">
        <f t="shared" ca="1" si="0"/>
        <v>#NAME?</v>
      </c>
      <c r="E171" s="126" t="str">
        <f t="shared" ca="1" si="1"/>
        <v>Not enough information entered</v>
      </c>
      <c r="F171" s="124" t="s">
        <v>6675</v>
      </c>
      <c r="G171" s="124" t="s">
        <v>5186</v>
      </c>
      <c r="H171" s="124">
        <v>0.18</v>
      </c>
      <c r="I171" s="124" t="s">
        <v>5207</v>
      </c>
      <c r="J171" s="124">
        <v>0.06</v>
      </c>
      <c r="K171" s="124" t="s">
        <v>5200</v>
      </c>
      <c r="L171" s="124">
        <v>1.2500000000000001E-2</v>
      </c>
      <c r="M171" s="124"/>
      <c r="N171" s="124"/>
      <c r="O171" s="124"/>
      <c r="P171" s="124"/>
      <c r="Q171" s="124"/>
      <c r="R171" s="124"/>
      <c r="S171" s="124"/>
      <c r="T171" s="124"/>
      <c r="U171" s="124" t="s">
        <v>5523</v>
      </c>
      <c r="V171" s="127">
        <f t="shared" si="2"/>
        <v>0.2525</v>
      </c>
      <c r="W171" s="124"/>
      <c r="X171" s="124"/>
      <c r="Y171" s="124"/>
      <c r="Z171" s="124"/>
      <c r="AA171" s="124" t="e">
        <f t="shared" ca="1" si="3"/>
        <v>#NAME?</v>
      </c>
      <c r="AB171" s="126">
        <f t="array" aca="1" ref="AB171" ca="1">IFERROR(J171/_xludf.XLOOKUP(I171,Materials!$A$3:$A$292,Materials!$I$3:$I$292),0)
+IFERROR(L171/_xludf.XLOOKUP(K171,Materials!$A$3:$A$292,Materials!$I$3:$I$292),0)
+IFERROR(N171/_xludf.XLOOKUP(M171,Materials!$A$3:$A$292,Materials!$I$3:$I$292),0)
+IFERROR(P171/_xludf.XLOOKUP(O171,Materials!$A$3:$A$292,Materials!$I$3:$I$292),0)
+IFERROR(R171/_xludf.XLOOKUP(Q171,Materials!$A$3:$A$292,Materials!$I$3:$I$292),0)
+IFERROR(H171/_xludf.XLOOKUP(G171,Materials!$A$3:$A$292,Materials!$I$3:$I$292),0)</f>
        <v>0</v>
      </c>
      <c r="AC171" s="20"/>
      <c r="AD171" s="20"/>
      <c r="AE171" s="20"/>
      <c r="AF171" s="20"/>
      <c r="AG171" s="20"/>
      <c r="AH171" s="20"/>
      <c r="AI171" s="20"/>
      <c r="AJ171" s="20"/>
      <c r="AK171" s="20"/>
      <c r="AL171" s="20"/>
      <c r="AM171" s="20"/>
      <c r="AN171" s="20"/>
      <c r="AO171" s="20"/>
      <c r="AP171" s="20"/>
      <c r="AQ171" s="20"/>
      <c r="AR171" s="20"/>
      <c r="AS171" s="20"/>
      <c r="AT171" s="20"/>
      <c r="AU171" s="20"/>
      <c r="AV171" s="20"/>
    </row>
    <row r="172" spans="1:48" ht="17.25" hidden="1" customHeight="1">
      <c r="A172" s="15" t="s">
        <v>5783</v>
      </c>
      <c r="B172" s="124" t="s">
        <v>157</v>
      </c>
      <c r="C172" s="124" t="s">
        <v>5522</v>
      </c>
      <c r="D172" s="125" t="e">
        <f t="shared" ca="1" si="0"/>
        <v>#NAME?</v>
      </c>
      <c r="E172" s="126" t="str">
        <f t="shared" ca="1" si="1"/>
        <v>Not enough information entered</v>
      </c>
      <c r="F172" s="124" t="s">
        <v>6409</v>
      </c>
      <c r="G172" s="124" t="s">
        <v>5186</v>
      </c>
      <c r="H172" s="126">
        <v>0.18</v>
      </c>
      <c r="I172" s="124" t="s">
        <v>5204</v>
      </c>
      <c r="J172" s="126">
        <v>0.02</v>
      </c>
      <c r="K172" s="124" t="s">
        <v>5200</v>
      </c>
      <c r="L172" s="126">
        <v>1.2E-2</v>
      </c>
      <c r="M172" s="124"/>
      <c r="N172" s="124"/>
      <c r="O172" s="124"/>
      <c r="P172" s="124"/>
      <c r="Q172" s="124"/>
      <c r="R172" s="124"/>
      <c r="S172" s="124"/>
      <c r="T172" s="124"/>
      <c r="U172" s="124" t="s">
        <v>5523</v>
      </c>
      <c r="V172" s="127">
        <f t="shared" si="2"/>
        <v>0.21199999999999999</v>
      </c>
      <c r="W172" s="126">
        <v>0</v>
      </c>
      <c r="X172" s="126">
        <v>0</v>
      </c>
      <c r="Y172" s="126">
        <v>10</v>
      </c>
      <c r="Z172" s="124"/>
      <c r="AA172" s="124" t="e">
        <f t="shared" ca="1" si="3"/>
        <v>#NAME?</v>
      </c>
      <c r="AB172" s="126">
        <f t="array" aca="1" ref="AB172" ca="1">IFERROR(J172/_xludf.XLOOKUP(I172,Materials!$A$3:$A$292,Materials!$I$3:$I$292),0)
+IFERROR(L172/_xludf.XLOOKUP(K172,Materials!$A$3:$A$292,Materials!$I$3:$I$292),0)
+IFERROR(N172/_xludf.XLOOKUP(M172,Materials!$A$3:$A$292,Materials!$I$3:$I$292),0)
+IFERROR(P172/_xludf.XLOOKUP(O172,Materials!$A$3:$A$292,Materials!$I$3:$I$292),0)
+IFERROR(R172/_xludf.XLOOKUP(Q172,Materials!$A$3:$A$292,Materials!$I$3:$I$292),0)
+IFERROR(H172/_xludf.XLOOKUP(G172,Materials!$A$3:$A$292,Materials!$I$3:$I$292),0)</f>
        <v>0</v>
      </c>
      <c r="AC172" s="20"/>
      <c r="AD172" s="20"/>
      <c r="AE172" s="20"/>
      <c r="AF172" s="20"/>
      <c r="AG172" s="20"/>
      <c r="AH172" s="20"/>
      <c r="AI172" s="20"/>
      <c r="AJ172" s="20"/>
      <c r="AK172" s="20"/>
      <c r="AL172" s="20"/>
      <c r="AM172" s="20"/>
      <c r="AN172" s="20"/>
      <c r="AO172" s="20"/>
      <c r="AP172" s="20"/>
      <c r="AQ172" s="20"/>
      <c r="AR172" s="20"/>
      <c r="AS172" s="20"/>
      <c r="AT172" s="20"/>
      <c r="AU172" s="20"/>
      <c r="AV172" s="20"/>
    </row>
    <row r="173" spans="1:48" ht="17.25" customHeight="1">
      <c r="A173" s="15" t="s">
        <v>5783</v>
      </c>
      <c r="B173" s="124" t="s">
        <v>154</v>
      </c>
      <c r="C173" s="124" t="s">
        <v>5524</v>
      </c>
      <c r="D173" s="125" t="e">
        <f t="shared" ca="1" si="0"/>
        <v>#NAME?</v>
      </c>
      <c r="E173" s="126" t="str">
        <f t="shared" ca="1" si="1"/>
        <v>Not enough information entered</v>
      </c>
      <c r="F173" s="124" t="s">
        <v>6255</v>
      </c>
      <c r="G173" s="124" t="s">
        <v>5186</v>
      </c>
      <c r="H173" s="126">
        <v>0.15</v>
      </c>
      <c r="I173" s="124" t="s">
        <v>5196</v>
      </c>
      <c r="J173" s="126">
        <v>0.03</v>
      </c>
      <c r="K173" s="124"/>
      <c r="L173" s="124"/>
      <c r="M173" s="124"/>
      <c r="N173" s="124"/>
      <c r="O173" s="124"/>
      <c r="P173" s="124"/>
      <c r="Q173" s="124"/>
      <c r="R173" s="124"/>
      <c r="S173" s="124"/>
      <c r="T173" s="124"/>
      <c r="U173" s="124" t="s">
        <v>5523</v>
      </c>
      <c r="V173" s="127">
        <f t="shared" si="2"/>
        <v>0.18</v>
      </c>
      <c r="W173" s="124"/>
      <c r="X173" s="124"/>
      <c r="Y173" s="124"/>
      <c r="Z173" s="124"/>
      <c r="AA173" s="124" t="e">
        <f t="shared" ca="1" si="3"/>
        <v>#NAME?</v>
      </c>
      <c r="AB173" s="126">
        <f t="array" aca="1" ref="AB173" ca="1">IFERROR(J173/_xludf.XLOOKUP(I173,Materials!$A$3:$A$292,Materials!$I$3:$I$292),0)
+IFERROR(L173/_xludf.XLOOKUP(K173,Materials!$A$3:$A$292,Materials!$I$3:$I$292),0)
+IFERROR(N173/_xludf.XLOOKUP(M173,Materials!$A$3:$A$292,Materials!$I$3:$I$292),0)
+IFERROR(P173/_xludf.XLOOKUP(O173,Materials!$A$3:$A$292,Materials!$I$3:$I$292),0)
+IFERROR(R173/_xludf.XLOOKUP(Q173,Materials!$A$3:$A$292,Materials!$I$3:$I$292),0)
+IFERROR(H173/_xludf.XLOOKUP(G173,Materials!$A$3:$A$292,Materials!$I$3:$I$292),0)</f>
        <v>0</v>
      </c>
      <c r="AC173" s="20"/>
      <c r="AD173" s="20"/>
      <c r="AE173" s="20"/>
      <c r="AF173" s="20"/>
      <c r="AG173" s="20"/>
      <c r="AH173" s="20"/>
      <c r="AI173" s="20"/>
      <c r="AJ173" s="20"/>
      <c r="AK173" s="20"/>
      <c r="AL173" s="20"/>
      <c r="AM173" s="20"/>
      <c r="AN173" s="20"/>
      <c r="AO173" s="20"/>
      <c r="AP173" s="20"/>
      <c r="AQ173" s="20"/>
      <c r="AR173" s="20"/>
      <c r="AS173" s="20"/>
      <c r="AT173" s="20"/>
      <c r="AU173" s="20"/>
      <c r="AV173" s="20"/>
    </row>
    <row r="174" spans="1:48" ht="17.25" hidden="1" customHeight="1">
      <c r="A174" s="15" t="s">
        <v>5783</v>
      </c>
      <c r="B174" s="124" t="s">
        <v>160</v>
      </c>
      <c r="C174" s="124" t="s">
        <v>5526</v>
      </c>
      <c r="D174" s="125" t="e">
        <f t="shared" ca="1" si="0"/>
        <v>#NAME?</v>
      </c>
      <c r="E174" s="126" t="str">
        <f t="shared" ca="1" si="1"/>
        <v>Not enough information entered</v>
      </c>
      <c r="F174" s="124" t="s">
        <v>6603</v>
      </c>
      <c r="G174" s="124" t="s">
        <v>5186</v>
      </c>
      <c r="H174" s="126">
        <v>0.18</v>
      </c>
      <c r="I174" s="124" t="s">
        <v>5196</v>
      </c>
      <c r="J174" s="126">
        <v>0.03</v>
      </c>
      <c r="K174" s="124"/>
      <c r="L174" s="124"/>
      <c r="M174" s="124"/>
      <c r="N174" s="124"/>
      <c r="O174" s="124"/>
      <c r="P174" s="124"/>
      <c r="Q174" s="124"/>
      <c r="R174" s="124"/>
      <c r="S174" s="124"/>
      <c r="T174" s="124"/>
      <c r="U174" s="124" t="s">
        <v>5523</v>
      </c>
      <c r="V174" s="127">
        <f t="shared" si="2"/>
        <v>0.21</v>
      </c>
      <c r="W174" s="126">
        <v>0</v>
      </c>
      <c r="X174" s="126">
        <v>0</v>
      </c>
      <c r="Y174" s="126">
        <v>10</v>
      </c>
      <c r="Z174" s="124"/>
      <c r="AA174" s="124" t="e">
        <f t="shared" ca="1" si="3"/>
        <v>#NAME?</v>
      </c>
      <c r="AB174" s="126">
        <f t="array" aca="1" ref="AB174" ca="1">IFERROR(J174/_xludf.XLOOKUP(I174,Materials!$A$3:$A$292,Materials!$I$3:$I$292),0)
+IFERROR(L174/_xludf.XLOOKUP(K174,Materials!$A$3:$A$292,Materials!$I$3:$I$292),0)
+IFERROR(N174/_xludf.XLOOKUP(M174,Materials!$A$3:$A$292,Materials!$I$3:$I$292),0)
+IFERROR(P174/_xludf.XLOOKUP(O174,Materials!$A$3:$A$292,Materials!$I$3:$I$292),0)
+IFERROR(R174/_xludf.XLOOKUP(Q174,Materials!$A$3:$A$292,Materials!$I$3:$I$292),0)
+IFERROR(H174/_xludf.XLOOKUP(G174,Materials!$A$3:$A$292,Materials!$I$3:$I$292),0)</f>
        <v>0</v>
      </c>
      <c r="AC174" s="20"/>
      <c r="AD174" s="20"/>
      <c r="AE174" s="20"/>
      <c r="AF174" s="20"/>
      <c r="AG174" s="20"/>
      <c r="AH174" s="20"/>
      <c r="AI174" s="20"/>
      <c r="AJ174" s="20"/>
      <c r="AK174" s="20"/>
      <c r="AL174" s="20"/>
      <c r="AM174" s="20"/>
      <c r="AN174" s="20"/>
      <c r="AO174" s="20"/>
      <c r="AP174" s="20"/>
      <c r="AQ174" s="20"/>
      <c r="AR174" s="20"/>
      <c r="AS174" s="20"/>
      <c r="AT174" s="20"/>
      <c r="AU174" s="20"/>
      <c r="AV174" s="20"/>
    </row>
    <row r="175" spans="1:48" ht="17.25" hidden="1" customHeight="1">
      <c r="A175" s="15" t="s">
        <v>5784</v>
      </c>
      <c r="B175" s="124" t="s">
        <v>157</v>
      </c>
      <c r="C175" s="124" t="s">
        <v>5522</v>
      </c>
      <c r="D175" s="125" t="e">
        <f t="shared" ca="1" si="0"/>
        <v>#NAME?</v>
      </c>
      <c r="E175" s="126" t="str">
        <f t="shared" ca="1" si="1"/>
        <v>Not enough information entered</v>
      </c>
      <c r="F175" s="124" t="s">
        <v>6410</v>
      </c>
      <c r="G175" s="124" t="s">
        <v>5211</v>
      </c>
      <c r="H175" s="126">
        <v>0.03</v>
      </c>
      <c r="I175" s="124" t="s">
        <v>5186</v>
      </c>
      <c r="J175" s="126">
        <v>0.18</v>
      </c>
      <c r="K175" s="124" t="s">
        <v>5204</v>
      </c>
      <c r="L175" s="126">
        <v>0.02</v>
      </c>
      <c r="M175" s="124" t="s">
        <v>5200</v>
      </c>
      <c r="N175" s="126">
        <v>1.2E-2</v>
      </c>
      <c r="O175" s="124"/>
      <c r="P175" s="124"/>
      <c r="Q175" s="124"/>
      <c r="R175" s="124"/>
      <c r="S175" s="124"/>
      <c r="T175" s="124"/>
      <c r="U175" s="124" t="s">
        <v>5523</v>
      </c>
      <c r="V175" s="127">
        <f t="shared" si="2"/>
        <v>0.24199999999999999</v>
      </c>
      <c r="W175" s="126">
        <v>0</v>
      </c>
      <c r="X175" s="126">
        <v>0</v>
      </c>
      <c r="Y175" s="126">
        <v>10</v>
      </c>
      <c r="Z175" s="124"/>
      <c r="AA175" s="124" t="e">
        <f t="shared" ca="1" si="3"/>
        <v>#NAME?</v>
      </c>
      <c r="AB175" s="126">
        <f t="array" aca="1" ref="AB175" ca="1">IFERROR(J175/_xludf.XLOOKUP(I175,Materials!$A$3:$A$292,Materials!$I$3:$I$292),0)
+IFERROR(L175/_xludf.XLOOKUP(K175,Materials!$A$3:$A$292,Materials!$I$3:$I$292),0)
+IFERROR(N175/_xludf.XLOOKUP(M175,Materials!$A$3:$A$292,Materials!$I$3:$I$292),0)
+IFERROR(P175/_xludf.XLOOKUP(O175,Materials!$A$3:$A$292,Materials!$I$3:$I$292),0)
+IFERROR(R175/_xludf.XLOOKUP(Q175,Materials!$A$3:$A$292,Materials!$I$3:$I$292),0)
+IFERROR(H175/_xludf.XLOOKUP(G175,Materials!$A$3:$A$292,Materials!$I$3:$I$292),0)</f>
        <v>0</v>
      </c>
      <c r="AC175" s="20"/>
      <c r="AD175" s="20"/>
      <c r="AE175" s="20"/>
      <c r="AF175" s="20"/>
      <c r="AG175" s="20"/>
      <c r="AH175" s="20"/>
      <c r="AI175" s="20"/>
      <c r="AJ175" s="20"/>
      <c r="AK175" s="20"/>
      <c r="AL175" s="20"/>
      <c r="AM175" s="20"/>
      <c r="AN175" s="20"/>
      <c r="AO175" s="20"/>
      <c r="AP175" s="20"/>
      <c r="AQ175" s="20"/>
      <c r="AR175" s="20"/>
      <c r="AS175" s="20"/>
      <c r="AT175" s="20"/>
      <c r="AU175" s="20"/>
      <c r="AV175" s="20"/>
    </row>
    <row r="176" spans="1:48" ht="17.25" customHeight="1">
      <c r="A176" s="15" t="s">
        <v>5784</v>
      </c>
      <c r="B176" s="124" t="s">
        <v>154</v>
      </c>
      <c r="C176" s="124" t="s">
        <v>5524</v>
      </c>
      <c r="D176" s="125" t="e">
        <f t="shared" ca="1" si="0"/>
        <v>#NAME?</v>
      </c>
      <c r="E176" s="126" t="str">
        <f t="shared" ca="1" si="1"/>
        <v>Not enough information entered</v>
      </c>
      <c r="F176" s="124" t="s">
        <v>6256</v>
      </c>
      <c r="G176" s="124" t="s">
        <v>5211</v>
      </c>
      <c r="H176" s="126">
        <v>5.8000000000000003E-2</v>
      </c>
      <c r="I176" s="124" t="s">
        <v>5186</v>
      </c>
      <c r="J176" s="126">
        <v>0.15</v>
      </c>
      <c r="K176" s="124" t="s">
        <v>5196</v>
      </c>
      <c r="L176" s="124">
        <v>0.03</v>
      </c>
      <c r="M176" s="124"/>
      <c r="N176" s="124"/>
      <c r="O176" s="124"/>
      <c r="P176" s="124"/>
      <c r="Q176" s="124"/>
      <c r="R176" s="124"/>
      <c r="S176" s="124"/>
      <c r="T176" s="124"/>
      <c r="U176" s="124" t="s">
        <v>5523</v>
      </c>
      <c r="V176" s="127">
        <f t="shared" si="2"/>
        <v>0.23799999999999999</v>
      </c>
      <c r="W176" s="124"/>
      <c r="X176" s="124"/>
      <c r="Y176" s="124"/>
      <c r="Z176" s="124"/>
      <c r="AA176" s="124" t="e">
        <f t="shared" ca="1" si="3"/>
        <v>#NAME?</v>
      </c>
      <c r="AB176" s="126">
        <f t="array" aca="1" ref="AB176" ca="1">IFERROR(J176/_xludf.XLOOKUP(I176,Materials!$A$3:$A$292,Materials!$I$3:$I$292),0)
+IFERROR(L176/_xludf.XLOOKUP(K176,Materials!$A$3:$A$292,Materials!$I$3:$I$292),0)
+IFERROR(N176/_xludf.XLOOKUP(M176,Materials!$A$3:$A$292,Materials!$I$3:$I$292),0)
+IFERROR(P176/_xludf.XLOOKUP(O176,Materials!$A$3:$A$292,Materials!$I$3:$I$292),0)
+IFERROR(R176/_xludf.XLOOKUP(Q176,Materials!$A$3:$A$292,Materials!$I$3:$I$292),0)
+IFERROR(H176/_xludf.XLOOKUP(G176,Materials!$A$3:$A$292,Materials!$I$3:$I$292),0)</f>
        <v>0</v>
      </c>
      <c r="AC176" s="20"/>
      <c r="AD176" s="20"/>
      <c r="AE176" s="20"/>
      <c r="AF176" s="20"/>
      <c r="AG176" s="20"/>
      <c r="AH176" s="20"/>
      <c r="AI176" s="20"/>
      <c r="AJ176" s="20"/>
      <c r="AK176" s="20"/>
      <c r="AL176" s="20"/>
      <c r="AM176" s="20"/>
      <c r="AN176" s="20"/>
      <c r="AO176" s="20"/>
      <c r="AP176" s="20"/>
      <c r="AQ176" s="20"/>
      <c r="AR176" s="20"/>
      <c r="AS176" s="20"/>
      <c r="AT176" s="20"/>
      <c r="AU176" s="20"/>
      <c r="AV176" s="20"/>
    </row>
    <row r="177" spans="1:48" ht="17.25" hidden="1" customHeight="1">
      <c r="A177" s="15" t="s">
        <v>5784</v>
      </c>
      <c r="B177" s="124" t="s">
        <v>160</v>
      </c>
      <c r="C177" s="124" t="s">
        <v>5526</v>
      </c>
      <c r="D177" s="125" t="e">
        <f t="shared" ca="1" si="0"/>
        <v>#NAME?</v>
      </c>
      <c r="E177" s="126" t="str">
        <f t="shared" ca="1" si="1"/>
        <v>Not enough information entered</v>
      </c>
      <c r="F177" s="124" t="s">
        <v>6604</v>
      </c>
      <c r="G177" s="124" t="s">
        <v>5211</v>
      </c>
      <c r="H177" s="126">
        <v>4.7E-2</v>
      </c>
      <c r="I177" s="124" t="s">
        <v>5186</v>
      </c>
      <c r="J177" s="126">
        <v>0.18</v>
      </c>
      <c r="K177" s="124" t="s">
        <v>5196</v>
      </c>
      <c r="L177" s="124">
        <v>0.03</v>
      </c>
      <c r="M177" s="124"/>
      <c r="N177" s="124"/>
      <c r="O177" s="124"/>
      <c r="P177" s="124"/>
      <c r="Q177" s="124"/>
      <c r="R177" s="124"/>
      <c r="S177" s="124"/>
      <c r="T177" s="124"/>
      <c r="U177" s="124" t="s">
        <v>5523</v>
      </c>
      <c r="V177" s="127">
        <f t="shared" si="2"/>
        <v>0.25700000000000001</v>
      </c>
      <c r="W177" s="126">
        <v>0</v>
      </c>
      <c r="X177" s="126">
        <v>0</v>
      </c>
      <c r="Y177" s="126">
        <v>10</v>
      </c>
      <c r="Z177" s="124"/>
      <c r="AA177" s="124" t="e">
        <f t="shared" ca="1" si="3"/>
        <v>#NAME?</v>
      </c>
      <c r="AB177" s="126">
        <f t="array" aca="1" ref="AB177" ca="1">IFERROR(J177/_xludf.XLOOKUP(I177,Materials!$A$3:$A$292,Materials!$I$3:$I$292),0)
+IFERROR(L177/_xludf.XLOOKUP(K177,Materials!$A$3:$A$292,Materials!$I$3:$I$292),0)
+IFERROR(N177/_xludf.XLOOKUP(M177,Materials!$A$3:$A$292,Materials!$I$3:$I$292),0)
+IFERROR(P177/_xludf.XLOOKUP(O177,Materials!$A$3:$A$292,Materials!$I$3:$I$292),0)
+IFERROR(R177/_xludf.XLOOKUP(Q177,Materials!$A$3:$A$292,Materials!$I$3:$I$292),0)
+IFERROR(H177/_xludf.XLOOKUP(G177,Materials!$A$3:$A$292,Materials!$I$3:$I$292),0)</f>
        <v>0</v>
      </c>
      <c r="AC177" s="20"/>
      <c r="AD177" s="20"/>
      <c r="AE177" s="20"/>
      <c r="AF177" s="20"/>
      <c r="AG177" s="20"/>
      <c r="AH177" s="20"/>
      <c r="AI177" s="20"/>
      <c r="AJ177" s="20"/>
      <c r="AK177" s="20"/>
      <c r="AL177" s="20"/>
      <c r="AM177" s="20"/>
      <c r="AN177" s="20"/>
      <c r="AO177" s="20"/>
      <c r="AP177" s="20"/>
      <c r="AQ177" s="20"/>
      <c r="AR177" s="20"/>
      <c r="AS177" s="20"/>
      <c r="AT177" s="20"/>
      <c r="AU177" s="20"/>
      <c r="AV177" s="20"/>
    </row>
    <row r="178" spans="1:48" ht="17.25" hidden="1" customHeight="1">
      <c r="A178" s="15" t="s">
        <v>5785</v>
      </c>
      <c r="B178" s="124" t="s">
        <v>157</v>
      </c>
      <c r="C178" s="124" t="s">
        <v>5522</v>
      </c>
      <c r="D178" s="125" t="e">
        <f t="shared" ca="1" si="0"/>
        <v>#NAME?</v>
      </c>
      <c r="E178" s="126" t="str">
        <f t="shared" ca="1" si="1"/>
        <v>Not enough information entered</v>
      </c>
      <c r="F178" s="124" t="s">
        <v>6411</v>
      </c>
      <c r="G178" s="124" t="s">
        <v>5211</v>
      </c>
      <c r="H178" s="126">
        <v>0.04</v>
      </c>
      <c r="I178" s="124" t="s">
        <v>5186</v>
      </c>
      <c r="J178" s="126">
        <v>0.18</v>
      </c>
      <c r="K178" s="124" t="s">
        <v>5204</v>
      </c>
      <c r="L178" s="126">
        <v>0.02</v>
      </c>
      <c r="M178" s="124" t="s">
        <v>5200</v>
      </c>
      <c r="N178" s="126">
        <v>1.2E-2</v>
      </c>
      <c r="O178" s="124"/>
      <c r="P178" s="124"/>
      <c r="Q178" s="124"/>
      <c r="R178" s="124"/>
      <c r="S178" s="124"/>
      <c r="T178" s="124"/>
      <c r="U178" s="124" t="s">
        <v>5523</v>
      </c>
      <c r="V178" s="127">
        <f t="shared" si="2"/>
        <v>0.252</v>
      </c>
      <c r="W178" s="126">
        <v>0</v>
      </c>
      <c r="X178" s="126">
        <v>0</v>
      </c>
      <c r="Y178" s="126">
        <v>10</v>
      </c>
      <c r="Z178" s="124"/>
      <c r="AA178" s="124" t="e">
        <f t="shared" ca="1" si="3"/>
        <v>#NAME?</v>
      </c>
      <c r="AB178" s="126">
        <f t="array" aca="1" ref="AB178" ca="1">IFERROR(J178/_xludf.XLOOKUP(I178,Materials!$A$3:$A$292,Materials!$I$3:$I$292),0)
+IFERROR(L178/_xludf.XLOOKUP(K178,Materials!$A$3:$A$292,Materials!$I$3:$I$292),0)
+IFERROR(N178/_xludf.XLOOKUP(M178,Materials!$A$3:$A$292,Materials!$I$3:$I$292),0)
+IFERROR(P178/_xludf.XLOOKUP(O178,Materials!$A$3:$A$292,Materials!$I$3:$I$292),0)
+IFERROR(R178/_xludf.XLOOKUP(Q178,Materials!$A$3:$A$292,Materials!$I$3:$I$292),0)
+IFERROR(H178/_xludf.XLOOKUP(G178,Materials!$A$3:$A$292,Materials!$I$3:$I$292),0)</f>
        <v>0</v>
      </c>
      <c r="AC178" s="20"/>
      <c r="AD178" s="20"/>
      <c r="AE178" s="20"/>
      <c r="AF178" s="20"/>
      <c r="AG178" s="20"/>
      <c r="AH178" s="20"/>
      <c r="AI178" s="20"/>
      <c r="AJ178" s="20"/>
      <c r="AK178" s="20"/>
      <c r="AL178" s="20"/>
      <c r="AM178" s="20"/>
      <c r="AN178" s="20"/>
      <c r="AO178" s="20"/>
      <c r="AP178" s="20"/>
      <c r="AQ178" s="20"/>
      <c r="AR178" s="20"/>
      <c r="AS178" s="20"/>
      <c r="AT178" s="20"/>
      <c r="AU178" s="20"/>
      <c r="AV178" s="20"/>
    </row>
    <row r="179" spans="1:48" ht="17.25" customHeight="1">
      <c r="A179" s="15" t="s">
        <v>5785</v>
      </c>
      <c r="B179" s="124" t="s">
        <v>154</v>
      </c>
      <c r="C179" s="124" t="s">
        <v>5524</v>
      </c>
      <c r="D179" s="125" t="e">
        <f t="shared" ca="1" si="0"/>
        <v>#NAME?</v>
      </c>
      <c r="E179" s="126" t="str">
        <f t="shared" ca="1" si="1"/>
        <v>Not enough information entered</v>
      </c>
      <c r="F179" s="124" t="s">
        <v>6257</v>
      </c>
      <c r="G179" s="124" t="s">
        <v>5211</v>
      </c>
      <c r="H179" s="126">
        <v>5.8999999999999997E-2</v>
      </c>
      <c r="I179" s="124" t="s">
        <v>5186</v>
      </c>
      <c r="J179" s="126">
        <v>0.15</v>
      </c>
      <c r="K179" s="124" t="s">
        <v>5196</v>
      </c>
      <c r="L179" s="124">
        <v>0.03</v>
      </c>
      <c r="M179" s="124"/>
      <c r="N179" s="124"/>
      <c r="O179" s="124"/>
      <c r="P179" s="124"/>
      <c r="Q179" s="124"/>
      <c r="R179" s="124"/>
      <c r="S179" s="124"/>
      <c r="T179" s="124"/>
      <c r="U179" s="124" t="s">
        <v>5523</v>
      </c>
      <c r="V179" s="127">
        <f t="shared" si="2"/>
        <v>0.23899999999999999</v>
      </c>
      <c r="W179" s="124"/>
      <c r="X179" s="124"/>
      <c r="Y179" s="124"/>
      <c r="Z179" s="124"/>
      <c r="AA179" s="124" t="e">
        <f t="shared" ca="1" si="3"/>
        <v>#NAME?</v>
      </c>
      <c r="AB179" s="126">
        <f t="array" aca="1" ref="AB179" ca="1">IFERROR(J179/_xludf.XLOOKUP(I179,Materials!$A$3:$A$292,Materials!$I$3:$I$292),0)
+IFERROR(L179/_xludf.XLOOKUP(K179,Materials!$A$3:$A$292,Materials!$I$3:$I$292),0)
+IFERROR(N179/_xludf.XLOOKUP(M179,Materials!$A$3:$A$292,Materials!$I$3:$I$292),0)
+IFERROR(P179/_xludf.XLOOKUP(O179,Materials!$A$3:$A$292,Materials!$I$3:$I$292),0)
+IFERROR(R179/_xludf.XLOOKUP(Q179,Materials!$A$3:$A$292,Materials!$I$3:$I$292),0)
+IFERROR(H179/_xludf.XLOOKUP(G179,Materials!$A$3:$A$292,Materials!$I$3:$I$292),0)</f>
        <v>0</v>
      </c>
      <c r="AC179" s="20"/>
      <c r="AD179" s="20"/>
      <c r="AE179" s="20"/>
      <c r="AF179" s="20"/>
      <c r="AG179" s="20"/>
      <c r="AH179" s="20"/>
      <c r="AI179" s="20"/>
      <c r="AJ179" s="20"/>
      <c r="AK179" s="20"/>
      <c r="AL179" s="20"/>
      <c r="AM179" s="20"/>
      <c r="AN179" s="20"/>
      <c r="AO179" s="20"/>
      <c r="AP179" s="20"/>
      <c r="AQ179" s="20"/>
      <c r="AR179" s="20"/>
      <c r="AS179" s="20"/>
      <c r="AT179" s="20"/>
      <c r="AU179" s="20"/>
      <c r="AV179" s="20"/>
    </row>
    <row r="180" spans="1:48" ht="17.25" hidden="1" customHeight="1">
      <c r="A180" s="15" t="s">
        <v>5785</v>
      </c>
      <c r="B180" s="124" t="s">
        <v>160</v>
      </c>
      <c r="C180" s="124" t="s">
        <v>5526</v>
      </c>
      <c r="D180" s="125" t="e">
        <f t="shared" ca="1" si="0"/>
        <v>#NAME?</v>
      </c>
      <c r="E180" s="126" t="str">
        <f t="shared" ca="1" si="1"/>
        <v>Not enough information entered</v>
      </c>
      <c r="F180" s="124" t="s">
        <v>6605</v>
      </c>
      <c r="G180" s="124" t="s">
        <v>5211</v>
      </c>
      <c r="H180" s="126">
        <v>5.8000000000000003E-2</v>
      </c>
      <c r="I180" s="124" t="s">
        <v>5186</v>
      </c>
      <c r="J180" s="126">
        <v>0.18</v>
      </c>
      <c r="K180" s="124" t="s">
        <v>5196</v>
      </c>
      <c r="L180" s="124">
        <v>0.03</v>
      </c>
      <c r="M180" s="124"/>
      <c r="N180" s="124"/>
      <c r="O180" s="124"/>
      <c r="P180" s="124"/>
      <c r="Q180" s="124"/>
      <c r="R180" s="124"/>
      <c r="S180" s="124"/>
      <c r="T180" s="124"/>
      <c r="U180" s="124" t="s">
        <v>5523</v>
      </c>
      <c r="V180" s="127">
        <f t="shared" si="2"/>
        <v>0.26800000000000002</v>
      </c>
      <c r="W180" s="126">
        <v>0</v>
      </c>
      <c r="X180" s="126">
        <v>0</v>
      </c>
      <c r="Y180" s="126">
        <v>10</v>
      </c>
      <c r="Z180" s="124"/>
      <c r="AA180" s="124" t="e">
        <f t="shared" ca="1" si="3"/>
        <v>#NAME?</v>
      </c>
      <c r="AB180" s="126">
        <f t="array" aca="1" ref="AB180" ca="1">IFERROR(J180/_xludf.XLOOKUP(I180,Materials!$A$3:$A$292,Materials!$I$3:$I$292),0)
+IFERROR(L180/_xludf.XLOOKUP(K180,Materials!$A$3:$A$292,Materials!$I$3:$I$292),0)
+IFERROR(N180/_xludf.XLOOKUP(M180,Materials!$A$3:$A$292,Materials!$I$3:$I$292),0)
+IFERROR(P180/_xludf.XLOOKUP(O180,Materials!$A$3:$A$292,Materials!$I$3:$I$292),0)
+IFERROR(R180/_xludf.XLOOKUP(Q180,Materials!$A$3:$A$292,Materials!$I$3:$I$292),0)
+IFERROR(H180/_xludf.XLOOKUP(G180,Materials!$A$3:$A$292,Materials!$I$3:$I$292),0)</f>
        <v>0</v>
      </c>
      <c r="AC180" s="20"/>
      <c r="AD180" s="20"/>
      <c r="AE180" s="20"/>
      <c r="AF180" s="20"/>
      <c r="AG180" s="20"/>
      <c r="AH180" s="20"/>
      <c r="AI180" s="20"/>
      <c r="AJ180" s="20"/>
      <c r="AK180" s="20"/>
      <c r="AL180" s="20"/>
      <c r="AM180" s="20"/>
      <c r="AN180" s="20"/>
      <c r="AO180" s="20"/>
      <c r="AP180" s="20"/>
      <c r="AQ180" s="20"/>
      <c r="AR180" s="20"/>
      <c r="AS180" s="20"/>
      <c r="AT180" s="20"/>
      <c r="AU180" s="20"/>
      <c r="AV180" s="20"/>
    </row>
    <row r="181" spans="1:48" ht="17.25" hidden="1" customHeight="1">
      <c r="A181" s="15" t="s">
        <v>5786</v>
      </c>
      <c r="B181" s="124" t="s">
        <v>157</v>
      </c>
      <c r="C181" s="124" t="s">
        <v>5522</v>
      </c>
      <c r="D181" s="125" t="e">
        <f t="shared" ca="1" si="0"/>
        <v>#NAME?</v>
      </c>
      <c r="E181" s="126" t="str">
        <f t="shared" ca="1" si="1"/>
        <v>Not enough information entered</v>
      </c>
      <c r="F181" s="124" t="s">
        <v>6412</v>
      </c>
      <c r="G181" s="124" t="s">
        <v>5211</v>
      </c>
      <c r="H181" s="126">
        <v>0.06</v>
      </c>
      <c r="I181" s="124" t="s">
        <v>5186</v>
      </c>
      <c r="J181" s="126">
        <v>0.18</v>
      </c>
      <c r="K181" s="124" t="s">
        <v>5204</v>
      </c>
      <c r="L181" s="126">
        <v>0.02</v>
      </c>
      <c r="M181" s="124" t="s">
        <v>5200</v>
      </c>
      <c r="N181" s="126">
        <v>1.2E-2</v>
      </c>
      <c r="O181" s="124"/>
      <c r="P181" s="124"/>
      <c r="Q181" s="124"/>
      <c r="R181" s="124"/>
      <c r="S181" s="124"/>
      <c r="T181" s="124"/>
      <c r="U181" s="124" t="s">
        <v>5523</v>
      </c>
      <c r="V181" s="127">
        <f t="shared" si="2"/>
        <v>0.27200000000000002</v>
      </c>
      <c r="W181" s="126">
        <v>0</v>
      </c>
      <c r="X181" s="126">
        <v>0</v>
      </c>
      <c r="Y181" s="126">
        <v>10</v>
      </c>
      <c r="Z181" s="124"/>
      <c r="AA181" s="124" t="e">
        <f t="shared" ca="1" si="3"/>
        <v>#NAME?</v>
      </c>
      <c r="AB181" s="126">
        <f t="array" aca="1" ref="AB181" ca="1">IFERROR(J181/_xludf.XLOOKUP(I181,Materials!$A$3:$A$292,Materials!$I$3:$I$292),0)
+IFERROR(L181/_xludf.XLOOKUP(K181,Materials!$A$3:$A$292,Materials!$I$3:$I$292),0)
+IFERROR(N181/_xludf.XLOOKUP(M181,Materials!$A$3:$A$292,Materials!$I$3:$I$292),0)
+IFERROR(P181/_xludf.XLOOKUP(O181,Materials!$A$3:$A$292,Materials!$I$3:$I$292),0)
+IFERROR(R181/_xludf.XLOOKUP(Q181,Materials!$A$3:$A$292,Materials!$I$3:$I$292),0)
+IFERROR(H181/_xludf.XLOOKUP(G181,Materials!$A$3:$A$292,Materials!$I$3:$I$292),0)</f>
        <v>0</v>
      </c>
      <c r="AC181" s="20"/>
      <c r="AD181" s="20"/>
      <c r="AE181" s="20"/>
      <c r="AF181" s="20"/>
      <c r="AG181" s="20"/>
      <c r="AH181" s="20"/>
      <c r="AI181" s="20"/>
      <c r="AJ181" s="20"/>
      <c r="AK181" s="20"/>
      <c r="AL181" s="20"/>
      <c r="AM181" s="20"/>
      <c r="AN181" s="20"/>
      <c r="AO181" s="20"/>
      <c r="AP181" s="20"/>
      <c r="AQ181" s="20"/>
      <c r="AR181" s="20"/>
      <c r="AS181" s="20"/>
      <c r="AT181" s="20"/>
      <c r="AU181" s="20"/>
      <c r="AV181" s="20"/>
    </row>
    <row r="182" spans="1:48" ht="17.25" customHeight="1">
      <c r="A182" s="15" t="s">
        <v>5786</v>
      </c>
      <c r="B182" s="124" t="s">
        <v>154</v>
      </c>
      <c r="C182" s="124" t="s">
        <v>5524</v>
      </c>
      <c r="D182" s="125" t="e">
        <f t="shared" ca="1" si="0"/>
        <v>#NAME?</v>
      </c>
      <c r="E182" s="126" t="str">
        <f t="shared" ca="1" si="1"/>
        <v>Not enough information entered</v>
      </c>
      <c r="F182" s="124" t="s">
        <v>6258</v>
      </c>
      <c r="G182" s="124" t="s">
        <v>5211</v>
      </c>
      <c r="H182" s="126">
        <v>7.8E-2</v>
      </c>
      <c r="I182" s="124" t="s">
        <v>5186</v>
      </c>
      <c r="J182" s="126">
        <v>0.15</v>
      </c>
      <c r="K182" s="124" t="s">
        <v>5196</v>
      </c>
      <c r="L182" s="124">
        <v>0.03</v>
      </c>
      <c r="M182" s="124"/>
      <c r="N182" s="124"/>
      <c r="O182" s="124"/>
      <c r="P182" s="124"/>
      <c r="Q182" s="124"/>
      <c r="R182" s="124"/>
      <c r="S182" s="124"/>
      <c r="T182" s="124"/>
      <c r="U182" s="124" t="s">
        <v>5523</v>
      </c>
      <c r="V182" s="127">
        <f t="shared" si="2"/>
        <v>0.25800000000000001</v>
      </c>
      <c r="W182" s="124"/>
      <c r="X182" s="124"/>
      <c r="Y182" s="124"/>
      <c r="Z182" s="124"/>
      <c r="AA182" s="124" t="e">
        <f t="shared" ca="1" si="3"/>
        <v>#NAME?</v>
      </c>
      <c r="AB182" s="126">
        <f t="array" aca="1" ref="AB182" ca="1">IFERROR(J182/_xludf.XLOOKUP(I182,Materials!$A$3:$A$292,Materials!$I$3:$I$292),0)
+IFERROR(L182/_xludf.XLOOKUP(K182,Materials!$A$3:$A$292,Materials!$I$3:$I$292),0)
+IFERROR(N182/_xludf.XLOOKUP(M182,Materials!$A$3:$A$292,Materials!$I$3:$I$292),0)
+IFERROR(P182/_xludf.XLOOKUP(O182,Materials!$A$3:$A$292,Materials!$I$3:$I$292),0)
+IFERROR(R182/_xludf.XLOOKUP(Q182,Materials!$A$3:$A$292,Materials!$I$3:$I$292),0)
+IFERROR(H182/_xludf.XLOOKUP(G182,Materials!$A$3:$A$292,Materials!$I$3:$I$292),0)</f>
        <v>0</v>
      </c>
      <c r="AC182" s="20"/>
      <c r="AD182" s="20"/>
      <c r="AE182" s="20"/>
      <c r="AF182" s="20"/>
      <c r="AG182" s="20"/>
      <c r="AH182" s="20"/>
      <c r="AI182" s="20"/>
      <c r="AJ182" s="20"/>
      <c r="AK182" s="20"/>
      <c r="AL182" s="20"/>
      <c r="AM182" s="20"/>
      <c r="AN182" s="20"/>
      <c r="AO182" s="20"/>
      <c r="AP182" s="20"/>
      <c r="AQ182" s="20"/>
      <c r="AR182" s="20"/>
      <c r="AS182" s="20"/>
      <c r="AT182" s="20"/>
      <c r="AU182" s="20"/>
      <c r="AV182" s="20"/>
    </row>
    <row r="183" spans="1:48" ht="17.25" hidden="1" customHeight="1">
      <c r="A183" s="15" t="s">
        <v>5786</v>
      </c>
      <c r="B183" s="124" t="s">
        <v>160</v>
      </c>
      <c r="C183" s="124" t="s">
        <v>5526</v>
      </c>
      <c r="D183" s="125" t="e">
        <f t="shared" ca="1" si="0"/>
        <v>#NAME?</v>
      </c>
      <c r="E183" s="126" t="str">
        <f t="shared" ca="1" si="1"/>
        <v>Not enough information entered</v>
      </c>
      <c r="F183" s="124" t="s">
        <v>6606</v>
      </c>
      <c r="G183" s="124" t="s">
        <v>5211</v>
      </c>
      <c r="H183" s="126">
        <v>7.6999999999999999E-2</v>
      </c>
      <c r="I183" s="124" t="s">
        <v>5186</v>
      </c>
      <c r="J183" s="126">
        <v>0.18</v>
      </c>
      <c r="K183" s="124" t="s">
        <v>5196</v>
      </c>
      <c r="L183" s="124">
        <v>0.03</v>
      </c>
      <c r="M183" s="124"/>
      <c r="N183" s="124"/>
      <c r="O183" s="124"/>
      <c r="P183" s="124"/>
      <c r="Q183" s="124"/>
      <c r="R183" s="124"/>
      <c r="S183" s="124"/>
      <c r="T183" s="124"/>
      <c r="U183" s="124" t="s">
        <v>5523</v>
      </c>
      <c r="V183" s="127">
        <f t="shared" si="2"/>
        <v>0.28700000000000003</v>
      </c>
      <c r="W183" s="126">
        <v>0</v>
      </c>
      <c r="X183" s="126">
        <v>0</v>
      </c>
      <c r="Y183" s="126">
        <v>10</v>
      </c>
      <c r="Z183" s="124"/>
      <c r="AA183" s="124" t="e">
        <f t="shared" ca="1" si="3"/>
        <v>#NAME?</v>
      </c>
      <c r="AB183" s="126">
        <f t="array" aca="1" ref="AB183" ca="1">IFERROR(J183/_xludf.XLOOKUP(I183,Materials!$A$3:$A$292,Materials!$I$3:$I$292),0)
+IFERROR(L183/_xludf.XLOOKUP(K183,Materials!$A$3:$A$292,Materials!$I$3:$I$292),0)
+IFERROR(N183/_xludf.XLOOKUP(M183,Materials!$A$3:$A$292,Materials!$I$3:$I$292),0)
+IFERROR(P183/_xludf.XLOOKUP(O183,Materials!$A$3:$A$292,Materials!$I$3:$I$292),0)
+IFERROR(R183/_xludf.XLOOKUP(Q183,Materials!$A$3:$A$292,Materials!$I$3:$I$292),0)
+IFERROR(H183/_xludf.XLOOKUP(G183,Materials!$A$3:$A$292,Materials!$I$3:$I$292),0)</f>
        <v>0</v>
      </c>
      <c r="AC183" s="20"/>
      <c r="AD183" s="20"/>
      <c r="AE183" s="20"/>
      <c r="AF183" s="20"/>
      <c r="AG183" s="20"/>
      <c r="AH183" s="20"/>
      <c r="AI183" s="20"/>
      <c r="AJ183" s="20"/>
      <c r="AK183" s="20"/>
      <c r="AL183" s="20"/>
      <c r="AM183" s="20"/>
      <c r="AN183" s="20"/>
      <c r="AO183" s="20"/>
      <c r="AP183" s="20"/>
      <c r="AQ183" s="20"/>
      <c r="AR183" s="20"/>
      <c r="AS183" s="20"/>
      <c r="AT183" s="20"/>
      <c r="AU183" s="20"/>
      <c r="AV183" s="20"/>
    </row>
    <row r="184" spans="1:48" ht="17.25" hidden="1" customHeight="1">
      <c r="A184" s="15" t="s">
        <v>5787</v>
      </c>
      <c r="B184" s="124" t="s">
        <v>157</v>
      </c>
      <c r="C184" s="124" t="s">
        <v>5522</v>
      </c>
      <c r="D184" s="125" t="e">
        <f t="shared" ca="1" si="0"/>
        <v>#NAME?</v>
      </c>
      <c r="E184" s="126" t="str">
        <f t="shared" ca="1" si="1"/>
        <v>Not enough information entered</v>
      </c>
      <c r="F184" s="124" t="s">
        <v>6413</v>
      </c>
      <c r="G184" s="124" t="s">
        <v>5211</v>
      </c>
      <c r="H184" s="126">
        <v>6.9000000000000006E-2</v>
      </c>
      <c r="I184" s="124" t="s">
        <v>5186</v>
      </c>
      <c r="J184" s="126">
        <v>0.18</v>
      </c>
      <c r="K184" s="124" t="s">
        <v>5204</v>
      </c>
      <c r="L184" s="126">
        <v>0.02</v>
      </c>
      <c r="M184" s="124" t="s">
        <v>5200</v>
      </c>
      <c r="N184" s="126">
        <v>1.2E-2</v>
      </c>
      <c r="O184" s="124"/>
      <c r="P184" s="124"/>
      <c r="Q184" s="124"/>
      <c r="R184" s="124"/>
      <c r="S184" s="124"/>
      <c r="T184" s="124"/>
      <c r="U184" s="124" t="s">
        <v>5523</v>
      </c>
      <c r="V184" s="127">
        <f t="shared" si="2"/>
        <v>0.28100000000000003</v>
      </c>
      <c r="W184" s="126">
        <v>0</v>
      </c>
      <c r="X184" s="126">
        <v>0</v>
      </c>
      <c r="Y184" s="126">
        <v>10</v>
      </c>
      <c r="Z184" s="124"/>
      <c r="AA184" s="124" t="e">
        <f t="shared" ca="1" si="3"/>
        <v>#NAME?</v>
      </c>
      <c r="AB184" s="126">
        <f t="array" aca="1" ref="AB184" ca="1">IFERROR(J184/_xludf.XLOOKUP(I184,Materials!$A$3:$A$292,Materials!$I$3:$I$292),0)
+IFERROR(L184/_xludf.XLOOKUP(K184,Materials!$A$3:$A$292,Materials!$I$3:$I$292),0)
+IFERROR(N184/_xludf.XLOOKUP(M184,Materials!$A$3:$A$292,Materials!$I$3:$I$292),0)
+IFERROR(P184/_xludf.XLOOKUP(O184,Materials!$A$3:$A$292,Materials!$I$3:$I$292),0)
+IFERROR(R184/_xludf.XLOOKUP(Q184,Materials!$A$3:$A$292,Materials!$I$3:$I$292),0)
+IFERROR(H184/_xludf.XLOOKUP(G184,Materials!$A$3:$A$292,Materials!$I$3:$I$292),0)</f>
        <v>0</v>
      </c>
      <c r="AC184" s="20"/>
      <c r="AD184" s="20"/>
      <c r="AE184" s="20"/>
      <c r="AF184" s="20"/>
      <c r="AG184" s="20"/>
      <c r="AH184" s="20"/>
      <c r="AI184" s="20"/>
      <c r="AJ184" s="20"/>
      <c r="AK184" s="20"/>
      <c r="AL184" s="20"/>
      <c r="AM184" s="20"/>
      <c r="AN184" s="20"/>
      <c r="AO184" s="20"/>
      <c r="AP184" s="20"/>
      <c r="AQ184" s="20"/>
      <c r="AR184" s="20"/>
      <c r="AS184" s="20"/>
      <c r="AT184" s="20"/>
      <c r="AU184" s="20"/>
      <c r="AV184" s="20"/>
    </row>
    <row r="185" spans="1:48" ht="17.25" customHeight="1">
      <c r="A185" s="15" t="s">
        <v>5787</v>
      </c>
      <c r="B185" s="124" t="s">
        <v>154</v>
      </c>
      <c r="C185" s="124" t="s">
        <v>5524</v>
      </c>
      <c r="D185" s="125" t="e">
        <f t="shared" ca="1" si="0"/>
        <v>#NAME?</v>
      </c>
      <c r="E185" s="126" t="str">
        <f t="shared" ca="1" si="1"/>
        <v>Not enough information entered</v>
      </c>
      <c r="F185" s="124" t="s">
        <v>6259</v>
      </c>
      <c r="G185" s="124" t="s">
        <v>5211</v>
      </c>
      <c r="H185" s="126">
        <v>9.4E-2</v>
      </c>
      <c r="I185" s="124" t="s">
        <v>5186</v>
      </c>
      <c r="J185" s="126">
        <v>0.15</v>
      </c>
      <c r="K185" s="124" t="s">
        <v>5196</v>
      </c>
      <c r="L185" s="124">
        <v>0.03</v>
      </c>
      <c r="M185" s="124"/>
      <c r="N185" s="124"/>
      <c r="O185" s="124"/>
      <c r="P185" s="124"/>
      <c r="Q185" s="124"/>
      <c r="R185" s="124"/>
      <c r="S185" s="124"/>
      <c r="T185" s="124"/>
      <c r="U185" s="124" t="s">
        <v>5523</v>
      </c>
      <c r="V185" s="127">
        <f t="shared" si="2"/>
        <v>0.27400000000000002</v>
      </c>
      <c r="W185" s="124"/>
      <c r="X185" s="124"/>
      <c r="Y185" s="124"/>
      <c r="Z185" s="124"/>
      <c r="AA185" s="124" t="e">
        <f t="shared" ca="1" si="3"/>
        <v>#NAME?</v>
      </c>
      <c r="AB185" s="126">
        <f t="array" aca="1" ref="AB185" ca="1">IFERROR(J185/_xludf.XLOOKUP(I185,Materials!$A$3:$A$292,Materials!$I$3:$I$292),0)
+IFERROR(L185/_xludf.XLOOKUP(K185,Materials!$A$3:$A$292,Materials!$I$3:$I$292),0)
+IFERROR(N185/_xludf.XLOOKUP(M185,Materials!$A$3:$A$292,Materials!$I$3:$I$292),0)
+IFERROR(P185/_xludf.XLOOKUP(O185,Materials!$A$3:$A$292,Materials!$I$3:$I$292),0)
+IFERROR(R185/_xludf.XLOOKUP(Q185,Materials!$A$3:$A$292,Materials!$I$3:$I$292),0)
+IFERROR(H185/_xludf.XLOOKUP(G185,Materials!$A$3:$A$292,Materials!$I$3:$I$292),0)</f>
        <v>0</v>
      </c>
      <c r="AC185" s="20"/>
      <c r="AD185" s="20"/>
      <c r="AE185" s="20"/>
      <c r="AF185" s="20"/>
      <c r="AG185" s="20"/>
      <c r="AH185" s="20"/>
      <c r="AI185" s="20"/>
      <c r="AJ185" s="20"/>
      <c r="AK185" s="20"/>
      <c r="AL185" s="20"/>
      <c r="AM185" s="20"/>
      <c r="AN185" s="20"/>
      <c r="AO185" s="20"/>
      <c r="AP185" s="20"/>
      <c r="AQ185" s="20"/>
      <c r="AR185" s="20"/>
      <c r="AS185" s="20"/>
      <c r="AT185" s="20"/>
      <c r="AU185" s="20"/>
      <c r="AV185" s="20"/>
    </row>
    <row r="186" spans="1:48" ht="17.25" hidden="1" customHeight="1">
      <c r="A186" s="15" t="s">
        <v>5787</v>
      </c>
      <c r="B186" s="124" t="s">
        <v>160</v>
      </c>
      <c r="C186" s="124" t="s">
        <v>5526</v>
      </c>
      <c r="D186" s="125" t="e">
        <f t="shared" ca="1" si="0"/>
        <v>#NAME?</v>
      </c>
      <c r="E186" s="126" t="str">
        <f t="shared" ca="1" si="1"/>
        <v>Not enough information entered</v>
      </c>
      <c r="F186" s="124" t="s">
        <v>6607</v>
      </c>
      <c r="G186" s="124" t="s">
        <v>5211</v>
      </c>
      <c r="H186" s="126">
        <v>9.2999999999999999E-2</v>
      </c>
      <c r="I186" s="124" t="s">
        <v>5186</v>
      </c>
      <c r="J186" s="126">
        <v>0.18</v>
      </c>
      <c r="K186" s="124" t="s">
        <v>5196</v>
      </c>
      <c r="L186" s="124">
        <v>0.03</v>
      </c>
      <c r="M186" s="124"/>
      <c r="N186" s="124"/>
      <c r="O186" s="124"/>
      <c r="P186" s="124"/>
      <c r="Q186" s="124"/>
      <c r="R186" s="124"/>
      <c r="S186" s="124"/>
      <c r="T186" s="124"/>
      <c r="U186" s="124" t="s">
        <v>5523</v>
      </c>
      <c r="V186" s="127">
        <f t="shared" si="2"/>
        <v>0.30300000000000005</v>
      </c>
      <c r="W186" s="126">
        <v>0</v>
      </c>
      <c r="X186" s="126">
        <v>0</v>
      </c>
      <c r="Y186" s="126">
        <v>10</v>
      </c>
      <c r="Z186" s="124"/>
      <c r="AA186" s="124" t="e">
        <f t="shared" ca="1" si="3"/>
        <v>#NAME?</v>
      </c>
      <c r="AB186" s="126">
        <f t="array" aca="1" ref="AB186" ca="1">IFERROR(J186/_xludf.XLOOKUP(I186,Materials!$A$3:$A$292,Materials!$I$3:$I$292),0)
+IFERROR(L186/_xludf.XLOOKUP(K186,Materials!$A$3:$A$292,Materials!$I$3:$I$292),0)
+IFERROR(N186/_xludf.XLOOKUP(M186,Materials!$A$3:$A$292,Materials!$I$3:$I$292),0)
+IFERROR(P186/_xludf.XLOOKUP(O186,Materials!$A$3:$A$292,Materials!$I$3:$I$292),0)
+IFERROR(R186/_xludf.XLOOKUP(Q186,Materials!$A$3:$A$292,Materials!$I$3:$I$292),0)
+IFERROR(H186/_xludf.XLOOKUP(G186,Materials!$A$3:$A$292,Materials!$I$3:$I$292),0)</f>
        <v>0</v>
      </c>
      <c r="AC186" s="20"/>
      <c r="AD186" s="20"/>
      <c r="AE186" s="20"/>
      <c r="AF186" s="20"/>
      <c r="AG186" s="20"/>
      <c r="AH186" s="20"/>
      <c r="AI186" s="20"/>
      <c r="AJ186" s="20"/>
      <c r="AK186" s="20"/>
      <c r="AL186" s="20"/>
      <c r="AM186" s="20"/>
      <c r="AN186" s="20"/>
      <c r="AO186" s="20"/>
      <c r="AP186" s="20"/>
      <c r="AQ186" s="20"/>
      <c r="AR186" s="20"/>
      <c r="AS186" s="20"/>
      <c r="AT186" s="20"/>
      <c r="AU186" s="20"/>
      <c r="AV186" s="20"/>
    </row>
    <row r="187" spans="1:48" ht="17.25" hidden="1" customHeight="1">
      <c r="A187" s="15" t="s">
        <v>4850</v>
      </c>
      <c r="B187" s="124" t="s">
        <v>158</v>
      </c>
      <c r="C187" s="124" t="s">
        <v>5527</v>
      </c>
      <c r="D187" s="125" t="e">
        <f t="shared" ca="1" si="0"/>
        <v>#NAME?</v>
      </c>
      <c r="E187" s="126" t="str">
        <f t="shared" ca="1" si="1"/>
        <v>Not enough information entered</v>
      </c>
      <c r="F187" s="124" t="s">
        <v>6346</v>
      </c>
      <c r="G187" s="124" t="s">
        <v>5200</v>
      </c>
      <c r="H187" s="124">
        <v>1.2500000000000001E-2</v>
      </c>
      <c r="I187" s="124" t="s">
        <v>5204</v>
      </c>
      <c r="J187" s="124">
        <v>0.05</v>
      </c>
      <c r="K187" s="124" t="s">
        <v>5200</v>
      </c>
      <c r="L187" s="124">
        <v>1.2500000000000001E-2</v>
      </c>
      <c r="M187" s="124"/>
      <c r="N187" s="124"/>
      <c r="O187" s="124"/>
      <c r="P187" s="124"/>
      <c r="Q187" s="124"/>
      <c r="R187" s="124"/>
      <c r="S187" s="124"/>
      <c r="T187" s="124"/>
      <c r="U187" s="124" t="s">
        <v>5523</v>
      </c>
      <c r="V187" s="127">
        <f t="shared" si="2"/>
        <v>7.4999999999999997E-2</v>
      </c>
      <c r="W187" s="124"/>
      <c r="X187" s="124"/>
      <c r="Y187" s="124"/>
      <c r="Z187" s="124"/>
      <c r="AA187" s="124" t="e">
        <f t="shared" ca="1" si="3"/>
        <v>#NAME?</v>
      </c>
      <c r="AB187" s="126">
        <f t="array" aca="1" ref="AB187" ca="1">IFERROR(J187/_xludf.XLOOKUP(I187,Materials!$A$3:$A$292,Materials!$I$3:$I$292),0)
+IFERROR(L187/_xludf.XLOOKUP(K187,Materials!$A$3:$A$292,Materials!$I$3:$I$292),0)
+IFERROR(N187/_xludf.XLOOKUP(M187,Materials!$A$3:$A$292,Materials!$I$3:$I$292),0)
+IFERROR(P187/_xludf.XLOOKUP(O187,Materials!$A$3:$A$292,Materials!$I$3:$I$292),0)
+IFERROR(R187/_xludf.XLOOKUP(Q187,Materials!$A$3:$A$292,Materials!$I$3:$I$292),0)
+IFERROR(H187/_xludf.XLOOKUP(G187,Materials!$A$3:$A$292,Materials!$I$3:$I$292),0)</f>
        <v>0</v>
      </c>
      <c r="AC187" s="20"/>
      <c r="AD187" s="20"/>
      <c r="AE187" s="20"/>
      <c r="AF187" s="20"/>
      <c r="AG187" s="20"/>
      <c r="AH187" s="20"/>
      <c r="AI187" s="20"/>
      <c r="AJ187" s="20"/>
      <c r="AK187" s="20"/>
      <c r="AL187" s="20"/>
      <c r="AM187" s="20"/>
      <c r="AN187" s="20"/>
      <c r="AO187" s="20"/>
      <c r="AP187" s="20"/>
      <c r="AQ187" s="20"/>
      <c r="AR187" s="20"/>
      <c r="AS187" s="20"/>
      <c r="AT187" s="20"/>
      <c r="AU187" s="20"/>
      <c r="AV187" s="20"/>
    </row>
    <row r="188" spans="1:48" ht="17.25" hidden="1" customHeight="1">
      <c r="A188" s="15" t="s">
        <v>4850</v>
      </c>
      <c r="B188" s="124" t="s">
        <v>162</v>
      </c>
      <c r="C188" s="124" t="s">
        <v>5529</v>
      </c>
      <c r="D188" s="125" t="e">
        <f t="shared" ca="1" si="0"/>
        <v>#NAME?</v>
      </c>
      <c r="E188" s="126" t="str">
        <f t="shared" ca="1" si="1"/>
        <v>Not enough information entered</v>
      </c>
      <c r="F188" s="124" t="s">
        <v>6555</v>
      </c>
      <c r="G188" s="124" t="s">
        <v>5186</v>
      </c>
      <c r="H188" s="124">
        <v>0.18</v>
      </c>
      <c r="I188" s="124" t="s">
        <v>5196</v>
      </c>
      <c r="J188" s="124">
        <v>0.03</v>
      </c>
      <c r="K188" s="124"/>
      <c r="L188" s="124"/>
      <c r="M188" s="124"/>
      <c r="N188" s="124"/>
      <c r="O188" s="124"/>
      <c r="P188" s="124"/>
      <c r="Q188" s="124"/>
      <c r="R188" s="124"/>
      <c r="S188" s="124"/>
      <c r="T188" s="124"/>
      <c r="U188" s="124" t="s">
        <v>5523</v>
      </c>
      <c r="V188" s="127">
        <f t="shared" si="2"/>
        <v>0.21</v>
      </c>
      <c r="W188" s="124"/>
      <c r="X188" s="124"/>
      <c r="Y188" s="124"/>
      <c r="Z188" s="124"/>
      <c r="AA188" s="124" t="e">
        <f t="shared" ca="1" si="3"/>
        <v>#NAME?</v>
      </c>
      <c r="AB188" s="126">
        <f t="array" aca="1" ref="AB188" ca="1">IFERROR(J188/_xludf.XLOOKUP(I188,Materials!$A$3:$A$292,Materials!$I$3:$I$292),0)
+IFERROR(L188/_xludf.XLOOKUP(K188,Materials!$A$3:$A$292,Materials!$I$3:$I$292),0)
+IFERROR(N188/_xludf.XLOOKUP(M188,Materials!$A$3:$A$292,Materials!$I$3:$I$292),0)
+IFERROR(P188/_xludf.XLOOKUP(O188,Materials!$A$3:$A$292,Materials!$I$3:$I$292),0)
+IFERROR(R188/_xludf.XLOOKUP(Q188,Materials!$A$3:$A$292,Materials!$I$3:$I$292),0)
+IFERROR(H188/_xludf.XLOOKUP(G188,Materials!$A$3:$A$292,Materials!$I$3:$I$292),0)</f>
        <v>0</v>
      </c>
      <c r="AC188" s="20"/>
      <c r="AD188" s="20"/>
      <c r="AE188" s="20"/>
      <c r="AF188" s="20"/>
      <c r="AG188" s="20"/>
      <c r="AH188" s="20"/>
      <c r="AI188" s="20"/>
      <c r="AJ188" s="20"/>
      <c r="AK188" s="20"/>
      <c r="AL188" s="20"/>
      <c r="AM188" s="20"/>
      <c r="AN188" s="20"/>
      <c r="AO188" s="20"/>
      <c r="AP188" s="20"/>
      <c r="AQ188" s="20"/>
      <c r="AR188" s="20"/>
      <c r="AS188" s="20"/>
      <c r="AT188" s="20"/>
      <c r="AU188" s="20"/>
      <c r="AV188" s="20"/>
    </row>
    <row r="189" spans="1:48" ht="17.25" hidden="1" customHeight="1">
      <c r="A189" s="15" t="s">
        <v>4850</v>
      </c>
      <c r="B189" s="124" t="s">
        <v>159</v>
      </c>
      <c r="C189" s="124" t="s">
        <v>5530</v>
      </c>
      <c r="D189" s="125" t="e">
        <f t="shared" ca="1" si="0"/>
        <v>#NAME?</v>
      </c>
      <c r="E189" s="126" t="str">
        <f t="shared" ca="1" si="1"/>
        <v>Not enough information entered</v>
      </c>
      <c r="F189" s="124" t="s">
        <v>6660</v>
      </c>
      <c r="G189" s="124" t="s">
        <v>5186</v>
      </c>
      <c r="H189" s="124">
        <v>0.2</v>
      </c>
      <c r="I189" s="124" t="s">
        <v>5211</v>
      </c>
      <c r="J189" s="124">
        <v>0.05</v>
      </c>
      <c r="K189" s="124"/>
      <c r="L189" s="124"/>
      <c r="M189" s="124"/>
      <c r="N189" s="124"/>
      <c r="O189" s="124"/>
      <c r="P189" s="124"/>
      <c r="Q189" s="124"/>
      <c r="R189" s="124"/>
      <c r="S189" s="124"/>
      <c r="T189" s="124"/>
      <c r="U189" s="124" t="s">
        <v>5523</v>
      </c>
      <c r="V189" s="127">
        <f t="shared" si="2"/>
        <v>0.25</v>
      </c>
      <c r="W189" s="124"/>
      <c r="X189" s="124"/>
      <c r="Y189" s="124"/>
      <c r="Z189" s="124"/>
      <c r="AA189" s="124" t="e">
        <f t="shared" ca="1" si="3"/>
        <v>#NAME?</v>
      </c>
      <c r="AB189" s="126">
        <f t="array" aca="1" ref="AB189" ca="1">IFERROR(J189/_xludf.XLOOKUP(I189,Materials!$A$3:$A$292,Materials!$I$3:$I$292),0)
+IFERROR(L189/_xludf.XLOOKUP(K189,Materials!$A$3:$A$292,Materials!$I$3:$I$292),0)
+IFERROR(N189/_xludf.XLOOKUP(M189,Materials!$A$3:$A$292,Materials!$I$3:$I$292),0)
+IFERROR(P189/_xludf.XLOOKUP(O189,Materials!$A$3:$A$292,Materials!$I$3:$I$292),0)
+IFERROR(R189/_xludf.XLOOKUP(Q189,Materials!$A$3:$A$292,Materials!$I$3:$I$292),0)
+IFERROR(H189/_xludf.XLOOKUP(G189,Materials!$A$3:$A$292,Materials!$I$3:$I$292),0)</f>
        <v>0</v>
      </c>
      <c r="AC189" s="20"/>
      <c r="AD189" s="20"/>
      <c r="AE189" s="20"/>
      <c r="AF189" s="20"/>
      <c r="AG189" s="20"/>
      <c r="AH189" s="20"/>
      <c r="AI189" s="20"/>
      <c r="AJ189" s="20"/>
      <c r="AK189" s="20"/>
      <c r="AL189" s="20"/>
      <c r="AM189" s="20"/>
      <c r="AN189" s="20"/>
      <c r="AO189" s="20"/>
      <c r="AP189" s="20"/>
      <c r="AQ189" s="20"/>
      <c r="AR189" s="20"/>
      <c r="AS189" s="20"/>
      <c r="AT189" s="20"/>
      <c r="AU189" s="20"/>
      <c r="AV189" s="20"/>
    </row>
    <row r="190" spans="1:48" ht="17.25" hidden="1" customHeight="1">
      <c r="A190" s="15"/>
      <c r="B190" s="124"/>
      <c r="C190" s="124" t="s">
        <v>5532</v>
      </c>
      <c r="D190" s="125"/>
      <c r="E190" s="126"/>
      <c r="F190" s="124"/>
      <c r="G190" s="124"/>
      <c r="H190" s="124"/>
      <c r="I190" s="128"/>
      <c r="J190" s="124"/>
      <c r="K190" s="124"/>
      <c r="L190" s="124"/>
      <c r="M190" s="124"/>
      <c r="N190" s="124"/>
      <c r="O190" s="124"/>
      <c r="P190" s="124"/>
      <c r="Q190" s="124"/>
      <c r="R190" s="124"/>
      <c r="S190" s="124"/>
      <c r="T190" s="124"/>
      <c r="U190" s="124"/>
      <c r="V190" s="127"/>
      <c r="W190" s="124"/>
      <c r="X190" s="124"/>
      <c r="Y190" s="124"/>
      <c r="Z190" s="124"/>
      <c r="AA190" s="124"/>
      <c r="AB190" s="126"/>
      <c r="AC190" s="20"/>
      <c r="AD190" s="20"/>
      <c r="AE190" s="20"/>
      <c r="AF190" s="20"/>
      <c r="AG190" s="20"/>
      <c r="AH190" s="20"/>
      <c r="AI190" s="20"/>
      <c r="AJ190" s="20"/>
      <c r="AK190" s="20"/>
      <c r="AL190" s="20"/>
      <c r="AM190" s="20"/>
      <c r="AN190" s="20"/>
      <c r="AO190" s="20"/>
      <c r="AP190" s="20"/>
      <c r="AQ190" s="20"/>
      <c r="AR190" s="20"/>
      <c r="AS190" s="20"/>
      <c r="AT190" s="20"/>
      <c r="AU190" s="20"/>
      <c r="AV190" s="20"/>
    </row>
    <row r="191" spans="1:48" ht="17.25" hidden="1" customHeight="1">
      <c r="A191" s="15" t="s">
        <v>4850</v>
      </c>
      <c r="B191" s="124" t="s">
        <v>161</v>
      </c>
      <c r="C191" s="124" t="s">
        <v>5533</v>
      </c>
      <c r="D191" s="125" t="e">
        <f t="shared" ca="1" si="0"/>
        <v>#NAME?</v>
      </c>
      <c r="E191" s="126" t="str">
        <f t="shared" ca="1" si="1"/>
        <v>Not enough information entered</v>
      </c>
      <c r="F191" s="124" t="s">
        <v>6676</v>
      </c>
      <c r="G191" s="124" t="s">
        <v>5186</v>
      </c>
      <c r="H191" s="124">
        <v>0.18</v>
      </c>
      <c r="I191" s="124" t="s">
        <v>5207</v>
      </c>
      <c r="J191" s="124">
        <v>0.06</v>
      </c>
      <c r="K191" s="124" t="s">
        <v>5200</v>
      </c>
      <c r="L191" s="124">
        <v>1.2500000000000001E-2</v>
      </c>
      <c r="M191" s="124"/>
      <c r="N191" s="124"/>
      <c r="O191" s="124"/>
      <c r="P191" s="124"/>
      <c r="Q191" s="124"/>
      <c r="R191" s="124"/>
      <c r="S191" s="124"/>
      <c r="T191" s="124"/>
      <c r="U191" s="124" t="s">
        <v>5523</v>
      </c>
      <c r="V191" s="127">
        <f t="shared" si="2"/>
        <v>0.2525</v>
      </c>
      <c r="W191" s="124"/>
      <c r="X191" s="124"/>
      <c r="Y191" s="124"/>
      <c r="Z191" s="124"/>
      <c r="AA191" s="124" t="e">
        <f t="shared" ca="1" si="3"/>
        <v>#NAME?</v>
      </c>
      <c r="AB191" s="126">
        <f t="array" aca="1" ref="AB191" ca="1">IFERROR(J191/_xludf.XLOOKUP(I191,Materials!$A$3:$A$292,Materials!$I$3:$I$292),0)
+IFERROR(L191/_xludf.XLOOKUP(K191,Materials!$A$3:$A$292,Materials!$I$3:$I$292),0)
+IFERROR(N191/_xludf.XLOOKUP(M191,Materials!$A$3:$A$292,Materials!$I$3:$I$292),0)
+IFERROR(P191/_xludf.XLOOKUP(O191,Materials!$A$3:$A$292,Materials!$I$3:$I$292),0)
+IFERROR(R191/_xludf.XLOOKUP(Q191,Materials!$A$3:$A$292,Materials!$I$3:$I$292),0)
+IFERROR(H191/_xludf.XLOOKUP(G191,Materials!$A$3:$A$292,Materials!$I$3:$I$292),0)</f>
        <v>0</v>
      </c>
      <c r="AC191" s="20"/>
      <c r="AD191" s="20"/>
      <c r="AE191" s="20"/>
      <c r="AF191" s="20"/>
      <c r="AG191" s="20"/>
      <c r="AH191" s="20"/>
      <c r="AI191" s="20"/>
      <c r="AJ191" s="20"/>
      <c r="AK191" s="20"/>
      <c r="AL191" s="20"/>
      <c r="AM191" s="20"/>
      <c r="AN191" s="20"/>
      <c r="AO191" s="20"/>
      <c r="AP191" s="20"/>
      <c r="AQ191" s="20"/>
      <c r="AR191" s="20"/>
      <c r="AS191" s="20"/>
      <c r="AT191" s="20"/>
      <c r="AU191" s="20"/>
      <c r="AV191" s="20"/>
    </row>
    <row r="192" spans="1:48" ht="17.25" hidden="1" customHeight="1">
      <c r="A192" s="15" t="s">
        <v>5788</v>
      </c>
      <c r="B192" s="124" t="s">
        <v>157</v>
      </c>
      <c r="C192" s="124" t="s">
        <v>5522</v>
      </c>
      <c r="D192" s="125" t="e">
        <f t="shared" ca="1" si="0"/>
        <v>#NAME?</v>
      </c>
      <c r="E192" s="126" t="str">
        <f t="shared" ca="1" si="1"/>
        <v>Not enough information entered</v>
      </c>
      <c r="F192" s="124" t="s">
        <v>6414</v>
      </c>
      <c r="G192" s="124" t="s">
        <v>5186</v>
      </c>
      <c r="H192" s="126">
        <v>0.18</v>
      </c>
      <c r="I192" s="124" t="s">
        <v>5204</v>
      </c>
      <c r="J192" s="126">
        <v>0.02</v>
      </c>
      <c r="K192" s="124" t="s">
        <v>5200</v>
      </c>
      <c r="L192" s="126">
        <v>1.2E-2</v>
      </c>
      <c r="M192" s="124"/>
      <c r="N192" s="124"/>
      <c r="O192" s="124"/>
      <c r="P192" s="124"/>
      <c r="Q192" s="124"/>
      <c r="R192" s="124"/>
      <c r="S192" s="124"/>
      <c r="T192" s="124"/>
      <c r="U192" s="124" t="s">
        <v>5523</v>
      </c>
      <c r="V192" s="127">
        <f t="shared" si="2"/>
        <v>0.21199999999999999</v>
      </c>
      <c r="W192" s="126">
        <v>0</v>
      </c>
      <c r="X192" s="126">
        <v>0</v>
      </c>
      <c r="Y192" s="126">
        <v>10</v>
      </c>
      <c r="Z192" s="124"/>
      <c r="AA192" s="124" t="e">
        <f t="shared" ca="1" si="3"/>
        <v>#NAME?</v>
      </c>
      <c r="AB192" s="126">
        <f t="array" aca="1" ref="AB192" ca="1">IFERROR(J192/_xludf.XLOOKUP(I192,Materials!$A$3:$A$292,Materials!$I$3:$I$292),0)
+IFERROR(L192/_xludf.XLOOKUP(K192,Materials!$A$3:$A$292,Materials!$I$3:$I$292),0)
+IFERROR(N192/_xludf.XLOOKUP(M192,Materials!$A$3:$A$292,Materials!$I$3:$I$292),0)
+IFERROR(P192/_xludf.XLOOKUP(O192,Materials!$A$3:$A$292,Materials!$I$3:$I$292),0)
+IFERROR(R192/_xludf.XLOOKUP(Q192,Materials!$A$3:$A$292,Materials!$I$3:$I$292),0)
+IFERROR(H192/_xludf.XLOOKUP(G192,Materials!$A$3:$A$292,Materials!$I$3:$I$292),0)</f>
        <v>0</v>
      </c>
      <c r="AC192" s="20"/>
      <c r="AD192" s="20"/>
      <c r="AE192" s="20"/>
      <c r="AF192" s="20"/>
      <c r="AG192" s="20"/>
      <c r="AH192" s="20"/>
      <c r="AI192" s="20"/>
      <c r="AJ192" s="20"/>
      <c r="AK192" s="20"/>
      <c r="AL192" s="20"/>
      <c r="AM192" s="20"/>
      <c r="AN192" s="20"/>
      <c r="AO192" s="20"/>
      <c r="AP192" s="20"/>
      <c r="AQ192" s="20"/>
      <c r="AR192" s="20"/>
      <c r="AS192" s="20"/>
      <c r="AT192" s="20"/>
      <c r="AU192" s="20"/>
      <c r="AV192" s="20"/>
    </row>
    <row r="193" spans="1:48" ht="17.25" customHeight="1">
      <c r="A193" s="15" t="s">
        <v>5788</v>
      </c>
      <c r="B193" s="124" t="s">
        <v>154</v>
      </c>
      <c r="C193" s="124" t="s">
        <v>5524</v>
      </c>
      <c r="D193" s="125" t="e">
        <f t="shared" ca="1" si="0"/>
        <v>#NAME?</v>
      </c>
      <c r="E193" s="126" t="str">
        <f t="shared" ca="1" si="1"/>
        <v>Not enough information entered</v>
      </c>
      <c r="F193" s="124" t="s">
        <v>6260</v>
      </c>
      <c r="G193" s="124" t="s">
        <v>5186</v>
      </c>
      <c r="H193" s="126">
        <v>0.15</v>
      </c>
      <c r="I193" s="124" t="s">
        <v>5196</v>
      </c>
      <c r="J193" s="126">
        <v>0.03</v>
      </c>
      <c r="K193" s="124"/>
      <c r="L193" s="124"/>
      <c r="M193" s="124"/>
      <c r="N193" s="124"/>
      <c r="O193" s="124"/>
      <c r="P193" s="124"/>
      <c r="Q193" s="124"/>
      <c r="R193" s="124"/>
      <c r="S193" s="124"/>
      <c r="T193" s="124"/>
      <c r="U193" s="124" t="s">
        <v>5523</v>
      </c>
      <c r="V193" s="127">
        <f t="shared" si="2"/>
        <v>0.18</v>
      </c>
      <c r="W193" s="124"/>
      <c r="X193" s="124"/>
      <c r="Y193" s="124"/>
      <c r="Z193" s="124"/>
      <c r="AA193" s="124" t="e">
        <f t="shared" ca="1" si="3"/>
        <v>#NAME?</v>
      </c>
      <c r="AB193" s="126">
        <f t="array" aca="1" ref="AB193" ca="1">IFERROR(J193/_xludf.XLOOKUP(I193,Materials!$A$3:$A$292,Materials!$I$3:$I$292),0)
+IFERROR(L193/_xludf.XLOOKUP(K193,Materials!$A$3:$A$292,Materials!$I$3:$I$292),0)
+IFERROR(N193/_xludf.XLOOKUP(M193,Materials!$A$3:$A$292,Materials!$I$3:$I$292),0)
+IFERROR(P193/_xludf.XLOOKUP(O193,Materials!$A$3:$A$292,Materials!$I$3:$I$292),0)
+IFERROR(R193/_xludf.XLOOKUP(Q193,Materials!$A$3:$A$292,Materials!$I$3:$I$292),0)
+IFERROR(H193/_xludf.XLOOKUP(G193,Materials!$A$3:$A$292,Materials!$I$3:$I$292),0)</f>
        <v>0</v>
      </c>
      <c r="AC193" s="20"/>
      <c r="AD193" s="20"/>
      <c r="AE193" s="20"/>
      <c r="AF193" s="20"/>
      <c r="AG193" s="20"/>
      <c r="AH193" s="20"/>
      <c r="AI193" s="20"/>
      <c r="AJ193" s="20"/>
      <c r="AK193" s="20"/>
      <c r="AL193" s="20"/>
      <c r="AM193" s="20"/>
      <c r="AN193" s="20"/>
      <c r="AO193" s="20"/>
      <c r="AP193" s="20"/>
      <c r="AQ193" s="20"/>
      <c r="AR193" s="20"/>
      <c r="AS193" s="20"/>
      <c r="AT193" s="20"/>
      <c r="AU193" s="20"/>
      <c r="AV193" s="20"/>
    </row>
    <row r="194" spans="1:48" ht="17.25" hidden="1" customHeight="1">
      <c r="A194" s="15" t="s">
        <v>5788</v>
      </c>
      <c r="B194" s="124" t="s">
        <v>160</v>
      </c>
      <c r="C194" s="124" t="s">
        <v>5526</v>
      </c>
      <c r="D194" s="125" t="e">
        <f t="shared" ca="1" si="0"/>
        <v>#NAME?</v>
      </c>
      <c r="E194" s="126" t="str">
        <f t="shared" ca="1" si="1"/>
        <v>Not enough information entered</v>
      </c>
      <c r="F194" s="124" t="s">
        <v>6608</v>
      </c>
      <c r="G194" s="124" t="s">
        <v>5186</v>
      </c>
      <c r="H194" s="126">
        <v>0.18</v>
      </c>
      <c r="I194" s="124" t="s">
        <v>5196</v>
      </c>
      <c r="J194" s="126">
        <v>0.03</v>
      </c>
      <c r="K194" s="124"/>
      <c r="L194" s="124"/>
      <c r="M194" s="124"/>
      <c r="N194" s="124"/>
      <c r="O194" s="124"/>
      <c r="P194" s="124"/>
      <c r="Q194" s="124"/>
      <c r="R194" s="124"/>
      <c r="S194" s="124"/>
      <c r="T194" s="124"/>
      <c r="U194" s="124" t="s">
        <v>5523</v>
      </c>
      <c r="V194" s="127">
        <f t="shared" si="2"/>
        <v>0.21</v>
      </c>
      <c r="W194" s="126">
        <v>0</v>
      </c>
      <c r="X194" s="126">
        <v>0</v>
      </c>
      <c r="Y194" s="126">
        <v>10</v>
      </c>
      <c r="Z194" s="124"/>
      <c r="AA194" s="124" t="e">
        <f t="shared" ca="1" si="3"/>
        <v>#NAME?</v>
      </c>
      <c r="AB194" s="126">
        <f t="array" aca="1" ref="AB194" ca="1">IFERROR(J194/_xludf.XLOOKUP(I194,Materials!$A$3:$A$292,Materials!$I$3:$I$292),0)
+IFERROR(L194/_xludf.XLOOKUP(K194,Materials!$A$3:$A$292,Materials!$I$3:$I$292),0)
+IFERROR(N194/_xludf.XLOOKUP(M194,Materials!$A$3:$A$292,Materials!$I$3:$I$292),0)
+IFERROR(P194/_xludf.XLOOKUP(O194,Materials!$A$3:$A$292,Materials!$I$3:$I$292),0)
+IFERROR(R194/_xludf.XLOOKUP(Q194,Materials!$A$3:$A$292,Materials!$I$3:$I$292),0)
+IFERROR(H194/_xludf.XLOOKUP(G194,Materials!$A$3:$A$292,Materials!$I$3:$I$292),0)</f>
        <v>0</v>
      </c>
      <c r="AC194" s="20"/>
      <c r="AD194" s="20"/>
      <c r="AE194" s="20"/>
      <c r="AF194" s="20"/>
      <c r="AG194" s="20"/>
      <c r="AH194" s="20"/>
      <c r="AI194" s="20"/>
      <c r="AJ194" s="20"/>
      <c r="AK194" s="20"/>
      <c r="AL194" s="20"/>
      <c r="AM194" s="20"/>
      <c r="AN194" s="20"/>
      <c r="AO194" s="20"/>
      <c r="AP194" s="20"/>
      <c r="AQ194" s="20"/>
      <c r="AR194" s="20"/>
      <c r="AS194" s="20"/>
      <c r="AT194" s="20"/>
      <c r="AU194" s="20"/>
      <c r="AV194" s="20"/>
    </row>
    <row r="195" spans="1:48" ht="17.25" hidden="1" customHeight="1">
      <c r="A195" s="15" t="s">
        <v>5789</v>
      </c>
      <c r="B195" s="124" t="s">
        <v>157</v>
      </c>
      <c r="C195" s="124" t="s">
        <v>5522</v>
      </c>
      <c r="D195" s="125" t="e">
        <f t="shared" ca="1" si="0"/>
        <v>#NAME?</v>
      </c>
      <c r="E195" s="126" t="str">
        <f t="shared" ca="1" si="1"/>
        <v>Not enough information entered</v>
      </c>
      <c r="F195" s="124" t="s">
        <v>6415</v>
      </c>
      <c r="G195" s="124" t="s">
        <v>5211</v>
      </c>
      <c r="H195" s="126">
        <v>0.03</v>
      </c>
      <c r="I195" s="124" t="s">
        <v>5186</v>
      </c>
      <c r="J195" s="126">
        <v>0.18</v>
      </c>
      <c r="K195" s="124" t="s">
        <v>5204</v>
      </c>
      <c r="L195" s="126">
        <v>0.02</v>
      </c>
      <c r="M195" s="124" t="s">
        <v>5200</v>
      </c>
      <c r="N195" s="124">
        <v>1.2E-2</v>
      </c>
      <c r="O195" s="124"/>
      <c r="P195" s="124"/>
      <c r="Q195" s="124"/>
      <c r="R195" s="124"/>
      <c r="S195" s="124"/>
      <c r="T195" s="124"/>
      <c r="U195" s="124" t="s">
        <v>5523</v>
      </c>
      <c r="V195" s="127">
        <f t="shared" si="2"/>
        <v>0.24199999999999999</v>
      </c>
      <c r="W195" s="126">
        <v>0</v>
      </c>
      <c r="X195" s="126">
        <v>0</v>
      </c>
      <c r="Y195" s="126">
        <v>10</v>
      </c>
      <c r="Z195" s="124"/>
      <c r="AA195" s="124" t="e">
        <f t="shared" ca="1" si="3"/>
        <v>#NAME?</v>
      </c>
      <c r="AB195" s="126">
        <f t="array" aca="1" ref="AB195" ca="1">IFERROR(J195/_xludf.XLOOKUP(I195,Materials!$A$3:$A$292,Materials!$I$3:$I$292),0)
+IFERROR(L195/_xludf.XLOOKUP(K195,Materials!$A$3:$A$292,Materials!$I$3:$I$292),0)
+IFERROR(N195/_xludf.XLOOKUP(M195,Materials!$A$3:$A$292,Materials!$I$3:$I$292),0)
+IFERROR(P195/_xludf.XLOOKUP(O195,Materials!$A$3:$A$292,Materials!$I$3:$I$292),0)
+IFERROR(R195/_xludf.XLOOKUP(Q195,Materials!$A$3:$A$292,Materials!$I$3:$I$292),0)
+IFERROR(H195/_xludf.XLOOKUP(G195,Materials!$A$3:$A$292,Materials!$I$3:$I$292),0)</f>
        <v>0</v>
      </c>
      <c r="AC195" s="20"/>
      <c r="AD195" s="20"/>
      <c r="AE195" s="20"/>
      <c r="AF195" s="20"/>
      <c r="AG195" s="20"/>
      <c r="AH195" s="20"/>
      <c r="AI195" s="20"/>
      <c r="AJ195" s="20"/>
      <c r="AK195" s="20"/>
      <c r="AL195" s="20"/>
      <c r="AM195" s="20"/>
      <c r="AN195" s="20"/>
      <c r="AO195" s="20"/>
      <c r="AP195" s="20"/>
      <c r="AQ195" s="20"/>
      <c r="AR195" s="20"/>
      <c r="AS195" s="20"/>
      <c r="AT195" s="20"/>
      <c r="AU195" s="20"/>
      <c r="AV195" s="20"/>
    </row>
    <row r="196" spans="1:48" ht="17.25" customHeight="1">
      <c r="A196" s="15" t="s">
        <v>5789</v>
      </c>
      <c r="B196" s="124" t="s">
        <v>154</v>
      </c>
      <c r="C196" s="124" t="s">
        <v>5524</v>
      </c>
      <c r="D196" s="125" t="e">
        <f t="shared" ca="1" si="0"/>
        <v>#NAME?</v>
      </c>
      <c r="E196" s="126" t="str">
        <f t="shared" ca="1" si="1"/>
        <v>Not enough information entered</v>
      </c>
      <c r="F196" s="124" t="s">
        <v>6261</v>
      </c>
      <c r="G196" s="124" t="s">
        <v>5211</v>
      </c>
      <c r="H196" s="126">
        <v>5.8000000000000003E-2</v>
      </c>
      <c r="I196" s="124" t="s">
        <v>5186</v>
      </c>
      <c r="J196" s="126">
        <v>0.15</v>
      </c>
      <c r="K196" s="124" t="s">
        <v>5196</v>
      </c>
      <c r="L196" s="124">
        <v>0.03</v>
      </c>
      <c r="M196" s="124"/>
      <c r="N196" s="124"/>
      <c r="O196" s="124"/>
      <c r="P196" s="124"/>
      <c r="Q196" s="124"/>
      <c r="R196" s="124"/>
      <c r="S196" s="124"/>
      <c r="T196" s="124"/>
      <c r="U196" s="124" t="s">
        <v>5523</v>
      </c>
      <c r="V196" s="127">
        <f t="shared" si="2"/>
        <v>0.23799999999999999</v>
      </c>
      <c r="W196" s="124"/>
      <c r="X196" s="124"/>
      <c r="Y196" s="124"/>
      <c r="Z196" s="124"/>
      <c r="AA196" s="124" t="e">
        <f t="shared" ca="1" si="3"/>
        <v>#NAME?</v>
      </c>
      <c r="AB196" s="126">
        <f t="array" aca="1" ref="AB196" ca="1">IFERROR(J196/_xludf.XLOOKUP(I196,Materials!$A$3:$A$292,Materials!$I$3:$I$292),0)
+IFERROR(L196/_xludf.XLOOKUP(K196,Materials!$A$3:$A$292,Materials!$I$3:$I$292),0)
+IFERROR(N196/_xludf.XLOOKUP(M196,Materials!$A$3:$A$292,Materials!$I$3:$I$292),0)
+IFERROR(P196/_xludf.XLOOKUP(O196,Materials!$A$3:$A$292,Materials!$I$3:$I$292),0)
+IFERROR(R196/_xludf.XLOOKUP(Q196,Materials!$A$3:$A$292,Materials!$I$3:$I$292),0)
+IFERROR(H196/_xludf.XLOOKUP(G196,Materials!$A$3:$A$292,Materials!$I$3:$I$292),0)</f>
        <v>0</v>
      </c>
      <c r="AC196" s="20"/>
      <c r="AD196" s="20"/>
      <c r="AE196" s="20"/>
      <c r="AF196" s="20"/>
      <c r="AG196" s="20"/>
      <c r="AH196" s="20"/>
      <c r="AI196" s="20"/>
      <c r="AJ196" s="20"/>
      <c r="AK196" s="20"/>
      <c r="AL196" s="20"/>
      <c r="AM196" s="20"/>
      <c r="AN196" s="20"/>
      <c r="AO196" s="20"/>
      <c r="AP196" s="20"/>
      <c r="AQ196" s="20"/>
      <c r="AR196" s="20"/>
      <c r="AS196" s="20"/>
      <c r="AT196" s="20"/>
      <c r="AU196" s="20"/>
      <c r="AV196" s="20"/>
    </row>
    <row r="197" spans="1:48" ht="17.25" hidden="1" customHeight="1">
      <c r="A197" s="15" t="s">
        <v>5789</v>
      </c>
      <c r="B197" s="124" t="s">
        <v>160</v>
      </c>
      <c r="C197" s="124" t="s">
        <v>5526</v>
      </c>
      <c r="D197" s="125" t="e">
        <f t="shared" ca="1" si="0"/>
        <v>#NAME?</v>
      </c>
      <c r="E197" s="126" t="str">
        <f t="shared" ca="1" si="1"/>
        <v>Not enough information entered</v>
      </c>
      <c r="F197" s="124" t="s">
        <v>6609</v>
      </c>
      <c r="G197" s="124" t="s">
        <v>5211</v>
      </c>
      <c r="H197" s="126">
        <v>4.7E-2</v>
      </c>
      <c r="I197" s="124" t="s">
        <v>5186</v>
      </c>
      <c r="J197" s="126">
        <v>0.18</v>
      </c>
      <c r="K197" s="124" t="s">
        <v>5196</v>
      </c>
      <c r="L197" s="124">
        <v>0.03</v>
      </c>
      <c r="M197" s="124"/>
      <c r="N197" s="124"/>
      <c r="O197" s="124"/>
      <c r="P197" s="124"/>
      <c r="Q197" s="124"/>
      <c r="R197" s="124"/>
      <c r="S197" s="124"/>
      <c r="T197" s="124"/>
      <c r="U197" s="124" t="s">
        <v>5523</v>
      </c>
      <c r="V197" s="127">
        <f t="shared" si="2"/>
        <v>0.25700000000000001</v>
      </c>
      <c r="W197" s="126">
        <v>0</v>
      </c>
      <c r="X197" s="126">
        <v>0</v>
      </c>
      <c r="Y197" s="126">
        <v>10</v>
      </c>
      <c r="Z197" s="124"/>
      <c r="AA197" s="124" t="e">
        <f t="shared" ca="1" si="3"/>
        <v>#NAME?</v>
      </c>
      <c r="AB197" s="126">
        <f t="array" aca="1" ref="AB197" ca="1">IFERROR(J197/_xludf.XLOOKUP(I197,Materials!$A$3:$A$292,Materials!$I$3:$I$292),0)
+IFERROR(L197/_xludf.XLOOKUP(K197,Materials!$A$3:$A$292,Materials!$I$3:$I$292),0)
+IFERROR(N197/_xludf.XLOOKUP(M197,Materials!$A$3:$A$292,Materials!$I$3:$I$292),0)
+IFERROR(P197/_xludf.XLOOKUP(O197,Materials!$A$3:$A$292,Materials!$I$3:$I$292),0)
+IFERROR(R197/_xludf.XLOOKUP(Q197,Materials!$A$3:$A$292,Materials!$I$3:$I$292),0)
+IFERROR(H197/_xludf.XLOOKUP(G197,Materials!$A$3:$A$292,Materials!$I$3:$I$292),0)</f>
        <v>0</v>
      </c>
      <c r="AC197" s="20"/>
      <c r="AD197" s="20"/>
      <c r="AE197" s="20"/>
      <c r="AF197" s="20"/>
      <c r="AG197" s="20"/>
      <c r="AH197" s="20"/>
      <c r="AI197" s="20"/>
      <c r="AJ197" s="20"/>
      <c r="AK197" s="20"/>
      <c r="AL197" s="20"/>
      <c r="AM197" s="20"/>
      <c r="AN197" s="20"/>
      <c r="AO197" s="20"/>
      <c r="AP197" s="20"/>
      <c r="AQ197" s="20"/>
      <c r="AR197" s="20"/>
      <c r="AS197" s="20"/>
      <c r="AT197" s="20"/>
      <c r="AU197" s="20"/>
      <c r="AV197" s="20"/>
    </row>
    <row r="198" spans="1:48" ht="17.25" hidden="1" customHeight="1">
      <c r="A198" s="15" t="s">
        <v>5790</v>
      </c>
      <c r="B198" s="124" t="s">
        <v>157</v>
      </c>
      <c r="C198" s="124" t="s">
        <v>5522</v>
      </c>
      <c r="D198" s="125" t="e">
        <f t="shared" ca="1" si="0"/>
        <v>#NAME?</v>
      </c>
      <c r="E198" s="126" t="str">
        <f t="shared" ca="1" si="1"/>
        <v>Not enough information entered</v>
      </c>
      <c r="F198" s="124" t="s">
        <v>6416</v>
      </c>
      <c r="G198" s="124" t="s">
        <v>5211</v>
      </c>
      <c r="H198" s="126">
        <v>0.04</v>
      </c>
      <c r="I198" s="124" t="s">
        <v>5186</v>
      </c>
      <c r="J198" s="126">
        <v>0.18</v>
      </c>
      <c r="K198" s="124" t="s">
        <v>5204</v>
      </c>
      <c r="L198" s="126">
        <v>0.02</v>
      </c>
      <c r="M198" s="124" t="s">
        <v>5200</v>
      </c>
      <c r="N198" s="124">
        <v>1.2E-2</v>
      </c>
      <c r="O198" s="124"/>
      <c r="P198" s="124"/>
      <c r="Q198" s="124"/>
      <c r="R198" s="124"/>
      <c r="S198" s="124"/>
      <c r="T198" s="124"/>
      <c r="U198" s="124" t="s">
        <v>5523</v>
      </c>
      <c r="V198" s="127">
        <f t="shared" si="2"/>
        <v>0.252</v>
      </c>
      <c r="W198" s="126">
        <v>0</v>
      </c>
      <c r="X198" s="126">
        <v>0</v>
      </c>
      <c r="Y198" s="126">
        <v>10</v>
      </c>
      <c r="Z198" s="124"/>
      <c r="AA198" s="124" t="e">
        <f t="shared" ca="1" si="3"/>
        <v>#NAME?</v>
      </c>
      <c r="AB198" s="126">
        <f t="array" aca="1" ref="AB198" ca="1">IFERROR(J198/_xludf.XLOOKUP(I198,Materials!$A$3:$A$292,Materials!$I$3:$I$292),0)
+IFERROR(L198/_xludf.XLOOKUP(K198,Materials!$A$3:$A$292,Materials!$I$3:$I$292),0)
+IFERROR(N198/_xludf.XLOOKUP(M198,Materials!$A$3:$A$292,Materials!$I$3:$I$292),0)
+IFERROR(P198/_xludf.XLOOKUP(O198,Materials!$A$3:$A$292,Materials!$I$3:$I$292),0)
+IFERROR(R198/_xludf.XLOOKUP(Q198,Materials!$A$3:$A$292,Materials!$I$3:$I$292),0)
+IFERROR(H198/_xludf.XLOOKUP(G198,Materials!$A$3:$A$292,Materials!$I$3:$I$292),0)</f>
        <v>0</v>
      </c>
      <c r="AC198" s="20"/>
      <c r="AD198" s="20"/>
      <c r="AE198" s="20"/>
      <c r="AF198" s="20"/>
      <c r="AG198" s="20"/>
      <c r="AH198" s="20"/>
      <c r="AI198" s="20"/>
      <c r="AJ198" s="20"/>
      <c r="AK198" s="20"/>
      <c r="AL198" s="20"/>
      <c r="AM198" s="20"/>
      <c r="AN198" s="20"/>
      <c r="AO198" s="20"/>
      <c r="AP198" s="20"/>
      <c r="AQ198" s="20"/>
      <c r="AR198" s="20"/>
      <c r="AS198" s="20"/>
      <c r="AT198" s="20"/>
      <c r="AU198" s="20"/>
      <c r="AV198" s="20"/>
    </row>
    <row r="199" spans="1:48" ht="17.25" customHeight="1">
      <c r="A199" s="15" t="s">
        <v>5790</v>
      </c>
      <c r="B199" s="124" t="s">
        <v>154</v>
      </c>
      <c r="C199" s="124" t="s">
        <v>5524</v>
      </c>
      <c r="D199" s="125" t="e">
        <f t="shared" ca="1" si="0"/>
        <v>#NAME?</v>
      </c>
      <c r="E199" s="126" t="str">
        <f t="shared" ca="1" si="1"/>
        <v>Not enough information entered</v>
      </c>
      <c r="F199" s="124" t="s">
        <v>6262</v>
      </c>
      <c r="G199" s="124" t="s">
        <v>5211</v>
      </c>
      <c r="H199" s="126">
        <v>5.8999999999999997E-2</v>
      </c>
      <c r="I199" s="124" t="s">
        <v>5186</v>
      </c>
      <c r="J199" s="126">
        <v>0.15</v>
      </c>
      <c r="K199" s="124" t="s">
        <v>5196</v>
      </c>
      <c r="L199" s="124">
        <v>0.03</v>
      </c>
      <c r="M199" s="124"/>
      <c r="N199" s="124"/>
      <c r="O199" s="124"/>
      <c r="P199" s="124"/>
      <c r="Q199" s="124"/>
      <c r="R199" s="124"/>
      <c r="S199" s="124"/>
      <c r="T199" s="124"/>
      <c r="U199" s="124" t="s">
        <v>5523</v>
      </c>
      <c r="V199" s="127">
        <f t="shared" si="2"/>
        <v>0.23899999999999999</v>
      </c>
      <c r="W199" s="124"/>
      <c r="X199" s="124"/>
      <c r="Y199" s="124"/>
      <c r="Z199" s="124"/>
      <c r="AA199" s="124" t="e">
        <f t="shared" ca="1" si="3"/>
        <v>#NAME?</v>
      </c>
      <c r="AB199" s="126">
        <f t="array" aca="1" ref="AB199" ca="1">IFERROR(J199/_xludf.XLOOKUP(I199,Materials!$A$3:$A$292,Materials!$I$3:$I$292),0)
+IFERROR(L199/_xludf.XLOOKUP(K199,Materials!$A$3:$A$292,Materials!$I$3:$I$292),0)
+IFERROR(N199/_xludf.XLOOKUP(M199,Materials!$A$3:$A$292,Materials!$I$3:$I$292),0)
+IFERROR(P199/_xludf.XLOOKUP(O199,Materials!$A$3:$A$292,Materials!$I$3:$I$292),0)
+IFERROR(R199/_xludf.XLOOKUP(Q199,Materials!$A$3:$A$292,Materials!$I$3:$I$292),0)
+IFERROR(H199/_xludf.XLOOKUP(G199,Materials!$A$3:$A$292,Materials!$I$3:$I$292),0)</f>
        <v>0</v>
      </c>
      <c r="AC199" s="20"/>
      <c r="AD199" s="20"/>
      <c r="AE199" s="20"/>
      <c r="AF199" s="20"/>
      <c r="AG199" s="20"/>
      <c r="AH199" s="20"/>
      <c r="AI199" s="20"/>
      <c r="AJ199" s="20"/>
      <c r="AK199" s="20"/>
      <c r="AL199" s="20"/>
      <c r="AM199" s="20"/>
      <c r="AN199" s="20"/>
      <c r="AO199" s="20"/>
      <c r="AP199" s="20"/>
      <c r="AQ199" s="20"/>
      <c r="AR199" s="20"/>
      <c r="AS199" s="20"/>
      <c r="AT199" s="20"/>
      <c r="AU199" s="20"/>
      <c r="AV199" s="20"/>
    </row>
    <row r="200" spans="1:48" ht="17.25" hidden="1" customHeight="1">
      <c r="A200" s="15" t="s">
        <v>5790</v>
      </c>
      <c r="B200" s="124" t="s">
        <v>160</v>
      </c>
      <c r="C200" s="124" t="s">
        <v>5526</v>
      </c>
      <c r="D200" s="125" t="e">
        <f t="shared" ca="1" si="0"/>
        <v>#NAME?</v>
      </c>
      <c r="E200" s="126" t="str">
        <f t="shared" ca="1" si="1"/>
        <v>Not enough information entered</v>
      </c>
      <c r="F200" s="124" t="s">
        <v>6610</v>
      </c>
      <c r="G200" s="124" t="s">
        <v>5211</v>
      </c>
      <c r="H200" s="126">
        <v>5.8000000000000003E-2</v>
      </c>
      <c r="I200" s="124" t="s">
        <v>5186</v>
      </c>
      <c r="J200" s="126">
        <v>0.18</v>
      </c>
      <c r="K200" s="124" t="s">
        <v>5196</v>
      </c>
      <c r="L200" s="124">
        <v>0.03</v>
      </c>
      <c r="M200" s="124"/>
      <c r="N200" s="124"/>
      <c r="O200" s="124"/>
      <c r="P200" s="124"/>
      <c r="Q200" s="124"/>
      <c r="R200" s="124"/>
      <c r="S200" s="124"/>
      <c r="T200" s="124"/>
      <c r="U200" s="124" t="s">
        <v>5523</v>
      </c>
      <c r="V200" s="127">
        <f t="shared" si="2"/>
        <v>0.26800000000000002</v>
      </c>
      <c r="W200" s="126">
        <v>0</v>
      </c>
      <c r="X200" s="126">
        <v>0</v>
      </c>
      <c r="Y200" s="126">
        <v>10</v>
      </c>
      <c r="Z200" s="124"/>
      <c r="AA200" s="124" t="e">
        <f t="shared" ca="1" si="3"/>
        <v>#NAME?</v>
      </c>
      <c r="AB200" s="126">
        <f t="array" aca="1" ref="AB200" ca="1">IFERROR(J200/_xludf.XLOOKUP(I200,Materials!$A$3:$A$292,Materials!$I$3:$I$292),0)
+IFERROR(L200/_xludf.XLOOKUP(K200,Materials!$A$3:$A$292,Materials!$I$3:$I$292),0)
+IFERROR(N200/_xludf.XLOOKUP(M200,Materials!$A$3:$A$292,Materials!$I$3:$I$292),0)
+IFERROR(P200/_xludf.XLOOKUP(O200,Materials!$A$3:$A$292,Materials!$I$3:$I$292),0)
+IFERROR(R200/_xludf.XLOOKUP(Q200,Materials!$A$3:$A$292,Materials!$I$3:$I$292),0)
+IFERROR(H200/_xludf.XLOOKUP(G200,Materials!$A$3:$A$292,Materials!$I$3:$I$292),0)</f>
        <v>0</v>
      </c>
      <c r="AC200" s="20"/>
      <c r="AD200" s="20"/>
      <c r="AE200" s="20"/>
      <c r="AF200" s="20"/>
      <c r="AG200" s="20"/>
      <c r="AH200" s="20"/>
      <c r="AI200" s="20"/>
      <c r="AJ200" s="20"/>
      <c r="AK200" s="20"/>
      <c r="AL200" s="20"/>
      <c r="AM200" s="20"/>
      <c r="AN200" s="20"/>
      <c r="AO200" s="20"/>
      <c r="AP200" s="20"/>
      <c r="AQ200" s="20"/>
      <c r="AR200" s="20"/>
      <c r="AS200" s="20"/>
      <c r="AT200" s="20"/>
      <c r="AU200" s="20"/>
      <c r="AV200" s="20"/>
    </row>
    <row r="201" spans="1:48" ht="17.25" hidden="1" customHeight="1">
      <c r="A201" s="15" t="s">
        <v>5791</v>
      </c>
      <c r="B201" s="124" t="s">
        <v>157</v>
      </c>
      <c r="C201" s="124" t="s">
        <v>5522</v>
      </c>
      <c r="D201" s="125" t="e">
        <f t="shared" ca="1" si="0"/>
        <v>#NAME?</v>
      </c>
      <c r="E201" s="126" t="str">
        <f t="shared" ca="1" si="1"/>
        <v>Not enough information entered</v>
      </c>
      <c r="F201" s="124" t="s">
        <v>6417</v>
      </c>
      <c r="G201" s="124" t="s">
        <v>5211</v>
      </c>
      <c r="H201" s="126">
        <v>0.06</v>
      </c>
      <c r="I201" s="124" t="s">
        <v>5186</v>
      </c>
      <c r="J201" s="126">
        <v>0.18</v>
      </c>
      <c r="K201" s="124" t="s">
        <v>5204</v>
      </c>
      <c r="L201" s="126">
        <v>0.02</v>
      </c>
      <c r="M201" s="124" t="s">
        <v>5200</v>
      </c>
      <c r="N201" s="124">
        <v>1.2E-2</v>
      </c>
      <c r="O201" s="124"/>
      <c r="P201" s="124"/>
      <c r="Q201" s="124"/>
      <c r="R201" s="124"/>
      <c r="S201" s="124"/>
      <c r="T201" s="124"/>
      <c r="U201" s="124" t="s">
        <v>5523</v>
      </c>
      <c r="V201" s="127">
        <f t="shared" si="2"/>
        <v>0.27200000000000002</v>
      </c>
      <c r="W201" s="126">
        <v>0</v>
      </c>
      <c r="X201" s="126">
        <v>0</v>
      </c>
      <c r="Y201" s="126">
        <v>10</v>
      </c>
      <c r="Z201" s="124"/>
      <c r="AA201" s="124" t="e">
        <f t="shared" ca="1" si="3"/>
        <v>#NAME?</v>
      </c>
      <c r="AB201" s="126">
        <f t="array" aca="1" ref="AB201" ca="1">IFERROR(J201/_xludf.XLOOKUP(I201,Materials!$A$3:$A$292,Materials!$I$3:$I$292),0)
+IFERROR(L201/_xludf.XLOOKUP(K201,Materials!$A$3:$A$292,Materials!$I$3:$I$292),0)
+IFERROR(N201/_xludf.XLOOKUP(M201,Materials!$A$3:$A$292,Materials!$I$3:$I$292),0)
+IFERROR(P201/_xludf.XLOOKUP(O201,Materials!$A$3:$A$292,Materials!$I$3:$I$292),0)
+IFERROR(R201/_xludf.XLOOKUP(Q201,Materials!$A$3:$A$292,Materials!$I$3:$I$292),0)
+IFERROR(H201/_xludf.XLOOKUP(G201,Materials!$A$3:$A$292,Materials!$I$3:$I$292),0)</f>
        <v>0</v>
      </c>
      <c r="AC201" s="20"/>
      <c r="AD201" s="20"/>
      <c r="AE201" s="20"/>
      <c r="AF201" s="20"/>
      <c r="AG201" s="20"/>
      <c r="AH201" s="20"/>
      <c r="AI201" s="20"/>
      <c r="AJ201" s="20"/>
      <c r="AK201" s="20"/>
      <c r="AL201" s="20"/>
      <c r="AM201" s="20"/>
      <c r="AN201" s="20"/>
      <c r="AO201" s="20"/>
      <c r="AP201" s="20"/>
      <c r="AQ201" s="20"/>
      <c r="AR201" s="20"/>
      <c r="AS201" s="20"/>
      <c r="AT201" s="20"/>
      <c r="AU201" s="20"/>
      <c r="AV201" s="20"/>
    </row>
    <row r="202" spans="1:48" ht="17.25" customHeight="1">
      <c r="A202" s="15" t="s">
        <v>5791</v>
      </c>
      <c r="B202" s="124" t="s">
        <v>154</v>
      </c>
      <c r="C202" s="124" t="s">
        <v>5524</v>
      </c>
      <c r="D202" s="125" t="e">
        <f t="shared" ca="1" si="0"/>
        <v>#NAME?</v>
      </c>
      <c r="E202" s="126" t="str">
        <f t="shared" ca="1" si="1"/>
        <v>Not enough information entered</v>
      </c>
      <c r="F202" s="124" t="s">
        <v>6263</v>
      </c>
      <c r="G202" s="124" t="s">
        <v>5211</v>
      </c>
      <c r="H202" s="126">
        <v>7.8E-2</v>
      </c>
      <c r="I202" s="124" t="s">
        <v>5186</v>
      </c>
      <c r="J202" s="126">
        <v>0.15</v>
      </c>
      <c r="K202" s="124" t="s">
        <v>5196</v>
      </c>
      <c r="L202" s="124">
        <v>0.03</v>
      </c>
      <c r="M202" s="124"/>
      <c r="N202" s="124"/>
      <c r="O202" s="124"/>
      <c r="P202" s="124"/>
      <c r="Q202" s="124"/>
      <c r="R202" s="124"/>
      <c r="S202" s="124"/>
      <c r="T202" s="124"/>
      <c r="U202" s="124" t="s">
        <v>5523</v>
      </c>
      <c r="V202" s="127">
        <f t="shared" si="2"/>
        <v>0.25800000000000001</v>
      </c>
      <c r="W202" s="124"/>
      <c r="X202" s="124"/>
      <c r="Y202" s="124"/>
      <c r="Z202" s="124"/>
      <c r="AA202" s="124" t="e">
        <f t="shared" ca="1" si="3"/>
        <v>#NAME?</v>
      </c>
      <c r="AB202" s="126">
        <f t="array" aca="1" ref="AB202" ca="1">IFERROR(J202/_xludf.XLOOKUP(I202,Materials!$A$3:$A$292,Materials!$I$3:$I$292),0)
+IFERROR(L202/_xludf.XLOOKUP(K202,Materials!$A$3:$A$292,Materials!$I$3:$I$292),0)
+IFERROR(N202/_xludf.XLOOKUP(M202,Materials!$A$3:$A$292,Materials!$I$3:$I$292),0)
+IFERROR(P202/_xludf.XLOOKUP(O202,Materials!$A$3:$A$292,Materials!$I$3:$I$292),0)
+IFERROR(R202/_xludf.XLOOKUP(Q202,Materials!$A$3:$A$292,Materials!$I$3:$I$292),0)
+IFERROR(H202/_xludf.XLOOKUP(G202,Materials!$A$3:$A$292,Materials!$I$3:$I$292),0)</f>
        <v>0</v>
      </c>
      <c r="AC202" s="20"/>
      <c r="AD202" s="20"/>
      <c r="AE202" s="20"/>
      <c r="AF202" s="20"/>
      <c r="AG202" s="20"/>
      <c r="AH202" s="20"/>
      <c r="AI202" s="20"/>
      <c r="AJ202" s="20"/>
      <c r="AK202" s="20"/>
      <c r="AL202" s="20"/>
      <c r="AM202" s="20"/>
      <c r="AN202" s="20"/>
      <c r="AO202" s="20"/>
      <c r="AP202" s="20"/>
      <c r="AQ202" s="20"/>
      <c r="AR202" s="20"/>
      <c r="AS202" s="20"/>
      <c r="AT202" s="20"/>
      <c r="AU202" s="20"/>
      <c r="AV202" s="20"/>
    </row>
    <row r="203" spans="1:48" ht="17.25" hidden="1" customHeight="1">
      <c r="A203" s="15" t="s">
        <v>5791</v>
      </c>
      <c r="B203" s="124" t="s">
        <v>160</v>
      </c>
      <c r="C203" s="124" t="s">
        <v>5526</v>
      </c>
      <c r="D203" s="125" t="e">
        <f t="shared" ca="1" si="0"/>
        <v>#NAME?</v>
      </c>
      <c r="E203" s="126" t="str">
        <f t="shared" ca="1" si="1"/>
        <v>Not enough information entered</v>
      </c>
      <c r="F203" s="124" t="s">
        <v>6611</v>
      </c>
      <c r="G203" s="124" t="s">
        <v>5211</v>
      </c>
      <c r="H203" s="126">
        <v>7.6999999999999999E-2</v>
      </c>
      <c r="I203" s="124" t="s">
        <v>5186</v>
      </c>
      <c r="J203" s="126">
        <v>0.18</v>
      </c>
      <c r="K203" s="124" t="s">
        <v>5196</v>
      </c>
      <c r="L203" s="124">
        <v>0.03</v>
      </c>
      <c r="M203" s="124"/>
      <c r="N203" s="124"/>
      <c r="O203" s="124"/>
      <c r="P203" s="124"/>
      <c r="Q203" s="124"/>
      <c r="R203" s="124"/>
      <c r="S203" s="124"/>
      <c r="T203" s="124"/>
      <c r="U203" s="124" t="s">
        <v>5523</v>
      </c>
      <c r="V203" s="127">
        <f t="shared" si="2"/>
        <v>0.28700000000000003</v>
      </c>
      <c r="W203" s="126">
        <v>0</v>
      </c>
      <c r="X203" s="126">
        <v>0</v>
      </c>
      <c r="Y203" s="126">
        <v>10</v>
      </c>
      <c r="Z203" s="124"/>
      <c r="AA203" s="124" t="e">
        <f t="shared" ca="1" si="3"/>
        <v>#NAME?</v>
      </c>
      <c r="AB203" s="126">
        <f t="array" aca="1" ref="AB203" ca="1">IFERROR(J203/_xludf.XLOOKUP(I203,Materials!$A$3:$A$292,Materials!$I$3:$I$292),0)
+IFERROR(L203/_xludf.XLOOKUP(K203,Materials!$A$3:$A$292,Materials!$I$3:$I$292),0)
+IFERROR(N203/_xludf.XLOOKUP(M203,Materials!$A$3:$A$292,Materials!$I$3:$I$292),0)
+IFERROR(P203/_xludf.XLOOKUP(O203,Materials!$A$3:$A$292,Materials!$I$3:$I$292),0)
+IFERROR(R203/_xludf.XLOOKUP(Q203,Materials!$A$3:$A$292,Materials!$I$3:$I$292),0)
+IFERROR(H203/_xludf.XLOOKUP(G203,Materials!$A$3:$A$292,Materials!$I$3:$I$292),0)</f>
        <v>0</v>
      </c>
      <c r="AC203" s="20"/>
      <c r="AD203" s="20"/>
      <c r="AE203" s="20"/>
      <c r="AF203" s="20"/>
      <c r="AG203" s="20"/>
      <c r="AH203" s="20"/>
      <c r="AI203" s="20"/>
      <c r="AJ203" s="20"/>
      <c r="AK203" s="20"/>
      <c r="AL203" s="20"/>
      <c r="AM203" s="20"/>
      <c r="AN203" s="20"/>
      <c r="AO203" s="20"/>
      <c r="AP203" s="20"/>
      <c r="AQ203" s="20"/>
      <c r="AR203" s="20"/>
      <c r="AS203" s="20"/>
      <c r="AT203" s="20"/>
      <c r="AU203" s="20"/>
      <c r="AV203" s="20"/>
    </row>
    <row r="204" spans="1:48" ht="17.25" hidden="1" customHeight="1">
      <c r="A204" s="15" t="s">
        <v>5792</v>
      </c>
      <c r="B204" s="124" t="s">
        <v>157</v>
      </c>
      <c r="C204" s="124" t="s">
        <v>5522</v>
      </c>
      <c r="D204" s="125" t="e">
        <f t="shared" ca="1" si="0"/>
        <v>#NAME?</v>
      </c>
      <c r="E204" s="126" t="str">
        <f t="shared" ca="1" si="1"/>
        <v>Not enough information entered</v>
      </c>
      <c r="F204" s="124" t="s">
        <v>6418</v>
      </c>
      <c r="G204" s="124" t="s">
        <v>5211</v>
      </c>
      <c r="H204" s="126">
        <v>6.9000000000000006E-2</v>
      </c>
      <c r="I204" s="124" t="s">
        <v>5186</v>
      </c>
      <c r="J204" s="126">
        <v>0.18</v>
      </c>
      <c r="K204" s="124" t="s">
        <v>5204</v>
      </c>
      <c r="L204" s="126">
        <v>0.02</v>
      </c>
      <c r="M204" s="124" t="s">
        <v>5200</v>
      </c>
      <c r="N204" s="124">
        <v>1.2E-2</v>
      </c>
      <c r="O204" s="124"/>
      <c r="P204" s="124"/>
      <c r="Q204" s="124"/>
      <c r="R204" s="124"/>
      <c r="S204" s="124"/>
      <c r="T204" s="124"/>
      <c r="U204" s="124" t="s">
        <v>5523</v>
      </c>
      <c r="V204" s="127">
        <f t="shared" si="2"/>
        <v>0.28100000000000003</v>
      </c>
      <c r="W204" s="126">
        <v>0</v>
      </c>
      <c r="X204" s="126">
        <v>0</v>
      </c>
      <c r="Y204" s="126">
        <v>10</v>
      </c>
      <c r="Z204" s="124"/>
      <c r="AA204" s="124" t="e">
        <f t="shared" ca="1" si="3"/>
        <v>#NAME?</v>
      </c>
      <c r="AB204" s="126">
        <f t="array" aca="1" ref="AB204" ca="1">IFERROR(J204/_xludf.XLOOKUP(I204,Materials!$A$3:$A$292,Materials!$I$3:$I$292),0)
+IFERROR(L204/_xludf.XLOOKUP(K204,Materials!$A$3:$A$292,Materials!$I$3:$I$292),0)
+IFERROR(N204/_xludf.XLOOKUP(M204,Materials!$A$3:$A$292,Materials!$I$3:$I$292),0)
+IFERROR(P204/_xludf.XLOOKUP(O204,Materials!$A$3:$A$292,Materials!$I$3:$I$292),0)
+IFERROR(R204/_xludf.XLOOKUP(Q204,Materials!$A$3:$A$292,Materials!$I$3:$I$292),0)
+IFERROR(H204/_xludf.XLOOKUP(G204,Materials!$A$3:$A$292,Materials!$I$3:$I$292),0)</f>
        <v>0</v>
      </c>
      <c r="AC204" s="20"/>
      <c r="AD204" s="20"/>
      <c r="AE204" s="20"/>
      <c r="AF204" s="20"/>
      <c r="AG204" s="20"/>
      <c r="AH204" s="20"/>
      <c r="AI204" s="20"/>
      <c r="AJ204" s="20"/>
      <c r="AK204" s="20"/>
      <c r="AL204" s="20"/>
      <c r="AM204" s="20"/>
      <c r="AN204" s="20"/>
      <c r="AO204" s="20"/>
      <c r="AP204" s="20"/>
      <c r="AQ204" s="20"/>
      <c r="AR204" s="20"/>
      <c r="AS204" s="20"/>
      <c r="AT204" s="20"/>
      <c r="AU204" s="20"/>
      <c r="AV204" s="20"/>
    </row>
    <row r="205" spans="1:48" ht="17.25" customHeight="1">
      <c r="A205" s="15" t="s">
        <v>5792</v>
      </c>
      <c r="B205" s="124" t="s">
        <v>154</v>
      </c>
      <c r="C205" s="124" t="s">
        <v>5524</v>
      </c>
      <c r="D205" s="125" t="e">
        <f t="shared" ca="1" si="0"/>
        <v>#NAME?</v>
      </c>
      <c r="E205" s="126" t="str">
        <f t="shared" ca="1" si="1"/>
        <v>Not enough information entered</v>
      </c>
      <c r="F205" s="124" t="s">
        <v>6264</v>
      </c>
      <c r="G205" s="124" t="s">
        <v>5211</v>
      </c>
      <c r="H205" s="126">
        <v>9.4E-2</v>
      </c>
      <c r="I205" s="124" t="s">
        <v>5186</v>
      </c>
      <c r="J205" s="126">
        <v>0.15</v>
      </c>
      <c r="K205" s="124" t="s">
        <v>5196</v>
      </c>
      <c r="L205" s="124">
        <v>0.03</v>
      </c>
      <c r="M205" s="124"/>
      <c r="N205" s="124"/>
      <c r="O205" s="124"/>
      <c r="P205" s="124"/>
      <c r="Q205" s="124"/>
      <c r="R205" s="124"/>
      <c r="S205" s="124"/>
      <c r="T205" s="124"/>
      <c r="U205" s="124" t="s">
        <v>5523</v>
      </c>
      <c r="V205" s="127">
        <f t="shared" si="2"/>
        <v>0.27400000000000002</v>
      </c>
      <c r="W205" s="124"/>
      <c r="X205" s="124"/>
      <c r="Y205" s="124"/>
      <c r="Z205" s="124"/>
      <c r="AA205" s="124" t="e">
        <f t="shared" ca="1" si="3"/>
        <v>#NAME?</v>
      </c>
      <c r="AB205" s="126">
        <f t="array" aca="1" ref="AB205" ca="1">IFERROR(J205/_xludf.XLOOKUP(I205,Materials!$A$3:$A$292,Materials!$I$3:$I$292),0)
+IFERROR(L205/_xludf.XLOOKUP(K205,Materials!$A$3:$A$292,Materials!$I$3:$I$292),0)
+IFERROR(N205/_xludf.XLOOKUP(M205,Materials!$A$3:$A$292,Materials!$I$3:$I$292),0)
+IFERROR(P205/_xludf.XLOOKUP(O205,Materials!$A$3:$A$292,Materials!$I$3:$I$292),0)
+IFERROR(R205/_xludf.XLOOKUP(Q205,Materials!$A$3:$A$292,Materials!$I$3:$I$292),0)
+IFERROR(H205/_xludf.XLOOKUP(G205,Materials!$A$3:$A$292,Materials!$I$3:$I$292),0)</f>
        <v>0</v>
      </c>
      <c r="AC205" s="20"/>
      <c r="AD205" s="20"/>
      <c r="AE205" s="20"/>
      <c r="AF205" s="20"/>
      <c r="AG205" s="20"/>
      <c r="AH205" s="20"/>
      <c r="AI205" s="20"/>
      <c r="AJ205" s="20"/>
      <c r="AK205" s="20"/>
      <c r="AL205" s="20"/>
      <c r="AM205" s="20"/>
      <c r="AN205" s="20"/>
      <c r="AO205" s="20"/>
      <c r="AP205" s="20"/>
      <c r="AQ205" s="20"/>
      <c r="AR205" s="20"/>
      <c r="AS205" s="20"/>
      <c r="AT205" s="20"/>
      <c r="AU205" s="20"/>
      <c r="AV205" s="20"/>
    </row>
    <row r="206" spans="1:48" ht="17.25" hidden="1" customHeight="1">
      <c r="A206" s="15" t="s">
        <v>5792</v>
      </c>
      <c r="B206" s="124" t="s">
        <v>160</v>
      </c>
      <c r="C206" s="124" t="s">
        <v>5526</v>
      </c>
      <c r="D206" s="125" t="e">
        <f t="shared" ca="1" si="0"/>
        <v>#NAME?</v>
      </c>
      <c r="E206" s="126" t="str">
        <f t="shared" ca="1" si="1"/>
        <v>Not enough information entered</v>
      </c>
      <c r="F206" s="124" t="s">
        <v>6612</v>
      </c>
      <c r="G206" s="124" t="s">
        <v>5211</v>
      </c>
      <c r="H206" s="126">
        <v>9.2999999999999999E-2</v>
      </c>
      <c r="I206" s="124" t="s">
        <v>5186</v>
      </c>
      <c r="J206" s="126">
        <v>0.18</v>
      </c>
      <c r="K206" s="124" t="s">
        <v>5196</v>
      </c>
      <c r="L206" s="124">
        <v>0.03</v>
      </c>
      <c r="M206" s="124"/>
      <c r="N206" s="124"/>
      <c r="O206" s="124"/>
      <c r="P206" s="124"/>
      <c r="Q206" s="124"/>
      <c r="R206" s="124"/>
      <c r="S206" s="124"/>
      <c r="T206" s="124"/>
      <c r="U206" s="124" t="s">
        <v>5523</v>
      </c>
      <c r="V206" s="127">
        <f t="shared" si="2"/>
        <v>0.30300000000000005</v>
      </c>
      <c r="W206" s="126">
        <v>0</v>
      </c>
      <c r="X206" s="126">
        <v>0</v>
      </c>
      <c r="Y206" s="126">
        <v>10</v>
      </c>
      <c r="Z206" s="124"/>
      <c r="AA206" s="124" t="e">
        <f t="shared" ca="1" si="3"/>
        <v>#NAME?</v>
      </c>
      <c r="AB206" s="126">
        <f t="array" aca="1" ref="AB206" ca="1">IFERROR(J206/_xludf.XLOOKUP(I206,Materials!$A$3:$A$292,Materials!$I$3:$I$292),0)
+IFERROR(L206/_xludf.XLOOKUP(K206,Materials!$A$3:$A$292,Materials!$I$3:$I$292),0)
+IFERROR(N206/_xludf.XLOOKUP(M206,Materials!$A$3:$A$292,Materials!$I$3:$I$292),0)
+IFERROR(P206/_xludf.XLOOKUP(O206,Materials!$A$3:$A$292,Materials!$I$3:$I$292),0)
+IFERROR(R206/_xludf.XLOOKUP(Q206,Materials!$A$3:$A$292,Materials!$I$3:$I$292),0)
+IFERROR(H206/_xludf.XLOOKUP(G206,Materials!$A$3:$A$292,Materials!$I$3:$I$292),0)</f>
        <v>0</v>
      </c>
      <c r="AC206" s="20"/>
      <c r="AD206" s="20"/>
      <c r="AE206" s="20"/>
      <c r="AF206" s="20"/>
      <c r="AG206" s="20"/>
      <c r="AH206" s="20"/>
      <c r="AI206" s="20"/>
      <c r="AJ206" s="20"/>
      <c r="AK206" s="20"/>
      <c r="AL206" s="20"/>
      <c r="AM206" s="20"/>
      <c r="AN206" s="20"/>
      <c r="AO206" s="20"/>
      <c r="AP206" s="20"/>
      <c r="AQ206" s="20"/>
      <c r="AR206" s="20"/>
      <c r="AS206" s="20"/>
      <c r="AT206" s="20"/>
      <c r="AU206" s="20"/>
      <c r="AV206" s="20"/>
    </row>
    <row r="207" spans="1:48" ht="17.25" hidden="1" customHeight="1">
      <c r="A207" s="15" t="s">
        <v>4851</v>
      </c>
      <c r="B207" s="124" t="s">
        <v>158</v>
      </c>
      <c r="C207" s="124" t="s">
        <v>5527</v>
      </c>
      <c r="D207" s="125" t="e">
        <f t="shared" ca="1" si="0"/>
        <v>#NAME?</v>
      </c>
      <c r="E207" s="126" t="str">
        <f t="shared" ca="1" si="1"/>
        <v>Not enough information entered</v>
      </c>
      <c r="F207" s="124" t="s">
        <v>6347</v>
      </c>
      <c r="G207" s="124" t="s">
        <v>5200</v>
      </c>
      <c r="H207" s="124">
        <v>1.2500000000000001E-2</v>
      </c>
      <c r="I207" s="124" t="s">
        <v>5204</v>
      </c>
      <c r="J207" s="124">
        <v>0.05</v>
      </c>
      <c r="K207" s="124" t="s">
        <v>5200</v>
      </c>
      <c r="L207" s="124">
        <v>1.2500000000000001E-2</v>
      </c>
      <c r="M207" s="124"/>
      <c r="N207" s="124"/>
      <c r="O207" s="124"/>
      <c r="P207" s="124"/>
      <c r="Q207" s="124"/>
      <c r="R207" s="124"/>
      <c r="S207" s="124"/>
      <c r="T207" s="124"/>
      <c r="U207" s="124" t="s">
        <v>5523</v>
      </c>
      <c r="V207" s="127">
        <f t="shared" si="2"/>
        <v>7.4999999999999997E-2</v>
      </c>
      <c r="W207" s="124"/>
      <c r="X207" s="124"/>
      <c r="Y207" s="124"/>
      <c r="Z207" s="124"/>
      <c r="AA207" s="124" t="e">
        <f t="shared" ca="1" si="3"/>
        <v>#NAME?</v>
      </c>
      <c r="AB207" s="126">
        <f t="array" aca="1" ref="AB207" ca="1">IFERROR(J207/_xludf.XLOOKUP(I207,Materials!$A$3:$A$292,Materials!$I$3:$I$292),0)
+IFERROR(L207/_xludf.XLOOKUP(K207,Materials!$A$3:$A$292,Materials!$I$3:$I$292),0)
+IFERROR(N207/_xludf.XLOOKUP(M207,Materials!$A$3:$A$292,Materials!$I$3:$I$292),0)
+IFERROR(P207/_xludf.XLOOKUP(O207,Materials!$A$3:$A$292,Materials!$I$3:$I$292),0)
+IFERROR(R207/_xludf.XLOOKUP(Q207,Materials!$A$3:$A$292,Materials!$I$3:$I$292),0)
+IFERROR(H207/_xludf.XLOOKUP(G207,Materials!$A$3:$A$292,Materials!$I$3:$I$292),0)</f>
        <v>0</v>
      </c>
      <c r="AC207" s="20"/>
      <c r="AD207" s="20"/>
      <c r="AE207" s="20"/>
      <c r="AF207" s="20"/>
      <c r="AG207" s="20"/>
      <c r="AH207" s="20"/>
      <c r="AI207" s="20"/>
      <c r="AJ207" s="20"/>
      <c r="AK207" s="20"/>
      <c r="AL207" s="20"/>
      <c r="AM207" s="20"/>
      <c r="AN207" s="20"/>
      <c r="AO207" s="20"/>
      <c r="AP207" s="20"/>
      <c r="AQ207" s="20"/>
      <c r="AR207" s="20"/>
      <c r="AS207" s="20"/>
      <c r="AT207" s="20"/>
      <c r="AU207" s="20"/>
      <c r="AV207" s="20"/>
    </row>
    <row r="208" spans="1:48" ht="17.25" hidden="1" customHeight="1">
      <c r="A208" s="15" t="s">
        <v>4851</v>
      </c>
      <c r="B208" s="124" t="s">
        <v>162</v>
      </c>
      <c r="C208" s="124" t="s">
        <v>5529</v>
      </c>
      <c r="D208" s="125" t="e">
        <f t="shared" ca="1" si="0"/>
        <v>#NAME?</v>
      </c>
      <c r="E208" s="126" t="str">
        <f t="shared" ca="1" si="1"/>
        <v>Not enough information entered</v>
      </c>
      <c r="F208" s="124" t="s">
        <v>6556</v>
      </c>
      <c r="G208" s="124" t="s">
        <v>5186</v>
      </c>
      <c r="H208" s="124">
        <v>0.18</v>
      </c>
      <c r="I208" s="124" t="s">
        <v>5196</v>
      </c>
      <c r="J208" s="124">
        <v>0.03</v>
      </c>
      <c r="K208" s="124"/>
      <c r="L208" s="124"/>
      <c r="M208" s="124"/>
      <c r="N208" s="124"/>
      <c r="O208" s="124"/>
      <c r="P208" s="124"/>
      <c r="Q208" s="124"/>
      <c r="R208" s="124"/>
      <c r="S208" s="124"/>
      <c r="T208" s="124"/>
      <c r="U208" s="124" t="s">
        <v>5523</v>
      </c>
      <c r="V208" s="127">
        <f t="shared" si="2"/>
        <v>0.21</v>
      </c>
      <c r="W208" s="124"/>
      <c r="X208" s="124"/>
      <c r="Y208" s="124"/>
      <c r="Z208" s="124"/>
      <c r="AA208" s="124" t="e">
        <f t="shared" ca="1" si="3"/>
        <v>#NAME?</v>
      </c>
      <c r="AB208" s="126">
        <f t="array" aca="1" ref="AB208" ca="1">IFERROR(J208/_xludf.XLOOKUP(I208,Materials!$A$3:$A$292,Materials!$I$3:$I$292),0)
+IFERROR(L208/_xludf.XLOOKUP(K208,Materials!$A$3:$A$292,Materials!$I$3:$I$292),0)
+IFERROR(N208/_xludf.XLOOKUP(M208,Materials!$A$3:$A$292,Materials!$I$3:$I$292),0)
+IFERROR(P208/_xludf.XLOOKUP(O208,Materials!$A$3:$A$292,Materials!$I$3:$I$292),0)
+IFERROR(R208/_xludf.XLOOKUP(Q208,Materials!$A$3:$A$292,Materials!$I$3:$I$292),0)
+IFERROR(H208/_xludf.XLOOKUP(G208,Materials!$A$3:$A$292,Materials!$I$3:$I$292),0)</f>
        <v>0</v>
      </c>
      <c r="AC208" s="20"/>
      <c r="AD208" s="20"/>
      <c r="AE208" s="20"/>
      <c r="AF208" s="20"/>
      <c r="AG208" s="20"/>
      <c r="AH208" s="20"/>
      <c r="AI208" s="20"/>
      <c r="AJ208" s="20"/>
      <c r="AK208" s="20"/>
      <c r="AL208" s="20"/>
      <c r="AM208" s="20"/>
      <c r="AN208" s="20"/>
      <c r="AO208" s="20"/>
      <c r="AP208" s="20"/>
      <c r="AQ208" s="20"/>
      <c r="AR208" s="20"/>
      <c r="AS208" s="20"/>
      <c r="AT208" s="20"/>
      <c r="AU208" s="20"/>
      <c r="AV208" s="20"/>
    </row>
    <row r="209" spans="1:48" ht="17.25" hidden="1" customHeight="1">
      <c r="A209" s="15" t="s">
        <v>4851</v>
      </c>
      <c r="B209" s="124" t="s">
        <v>159</v>
      </c>
      <c r="C209" s="124" t="s">
        <v>5530</v>
      </c>
      <c r="D209" s="125" t="e">
        <f t="shared" ca="1" si="0"/>
        <v>#NAME?</v>
      </c>
      <c r="E209" s="126" t="str">
        <f t="shared" ca="1" si="1"/>
        <v>Not enough information entered</v>
      </c>
      <c r="F209" s="124" t="s">
        <v>6661</v>
      </c>
      <c r="G209" s="124" t="s">
        <v>5186</v>
      </c>
      <c r="H209" s="124">
        <v>0.2</v>
      </c>
      <c r="I209" s="124" t="s">
        <v>5211</v>
      </c>
      <c r="J209" s="124">
        <v>0.05</v>
      </c>
      <c r="K209" s="124"/>
      <c r="L209" s="124"/>
      <c r="M209" s="124"/>
      <c r="N209" s="124"/>
      <c r="O209" s="124"/>
      <c r="P209" s="124"/>
      <c r="Q209" s="124"/>
      <c r="R209" s="124"/>
      <c r="S209" s="124"/>
      <c r="T209" s="124"/>
      <c r="U209" s="124" t="s">
        <v>5523</v>
      </c>
      <c r="V209" s="127">
        <f t="shared" si="2"/>
        <v>0.25</v>
      </c>
      <c r="W209" s="124"/>
      <c r="X209" s="124"/>
      <c r="Y209" s="124"/>
      <c r="Z209" s="124"/>
      <c r="AA209" s="124" t="e">
        <f t="shared" ca="1" si="3"/>
        <v>#NAME?</v>
      </c>
      <c r="AB209" s="126">
        <f t="array" aca="1" ref="AB209" ca="1">IFERROR(J209/_xludf.XLOOKUP(I209,Materials!$A$3:$A$292,Materials!$I$3:$I$292),0)
+IFERROR(L209/_xludf.XLOOKUP(K209,Materials!$A$3:$A$292,Materials!$I$3:$I$292),0)
+IFERROR(N209/_xludf.XLOOKUP(M209,Materials!$A$3:$A$292,Materials!$I$3:$I$292),0)
+IFERROR(P209/_xludf.XLOOKUP(O209,Materials!$A$3:$A$292,Materials!$I$3:$I$292),0)
+IFERROR(R209/_xludf.XLOOKUP(Q209,Materials!$A$3:$A$292,Materials!$I$3:$I$292),0)
+IFERROR(H209/_xludf.XLOOKUP(G209,Materials!$A$3:$A$292,Materials!$I$3:$I$292),0)</f>
        <v>0</v>
      </c>
      <c r="AC209" s="20"/>
      <c r="AD209" s="20"/>
      <c r="AE209" s="20"/>
      <c r="AF209" s="20"/>
      <c r="AG209" s="20"/>
      <c r="AH209" s="20"/>
      <c r="AI209" s="20"/>
      <c r="AJ209" s="20"/>
      <c r="AK209" s="20"/>
      <c r="AL209" s="20"/>
      <c r="AM209" s="20"/>
      <c r="AN209" s="20"/>
      <c r="AO209" s="20"/>
      <c r="AP209" s="20"/>
      <c r="AQ209" s="20"/>
      <c r="AR209" s="20"/>
      <c r="AS209" s="20"/>
      <c r="AT209" s="20"/>
      <c r="AU209" s="20"/>
      <c r="AV209" s="20"/>
    </row>
    <row r="210" spans="1:48" ht="17.25" hidden="1" customHeight="1">
      <c r="A210" s="15"/>
      <c r="B210" s="124"/>
      <c r="C210" s="124" t="s">
        <v>5532</v>
      </c>
      <c r="D210" s="125"/>
      <c r="E210" s="126"/>
      <c r="F210" s="124"/>
      <c r="G210" s="124"/>
      <c r="H210" s="124"/>
      <c r="I210" s="128"/>
      <c r="J210" s="124"/>
      <c r="K210" s="124"/>
      <c r="L210" s="124"/>
      <c r="M210" s="124"/>
      <c r="N210" s="124"/>
      <c r="O210" s="124"/>
      <c r="P210" s="124"/>
      <c r="Q210" s="124"/>
      <c r="R210" s="124"/>
      <c r="S210" s="124"/>
      <c r="T210" s="124"/>
      <c r="U210" s="124"/>
      <c r="V210" s="127"/>
      <c r="W210" s="124"/>
      <c r="X210" s="124"/>
      <c r="Y210" s="124"/>
      <c r="Z210" s="124"/>
      <c r="AA210" s="124"/>
      <c r="AB210" s="126"/>
      <c r="AC210" s="20"/>
      <c r="AD210" s="20"/>
      <c r="AE210" s="20"/>
      <c r="AF210" s="20"/>
      <c r="AG210" s="20"/>
      <c r="AH210" s="20"/>
      <c r="AI210" s="20"/>
      <c r="AJ210" s="20"/>
      <c r="AK210" s="20"/>
      <c r="AL210" s="20"/>
      <c r="AM210" s="20"/>
      <c r="AN210" s="20"/>
      <c r="AO210" s="20"/>
      <c r="AP210" s="20"/>
      <c r="AQ210" s="20"/>
      <c r="AR210" s="20"/>
      <c r="AS210" s="20"/>
      <c r="AT210" s="20"/>
      <c r="AU210" s="20"/>
      <c r="AV210" s="20"/>
    </row>
    <row r="211" spans="1:48" ht="17.25" hidden="1" customHeight="1">
      <c r="A211" s="15" t="s">
        <v>4851</v>
      </c>
      <c r="B211" s="124" t="s">
        <v>161</v>
      </c>
      <c r="C211" s="124" t="s">
        <v>5533</v>
      </c>
      <c r="D211" s="125" t="e">
        <f t="shared" ca="1" si="0"/>
        <v>#NAME?</v>
      </c>
      <c r="E211" s="126" t="str">
        <f t="shared" ca="1" si="1"/>
        <v>Not enough information entered</v>
      </c>
      <c r="F211" s="124" t="s">
        <v>6677</v>
      </c>
      <c r="G211" s="124" t="s">
        <v>5186</v>
      </c>
      <c r="H211" s="124">
        <v>0.18</v>
      </c>
      <c r="I211" s="124" t="s">
        <v>5207</v>
      </c>
      <c r="J211" s="124">
        <v>0.06</v>
      </c>
      <c r="K211" s="124" t="s">
        <v>5200</v>
      </c>
      <c r="L211" s="124">
        <v>1.2500000000000001E-2</v>
      </c>
      <c r="M211" s="124"/>
      <c r="N211" s="124"/>
      <c r="O211" s="124"/>
      <c r="P211" s="124"/>
      <c r="Q211" s="124"/>
      <c r="R211" s="124"/>
      <c r="S211" s="124"/>
      <c r="T211" s="124"/>
      <c r="U211" s="124" t="s">
        <v>5523</v>
      </c>
      <c r="V211" s="127">
        <f t="shared" si="2"/>
        <v>0.2525</v>
      </c>
      <c r="W211" s="124"/>
      <c r="X211" s="124"/>
      <c r="Y211" s="124"/>
      <c r="Z211" s="124"/>
      <c r="AA211" s="124" t="e">
        <f t="shared" ca="1" si="3"/>
        <v>#NAME?</v>
      </c>
      <c r="AB211" s="126">
        <f t="array" aca="1" ref="AB211" ca="1">IFERROR(J211/_xludf.XLOOKUP(I211,Materials!$A$3:$A$292,Materials!$I$3:$I$292),0)
+IFERROR(L211/_xludf.XLOOKUP(K211,Materials!$A$3:$A$292,Materials!$I$3:$I$292),0)
+IFERROR(N211/_xludf.XLOOKUP(M211,Materials!$A$3:$A$292,Materials!$I$3:$I$292),0)
+IFERROR(P211/_xludf.XLOOKUP(O211,Materials!$A$3:$A$292,Materials!$I$3:$I$292),0)
+IFERROR(R211/_xludf.XLOOKUP(Q211,Materials!$A$3:$A$292,Materials!$I$3:$I$292),0)
+IFERROR(H211/_xludf.XLOOKUP(G211,Materials!$A$3:$A$292,Materials!$I$3:$I$292),0)</f>
        <v>0</v>
      </c>
      <c r="AC211" s="20"/>
      <c r="AD211" s="20"/>
      <c r="AE211" s="20"/>
      <c r="AF211" s="20"/>
      <c r="AG211" s="20"/>
      <c r="AH211" s="20"/>
      <c r="AI211" s="20"/>
      <c r="AJ211" s="20"/>
      <c r="AK211" s="20"/>
      <c r="AL211" s="20"/>
      <c r="AM211" s="20"/>
      <c r="AN211" s="20"/>
      <c r="AO211" s="20"/>
      <c r="AP211" s="20"/>
      <c r="AQ211" s="20"/>
      <c r="AR211" s="20"/>
      <c r="AS211" s="20"/>
      <c r="AT211" s="20"/>
      <c r="AU211" s="20"/>
      <c r="AV211" s="20"/>
    </row>
    <row r="212" spans="1:48" ht="17.25" hidden="1" customHeight="1">
      <c r="A212" s="15" t="s">
        <v>5793</v>
      </c>
      <c r="B212" s="124" t="s">
        <v>157</v>
      </c>
      <c r="C212" s="124" t="s">
        <v>5522</v>
      </c>
      <c r="D212" s="125" t="e">
        <f t="shared" ca="1" si="0"/>
        <v>#NAME?</v>
      </c>
      <c r="E212" s="126" t="str">
        <f t="shared" ca="1" si="1"/>
        <v>Not enough information entered</v>
      </c>
      <c r="F212" s="124" t="s">
        <v>6419</v>
      </c>
      <c r="G212" s="124" t="s">
        <v>5186</v>
      </c>
      <c r="H212" s="126">
        <v>0.18</v>
      </c>
      <c r="I212" s="124" t="s">
        <v>5204</v>
      </c>
      <c r="J212" s="126">
        <v>0.02</v>
      </c>
      <c r="K212" s="124" t="s">
        <v>5200</v>
      </c>
      <c r="L212" s="126">
        <v>1.2E-2</v>
      </c>
      <c r="M212" s="124"/>
      <c r="N212" s="124"/>
      <c r="O212" s="124"/>
      <c r="P212" s="124"/>
      <c r="Q212" s="124"/>
      <c r="R212" s="124"/>
      <c r="S212" s="124"/>
      <c r="T212" s="124"/>
      <c r="U212" s="124" t="s">
        <v>5523</v>
      </c>
      <c r="V212" s="127">
        <f t="shared" si="2"/>
        <v>0.21199999999999999</v>
      </c>
      <c r="W212" s="126">
        <v>0</v>
      </c>
      <c r="X212" s="126">
        <v>0</v>
      </c>
      <c r="Y212" s="126">
        <v>10</v>
      </c>
      <c r="Z212" s="124"/>
      <c r="AA212" s="124" t="e">
        <f t="shared" ca="1" si="3"/>
        <v>#NAME?</v>
      </c>
      <c r="AB212" s="126">
        <f t="array" aca="1" ref="AB212" ca="1">IFERROR(J212/_xludf.XLOOKUP(I212,Materials!$A$3:$A$292,Materials!$I$3:$I$292),0)
+IFERROR(L212/_xludf.XLOOKUP(K212,Materials!$A$3:$A$292,Materials!$I$3:$I$292),0)
+IFERROR(N212/_xludf.XLOOKUP(M212,Materials!$A$3:$A$292,Materials!$I$3:$I$292),0)
+IFERROR(P212/_xludf.XLOOKUP(O212,Materials!$A$3:$A$292,Materials!$I$3:$I$292),0)
+IFERROR(R212/_xludf.XLOOKUP(Q212,Materials!$A$3:$A$292,Materials!$I$3:$I$292),0)
+IFERROR(H212/_xludf.XLOOKUP(G212,Materials!$A$3:$A$292,Materials!$I$3:$I$292),0)</f>
        <v>0</v>
      </c>
      <c r="AC212" s="20"/>
      <c r="AD212" s="20"/>
      <c r="AE212" s="20"/>
      <c r="AF212" s="20"/>
      <c r="AG212" s="20"/>
      <c r="AH212" s="20"/>
      <c r="AI212" s="20"/>
      <c r="AJ212" s="20"/>
      <c r="AK212" s="20"/>
      <c r="AL212" s="20"/>
      <c r="AM212" s="20"/>
      <c r="AN212" s="20"/>
      <c r="AO212" s="20"/>
      <c r="AP212" s="20"/>
      <c r="AQ212" s="20"/>
      <c r="AR212" s="20"/>
      <c r="AS212" s="20"/>
      <c r="AT212" s="20"/>
      <c r="AU212" s="20"/>
      <c r="AV212" s="20"/>
    </row>
    <row r="213" spans="1:48" ht="17.25" customHeight="1">
      <c r="A213" s="15" t="s">
        <v>5793</v>
      </c>
      <c r="B213" s="124" t="s">
        <v>154</v>
      </c>
      <c r="C213" s="124" t="s">
        <v>5524</v>
      </c>
      <c r="D213" s="125" t="e">
        <f t="shared" ca="1" si="0"/>
        <v>#NAME?</v>
      </c>
      <c r="E213" s="126" t="str">
        <f t="shared" ca="1" si="1"/>
        <v>Not enough information entered</v>
      </c>
      <c r="F213" s="124" t="s">
        <v>6265</v>
      </c>
      <c r="G213" s="124" t="s">
        <v>5186</v>
      </c>
      <c r="H213" s="126">
        <v>0.15</v>
      </c>
      <c r="I213" s="124" t="s">
        <v>5196</v>
      </c>
      <c r="J213" s="126">
        <v>0.03</v>
      </c>
      <c r="K213" s="124"/>
      <c r="L213" s="124"/>
      <c r="M213" s="124"/>
      <c r="N213" s="124"/>
      <c r="O213" s="124"/>
      <c r="P213" s="124"/>
      <c r="Q213" s="124"/>
      <c r="R213" s="124"/>
      <c r="S213" s="124"/>
      <c r="T213" s="124"/>
      <c r="U213" s="124" t="s">
        <v>5523</v>
      </c>
      <c r="V213" s="127">
        <f t="shared" si="2"/>
        <v>0.18</v>
      </c>
      <c r="W213" s="124"/>
      <c r="X213" s="124"/>
      <c r="Y213" s="124"/>
      <c r="Z213" s="124"/>
      <c r="AA213" s="124" t="e">
        <f t="shared" ca="1" si="3"/>
        <v>#NAME?</v>
      </c>
      <c r="AB213" s="126">
        <f t="array" aca="1" ref="AB213" ca="1">IFERROR(J213/_xludf.XLOOKUP(I213,Materials!$A$3:$A$292,Materials!$I$3:$I$292),0)
+IFERROR(L213/_xludf.XLOOKUP(K213,Materials!$A$3:$A$292,Materials!$I$3:$I$292),0)
+IFERROR(N213/_xludf.XLOOKUP(M213,Materials!$A$3:$A$292,Materials!$I$3:$I$292),0)
+IFERROR(P213/_xludf.XLOOKUP(O213,Materials!$A$3:$A$292,Materials!$I$3:$I$292),0)
+IFERROR(R213/_xludf.XLOOKUP(Q213,Materials!$A$3:$A$292,Materials!$I$3:$I$292),0)
+IFERROR(H213/_xludf.XLOOKUP(G213,Materials!$A$3:$A$292,Materials!$I$3:$I$292),0)</f>
        <v>0</v>
      </c>
      <c r="AC213" s="20"/>
      <c r="AD213" s="20"/>
      <c r="AE213" s="20"/>
      <c r="AF213" s="20"/>
      <c r="AG213" s="20"/>
      <c r="AH213" s="20"/>
      <c r="AI213" s="20"/>
      <c r="AJ213" s="20"/>
      <c r="AK213" s="20"/>
      <c r="AL213" s="20"/>
      <c r="AM213" s="20"/>
      <c r="AN213" s="20"/>
      <c r="AO213" s="20"/>
      <c r="AP213" s="20"/>
      <c r="AQ213" s="20"/>
      <c r="AR213" s="20"/>
      <c r="AS213" s="20"/>
      <c r="AT213" s="20"/>
      <c r="AU213" s="20"/>
      <c r="AV213" s="20"/>
    </row>
    <row r="214" spans="1:48" ht="17.25" hidden="1" customHeight="1">
      <c r="A214" s="15" t="s">
        <v>5793</v>
      </c>
      <c r="B214" s="124" t="s">
        <v>160</v>
      </c>
      <c r="C214" s="124" t="s">
        <v>5526</v>
      </c>
      <c r="D214" s="125" t="e">
        <f t="shared" ca="1" si="0"/>
        <v>#NAME?</v>
      </c>
      <c r="E214" s="126" t="str">
        <f t="shared" ca="1" si="1"/>
        <v>Not enough information entered</v>
      </c>
      <c r="F214" s="124" t="s">
        <v>6613</v>
      </c>
      <c r="G214" s="124" t="s">
        <v>5186</v>
      </c>
      <c r="H214" s="126">
        <v>0.18</v>
      </c>
      <c r="I214" s="124" t="s">
        <v>5196</v>
      </c>
      <c r="J214" s="126">
        <v>0.03</v>
      </c>
      <c r="K214" s="124"/>
      <c r="L214" s="124"/>
      <c r="M214" s="124"/>
      <c r="N214" s="124"/>
      <c r="O214" s="124"/>
      <c r="P214" s="124"/>
      <c r="Q214" s="124"/>
      <c r="R214" s="124"/>
      <c r="S214" s="124"/>
      <c r="T214" s="124"/>
      <c r="U214" s="124" t="s">
        <v>5523</v>
      </c>
      <c r="V214" s="127">
        <f t="shared" si="2"/>
        <v>0.21</v>
      </c>
      <c r="W214" s="126">
        <v>0</v>
      </c>
      <c r="X214" s="126">
        <v>0</v>
      </c>
      <c r="Y214" s="126">
        <v>10</v>
      </c>
      <c r="Z214" s="124"/>
      <c r="AA214" s="124" t="e">
        <f t="shared" ca="1" si="3"/>
        <v>#NAME?</v>
      </c>
      <c r="AB214" s="126">
        <f t="array" aca="1" ref="AB214" ca="1">IFERROR(J214/_xludf.XLOOKUP(I214,Materials!$A$3:$A$292,Materials!$I$3:$I$292),0)
+IFERROR(L214/_xludf.XLOOKUP(K214,Materials!$A$3:$A$292,Materials!$I$3:$I$292),0)
+IFERROR(N214/_xludf.XLOOKUP(M214,Materials!$A$3:$A$292,Materials!$I$3:$I$292),0)
+IFERROR(P214/_xludf.XLOOKUP(O214,Materials!$A$3:$A$292,Materials!$I$3:$I$292),0)
+IFERROR(R214/_xludf.XLOOKUP(Q214,Materials!$A$3:$A$292,Materials!$I$3:$I$292),0)
+IFERROR(H214/_xludf.XLOOKUP(G214,Materials!$A$3:$A$292,Materials!$I$3:$I$292),0)</f>
        <v>0</v>
      </c>
      <c r="AC214" s="20"/>
      <c r="AD214" s="20"/>
      <c r="AE214" s="20"/>
      <c r="AF214" s="20"/>
      <c r="AG214" s="20"/>
      <c r="AH214" s="20"/>
      <c r="AI214" s="20"/>
      <c r="AJ214" s="20"/>
      <c r="AK214" s="20"/>
      <c r="AL214" s="20"/>
      <c r="AM214" s="20"/>
      <c r="AN214" s="20"/>
      <c r="AO214" s="20"/>
      <c r="AP214" s="20"/>
      <c r="AQ214" s="20"/>
      <c r="AR214" s="20"/>
      <c r="AS214" s="20"/>
      <c r="AT214" s="20"/>
      <c r="AU214" s="20"/>
      <c r="AV214" s="20"/>
    </row>
    <row r="215" spans="1:48" ht="17.25" hidden="1" customHeight="1">
      <c r="A215" s="15" t="s">
        <v>5794</v>
      </c>
      <c r="B215" s="124" t="s">
        <v>157</v>
      </c>
      <c r="C215" s="124" t="s">
        <v>5522</v>
      </c>
      <c r="D215" s="125" t="e">
        <f t="shared" ca="1" si="0"/>
        <v>#NAME?</v>
      </c>
      <c r="E215" s="126" t="str">
        <f t="shared" ca="1" si="1"/>
        <v>Not enough information entered</v>
      </c>
      <c r="F215" s="124" t="s">
        <v>6420</v>
      </c>
      <c r="G215" s="124" t="s">
        <v>5211</v>
      </c>
      <c r="H215" s="126">
        <v>0.03</v>
      </c>
      <c r="I215" s="124" t="s">
        <v>5186</v>
      </c>
      <c r="J215" s="126">
        <v>0.18</v>
      </c>
      <c r="K215" s="124" t="s">
        <v>5204</v>
      </c>
      <c r="L215" s="126">
        <v>0.02</v>
      </c>
      <c r="M215" s="124" t="s">
        <v>5200</v>
      </c>
      <c r="N215" s="126">
        <v>1.2E-2</v>
      </c>
      <c r="O215" s="124"/>
      <c r="P215" s="124"/>
      <c r="Q215" s="124"/>
      <c r="R215" s="124"/>
      <c r="S215" s="124"/>
      <c r="T215" s="124"/>
      <c r="U215" s="124" t="s">
        <v>5523</v>
      </c>
      <c r="V215" s="127">
        <f t="shared" si="2"/>
        <v>0.24199999999999999</v>
      </c>
      <c r="W215" s="126">
        <v>0</v>
      </c>
      <c r="X215" s="126">
        <v>0</v>
      </c>
      <c r="Y215" s="126">
        <v>10</v>
      </c>
      <c r="Z215" s="124"/>
      <c r="AA215" s="124" t="e">
        <f t="shared" ca="1" si="3"/>
        <v>#NAME?</v>
      </c>
      <c r="AB215" s="126">
        <f t="array" aca="1" ref="AB215" ca="1">IFERROR(J215/_xludf.XLOOKUP(I215,Materials!$A$3:$A$292,Materials!$I$3:$I$292),0)
+IFERROR(L215/_xludf.XLOOKUP(K215,Materials!$A$3:$A$292,Materials!$I$3:$I$292),0)
+IFERROR(N215/_xludf.XLOOKUP(M215,Materials!$A$3:$A$292,Materials!$I$3:$I$292),0)
+IFERROR(P215/_xludf.XLOOKUP(O215,Materials!$A$3:$A$292,Materials!$I$3:$I$292),0)
+IFERROR(R215/_xludf.XLOOKUP(Q215,Materials!$A$3:$A$292,Materials!$I$3:$I$292),0)
+IFERROR(H215/_xludf.XLOOKUP(G215,Materials!$A$3:$A$292,Materials!$I$3:$I$292),0)</f>
        <v>0</v>
      </c>
      <c r="AC215" s="20"/>
      <c r="AD215" s="20"/>
      <c r="AE215" s="20"/>
      <c r="AF215" s="20"/>
      <c r="AG215" s="20"/>
      <c r="AH215" s="20"/>
      <c r="AI215" s="20"/>
      <c r="AJ215" s="20"/>
      <c r="AK215" s="20"/>
      <c r="AL215" s="20"/>
      <c r="AM215" s="20"/>
      <c r="AN215" s="20"/>
      <c r="AO215" s="20"/>
      <c r="AP215" s="20"/>
      <c r="AQ215" s="20"/>
      <c r="AR215" s="20"/>
      <c r="AS215" s="20"/>
      <c r="AT215" s="20"/>
      <c r="AU215" s="20"/>
      <c r="AV215" s="20"/>
    </row>
    <row r="216" spans="1:48" ht="17.25" customHeight="1">
      <c r="A216" s="15" t="s">
        <v>5794</v>
      </c>
      <c r="B216" s="124" t="s">
        <v>154</v>
      </c>
      <c r="C216" s="124" t="s">
        <v>5524</v>
      </c>
      <c r="D216" s="125" t="e">
        <f t="shared" ca="1" si="0"/>
        <v>#NAME?</v>
      </c>
      <c r="E216" s="126" t="str">
        <f t="shared" ca="1" si="1"/>
        <v>Not enough information entered</v>
      </c>
      <c r="F216" s="124" t="s">
        <v>6266</v>
      </c>
      <c r="G216" s="124" t="s">
        <v>5211</v>
      </c>
      <c r="H216" s="126">
        <v>5.8000000000000003E-2</v>
      </c>
      <c r="I216" s="124" t="s">
        <v>5186</v>
      </c>
      <c r="J216" s="126">
        <v>0.15</v>
      </c>
      <c r="K216" s="124" t="s">
        <v>5196</v>
      </c>
      <c r="L216" s="124">
        <v>0.03</v>
      </c>
      <c r="M216" s="124"/>
      <c r="N216" s="124"/>
      <c r="O216" s="124"/>
      <c r="P216" s="124"/>
      <c r="Q216" s="124"/>
      <c r="R216" s="124"/>
      <c r="S216" s="124"/>
      <c r="T216" s="124"/>
      <c r="U216" s="124" t="s">
        <v>5523</v>
      </c>
      <c r="V216" s="127">
        <f t="shared" si="2"/>
        <v>0.23799999999999999</v>
      </c>
      <c r="W216" s="124"/>
      <c r="X216" s="124"/>
      <c r="Y216" s="124"/>
      <c r="Z216" s="124"/>
      <c r="AA216" s="124" t="e">
        <f t="shared" ca="1" si="3"/>
        <v>#NAME?</v>
      </c>
      <c r="AB216" s="126">
        <f t="array" aca="1" ref="AB216" ca="1">IFERROR(J216/_xludf.XLOOKUP(I216,Materials!$A$3:$A$292,Materials!$I$3:$I$292),0)
+IFERROR(L216/_xludf.XLOOKUP(K216,Materials!$A$3:$A$292,Materials!$I$3:$I$292),0)
+IFERROR(N216/_xludf.XLOOKUP(M216,Materials!$A$3:$A$292,Materials!$I$3:$I$292),0)
+IFERROR(P216/_xludf.XLOOKUP(O216,Materials!$A$3:$A$292,Materials!$I$3:$I$292),0)
+IFERROR(R216/_xludf.XLOOKUP(Q216,Materials!$A$3:$A$292,Materials!$I$3:$I$292),0)
+IFERROR(H216/_xludf.XLOOKUP(G216,Materials!$A$3:$A$292,Materials!$I$3:$I$292),0)</f>
        <v>0</v>
      </c>
      <c r="AC216" s="20"/>
      <c r="AD216" s="20"/>
      <c r="AE216" s="20"/>
      <c r="AF216" s="20"/>
      <c r="AG216" s="20"/>
      <c r="AH216" s="20"/>
      <c r="AI216" s="20"/>
      <c r="AJ216" s="20"/>
      <c r="AK216" s="20"/>
      <c r="AL216" s="20"/>
      <c r="AM216" s="20"/>
      <c r="AN216" s="20"/>
      <c r="AO216" s="20"/>
      <c r="AP216" s="20"/>
      <c r="AQ216" s="20"/>
      <c r="AR216" s="20"/>
      <c r="AS216" s="20"/>
      <c r="AT216" s="20"/>
      <c r="AU216" s="20"/>
      <c r="AV216" s="20"/>
    </row>
    <row r="217" spans="1:48" ht="17.25" hidden="1" customHeight="1">
      <c r="A217" s="15" t="s">
        <v>5794</v>
      </c>
      <c r="B217" s="124" t="s">
        <v>160</v>
      </c>
      <c r="C217" s="124" t="s">
        <v>5526</v>
      </c>
      <c r="D217" s="125" t="e">
        <f t="shared" ca="1" si="0"/>
        <v>#NAME?</v>
      </c>
      <c r="E217" s="126" t="str">
        <f t="shared" ca="1" si="1"/>
        <v>Not enough information entered</v>
      </c>
      <c r="F217" s="124" t="s">
        <v>6614</v>
      </c>
      <c r="G217" s="124" t="s">
        <v>5211</v>
      </c>
      <c r="H217" s="126">
        <v>4.7E-2</v>
      </c>
      <c r="I217" s="124" t="s">
        <v>5186</v>
      </c>
      <c r="J217" s="126">
        <v>0.18</v>
      </c>
      <c r="K217" s="124" t="s">
        <v>5196</v>
      </c>
      <c r="L217" s="124">
        <v>0.03</v>
      </c>
      <c r="M217" s="124"/>
      <c r="N217" s="124"/>
      <c r="O217" s="124"/>
      <c r="P217" s="124"/>
      <c r="Q217" s="124"/>
      <c r="R217" s="124"/>
      <c r="S217" s="124"/>
      <c r="T217" s="124"/>
      <c r="U217" s="124" t="s">
        <v>5523</v>
      </c>
      <c r="V217" s="127">
        <f t="shared" si="2"/>
        <v>0.25700000000000001</v>
      </c>
      <c r="W217" s="126">
        <v>0</v>
      </c>
      <c r="X217" s="126">
        <v>0</v>
      </c>
      <c r="Y217" s="126">
        <v>10</v>
      </c>
      <c r="Z217" s="124"/>
      <c r="AA217" s="124" t="e">
        <f t="shared" ca="1" si="3"/>
        <v>#NAME?</v>
      </c>
      <c r="AB217" s="126">
        <f t="array" aca="1" ref="AB217" ca="1">IFERROR(J217/_xludf.XLOOKUP(I217,Materials!$A$3:$A$292,Materials!$I$3:$I$292),0)
+IFERROR(L217/_xludf.XLOOKUP(K217,Materials!$A$3:$A$292,Materials!$I$3:$I$292),0)
+IFERROR(N217/_xludf.XLOOKUP(M217,Materials!$A$3:$A$292,Materials!$I$3:$I$292),0)
+IFERROR(P217/_xludf.XLOOKUP(O217,Materials!$A$3:$A$292,Materials!$I$3:$I$292),0)
+IFERROR(R217/_xludf.XLOOKUP(Q217,Materials!$A$3:$A$292,Materials!$I$3:$I$292),0)
+IFERROR(H217/_xludf.XLOOKUP(G217,Materials!$A$3:$A$292,Materials!$I$3:$I$292),0)</f>
        <v>0</v>
      </c>
      <c r="AC217" s="20"/>
      <c r="AD217" s="20"/>
      <c r="AE217" s="20"/>
      <c r="AF217" s="20"/>
      <c r="AG217" s="20"/>
      <c r="AH217" s="20"/>
      <c r="AI217" s="20"/>
      <c r="AJ217" s="20"/>
      <c r="AK217" s="20"/>
      <c r="AL217" s="20"/>
      <c r="AM217" s="20"/>
      <c r="AN217" s="20"/>
      <c r="AO217" s="20"/>
      <c r="AP217" s="20"/>
      <c r="AQ217" s="20"/>
      <c r="AR217" s="20"/>
      <c r="AS217" s="20"/>
      <c r="AT217" s="20"/>
      <c r="AU217" s="20"/>
      <c r="AV217" s="20"/>
    </row>
    <row r="218" spans="1:48" ht="17.25" hidden="1" customHeight="1">
      <c r="A218" s="15" t="s">
        <v>5795</v>
      </c>
      <c r="B218" s="124" t="s">
        <v>157</v>
      </c>
      <c r="C218" s="124" t="s">
        <v>5522</v>
      </c>
      <c r="D218" s="125" t="e">
        <f t="shared" ca="1" si="0"/>
        <v>#NAME?</v>
      </c>
      <c r="E218" s="126" t="str">
        <f t="shared" ca="1" si="1"/>
        <v>Not enough information entered</v>
      </c>
      <c r="F218" s="124" t="s">
        <v>6421</v>
      </c>
      <c r="G218" s="124" t="s">
        <v>5211</v>
      </c>
      <c r="H218" s="126">
        <v>0.04</v>
      </c>
      <c r="I218" s="124" t="s">
        <v>5186</v>
      </c>
      <c r="J218" s="126">
        <v>0.18</v>
      </c>
      <c r="K218" s="124" t="s">
        <v>5204</v>
      </c>
      <c r="L218" s="126">
        <v>0.02</v>
      </c>
      <c r="M218" s="124" t="s">
        <v>5200</v>
      </c>
      <c r="N218" s="126">
        <v>1.2E-2</v>
      </c>
      <c r="O218" s="124"/>
      <c r="P218" s="124"/>
      <c r="Q218" s="124"/>
      <c r="R218" s="124"/>
      <c r="S218" s="124"/>
      <c r="T218" s="124"/>
      <c r="U218" s="124" t="s">
        <v>5523</v>
      </c>
      <c r="V218" s="127">
        <f t="shared" si="2"/>
        <v>0.252</v>
      </c>
      <c r="W218" s="126">
        <v>0</v>
      </c>
      <c r="X218" s="126">
        <v>0</v>
      </c>
      <c r="Y218" s="126">
        <v>10</v>
      </c>
      <c r="Z218" s="124"/>
      <c r="AA218" s="124" t="e">
        <f t="shared" ca="1" si="3"/>
        <v>#NAME?</v>
      </c>
      <c r="AB218" s="126">
        <f t="array" aca="1" ref="AB218" ca="1">IFERROR(J218/_xludf.XLOOKUP(I218,Materials!$A$3:$A$292,Materials!$I$3:$I$292),0)
+IFERROR(L218/_xludf.XLOOKUP(K218,Materials!$A$3:$A$292,Materials!$I$3:$I$292),0)
+IFERROR(N218/_xludf.XLOOKUP(M218,Materials!$A$3:$A$292,Materials!$I$3:$I$292),0)
+IFERROR(P218/_xludf.XLOOKUP(O218,Materials!$A$3:$A$292,Materials!$I$3:$I$292),0)
+IFERROR(R218/_xludf.XLOOKUP(Q218,Materials!$A$3:$A$292,Materials!$I$3:$I$292),0)
+IFERROR(H218/_xludf.XLOOKUP(G218,Materials!$A$3:$A$292,Materials!$I$3:$I$292),0)</f>
        <v>0</v>
      </c>
      <c r="AC218" s="20"/>
      <c r="AD218" s="20"/>
      <c r="AE218" s="20"/>
      <c r="AF218" s="20"/>
      <c r="AG218" s="20"/>
      <c r="AH218" s="20"/>
      <c r="AI218" s="20"/>
      <c r="AJ218" s="20"/>
      <c r="AK218" s="20"/>
      <c r="AL218" s="20"/>
      <c r="AM218" s="20"/>
      <c r="AN218" s="20"/>
      <c r="AO218" s="20"/>
      <c r="AP218" s="20"/>
      <c r="AQ218" s="20"/>
      <c r="AR218" s="20"/>
      <c r="AS218" s="20"/>
      <c r="AT218" s="20"/>
      <c r="AU218" s="20"/>
      <c r="AV218" s="20"/>
    </row>
    <row r="219" spans="1:48" ht="17.25" customHeight="1">
      <c r="A219" s="15" t="s">
        <v>5795</v>
      </c>
      <c r="B219" s="124" t="s">
        <v>154</v>
      </c>
      <c r="C219" s="124" t="s">
        <v>5524</v>
      </c>
      <c r="D219" s="125" t="e">
        <f t="shared" ca="1" si="0"/>
        <v>#NAME?</v>
      </c>
      <c r="E219" s="126" t="str">
        <f t="shared" ca="1" si="1"/>
        <v>Not enough information entered</v>
      </c>
      <c r="F219" s="124" t="s">
        <v>6267</v>
      </c>
      <c r="G219" s="124" t="s">
        <v>5211</v>
      </c>
      <c r="H219" s="126">
        <v>5.8999999999999997E-2</v>
      </c>
      <c r="I219" s="124" t="s">
        <v>5186</v>
      </c>
      <c r="J219" s="126">
        <v>0.15</v>
      </c>
      <c r="K219" s="124" t="s">
        <v>5196</v>
      </c>
      <c r="L219" s="124">
        <v>0.03</v>
      </c>
      <c r="M219" s="124"/>
      <c r="N219" s="124"/>
      <c r="O219" s="124"/>
      <c r="P219" s="124"/>
      <c r="Q219" s="124"/>
      <c r="R219" s="124"/>
      <c r="S219" s="124"/>
      <c r="T219" s="124"/>
      <c r="U219" s="124" t="s">
        <v>5523</v>
      </c>
      <c r="V219" s="127">
        <f t="shared" si="2"/>
        <v>0.23899999999999999</v>
      </c>
      <c r="W219" s="124"/>
      <c r="X219" s="124"/>
      <c r="Y219" s="124"/>
      <c r="Z219" s="124"/>
      <c r="AA219" s="124" t="e">
        <f t="shared" ca="1" si="3"/>
        <v>#NAME?</v>
      </c>
      <c r="AB219" s="126">
        <f t="array" aca="1" ref="AB219" ca="1">IFERROR(J219/_xludf.XLOOKUP(I219,Materials!$A$3:$A$292,Materials!$I$3:$I$292),0)
+IFERROR(L219/_xludf.XLOOKUP(K219,Materials!$A$3:$A$292,Materials!$I$3:$I$292),0)
+IFERROR(N219/_xludf.XLOOKUP(M219,Materials!$A$3:$A$292,Materials!$I$3:$I$292),0)
+IFERROR(P219/_xludf.XLOOKUP(O219,Materials!$A$3:$A$292,Materials!$I$3:$I$292),0)
+IFERROR(R219/_xludf.XLOOKUP(Q219,Materials!$A$3:$A$292,Materials!$I$3:$I$292),0)
+IFERROR(H219/_xludf.XLOOKUP(G219,Materials!$A$3:$A$292,Materials!$I$3:$I$292),0)</f>
        <v>0</v>
      </c>
      <c r="AC219" s="20"/>
      <c r="AD219" s="20"/>
      <c r="AE219" s="20"/>
      <c r="AF219" s="20"/>
      <c r="AG219" s="20"/>
      <c r="AH219" s="20"/>
      <c r="AI219" s="20"/>
      <c r="AJ219" s="20"/>
      <c r="AK219" s="20"/>
      <c r="AL219" s="20"/>
      <c r="AM219" s="20"/>
      <c r="AN219" s="20"/>
      <c r="AO219" s="20"/>
      <c r="AP219" s="20"/>
      <c r="AQ219" s="20"/>
      <c r="AR219" s="20"/>
      <c r="AS219" s="20"/>
      <c r="AT219" s="20"/>
      <c r="AU219" s="20"/>
      <c r="AV219" s="20"/>
    </row>
    <row r="220" spans="1:48" ht="17.25" hidden="1" customHeight="1">
      <c r="A220" s="15" t="s">
        <v>5795</v>
      </c>
      <c r="B220" s="124" t="s">
        <v>160</v>
      </c>
      <c r="C220" s="124" t="s">
        <v>5526</v>
      </c>
      <c r="D220" s="125" t="e">
        <f t="shared" ca="1" si="0"/>
        <v>#NAME?</v>
      </c>
      <c r="E220" s="126" t="str">
        <f t="shared" ca="1" si="1"/>
        <v>Not enough information entered</v>
      </c>
      <c r="F220" s="124" t="s">
        <v>6615</v>
      </c>
      <c r="G220" s="124" t="s">
        <v>5211</v>
      </c>
      <c r="H220" s="126">
        <v>5.8000000000000003E-2</v>
      </c>
      <c r="I220" s="124" t="s">
        <v>5186</v>
      </c>
      <c r="J220" s="126">
        <v>0.18</v>
      </c>
      <c r="K220" s="124" t="s">
        <v>5196</v>
      </c>
      <c r="L220" s="124">
        <v>0.03</v>
      </c>
      <c r="M220" s="124"/>
      <c r="N220" s="124"/>
      <c r="O220" s="124"/>
      <c r="P220" s="124"/>
      <c r="Q220" s="124"/>
      <c r="R220" s="124"/>
      <c r="S220" s="124"/>
      <c r="T220" s="124"/>
      <c r="U220" s="124" t="s">
        <v>5523</v>
      </c>
      <c r="V220" s="127">
        <f t="shared" si="2"/>
        <v>0.26800000000000002</v>
      </c>
      <c r="W220" s="126">
        <v>0</v>
      </c>
      <c r="X220" s="126">
        <v>0</v>
      </c>
      <c r="Y220" s="126">
        <v>10</v>
      </c>
      <c r="Z220" s="124"/>
      <c r="AA220" s="124" t="e">
        <f t="shared" ca="1" si="3"/>
        <v>#NAME?</v>
      </c>
      <c r="AB220" s="126">
        <f t="array" aca="1" ref="AB220" ca="1">IFERROR(J220/_xludf.XLOOKUP(I220,Materials!$A$3:$A$292,Materials!$I$3:$I$292),0)
+IFERROR(L220/_xludf.XLOOKUP(K220,Materials!$A$3:$A$292,Materials!$I$3:$I$292),0)
+IFERROR(N220/_xludf.XLOOKUP(M220,Materials!$A$3:$A$292,Materials!$I$3:$I$292),0)
+IFERROR(P220/_xludf.XLOOKUP(O220,Materials!$A$3:$A$292,Materials!$I$3:$I$292),0)
+IFERROR(R220/_xludf.XLOOKUP(Q220,Materials!$A$3:$A$292,Materials!$I$3:$I$292),0)
+IFERROR(H220/_xludf.XLOOKUP(G220,Materials!$A$3:$A$292,Materials!$I$3:$I$292),0)</f>
        <v>0</v>
      </c>
      <c r="AC220" s="20"/>
      <c r="AD220" s="20"/>
      <c r="AE220" s="20"/>
      <c r="AF220" s="20"/>
      <c r="AG220" s="20"/>
      <c r="AH220" s="20"/>
      <c r="AI220" s="20"/>
      <c r="AJ220" s="20"/>
      <c r="AK220" s="20"/>
      <c r="AL220" s="20"/>
      <c r="AM220" s="20"/>
      <c r="AN220" s="20"/>
      <c r="AO220" s="20"/>
      <c r="AP220" s="20"/>
      <c r="AQ220" s="20"/>
      <c r="AR220" s="20"/>
      <c r="AS220" s="20"/>
      <c r="AT220" s="20"/>
      <c r="AU220" s="20"/>
      <c r="AV220" s="20"/>
    </row>
    <row r="221" spans="1:48" ht="17.25" hidden="1" customHeight="1">
      <c r="A221" s="15" t="s">
        <v>5796</v>
      </c>
      <c r="B221" s="124" t="s">
        <v>157</v>
      </c>
      <c r="C221" s="124" t="s">
        <v>5522</v>
      </c>
      <c r="D221" s="125" t="e">
        <f t="shared" ca="1" si="0"/>
        <v>#NAME?</v>
      </c>
      <c r="E221" s="126" t="str">
        <f t="shared" ca="1" si="1"/>
        <v>Not enough information entered</v>
      </c>
      <c r="F221" s="124" t="s">
        <v>6422</v>
      </c>
      <c r="G221" s="124" t="s">
        <v>5211</v>
      </c>
      <c r="H221" s="126">
        <v>0.06</v>
      </c>
      <c r="I221" s="124" t="s">
        <v>5186</v>
      </c>
      <c r="J221" s="126">
        <v>0.18</v>
      </c>
      <c r="K221" s="124" t="s">
        <v>5204</v>
      </c>
      <c r="L221" s="126">
        <v>0.02</v>
      </c>
      <c r="M221" s="124" t="s">
        <v>5200</v>
      </c>
      <c r="N221" s="126">
        <v>1.2E-2</v>
      </c>
      <c r="O221" s="124"/>
      <c r="P221" s="124"/>
      <c r="Q221" s="124"/>
      <c r="R221" s="124"/>
      <c r="S221" s="124"/>
      <c r="T221" s="124"/>
      <c r="U221" s="124" t="s">
        <v>5523</v>
      </c>
      <c r="V221" s="127">
        <f t="shared" si="2"/>
        <v>0.27200000000000002</v>
      </c>
      <c r="W221" s="126">
        <v>0</v>
      </c>
      <c r="X221" s="126">
        <v>0</v>
      </c>
      <c r="Y221" s="126">
        <v>10</v>
      </c>
      <c r="Z221" s="124"/>
      <c r="AA221" s="124" t="e">
        <f t="shared" ca="1" si="3"/>
        <v>#NAME?</v>
      </c>
      <c r="AB221" s="126">
        <f t="array" aca="1" ref="AB221" ca="1">IFERROR(J221/_xludf.XLOOKUP(I221,Materials!$A$3:$A$292,Materials!$I$3:$I$292),0)
+IFERROR(L221/_xludf.XLOOKUP(K221,Materials!$A$3:$A$292,Materials!$I$3:$I$292),0)
+IFERROR(N221/_xludf.XLOOKUP(M221,Materials!$A$3:$A$292,Materials!$I$3:$I$292),0)
+IFERROR(P221/_xludf.XLOOKUP(O221,Materials!$A$3:$A$292,Materials!$I$3:$I$292),0)
+IFERROR(R221/_xludf.XLOOKUP(Q221,Materials!$A$3:$A$292,Materials!$I$3:$I$292),0)
+IFERROR(H221/_xludf.XLOOKUP(G221,Materials!$A$3:$A$292,Materials!$I$3:$I$292),0)</f>
        <v>0</v>
      </c>
      <c r="AC221" s="20"/>
      <c r="AD221" s="20"/>
      <c r="AE221" s="20"/>
      <c r="AF221" s="20"/>
      <c r="AG221" s="20"/>
      <c r="AH221" s="20"/>
      <c r="AI221" s="20"/>
      <c r="AJ221" s="20"/>
      <c r="AK221" s="20"/>
      <c r="AL221" s="20"/>
      <c r="AM221" s="20"/>
      <c r="AN221" s="20"/>
      <c r="AO221" s="20"/>
      <c r="AP221" s="20"/>
      <c r="AQ221" s="20"/>
      <c r="AR221" s="20"/>
      <c r="AS221" s="20"/>
      <c r="AT221" s="20"/>
      <c r="AU221" s="20"/>
      <c r="AV221" s="20"/>
    </row>
    <row r="222" spans="1:48" ht="17.25" customHeight="1">
      <c r="A222" s="15" t="s">
        <v>5796</v>
      </c>
      <c r="B222" s="124" t="s">
        <v>154</v>
      </c>
      <c r="C222" s="124" t="s">
        <v>5524</v>
      </c>
      <c r="D222" s="125" t="e">
        <f t="shared" ca="1" si="0"/>
        <v>#NAME?</v>
      </c>
      <c r="E222" s="126" t="str">
        <f t="shared" ca="1" si="1"/>
        <v>Not enough information entered</v>
      </c>
      <c r="F222" s="124" t="s">
        <v>6268</v>
      </c>
      <c r="G222" s="124" t="s">
        <v>5211</v>
      </c>
      <c r="H222" s="126">
        <v>7.8E-2</v>
      </c>
      <c r="I222" s="124" t="s">
        <v>5186</v>
      </c>
      <c r="J222" s="126">
        <v>0.15</v>
      </c>
      <c r="K222" s="124" t="s">
        <v>5196</v>
      </c>
      <c r="L222" s="124">
        <v>0.03</v>
      </c>
      <c r="M222" s="124"/>
      <c r="N222" s="124"/>
      <c r="O222" s="124"/>
      <c r="P222" s="124"/>
      <c r="Q222" s="124"/>
      <c r="R222" s="124"/>
      <c r="S222" s="124"/>
      <c r="T222" s="124"/>
      <c r="U222" s="124" t="s">
        <v>5523</v>
      </c>
      <c r="V222" s="127">
        <f t="shared" si="2"/>
        <v>0.25800000000000001</v>
      </c>
      <c r="W222" s="124"/>
      <c r="X222" s="124"/>
      <c r="Y222" s="124"/>
      <c r="Z222" s="124"/>
      <c r="AA222" s="124" t="e">
        <f t="shared" ca="1" si="3"/>
        <v>#NAME?</v>
      </c>
      <c r="AB222" s="126">
        <f t="array" aca="1" ref="AB222" ca="1">IFERROR(J222/_xludf.XLOOKUP(I222,Materials!$A$3:$A$292,Materials!$I$3:$I$292),0)
+IFERROR(L222/_xludf.XLOOKUP(K222,Materials!$A$3:$A$292,Materials!$I$3:$I$292),0)
+IFERROR(N222/_xludf.XLOOKUP(M222,Materials!$A$3:$A$292,Materials!$I$3:$I$292),0)
+IFERROR(P222/_xludf.XLOOKUP(O222,Materials!$A$3:$A$292,Materials!$I$3:$I$292),0)
+IFERROR(R222/_xludf.XLOOKUP(Q222,Materials!$A$3:$A$292,Materials!$I$3:$I$292),0)
+IFERROR(H222/_xludf.XLOOKUP(G222,Materials!$A$3:$A$292,Materials!$I$3:$I$292),0)</f>
        <v>0</v>
      </c>
      <c r="AC222" s="20"/>
      <c r="AD222" s="20"/>
      <c r="AE222" s="20"/>
      <c r="AF222" s="20"/>
      <c r="AG222" s="20"/>
      <c r="AH222" s="20"/>
      <c r="AI222" s="20"/>
      <c r="AJ222" s="20"/>
      <c r="AK222" s="20"/>
      <c r="AL222" s="20"/>
      <c r="AM222" s="20"/>
      <c r="AN222" s="20"/>
      <c r="AO222" s="20"/>
      <c r="AP222" s="20"/>
      <c r="AQ222" s="20"/>
      <c r="AR222" s="20"/>
      <c r="AS222" s="20"/>
      <c r="AT222" s="20"/>
      <c r="AU222" s="20"/>
      <c r="AV222" s="20"/>
    </row>
    <row r="223" spans="1:48" ht="17.25" hidden="1" customHeight="1">
      <c r="A223" s="15" t="s">
        <v>5796</v>
      </c>
      <c r="B223" s="124" t="s">
        <v>160</v>
      </c>
      <c r="C223" s="124" t="s">
        <v>5526</v>
      </c>
      <c r="D223" s="125" t="e">
        <f t="shared" ca="1" si="0"/>
        <v>#NAME?</v>
      </c>
      <c r="E223" s="126" t="str">
        <f t="shared" ca="1" si="1"/>
        <v>Not enough information entered</v>
      </c>
      <c r="F223" s="124" t="s">
        <v>6616</v>
      </c>
      <c r="G223" s="124" t="s">
        <v>5211</v>
      </c>
      <c r="H223" s="126">
        <v>7.6999999999999999E-2</v>
      </c>
      <c r="I223" s="124" t="s">
        <v>5186</v>
      </c>
      <c r="J223" s="126">
        <v>0.18</v>
      </c>
      <c r="K223" s="124" t="s">
        <v>5196</v>
      </c>
      <c r="L223" s="124">
        <v>0.03</v>
      </c>
      <c r="M223" s="124"/>
      <c r="N223" s="124"/>
      <c r="O223" s="124"/>
      <c r="P223" s="124"/>
      <c r="Q223" s="124"/>
      <c r="R223" s="124"/>
      <c r="S223" s="124"/>
      <c r="T223" s="124"/>
      <c r="U223" s="124" t="s">
        <v>5523</v>
      </c>
      <c r="V223" s="127">
        <f t="shared" si="2"/>
        <v>0.28700000000000003</v>
      </c>
      <c r="W223" s="126">
        <v>0</v>
      </c>
      <c r="X223" s="126">
        <v>0</v>
      </c>
      <c r="Y223" s="126">
        <v>10</v>
      </c>
      <c r="Z223" s="124"/>
      <c r="AA223" s="124" t="e">
        <f t="shared" ca="1" si="3"/>
        <v>#NAME?</v>
      </c>
      <c r="AB223" s="126">
        <f t="array" aca="1" ref="AB223" ca="1">IFERROR(J223/_xludf.XLOOKUP(I223,Materials!$A$3:$A$292,Materials!$I$3:$I$292),0)
+IFERROR(L223/_xludf.XLOOKUP(K223,Materials!$A$3:$A$292,Materials!$I$3:$I$292),0)
+IFERROR(N223/_xludf.XLOOKUP(M223,Materials!$A$3:$A$292,Materials!$I$3:$I$292),0)
+IFERROR(P223/_xludf.XLOOKUP(O223,Materials!$A$3:$A$292,Materials!$I$3:$I$292),0)
+IFERROR(R223/_xludf.XLOOKUP(Q223,Materials!$A$3:$A$292,Materials!$I$3:$I$292),0)
+IFERROR(H223/_xludf.XLOOKUP(G223,Materials!$A$3:$A$292,Materials!$I$3:$I$292),0)</f>
        <v>0</v>
      </c>
      <c r="AC223" s="20"/>
      <c r="AD223" s="20"/>
      <c r="AE223" s="20"/>
      <c r="AF223" s="20"/>
      <c r="AG223" s="20"/>
      <c r="AH223" s="20"/>
      <c r="AI223" s="20"/>
      <c r="AJ223" s="20"/>
      <c r="AK223" s="20"/>
      <c r="AL223" s="20"/>
      <c r="AM223" s="20"/>
      <c r="AN223" s="20"/>
      <c r="AO223" s="20"/>
      <c r="AP223" s="20"/>
      <c r="AQ223" s="20"/>
      <c r="AR223" s="20"/>
      <c r="AS223" s="20"/>
      <c r="AT223" s="20"/>
      <c r="AU223" s="20"/>
      <c r="AV223" s="20"/>
    </row>
    <row r="224" spans="1:48" ht="17.25" hidden="1" customHeight="1">
      <c r="A224" s="15" t="s">
        <v>5797</v>
      </c>
      <c r="B224" s="124" t="s">
        <v>157</v>
      </c>
      <c r="C224" s="124" t="s">
        <v>5522</v>
      </c>
      <c r="D224" s="125" t="e">
        <f t="shared" ca="1" si="0"/>
        <v>#NAME?</v>
      </c>
      <c r="E224" s="126" t="str">
        <f t="shared" ca="1" si="1"/>
        <v>Not enough information entered</v>
      </c>
      <c r="F224" s="124" t="s">
        <v>6423</v>
      </c>
      <c r="G224" s="124" t="s">
        <v>5211</v>
      </c>
      <c r="H224" s="126">
        <v>6.9000000000000006E-2</v>
      </c>
      <c r="I224" s="124" t="s">
        <v>5186</v>
      </c>
      <c r="J224" s="126">
        <v>0.18</v>
      </c>
      <c r="K224" s="124" t="s">
        <v>5204</v>
      </c>
      <c r="L224" s="126">
        <v>0.02</v>
      </c>
      <c r="M224" s="124" t="s">
        <v>5200</v>
      </c>
      <c r="N224" s="126">
        <v>1.2E-2</v>
      </c>
      <c r="O224" s="124"/>
      <c r="P224" s="124"/>
      <c r="Q224" s="124"/>
      <c r="R224" s="124"/>
      <c r="S224" s="124"/>
      <c r="T224" s="124"/>
      <c r="U224" s="124" t="s">
        <v>5523</v>
      </c>
      <c r="V224" s="127">
        <f t="shared" si="2"/>
        <v>0.28100000000000003</v>
      </c>
      <c r="W224" s="126">
        <v>0</v>
      </c>
      <c r="X224" s="126">
        <v>0</v>
      </c>
      <c r="Y224" s="126">
        <v>10</v>
      </c>
      <c r="Z224" s="124"/>
      <c r="AA224" s="124" t="e">
        <f t="shared" ca="1" si="3"/>
        <v>#NAME?</v>
      </c>
      <c r="AB224" s="126">
        <f t="array" aca="1" ref="AB224" ca="1">IFERROR(J224/_xludf.XLOOKUP(I224,Materials!$A$3:$A$292,Materials!$I$3:$I$292),0)
+IFERROR(L224/_xludf.XLOOKUP(K224,Materials!$A$3:$A$292,Materials!$I$3:$I$292),0)
+IFERROR(N224/_xludf.XLOOKUP(M224,Materials!$A$3:$A$292,Materials!$I$3:$I$292),0)
+IFERROR(P224/_xludf.XLOOKUP(O224,Materials!$A$3:$A$292,Materials!$I$3:$I$292),0)
+IFERROR(R224/_xludf.XLOOKUP(Q224,Materials!$A$3:$A$292,Materials!$I$3:$I$292),0)
+IFERROR(H224/_xludf.XLOOKUP(G224,Materials!$A$3:$A$292,Materials!$I$3:$I$292),0)</f>
        <v>0</v>
      </c>
      <c r="AC224" s="20"/>
      <c r="AD224" s="20"/>
      <c r="AE224" s="20"/>
      <c r="AF224" s="20"/>
      <c r="AG224" s="20"/>
      <c r="AH224" s="20"/>
      <c r="AI224" s="20"/>
      <c r="AJ224" s="20"/>
      <c r="AK224" s="20"/>
      <c r="AL224" s="20"/>
      <c r="AM224" s="20"/>
      <c r="AN224" s="20"/>
      <c r="AO224" s="20"/>
      <c r="AP224" s="20"/>
      <c r="AQ224" s="20"/>
      <c r="AR224" s="20"/>
      <c r="AS224" s="20"/>
      <c r="AT224" s="20"/>
      <c r="AU224" s="20"/>
      <c r="AV224" s="20"/>
    </row>
    <row r="225" spans="1:48" ht="17.25" customHeight="1">
      <c r="A225" s="15" t="s">
        <v>5797</v>
      </c>
      <c r="B225" s="124" t="s">
        <v>154</v>
      </c>
      <c r="C225" s="124" t="s">
        <v>5524</v>
      </c>
      <c r="D225" s="125" t="e">
        <f t="shared" ca="1" si="0"/>
        <v>#NAME?</v>
      </c>
      <c r="E225" s="126" t="str">
        <f t="shared" ca="1" si="1"/>
        <v>Not enough information entered</v>
      </c>
      <c r="F225" s="124" t="s">
        <v>6269</v>
      </c>
      <c r="G225" s="124" t="s">
        <v>5211</v>
      </c>
      <c r="H225" s="126">
        <v>9.4E-2</v>
      </c>
      <c r="I225" s="124" t="s">
        <v>5186</v>
      </c>
      <c r="J225" s="126">
        <v>0.15</v>
      </c>
      <c r="K225" s="124" t="s">
        <v>5196</v>
      </c>
      <c r="L225" s="124">
        <v>0.03</v>
      </c>
      <c r="M225" s="124"/>
      <c r="N225" s="124"/>
      <c r="O225" s="124"/>
      <c r="P225" s="124"/>
      <c r="Q225" s="124"/>
      <c r="R225" s="124"/>
      <c r="S225" s="124"/>
      <c r="T225" s="124"/>
      <c r="U225" s="124" t="s">
        <v>5523</v>
      </c>
      <c r="V225" s="127">
        <f t="shared" si="2"/>
        <v>0.27400000000000002</v>
      </c>
      <c r="W225" s="124"/>
      <c r="X225" s="124"/>
      <c r="Y225" s="124"/>
      <c r="Z225" s="124"/>
      <c r="AA225" s="124" t="e">
        <f t="shared" ca="1" si="3"/>
        <v>#NAME?</v>
      </c>
      <c r="AB225" s="126">
        <f t="array" aca="1" ref="AB225" ca="1">IFERROR(J225/_xludf.XLOOKUP(I225,Materials!$A$3:$A$292,Materials!$I$3:$I$292),0)
+IFERROR(L225/_xludf.XLOOKUP(K225,Materials!$A$3:$A$292,Materials!$I$3:$I$292),0)
+IFERROR(N225/_xludf.XLOOKUP(M225,Materials!$A$3:$A$292,Materials!$I$3:$I$292),0)
+IFERROR(P225/_xludf.XLOOKUP(O225,Materials!$A$3:$A$292,Materials!$I$3:$I$292),0)
+IFERROR(R225/_xludf.XLOOKUP(Q225,Materials!$A$3:$A$292,Materials!$I$3:$I$292),0)
+IFERROR(H225/_xludf.XLOOKUP(G225,Materials!$A$3:$A$292,Materials!$I$3:$I$292),0)</f>
        <v>0</v>
      </c>
      <c r="AC225" s="20"/>
      <c r="AD225" s="20"/>
      <c r="AE225" s="20"/>
      <c r="AF225" s="20"/>
      <c r="AG225" s="20"/>
      <c r="AH225" s="20"/>
      <c r="AI225" s="20"/>
      <c r="AJ225" s="20"/>
      <c r="AK225" s="20"/>
      <c r="AL225" s="20"/>
      <c r="AM225" s="20"/>
      <c r="AN225" s="20"/>
      <c r="AO225" s="20"/>
      <c r="AP225" s="20"/>
      <c r="AQ225" s="20"/>
      <c r="AR225" s="20"/>
      <c r="AS225" s="20"/>
      <c r="AT225" s="20"/>
      <c r="AU225" s="20"/>
      <c r="AV225" s="20"/>
    </row>
    <row r="226" spans="1:48" ht="17.25" hidden="1" customHeight="1">
      <c r="A226" s="15" t="s">
        <v>5797</v>
      </c>
      <c r="B226" s="124" t="s">
        <v>160</v>
      </c>
      <c r="C226" s="124" t="s">
        <v>5526</v>
      </c>
      <c r="D226" s="125" t="e">
        <f t="shared" ca="1" si="0"/>
        <v>#NAME?</v>
      </c>
      <c r="E226" s="126" t="str">
        <f t="shared" ca="1" si="1"/>
        <v>Not enough information entered</v>
      </c>
      <c r="F226" s="124" t="s">
        <v>6617</v>
      </c>
      <c r="G226" s="124" t="s">
        <v>5211</v>
      </c>
      <c r="H226" s="126">
        <v>9.2999999999999999E-2</v>
      </c>
      <c r="I226" s="124" t="s">
        <v>5186</v>
      </c>
      <c r="J226" s="126">
        <v>0.18</v>
      </c>
      <c r="K226" s="124" t="s">
        <v>5196</v>
      </c>
      <c r="L226" s="124">
        <v>0.03</v>
      </c>
      <c r="M226" s="124"/>
      <c r="N226" s="124"/>
      <c r="O226" s="124"/>
      <c r="P226" s="124"/>
      <c r="Q226" s="124"/>
      <c r="R226" s="124"/>
      <c r="S226" s="124"/>
      <c r="T226" s="124"/>
      <c r="U226" s="124" t="s">
        <v>5523</v>
      </c>
      <c r="V226" s="127">
        <f t="shared" si="2"/>
        <v>0.30300000000000005</v>
      </c>
      <c r="W226" s="126">
        <v>0</v>
      </c>
      <c r="X226" s="126">
        <v>0</v>
      </c>
      <c r="Y226" s="126">
        <v>10</v>
      </c>
      <c r="Z226" s="124"/>
      <c r="AA226" s="124" t="e">
        <f t="shared" ca="1" si="3"/>
        <v>#NAME?</v>
      </c>
      <c r="AB226" s="126">
        <f t="array" aca="1" ref="AB226" ca="1">IFERROR(J226/_xludf.XLOOKUP(I226,Materials!$A$3:$A$292,Materials!$I$3:$I$292),0)
+IFERROR(L226/_xludf.XLOOKUP(K226,Materials!$A$3:$A$292,Materials!$I$3:$I$292),0)
+IFERROR(N226/_xludf.XLOOKUP(M226,Materials!$A$3:$A$292,Materials!$I$3:$I$292),0)
+IFERROR(P226/_xludf.XLOOKUP(O226,Materials!$A$3:$A$292,Materials!$I$3:$I$292),0)
+IFERROR(R226/_xludf.XLOOKUP(Q226,Materials!$A$3:$A$292,Materials!$I$3:$I$292),0)
+IFERROR(H226/_xludf.XLOOKUP(G226,Materials!$A$3:$A$292,Materials!$I$3:$I$292),0)</f>
        <v>0</v>
      </c>
      <c r="AC226" s="20"/>
      <c r="AD226" s="20"/>
      <c r="AE226" s="20"/>
      <c r="AF226" s="20"/>
      <c r="AG226" s="20"/>
      <c r="AH226" s="20"/>
      <c r="AI226" s="20"/>
      <c r="AJ226" s="20"/>
      <c r="AK226" s="20"/>
      <c r="AL226" s="20"/>
      <c r="AM226" s="20"/>
      <c r="AN226" s="20"/>
      <c r="AO226" s="20"/>
      <c r="AP226" s="20"/>
      <c r="AQ226" s="20"/>
      <c r="AR226" s="20"/>
      <c r="AS226" s="20"/>
      <c r="AT226" s="20"/>
      <c r="AU226" s="20"/>
      <c r="AV226" s="20"/>
    </row>
    <row r="227" spans="1:48" ht="17.25" hidden="1" customHeight="1">
      <c r="A227" s="15" t="s">
        <v>4853</v>
      </c>
      <c r="B227" s="124" t="s">
        <v>158</v>
      </c>
      <c r="C227" s="124" t="s">
        <v>5527</v>
      </c>
      <c r="D227" s="125" t="e">
        <f t="shared" ca="1" si="0"/>
        <v>#NAME?</v>
      </c>
      <c r="E227" s="126" t="str">
        <f t="shared" ca="1" si="1"/>
        <v>Not enough information entered</v>
      </c>
      <c r="F227" s="124" t="s">
        <v>6348</v>
      </c>
      <c r="G227" s="124" t="s">
        <v>5200</v>
      </c>
      <c r="H227" s="124">
        <v>1.2500000000000001E-2</v>
      </c>
      <c r="I227" s="124" t="s">
        <v>5204</v>
      </c>
      <c r="J227" s="124">
        <v>0.05</v>
      </c>
      <c r="K227" s="124" t="s">
        <v>5200</v>
      </c>
      <c r="L227" s="124">
        <v>1.2500000000000001E-2</v>
      </c>
      <c r="M227" s="124"/>
      <c r="N227" s="124"/>
      <c r="O227" s="124"/>
      <c r="P227" s="124"/>
      <c r="Q227" s="124"/>
      <c r="R227" s="124"/>
      <c r="S227" s="124"/>
      <c r="T227" s="124"/>
      <c r="U227" s="124" t="s">
        <v>5523</v>
      </c>
      <c r="V227" s="127">
        <f t="shared" si="2"/>
        <v>7.4999999999999997E-2</v>
      </c>
      <c r="W227" s="124"/>
      <c r="X227" s="124"/>
      <c r="Y227" s="124"/>
      <c r="Z227" s="124"/>
      <c r="AA227" s="124" t="e">
        <f t="shared" ca="1" si="3"/>
        <v>#NAME?</v>
      </c>
      <c r="AB227" s="126">
        <f t="array" aca="1" ref="AB227" ca="1">IFERROR(J227/_xludf.XLOOKUP(I227,Materials!$A$3:$A$292,Materials!$I$3:$I$292),0)
+IFERROR(L227/_xludf.XLOOKUP(K227,Materials!$A$3:$A$292,Materials!$I$3:$I$292),0)
+IFERROR(N227/_xludf.XLOOKUP(M227,Materials!$A$3:$A$292,Materials!$I$3:$I$292),0)
+IFERROR(P227/_xludf.XLOOKUP(O227,Materials!$A$3:$A$292,Materials!$I$3:$I$292),0)
+IFERROR(R227/_xludf.XLOOKUP(Q227,Materials!$A$3:$A$292,Materials!$I$3:$I$292),0)
+IFERROR(H227/_xludf.XLOOKUP(G227,Materials!$A$3:$A$292,Materials!$I$3:$I$292),0)</f>
        <v>0</v>
      </c>
      <c r="AC227" s="20"/>
      <c r="AD227" s="20"/>
      <c r="AE227" s="20"/>
      <c r="AF227" s="20"/>
      <c r="AG227" s="20"/>
      <c r="AH227" s="20"/>
      <c r="AI227" s="20"/>
      <c r="AJ227" s="20"/>
      <c r="AK227" s="20"/>
      <c r="AL227" s="20"/>
      <c r="AM227" s="20"/>
      <c r="AN227" s="20"/>
      <c r="AO227" s="20"/>
      <c r="AP227" s="20"/>
      <c r="AQ227" s="20"/>
      <c r="AR227" s="20"/>
      <c r="AS227" s="20"/>
      <c r="AT227" s="20"/>
      <c r="AU227" s="20"/>
      <c r="AV227" s="20"/>
    </row>
    <row r="228" spans="1:48" ht="17.25" hidden="1" customHeight="1">
      <c r="A228" s="15" t="s">
        <v>4853</v>
      </c>
      <c r="B228" s="124" t="s">
        <v>162</v>
      </c>
      <c r="C228" s="124" t="s">
        <v>5529</v>
      </c>
      <c r="D228" s="125" t="e">
        <f t="shared" ca="1" si="0"/>
        <v>#NAME?</v>
      </c>
      <c r="E228" s="126" t="str">
        <f t="shared" ca="1" si="1"/>
        <v>Not enough information entered</v>
      </c>
      <c r="F228" s="124" t="s">
        <v>6557</v>
      </c>
      <c r="G228" s="124" t="s">
        <v>5186</v>
      </c>
      <c r="H228" s="124">
        <v>0.18</v>
      </c>
      <c r="I228" s="124" t="s">
        <v>5196</v>
      </c>
      <c r="J228" s="124">
        <v>0.03</v>
      </c>
      <c r="K228" s="124"/>
      <c r="L228" s="124"/>
      <c r="M228" s="124"/>
      <c r="N228" s="124"/>
      <c r="O228" s="124"/>
      <c r="P228" s="124"/>
      <c r="Q228" s="124"/>
      <c r="R228" s="124"/>
      <c r="S228" s="124"/>
      <c r="T228" s="124"/>
      <c r="U228" s="124" t="s">
        <v>5523</v>
      </c>
      <c r="V228" s="127">
        <f t="shared" si="2"/>
        <v>0.21</v>
      </c>
      <c r="W228" s="124"/>
      <c r="X228" s="124"/>
      <c r="Y228" s="124"/>
      <c r="Z228" s="124"/>
      <c r="AA228" s="124" t="e">
        <f t="shared" ca="1" si="3"/>
        <v>#NAME?</v>
      </c>
      <c r="AB228" s="126">
        <f t="array" aca="1" ref="AB228" ca="1">IFERROR(J228/_xludf.XLOOKUP(I228,Materials!$A$3:$A$292,Materials!$I$3:$I$292),0)
+IFERROR(L228/_xludf.XLOOKUP(K228,Materials!$A$3:$A$292,Materials!$I$3:$I$292),0)
+IFERROR(N228/_xludf.XLOOKUP(M228,Materials!$A$3:$A$292,Materials!$I$3:$I$292),0)
+IFERROR(P228/_xludf.XLOOKUP(O228,Materials!$A$3:$A$292,Materials!$I$3:$I$292),0)
+IFERROR(R228/_xludf.XLOOKUP(Q228,Materials!$A$3:$A$292,Materials!$I$3:$I$292),0)
+IFERROR(H228/_xludf.XLOOKUP(G228,Materials!$A$3:$A$292,Materials!$I$3:$I$292),0)</f>
        <v>0</v>
      </c>
      <c r="AC228" s="20"/>
      <c r="AD228" s="20"/>
      <c r="AE228" s="20"/>
      <c r="AF228" s="20"/>
      <c r="AG228" s="20"/>
      <c r="AH228" s="20"/>
      <c r="AI228" s="20"/>
      <c r="AJ228" s="20"/>
      <c r="AK228" s="20"/>
      <c r="AL228" s="20"/>
      <c r="AM228" s="20"/>
      <c r="AN228" s="20"/>
      <c r="AO228" s="20"/>
      <c r="AP228" s="20"/>
      <c r="AQ228" s="20"/>
      <c r="AR228" s="20"/>
      <c r="AS228" s="20"/>
      <c r="AT228" s="20"/>
      <c r="AU228" s="20"/>
      <c r="AV228" s="20"/>
    </row>
    <row r="229" spans="1:48" ht="17.25" hidden="1" customHeight="1">
      <c r="A229" s="15" t="s">
        <v>4853</v>
      </c>
      <c r="B229" s="124" t="s">
        <v>159</v>
      </c>
      <c r="C229" s="124" t="s">
        <v>5530</v>
      </c>
      <c r="D229" s="125" t="e">
        <f t="shared" ca="1" si="0"/>
        <v>#NAME?</v>
      </c>
      <c r="E229" s="126" t="str">
        <f t="shared" ca="1" si="1"/>
        <v>Not enough information entered</v>
      </c>
      <c r="F229" s="124" t="s">
        <v>6662</v>
      </c>
      <c r="G229" s="124" t="s">
        <v>5186</v>
      </c>
      <c r="H229" s="124">
        <v>0.2</v>
      </c>
      <c r="I229" s="124" t="s">
        <v>5211</v>
      </c>
      <c r="J229" s="124">
        <v>0.05</v>
      </c>
      <c r="K229" s="124"/>
      <c r="L229" s="124"/>
      <c r="M229" s="124"/>
      <c r="N229" s="124"/>
      <c r="O229" s="124"/>
      <c r="P229" s="124"/>
      <c r="Q229" s="124"/>
      <c r="R229" s="124"/>
      <c r="S229" s="124"/>
      <c r="T229" s="124"/>
      <c r="U229" s="124" t="s">
        <v>5523</v>
      </c>
      <c r="V229" s="127">
        <f t="shared" si="2"/>
        <v>0.25</v>
      </c>
      <c r="W229" s="124"/>
      <c r="X229" s="124"/>
      <c r="Y229" s="124"/>
      <c r="Z229" s="124"/>
      <c r="AA229" s="124" t="e">
        <f t="shared" ca="1" si="3"/>
        <v>#NAME?</v>
      </c>
      <c r="AB229" s="126">
        <f t="array" aca="1" ref="AB229" ca="1">IFERROR(J229/_xludf.XLOOKUP(I229,Materials!$A$3:$A$292,Materials!$I$3:$I$292),0)
+IFERROR(L229/_xludf.XLOOKUP(K229,Materials!$A$3:$A$292,Materials!$I$3:$I$292),0)
+IFERROR(N229/_xludf.XLOOKUP(M229,Materials!$A$3:$A$292,Materials!$I$3:$I$292),0)
+IFERROR(P229/_xludf.XLOOKUP(O229,Materials!$A$3:$A$292,Materials!$I$3:$I$292),0)
+IFERROR(R229/_xludf.XLOOKUP(Q229,Materials!$A$3:$A$292,Materials!$I$3:$I$292),0)
+IFERROR(H229/_xludf.XLOOKUP(G229,Materials!$A$3:$A$292,Materials!$I$3:$I$292),0)</f>
        <v>0</v>
      </c>
      <c r="AC229" s="20"/>
      <c r="AD229" s="20"/>
      <c r="AE229" s="20"/>
      <c r="AF229" s="20"/>
      <c r="AG229" s="20"/>
      <c r="AH229" s="20"/>
      <c r="AI229" s="20"/>
      <c r="AJ229" s="20"/>
      <c r="AK229" s="20"/>
      <c r="AL229" s="20"/>
      <c r="AM229" s="20"/>
      <c r="AN229" s="20"/>
      <c r="AO229" s="20"/>
      <c r="AP229" s="20"/>
      <c r="AQ229" s="20"/>
      <c r="AR229" s="20"/>
      <c r="AS229" s="20"/>
      <c r="AT229" s="20"/>
      <c r="AU229" s="20"/>
      <c r="AV229" s="20"/>
    </row>
    <row r="230" spans="1:48" ht="17.25" hidden="1" customHeight="1">
      <c r="A230" s="15"/>
      <c r="B230" s="124"/>
      <c r="C230" s="124" t="s">
        <v>5532</v>
      </c>
      <c r="D230" s="125"/>
      <c r="E230" s="126"/>
      <c r="F230" s="124"/>
      <c r="G230" s="124"/>
      <c r="H230" s="124"/>
      <c r="I230" s="128"/>
      <c r="J230" s="124"/>
      <c r="K230" s="124"/>
      <c r="L230" s="124"/>
      <c r="M230" s="124"/>
      <c r="N230" s="124"/>
      <c r="O230" s="124"/>
      <c r="P230" s="124"/>
      <c r="Q230" s="124"/>
      <c r="R230" s="124"/>
      <c r="S230" s="124"/>
      <c r="T230" s="124"/>
      <c r="U230" s="124"/>
      <c r="V230" s="127"/>
      <c r="W230" s="124"/>
      <c r="X230" s="124"/>
      <c r="Y230" s="124"/>
      <c r="Z230" s="124"/>
      <c r="AA230" s="124"/>
      <c r="AB230" s="126"/>
      <c r="AC230" s="20"/>
      <c r="AD230" s="20"/>
      <c r="AE230" s="20"/>
      <c r="AF230" s="20"/>
      <c r="AG230" s="20"/>
      <c r="AH230" s="20"/>
      <c r="AI230" s="20"/>
      <c r="AJ230" s="20"/>
      <c r="AK230" s="20"/>
      <c r="AL230" s="20"/>
      <c r="AM230" s="20"/>
      <c r="AN230" s="20"/>
      <c r="AO230" s="20"/>
      <c r="AP230" s="20"/>
      <c r="AQ230" s="20"/>
      <c r="AR230" s="20"/>
      <c r="AS230" s="20"/>
      <c r="AT230" s="20"/>
      <c r="AU230" s="20"/>
      <c r="AV230" s="20"/>
    </row>
    <row r="231" spans="1:48" ht="17.25" hidden="1" customHeight="1">
      <c r="A231" s="15" t="s">
        <v>4853</v>
      </c>
      <c r="B231" s="124" t="s">
        <v>161</v>
      </c>
      <c r="C231" s="124" t="s">
        <v>5533</v>
      </c>
      <c r="D231" s="125" t="e">
        <f t="shared" ca="1" si="0"/>
        <v>#NAME?</v>
      </c>
      <c r="E231" s="126" t="str">
        <f t="shared" ca="1" si="1"/>
        <v>Not enough information entered</v>
      </c>
      <c r="F231" s="124" t="s">
        <v>6678</v>
      </c>
      <c r="G231" s="124" t="s">
        <v>5186</v>
      </c>
      <c r="H231" s="124">
        <v>0.18</v>
      </c>
      <c r="I231" s="124" t="s">
        <v>5207</v>
      </c>
      <c r="J231" s="124">
        <v>0.06</v>
      </c>
      <c r="K231" s="124" t="s">
        <v>5200</v>
      </c>
      <c r="L231" s="124">
        <v>1.2500000000000001E-2</v>
      </c>
      <c r="M231" s="124"/>
      <c r="N231" s="124"/>
      <c r="O231" s="124"/>
      <c r="P231" s="124"/>
      <c r="Q231" s="124"/>
      <c r="R231" s="124"/>
      <c r="S231" s="124"/>
      <c r="T231" s="124"/>
      <c r="U231" s="124" t="s">
        <v>5523</v>
      </c>
      <c r="V231" s="127">
        <f t="shared" si="2"/>
        <v>0.2525</v>
      </c>
      <c r="W231" s="124"/>
      <c r="X231" s="124"/>
      <c r="Y231" s="124"/>
      <c r="Z231" s="124"/>
      <c r="AA231" s="124" t="e">
        <f t="shared" ca="1" si="3"/>
        <v>#NAME?</v>
      </c>
      <c r="AB231" s="126">
        <f t="array" aca="1" ref="AB231" ca="1">IFERROR(J231/_xludf.XLOOKUP(I231,Materials!$A$3:$A$292,Materials!$I$3:$I$292),0)
+IFERROR(L231/_xludf.XLOOKUP(K231,Materials!$A$3:$A$292,Materials!$I$3:$I$292),0)
+IFERROR(N231/_xludf.XLOOKUP(M231,Materials!$A$3:$A$292,Materials!$I$3:$I$292),0)
+IFERROR(P231/_xludf.XLOOKUP(O231,Materials!$A$3:$A$292,Materials!$I$3:$I$292),0)
+IFERROR(R231/_xludf.XLOOKUP(Q231,Materials!$A$3:$A$292,Materials!$I$3:$I$292),0)
+IFERROR(H231/_xludf.XLOOKUP(G231,Materials!$A$3:$A$292,Materials!$I$3:$I$292),0)</f>
        <v>0</v>
      </c>
      <c r="AC231" s="20"/>
      <c r="AD231" s="20"/>
      <c r="AE231" s="20"/>
      <c r="AF231" s="20"/>
      <c r="AG231" s="20"/>
      <c r="AH231" s="20"/>
      <c r="AI231" s="20"/>
      <c r="AJ231" s="20"/>
      <c r="AK231" s="20"/>
      <c r="AL231" s="20"/>
      <c r="AM231" s="20"/>
      <c r="AN231" s="20"/>
      <c r="AO231" s="20"/>
      <c r="AP231" s="20"/>
      <c r="AQ231" s="20"/>
      <c r="AR231" s="20"/>
      <c r="AS231" s="20"/>
      <c r="AT231" s="20"/>
      <c r="AU231" s="20"/>
      <c r="AV231" s="20"/>
    </row>
    <row r="232" spans="1:48" ht="17.25" hidden="1" customHeight="1">
      <c r="A232" s="15" t="s">
        <v>5813</v>
      </c>
      <c r="B232" s="124" t="s">
        <v>157</v>
      </c>
      <c r="C232" s="124" t="s">
        <v>5522</v>
      </c>
      <c r="D232" s="125" t="e">
        <f t="shared" ca="1" si="0"/>
        <v>#NAME?</v>
      </c>
      <c r="E232" s="126" t="str">
        <f t="shared" ca="1" si="1"/>
        <v>Not enough information entered</v>
      </c>
      <c r="F232" s="124" t="s">
        <v>6439</v>
      </c>
      <c r="G232" s="124" t="s">
        <v>5186</v>
      </c>
      <c r="H232" s="126">
        <v>0.18</v>
      </c>
      <c r="I232" s="124" t="s">
        <v>5204</v>
      </c>
      <c r="J232" s="126">
        <v>0.02</v>
      </c>
      <c r="K232" s="124" t="s">
        <v>5200</v>
      </c>
      <c r="L232" s="126">
        <v>1.2E-2</v>
      </c>
      <c r="M232" s="124"/>
      <c r="N232" s="124"/>
      <c r="O232" s="124"/>
      <c r="P232" s="124"/>
      <c r="Q232" s="124"/>
      <c r="R232" s="124"/>
      <c r="S232" s="124"/>
      <c r="T232" s="124"/>
      <c r="U232" s="124" t="s">
        <v>5523</v>
      </c>
      <c r="V232" s="127">
        <f t="shared" si="2"/>
        <v>0.21199999999999999</v>
      </c>
      <c r="W232" s="126">
        <v>0</v>
      </c>
      <c r="X232" s="126">
        <v>0</v>
      </c>
      <c r="Y232" s="126">
        <v>10</v>
      </c>
      <c r="Z232" s="124"/>
      <c r="AA232" s="124" t="e">
        <f t="shared" ca="1" si="3"/>
        <v>#NAME?</v>
      </c>
      <c r="AB232" s="126">
        <f t="array" aca="1" ref="AB232" ca="1">IFERROR(J232/_xludf.XLOOKUP(I232,Materials!$A$3:$A$292,Materials!$I$3:$I$292),0)
+IFERROR(L232/_xludf.XLOOKUP(K232,Materials!$A$3:$A$292,Materials!$I$3:$I$292),0)
+IFERROR(N232/_xludf.XLOOKUP(M232,Materials!$A$3:$A$292,Materials!$I$3:$I$292),0)
+IFERROR(P232/_xludf.XLOOKUP(O232,Materials!$A$3:$A$292,Materials!$I$3:$I$292),0)
+IFERROR(R232/_xludf.XLOOKUP(Q232,Materials!$A$3:$A$292,Materials!$I$3:$I$292),0)
+IFERROR(H232/_xludf.XLOOKUP(G232,Materials!$A$3:$A$292,Materials!$I$3:$I$292),0)</f>
        <v>0</v>
      </c>
      <c r="AC232" s="20"/>
      <c r="AD232" s="20"/>
      <c r="AE232" s="20"/>
      <c r="AF232" s="20"/>
      <c r="AG232" s="20"/>
      <c r="AH232" s="20"/>
      <c r="AI232" s="20"/>
      <c r="AJ232" s="20"/>
      <c r="AK232" s="20"/>
      <c r="AL232" s="20"/>
      <c r="AM232" s="20"/>
      <c r="AN232" s="20"/>
      <c r="AO232" s="20"/>
      <c r="AP232" s="20"/>
      <c r="AQ232" s="20"/>
      <c r="AR232" s="20"/>
      <c r="AS232" s="20"/>
      <c r="AT232" s="20"/>
      <c r="AU232" s="20"/>
      <c r="AV232" s="20"/>
    </row>
    <row r="233" spans="1:48" ht="17.25" customHeight="1">
      <c r="A233" s="15" t="s">
        <v>5813</v>
      </c>
      <c r="B233" s="124" t="s">
        <v>154</v>
      </c>
      <c r="C233" s="124" t="s">
        <v>5524</v>
      </c>
      <c r="D233" s="125" t="e">
        <f t="shared" ca="1" si="0"/>
        <v>#NAME?</v>
      </c>
      <c r="E233" s="126" t="str">
        <f t="shared" ca="1" si="1"/>
        <v>Not enough information entered</v>
      </c>
      <c r="F233" s="124" t="s">
        <v>6270</v>
      </c>
      <c r="G233" s="124" t="s">
        <v>5186</v>
      </c>
      <c r="H233" s="126">
        <v>0.15</v>
      </c>
      <c r="I233" s="124" t="s">
        <v>5196</v>
      </c>
      <c r="J233" s="126">
        <v>0.03</v>
      </c>
      <c r="K233" s="124"/>
      <c r="L233" s="124"/>
      <c r="M233" s="124"/>
      <c r="N233" s="124"/>
      <c r="O233" s="124"/>
      <c r="P233" s="124"/>
      <c r="Q233" s="124"/>
      <c r="R233" s="124"/>
      <c r="S233" s="124"/>
      <c r="T233" s="124"/>
      <c r="U233" s="124" t="s">
        <v>5523</v>
      </c>
      <c r="V233" s="127">
        <f t="shared" si="2"/>
        <v>0.18</v>
      </c>
      <c r="W233" s="124"/>
      <c r="X233" s="124"/>
      <c r="Y233" s="124"/>
      <c r="Z233" s="124"/>
      <c r="AA233" s="124" t="e">
        <f t="shared" ca="1" si="3"/>
        <v>#NAME?</v>
      </c>
      <c r="AB233" s="126">
        <f t="array" aca="1" ref="AB233" ca="1">IFERROR(J233/_xludf.XLOOKUP(I233,Materials!$A$3:$A$292,Materials!$I$3:$I$292),0)
+IFERROR(L233/_xludf.XLOOKUP(K233,Materials!$A$3:$A$292,Materials!$I$3:$I$292),0)
+IFERROR(N233/_xludf.XLOOKUP(M233,Materials!$A$3:$A$292,Materials!$I$3:$I$292),0)
+IFERROR(P233/_xludf.XLOOKUP(O233,Materials!$A$3:$A$292,Materials!$I$3:$I$292),0)
+IFERROR(R233/_xludf.XLOOKUP(Q233,Materials!$A$3:$A$292,Materials!$I$3:$I$292),0)
+IFERROR(H233/_xludf.XLOOKUP(G233,Materials!$A$3:$A$292,Materials!$I$3:$I$292),0)</f>
        <v>0</v>
      </c>
      <c r="AC233" s="20"/>
      <c r="AD233" s="20"/>
      <c r="AE233" s="20"/>
      <c r="AF233" s="20"/>
      <c r="AG233" s="20"/>
      <c r="AH233" s="20"/>
      <c r="AI233" s="20"/>
      <c r="AJ233" s="20"/>
      <c r="AK233" s="20"/>
      <c r="AL233" s="20"/>
      <c r="AM233" s="20"/>
      <c r="AN233" s="20"/>
      <c r="AO233" s="20"/>
      <c r="AP233" s="20"/>
      <c r="AQ233" s="20"/>
      <c r="AR233" s="20"/>
      <c r="AS233" s="20"/>
      <c r="AT233" s="20"/>
      <c r="AU233" s="20"/>
      <c r="AV233" s="20"/>
    </row>
    <row r="234" spans="1:48" ht="17.25" hidden="1" customHeight="1">
      <c r="A234" s="15" t="s">
        <v>5813</v>
      </c>
      <c r="B234" s="124" t="s">
        <v>160</v>
      </c>
      <c r="C234" s="124" t="s">
        <v>5526</v>
      </c>
      <c r="D234" s="125" t="e">
        <f t="shared" ca="1" si="0"/>
        <v>#NAME?</v>
      </c>
      <c r="E234" s="126" t="str">
        <f t="shared" ca="1" si="1"/>
        <v>Not enough information entered</v>
      </c>
      <c r="F234" s="124" t="s">
        <v>6633</v>
      </c>
      <c r="G234" s="124" t="s">
        <v>5186</v>
      </c>
      <c r="H234" s="126">
        <v>0.18</v>
      </c>
      <c r="I234" s="124" t="s">
        <v>5196</v>
      </c>
      <c r="J234" s="126">
        <v>0.03</v>
      </c>
      <c r="K234" s="124"/>
      <c r="L234" s="124"/>
      <c r="M234" s="124"/>
      <c r="N234" s="124"/>
      <c r="O234" s="124"/>
      <c r="P234" s="124"/>
      <c r="Q234" s="124"/>
      <c r="R234" s="124"/>
      <c r="S234" s="124"/>
      <c r="T234" s="124"/>
      <c r="U234" s="124" t="s">
        <v>5523</v>
      </c>
      <c r="V234" s="127">
        <f t="shared" si="2"/>
        <v>0.21</v>
      </c>
      <c r="W234" s="126">
        <v>0</v>
      </c>
      <c r="X234" s="126">
        <v>0</v>
      </c>
      <c r="Y234" s="126">
        <v>10</v>
      </c>
      <c r="Z234" s="124"/>
      <c r="AA234" s="124" t="e">
        <f t="shared" ca="1" si="3"/>
        <v>#NAME?</v>
      </c>
      <c r="AB234" s="126">
        <f t="array" aca="1" ref="AB234" ca="1">IFERROR(J234/_xludf.XLOOKUP(I234,Materials!$A$3:$A$292,Materials!$I$3:$I$292),0)
+IFERROR(L234/_xludf.XLOOKUP(K234,Materials!$A$3:$A$292,Materials!$I$3:$I$292),0)
+IFERROR(N234/_xludf.XLOOKUP(M234,Materials!$A$3:$A$292,Materials!$I$3:$I$292),0)
+IFERROR(P234/_xludf.XLOOKUP(O234,Materials!$A$3:$A$292,Materials!$I$3:$I$292),0)
+IFERROR(R234/_xludf.XLOOKUP(Q234,Materials!$A$3:$A$292,Materials!$I$3:$I$292),0)
+IFERROR(H234/_xludf.XLOOKUP(G234,Materials!$A$3:$A$292,Materials!$I$3:$I$292),0)</f>
        <v>0</v>
      </c>
      <c r="AC234" s="20"/>
      <c r="AD234" s="20"/>
      <c r="AE234" s="20"/>
      <c r="AF234" s="20"/>
      <c r="AG234" s="20"/>
      <c r="AH234" s="20"/>
      <c r="AI234" s="20"/>
      <c r="AJ234" s="20"/>
      <c r="AK234" s="20"/>
      <c r="AL234" s="20"/>
      <c r="AM234" s="20"/>
      <c r="AN234" s="20"/>
      <c r="AO234" s="20"/>
      <c r="AP234" s="20"/>
      <c r="AQ234" s="20"/>
      <c r="AR234" s="20"/>
      <c r="AS234" s="20"/>
      <c r="AT234" s="20"/>
      <c r="AU234" s="20"/>
      <c r="AV234" s="20"/>
    </row>
    <row r="235" spans="1:48" ht="17.25" hidden="1" customHeight="1">
      <c r="A235" s="15" t="s">
        <v>5814</v>
      </c>
      <c r="B235" s="124" t="s">
        <v>157</v>
      </c>
      <c r="C235" s="124" t="s">
        <v>5522</v>
      </c>
      <c r="D235" s="125" t="e">
        <f t="shared" ca="1" si="0"/>
        <v>#NAME?</v>
      </c>
      <c r="E235" s="126" t="str">
        <f t="shared" ca="1" si="1"/>
        <v>Not enough information entered</v>
      </c>
      <c r="F235" s="124" t="s">
        <v>6440</v>
      </c>
      <c r="G235" s="124" t="s">
        <v>5211</v>
      </c>
      <c r="H235" s="126">
        <v>0.03</v>
      </c>
      <c r="I235" s="124" t="s">
        <v>5186</v>
      </c>
      <c r="J235" s="126">
        <v>0.18</v>
      </c>
      <c r="K235" s="124" t="s">
        <v>5204</v>
      </c>
      <c r="L235" s="126">
        <v>0.02</v>
      </c>
      <c r="M235" s="124" t="s">
        <v>5200</v>
      </c>
      <c r="N235" s="126">
        <v>1.2E-2</v>
      </c>
      <c r="O235" s="124"/>
      <c r="P235" s="124"/>
      <c r="Q235" s="124"/>
      <c r="R235" s="124"/>
      <c r="S235" s="124"/>
      <c r="T235" s="124"/>
      <c r="U235" s="124" t="s">
        <v>5523</v>
      </c>
      <c r="V235" s="127">
        <f t="shared" si="2"/>
        <v>0.24199999999999999</v>
      </c>
      <c r="W235" s="126">
        <v>0</v>
      </c>
      <c r="X235" s="126">
        <v>0</v>
      </c>
      <c r="Y235" s="126">
        <v>10</v>
      </c>
      <c r="Z235" s="124"/>
      <c r="AA235" s="124" t="e">
        <f t="shared" ca="1" si="3"/>
        <v>#NAME?</v>
      </c>
      <c r="AB235" s="126">
        <f t="array" aca="1" ref="AB235" ca="1">IFERROR(J235/_xludf.XLOOKUP(I235,Materials!$A$3:$A$292,Materials!$I$3:$I$292),0)
+IFERROR(L235/_xludf.XLOOKUP(K235,Materials!$A$3:$A$292,Materials!$I$3:$I$292),0)
+IFERROR(N235/_xludf.XLOOKUP(M235,Materials!$A$3:$A$292,Materials!$I$3:$I$292),0)
+IFERROR(P235/_xludf.XLOOKUP(O235,Materials!$A$3:$A$292,Materials!$I$3:$I$292),0)
+IFERROR(R235/_xludf.XLOOKUP(Q235,Materials!$A$3:$A$292,Materials!$I$3:$I$292),0)
+IFERROR(H235/_xludf.XLOOKUP(G235,Materials!$A$3:$A$292,Materials!$I$3:$I$292),0)</f>
        <v>0</v>
      </c>
      <c r="AC235" s="20"/>
      <c r="AD235" s="20"/>
      <c r="AE235" s="20"/>
      <c r="AF235" s="20"/>
      <c r="AG235" s="20"/>
      <c r="AH235" s="20"/>
      <c r="AI235" s="20"/>
      <c r="AJ235" s="20"/>
      <c r="AK235" s="20"/>
      <c r="AL235" s="20"/>
      <c r="AM235" s="20"/>
      <c r="AN235" s="20"/>
      <c r="AO235" s="20"/>
      <c r="AP235" s="20"/>
      <c r="AQ235" s="20"/>
      <c r="AR235" s="20"/>
      <c r="AS235" s="20"/>
      <c r="AT235" s="20"/>
      <c r="AU235" s="20"/>
      <c r="AV235" s="20"/>
    </row>
    <row r="236" spans="1:48" ht="17.25" customHeight="1">
      <c r="A236" s="15" t="s">
        <v>5814</v>
      </c>
      <c r="B236" s="124" t="s">
        <v>154</v>
      </c>
      <c r="C236" s="124" t="s">
        <v>5524</v>
      </c>
      <c r="D236" s="125" t="e">
        <f t="shared" ca="1" si="0"/>
        <v>#NAME?</v>
      </c>
      <c r="E236" s="126" t="str">
        <f t="shared" ca="1" si="1"/>
        <v>Not enough information entered</v>
      </c>
      <c r="F236" s="124" t="s">
        <v>6271</v>
      </c>
      <c r="G236" s="124" t="s">
        <v>5211</v>
      </c>
      <c r="H236" s="126">
        <v>5.8000000000000003E-2</v>
      </c>
      <c r="I236" s="124" t="s">
        <v>5186</v>
      </c>
      <c r="J236" s="126">
        <v>0.15</v>
      </c>
      <c r="K236" s="124" t="s">
        <v>5196</v>
      </c>
      <c r="L236" s="124">
        <v>0.03</v>
      </c>
      <c r="M236" s="124"/>
      <c r="N236" s="124"/>
      <c r="O236" s="124"/>
      <c r="P236" s="124"/>
      <c r="Q236" s="124"/>
      <c r="R236" s="124"/>
      <c r="S236" s="124"/>
      <c r="T236" s="124"/>
      <c r="U236" s="124" t="s">
        <v>5523</v>
      </c>
      <c r="V236" s="127">
        <f t="shared" si="2"/>
        <v>0.23799999999999999</v>
      </c>
      <c r="W236" s="124"/>
      <c r="X236" s="124"/>
      <c r="Y236" s="124"/>
      <c r="Z236" s="124"/>
      <c r="AA236" s="124" t="e">
        <f t="shared" ca="1" si="3"/>
        <v>#NAME?</v>
      </c>
      <c r="AB236" s="126">
        <f t="array" aca="1" ref="AB236" ca="1">IFERROR(J236/_xludf.XLOOKUP(I236,Materials!$A$3:$A$292,Materials!$I$3:$I$292),0)
+IFERROR(L236/_xludf.XLOOKUP(K236,Materials!$A$3:$A$292,Materials!$I$3:$I$292),0)
+IFERROR(N236/_xludf.XLOOKUP(M236,Materials!$A$3:$A$292,Materials!$I$3:$I$292),0)
+IFERROR(P236/_xludf.XLOOKUP(O236,Materials!$A$3:$A$292,Materials!$I$3:$I$292),0)
+IFERROR(R236/_xludf.XLOOKUP(Q236,Materials!$A$3:$A$292,Materials!$I$3:$I$292),0)
+IFERROR(H236/_xludf.XLOOKUP(G236,Materials!$A$3:$A$292,Materials!$I$3:$I$292),0)</f>
        <v>0</v>
      </c>
      <c r="AC236" s="20"/>
      <c r="AD236" s="20"/>
      <c r="AE236" s="20"/>
      <c r="AF236" s="20"/>
      <c r="AG236" s="20"/>
      <c r="AH236" s="20"/>
      <c r="AI236" s="20"/>
      <c r="AJ236" s="20"/>
      <c r="AK236" s="20"/>
      <c r="AL236" s="20"/>
      <c r="AM236" s="20"/>
      <c r="AN236" s="20"/>
      <c r="AO236" s="20"/>
      <c r="AP236" s="20"/>
      <c r="AQ236" s="20"/>
      <c r="AR236" s="20"/>
      <c r="AS236" s="20"/>
      <c r="AT236" s="20"/>
      <c r="AU236" s="20"/>
      <c r="AV236" s="20"/>
    </row>
    <row r="237" spans="1:48" ht="17.25" hidden="1" customHeight="1">
      <c r="A237" s="15" t="s">
        <v>5814</v>
      </c>
      <c r="B237" s="124" t="s">
        <v>160</v>
      </c>
      <c r="C237" s="124" t="s">
        <v>5526</v>
      </c>
      <c r="D237" s="125" t="e">
        <f t="shared" ca="1" si="0"/>
        <v>#NAME?</v>
      </c>
      <c r="E237" s="126" t="str">
        <f t="shared" ca="1" si="1"/>
        <v>Not enough information entered</v>
      </c>
      <c r="F237" s="124" t="s">
        <v>6634</v>
      </c>
      <c r="G237" s="124" t="s">
        <v>5211</v>
      </c>
      <c r="H237" s="126">
        <v>4.7E-2</v>
      </c>
      <c r="I237" s="124" t="s">
        <v>5186</v>
      </c>
      <c r="J237" s="126">
        <v>0.18</v>
      </c>
      <c r="K237" s="124" t="s">
        <v>5196</v>
      </c>
      <c r="L237" s="124">
        <v>0.03</v>
      </c>
      <c r="M237" s="124"/>
      <c r="N237" s="124"/>
      <c r="O237" s="124"/>
      <c r="P237" s="124"/>
      <c r="Q237" s="124"/>
      <c r="R237" s="124"/>
      <c r="S237" s="124"/>
      <c r="T237" s="124"/>
      <c r="U237" s="124" t="s">
        <v>5523</v>
      </c>
      <c r="V237" s="127">
        <f t="shared" si="2"/>
        <v>0.25700000000000001</v>
      </c>
      <c r="W237" s="126">
        <v>0</v>
      </c>
      <c r="X237" s="126">
        <v>0</v>
      </c>
      <c r="Y237" s="126">
        <v>10</v>
      </c>
      <c r="Z237" s="124"/>
      <c r="AA237" s="124" t="e">
        <f t="shared" ca="1" si="3"/>
        <v>#NAME?</v>
      </c>
      <c r="AB237" s="126">
        <f t="array" aca="1" ref="AB237" ca="1">IFERROR(J237/_xludf.XLOOKUP(I237,Materials!$A$3:$A$292,Materials!$I$3:$I$292),0)
+IFERROR(L237/_xludf.XLOOKUP(K237,Materials!$A$3:$A$292,Materials!$I$3:$I$292),0)
+IFERROR(N237/_xludf.XLOOKUP(M237,Materials!$A$3:$A$292,Materials!$I$3:$I$292),0)
+IFERROR(P237/_xludf.XLOOKUP(O237,Materials!$A$3:$A$292,Materials!$I$3:$I$292),0)
+IFERROR(R237/_xludf.XLOOKUP(Q237,Materials!$A$3:$A$292,Materials!$I$3:$I$292),0)
+IFERROR(H237/_xludf.XLOOKUP(G237,Materials!$A$3:$A$292,Materials!$I$3:$I$292),0)</f>
        <v>0</v>
      </c>
      <c r="AC237" s="20"/>
      <c r="AD237" s="20"/>
      <c r="AE237" s="20"/>
      <c r="AF237" s="20"/>
      <c r="AG237" s="20"/>
      <c r="AH237" s="20"/>
      <c r="AI237" s="20"/>
      <c r="AJ237" s="20"/>
      <c r="AK237" s="20"/>
      <c r="AL237" s="20"/>
      <c r="AM237" s="20"/>
      <c r="AN237" s="20"/>
      <c r="AO237" s="20"/>
      <c r="AP237" s="20"/>
      <c r="AQ237" s="20"/>
      <c r="AR237" s="20"/>
      <c r="AS237" s="20"/>
      <c r="AT237" s="20"/>
      <c r="AU237" s="20"/>
      <c r="AV237" s="20"/>
    </row>
    <row r="238" spans="1:48" ht="17.25" hidden="1" customHeight="1">
      <c r="A238" s="15" t="s">
        <v>5815</v>
      </c>
      <c r="B238" s="124" t="s">
        <v>157</v>
      </c>
      <c r="C238" s="124" t="s">
        <v>5522</v>
      </c>
      <c r="D238" s="125" t="e">
        <f t="shared" ca="1" si="0"/>
        <v>#NAME?</v>
      </c>
      <c r="E238" s="126" t="str">
        <f t="shared" ca="1" si="1"/>
        <v>Not enough information entered</v>
      </c>
      <c r="F238" s="124" t="s">
        <v>6441</v>
      </c>
      <c r="G238" s="124" t="s">
        <v>5211</v>
      </c>
      <c r="H238" s="126">
        <v>0.04</v>
      </c>
      <c r="I238" s="124" t="s">
        <v>5186</v>
      </c>
      <c r="J238" s="126">
        <v>0.18</v>
      </c>
      <c r="K238" s="124" t="s">
        <v>5204</v>
      </c>
      <c r="L238" s="126">
        <v>0.02</v>
      </c>
      <c r="M238" s="124" t="s">
        <v>5200</v>
      </c>
      <c r="N238" s="126">
        <v>1.2E-2</v>
      </c>
      <c r="O238" s="124"/>
      <c r="P238" s="124"/>
      <c r="Q238" s="124"/>
      <c r="R238" s="124"/>
      <c r="S238" s="124"/>
      <c r="T238" s="124"/>
      <c r="U238" s="124" t="s">
        <v>5523</v>
      </c>
      <c r="V238" s="127">
        <f t="shared" si="2"/>
        <v>0.252</v>
      </c>
      <c r="W238" s="126">
        <v>0</v>
      </c>
      <c r="X238" s="126">
        <v>0</v>
      </c>
      <c r="Y238" s="126">
        <v>10</v>
      </c>
      <c r="Z238" s="124"/>
      <c r="AA238" s="124" t="e">
        <f t="shared" ca="1" si="3"/>
        <v>#NAME?</v>
      </c>
      <c r="AB238" s="126">
        <f t="array" aca="1" ref="AB238" ca="1">IFERROR(J238/_xludf.XLOOKUP(I238,Materials!$A$3:$A$292,Materials!$I$3:$I$292),0)
+IFERROR(L238/_xludf.XLOOKUP(K238,Materials!$A$3:$A$292,Materials!$I$3:$I$292),0)
+IFERROR(N238/_xludf.XLOOKUP(M238,Materials!$A$3:$A$292,Materials!$I$3:$I$292),0)
+IFERROR(P238/_xludf.XLOOKUP(O238,Materials!$A$3:$A$292,Materials!$I$3:$I$292),0)
+IFERROR(R238/_xludf.XLOOKUP(Q238,Materials!$A$3:$A$292,Materials!$I$3:$I$292),0)
+IFERROR(H238/_xludf.XLOOKUP(G238,Materials!$A$3:$A$292,Materials!$I$3:$I$292),0)</f>
        <v>0</v>
      </c>
      <c r="AC238" s="20"/>
      <c r="AD238" s="20"/>
      <c r="AE238" s="20"/>
      <c r="AF238" s="20"/>
      <c r="AG238" s="20"/>
      <c r="AH238" s="20"/>
      <c r="AI238" s="20"/>
      <c r="AJ238" s="20"/>
      <c r="AK238" s="20"/>
      <c r="AL238" s="20"/>
      <c r="AM238" s="20"/>
      <c r="AN238" s="20"/>
      <c r="AO238" s="20"/>
      <c r="AP238" s="20"/>
      <c r="AQ238" s="20"/>
      <c r="AR238" s="20"/>
      <c r="AS238" s="20"/>
      <c r="AT238" s="20"/>
      <c r="AU238" s="20"/>
      <c r="AV238" s="20"/>
    </row>
    <row r="239" spans="1:48" ht="17.25" customHeight="1">
      <c r="A239" s="15" t="s">
        <v>5815</v>
      </c>
      <c r="B239" s="124" t="s">
        <v>154</v>
      </c>
      <c r="C239" s="124" t="s">
        <v>5524</v>
      </c>
      <c r="D239" s="125" t="e">
        <f t="shared" ca="1" si="0"/>
        <v>#NAME?</v>
      </c>
      <c r="E239" s="126" t="str">
        <f t="shared" ca="1" si="1"/>
        <v>Not enough information entered</v>
      </c>
      <c r="F239" s="124" t="s">
        <v>6272</v>
      </c>
      <c r="G239" s="124" t="s">
        <v>5211</v>
      </c>
      <c r="H239" s="126">
        <v>5.8999999999999997E-2</v>
      </c>
      <c r="I239" s="124" t="s">
        <v>5186</v>
      </c>
      <c r="J239" s="126">
        <v>0.15</v>
      </c>
      <c r="K239" s="124" t="s">
        <v>5196</v>
      </c>
      <c r="L239" s="124">
        <v>0.03</v>
      </c>
      <c r="M239" s="124"/>
      <c r="N239" s="124"/>
      <c r="O239" s="124"/>
      <c r="P239" s="124"/>
      <c r="Q239" s="124"/>
      <c r="R239" s="124"/>
      <c r="S239" s="124"/>
      <c r="T239" s="124"/>
      <c r="U239" s="124" t="s">
        <v>5523</v>
      </c>
      <c r="V239" s="127">
        <f t="shared" si="2"/>
        <v>0.23899999999999999</v>
      </c>
      <c r="W239" s="124"/>
      <c r="X239" s="124"/>
      <c r="Y239" s="124"/>
      <c r="Z239" s="124"/>
      <c r="AA239" s="124" t="e">
        <f t="shared" ca="1" si="3"/>
        <v>#NAME?</v>
      </c>
      <c r="AB239" s="126">
        <f t="array" aca="1" ref="AB239" ca="1">IFERROR(J239/_xludf.XLOOKUP(I239,Materials!$A$3:$A$292,Materials!$I$3:$I$292),0)
+IFERROR(L239/_xludf.XLOOKUP(K239,Materials!$A$3:$A$292,Materials!$I$3:$I$292),0)
+IFERROR(N239/_xludf.XLOOKUP(M239,Materials!$A$3:$A$292,Materials!$I$3:$I$292),0)
+IFERROR(P239/_xludf.XLOOKUP(O239,Materials!$A$3:$A$292,Materials!$I$3:$I$292),0)
+IFERROR(R239/_xludf.XLOOKUP(Q239,Materials!$A$3:$A$292,Materials!$I$3:$I$292),0)
+IFERROR(H239/_xludf.XLOOKUP(G239,Materials!$A$3:$A$292,Materials!$I$3:$I$292),0)</f>
        <v>0</v>
      </c>
      <c r="AC239" s="20"/>
      <c r="AD239" s="20"/>
      <c r="AE239" s="20"/>
      <c r="AF239" s="20"/>
      <c r="AG239" s="20"/>
      <c r="AH239" s="20"/>
      <c r="AI239" s="20"/>
      <c r="AJ239" s="20"/>
      <c r="AK239" s="20"/>
      <c r="AL239" s="20"/>
      <c r="AM239" s="20"/>
      <c r="AN239" s="20"/>
      <c r="AO239" s="20"/>
      <c r="AP239" s="20"/>
      <c r="AQ239" s="20"/>
      <c r="AR239" s="20"/>
      <c r="AS239" s="20"/>
      <c r="AT239" s="20"/>
      <c r="AU239" s="20"/>
      <c r="AV239" s="20"/>
    </row>
    <row r="240" spans="1:48" ht="17.25" hidden="1" customHeight="1">
      <c r="A240" s="15" t="s">
        <v>5815</v>
      </c>
      <c r="B240" s="124" t="s">
        <v>160</v>
      </c>
      <c r="C240" s="124" t="s">
        <v>5526</v>
      </c>
      <c r="D240" s="125" t="e">
        <f t="shared" ca="1" si="0"/>
        <v>#NAME?</v>
      </c>
      <c r="E240" s="126" t="str">
        <f t="shared" ca="1" si="1"/>
        <v>Not enough information entered</v>
      </c>
      <c r="F240" s="124" t="s">
        <v>6635</v>
      </c>
      <c r="G240" s="124" t="s">
        <v>5211</v>
      </c>
      <c r="H240" s="126">
        <v>5.8000000000000003E-2</v>
      </c>
      <c r="I240" s="124" t="s">
        <v>5186</v>
      </c>
      <c r="J240" s="126">
        <v>0.18</v>
      </c>
      <c r="K240" s="124" t="s">
        <v>5196</v>
      </c>
      <c r="L240" s="124">
        <v>0.03</v>
      </c>
      <c r="M240" s="124"/>
      <c r="N240" s="124"/>
      <c r="O240" s="124"/>
      <c r="P240" s="124"/>
      <c r="Q240" s="124"/>
      <c r="R240" s="124"/>
      <c r="S240" s="124"/>
      <c r="T240" s="124"/>
      <c r="U240" s="124" t="s">
        <v>5523</v>
      </c>
      <c r="V240" s="127">
        <f t="shared" si="2"/>
        <v>0.26800000000000002</v>
      </c>
      <c r="W240" s="126">
        <v>0</v>
      </c>
      <c r="X240" s="126">
        <v>0</v>
      </c>
      <c r="Y240" s="126">
        <v>10</v>
      </c>
      <c r="Z240" s="124"/>
      <c r="AA240" s="124" t="e">
        <f t="shared" ca="1" si="3"/>
        <v>#NAME?</v>
      </c>
      <c r="AB240" s="126">
        <f t="array" aca="1" ref="AB240" ca="1">IFERROR(J240/_xludf.XLOOKUP(I240,Materials!$A$3:$A$292,Materials!$I$3:$I$292),0)
+IFERROR(L240/_xludf.XLOOKUP(K240,Materials!$A$3:$A$292,Materials!$I$3:$I$292),0)
+IFERROR(N240/_xludf.XLOOKUP(M240,Materials!$A$3:$A$292,Materials!$I$3:$I$292),0)
+IFERROR(P240/_xludf.XLOOKUP(O240,Materials!$A$3:$A$292,Materials!$I$3:$I$292),0)
+IFERROR(R240/_xludf.XLOOKUP(Q240,Materials!$A$3:$A$292,Materials!$I$3:$I$292),0)
+IFERROR(H240/_xludf.XLOOKUP(G240,Materials!$A$3:$A$292,Materials!$I$3:$I$292),0)</f>
        <v>0</v>
      </c>
      <c r="AC240" s="20"/>
      <c r="AD240" s="20"/>
      <c r="AE240" s="20"/>
      <c r="AF240" s="20"/>
      <c r="AG240" s="20"/>
      <c r="AH240" s="20"/>
      <c r="AI240" s="20"/>
      <c r="AJ240" s="20"/>
      <c r="AK240" s="20"/>
      <c r="AL240" s="20"/>
      <c r="AM240" s="20"/>
      <c r="AN240" s="20"/>
      <c r="AO240" s="20"/>
      <c r="AP240" s="20"/>
      <c r="AQ240" s="20"/>
      <c r="AR240" s="20"/>
      <c r="AS240" s="20"/>
      <c r="AT240" s="20"/>
      <c r="AU240" s="20"/>
      <c r="AV240" s="20"/>
    </row>
    <row r="241" spans="1:48" ht="17.25" hidden="1" customHeight="1">
      <c r="A241" s="15" t="s">
        <v>5816</v>
      </c>
      <c r="B241" s="124" t="s">
        <v>157</v>
      </c>
      <c r="C241" s="124" t="s">
        <v>5522</v>
      </c>
      <c r="D241" s="125" t="e">
        <f t="shared" ca="1" si="0"/>
        <v>#NAME?</v>
      </c>
      <c r="E241" s="126" t="str">
        <f t="shared" ca="1" si="1"/>
        <v>Not enough information entered</v>
      </c>
      <c r="F241" s="124" t="s">
        <v>6442</v>
      </c>
      <c r="G241" s="124" t="s">
        <v>5211</v>
      </c>
      <c r="H241" s="126">
        <v>0.06</v>
      </c>
      <c r="I241" s="124" t="s">
        <v>5186</v>
      </c>
      <c r="J241" s="126">
        <v>0.18</v>
      </c>
      <c r="K241" s="124" t="s">
        <v>5204</v>
      </c>
      <c r="L241" s="126">
        <v>0.02</v>
      </c>
      <c r="M241" s="124" t="s">
        <v>5200</v>
      </c>
      <c r="N241" s="126">
        <v>1.2E-2</v>
      </c>
      <c r="O241" s="124"/>
      <c r="P241" s="124"/>
      <c r="Q241" s="124"/>
      <c r="R241" s="124"/>
      <c r="S241" s="124"/>
      <c r="T241" s="124"/>
      <c r="U241" s="124" t="s">
        <v>5523</v>
      </c>
      <c r="V241" s="127">
        <f t="shared" si="2"/>
        <v>0.27200000000000002</v>
      </c>
      <c r="W241" s="126">
        <v>0</v>
      </c>
      <c r="X241" s="126">
        <v>0</v>
      </c>
      <c r="Y241" s="126">
        <v>10</v>
      </c>
      <c r="Z241" s="124"/>
      <c r="AA241" s="124" t="e">
        <f t="shared" ca="1" si="3"/>
        <v>#NAME?</v>
      </c>
      <c r="AB241" s="126">
        <f t="array" aca="1" ref="AB241" ca="1">IFERROR(J241/_xludf.XLOOKUP(I241,Materials!$A$3:$A$292,Materials!$I$3:$I$292),0)
+IFERROR(L241/_xludf.XLOOKUP(K241,Materials!$A$3:$A$292,Materials!$I$3:$I$292),0)
+IFERROR(N241/_xludf.XLOOKUP(M241,Materials!$A$3:$A$292,Materials!$I$3:$I$292),0)
+IFERROR(P241/_xludf.XLOOKUP(O241,Materials!$A$3:$A$292,Materials!$I$3:$I$292),0)
+IFERROR(R241/_xludf.XLOOKUP(Q241,Materials!$A$3:$A$292,Materials!$I$3:$I$292),0)
+IFERROR(H241/_xludf.XLOOKUP(G241,Materials!$A$3:$A$292,Materials!$I$3:$I$292),0)</f>
        <v>0</v>
      </c>
      <c r="AC241" s="20"/>
      <c r="AD241" s="20"/>
      <c r="AE241" s="20"/>
      <c r="AF241" s="20"/>
      <c r="AG241" s="20"/>
      <c r="AH241" s="20"/>
      <c r="AI241" s="20"/>
      <c r="AJ241" s="20"/>
      <c r="AK241" s="20"/>
      <c r="AL241" s="20"/>
      <c r="AM241" s="20"/>
      <c r="AN241" s="20"/>
      <c r="AO241" s="20"/>
      <c r="AP241" s="20"/>
      <c r="AQ241" s="20"/>
      <c r="AR241" s="20"/>
      <c r="AS241" s="20"/>
      <c r="AT241" s="20"/>
      <c r="AU241" s="20"/>
      <c r="AV241" s="20"/>
    </row>
    <row r="242" spans="1:48" ht="17.25" customHeight="1">
      <c r="A242" s="15" t="s">
        <v>5816</v>
      </c>
      <c r="B242" s="124" t="s">
        <v>154</v>
      </c>
      <c r="C242" s="124" t="s">
        <v>5524</v>
      </c>
      <c r="D242" s="125" t="e">
        <f t="shared" ca="1" si="0"/>
        <v>#NAME?</v>
      </c>
      <c r="E242" s="126" t="str">
        <f t="shared" ca="1" si="1"/>
        <v>Not enough information entered</v>
      </c>
      <c r="F242" s="124" t="s">
        <v>6273</v>
      </c>
      <c r="G242" s="124" t="s">
        <v>5211</v>
      </c>
      <c r="H242" s="126">
        <v>7.8E-2</v>
      </c>
      <c r="I242" s="124" t="s">
        <v>5186</v>
      </c>
      <c r="J242" s="126">
        <v>0.15</v>
      </c>
      <c r="K242" s="124" t="s">
        <v>5196</v>
      </c>
      <c r="L242" s="124">
        <v>0.03</v>
      </c>
      <c r="M242" s="124"/>
      <c r="N242" s="124"/>
      <c r="O242" s="124"/>
      <c r="P242" s="124"/>
      <c r="Q242" s="124"/>
      <c r="R242" s="124"/>
      <c r="S242" s="124"/>
      <c r="T242" s="124"/>
      <c r="U242" s="124" t="s">
        <v>5523</v>
      </c>
      <c r="V242" s="127">
        <f t="shared" si="2"/>
        <v>0.25800000000000001</v>
      </c>
      <c r="W242" s="124"/>
      <c r="X242" s="124"/>
      <c r="Y242" s="124"/>
      <c r="Z242" s="124"/>
      <c r="AA242" s="124" t="e">
        <f t="shared" ca="1" si="3"/>
        <v>#NAME?</v>
      </c>
      <c r="AB242" s="126">
        <f t="array" aca="1" ref="AB242" ca="1">IFERROR(J242/_xludf.XLOOKUP(I242,Materials!$A$3:$A$292,Materials!$I$3:$I$292),0)
+IFERROR(L242/_xludf.XLOOKUP(K242,Materials!$A$3:$A$292,Materials!$I$3:$I$292),0)
+IFERROR(N242/_xludf.XLOOKUP(M242,Materials!$A$3:$A$292,Materials!$I$3:$I$292),0)
+IFERROR(P242/_xludf.XLOOKUP(O242,Materials!$A$3:$A$292,Materials!$I$3:$I$292),0)
+IFERROR(R242/_xludf.XLOOKUP(Q242,Materials!$A$3:$A$292,Materials!$I$3:$I$292),0)
+IFERROR(H242/_xludf.XLOOKUP(G242,Materials!$A$3:$A$292,Materials!$I$3:$I$292),0)</f>
        <v>0</v>
      </c>
      <c r="AC242" s="20"/>
      <c r="AD242" s="20"/>
      <c r="AE242" s="20"/>
      <c r="AF242" s="20"/>
      <c r="AG242" s="20"/>
      <c r="AH242" s="20"/>
      <c r="AI242" s="20"/>
      <c r="AJ242" s="20"/>
      <c r="AK242" s="20"/>
      <c r="AL242" s="20"/>
      <c r="AM242" s="20"/>
      <c r="AN242" s="20"/>
      <c r="AO242" s="20"/>
      <c r="AP242" s="20"/>
      <c r="AQ242" s="20"/>
      <c r="AR242" s="20"/>
      <c r="AS242" s="20"/>
      <c r="AT242" s="20"/>
      <c r="AU242" s="20"/>
      <c r="AV242" s="20"/>
    </row>
    <row r="243" spans="1:48" ht="17.25" hidden="1" customHeight="1">
      <c r="A243" s="15" t="s">
        <v>5816</v>
      </c>
      <c r="B243" s="124" t="s">
        <v>160</v>
      </c>
      <c r="C243" s="124" t="s">
        <v>5526</v>
      </c>
      <c r="D243" s="125" t="e">
        <f t="shared" ca="1" si="0"/>
        <v>#NAME?</v>
      </c>
      <c r="E243" s="126" t="str">
        <f t="shared" ca="1" si="1"/>
        <v>Not enough information entered</v>
      </c>
      <c r="F243" s="124" t="s">
        <v>6636</v>
      </c>
      <c r="G243" s="124" t="s">
        <v>5211</v>
      </c>
      <c r="H243" s="126">
        <v>7.6999999999999999E-2</v>
      </c>
      <c r="I243" s="124" t="s">
        <v>5186</v>
      </c>
      <c r="J243" s="126">
        <v>0.18</v>
      </c>
      <c r="K243" s="124" t="s">
        <v>5196</v>
      </c>
      <c r="L243" s="124">
        <v>0.03</v>
      </c>
      <c r="M243" s="124"/>
      <c r="N243" s="124"/>
      <c r="O243" s="124"/>
      <c r="P243" s="124"/>
      <c r="Q243" s="124"/>
      <c r="R243" s="124"/>
      <c r="S243" s="124"/>
      <c r="T243" s="124"/>
      <c r="U243" s="124" t="s">
        <v>5523</v>
      </c>
      <c r="V243" s="127">
        <f t="shared" si="2"/>
        <v>0.28700000000000003</v>
      </c>
      <c r="W243" s="126">
        <v>0</v>
      </c>
      <c r="X243" s="126">
        <v>0</v>
      </c>
      <c r="Y243" s="126">
        <v>10</v>
      </c>
      <c r="Z243" s="124"/>
      <c r="AA243" s="124" t="e">
        <f t="shared" ca="1" si="3"/>
        <v>#NAME?</v>
      </c>
      <c r="AB243" s="126">
        <f t="array" aca="1" ref="AB243" ca="1">IFERROR(J243/_xludf.XLOOKUP(I243,Materials!$A$3:$A$292,Materials!$I$3:$I$292),0)
+IFERROR(L243/_xludf.XLOOKUP(K243,Materials!$A$3:$A$292,Materials!$I$3:$I$292),0)
+IFERROR(N243/_xludf.XLOOKUP(M243,Materials!$A$3:$A$292,Materials!$I$3:$I$292),0)
+IFERROR(P243/_xludf.XLOOKUP(O243,Materials!$A$3:$A$292,Materials!$I$3:$I$292),0)
+IFERROR(R243/_xludf.XLOOKUP(Q243,Materials!$A$3:$A$292,Materials!$I$3:$I$292),0)
+IFERROR(H243/_xludf.XLOOKUP(G243,Materials!$A$3:$A$292,Materials!$I$3:$I$292),0)</f>
        <v>0</v>
      </c>
      <c r="AC243" s="20"/>
      <c r="AD243" s="20"/>
      <c r="AE243" s="20"/>
      <c r="AF243" s="20"/>
      <c r="AG243" s="20"/>
      <c r="AH243" s="20"/>
      <c r="AI243" s="20"/>
      <c r="AJ243" s="20"/>
      <c r="AK243" s="20"/>
      <c r="AL243" s="20"/>
      <c r="AM243" s="20"/>
      <c r="AN243" s="20"/>
      <c r="AO243" s="20"/>
      <c r="AP243" s="20"/>
      <c r="AQ243" s="20"/>
      <c r="AR243" s="20"/>
      <c r="AS243" s="20"/>
      <c r="AT243" s="20"/>
      <c r="AU243" s="20"/>
      <c r="AV243" s="20"/>
    </row>
    <row r="244" spans="1:48" ht="17.25" hidden="1" customHeight="1">
      <c r="A244" s="15" t="s">
        <v>5817</v>
      </c>
      <c r="B244" s="124" t="s">
        <v>157</v>
      </c>
      <c r="C244" s="124" t="s">
        <v>5522</v>
      </c>
      <c r="D244" s="125" t="e">
        <f t="shared" ca="1" si="0"/>
        <v>#NAME?</v>
      </c>
      <c r="E244" s="126" t="str">
        <f t="shared" ca="1" si="1"/>
        <v>Not enough information entered</v>
      </c>
      <c r="F244" s="124" t="s">
        <v>6443</v>
      </c>
      <c r="G244" s="124" t="s">
        <v>5211</v>
      </c>
      <c r="H244" s="126">
        <v>6.9000000000000006E-2</v>
      </c>
      <c r="I244" s="124" t="s">
        <v>5186</v>
      </c>
      <c r="J244" s="126">
        <v>0.18</v>
      </c>
      <c r="K244" s="124" t="s">
        <v>5204</v>
      </c>
      <c r="L244" s="126">
        <v>0.02</v>
      </c>
      <c r="M244" s="124" t="s">
        <v>5200</v>
      </c>
      <c r="N244" s="126">
        <v>1.2E-2</v>
      </c>
      <c r="O244" s="124"/>
      <c r="P244" s="124"/>
      <c r="Q244" s="124"/>
      <c r="R244" s="124"/>
      <c r="S244" s="124"/>
      <c r="T244" s="124"/>
      <c r="U244" s="124" t="s">
        <v>5523</v>
      </c>
      <c r="V244" s="127">
        <f t="shared" si="2"/>
        <v>0.28100000000000003</v>
      </c>
      <c r="W244" s="126">
        <v>0</v>
      </c>
      <c r="X244" s="126">
        <v>0</v>
      </c>
      <c r="Y244" s="126">
        <v>10</v>
      </c>
      <c r="Z244" s="124"/>
      <c r="AA244" s="124" t="e">
        <f t="shared" ca="1" si="3"/>
        <v>#NAME?</v>
      </c>
      <c r="AB244" s="126">
        <f t="array" aca="1" ref="AB244" ca="1">IFERROR(J244/_xludf.XLOOKUP(I244,Materials!$A$3:$A$292,Materials!$I$3:$I$292),0)
+IFERROR(L244/_xludf.XLOOKUP(K244,Materials!$A$3:$A$292,Materials!$I$3:$I$292),0)
+IFERROR(N244/_xludf.XLOOKUP(M244,Materials!$A$3:$A$292,Materials!$I$3:$I$292),0)
+IFERROR(P244/_xludf.XLOOKUP(O244,Materials!$A$3:$A$292,Materials!$I$3:$I$292),0)
+IFERROR(R244/_xludf.XLOOKUP(Q244,Materials!$A$3:$A$292,Materials!$I$3:$I$292),0)
+IFERROR(H244/_xludf.XLOOKUP(G244,Materials!$A$3:$A$292,Materials!$I$3:$I$292),0)</f>
        <v>0</v>
      </c>
      <c r="AC244" s="20"/>
      <c r="AD244" s="20"/>
      <c r="AE244" s="20"/>
      <c r="AF244" s="20"/>
      <c r="AG244" s="20"/>
      <c r="AH244" s="20"/>
      <c r="AI244" s="20"/>
      <c r="AJ244" s="20"/>
      <c r="AK244" s="20"/>
      <c r="AL244" s="20"/>
      <c r="AM244" s="20"/>
      <c r="AN244" s="20"/>
      <c r="AO244" s="20"/>
      <c r="AP244" s="20"/>
      <c r="AQ244" s="20"/>
      <c r="AR244" s="20"/>
      <c r="AS244" s="20"/>
      <c r="AT244" s="20"/>
      <c r="AU244" s="20"/>
      <c r="AV244" s="20"/>
    </row>
    <row r="245" spans="1:48" ht="17.25" customHeight="1">
      <c r="A245" s="15" t="s">
        <v>5817</v>
      </c>
      <c r="B245" s="124" t="s">
        <v>154</v>
      </c>
      <c r="C245" s="124" t="s">
        <v>5524</v>
      </c>
      <c r="D245" s="125" t="e">
        <f t="shared" ca="1" si="0"/>
        <v>#NAME?</v>
      </c>
      <c r="E245" s="126" t="str">
        <f t="shared" ca="1" si="1"/>
        <v>Not enough information entered</v>
      </c>
      <c r="F245" s="124" t="s">
        <v>6274</v>
      </c>
      <c r="G245" s="124" t="s">
        <v>5211</v>
      </c>
      <c r="H245" s="126">
        <v>9.4E-2</v>
      </c>
      <c r="I245" s="124" t="s">
        <v>5186</v>
      </c>
      <c r="J245" s="126">
        <v>0.15</v>
      </c>
      <c r="K245" s="124" t="s">
        <v>5196</v>
      </c>
      <c r="L245" s="124">
        <v>0.03</v>
      </c>
      <c r="M245" s="124"/>
      <c r="N245" s="124"/>
      <c r="O245" s="124"/>
      <c r="P245" s="124"/>
      <c r="Q245" s="124"/>
      <c r="R245" s="124"/>
      <c r="S245" s="124"/>
      <c r="T245" s="124"/>
      <c r="U245" s="124" t="s">
        <v>5523</v>
      </c>
      <c r="V245" s="127">
        <f t="shared" si="2"/>
        <v>0.27400000000000002</v>
      </c>
      <c r="W245" s="124"/>
      <c r="X245" s="124"/>
      <c r="Y245" s="124"/>
      <c r="Z245" s="124"/>
      <c r="AA245" s="124" t="e">
        <f t="shared" ca="1" si="3"/>
        <v>#NAME?</v>
      </c>
      <c r="AB245" s="126">
        <f t="array" aca="1" ref="AB245" ca="1">IFERROR(J245/_xludf.XLOOKUP(I245,Materials!$A$3:$A$292,Materials!$I$3:$I$292),0)
+IFERROR(L245/_xludf.XLOOKUP(K245,Materials!$A$3:$A$292,Materials!$I$3:$I$292),0)
+IFERROR(N245/_xludf.XLOOKUP(M245,Materials!$A$3:$A$292,Materials!$I$3:$I$292),0)
+IFERROR(P245/_xludf.XLOOKUP(O245,Materials!$A$3:$A$292,Materials!$I$3:$I$292),0)
+IFERROR(R245/_xludf.XLOOKUP(Q245,Materials!$A$3:$A$292,Materials!$I$3:$I$292),0)
+IFERROR(H245/_xludf.XLOOKUP(G245,Materials!$A$3:$A$292,Materials!$I$3:$I$292),0)</f>
        <v>0</v>
      </c>
      <c r="AC245" s="20"/>
      <c r="AD245" s="20"/>
      <c r="AE245" s="20"/>
      <c r="AF245" s="20"/>
      <c r="AG245" s="20"/>
      <c r="AH245" s="20"/>
      <c r="AI245" s="20"/>
      <c r="AJ245" s="20"/>
      <c r="AK245" s="20"/>
      <c r="AL245" s="20"/>
      <c r="AM245" s="20"/>
      <c r="AN245" s="20"/>
      <c r="AO245" s="20"/>
      <c r="AP245" s="20"/>
      <c r="AQ245" s="20"/>
      <c r="AR245" s="20"/>
      <c r="AS245" s="20"/>
      <c r="AT245" s="20"/>
      <c r="AU245" s="20"/>
      <c r="AV245" s="20"/>
    </row>
    <row r="246" spans="1:48" ht="17.25" hidden="1" customHeight="1">
      <c r="A246" s="15" t="s">
        <v>5817</v>
      </c>
      <c r="B246" s="124" t="s">
        <v>160</v>
      </c>
      <c r="C246" s="124" t="s">
        <v>5526</v>
      </c>
      <c r="D246" s="125" t="e">
        <f t="shared" ca="1" si="0"/>
        <v>#NAME?</v>
      </c>
      <c r="E246" s="126" t="str">
        <f t="shared" ca="1" si="1"/>
        <v>Not enough information entered</v>
      </c>
      <c r="F246" s="124" t="s">
        <v>6637</v>
      </c>
      <c r="G246" s="124" t="s">
        <v>5211</v>
      </c>
      <c r="H246" s="126">
        <v>9.2999999999999999E-2</v>
      </c>
      <c r="I246" s="124" t="s">
        <v>5186</v>
      </c>
      <c r="J246" s="126">
        <v>0.18</v>
      </c>
      <c r="K246" s="124" t="s">
        <v>5196</v>
      </c>
      <c r="L246" s="124">
        <v>0.03</v>
      </c>
      <c r="M246" s="124"/>
      <c r="N246" s="124"/>
      <c r="O246" s="124"/>
      <c r="P246" s="124"/>
      <c r="Q246" s="124"/>
      <c r="R246" s="124"/>
      <c r="S246" s="124"/>
      <c r="T246" s="124"/>
      <c r="U246" s="124" t="s">
        <v>5523</v>
      </c>
      <c r="V246" s="127">
        <f t="shared" si="2"/>
        <v>0.30300000000000005</v>
      </c>
      <c r="W246" s="126">
        <v>0</v>
      </c>
      <c r="X246" s="126">
        <v>0</v>
      </c>
      <c r="Y246" s="126">
        <v>10</v>
      </c>
      <c r="Z246" s="124"/>
      <c r="AA246" s="124" t="e">
        <f t="shared" ca="1" si="3"/>
        <v>#NAME?</v>
      </c>
      <c r="AB246" s="126">
        <f t="array" aca="1" ref="AB246" ca="1">IFERROR(J246/_xludf.XLOOKUP(I246,Materials!$A$3:$A$292,Materials!$I$3:$I$292),0)
+IFERROR(L246/_xludf.XLOOKUP(K246,Materials!$A$3:$A$292,Materials!$I$3:$I$292),0)
+IFERROR(N246/_xludf.XLOOKUP(M246,Materials!$A$3:$A$292,Materials!$I$3:$I$292),0)
+IFERROR(P246/_xludf.XLOOKUP(O246,Materials!$A$3:$A$292,Materials!$I$3:$I$292),0)
+IFERROR(R246/_xludf.XLOOKUP(Q246,Materials!$A$3:$A$292,Materials!$I$3:$I$292),0)
+IFERROR(H246/_xludf.XLOOKUP(G246,Materials!$A$3:$A$292,Materials!$I$3:$I$292),0)</f>
        <v>0</v>
      </c>
      <c r="AC246" s="20"/>
      <c r="AD246" s="20"/>
      <c r="AE246" s="20"/>
      <c r="AF246" s="20"/>
      <c r="AG246" s="20"/>
      <c r="AH246" s="20"/>
      <c r="AI246" s="20"/>
      <c r="AJ246" s="20"/>
      <c r="AK246" s="20"/>
      <c r="AL246" s="20"/>
      <c r="AM246" s="20"/>
      <c r="AN246" s="20"/>
      <c r="AO246" s="20"/>
      <c r="AP246" s="20"/>
      <c r="AQ246" s="20"/>
      <c r="AR246" s="20"/>
      <c r="AS246" s="20"/>
      <c r="AT246" s="20"/>
      <c r="AU246" s="20"/>
      <c r="AV246" s="20"/>
    </row>
    <row r="247" spans="1:48" ht="17.25" hidden="1" customHeight="1">
      <c r="A247" s="15" t="s">
        <v>4855</v>
      </c>
      <c r="B247" s="124" t="s">
        <v>158</v>
      </c>
      <c r="C247" s="124" t="s">
        <v>5527</v>
      </c>
      <c r="D247" s="125" t="e">
        <f t="shared" ca="1" si="0"/>
        <v>#NAME?</v>
      </c>
      <c r="E247" s="126" t="str">
        <f t="shared" ca="1" si="1"/>
        <v>Not enough information entered</v>
      </c>
      <c r="F247" s="124" t="s">
        <v>6352</v>
      </c>
      <c r="G247" s="124" t="s">
        <v>5200</v>
      </c>
      <c r="H247" s="124">
        <v>1.2500000000000001E-2</v>
      </c>
      <c r="I247" s="124" t="s">
        <v>5204</v>
      </c>
      <c r="J247" s="124">
        <v>0.05</v>
      </c>
      <c r="K247" s="124" t="s">
        <v>5200</v>
      </c>
      <c r="L247" s="124">
        <v>1.2500000000000001E-2</v>
      </c>
      <c r="M247" s="124"/>
      <c r="N247" s="124"/>
      <c r="O247" s="124"/>
      <c r="P247" s="124"/>
      <c r="Q247" s="124"/>
      <c r="R247" s="124"/>
      <c r="S247" s="124"/>
      <c r="T247" s="124"/>
      <c r="U247" s="124" t="s">
        <v>5523</v>
      </c>
      <c r="V247" s="127">
        <f t="shared" si="2"/>
        <v>7.4999999999999997E-2</v>
      </c>
      <c r="W247" s="124"/>
      <c r="X247" s="124"/>
      <c r="Y247" s="124"/>
      <c r="Z247" s="124"/>
      <c r="AA247" s="124" t="e">
        <f t="shared" ca="1" si="3"/>
        <v>#NAME?</v>
      </c>
      <c r="AB247" s="126">
        <f t="array" aca="1" ref="AB247" ca="1">IFERROR(J247/_xludf.XLOOKUP(I247,Materials!$A$3:$A$292,Materials!$I$3:$I$292),0)
+IFERROR(L247/_xludf.XLOOKUP(K247,Materials!$A$3:$A$292,Materials!$I$3:$I$292),0)
+IFERROR(N247/_xludf.XLOOKUP(M247,Materials!$A$3:$A$292,Materials!$I$3:$I$292),0)
+IFERROR(P247/_xludf.XLOOKUP(O247,Materials!$A$3:$A$292,Materials!$I$3:$I$292),0)
+IFERROR(R247/_xludf.XLOOKUP(Q247,Materials!$A$3:$A$292,Materials!$I$3:$I$292),0)
+IFERROR(H247/_xludf.XLOOKUP(G247,Materials!$A$3:$A$292,Materials!$I$3:$I$292),0)</f>
        <v>0</v>
      </c>
      <c r="AC247" s="20"/>
      <c r="AD247" s="20"/>
      <c r="AE247" s="20"/>
      <c r="AF247" s="20"/>
      <c r="AG247" s="20"/>
      <c r="AH247" s="20"/>
      <c r="AI247" s="20"/>
      <c r="AJ247" s="20"/>
      <c r="AK247" s="20"/>
      <c r="AL247" s="20"/>
      <c r="AM247" s="20"/>
      <c r="AN247" s="20"/>
      <c r="AO247" s="20"/>
      <c r="AP247" s="20"/>
      <c r="AQ247" s="20"/>
      <c r="AR247" s="20"/>
      <c r="AS247" s="20"/>
      <c r="AT247" s="20"/>
      <c r="AU247" s="20"/>
      <c r="AV247" s="20"/>
    </row>
    <row r="248" spans="1:48" ht="17.25" hidden="1" customHeight="1">
      <c r="A248" s="15" t="s">
        <v>4855</v>
      </c>
      <c r="B248" s="124" t="s">
        <v>162</v>
      </c>
      <c r="C248" s="124" t="s">
        <v>5529</v>
      </c>
      <c r="D248" s="125" t="e">
        <f t="shared" ca="1" si="0"/>
        <v>#NAME?</v>
      </c>
      <c r="E248" s="126" t="str">
        <f t="shared" ca="1" si="1"/>
        <v>Not enough information entered</v>
      </c>
      <c r="F248" s="124" t="s">
        <v>6561</v>
      </c>
      <c r="G248" s="124" t="s">
        <v>5186</v>
      </c>
      <c r="H248" s="124">
        <v>0.18</v>
      </c>
      <c r="I248" s="124" t="s">
        <v>5196</v>
      </c>
      <c r="J248" s="124">
        <v>0.03</v>
      </c>
      <c r="K248" s="124"/>
      <c r="L248" s="124"/>
      <c r="M248" s="124"/>
      <c r="N248" s="124"/>
      <c r="O248" s="124"/>
      <c r="P248" s="124"/>
      <c r="Q248" s="124"/>
      <c r="R248" s="124"/>
      <c r="S248" s="124"/>
      <c r="T248" s="124"/>
      <c r="U248" s="124" t="s">
        <v>5523</v>
      </c>
      <c r="V248" s="127">
        <f t="shared" si="2"/>
        <v>0.21</v>
      </c>
      <c r="W248" s="124"/>
      <c r="X248" s="124"/>
      <c r="Y248" s="124"/>
      <c r="Z248" s="124"/>
      <c r="AA248" s="124" t="e">
        <f t="shared" ca="1" si="3"/>
        <v>#NAME?</v>
      </c>
      <c r="AB248" s="126">
        <f t="array" aca="1" ref="AB248" ca="1">IFERROR(J248/_xludf.XLOOKUP(I248,Materials!$A$3:$A$292,Materials!$I$3:$I$292),0)
+IFERROR(L248/_xludf.XLOOKUP(K248,Materials!$A$3:$A$292,Materials!$I$3:$I$292),0)
+IFERROR(N248/_xludf.XLOOKUP(M248,Materials!$A$3:$A$292,Materials!$I$3:$I$292),0)
+IFERROR(P248/_xludf.XLOOKUP(O248,Materials!$A$3:$A$292,Materials!$I$3:$I$292),0)
+IFERROR(R248/_xludf.XLOOKUP(Q248,Materials!$A$3:$A$292,Materials!$I$3:$I$292),0)
+IFERROR(H248/_xludf.XLOOKUP(G248,Materials!$A$3:$A$292,Materials!$I$3:$I$292),0)</f>
        <v>0</v>
      </c>
      <c r="AC248" s="20"/>
      <c r="AD248" s="20"/>
      <c r="AE248" s="20"/>
      <c r="AF248" s="20"/>
      <c r="AG248" s="20"/>
      <c r="AH248" s="20"/>
      <c r="AI248" s="20"/>
      <c r="AJ248" s="20"/>
      <c r="AK248" s="20"/>
      <c r="AL248" s="20"/>
      <c r="AM248" s="20"/>
      <c r="AN248" s="20"/>
      <c r="AO248" s="20"/>
      <c r="AP248" s="20"/>
      <c r="AQ248" s="20"/>
      <c r="AR248" s="20"/>
      <c r="AS248" s="20"/>
      <c r="AT248" s="20"/>
      <c r="AU248" s="20"/>
      <c r="AV248" s="20"/>
    </row>
    <row r="249" spans="1:48" ht="17.25" hidden="1" customHeight="1">
      <c r="A249" s="15" t="s">
        <v>4855</v>
      </c>
      <c r="B249" s="124" t="s">
        <v>159</v>
      </c>
      <c r="C249" s="124" t="s">
        <v>5530</v>
      </c>
      <c r="D249" s="125" t="e">
        <f t="shared" ca="1" si="0"/>
        <v>#NAME?</v>
      </c>
      <c r="E249" s="126" t="str">
        <f t="shared" ca="1" si="1"/>
        <v>Not enough information entered</v>
      </c>
      <c r="F249" s="124" t="s">
        <v>6665</v>
      </c>
      <c r="G249" s="124" t="s">
        <v>5186</v>
      </c>
      <c r="H249" s="124">
        <v>0.2</v>
      </c>
      <c r="I249" s="124" t="s">
        <v>5211</v>
      </c>
      <c r="J249" s="124">
        <v>0.05</v>
      </c>
      <c r="K249" s="124"/>
      <c r="L249" s="124"/>
      <c r="M249" s="124"/>
      <c r="N249" s="124"/>
      <c r="O249" s="124"/>
      <c r="P249" s="124"/>
      <c r="Q249" s="124"/>
      <c r="R249" s="124"/>
      <c r="S249" s="124"/>
      <c r="T249" s="124"/>
      <c r="U249" s="124" t="s">
        <v>5523</v>
      </c>
      <c r="V249" s="127">
        <f t="shared" si="2"/>
        <v>0.25</v>
      </c>
      <c r="W249" s="124"/>
      <c r="X249" s="124"/>
      <c r="Y249" s="124"/>
      <c r="Z249" s="124"/>
      <c r="AA249" s="124" t="e">
        <f t="shared" ca="1" si="3"/>
        <v>#NAME?</v>
      </c>
      <c r="AB249" s="126">
        <f t="array" aca="1" ref="AB249" ca="1">IFERROR(J249/_xludf.XLOOKUP(I249,Materials!$A$3:$A$292,Materials!$I$3:$I$292),0)
+IFERROR(L249/_xludf.XLOOKUP(K249,Materials!$A$3:$A$292,Materials!$I$3:$I$292),0)
+IFERROR(N249/_xludf.XLOOKUP(M249,Materials!$A$3:$A$292,Materials!$I$3:$I$292),0)
+IFERROR(P249/_xludf.XLOOKUP(O249,Materials!$A$3:$A$292,Materials!$I$3:$I$292),0)
+IFERROR(R249/_xludf.XLOOKUP(Q249,Materials!$A$3:$A$292,Materials!$I$3:$I$292),0)
+IFERROR(H249/_xludf.XLOOKUP(G249,Materials!$A$3:$A$292,Materials!$I$3:$I$292),0)</f>
        <v>0</v>
      </c>
      <c r="AC249" s="20"/>
      <c r="AD249" s="20"/>
      <c r="AE249" s="20"/>
      <c r="AF249" s="20"/>
      <c r="AG249" s="20"/>
      <c r="AH249" s="20"/>
      <c r="AI249" s="20"/>
      <c r="AJ249" s="20"/>
      <c r="AK249" s="20"/>
      <c r="AL249" s="20"/>
      <c r="AM249" s="20"/>
      <c r="AN249" s="20"/>
      <c r="AO249" s="20"/>
      <c r="AP249" s="20"/>
      <c r="AQ249" s="20"/>
      <c r="AR249" s="20"/>
      <c r="AS249" s="20"/>
      <c r="AT249" s="20"/>
      <c r="AU249" s="20"/>
      <c r="AV249" s="20"/>
    </row>
    <row r="250" spans="1:48" ht="17.25" hidden="1" customHeight="1">
      <c r="A250" s="15"/>
      <c r="B250" s="124"/>
      <c r="C250" s="124" t="s">
        <v>5532</v>
      </c>
      <c r="D250" s="125"/>
      <c r="E250" s="126"/>
      <c r="F250" s="124"/>
      <c r="G250" s="124"/>
      <c r="H250" s="124"/>
      <c r="I250" s="128"/>
      <c r="J250" s="124"/>
      <c r="K250" s="124"/>
      <c r="L250" s="124"/>
      <c r="M250" s="124"/>
      <c r="N250" s="124"/>
      <c r="O250" s="124"/>
      <c r="P250" s="124"/>
      <c r="Q250" s="124"/>
      <c r="R250" s="124"/>
      <c r="S250" s="124"/>
      <c r="T250" s="124"/>
      <c r="U250" s="124"/>
      <c r="V250" s="127"/>
      <c r="W250" s="124"/>
      <c r="X250" s="124"/>
      <c r="Y250" s="124"/>
      <c r="Z250" s="124"/>
      <c r="AA250" s="124"/>
      <c r="AB250" s="126"/>
      <c r="AC250" s="20"/>
      <c r="AD250" s="20"/>
      <c r="AE250" s="20"/>
      <c r="AF250" s="20"/>
      <c r="AG250" s="20"/>
      <c r="AH250" s="20"/>
      <c r="AI250" s="20"/>
      <c r="AJ250" s="20"/>
      <c r="AK250" s="20"/>
      <c r="AL250" s="20"/>
      <c r="AM250" s="20"/>
      <c r="AN250" s="20"/>
      <c r="AO250" s="20"/>
      <c r="AP250" s="20"/>
      <c r="AQ250" s="20"/>
      <c r="AR250" s="20"/>
      <c r="AS250" s="20"/>
      <c r="AT250" s="20"/>
      <c r="AU250" s="20"/>
      <c r="AV250" s="20"/>
    </row>
    <row r="251" spans="1:48" ht="17.25" hidden="1" customHeight="1">
      <c r="A251" s="15" t="s">
        <v>4855</v>
      </c>
      <c r="B251" s="124" t="s">
        <v>161</v>
      </c>
      <c r="C251" s="124" t="s">
        <v>5533</v>
      </c>
      <c r="D251" s="125" t="e">
        <f t="shared" ca="1" si="0"/>
        <v>#NAME?</v>
      </c>
      <c r="E251" s="126" t="str">
        <f t="shared" ca="1" si="1"/>
        <v>Not enough information entered</v>
      </c>
      <c r="F251" s="124" t="s">
        <v>6681</v>
      </c>
      <c r="G251" s="124" t="s">
        <v>5186</v>
      </c>
      <c r="H251" s="124">
        <v>0.18</v>
      </c>
      <c r="I251" s="124" t="s">
        <v>5207</v>
      </c>
      <c r="J251" s="124">
        <v>0.06</v>
      </c>
      <c r="K251" s="124" t="s">
        <v>5200</v>
      </c>
      <c r="L251" s="124">
        <v>1.2500000000000001E-2</v>
      </c>
      <c r="M251" s="124"/>
      <c r="N251" s="124"/>
      <c r="O251" s="124"/>
      <c r="P251" s="124"/>
      <c r="Q251" s="124"/>
      <c r="R251" s="124"/>
      <c r="S251" s="124"/>
      <c r="T251" s="124"/>
      <c r="U251" s="124" t="s">
        <v>5523</v>
      </c>
      <c r="V251" s="127">
        <f t="shared" si="2"/>
        <v>0.2525</v>
      </c>
      <c r="W251" s="124"/>
      <c r="X251" s="124"/>
      <c r="Y251" s="124"/>
      <c r="Z251" s="124"/>
      <c r="AA251" s="124" t="e">
        <f t="shared" ca="1" si="3"/>
        <v>#NAME?</v>
      </c>
      <c r="AB251" s="126">
        <f t="array" aca="1" ref="AB251" ca="1">IFERROR(J251/_xludf.XLOOKUP(I251,Materials!$A$3:$A$292,Materials!$I$3:$I$292),0)
+IFERROR(L251/_xludf.XLOOKUP(K251,Materials!$A$3:$A$292,Materials!$I$3:$I$292),0)
+IFERROR(N251/_xludf.XLOOKUP(M251,Materials!$A$3:$A$292,Materials!$I$3:$I$292),0)
+IFERROR(P251/_xludf.XLOOKUP(O251,Materials!$A$3:$A$292,Materials!$I$3:$I$292),0)
+IFERROR(R251/_xludf.XLOOKUP(Q251,Materials!$A$3:$A$292,Materials!$I$3:$I$292),0)
+IFERROR(H251/_xludf.XLOOKUP(G251,Materials!$A$3:$A$292,Materials!$I$3:$I$292),0)</f>
        <v>0</v>
      </c>
      <c r="AC251" s="20"/>
      <c r="AD251" s="20"/>
      <c r="AE251" s="20"/>
      <c r="AF251" s="20"/>
      <c r="AG251" s="20"/>
      <c r="AH251" s="20"/>
      <c r="AI251" s="20"/>
      <c r="AJ251" s="20"/>
      <c r="AK251" s="20"/>
      <c r="AL251" s="20"/>
      <c r="AM251" s="20"/>
      <c r="AN251" s="20"/>
      <c r="AO251" s="20"/>
      <c r="AP251" s="20"/>
      <c r="AQ251" s="20"/>
      <c r="AR251" s="20"/>
      <c r="AS251" s="20"/>
      <c r="AT251" s="20"/>
      <c r="AU251" s="20"/>
      <c r="AV251" s="20"/>
    </row>
    <row r="252" spans="1:48" ht="17.25" hidden="1" customHeight="1">
      <c r="A252" s="15" t="s">
        <v>5798</v>
      </c>
      <c r="B252" s="124" t="s">
        <v>157</v>
      </c>
      <c r="C252" s="124" t="s">
        <v>5522</v>
      </c>
      <c r="D252" s="125" t="e">
        <f t="shared" ca="1" si="0"/>
        <v>#NAME?</v>
      </c>
      <c r="E252" s="126" t="str">
        <f t="shared" ca="1" si="1"/>
        <v>Not enough information entered</v>
      </c>
      <c r="F252" s="124" t="s">
        <v>6424</v>
      </c>
      <c r="G252" s="124" t="s">
        <v>5186</v>
      </c>
      <c r="H252" s="126">
        <v>0.18</v>
      </c>
      <c r="I252" s="124" t="s">
        <v>5204</v>
      </c>
      <c r="J252" s="126">
        <v>0.02</v>
      </c>
      <c r="K252" s="124" t="s">
        <v>5200</v>
      </c>
      <c r="L252" s="126">
        <v>1.2E-2</v>
      </c>
      <c r="M252" s="124"/>
      <c r="N252" s="124"/>
      <c r="O252" s="124"/>
      <c r="P252" s="124"/>
      <c r="Q252" s="124"/>
      <c r="R252" s="124"/>
      <c r="S252" s="124"/>
      <c r="T252" s="124"/>
      <c r="U252" s="124" t="s">
        <v>5523</v>
      </c>
      <c r="V252" s="127">
        <f t="shared" si="2"/>
        <v>0.21199999999999999</v>
      </c>
      <c r="W252" s="126">
        <v>0</v>
      </c>
      <c r="X252" s="126">
        <v>0</v>
      </c>
      <c r="Y252" s="126">
        <v>10</v>
      </c>
      <c r="Z252" s="124"/>
      <c r="AA252" s="124" t="e">
        <f t="shared" ca="1" si="3"/>
        <v>#NAME?</v>
      </c>
      <c r="AB252" s="126">
        <f t="array" aca="1" ref="AB252" ca="1">IFERROR(J252/_xludf.XLOOKUP(I252,Materials!$A$3:$A$292,Materials!$I$3:$I$292),0)
+IFERROR(L252/_xludf.XLOOKUP(K252,Materials!$A$3:$A$292,Materials!$I$3:$I$292),0)
+IFERROR(N252/_xludf.XLOOKUP(M252,Materials!$A$3:$A$292,Materials!$I$3:$I$292),0)
+IFERROR(P252/_xludf.XLOOKUP(O252,Materials!$A$3:$A$292,Materials!$I$3:$I$292),0)
+IFERROR(R252/_xludf.XLOOKUP(Q252,Materials!$A$3:$A$292,Materials!$I$3:$I$292),0)
+IFERROR(H252/_xludf.XLOOKUP(G252,Materials!$A$3:$A$292,Materials!$I$3:$I$292),0)</f>
        <v>0</v>
      </c>
      <c r="AC252" s="20"/>
      <c r="AD252" s="20"/>
      <c r="AE252" s="20"/>
      <c r="AF252" s="20"/>
      <c r="AG252" s="20"/>
      <c r="AH252" s="20"/>
      <c r="AI252" s="20"/>
      <c r="AJ252" s="20"/>
      <c r="AK252" s="20"/>
      <c r="AL252" s="20"/>
      <c r="AM252" s="20"/>
      <c r="AN252" s="20"/>
      <c r="AO252" s="20"/>
      <c r="AP252" s="20"/>
      <c r="AQ252" s="20"/>
      <c r="AR252" s="20"/>
      <c r="AS252" s="20"/>
      <c r="AT252" s="20"/>
      <c r="AU252" s="20"/>
      <c r="AV252" s="20"/>
    </row>
    <row r="253" spans="1:48" ht="17.25" customHeight="1">
      <c r="A253" s="15" t="s">
        <v>5798</v>
      </c>
      <c r="B253" s="124" t="s">
        <v>154</v>
      </c>
      <c r="C253" s="124" t="s">
        <v>5524</v>
      </c>
      <c r="D253" s="125" t="e">
        <f t="shared" ca="1" si="0"/>
        <v>#NAME?</v>
      </c>
      <c r="E253" s="126" t="str">
        <f t="shared" ca="1" si="1"/>
        <v>Not enough information entered</v>
      </c>
      <c r="F253" s="124" t="s">
        <v>6275</v>
      </c>
      <c r="G253" s="124" t="s">
        <v>5186</v>
      </c>
      <c r="H253" s="126">
        <v>0.15</v>
      </c>
      <c r="I253" s="124" t="s">
        <v>5196</v>
      </c>
      <c r="J253" s="126">
        <v>0.03</v>
      </c>
      <c r="K253" s="124"/>
      <c r="L253" s="124"/>
      <c r="M253" s="124"/>
      <c r="N253" s="124"/>
      <c r="O253" s="124"/>
      <c r="P253" s="124"/>
      <c r="Q253" s="124"/>
      <c r="R253" s="124"/>
      <c r="S253" s="124"/>
      <c r="T253" s="124"/>
      <c r="U253" s="124" t="s">
        <v>5523</v>
      </c>
      <c r="V253" s="127">
        <f t="shared" si="2"/>
        <v>0.18</v>
      </c>
      <c r="W253" s="124"/>
      <c r="X253" s="124"/>
      <c r="Y253" s="124"/>
      <c r="Z253" s="124"/>
      <c r="AA253" s="124" t="e">
        <f t="shared" ca="1" si="3"/>
        <v>#NAME?</v>
      </c>
      <c r="AB253" s="126">
        <f t="array" aca="1" ref="AB253" ca="1">IFERROR(J253/_xludf.XLOOKUP(I253,Materials!$A$3:$A$292,Materials!$I$3:$I$292),0)
+IFERROR(L253/_xludf.XLOOKUP(K253,Materials!$A$3:$A$292,Materials!$I$3:$I$292),0)
+IFERROR(N253/_xludf.XLOOKUP(M253,Materials!$A$3:$A$292,Materials!$I$3:$I$292),0)
+IFERROR(P253/_xludf.XLOOKUP(O253,Materials!$A$3:$A$292,Materials!$I$3:$I$292),0)
+IFERROR(R253/_xludf.XLOOKUP(Q253,Materials!$A$3:$A$292,Materials!$I$3:$I$292),0)
+IFERROR(H253/_xludf.XLOOKUP(G253,Materials!$A$3:$A$292,Materials!$I$3:$I$292),0)</f>
        <v>0</v>
      </c>
      <c r="AC253" s="20"/>
      <c r="AD253" s="20"/>
      <c r="AE253" s="20"/>
      <c r="AF253" s="20"/>
      <c r="AG253" s="20"/>
      <c r="AH253" s="20"/>
      <c r="AI253" s="20"/>
      <c r="AJ253" s="20"/>
      <c r="AK253" s="20"/>
      <c r="AL253" s="20"/>
      <c r="AM253" s="20"/>
      <c r="AN253" s="20"/>
      <c r="AO253" s="20"/>
      <c r="AP253" s="20"/>
      <c r="AQ253" s="20"/>
      <c r="AR253" s="20"/>
      <c r="AS253" s="20"/>
      <c r="AT253" s="20"/>
      <c r="AU253" s="20"/>
      <c r="AV253" s="20"/>
    </row>
    <row r="254" spans="1:48" ht="17.25" hidden="1" customHeight="1">
      <c r="A254" s="15" t="s">
        <v>5798</v>
      </c>
      <c r="B254" s="124" t="s">
        <v>160</v>
      </c>
      <c r="C254" s="124" t="s">
        <v>5526</v>
      </c>
      <c r="D254" s="125" t="e">
        <f t="shared" ca="1" si="0"/>
        <v>#NAME?</v>
      </c>
      <c r="E254" s="126" t="str">
        <f t="shared" ca="1" si="1"/>
        <v>Not enough information entered</v>
      </c>
      <c r="F254" s="124" t="s">
        <v>6618</v>
      </c>
      <c r="G254" s="124" t="s">
        <v>5186</v>
      </c>
      <c r="H254" s="126">
        <v>0.18</v>
      </c>
      <c r="I254" s="124" t="s">
        <v>5196</v>
      </c>
      <c r="J254" s="126">
        <v>0.03</v>
      </c>
      <c r="K254" s="124"/>
      <c r="L254" s="124"/>
      <c r="M254" s="124"/>
      <c r="N254" s="124"/>
      <c r="O254" s="124"/>
      <c r="P254" s="124"/>
      <c r="Q254" s="124"/>
      <c r="R254" s="124"/>
      <c r="S254" s="124"/>
      <c r="T254" s="124"/>
      <c r="U254" s="124" t="s">
        <v>5523</v>
      </c>
      <c r="V254" s="127">
        <f t="shared" si="2"/>
        <v>0.21</v>
      </c>
      <c r="W254" s="126">
        <v>0</v>
      </c>
      <c r="X254" s="126">
        <v>0</v>
      </c>
      <c r="Y254" s="126">
        <v>10</v>
      </c>
      <c r="Z254" s="124"/>
      <c r="AA254" s="124" t="e">
        <f t="shared" ca="1" si="3"/>
        <v>#NAME?</v>
      </c>
      <c r="AB254" s="126">
        <f t="array" aca="1" ref="AB254" ca="1">IFERROR(J254/_xludf.XLOOKUP(I254,Materials!$A$3:$A$292,Materials!$I$3:$I$292),0)
+IFERROR(L254/_xludf.XLOOKUP(K254,Materials!$A$3:$A$292,Materials!$I$3:$I$292),0)
+IFERROR(N254/_xludf.XLOOKUP(M254,Materials!$A$3:$A$292,Materials!$I$3:$I$292),0)
+IFERROR(P254/_xludf.XLOOKUP(O254,Materials!$A$3:$A$292,Materials!$I$3:$I$292),0)
+IFERROR(R254/_xludf.XLOOKUP(Q254,Materials!$A$3:$A$292,Materials!$I$3:$I$292),0)
+IFERROR(H254/_xludf.XLOOKUP(G254,Materials!$A$3:$A$292,Materials!$I$3:$I$292),0)</f>
        <v>0</v>
      </c>
      <c r="AC254" s="20"/>
      <c r="AD254" s="20"/>
      <c r="AE254" s="20"/>
      <c r="AF254" s="20"/>
      <c r="AG254" s="20"/>
      <c r="AH254" s="20"/>
      <c r="AI254" s="20"/>
      <c r="AJ254" s="20"/>
      <c r="AK254" s="20"/>
      <c r="AL254" s="20"/>
      <c r="AM254" s="20"/>
      <c r="AN254" s="20"/>
      <c r="AO254" s="20"/>
      <c r="AP254" s="20"/>
      <c r="AQ254" s="20"/>
      <c r="AR254" s="20"/>
      <c r="AS254" s="20"/>
      <c r="AT254" s="20"/>
      <c r="AU254" s="20"/>
      <c r="AV254" s="20"/>
    </row>
    <row r="255" spans="1:48" ht="17.25" hidden="1" customHeight="1">
      <c r="A255" s="15" t="s">
        <v>5799</v>
      </c>
      <c r="B255" s="124" t="s">
        <v>157</v>
      </c>
      <c r="C255" s="124" t="s">
        <v>5522</v>
      </c>
      <c r="D255" s="125" t="e">
        <f t="shared" ca="1" si="0"/>
        <v>#NAME?</v>
      </c>
      <c r="E255" s="126" t="str">
        <f t="shared" ca="1" si="1"/>
        <v>Not enough information entered</v>
      </c>
      <c r="F255" s="124" t="s">
        <v>6425</v>
      </c>
      <c r="G255" s="124" t="s">
        <v>5211</v>
      </c>
      <c r="H255" s="126">
        <v>0.03</v>
      </c>
      <c r="I255" s="124" t="s">
        <v>5186</v>
      </c>
      <c r="J255" s="126">
        <v>0.18</v>
      </c>
      <c r="K255" s="124" t="s">
        <v>5204</v>
      </c>
      <c r="L255" s="126">
        <v>0.02</v>
      </c>
      <c r="M255" s="124" t="s">
        <v>5200</v>
      </c>
      <c r="N255" s="126">
        <v>1.2E-2</v>
      </c>
      <c r="O255" s="124"/>
      <c r="P255" s="124"/>
      <c r="Q255" s="124"/>
      <c r="R255" s="124"/>
      <c r="S255" s="124"/>
      <c r="T255" s="124"/>
      <c r="U255" s="124" t="s">
        <v>5523</v>
      </c>
      <c r="V255" s="127">
        <f t="shared" si="2"/>
        <v>0.24199999999999999</v>
      </c>
      <c r="W255" s="126">
        <v>0</v>
      </c>
      <c r="X255" s="126">
        <v>0</v>
      </c>
      <c r="Y255" s="126">
        <v>10</v>
      </c>
      <c r="Z255" s="124"/>
      <c r="AA255" s="124" t="e">
        <f t="shared" ca="1" si="3"/>
        <v>#NAME?</v>
      </c>
      <c r="AB255" s="126">
        <f t="array" aca="1" ref="AB255" ca="1">IFERROR(J255/_xludf.XLOOKUP(I255,Materials!$A$3:$A$292,Materials!$I$3:$I$292),0)
+IFERROR(L255/_xludf.XLOOKUP(K255,Materials!$A$3:$A$292,Materials!$I$3:$I$292),0)
+IFERROR(N255/_xludf.XLOOKUP(M255,Materials!$A$3:$A$292,Materials!$I$3:$I$292),0)
+IFERROR(P255/_xludf.XLOOKUP(O255,Materials!$A$3:$A$292,Materials!$I$3:$I$292),0)
+IFERROR(R255/_xludf.XLOOKUP(Q255,Materials!$A$3:$A$292,Materials!$I$3:$I$292),0)
+IFERROR(H255/_xludf.XLOOKUP(G255,Materials!$A$3:$A$292,Materials!$I$3:$I$292),0)</f>
        <v>0</v>
      </c>
      <c r="AC255" s="20"/>
      <c r="AD255" s="20"/>
      <c r="AE255" s="20"/>
      <c r="AF255" s="20"/>
      <c r="AG255" s="20"/>
      <c r="AH255" s="20"/>
      <c r="AI255" s="20"/>
      <c r="AJ255" s="20"/>
      <c r="AK255" s="20"/>
      <c r="AL255" s="20"/>
      <c r="AM255" s="20"/>
      <c r="AN255" s="20"/>
      <c r="AO255" s="20"/>
      <c r="AP255" s="20"/>
      <c r="AQ255" s="20"/>
      <c r="AR255" s="20"/>
      <c r="AS255" s="20"/>
      <c r="AT255" s="20"/>
      <c r="AU255" s="20"/>
      <c r="AV255" s="20"/>
    </row>
    <row r="256" spans="1:48" ht="17.25" customHeight="1">
      <c r="A256" s="15" t="s">
        <v>5799</v>
      </c>
      <c r="B256" s="124" t="s">
        <v>154</v>
      </c>
      <c r="C256" s="124" t="s">
        <v>5524</v>
      </c>
      <c r="D256" s="125" t="e">
        <f t="shared" ca="1" si="0"/>
        <v>#NAME?</v>
      </c>
      <c r="E256" s="126" t="str">
        <f t="shared" ca="1" si="1"/>
        <v>Not enough information entered</v>
      </c>
      <c r="F256" s="124" t="s">
        <v>6276</v>
      </c>
      <c r="G256" s="124" t="s">
        <v>5211</v>
      </c>
      <c r="H256" s="126">
        <v>5.8000000000000003E-2</v>
      </c>
      <c r="I256" s="124" t="s">
        <v>5186</v>
      </c>
      <c r="J256" s="126">
        <v>0.15</v>
      </c>
      <c r="K256" s="124" t="s">
        <v>5196</v>
      </c>
      <c r="L256" s="124">
        <v>0.03</v>
      </c>
      <c r="M256" s="124"/>
      <c r="N256" s="124"/>
      <c r="O256" s="124"/>
      <c r="P256" s="124"/>
      <c r="Q256" s="124"/>
      <c r="R256" s="124"/>
      <c r="S256" s="124"/>
      <c r="T256" s="124"/>
      <c r="U256" s="124" t="s">
        <v>5523</v>
      </c>
      <c r="V256" s="127">
        <f t="shared" si="2"/>
        <v>0.23799999999999999</v>
      </c>
      <c r="W256" s="124"/>
      <c r="X256" s="124"/>
      <c r="Y256" s="124"/>
      <c r="Z256" s="124"/>
      <c r="AA256" s="124" t="e">
        <f t="shared" ca="1" si="3"/>
        <v>#NAME?</v>
      </c>
      <c r="AB256" s="126">
        <f t="array" aca="1" ref="AB256" ca="1">IFERROR(J256/_xludf.XLOOKUP(I256,Materials!$A$3:$A$292,Materials!$I$3:$I$292),0)
+IFERROR(L256/_xludf.XLOOKUP(K256,Materials!$A$3:$A$292,Materials!$I$3:$I$292),0)
+IFERROR(N256/_xludf.XLOOKUP(M256,Materials!$A$3:$A$292,Materials!$I$3:$I$292),0)
+IFERROR(P256/_xludf.XLOOKUP(O256,Materials!$A$3:$A$292,Materials!$I$3:$I$292),0)
+IFERROR(R256/_xludf.XLOOKUP(Q256,Materials!$A$3:$A$292,Materials!$I$3:$I$292),0)
+IFERROR(H256/_xludf.XLOOKUP(G256,Materials!$A$3:$A$292,Materials!$I$3:$I$292),0)</f>
        <v>0</v>
      </c>
      <c r="AC256" s="20"/>
      <c r="AD256" s="20"/>
      <c r="AE256" s="20"/>
      <c r="AF256" s="20"/>
      <c r="AG256" s="20"/>
      <c r="AH256" s="20"/>
      <c r="AI256" s="20"/>
      <c r="AJ256" s="20"/>
      <c r="AK256" s="20"/>
      <c r="AL256" s="20"/>
      <c r="AM256" s="20"/>
      <c r="AN256" s="20"/>
      <c r="AO256" s="20"/>
      <c r="AP256" s="20"/>
      <c r="AQ256" s="20"/>
      <c r="AR256" s="20"/>
      <c r="AS256" s="20"/>
      <c r="AT256" s="20"/>
      <c r="AU256" s="20"/>
      <c r="AV256" s="20"/>
    </row>
    <row r="257" spans="1:48" ht="17.25" hidden="1" customHeight="1">
      <c r="A257" s="15" t="s">
        <v>5799</v>
      </c>
      <c r="B257" s="124" t="s">
        <v>160</v>
      </c>
      <c r="C257" s="124" t="s">
        <v>5526</v>
      </c>
      <c r="D257" s="125" t="e">
        <f t="shared" ca="1" si="0"/>
        <v>#NAME?</v>
      </c>
      <c r="E257" s="126" t="str">
        <f t="shared" ca="1" si="1"/>
        <v>Not enough information entered</v>
      </c>
      <c r="F257" s="124" t="s">
        <v>6619</v>
      </c>
      <c r="G257" s="124" t="s">
        <v>5211</v>
      </c>
      <c r="H257" s="126">
        <v>4.7E-2</v>
      </c>
      <c r="I257" s="124" t="s">
        <v>5186</v>
      </c>
      <c r="J257" s="126">
        <v>0.18</v>
      </c>
      <c r="K257" s="124" t="s">
        <v>5196</v>
      </c>
      <c r="L257" s="124">
        <v>0.03</v>
      </c>
      <c r="M257" s="124"/>
      <c r="N257" s="124"/>
      <c r="O257" s="124"/>
      <c r="P257" s="124"/>
      <c r="Q257" s="124"/>
      <c r="R257" s="124"/>
      <c r="S257" s="124"/>
      <c r="T257" s="124"/>
      <c r="U257" s="124" t="s">
        <v>5523</v>
      </c>
      <c r="V257" s="127">
        <f t="shared" si="2"/>
        <v>0.25700000000000001</v>
      </c>
      <c r="W257" s="126">
        <v>0</v>
      </c>
      <c r="X257" s="126">
        <v>0</v>
      </c>
      <c r="Y257" s="126">
        <v>10</v>
      </c>
      <c r="Z257" s="124"/>
      <c r="AA257" s="124" t="e">
        <f t="shared" ca="1" si="3"/>
        <v>#NAME?</v>
      </c>
      <c r="AB257" s="126">
        <f t="array" aca="1" ref="AB257" ca="1">IFERROR(J257/_xludf.XLOOKUP(I257,Materials!$A$3:$A$292,Materials!$I$3:$I$292),0)
+IFERROR(L257/_xludf.XLOOKUP(K257,Materials!$A$3:$A$292,Materials!$I$3:$I$292),0)
+IFERROR(N257/_xludf.XLOOKUP(M257,Materials!$A$3:$A$292,Materials!$I$3:$I$292),0)
+IFERROR(P257/_xludf.XLOOKUP(O257,Materials!$A$3:$A$292,Materials!$I$3:$I$292),0)
+IFERROR(R257/_xludf.XLOOKUP(Q257,Materials!$A$3:$A$292,Materials!$I$3:$I$292),0)
+IFERROR(H257/_xludf.XLOOKUP(G257,Materials!$A$3:$A$292,Materials!$I$3:$I$292),0)</f>
        <v>0</v>
      </c>
      <c r="AC257" s="20"/>
      <c r="AD257" s="20"/>
      <c r="AE257" s="20"/>
      <c r="AF257" s="20"/>
      <c r="AG257" s="20"/>
      <c r="AH257" s="20"/>
      <c r="AI257" s="20"/>
      <c r="AJ257" s="20"/>
      <c r="AK257" s="20"/>
      <c r="AL257" s="20"/>
      <c r="AM257" s="20"/>
      <c r="AN257" s="20"/>
      <c r="AO257" s="20"/>
      <c r="AP257" s="20"/>
      <c r="AQ257" s="20"/>
      <c r="AR257" s="20"/>
      <c r="AS257" s="20"/>
      <c r="AT257" s="20"/>
      <c r="AU257" s="20"/>
      <c r="AV257" s="20"/>
    </row>
    <row r="258" spans="1:48" ht="17.25" hidden="1" customHeight="1">
      <c r="A258" s="15" t="s">
        <v>5800</v>
      </c>
      <c r="B258" s="124" t="s">
        <v>157</v>
      </c>
      <c r="C258" s="124" t="s">
        <v>5522</v>
      </c>
      <c r="D258" s="125" t="e">
        <f t="shared" ref="D258:D388" ca="1" si="4">AA258</f>
        <v>#NAME?</v>
      </c>
      <c r="E258" s="126" t="str">
        <f t="shared" ref="E258:E388" ca="1" si="5">IFERROR(1/AB258, "Not enough information entered")</f>
        <v>Not enough information entered</v>
      </c>
      <c r="F258" s="124" t="s">
        <v>6426</v>
      </c>
      <c r="G258" s="124" t="s">
        <v>5211</v>
      </c>
      <c r="H258" s="126">
        <v>0.04</v>
      </c>
      <c r="I258" s="124" t="s">
        <v>5186</v>
      </c>
      <c r="J258" s="126">
        <v>0.18</v>
      </c>
      <c r="K258" s="124" t="s">
        <v>5204</v>
      </c>
      <c r="L258" s="126">
        <v>0.02</v>
      </c>
      <c r="M258" s="124" t="s">
        <v>5200</v>
      </c>
      <c r="N258" s="126">
        <v>1.2E-2</v>
      </c>
      <c r="O258" s="124"/>
      <c r="P258" s="124"/>
      <c r="Q258" s="124"/>
      <c r="R258" s="124"/>
      <c r="S258" s="124"/>
      <c r="T258" s="124"/>
      <c r="U258" s="124" t="s">
        <v>5523</v>
      </c>
      <c r="V258" s="127">
        <f t="shared" ref="V258:V387" si="6">H258+J258+L258+N258+P258+R258+T258</f>
        <v>0.252</v>
      </c>
      <c r="W258" s="126">
        <v>0</v>
      </c>
      <c r="X258" s="126">
        <v>0</v>
      </c>
      <c r="Y258" s="126">
        <v>10</v>
      </c>
      <c r="Z258" s="124"/>
      <c r="AA258" s="124" t="e">
        <f t="shared" ref="AA258:AA387" ca="1" si="7">"[" &amp; _xludf.TEXTJOIN(",",TRUE,G258:T258) &amp; "]"</f>
        <v>#NAME?</v>
      </c>
      <c r="AB258" s="126">
        <f t="array" aca="1" ref="AB258" ca="1">IFERROR(J258/_xludf.XLOOKUP(I258,Materials!$A$3:$A$292,Materials!$I$3:$I$292),0)
+IFERROR(L258/_xludf.XLOOKUP(K258,Materials!$A$3:$A$292,Materials!$I$3:$I$292),0)
+IFERROR(N258/_xludf.XLOOKUP(M258,Materials!$A$3:$A$292,Materials!$I$3:$I$292),0)
+IFERROR(P258/_xludf.XLOOKUP(O258,Materials!$A$3:$A$292,Materials!$I$3:$I$292),0)
+IFERROR(R258/_xludf.XLOOKUP(Q258,Materials!$A$3:$A$292,Materials!$I$3:$I$292),0)
+IFERROR(H258/_xludf.XLOOKUP(G258,Materials!$A$3:$A$292,Materials!$I$3:$I$292),0)</f>
        <v>0</v>
      </c>
      <c r="AC258" s="20"/>
      <c r="AD258" s="20"/>
      <c r="AE258" s="20"/>
      <c r="AF258" s="20"/>
      <c r="AG258" s="20"/>
      <c r="AH258" s="20"/>
      <c r="AI258" s="20"/>
      <c r="AJ258" s="20"/>
      <c r="AK258" s="20"/>
      <c r="AL258" s="20"/>
      <c r="AM258" s="20"/>
      <c r="AN258" s="20"/>
      <c r="AO258" s="20"/>
      <c r="AP258" s="20"/>
      <c r="AQ258" s="20"/>
      <c r="AR258" s="20"/>
      <c r="AS258" s="20"/>
      <c r="AT258" s="20"/>
      <c r="AU258" s="20"/>
      <c r="AV258" s="20"/>
    </row>
    <row r="259" spans="1:48" ht="17.25" customHeight="1">
      <c r="A259" s="15" t="s">
        <v>5800</v>
      </c>
      <c r="B259" s="124" t="s">
        <v>154</v>
      </c>
      <c r="C259" s="124" t="s">
        <v>5524</v>
      </c>
      <c r="D259" s="125" t="e">
        <f t="shared" ca="1" si="4"/>
        <v>#NAME?</v>
      </c>
      <c r="E259" s="126" t="str">
        <f t="shared" ca="1" si="5"/>
        <v>Not enough information entered</v>
      </c>
      <c r="F259" s="124" t="s">
        <v>6277</v>
      </c>
      <c r="G259" s="124" t="s">
        <v>5211</v>
      </c>
      <c r="H259" s="126">
        <v>5.8999999999999997E-2</v>
      </c>
      <c r="I259" s="124" t="s">
        <v>5186</v>
      </c>
      <c r="J259" s="126">
        <v>0.15</v>
      </c>
      <c r="K259" s="124" t="s">
        <v>5196</v>
      </c>
      <c r="L259" s="124">
        <v>0.03</v>
      </c>
      <c r="M259" s="124"/>
      <c r="N259" s="124"/>
      <c r="O259" s="124"/>
      <c r="P259" s="124"/>
      <c r="Q259" s="124"/>
      <c r="R259" s="124"/>
      <c r="S259" s="124"/>
      <c r="T259" s="124"/>
      <c r="U259" s="124" t="s">
        <v>5523</v>
      </c>
      <c r="V259" s="127">
        <f t="shared" si="6"/>
        <v>0.23899999999999999</v>
      </c>
      <c r="W259" s="124"/>
      <c r="X259" s="124"/>
      <c r="Y259" s="124"/>
      <c r="Z259" s="124"/>
      <c r="AA259" s="124" t="e">
        <f t="shared" ca="1" si="7"/>
        <v>#NAME?</v>
      </c>
      <c r="AB259" s="126">
        <f t="array" aca="1" ref="AB259" ca="1">IFERROR(J259/_xludf.XLOOKUP(I259,Materials!$A$3:$A$292,Materials!$I$3:$I$292),0)
+IFERROR(L259/_xludf.XLOOKUP(K259,Materials!$A$3:$A$292,Materials!$I$3:$I$292),0)
+IFERROR(N259/_xludf.XLOOKUP(M259,Materials!$A$3:$A$292,Materials!$I$3:$I$292),0)
+IFERROR(P259/_xludf.XLOOKUP(O259,Materials!$A$3:$A$292,Materials!$I$3:$I$292),0)
+IFERROR(R259/_xludf.XLOOKUP(Q259,Materials!$A$3:$A$292,Materials!$I$3:$I$292),0)
+IFERROR(H259/_xludf.XLOOKUP(G259,Materials!$A$3:$A$292,Materials!$I$3:$I$292),0)</f>
        <v>0</v>
      </c>
      <c r="AC259" s="20"/>
      <c r="AD259" s="20"/>
      <c r="AE259" s="20"/>
      <c r="AF259" s="20"/>
      <c r="AG259" s="20"/>
      <c r="AH259" s="20"/>
      <c r="AI259" s="20"/>
      <c r="AJ259" s="20"/>
      <c r="AK259" s="20"/>
      <c r="AL259" s="20"/>
      <c r="AM259" s="20"/>
      <c r="AN259" s="20"/>
      <c r="AO259" s="20"/>
      <c r="AP259" s="20"/>
      <c r="AQ259" s="20"/>
      <c r="AR259" s="20"/>
      <c r="AS259" s="20"/>
      <c r="AT259" s="20"/>
      <c r="AU259" s="20"/>
      <c r="AV259" s="20"/>
    </row>
    <row r="260" spans="1:48" ht="17.25" hidden="1" customHeight="1">
      <c r="A260" s="15" t="s">
        <v>5800</v>
      </c>
      <c r="B260" s="124" t="s">
        <v>160</v>
      </c>
      <c r="C260" s="124" t="s">
        <v>5526</v>
      </c>
      <c r="D260" s="125" t="e">
        <f t="shared" ca="1" si="4"/>
        <v>#NAME?</v>
      </c>
      <c r="E260" s="126" t="str">
        <f t="shared" ca="1" si="5"/>
        <v>Not enough information entered</v>
      </c>
      <c r="F260" s="124" t="s">
        <v>6620</v>
      </c>
      <c r="G260" s="124" t="s">
        <v>5211</v>
      </c>
      <c r="H260" s="126">
        <v>5.8000000000000003E-2</v>
      </c>
      <c r="I260" s="124" t="s">
        <v>5186</v>
      </c>
      <c r="J260" s="126">
        <v>0.18</v>
      </c>
      <c r="K260" s="124" t="s">
        <v>5196</v>
      </c>
      <c r="L260" s="124">
        <v>0.03</v>
      </c>
      <c r="M260" s="124"/>
      <c r="N260" s="124"/>
      <c r="O260" s="124"/>
      <c r="P260" s="124"/>
      <c r="Q260" s="124"/>
      <c r="R260" s="124"/>
      <c r="S260" s="124"/>
      <c r="T260" s="124"/>
      <c r="U260" s="124" t="s">
        <v>5523</v>
      </c>
      <c r="V260" s="127">
        <f t="shared" si="6"/>
        <v>0.26800000000000002</v>
      </c>
      <c r="W260" s="126">
        <v>0</v>
      </c>
      <c r="X260" s="126">
        <v>0</v>
      </c>
      <c r="Y260" s="126">
        <v>10</v>
      </c>
      <c r="Z260" s="124"/>
      <c r="AA260" s="124" t="e">
        <f t="shared" ca="1" si="7"/>
        <v>#NAME?</v>
      </c>
      <c r="AB260" s="126">
        <f t="array" aca="1" ref="AB260" ca="1">IFERROR(J260/_xludf.XLOOKUP(I260,Materials!$A$3:$A$292,Materials!$I$3:$I$292),0)
+IFERROR(L260/_xludf.XLOOKUP(K260,Materials!$A$3:$A$292,Materials!$I$3:$I$292),0)
+IFERROR(N260/_xludf.XLOOKUP(M260,Materials!$A$3:$A$292,Materials!$I$3:$I$292),0)
+IFERROR(P260/_xludf.XLOOKUP(O260,Materials!$A$3:$A$292,Materials!$I$3:$I$292),0)
+IFERROR(R260/_xludf.XLOOKUP(Q260,Materials!$A$3:$A$292,Materials!$I$3:$I$292),0)
+IFERROR(H260/_xludf.XLOOKUP(G260,Materials!$A$3:$A$292,Materials!$I$3:$I$292),0)</f>
        <v>0</v>
      </c>
      <c r="AC260" s="20"/>
      <c r="AD260" s="20"/>
      <c r="AE260" s="20"/>
      <c r="AF260" s="20"/>
      <c r="AG260" s="20"/>
      <c r="AH260" s="20"/>
      <c r="AI260" s="20"/>
      <c r="AJ260" s="20"/>
      <c r="AK260" s="20"/>
      <c r="AL260" s="20"/>
      <c r="AM260" s="20"/>
      <c r="AN260" s="20"/>
      <c r="AO260" s="20"/>
      <c r="AP260" s="20"/>
      <c r="AQ260" s="20"/>
      <c r="AR260" s="20"/>
      <c r="AS260" s="20"/>
      <c r="AT260" s="20"/>
      <c r="AU260" s="20"/>
      <c r="AV260" s="20"/>
    </row>
    <row r="261" spans="1:48" ht="17.25" hidden="1" customHeight="1">
      <c r="A261" s="15" t="s">
        <v>5801</v>
      </c>
      <c r="B261" s="124" t="s">
        <v>157</v>
      </c>
      <c r="C261" s="124" t="s">
        <v>5522</v>
      </c>
      <c r="D261" s="125" t="e">
        <f t="shared" ca="1" si="4"/>
        <v>#NAME?</v>
      </c>
      <c r="E261" s="126" t="str">
        <f t="shared" ca="1" si="5"/>
        <v>Not enough information entered</v>
      </c>
      <c r="F261" s="124" t="s">
        <v>6427</v>
      </c>
      <c r="G261" s="124" t="s">
        <v>5211</v>
      </c>
      <c r="H261" s="126">
        <v>0.06</v>
      </c>
      <c r="I261" s="124" t="s">
        <v>5186</v>
      </c>
      <c r="J261" s="126">
        <v>0.18</v>
      </c>
      <c r="K261" s="124" t="s">
        <v>5204</v>
      </c>
      <c r="L261" s="126">
        <v>0.02</v>
      </c>
      <c r="M261" s="124" t="s">
        <v>5200</v>
      </c>
      <c r="N261" s="126">
        <v>1.2E-2</v>
      </c>
      <c r="O261" s="124"/>
      <c r="P261" s="124"/>
      <c r="Q261" s="124"/>
      <c r="R261" s="124"/>
      <c r="S261" s="124"/>
      <c r="T261" s="124"/>
      <c r="U261" s="124" t="s">
        <v>5523</v>
      </c>
      <c r="V261" s="127">
        <f t="shared" si="6"/>
        <v>0.27200000000000002</v>
      </c>
      <c r="W261" s="126">
        <v>0</v>
      </c>
      <c r="X261" s="126">
        <v>0</v>
      </c>
      <c r="Y261" s="126">
        <v>10</v>
      </c>
      <c r="Z261" s="124"/>
      <c r="AA261" s="124" t="e">
        <f t="shared" ca="1" si="7"/>
        <v>#NAME?</v>
      </c>
      <c r="AB261" s="126">
        <f t="array" aca="1" ref="AB261" ca="1">IFERROR(J261/_xludf.XLOOKUP(I261,Materials!$A$3:$A$292,Materials!$I$3:$I$292),0)
+IFERROR(L261/_xludf.XLOOKUP(K261,Materials!$A$3:$A$292,Materials!$I$3:$I$292),0)
+IFERROR(N261/_xludf.XLOOKUP(M261,Materials!$A$3:$A$292,Materials!$I$3:$I$292),0)
+IFERROR(P261/_xludf.XLOOKUP(O261,Materials!$A$3:$A$292,Materials!$I$3:$I$292),0)
+IFERROR(R261/_xludf.XLOOKUP(Q261,Materials!$A$3:$A$292,Materials!$I$3:$I$292),0)
+IFERROR(H261/_xludf.XLOOKUP(G261,Materials!$A$3:$A$292,Materials!$I$3:$I$292),0)</f>
        <v>0</v>
      </c>
      <c r="AC261" s="20"/>
      <c r="AD261" s="20"/>
      <c r="AE261" s="20"/>
      <c r="AF261" s="20"/>
      <c r="AG261" s="20"/>
      <c r="AH261" s="20"/>
      <c r="AI261" s="20"/>
      <c r="AJ261" s="20"/>
      <c r="AK261" s="20"/>
      <c r="AL261" s="20"/>
      <c r="AM261" s="20"/>
      <c r="AN261" s="20"/>
      <c r="AO261" s="20"/>
      <c r="AP261" s="20"/>
      <c r="AQ261" s="20"/>
      <c r="AR261" s="20"/>
      <c r="AS261" s="20"/>
      <c r="AT261" s="20"/>
      <c r="AU261" s="20"/>
      <c r="AV261" s="20"/>
    </row>
    <row r="262" spans="1:48" ht="17.25" customHeight="1">
      <c r="A262" s="15" t="s">
        <v>5801</v>
      </c>
      <c r="B262" s="124" t="s">
        <v>154</v>
      </c>
      <c r="C262" s="124" t="s">
        <v>5524</v>
      </c>
      <c r="D262" s="125" t="e">
        <f t="shared" ca="1" si="4"/>
        <v>#NAME?</v>
      </c>
      <c r="E262" s="126" t="str">
        <f t="shared" ca="1" si="5"/>
        <v>Not enough information entered</v>
      </c>
      <c r="F262" s="124" t="s">
        <v>6278</v>
      </c>
      <c r="G262" s="124" t="s">
        <v>5211</v>
      </c>
      <c r="H262" s="126">
        <v>7.8E-2</v>
      </c>
      <c r="I262" s="124" t="s">
        <v>5186</v>
      </c>
      <c r="J262" s="126">
        <v>0.15</v>
      </c>
      <c r="K262" s="124" t="s">
        <v>5196</v>
      </c>
      <c r="L262" s="124">
        <v>0.03</v>
      </c>
      <c r="M262" s="124"/>
      <c r="N262" s="124"/>
      <c r="O262" s="124"/>
      <c r="P262" s="124"/>
      <c r="Q262" s="124"/>
      <c r="R262" s="124"/>
      <c r="S262" s="124"/>
      <c r="T262" s="124"/>
      <c r="U262" s="124" t="s">
        <v>5523</v>
      </c>
      <c r="V262" s="127">
        <f t="shared" si="6"/>
        <v>0.25800000000000001</v>
      </c>
      <c r="W262" s="124"/>
      <c r="X262" s="124"/>
      <c r="Y262" s="124"/>
      <c r="Z262" s="124"/>
      <c r="AA262" s="124" t="e">
        <f t="shared" ca="1" si="7"/>
        <v>#NAME?</v>
      </c>
      <c r="AB262" s="126">
        <f t="array" aca="1" ref="AB262" ca="1">IFERROR(J262/_xludf.XLOOKUP(I262,Materials!$A$3:$A$292,Materials!$I$3:$I$292),0)
+IFERROR(L262/_xludf.XLOOKUP(K262,Materials!$A$3:$A$292,Materials!$I$3:$I$292),0)
+IFERROR(N262/_xludf.XLOOKUP(M262,Materials!$A$3:$A$292,Materials!$I$3:$I$292),0)
+IFERROR(P262/_xludf.XLOOKUP(O262,Materials!$A$3:$A$292,Materials!$I$3:$I$292),0)
+IFERROR(R262/_xludf.XLOOKUP(Q262,Materials!$A$3:$A$292,Materials!$I$3:$I$292),0)
+IFERROR(H262/_xludf.XLOOKUP(G262,Materials!$A$3:$A$292,Materials!$I$3:$I$292),0)</f>
        <v>0</v>
      </c>
      <c r="AC262" s="20"/>
      <c r="AD262" s="20"/>
      <c r="AE262" s="20"/>
      <c r="AF262" s="20"/>
      <c r="AG262" s="20"/>
      <c r="AH262" s="20"/>
      <c r="AI262" s="20"/>
      <c r="AJ262" s="20"/>
      <c r="AK262" s="20"/>
      <c r="AL262" s="20"/>
      <c r="AM262" s="20"/>
      <c r="AN262" s="20"/>
      <c r="AO262" s="20"/>
      <c r="AP262" s="20"/>
      <c r="AQ262" s="20"/>
      <c r="AR262" s="20"/>
      <c r="AS262" s="20"/>
      <c r="AT262" s="20"/>
      <c r="AU262" s="20"/>
      <c r="AV262" s="20"/>
    </row>
    <row r="263" spans="1:48" ht="17.25" hidden="1" customHeight="1">
      <c r="A263" s="15" t="s">
        <v>5801</v>
      </c>
      <c r="B263" s="124" t="s">
        <v>160</v>
      </c>
      <c r="C263" s="124" t="s">
        <v>5526</v>
      </c>
      <c r="D263" s="125" t="e">
        <f t="shared" ca="1" si="4"/>
        <v>#NAME?</v>
      </c>
      <c r="E263" s="126" t="str">
        <f t="shared" ca="1" si="5"/>
        <v>Not enough information entered</v>
      </c>
      <c r="F263" s="124" t="s">
        <v>6621</v>
      </c>
      <c r="G263" s="124" t="s">
        <v>5211</v>
      </c>
      <c r="H263" s="126">
        <v>7.6999999999999999E-2</v>
      </c>
      <c r="I263" s="124" t="s">
        <v>5186</v>
      </c>
      <c r="J263" s="126">
        <v>0.18</v>
      </c>
      <c r="K263" s="124" t="s">
        <v>5196</v>
      </c>
      <c r="L263" s="124">
        <v>0.03</v>
      </c>
      <c r="M263" s="124"/>
      <c r="N263" s="124"/>
      <c r="O263" s="124"/>
      <c r="P263" s="124"/>
      <c r="Q263" s="124"/>
      <c r="R263" s="124"/>
      <c r="S263" s="124"/>
      <c r="T263" s="124"/>
      <c r="U263" s="124" t="s">
        <v>5523</v>
      </c>
      <c r="V263" s="127">
        <f t="shared" si="6"/>
        <v>0.28700000000000003</v>
      </c>
      <c r="W263" s="126">
        <v>0</v>
      </c>
      <c r="X263" s="126">
        <v>0</v>
      </c>
      <c r="Y263" s="126">
        <v>10</v>
      </c>
      <c r="Z263" s="124"/>
      <c r="AA263" s="124" t="e">
        <f t="shared" ca="1" si="7"/>
        <v>#NAME?</v>
      </c>
      <c r="AB263" s="126">
        <f t="array" aca="1" ref="AB263" ca="1">IFERROR(J263/_xludf.XLOOKUP(I263,Materials!$A$3:$A$292,Materials!$I$3:$I$292),0)
+IFERROR(L263/_xludf.XLOOKUP(K263,Materials!$A$3:$A$292,Materials!$I$3:$I$292),0)
+IFERROR(N263/_xludf.XLOOKUP(M263,Materials!$A$3:$A$292,Materials!$I$3:$I$292),0)
+IFERROR(P263/_xludf.XLOOKUP(O263,Materials!$A$3:$A$292,Materials!$I$3:$I$292),0)
+IFERROR(R263/_xludf.XLOOKUP(Q263,Materials!$A$3:$A$292,Materials!$I$3:$I$292),0)
+IFERROR(H263/_xludf.XLOOKUP(G263,Materials!$A$3:$A$292,Materials!$I$3:$I$292),0)</f>
        <v>0</v>
      </c>
      <c r="AC263" s="20"/>
      <c r="AD263" s="20"/>
      <c r="AE263" s="20"/>
      <c r="AF263" s="20"/>
      <c r="AG263" s="20"/>
      <c r="AH263" s="20"/>
      <c r="AI263" s="20"/>
      <c r="AJ263" s="20"/>
      <c r="AK263" s="20"/>
      <c r="AL263" s="20"/>
      <c r="AM263" s="20"/>
      <c r="AN263" s="20"/>
      <c r="AO263" s="20"/>
      <c r="AP263" s="20"/>
      <c r="AQ263" s="20"/>
      <c r="AR263" s="20"/>
      <c r="AS263" s="20"/>
      <c r="AT263" s="20"/>
      <c r="AU263" s="20"/>
      <c r="AV263" s="20"/>
    </row>
    <row r="264" spans="1:48" ht="17.25" hidden="1" customHeight="1">
      <c r="A264" s="15" t="s">
        <v>5802</v>
      </c>
      <c r="B264" s="124" t="s">
        <v>157</v>
      </c>
      <c r="C264" s="124" t="s">
        <v>5522</v>
      </c>
      <c r="D264" s="125" t="e">
        <f t="shared" ca="1" si="4"/>
        <v>#NAME?</v>
      </c>
      <c r="E264" s="126" t="str">
        <f t="shared" ca="1" si="5"/>
        <v>Not enough information entered</v>
      </c>
      <c r="F264" s="124" t="s">
        <v>6428</v>
      </c>
      <c r="G264" s="124" t="s">
        <v>5211</v>
      </c>
      <c r="H264" s="126">
        <v>6.9000000000000006E-2</v>
      </c>
      <c r="I264" s="124" t="s">
        <v>5186</v>
      </c>
      <c r="J264" s="126">
        <v>0.18</v>
      </c>
      <c r="K264" s="124" t="s">
        <v>5204</v>
      </c>
      <c r="L264" s="126">
        <v>0.02</v>
      </c>
      <c r="M264" s="124" t="s">
        <v>5200</v>
      </c>
      <c r="N264" s="126">
        <v>1.2E-2</v>
      </c>
      <c r="O264" s="124"/>
      <c r="P264" s="124"/>
      <c r="Q264" s="124"/>
      <c r="R264" s="124"/>
      <c r="S264" s="124"/>
      <c r="T264" s="124"/>
      <c r="U264" s="124" t="s">
        <v>5523</v>
      </c>
      <c r="V264" s="127">
        <f t="shared" si="6"/>
        <v>0.28100000000000003</v>
      </c>
      <c r="W264" s="126">
        <v>0</v>
      </c>
      <c r="X264" s="126">
        <v>0</v>
      </c>
      <c r="Y264" s="126">
        <v>10</v>
      </c>
      <c r="Z264" s="124"/>
      <c r="AA264" s="124" t="e">
        <f t="shared" ca="1" si="7"/>
        <v>#NAME?</v>
      </c>
      <c r="AB264" s="126">
        <f t="array" aca="1" ref="AB264" ca="1">IFERROR(J264/_xludf.XLOOKUP(I264,Materials!$A$3:$A$292,Materials!$I$3:$I$292),0)
+IFERROR(L264/_xludf.XLOOKUP(K264,Materials!$A$3:$A$292,Materials!$I$3:$I$292),0)
+IFERROR(N264/_xludf.XLOOKUP(M264,Materials!$A$3:$A$292,Materials!$I$3:$I$292),0)
+IFERROR(P264/_xludf.XLOOKUP(O264,Materials!$A$3:$A$292,Materials!$I$3:$I$292),0)
+IFERROR(R264/_xludf.XLOOKUP(Q264,Materials!$A$3:$A$292,Materials!$I$3:$I$292),0)
+IFERROR(H264/_xludf.XLOOKUP(G264,Materials!$A$3:$A$292,Materials!$I$3:$I$292),0)</f>
        <v>0</v>
      </c>
      <c r="AC264" s="20"/>
      <c r="AD264" s="20"/>
      <c r="AE264" s="20"/>
      <c r="AF264" s="20"/>
      <c r="AG264" s="20"/>
      <c r="AH264" s="20"/>
      <c r="AI264" s="20"/>
      <c r="AJ264" s="20"/>
      <c r="AK264" s="20"/>
      <c r="AL264" s="20"/>
      <c r="AM264" s="20"/>
      <c r="AN264" s="20"/>
      <c r="AO264" s="20"/>
      <c r="AP264" s="20"/>
      <c r="AQ264" s="20"/>
      <c r="AR264" s="20"/>
      <c r="AS264" s="20"/>
      <c r="AT264" s="20"/>
      <c r="AU264" s="20"/>
      <c r="AV264" s="20"/>
    </row>
    <row r="265" spans="1:48" ht="17.25" customHeight="1">
      <c r="A265" s="15" t="s">
        <v>5802</v>
      </c>
      <c r="B265" s="124" t="s">
        <v>154</v>
      </c>
      <c r="C265" s="124" t="s">
        <v>5524</v>
      </c>
      <c r="D265" s="125" t="e">
        <f t="shared" ca="1" si="4"/>
        <v>#NAME?</v>
      </c>
      <c r="E265" s="126" t="str">
        <f t="shared" ca="1" si="5"/>
        <v>Not enough information entered</v>
      </c>
      <c r="F265" s="124" t="s">
        <v>6279</v>
      </c>
      <c r="G265" s="124" t="s">
        <v>5211</v>
      </c>
      <c r="H265" s="126">
        <v>9.4E-2</v>
      </c>
      <c r="I265" s="124" t="s">
        <v>5186</v>
      </c>
      <c r="J265" s="126">
        <v>0.15</v>
      </c>
      <c r="K265" s="124" t="s">
        <v>5196</v>
      </c>
      <c r="L265" s="124">
        <v>0.03</v>
      </c>
      <c r="M265" s="124"/>
      <c r="N265" s="124"/>
      <c r="O265" s="124"/>
      <c r="P265" s="124"/>
      <c r="Q265" s="124"/>
      <c r="R265" s="124"/>
      <c r="S265" s="124"/>
      <c r="T265" s="124"/>
      <c r="U265" s="124" t="s">
        <v>5523</v>
      </c>
      <c r="V265" s="127">
        <f t="shared" si="6"/>
        <v>0.27400000000000002</v>
      </c>
      <c r="W265" s="124"/>
      <c r="X265" s="124"/>
      <c r="Y265" s="124"/>
      <c r="Z265" s="124"/>
      <c r="AA265" s="124" t="e">
        <f t="shared" ca="1" si="7"/>
        <v>#NAME?</v>
      </c>
      <c r="AB265" s="126">
        <f t="array" aca="1" ref="AB265" ca="1">IFERROR(J265/_xludf.XLOOKUP(I265,Materials!$A$3:$A$292,Materials!$I$3:$I$292),0)
+IFERROR(L265/_xludf.XLOOKUP(K265,Materials!$A$3:$A$292,Materials!$I$3:$I$292),0)
+IFERROR(N265/_xludf.XLOOKUP(M265,Materials!$A$3:$A$292,Materials!$I$3:$I$292),0)
+IFERROR(P265/_xludf.XLOOKUP(O265,Materials!$A$3:$A$292,Materials!$I$3:$I$292),0)
+IFERROR(R265/_xludf.XLOOKUP(Q265,Materials!$A$3:$A$292,Materials!$I$3:$I$292),0)
+IFERROR(H265/_xludf.XLOOKUP(G265,Materials!$A$3:$A$292,Materials!$I$3:$I$292),0)</f>
        <v>0</v>
      </c>
      <c r="AC265" s="20"/>
      <c r="AD265" s="20"/>
      <c r="AE265" s="20"/>
      <c r="AF265" s="20"/>
      <c r="AG265" s="20"/>
      <c r="AH265" s="20"/>
      <c r="AI265" s="20"/>
      <c r="AJ265" s="20"/>
      <c r="AK265" s="20"/>
      <c r="AL265" s="20"/>
      <c r="AM265" s="20"/>
      <c r="AN265" s="20"/>
      <c r="AO265" s="20"/>
      <c r="AP265" s="20"/>
      <c r="AQ265" s="20"/>
      <c r="AR265" s="20"/>
      <c r="AS265" s="20"/>
      <c r="AT265" s="20"/>
      <c r="AU265" s="20"/>
      <c r="AV265" s="20"/>
    </row>
    <row r="266" spans="1:48" ht="17.25" hidden="1" customHeight="1">
      <c r="A266" s="15" t="s">
        <v>5802</v>
      </c>
      <c r="B266" s="124" t="s">
        <v>160</v>
      </c>
      <c r="C266" s="124" t="s">
        <v>5526</v>
      </c>
      <c r="D266" s="125" t="e">
        <f t="shared" ca="1" si="4"/>
        <v>#NAME?</v>
      </c>
      <c r="E266" s="126" t="str">
        <f t="shared" ca="1" si="5"/>
        <v>Not enough information entered</v>
      </c>
      <c r="F266" s="124" t="s">
        <v>6622</v>
      </c>
      <c r="G266" s="124" t="s">
        <v>5211</v>
      </c>
      <c r="H266" s="126">
        <v>9.2999999999999999E-2</v>
      </c>
      <c r="I266" s="124" t="s">
        <v>5186</v>
      </c>
      <c r="J266" s="126">
        <v>0.18</v>
      </c>
      <c r="K266" s="124" t="s">
        <v>5196</v>
      </c>
      <c r="L266" s="124">
        <v>0.03</v>
      </c>
      <c r="M266" s="124"/>
      <c r="N266" s="124"/>
      <c r="O266" s="124"/>
      <c r="P266" s="124"/>
      <c r="Q266" s="124"/>
      <c r="R266" s="124"/>
      <c r="S266" s="124"/>
      <c r="T266" s="124"/>
      <c r="U266" s="124" t="s">
        <v>5523</v>
      </c>
      <c r="V266" s="127">
        <f t="shared" si="6"/>
        <v>0.30300000000000005</v>
      </c>
      <c r="W266" s="126">
        <v>0</v>
      </c>
      <c r="X266" s="126">
        <v>0</v>
      </c>
      <c r="Y266" s="126">
        <v>10</v>
      </c>
      <c r="Z266" s="124"/>
      <c r="AA266" s="124" t="e">
        <f t="shared" ca="1" si="7"/>
        <v>#NAME?</v>
      </c>
      <c r="AB266" s="126">
        <f t="array" aca="1" ref="AB266" ca="1">IFERROR(J266/_xludf.XLOOKUP(I266,Materials!$A$3:$A$292,Materials!$I$3:$I$292),0)
+IFERROR(L266/_xludf.XLOOKUP(K266,Materials!$A$3:$A$292,Materials!$I$3:$I$292),0)
+IFERROR(N266/_xludf.XLOOKUP(M266,Materials!$A$3:$A$292,Materials!$I$3:$I$292),0)
+IFERROR(P266/_xludf.XLOOKUP(O266,Materials!$A$3:$A$292,Materials!$I$3:$I$292),0)
+IFERROR(R266/_xludf.XLOOKUP(Q266,Materials!$A$3:$A$292,Materials!$I$3:$I$292),0)
+IFERROR(H266/_xludf.XLOOKUP(G266,Materials!$A$3:$A$292,Materials!$I$3:$I$292),0)</f>
        <v>0</v>
      </c>
      <c r="AC266" s="20"/>
      <c r="AD266" s="20"/>
      <c r="AE266" s="20"/>
      <c r="AF266" s="20"/>
      <c r="AG266" s="20"/>
      <c r="AH266" s="20"/>
      <c r="AI266" s="20"/>
      <c r="AJ266" s="20"/>
      <c r="AK266" s="20"/>
      <c r="AL266" s="20"/>
      <c r="AM266" s="20"/>
      <c r="AN266" s="20"/>
      <c r="AO266" s="20"/>
      <c r="AP266" s="20"/>
      <c r="AQ266" s="20"/>
      <c r="AR266" s="20"/>
      <c r="AS266" s="20"/>
      <c r="AT266" s="20"/>
      <c r="AU266" s="20"/>
      <c r="AV266" s="20"/>
    </row>
    <row r="267" spans="1:48" ht="17.25" hidden="1" customHeight="1">
      <c r="A267" s="15" t="s">
        <v>4856</v>
      </c>
      <c r="B267" s="124" t="s">
        <v>158</v>
      </c>
      <c r="C267" s="124" t="s">
        <v>5527</v>
      </c>
      <c r="D267" s="125" t="e">
        <f t="shared" ca="1" si="4"/>
        <v>#NAME?</v>
      </c>
      <c r="E267" s="126" t="str">
        <f t="shared" ca="1" si="5"/>
        <v>Not enough information entered</v>
      </c>
      <c r="F267" s="124" t="s">
        <v>6349</v>
      </c>
      <c r="G267" s="124" t="s">
        <v>5200</v>
      </c>
      <c r="H267" s="124">
        <v>1.2500000000000001E-2</v>
      </c>
      <c r="I267" s="124" t="s">
        <v>5204</v>
      </c>
      <c r="J267" s="124">
        <v>0.05</v>
      </c>
      <c r="K267" s="124" t="s">
        <v>5200</v>
      </c>
      <c r="L267" s="124">
        <v>1.2500000000000001E-2</v>
      </c>
      <c r="M267" s="124"/>
      <c r="N267" s="124"/>
      <c r="O267" s="124"/>
      <c r="P267" s="124"/>
      <c r="Q267" s="124"/>
      <c r="R267" s="124"/>
      <c r="S267" s="124"/>
      <c r="T267" s="124"/>
      <c r="U267" s="124" t="s">
        <v>5523</v>
      </c>
      <c r="V267" s="127">
        <f t="shared" si="6"/>
        <v>7.4999999999999997E-2</v>
      </c>
      <c r="W267" s="124"/>
      <c r="X267" s="124"/>
      <c r="Y267" s="124"/>
      <c r="Z267" s="124"/>
      <c r="AA267" s="124" t="e">
        <f t="shared" ca="1" si="7"/>
        <v>#NAME?</v>
      </c>
      <c r="AB267" s="126">
        <f t="array" aca="1" ref="AB267" ca="1">IFERROR(J267/_xludf.XLOOKUP(I267,Materials!$A$3:$A$292,Materials!$I$3:$I$292),0)
+IFERROR(L267/_xludf.XLOOKUP(K267,Materials!$A$3:$A$292,Materials!$I$3:$I$292),0)
+IFERROR(N267/_xludf.XLOOKUP(M267,Materials!$A$3:$A$292,Materials!$I$3:$I$292),0)
+IFERROR(P267/_xludf.XLOOKUP(O267,Materials!$A$3:$A$292,Materials!$I$3:$I$292),0)
+IFERROR(R267/_xludf.XLOOKUP(Q267,Materials!$A$3:$A$292,Materials!$I$3:$I$292),0)
+IFERROR(H267/_xludf.XLOOKUP(G267,Materials!$A$3:$A$292,Materials!$I$3:$I$292),0)</f>
        <v>0</v>
      </c>
      <c r="AC267" s="20"/>
      <c r="AD267" s="20"/>
      <c r="AE267" s="20"/>
      <c r="AF267" s="20"/>
      <c r="AG267" s="20"/>
      <c r="AH267" s="20"/>
      <c r="AI267" s="20"/>
      <c r="AJ267" s="20"/>
      <c r="AK267" s="20"/>
      <c r="AL267" s="20"/>
      <c r="AM267" s="20"/>
      <c r="AN267" s="20"/>
      <c r="AO267" s="20"/>
      <c r="AP267" s="20"/>
      <c r="AQ267" s="20"/>
      <c r="AR267" s="20"/>
      <c r="AS267" s="20"/>
      <c r="AT267" s="20"/>
      <c r="AU267" s="20"/>
      <c r="AV267" s="20"/>
    </row>
    <row r="268" spans="1:48" ht="17.25" hidden="1" customHeight="1">
      <c r="A268" s="15" t="s">
        <v>4856</v>
      </c>
      <c r="B268" s="124" t="s">
        <v>162</v>
      </c>
      <c r="C268" s="124" t="s">
        <v>5529</v>
      </c>
      <c r="D268" s="125" t="e">
        <f t="shared" ca="1" si="4"/>
        <v>#NAME?</v>
      </c>
      <c r="E268" s="126" t="str">
        <f t="shared" ca="1" si="5"/>
        <v>Not enough information entered</v>
      </c>
      <c r="F268" s="124" t="s">
        <v>6558</v>
      </c>
      <c r="G268" s="124" t="s">
        <v>5186</v>
      </c>
      <c r="H268" s="124">
        <v>0.18</v>
      </c>
      <c r="I268" s="124" t="s">
        <v>5196</v>
      </c>
      <c r="J268" s="124">
        <v>0.03</v>
      </c>
      <c r="K268" s="124"/>
      <c r="L268" s="124"/>
      <c r="M268" s="124"/>
      <c r="N268" s="124"/>
      <c r="O268" s="124"/>
      <c r="P268" s="124"/>
      <c r="Q268" s="124"/>
      <c r="R268" s="124"/>
      <c r="S268" s="124"/>
      <c r="T268" s="124"/>
      <c r="U268" s="124" t="s">
        <v>5523</v>
      </c>
      <c r="V268" s="127">
        <f t="shared" si="6"/>
        <v>0.21</v>
      </c>
      <c r="W268" s="124"/>
      <c r="X268" s="124"/>
      <c r="Y268" s="124"/>
      <c r="Z268" s="124"/>
      <c r="AA268" s="124" t="e">
        <f t="shared" ca="1" si="7"/>
        <v>#NAME?</v>
      </c>
      <c r="AB268" s="126">
        <f t="array" aca="1" ref="AB268" ca="1">IFERROR(J268/_xludf.XLOOKUP(I268,Materials!$A$3:$A$292,Materials!$I$3:$I$292),0)
+IFERROR(L268/_xludf.XLOOKUP(K268,Materials!$A$3:$A$292,Materials!$I$3:$I$292),0)
+IFERROR(N268/_xludf.XLOOKUP(M268,Materials!$A$3:$A$292,Materials!$I$3:$I$292),0)
+IFERROR(P268/_xludf.XLOOKUP(O268,Materials!$A$3:$A$292,Materials!$I$3:$I$292),0)
+IFERROR(R268/_xludf.XLOOKUP(Q268,Materials!$A$3:$A$292,Materials!$I$3:$I$292),0)
+IFERROR(H268/_xludf.XLOOKUP(G268,Materials!$A$3:$A$292,Materials!$I$3:$I$292),0)</f>
        <v>0</v>
      </c>
      <c r="AC268" s="20"/>
      <c r="AD268" s="20"/>
      <c r="AE268" s="20"/>
      <c r="AF268" s="20"/>
      <c r="AG268" s="20"/>
      <c r="AH268" s="20"/>
      <c r="AI268" s="20"/>
      <c r="AJ268" s="20"/>
      <c r="AK268" s="20"/>
      <c r="AL268" s="20"/>
      <c r="AM268" s="20"/>
      <c r="AN268" s="20"/>
      <c r="AO268" s="20"/>
      <c r="AP268" s="20"/>
      <c r="AQ268" s="20"/>
      <c r="AR268" s="20"/>
      <c r="AS268" s="20"/>
      <c r="AT268" s="20"/>
      <c r="AU268" s="20"/>
      <c r="AV268" s="20"/>
    </row>
    <row r="269" spans="1:48" ht="17.25" hidden="1" customHeight="1">
      <c r="A269" s="15" t="s">
        <v>4856</v>
      </c>
      <c r="B269" s="124" t="s">
        <v>159</v>
      </c>
      <c r="C269" s="124" t="s">
        <v>5530</v>
      </c>
      <c r="D269" s="125" t="e">
        <f t="shared" ca="1" si="4"/>
        <v>#NAME?</v>
      </c>
      <c r="E269" s="126" t="str">
        <f t="shared" ca="1" si="5"/>
        <v>Not enough information entered</v>
      </c>
      <c r="F269" s="124" t="s">
        <v>6663</v>
      </c>
      <c r="G269" s="124" t="s">
        <v>5186</v>
      </c>
      <c r="H269" s="124">
        <v>0.2</v>
      </c>
      <c r="I269" s="124" t="s">
        <v>5211</v>
      </c>
      <c r="J269" s="124">
        <v>0.05</v>
      </c>
      <c r="K269" s="124"/>
      <c r="L269" s="124"/>
      <c r="M269" s="124"/>
      <c r="N269" s="124"/>
      <c r="O269" s="124"/>
      <c r="P269" s="124"/>
      <c r="Q269" s="124"/>
      <c r="R269" s="124"/>
      <c r="S269" s="124"/>
      <c r="T269" s="124"/>
      <c r="U269" s="124" t="s">
        <v>5523</v>
      </c>
      <c r="V269" s="127">
        <f t="shared" si="6"/>
        <v>0.25</v>
      </c>
      <c r="W269" s="124"/>
      <c r="X269" s="124"/>
      <c r="Y269" s="124"/>
      <c r="Z269" s="124"/>
      <c r="AA269" s="124" t="e">
        <f t="shared" ca="1" si="7"/>
        <v>#NAME?</v>
      </c>
      <c r="AB269" s="126">
        <f t="array" aca="1" ref="AB269" ca="1">IFERROR(J269/_xludf.XLOOKUP(I269,Materials!$A$3:$A$292,Materials!$I$3:$I$292),0)
+IFERROR(L269/_xludf.XLOOKUP(K269,Materials!$A$3:$A$292,Materials!$I$3:$I$292),0)
+IFERROR(N269/_xludf.XLOOKUP(M269,Materials!$A$3:$A$292,Materials!$I$3:$I$292),0)
+IFERROR(P269/_xludf.XLOOKUP(O269,Materials!$A$3:$A$292,Materials!$I$3:$I$292),0)
+IFERROR(R269/_xludf.XLOOKUP(Q269,Materials!$A$3:$A$292,Materials!$I$3:$I$292),0)
+IFERROR(H269/_xludf.XLOOKUP(G269,Materials!$A$3:$A$292,Materials!$I$3:$I$292),0)</f>
        <v>0</v>
      </c>
      <c r="AC269" s="20"/>
      <c r="AD269" s="20"/>
      <c r="AE269" s="20"/>
      <c r="AF269" s="20"/>
      <c r="AG269" s="20"/>
      <c r="AH269" s="20"/>
      <c r="AI269" s="20"/>
      <c r="AJ269" s="20"/>
      <c r="AK269" s="20"/>
      <c r="AL269" s="20"/>
      <c r="AM269" s="20"/>
      <c r="AN269" s="20"/>
      <c r="AO269" s="20"/>
      <c r="AP269" s="20"/>
      <c r="AQ269" s="20"/>
      <c r="AR269" s="20"/>
      <c r="AS269" s="20"/>
      <c r="AT269" s="20"/>
      <c r="AU269" s="20"/>
      <c r="AV269" s="20"/>
    </row>
    <row r="270" spans="1:48" ht="17.25" hidden="1" customHeight="1">
      <c r="A270" s="15"/>
      <c r="B270" s="124"/>
      <c r="C270" s="124" t="s">
        <v>5532</v>
      </c>
      <c r="D270" s="125"/>
      <c r="E270" s="126"/>
      <c r="F270" s="124"/>
      <c r="G270" s="124"/>
      <c r="H270" s="124"/>
      <c r="I270" s="128"/>
      <c r="J270" s="124"/>
      <c r="K270" s="124"/>
      <c r="L270" s="124"/>
      <c r="M270" s="124"/>
      <c r="N270" s="124"/>
      <c r="O270" s="124"/>
      <c r="P270" s="124"/>
      <c r="Q270" s="124"/>
      <c r="R270" s="124"/>
      <c r="S270" s="124"/>
      <c r="T270" s="124"/>
      <c r="U270" s="124"/>
      <c r="V270" s="127"/>
      <c r="W270" s="124"/>
      <c r="X270" s="124"/>
      <c r="Y270" s="124"/>
      <c r="Z270" s="124"/>
      <c r="AA270" s="124"/>
      <c r="AB270" s="126"/>
      <c r="AC270" s="20"/>
      <c r="AD270" s="20"/>
      <c r="AE270" s="20"/>
      <c r="AF270" s="20"/>
      <c r="AG270" s="20"/>
      <c r="AH270" s="20"/>
      <c r="AI270" s="20"/>
      <c r="AJ270" s="20"/>
      <c r="AK270" s="20"/>
      <c r="AL270" s="20"/>
      <c r="AM270" s="20"/>
      <c r="AN270" s="20"/>
      <c r="AO270" s="20"/>
      <c r="AP270" s="20"/>
      <c r="AQ270" s="20"/>
      <c r="AR270" s="20"/>
      <c r="AS270" s="20"/>
      <c r="AT270" s="20"/>
      <c r="AU270" s="20"/>
      <c r="AV270" s="20"/>
    </row>
    <row r="271" spans="1:48" ht="17.25" hidden="1" customHeight="1">
      <c r="A271" s="15" t="s">
        <v>4856</v>
      </c>
      <c r="B271" s="124" t="s">
        <v>161</v>
      </c>
      <c r="C271" s="124" t="s">
        <v>5533</v>
      </c>
      <c r="D271" s="125" t="e">
        <f t="shared" ca="1" si="4"/>
        <v>#NAME?</v>
      </c>
      <c r="E271" s="126" t="str">
        <f t="shared" ca="1" si="5"/>
        <v>Not enough information entered</v>
      </c>
      <c r="F271" s="124" t="s">
        <v>6679</v>
      </c>
      <c r="G271" s="124" t="s">
        <v>5186</v>
      </c>
      <c r="H271" s="124">
        <v>0.18</v>
      </c>
      <c r="I271" s="124" t="s">
        <v>5207</v>
      </c>
      <c r="J271" s="124">
        <v>0.06</v>
      </c>
      <c r="K271" s="124" t="s">
        <v>5200</v>
      </c>
      <c r="L271" s="124">
        <v>1.2500000000000001E-2</v>
      </c>
      <c r="M271" s="124"/>
      <c r="N271" s="124"/>
      <c r="O271" s="124"/>
      <c r="P271" s="124"/>
      <c r="Q271" s="124"/>
      <c r="R271" s="124"/>
      <c r="S271" s="124"/>
      <c r="T271" s="124"/>
      <c r="U271" s="124" t="s">
        <v>5523</v>
      </c>
      <c r="V271" s="127">
        <f t="shared" si="6"/>
        <v>0.2525</v>
      </c>
      <c r="W271" s="124"/>
      <c r="X271" s="124"/>
      <c r="Y271" s="124"/>
      <c r="Z271" s="124"/>
      <c r="AA271" s="124" t="e">
        <f t="shared" ca="1" si="7"/>
        <v>#NAME?</v>
      </c>
      <c r="AB271" s="126">
        <f t="array" aca="1" ref="AB271" ca="1">IFERROR(J271/_xludf.XLOOKUP(I271,Materials!$A$3:$A$292,Materials!$I$3:$I$292),0)
+IFERROR(L271/_xludf.XLOOKUP(K271,Materials!$A$3:$A$292,Materials!$I$3:$I$292),0)
+IFERROR(N271/_xludf.XLOOKUP(M271,Materials!$A$3:$A$292,Materials!$I$3:$I$292),0)
+IFERROR(P271/_xludf.XLOOKUP(O271,Materials!$A$3:$A$292,Materials!$I$3:$I$292),0)
+IFERROR(R271/_xludf.XLOOKUP(Q271,Materials!$A$3:$A$292,Materials!$I$3:$I$292),0)
+IFERROR(H271/_xludf.XLOOKUP(G271,Materials!$A$3:$A$292,Materials!$I$3:$I$292),0)</f>
        <v>0</v>
      </c>
      <c r="AC271" s="20"/>
      <c r="AD271" s="20"/>
      <c r="AE271" s="20"/>
      <c r="AF271" s="20"/>
      <c r="AG271" s="20"/>
      <c r="AH271" s="20"/>
      <c r="AI271" s="20"/>
      <c r="AJ271" s="20"/>
      <c r="AK271" s="20"/>
      <c r="AL271" s="20"/>
      <c r="AM271" s="20"/>
      <c r="AN271" s="20"/>
      <c r="AO271" s="20"/>
      <c r="AP271" s="20"/>
      <c r="AQ271" s="20"/>
      <c r="AR271" s="20"/>
      <c r="AS271" s="20"/>
      <c r="AT271" s="20"/>
      <c r="AU271" s="20"/>
      <c r="AV271" s="20"/>
    </row>
    <row r="272" spans="1:48" ht="17.25" hidden="1" customHeight="1">
      <c r="A272" s="15" t="s">
        <v>5803</v>
      </c>
      <c r="B272" s="124" t="s">
        <v>157</v>
      </c>
      <c r="C272" s="124" t="s">
        <v>5522</v>
      </c>
      <c r="D272" s="125" t="e">
        <f t="shared" ca="1" si="4"/>
        <v>#NAME?</v>
      </c>
      <c r="E272" s="126" t="str">
        <f t="shared" ca="1" si="5"/>
        <v>Not enough information entered</v>
      </c>
      <c r="F272" s="124" t="s">
        <v>6429</v>
      </c>
      <c r="G272" s="124" t="s">
        <v>5186</v>
      </c>
      <c r="H272" s="126">
        <v>0.18</v>
      </c>
      <c r="I272" s="124" t="s">
        <v>5204</v>
      </c>
      <c r="J272" s="126">
        <v>0.02</v>
      </c>
      <c r="K272" s="124" t="s">
        <v>5200</v>
      </c>
      <c r="L272" s="126">
        <v>1.2E-2</v>
      </c>
      <c r="M272" s="124"/>
      <c r="N272" s="124"/>
      <c r="O272" s="124"/>
      <c r="P272" s="124"/>
      <c r="Q272" s="124"/>
      <c r="R272" s="124"/>
      <c r="S272" s="124"/>
      <c r="T272" s="124"/>
      <c r="U272" s="124" t="s">
        <v>5523</v>
      </c>
      <c r="V272" s="127">
        <f t="shared" si="6"/>
        <v>0.21199999999999999</v>
      </c>
      <c r="W272" s="126">
        <v>0</v>
      </c>
      <c r="X272" s="126">
        <v>0</v>
      </c>
      <c r="Y272" s="126">
        <v>10</v>
      </c>
      <c r="Z272" s="124"/>
      <c r="AA272" s="124" t="e">
        <f t="shared" ca="1" si="7"/>
        <v>#NAME?</v>
      </c>
      <c r="AB272" s="126">
        <f t="array" aca="1" ref="AB272" ca="1">IFERROR(J272/_xludf.XLOOKUP(I272,Materials!$A$3:$A$292,Materials!$I$3:$I$292),0)
+IFERROR(L272/_xludf.XLOOKUP(K272,Materials!$A$3:$A$292,Materials!$I$3:$I$292),0)
+IFERROR(N272/_xludf.XLOOKUP(M272,Materials!$A$3:$A$292,Materials!$I$3:$I$292),0)
+IFERROR(P272/_xludf.XLOOKUP(O272,Materials!$A$3:$A$292,Materials!$I$3:$I$292),0)
+IFERROR(R272/_xludf.XLOOKUP(Q272,Materials!$A$3:$A$292,Materials!$I$3:$I$292),0)
+IFERROR(H272/_xludf.XLOOKUP(G272,Materials!$A$3:$A$292,Materials!$I$3:$I$292),0)</f>
        <v>0</v>
      </c>
      <c r="AC272" s="20"/>
      <c r="AD272" s="20"/>
      <c r="AE272" s="20"/>
      <c r="AF272" s="20"/>
      <c r="AG272" s="20"/>
      <c r="AH272" s="20"/>
      <c r="AI272" s="20"/>
      <c r="AJ272" s="20"/>
      <c r="AK272" s="20"/>
      <c r="AL272" s="20"/>
      <c r="AM272" s="20"/>
      <c r="AN272" s="20"/>
      <c r="AO272" s="20"/>
      <c r="AP272" s="20"/>
      <c r="AQ272" s="20"/>
      <c r="AR272" s="20"/>
      <c r="AS272" s="20"/>
      <c r="AT272" s="20"/>
      <c r="AU272" s="20"/>
      <c r="AV272" s="20"/>
    </row>
    <row r="273" spans="1:48" ht="17.25" customHeight="1">
      <c r="A273" s="15" t="s">
        <v>5803</v>
      </c>
      <c r="B273" s="124" t="s">
        <v>154</v>
      </c>
      <c r="C273" s="124" t="s">
        <v>5524</v>
      </c>
      <c r="D273" s="125" t="e">
        <f t="shared" ca="1" si="4"/>
        <v>#NAME?</v>
      </c>
      <c r="E273" s="126" t="str">
        <f t="shared" ca="1" si="5"/>
        <v>Not enough information entered</v>
      </c>
      <c r="F273" s="124" t="s">
        <v>6280</v>
      </c>
      <c r="G273" s="124" t="s">
        <v>5186</v>
      </c>
      <c r="H273" s="126">
        <v>0.15</v>
      </c>
      <c r="I273" s="124" t="s">
        <v>5196</v>
      </c>
      <c r="J273" s="126">
        <v>0.03</v>
      </c>
      <c r="K273" s="124"/>
      <c r="L273" s="124"/>
      <c r="M273" s="124"/>
      <c r="N273" s="124"/>
      <c r="O273" s="124"/>
      <c r="P273" s="124"/>
      <c r="Q273" s="124"/>
      <c r="R273" s="124"/>
      <c r="S273" s="124"/>
      <c r="T273" s="124"/>
      <c r="U273" s="124" t="s">
        <v>5523</v>
      </c>
      <c r="V273" s="127">
        <f t="shared" si="6"/>
        <v>0.18</v>
      </c>
      <c r="W273" s="124"/>
      <c r="X273" s="124"/>
      <c r="Y273" s="124"/>
      <c r="Z273" s="124"/>
      <c r="AA273" s="124" t="e">
        <f t="shared" ca="1" si="7"/>
        <v>#NAME?</v>
      </c>
      <c r="AB273" s="126">
        <f t="array" aca="1" ref="AB273" ca="1">IFERROR(J273/_xludf.XLOOKUP(I273,Materials!$A$3:$A$292,Materials!$I$3:$I$292),0)
+IFERROR(L273/_xludf.XLOOKUP(K273,Materials!$A$3:$A$292,Materials!$I$3:$I$292),0)
+IFERROR(N273/_xludf.XLOOKUP(M273,Materials!$A$3:$A$292,Materials!$I$3:$I$292),0)
+IFERROR(P273/_xludf.XLOOKUP(O273,Materials!$A$3:$A$292,Materials!$I$3:$I$292),0)
+IFERROR(R273/_xludf.XLOOKUP(Q273,Materials!$A$3:$A$292,Materials!$I$3:$I$292),0)
+IFERROR(H273/_xludf.XLOOKUP(G273,Materials!$A$3:$A$292,Materials!$I$3:$I$292),0)</f>
        <v>0</v>
      </c>
      <c r="AC273" s="20"/>
      <c r="AD273" s="20"/>
      <c r="AE273" s="20"/>
      <c r="AF273" s="20"/>
      <c r="AG273" s="20"/>
      <c r="AH273" s="20"/>
      <c r="AI273" s="20"/>
      <c r="AJ273" s="20"/>
      <c r="AK273" s="20"/>
      <c r="AL273" s="20"/>
      <c r="AM273" s="20"/>
      <c r="AN273" s="20"/>
      <c r="AO273" s="20"/>
      <c r="AP273" s="20"/>
      <c r="AQ273" s="20"/>
      <c r="AR273" s="20"/>
      <c r="AS273" s="20"/>
      <c r="AT273" s="20"/>
      <c r="AU273" s="20"/>
      <c r="AV273" s="20"/>
    </row>
    <row r="274" spans="1:48" ht="17.25" hidden="1" customHeight="1">
      <c r="A274" s="15" t="s">
        <v>5803</v>
      </c>
      <c r="B274" s="124" t="s">
        <v>160</v>
      </c>
      <c r="C274" s="124" t="s">
        <v>5526</v>
      </c>
      <c r="D274" s="125" t="e">
        <f t="shared" ca="1" si="4"/>
        <v>#NAME?</v>
      </c>
      <c r="E274" s="126" t="str">
        <f t="shared" ca="1" si="5"/>
        <v>Not enough information entered</v>
      </c>
      <c r="F274" s="124" t="s">
        <v>6623</v>
      </c>
      <c r="G274" s="124" t="s">
        <v>5186</v>
      </c>
      <c r="H274" s="126">
        <v>0.18</v>
      </c>
      <c r="I274" s="124" t="s">
        <v>5196</v>
      </c>
      <c r="J274" s="126">
        <v>0.03</v>
      </c>
      <c r="K274" s="124"/>
      <c r="L274" s="124"/>
      <c r="M274" s="124"/>
      <c r="N274" s="124"/>
      <c r="O274" s="124"/>
      <c r="P274" s="124"/>
      <c r="Q274" s="124"/>
      <c r="R274" s="124"/>
      <c r="S274" s="124"/>
      <c r="T274" s="124"/>
      <c r="U274" s="124" t="s">
        <v>5523</v>
      </c>
      <c r="V274" s="127">
        <f t="shared" si="6"/>
        <v>0.21</v>
      </c>
      <c r="W274" s="126">
        <v>0</v>
      </c>
      <c r="X274" s="126">
        <v>0</v>
      </c>
      <c r="Y274" s="126">
        <v>10</v>
      </c>
      <c r="Z274" s="124"/>
      <c r="AA274" s="124" t="e">
        <f t="shared" ca="1" si="7"/>
        <v>#NAME?</v>
      </c>
      <c r="AB274" s="126">
        <f t="array" aca="1" ref="AB274" ca="1">IFERROR(J274/_xludf.XLOOKUP(I274,Materials!$A$3:$A$292,Materials!$I$3:$I$292),0)
+IFERROR(L274/_xludf.XLOOKUP(K274,Materials!$A$3:$A$292,Materials!$I$3:$I$292),0)
+IFERROR(N274/_xludf.XLOOKUP(M274,Materials!$A$3:$A$292,Materials!$I$3:$I$292),0)
+IFERROR(P274/_xludf.XLOOKUP(O274,Materials!$A$3:$A$292,Materials!$I$3:$I$292),0)
+IFERROR(R274/_xludf.XLOOKUP(Q274,Materials!$A$3:$A$292,Materials!$I$3:$I$292),0)
+IFERROR(H274/_xludf.XLOOKUP(G274,Materials!$A$3:$A$292,Materials!$I$3:$I$292),0)</f>
        <v>0</v>
      </c>
      <c r="AC274" s="20"/>
      <c r="AD274" s="20"/>
      <c r="AE274" s="20"/>
      <c r="AF274" s="20"/>
      <c r="AG274" s="20"/>
      <c r="AH274" s="20"/>
      <c r="AI274" s="20"/>
      <c r="AJ274" s="20"/>
      <c r="AK274" s="20"/>
      <c r="AL274" s="20"/>
      <c r="AM274" s="20"/>
      <c r="AN274" s="20"/>
      <c r="AO274" s="20"/>
      <c r="AP274" s="20"/>
      <c r="AQ274" s="20"/>
      <c r="AR274" s="20"/>
      <c r="AS274" s="20"/>
      <c r="AT274" s="20"/>
      <c r="AU274" s="20"/>
      <c r="AV274" s="20"/>
    </row>
    <row r="275" spans="1:48" ht="17.25" hidden="1" customHeight="1">
      <c r="A275" s="15" t="s">
        <v>5804</v>
      </c>
      <c r="B275" s="124" t="s">
        <v>157</v>
      </c>
      <c r="C275" s="124" t="s">
        <v>5522</v>
      </c>
      <c r="D275" s="125" t="e">
        <f t="shared" ca="1" si="4"/>
        <v>#NAME?</v>
      </c>
      <c r="E275" s="126" t="str">
        <f t="shared" ca="1" si="5"/>
        <v>Not enough information entered</v>
      </c>
      <c r="F275" s="124" t="s">
        <v>6430</v>
      </c>
      <c r="G275" s="124" t="s">
        <v>5211</v>
      </c>
      <c r="H275" s="126">
        <v>0.03</v>
      </c>
      <c r="I275" s="124" t="s">
        <v>5186</v>
      </c>
      <c r="J275" s="126">
        <v>0.18</v>
      </c>
      <c r="K275" s="124" t="s">
        <v>5204</v>
      </c>
      <c r="L275" s="126">
        <v>0.02</v>
      </c>
      <c r="M275" s="124" t="s">
        <v>5200</v>
      </c>
      <c r="N275" s="126">
        <v>1.2E-2</v>
      </c>
      <c r="O275" s="124"/>
      <c r="P275" s="124"/>
      <c r="Q275" s="124"/>
      <c r="R275" s="124"/>
      <c r="S275" s="124"/>
      <c r="T275" s="124"/>
      <c r="U275" s="124" t="s">
        <v>5523</v>
      </c>
      <c r="V275" s="127">
        <f t="shared" si="6"/>
        <v>0.24199999999999999</v>
      </c>
      <c r="W275" s="126">
        <v>0</v>
      </c>
      <c r="X275" s="126">
        <v>0</v>
      </c>
      <c r="Y275" s="126">
        <v>10</v>
      </c>
      <c r="Z275" s="124"/>
      <c r="AA275" s="124" t="e">
        <f t="shared" ca="1" si="7"/>
        <v>#NAME?</v>
      </c>
      <c r="AB275" s="126">
        <f t="array" aca="1" ref="AB275" ca="1">IFERROR(J275/_xludf.XLOOKUP(I275,Materials!$A$3:$A$292,Materials!$I$3:$I$292),0)
+IFERROR(L275/_xludf.XLOOKUP(K275,Materials!$A$3:$A$292,Materials!$I$3:$I$292),0)
+IFERROR(N275/_xludf.XLOOKUP(M275,Materials!$A$3:$A$292,Materials!$I$3:$I$292),0)
+IFERROR(P275/_xludf.XLOOKUP(O275,Materials!$A$3:$A$292,Materials!$I$3:$I$292),0)
+IFERROR(R275/_xludf.XLOOKUP(Q275,Materials!$A$3:$A$292,Materials!$I$3:$I$292),0)
+IFERROR(H275/_xludf.XLOOKUP(G275,Materials!$A$3:$A$292,Materials!$I$3:$I$292),0)</f>
        <v>0</v>
      </c>
      <c r="AC275" s="20"/>
      <c r="AD275" s="20"/>
      <c r="AE275" s="20"/>
      <c r="AF275" s="20"/>
      <c r="AG275" s="20"/>
      <c r="AH275" s="20"/>
      <c r="AI275" s="20"/>
      <c r="AJ275" s="20"/>
      <c r="AK275" s="20"/>
      <c r="AL275" s="20"/>
      <c r="AM275" s="20"/>
      <c r="AN275" s="20"/>
      <c r="AO275" s="20"/>
      <c r="AP275" s="20"/>
      <c r="AQ275" s="20"/>
      <c r="AR275" s="20"/>
      <c r="AS275" s="20"/>
      <c r="AT275" s="20"/>
      <c r="AU275" s="20"/>
      <c r="AV275" s="20"/>
    </row>
    <row r="276" spans="1:48" ht="17.25" customHeight="1">
      <c r="A276" s="15" t="s">
        <v>5804</v>
      </c>
      <c r="B276" s="124" t="s">
        <v>154</v>
      </c>
      <c r="C276" s="124" t="s">
        <v>5524</v>
      </c>
      <c r="D276" s="125" t="e">
        <f t="shared" ca="1" si="4"/>
        <v>#NAME?</v>
      </c>
      <c r="E276" s="126" t="str">
        <f t="shared" ca="1" si="5"/>
        <v>Not enough information entered</v>
      </c>
      <c r="F276" s="124" t="s">
        <v>6281</v>
      </c>
      <c r="G276" s="124" t="s">
        <v>5211</v>
      </c>
      <c r="H276" s="126">
        <v>5.8000000000000003E-2</v>
      </c>
      <c r="I276" s="124" t="s">
        <v>5186</v>
      </c>
      <c r="J276" s="126">
        <v>0.15</v>
      </c>
      <c r="K276" s="124" t="s">
        <v>5196</v>
      </c>
      <c r="L276" s="124">
        <v>0.03</v>
      </c>
      <c r="M276" s="124"/>
      <c r="N276" s="124"/>
      <c r="O276" s="124"/>
      <c r="P276" s="124"/>
      <c r="Q276" s="124"/>
      <c r="R276" s="124"/>
      <c r="S276" s="124"/>
      <c r="T276" s="124"/>
      <c r="U276" s="124" t="s">
        <v>5523</v>
      </c>
      <c r="V276" s="127">
        <f t="shared" si="6"/>
        <v>0.23799999999999999</v>
      </c>
      <c r="W276" s="124"/>
      <c r="X276" s="124"/>
      <c r="Y276" s="124"/>
      <c r="Z276" s="124"/>
      <c r="AA276" s="124" t="e">
        <f t="shared" ca="1" si="7"/>
        <v>#NAME?</v>
      </c>
      <c r="AB276" s="126">
        <f t="array" aca="1" ref="AB276" ca="1">IFERROR(J276/_xludf.XLOOKUP(I276,Materials!$A$3:$A$292,Materials!$I$3:$I$292),0)
+IFERROR(L276/_xludf.XLOOKUP(K276,Materials!$A$3:$A$292,Materials!$I$3:$I$292),0)
+IFERROR(N276/_xludf.XLOOKUP(M276,Materials!$A$3:$A$292,Materials!$I$3:$I$292),0)
+IFERROR(P276/_xludf.XLOOKUP(O276,Materials!$A$3:$A$292,Materials!$I$3:$I$292),0)
+IFERROR(R276/_xludf.XLOOKUP(Q276,Materials!$A$3:$A$292,Materials!$I$3:$I$292),0)
+IFERROR(H276/_xludf.XLOOKUP(G276,Materials!$A$3:$A$292,Materials!$I$3:$I$292),0)</f>
        <v>0</v>
      </c>
      <c r="AC276" s="20"/>
      <c r="AD276" s="20"/>
      <c r="AE276" s="20"/>
      <c r="AF276" s="20"/>
      <c r="AG276" s="20"/>
      <c r="AH276" s="20"/>
      <c r="AI276" s="20"/>
      <c r="AJ276" s="20"/>
      <c r="AK276" s="20"/>
      <c r="AL276" s="20"/>
      <c r="AM276" s="20"/>
      <c r="AN276" s="20"/>
      <c r="AO276" s="20"/>
      <c r="AP276" s="20"/>
      <c r="AQ276" s="20"/>
      <c r="AR276" s="20"/>
      <c r="AS276" s="20"/>
      <c r="AT276" s="20"/>
      <c r="AU276" s="20"/>
      <c r="AV276" s="20"/>
    </row>
    <row r="277" spans="1:48" ht="17.25" hidden="1" customHeight="1">
      <c r="A277" s="15" t="s">
        <v>5804</v>
      </c>
      <c r="B277" s="124" t="s">
        <v>160</v>
      </c>
      <c r="C277" s="124" t="s">
        <v>5526</v>
      </c>
      <c r="D277" s="125" t="e">
        <f t="shared" ca="1" si="4"/>
        <v>#NAME?</v>
      </c>
      <c r="E277" s="126" t="str">
        <f t="shared" ca="1" si="5"/>
        <v>Not enough information entered</v>
      </c>
      <c r="F277" s="124" t="s">
        <v>6624</v>
      </c>
      <c r="G277" s="124" t="s">
        <v>5211</v>
      </c>
      <c r="H277" s="126">
        <v>4.7E-2</v>
      </c>
      <c r="I277" s="124" t="s">
        <v>5186</v>
      </c>
      <c r="J277" s="126">
        <v>0.18</v>
      </c>
      <c r="K277" s="124" t="s">
        <v>5196</v>
      </c>
      <c r="L277" s="124">
        <v>0.03</v>
      </c>
      <c r="M277" s="124"/>
      <c r="N277" s="124"/>
      <c r="O277" s="124"/>
      <c r="P277" s="124"/>
      <c r="Q277" s="124"/>
      <c r="R277" s="124"/>
      <c r="S277" s="124"/>
      <c r="T277" s="124"/>
      <c r="U277" s="124" t="s">
        <v>5523</v>
      </c>
      <c r="V277" s="127">
        <f t="shared" si="6"/>
        <v>0.25700000000000001</v>
      </c>
      <c r="W277" s="126">
        <v>0</v>
      </c>
      <c r="X277" s="126">
        <v>0</v>
      </c>
      <c r="Y277" s="126">
        <v>10</v>
      </c>
      <c r="Z277" s="124"/>
      <c r="AA277" s="124" t="e">
        <f t="shared" ca="1" si="7"/>
        <v>#NAME?</v>
      </c>
      <c r="AB277" s="126">
        <f t="array" aca="1" ref="AB277" ca="1">IFERROR(J277/_xludf.XLOOKUP(I277,Materials!$A$3:$A$292,Materials!$I$3:$I$292),0)
+IFERROR(L277/_xludf.XLOOKUP(K277,Materials!$A$3:$A$292,Materials!$I$3:$I$292),0)
+IFERROR(N277/_xludf.XLOOKUP(M277,Materials!$A$3:$A$292,Materials!$I$3:$I$292),0)
+IFERROR(P277/_xludf.XLOOKUP(O277,Materials!$A$3:$A$292,Materials!$I$3:$I$292),0)
+IFERROR(R277/_xludf.XLOOKUP(Q277,Materials!$A$3:$A$292,Materials!$I$3:$I$292),0)
+IFERROR(H277/_xludf.XLOOKUP(G277,Materials!$A$3:$A$292,Materials!$I$3:$I$292),0)</f>
        <v>0</v>
      </c>
      <c r="AC277" s="20"/>
      <c r="AD277" s="20"/>
      <c r="AE277" s="20"/>
      <c r="AF277" s="20"/>
      <c r="AG277" s="20"/>
      <c r="AH277" s="20"/>
      <c r="AI277" s="20"/>
      <c r="AJ277" s="20"/>
      <c r="AK277" s="20"/>
      <c r="AL277" s="20"/>
      <c r="AM277" s="20"/>
      <c r="AN277" s="20"/>
      <c r="AO277" s="20"/>
      <c r="AP277" s="20"/>
      <c r="AQ277" s="20"/>
      <c r="AR277" s="20"/>
      <c r="AS277" s="20"/>
      <c r="AT277" s="20"/>
      <c r="AU277" s="20"/>
      <c r="AV277" s="20"/>
    </row>
    <row r="278" spans="1:48" ht="17.25" hidden="1" customHeight="1">
      <c r="A278" s="15" t="s">
        <v>5805</v>
      </c>
      <c r="B278" s="124" t="s">
        <v>157</v>
      </c>
      <c r="C278" s="124" t="s">
        <v>5522</v>
      </c>
      <c r="D278" s="125" t="e">
        <f t="shared" ca="1" si="4"/>
        <v>#NAME?</v>
      </c>
      <c r="E278" s="126" t="str">
        <f t="shared" ca="1" si="5"/>
        <v>Not enough information entered</v>
      </c>
      <c r="F278" s="124" t="s">
        <v>6431</v>
      </c>
      <c r="G278" s="124" t="s">
        <v>5211</v>
      </c>
      <c r="H278" s="126">
        <v>0.04</v>
      </c>
      <c r="I278" s="124" t="s">
        <v>5186</v>
      </c>
      <c r="J278" s="126">
        <v>0.18</v>
      </c>
      <c r="K278" s="124" t="s">
        <v>5204</v>
      </c>
      <c r="L278" s="126">
        <v>0.02</v>
      </c>
      <c r="M278" s="124" t="s">
        <v>5200</v>
      </c>
      <c r="N278" s="126">
        <v>1.2E-2</v>
      </c>
      <c r="O278" s="124"/>
      <c r="P278" s="124"/>
      <c r="Q278" s="124"/>
      <c r="R278" s="124"/>
      <c r="S278" s="124"/>
      <c r="T278" s="124"/>
      <c r="U278" s="124" t="s">
        <v>5523</v>
      </c>
      <c r="V278" s="127">
        <f t="shared" si="6"/>
        <v>0.252</v>
      </c>
      <c r="W278" s="126">
        <v>0</v>
      </c>
      <c r="X278" s="126">
        <v>0</v>
      </c>
      <c r="Y278" s="126">
        <v>10</v>
      </c>
      <c r="Z278" s="124"/>
      <c r="AA278" s="124" t="e">
        <f t="shared" ca="1" si="7"/>
        <v>#NAME?</v>
      </c>
      <c r="AB278" s="126">
        <f t="array" aca="1" ref="AB278" ca="1">IFERROR(J278/_xludf.XLOOKUP(I278,Materials!$A$3:$A$292,Materials!$I$3:$I$292),0)
+IFERROR(L278/_xludf.XLOOKUP(K278,Materials!$A$3:$A$292,Materials!$I$3:$I$292),0)
+IFERROR(N278/_xludf.XLOOKUP(M278,Materials!$A$3:$A$292,Materials!$I$3:$I$292),0)
+IFERROR(P278/_xludf.XLOOKUP(O278,Materials!$A$3:$A$292,Materials!$I$3:$I$292),0)
+IFERROR(R278/_xludf.XLOOKUP(Q278,Materials!$A$3:$A$292,Materials!$I$3:$I$292),0)
+IFERROR(H278/_xludf.XLOOKUP(G278,Materials!$A$3:$A$292,Materials!$I$3:$I$292),0)</f>
        <v>0</v>
      </c>
      <c r="AC278" s="20"/>
      <c r="AD278" s="20"/>
      <c r="AE278" s="20"/>
      <c r="AF278" s="20"/>
      <c r="AG278" s="20"/>
      <c r="AH278" s="20"/>
      <c r="AI278" s="20"/>
      <c r="AJ278" s="20"/>
      <c r="AK278" s="20"/>
      <c r="AL278" s="20"/>
      <c r="AM278" s="20"/>
      <c r="AN278" s="20"/>
      <c r="AO278" s="20"/>
      <c r="AP278" s="20"/>
      <c r="AQ278" s="20"/>
      <c r="AR278" s="20"/>
      <c r="AS278" s="20"/>
      <c r="AT278" s="20"/>
      <c r="AU278" s="20"/>
      <c r="AV278" s="20"/>
    </row>
    <row r="279" spans="1:48" ht="17.25" customHeight="1">
      <c r="A279" s="15" t="s">
        <v>5805</v>
      </c>
      <c r="B279" s="124" t="s">
        <v>154</v>
      </c>
      <c r="C279" s="124" t="s">
        <v>5524</v>
      </c>
      <c r="D279" s="125" t="e">
        <f t="shared" ca="1" si="4"/>
        <v>#NAME?</v>
      </c>
      <c r="E279" s="126" t="str">
        <f t="shared" ca="1" si="5"/>
        <v>Not enough information entered</v>
      </c>
      <c r="F279" s="124" t="s">
        <v>6282</v>
      </c>
      <c r="G279" s="124" t="s">
        <v>5211</v>
      </c>
      <c r="H279" s="126">
        <v>5.8999999999999997E-2</v>
      </c>
      <c r="I279" s="124" t="s">
        <v>5186</v>
      </c>
      <c r="J279" s="126">
        <v>0.15</v>
      </c>
      <c r="K279" s="124" t="s">
        <v>5196</v>
      </c>
      <c r="L279" s="124">
        <v>0.03</v>
      </c>
      <c r="M279" s="124"/>
      <c r="N279" s="124"/>
      <c r="O279" s="124"/>
      <c r="P279" s="124"/>
      <c r="Q279" s="124"/>
      <c r="R279" s="124"/>
      <c r="S279" s="124"/>
      <c r="T279" s="124"/>
      <c r="U279" s="124" t="s">
        <v>5523</v>
      </c>
      <c r="V279" s="127">
        <f t="shared" si="6"/>
        <v>0.23899999999999999</v>
      </c>
      <c r="W279" s="124"/>
      <c r="X279" s="124"/>
      <c r="Y279" s="124"/>
      <c r="Z279" s="124"/>
      <c r="AA279" s="124" t="e">
        <f t="shared" ca="1" si="7"/>
        <v>#NAME?</v>
      </c>
      <c r="AB279" s="126">
        <f t="array" aca="1" ref="AB279" ca="1">IFERROR(J279/_xludf.XLOOKUP(I279,Materials!$A$3:$A$292,Materials!$I$3:$I$292),0)
+IFERROR(L279/_xludf.XLOOKUP(K279,Materials!$A$3:$A$292,Materials!$I$3:$I$292),0)
+IFERROR(N279/_xludf.XLOOKUP(M279,Materials!$A$3:$A$292,Materials!$I$3:$I$292),0)
+IFERROR(P279/_xludf.XLOOKUP(O279,Materials!$A$3:$A$292,Materials!$I$3:$I$292),0)
+IFERROR(R279/_xludf.XLOOKUP(Q279,Materials!$A$3:$A$292,Materials!$I$3:$I$292),0)
+IFERROR(H279/_xludf.XLOOKUP(G279,Materials!$A$3:$A$292,Materials!$I$3:$I$292),0)</f>
        <v>0</v>
      </c>
      <c r="AC279" s="20"/>
      <c r="AD279" s="20"/>
      <c r="AE279" s="20"/>
      <c r="AF279" s="20"/>
      <c r="AG279" s="20"/>
      <c r="AH279" s="20"/>
      <c r="AI279" s="20"/>
      <c r="AJ279" s="20"/>
      <c r="AK279" s="20"/>
      <c r="AL279" s="20"/>
      <c r="AM279" s="20"/>
      <c r="AN279" s="20"/>
      <c r="AO279" s="20"/>
      <c r="AP279" s="20"/>
      <c r="AQ279" s="20"/>
      <c r="AR279" s="20"/>
      <c r="AS279" s="20"/>
      <c r="AT279" s="20"/>
      <c r="AU279" s="20"/>
      <c r="AV279" s="20"/>
    </row>
    <row r="280" spans="1:48" ht="17.25" hidden="1" customHeight="1">
      <c r="A280" s="15" t="s">
        <v>5805</v>
      </c>
      <c r="B280" s="124" t="s">
        <v>160</v>
      </c>
      <c r="C280" s="124" t="s">
        <v>5526</v>
      </c>
      <c r="D280" s="125" t="e">
        <f t="shared" ca="1" si="4"/>
        <v>#NAME?</v>
      </c>
      <c r="E280" s="126" t="str">
        <f t="shared" ca="1" si="5"/>
        <v>Not enough information entered</v>
      </c>
      <c r="F280" s="124" t="s">
        <v>6625</v>
      </c>
      <c r="G280" s="124" t="s">
        <v>5211</v>
      </c>
      <c r="H280" s="126">
        <v>5.8000000000000003E-2</v>
      </c>
      <c r="I280" s="124" t="s">
        <v>5186</v>
      </c>
      <c r="J280" s="126">
        <v>0.18</v>
      </c>
      <c r="K280" s="124" t="s">
        <v>5196</v>
      </c>
      <c r="L280" s="124">
        <v>0.03</v>
      </c>
      <c r="M280" s="124"/>
      <c r="N280" s="124"/>
      <c r="O280" s="124"/>
      <c r="P280" s="124"/>
      <c r="Q280" s="124"/>
      <c r="R280" s="124"/>
      <c r="S280" s="124"/>
      <c r="T280" s="124"/>
      <c r="U280" s="124" t="s">
        <v>5523</v>
      </c>
      <c r="V280" s="127">
        <f t="shared" si="6"/>
        <v>0.26800000000000002</v>
      </c>
      <c r="W280" s="126">
        <v>0</v>
      </c>
      <c r="X280" s="126">
        <v>0</v>
      </c>
      <c r="Y280" s="126">
        <v>10</v>
      </c>
      <c r="Z280" s="124"/>
      <c r="AA280" s="124" t="e">
        <f t="shared" ca="1" si="7"/>
        <v>#NAME?</v>
      </c>
      <c r="AB280" s="126">
        <f t="array" aca="1" ref="AB280" ca="1">IFERROR(J280/_xludf.XLOOKUP(I280,Materials!$A$3:$A$292,Materials!$I$3:$I$292),0)
+IFERROR(L280/_xludf.XLOOKUP(K280,Materials!$A$3:$A$292,Materials!$I$3:$I$292),0)
+IFERROR(N280/_xludf.XLOOKUP(M280,Materials!$A$3:$A$292,Materials!$I$3:$I$292),0)
+IFERROR(P280/_xludf.XLOOKUP(O280,Materials!$A$3:$A$292,Materials!$I$3:$I$292),0)
+IFERROR(R280/_xludf.XLOOKUP(Q280,Materials!$A$3:$A$292,Materials!$I$3:$I$292),0)
+IFERROR(H280/_xludf.XLOOKUP(G280,Materials!$A$3:$A$292,Materials!$I$3:$I$292),0)</f>
        <v>0</v>
      </c>
      <c r="AC280" s="20"/>
      <c r="AD280" s="20"/>
      <c r="AE280" s="20"/>
      <c r="AF280" s="20"/>
      <c r="AG280" s="20"/>
      <c r="AH280" s="20"/>
      <c r="AI280" s="20"/>
      <c r="AJ280" s="20"/>
      <c r="AK280" s="20"/>
      <c r="AL280" s="20"/>
      <c r="AM280" s="20"/>
      <c r="AN280" s="20"/>
      <c r="AO280" s="20"/>
      <c r="AP280" s="20"/>
      <c r="AQ280" s="20"/>
      <c r="AR280" s="20"/>
      <c r="AS280" s="20"/>
      <c r="AT280" s="20"/>
      <c r="AU280" s="20"/>
      <c r="AV280" s="20"/>
    </row>
    <row r="281" spans="1:48" ht="17.25" hidden="1" customHeight="1">
      <c r="A281" s="15" t="s">
        <v>5806</v>
      </c>
      <c r="B281" s="124" t="s">
        <v>157</v>
      </c>
      <c r="C281" s="124" t="s">
        <v>5522</v>
      </c>
      <c r="D281" s="125" t="e">
        <f t="shared" ca="1" si="4"/>
        <v>#NAME?</v>
      </c>
      <c r="E281" s="126" t="str">
        <f t="shared" ca="1" si="5"/>
        <v>Not enough information entered</v>
      </c>
      <c r="F281" s="124" t="s">
        <v>6432</v>
      </c>
      <c r="G281" s="124" t="s">
        <v>5211</v>
      </c>
      <c r="H281" s="126">
        <v>0.06</v>
      </c>
      <c r="I281" s="124" t="s">
        <v>5186</v>
      </c>
      <c r="J281" s="126">
        <v>0.18</v>
      </c>
      <c r="K281" s="124" t="s">
        <v>5204</v>
      </c>
      <c r="L281" s="126">
        <v>0.02</v>
      </c>
      <c r="M281" s="124" t="s">
        <v>5200</v>
      </c>
      <c r="N281" s="126">
        <v>1.2E-2</v>
      </c>
      <c r="O281" s="124"/>
      <c r="P281" s="124"/>
      <c r="Q281" s="124"/>
      <c r="R281" s="124"/>
      <c r="S281" s="124"/>
      <c r="T281" s="124"/>
      <c r="U281" s="124" t="s">
        <v>5523</v>
      </c>
      <c r="V281" s="127">
        <f t="shared" si="6"/>
        <v>0.27200000000000002</v>
      </c>
      <c r="W281" s="126">
        <v>0</v>
      </c>
      <c r="X281" s="126">
        <v>0</v>
      </c>
      <c r="Y281" s="126">
        <v>10</v>
      </c>
      <c r="Z281" s="124"/>
      <c r="AA281" s="124" t="e">
        <f t="shared" ca="1" si="7"/>
        <v>#NAME?</v>
      </c>
      <c r="AB281" s="126">
        <f t="array" aca="1" ref="AB281" ca="1">IFERROR(J281/_xludf.XLOOKUP(I281,Materials!$A$3:$A$292,Materials!$I$3:$I$292),0)
+IFERROR(L281/_xludf.XLOOKUP(K281,Materials!$A$3:$A$292,Materials!$I$3:$I$292),0)
+IFERROR(N281/_xludf.XLOOKUP(M281,Materials!$A$3:$A$292,Materials!$I$3:$I$292),0)
+IFERROR(P281/_xludf.XLOOKUP(O281,Materials!$A$3:$A$292,Materials!$I$3:$I$292),0)
+IFERROR(R281/_xludf.XLOOKUP(Q281,Materials!$A$3:$A$292,Materials!$I$3:$I$292),0)
+IFERROR(H281/_xludf.XLOOKUP(G281,Materials!$A$3:$A$292,Materials!$I$3:$I$292),0)</f>
        <v>0</v>
      </c>
      <c r="AC281" s="20"/>
      <c r="AD281" s="20"/>
      <c r="AE281" s="20"/>
      <c r="AF281" s="20"/>
      <c r="AG281" s="20"/>
      <c r="AH281" s="20"/>
      <c r="AI281" s="20"/>
      <c r="AJ281" s="20"/>
      <c r="AK281" s="20"/>
      <c r="AL281" s="20"/>
      <c r="AM281" s="20"/>
      <c r="AN281" s="20"/>
      <c r="AO281" s="20"/>
      <c r="AP281" s="20"/>
      <c r="AQ281" s="20"/>
      <c r="AR281" s="20"/>
      <c r="AS281" s="20"/>
      <c r="AT281" s="20"/>
      <c r="AU281" s="20"/>
      <c r="AV281" s="20"/>
    </row>
    <row r="282" spans="1:48" ht="17.25" customHeight="1">
      <c r="A282" s="15" t="s">
        <v>5806</v>
      </c>
      <c r="B282" s="124" t="s">
        <v>154</v>
      </c>
      <c r="C282" s="124" t="s">
        <v>5524</v>
      </c>
      <c r="D282" s="125" t="e">
        <f t="shared" ca="1" si="4"/>
        <v>#NAME?</v>
      </c>
      <c r="E282" s="126" t="str">
        <f t="shared" ca="1" si="5"/>
        <v>Not enough information entered</v>
      </c>
      <c r="F282" s="124" t="s">
        <v>6283</v>
      </c>
      <c r="G282" s="124" t="s">
        <v>5211</v>
      </c>
      <c r="H282" s="126">
        <v>7.8E-2</v>
      </c>
      <c r="I282" s="124" t="s">
        <v>5186</v>
      </c>
      <c r="J282" s="126">
        <v>0.15</v>
      </c>
      <c r="K282" s="124" t="s">
        <v>5196</v>
      </c>
      <c r="L282" s="124">
        <v>0.03</v>
      </c>
      <c r="M282" s="124"/>
      <c r="N282" s="124"/>
      <c r="O282" s="124"/>
      <c r="P282" s="124"/>
      <c r="Q282" s="124"/>
      <c r="R282" s="124"/>
      <c r="S282" s="124"/>
      <c r="T282" s="124"/>
      <c r="U282" s="124" t="s">
        <v>5523</v>
      </c>
      <c r="V282" s="127">
        <f t="shared" si="6"/>
        <v>0.25800000000000001</v>
      </c>
      <c r="W282" s="124"/>
      <c r="X282" s="124"/>
      <c r="Y282" s="124"/>
      <c r="Z282" s="124"/>
      <c r="AA282" s="124" t="e">
        <f t="shared" ca="1" si="7"/>
        <v>#NAME?</v>
      </c>
      <c r="AB282" s="126">
        <f t="array" aca="1" ref="AB282" ca="1">IFERROR(J282/_xludf.XLOOKUP(I282,Materials!$A$3:$A$292,Materials!$I$3:$I$292),0)
+IFERROR(L282/_xludf.XLOOKUP(K282,Materials!$A$3:$A$292,Materials!$I$3:$I$292),0)
+IFERROR(N282/_xludf.XLOOKUP(M282,Materials!$A$3:$A$292,Materials!$I$3:$I$292),0)
+IFERROR(P282/_xludf.XLOOKUP(O282,Materials!$A$3:$A$292,Materials!$I$3:$I$292),0)
+IFERROR(R282/_xludf.XLOOKUP(Q282,Materials!$A$3:$A$292,Materials!$I$3:$I$292),0)
+IFERROR(H282/_xludf.XLOOKUP(G282,Materials!$A$3:$A$292,Materials!$I$3:$I$292),0)</f>
        <v>0</v>
      </c>
      <c r="AC282" s="20"/>
      <c r="AD282" s="20"/>
      <c r="AE282" s="20"/>
      <c r="AF282" s="20"/>
      <c r="AG282" s="20"/>
      <c r="AH282" s="20"/>
      <c r="AI282" s="20"/>
      <c r="AJ282" s="20"/>
      <c r="AK282" s="20"/>
      <c r="AL282" s="20"/>
      <c r="AM282" s="20"/>
      <c r="AN282" s="20"/>
      <c r="AO282" s="20"/>
      <c r="AP282" s="20"/>
      <c r="AQ282" s="20"/>
      <c r="AR282" s="20"/>
      <c r="AS282" s="20"/>
      <c r="AT282" s="20"/>
      <c r="AU282" s="20"/>
      <c r="AV282" s="20"/>
    </row>
    <row r="283" spans="1:48" ht="17.25" hidden="1" customHeight="1">
      <c r="A283" s="15" t="s">
        <v>5806</v>
      </c>
      <c r="B283" s="124" t="s">
        <v>160</v>
      </c>
      <c r="C283" s="124" t="s">
        <v>5526</v>
      </c>
      <c r="D283" s="125" t="e">
        <f t="shared" ca="1" si="4"/>
        <v>#NAME?</v>
      </c>
      <c r="E283" s="126" t="str">
        <f t="shared" ca="1" si="5"/>
        <v>Not enough information entered</v>
      </c>
      <c r="F283" s="124" t="s">
        <v>6626</v>
      </c>
      <c r="G283" s="124" t="s">
        <v>5211</v>
      </c>
      <c r="H283" s="126">
        <v>7.6999999999999999E-2</v>
      </c>
      <c r="I283" s="124" t="s">
        <v>5186</v>
      </c>
      <c r="J283" s="126">
        <v>0.18</v>
      </c>
      <c r="K283" s="124" t="s">
        <v>5196</v>
      </c>
      <c r="L283" s="124">
        <v>0.03</v>
      </c>
      <c r="M283" s="124"/>
      <c r="N283" s="124"/>
      <c r="O283" s="124"/>
      <c r="P283" s="124"/>
      <c r="Q283" s="124"/>
      <c r="R283" s="124"/>
      <c r="S283" s="124"/>
      <c r="T283" s="124"/>
      <c r="U283" s="124" t="s">
        <v>5523</v>
      </c>
      <c r="V283" s="127">
        <f t="shared" si="6"/>
        <v>0.28700000000000003</v>
      </c>
      <c r="W283" s="126">
        <v>0</v>
      </c>
      <c r="X283" s="126">
        <v>0</v>
      </c>
      <c r="Y283" s="126">
        <v>10</v>
      </c>
      <c r="Z283" s="124"/>
      <c r="AA283" s="124" t="e">
        <f t="shared" ca="1" si="7"/>
        <v>#NAME?</v>
      </c>
      <c r="AB283" s="126">
        <f t="array" aca="1" ref="AB283" ca="1">IFERROR(J283/_xludf.XLOOKUP(I283,Materials!$A$3:$A$292,Materials!$I$3:$I$292),0)
+IFERROR(L283/_xludf.XLOOKUP(K283,Materials!$A$3:$A$292,Materials!$I$3:$I$292),0)
+IFERROR(N283/_xludf.XLOOKUP(M283,Materials!$A$3:$A$292,Materials!$I$3:$I$292),0)
+IFERROR(P283/_xludf.XLOOKUP(O283,Materials!$A$3:$A$292,Materials!$I$3:$I$292),0)
+IFERROR(R283/_xludf.XLOOKUP(Q283,Materials!$A$3:$A$292,Materials!$I$3:$I$292),0)
+IFERROR(H283/_xludf.XLOOKUP(G283,Materials!$A$3:$A$292,Materials!$I$3:$I$292),0)</f>
        <v>0</v>
      </c>
      <c r="AC283" s="20"/>
      <c r="AD283" s="20"/>
      <c r="AE283" s="20"/>
      <c r="AF283" s="20"/>
      <c r="AG283" s="20"/>
      <c r="AH283" s="20"/>
      <c r="AI283" s="20"/>
      <c r="AJ283" s="20"/>
      <c r="AK283" s="20"/>
      <c r="AL283" s="20"/>
      <c r="AM283" s="20"/>
      <c r="AN283" s="20"/>
      <c r="AO283" s="20"/>
      <c r="AP283" s="20"/>
      <c r="AQ283" s="20"/>
      <c r="AR283" s="20"/>
      <c r="AS283" s="20"/>
      <c r="AT283" s="20"/>
      <c r="AU283" s="20"/>
      <c r="AV283" s="20"/>
    </row>
    <row r="284" spans="1:48" ht="17.25" hidden="1" customHeight="1">
      <c r="A284" s="15" t="s">
        <v>5807</v>
      </c>
      <c r="B284" s="124" t="s">
        <v>157</v>
      </c>
      <c r="C284" s="124" t="s">
        <v>5522</v>
      </c>
      <c r="D284" s="125" t="e">
        <f t="shared" ca="1" si="4"/>
        <v>#NAME?</v>
      </c>
      <c r="E284" s="126" t="str">
        <f t="shared" ca="1" si="5"/>
        <v>Not enough information entered</v>
      </c>
      <c r="F284" s="124" t="s">
        <v>6433</v>
      </c>
      <c r="G284" s="124" t="s">
        <v>5211</v>
      </c>
      <c r="H284" s="126">
        <v>6.9000000000000006E-2</v>
      </c>
      <c r="I284" s="124" t="s">
        <v>5186</v>
      </c>
      <c r="J284" s="126">
        <v>0.18</v>
      </c>
      <c r="K284" s="124" t="s">
        <v>5204</v>
      </c>
      <c r="L284" s="126">
        <v>0.02</v>
      </c>
      <c r="M284" s="124" t="s">
        <v>5200</v>
      </c>
      <c r="N284" s="126">
        <v>1.2E-2</v>
      </c>
      <c r="O284" s="124"/>
      <c r="P284" s="124"/>
      <c r="Q284" s="124"/>
      <c r="R284" s="124"/>
      <c r="S284" s="124"/>
      <c r="T284" s="124"/>
      <c r="U284" s="124" t="s">
        <v>5523</v>
      </c>
      <c r="V284" s="127">
        <f t="shared" si="6"/>
        <v>0.28100000000000003</v>
      </c>
      <c r="W284" s="126">
        <v>0</v>
      </c>
      <c r="X284" s="126">
        <v>0</v>
      </c>
      <c r="Y284" s="126">
        <v>10</v>
      </c>
      <c r="Z284" s="124"/>
      <c r="AA284" s="124" t="e">
        <f t="shared" ca="1" si="7"/>
        <v>#NAME?</v>
      </c>
      <c r="AB284" s="126">
        <f t="array" aca="1" ref="AB284" ca="1">IFERROR(J284/_xludf.XLOOKUP(I284,Materials!$A$3:$A$292,Materials!$I$3:$I$292),0)
+IFERROR(L284/_xludf.XLOOKUP(K284,Materials!$A$3:$A$292,Materials!$I$3:$I$292),0)
+IFERROR(N284/_xludf.XLOOKUP(M284,Materials!$A$3:$A$292,Materials!$I$3:$I$292),0)
+IFERROR(P284/_xludf.XLOOKUP(O284,Materials!$A$3:$A$292,Materials!$I$3:$I$292),0)
+IFERROR(R284/_xludf.XLOOKUP(Q284,Materials!$A$3:$A$292,Materials!$I$3:$I$292),0)
+IFERROR(H284/_xludf.XLOOKUP(G284,Materials!$A$3:$A$292,Materials!$I$3:$I$292),0)</f>
        <v>0</v>
      </c>
      <c r="AC284" s="20"/>
      <c r="AD284" s="20"/>
      <c r="AE284" s="20"/>
      <c r="AF284" s="20"/>
      <c r="AG284" s="20"/>
      <c r="AH284" s="20"/>
      <c r="AI284" s="20"/>
      <c r="AJ284" s="20"/>
      <c r="AK284" s="20"/>
      <c r="AL284" s="20"/>
      <c r="AM284" s="20"/>
      <c r="AN284" s="20"/>
      <c r="AO284" s="20"/>
      <c r="AP284" s="20"/>
      <c r="AQ284" s="20"/>
      <c r="AR284" s="20"/>
      <c r="AS284" s="20"/>
      <c r="AT284" s="20"/>
      <c r="AU284" s="20"/>
      <c r="AV284" s="20"/>
    </row>
    <row r="285" spans="1:48" ht="17.25" customHeight="1">
      <c r="A285" s="15" t="s">
        <v>5807</v>
      </c>
      <c r="B285" s="124" t="s">
        <v>154</v>
      </c>
      <c r="C285" s="124" t="s">
        <v>5524</v>
      </c>
      <c r="D285" s="125" t="e">
        <f t="shared" ca="1" si="4"/>
        <v>#NAME?</v>
      </c>
      <c r="E285" s="126" t="str">
        <f t="shared" ca="1" si="5"/>
        <v>Not enough information entered</v>
      </c>
      <c r="F285" s="124" t="s">
        <v>6284</v>
      </c>
      <c r="G285" s="124" t="s">
        <v>5211</v>
      </c>
      <c r="H285" s="126">
        <v>9.4E-2</v>
      </c>
      <c r="I285" s="124" t="s">
        <v>5186</v>
      </c>
      <c r="J285" s="126">
        <v>0.15</v>
      </c>
      <c r="K285" s="124" t="s">
        <v>5196</v>
      </c>
      <c r="L285" s="124">
        <v>0.03</v>
      </c>
      <c r="M285" s="124"/>
      <c r="N285" s="124"/>
      <c r="O285" s="124"/>
      <c r="P285" s="124"/>
      <c r="Q285" s="124"/>
      <c r="R285" s="124"/>
      <c r="S285" s="124"/>
      <c r="T285" s="124"/>
      <c r="U285" s="124" t="s">
        <v>5523</v>
      </c>
      <c r="V285" s="127">
        <f t="shared" si="6"/>
        <v>0.27400000000000002</v>
      </c>
      <c r="W285" s="124"/>
      <c r="X285" s="124"/>
      <c r="Y285" s="124"/>
      <c r="Z285" s="124"/>
      <c r="AA285" s="124" t="e">
        <f t="shared" ca="1" si="7"/>
        <v>#NAME?</v>
      </c>
      <c r="AB285" s="126">
        <f t="array" aca="1" ref="AB285" ca="1">IFERROR(J285/_xludf.XLOOKUP(I285,Materials!$A$3:$A$292,Materials!$I$3:$I$292),0)
+IFERROR(L285/_xludf.XLOOKUP(K285,Materials!$A$3:$A$292,Materials!$I$3:$I$292),0)
+IFERROR(N285/_xludf.XLOOKUP(M285,Materials!$A$3:$A$292,Materials!$I$3:$I$292),0)
+IFERROR(P285/_xludf.XLOOKUP(O285,Materials!$A$3:$A$292,Materials!$I$3:$I$292),0)
+IFERROR(R285/_xludf.XLOOKUP(Q285,Materials!$A$3:$A$292,Materials!$I$3:$I$292),0)
+IFERROR(H285/_xludf.XLOOKUP(G285,Materials!$A$3:$A$292,Materials!$I$3:$I$292),0)</f>
        <v>0</v>
      </c>
      <c r="AC285" s="20"/>
      <c r="AD285" s="20"/>
      <c r="AE285" s="20"/>
      <c r="AF285" s="20"/>
      <c r="AG285" s="20"/>
      <c r="AH285" s="20"/>
      <c r="AI285" s="20"/>
      <c r="AJ285" s="20"/>
      <c r="AK285" s="20"/>
      <c r="AL285" s="20"/>
      <c r="AM285" s="20"/>
      <c r="AN285" s="20"/>
      <c r="AO285" s="20"/>
      <c r="AP285" s="20"/>
      <c r="AQ285" s="20"/>
      <c r="AR285" s="20"/>
      <c r="AS285" s="20"/>
      <c r="AT285" s="20"/>
      <c r="AU285" s="20"/>
      <c r="AV285" s="20"/>
    </row>
    <row r="286" spans="1:48" ht="17.25" hidden="1" customHeight="1">
      <c r="A286" s="15" t="s">
        <v>5807</v>
      </c>
      <c r="B286" s="124" t="s">
        <v>160</v>
      </c>
      <c r="C286" s="124" t="s">
        <v>5526</v>
      </c>
      <c r="D286" s="125" t="e">
        <f t="shared" ca="1" si="4"/>
        <v>#NAME?</v>
      </c>
      <c r="E286" s="126" t="str">
        <f t="shared" ca="1" si="5"/>
        <v>Not enough information entered</v>
      </c>
      <c r="F286" s="124" t="s">
        <v>6627</v>
      </c>
      <c r="G286" s="124" t="s">
        <v>5211</v>
      </c>
      <c r="H286" s="126">
        <v>9.2999999999999999E-2</v>
      </c>
      <c r="I286" s="124" t="s">
        <v>5186</v>
      </c>
      <c r="J286" s="126">
        <v>0.18</v>
      </c>
      <c r="K286" s="124" t="s">
        <v>5196</v>
      </c>
      <c r="L286" s="124">
        <v>0.03</v>
      </c>
      <c r="M286" s="124"/>
      <c r="N286" s="124"/>
      <c r="O286" s="124"/>
      <c r="P286" s="124"/>
      <c r="Q286" s="124"/>
      <c r="R286" s="124"/>
      <c r="S286" s="124"/>
      <c r="T286" s="124"/>
      <c r="U286" s="124" t="s">
        <v>5523</v>
      </c>
      <c r="V286" s="127">
        <f t="shared" si="6"/>
        <v>0.30300000000000005</v>
      </c>
      <c r="W286" s="126">
        <v>0</v>
      </c>
      <c r="X286" s="126">
        <v>0</v>
      </c>
      <c r="Y286" s="126">
        <v>10</v>
      </c>
      <c r="Z286" s="124"/>
      <c r="AA286" s="124" t="e">
        <f t="shared" ca="1" si="7"/>
        <v>#NAME?</v>
      </c>
      <c r="AB286" s="126">
        <f t="array" aca="1" ref="AB286" ca="1">IFERROR(J286/_xludf.XLOOKUP(I286,Materials!$A$3:$A$292,Materials!$I$3:$I$292),0)
+IFERROR(L286/_xludf.XLOOKUP(K286,Materials!$A$3:$A$292,Materials!$I$3:$I$292),0)
+IFERROR(N286/_xludf.XLOOKUP(M286,Materials!$A$3:$A$292,Materials!$I$3:$I$292),0)
+IFERROR(P286/_xludf.XLOOKUP(O286,Materials!$A$3:$A$292,Materials!$I$3:$I$292),0)
+IFERROR(R286/_xludf.XLOOKUP(Q286,Materials!$A$3:$A$292,Materials!$I$3:$I$292),0)
+IFERROR(H286/_xludf.XLOOKUP(G286,Materials!$A$3:$A$292,Materials!$I$3:$I$292),0)</f>
        <v>0</v>
      </c>
      <c r="AC286" s="20"/>
      <c r="AD286" s="20"/>
      <c r="AE286" s="20"/>
      <c r="AF286" s="20"/>
      <c r="AG286" s="20"/>
      <c r="AH286" s="20"/>
      <c r="AI286" s="20"/>
      <c r="AJ286" s="20"/>
      <c r="AK286" s="20"/>
      <c r="AL286" s="20"/>
      <c r="AM286" s="20"/>
      <c r="AN286" s="20"/>
      <c r="AO286" s="20"/>
      <c r="AP286" s="20"/>
      <c r="AQ286" s="20"/>
      <c r="AR286" s="20"/>
      <c r="AS286" s="20"/>
      <c r="AT286" s="20"/>
      <c r="AU286" s="20"/>
      <c r="AV286" s="20"/>
    </row>
    <row r="287" spans="1:48" ht="17.25" hidden="1" customHeight="1">
      <c r="A287" s="15" t="s">
        <v>4857</v>
      </c>
      <c r="B287" s="124" t="s">
        <v>158</v>
      </c>
      <c r="C287" s="124" t="s">
        <v>5527</v>
      </c>
      <c r="D287" s="125" t="e">
        <f t="shared" ca="1" si="4"/>
        <v>#NAME?</v>
      </c>
      <c r="E287" s="126" t="str">
        <f t="shared" ca="1" si="5"/>
        <v>Not enough information entered</v>
      </c>
      <c r="F287" s="124" t="s">
        <v>6350</v>
      </c>
      <c r="G287" s="124" t="s">
        <v>5200</v>
      </c>
      <c r="H287" s="124">
        <v>1.2500000000000001E-2</v>
      </c>
      <c r="I287" s="124" t="s">
        <v>5204</v>
      </c>
      <c r="J287" s="124">
        <v>0.05</v>
      </c>
      <c r="K287" s="124" t="s">
        <v>5200</v>
      </c>
      <c r="L287" s="124">
        <v>1.2500000000000001E-2</v>
      </c>
      <c r="M287" s="124"/>
      <c r="N287" s="124"/>
      <c r="O287" s="124"/>
      <c r="P287" s="124"/>
      <c r="Q287" s="124"/>
      <c r="R287" s="124"/>
      <c r="S287" s="124"/>
      <c r="T287" s="124"/>
      <c r="U287" s="124" t="s">
        <v>5523</v>
      </c>
      <c r="V287" s="127">
        <f t="shared" si="6"/>
        <v>7.4999999999999997E-2</v>
      </c>
      <c r="W287" s="124"/>
      <c r="X287" s="124"/>
      <c r="Y287" s="124"/>
      <c r="Z287" s="124"/>
      <c r="AA287" s="124" t="e">
        <f t="shared" ca="1" si="7"/>
        <v>#NAME?</v>
      </c>
      <c r="AB287" s="126">
        <f t="array" aca="1" ref="AB287" ca="1">IFERROR(J287/_xludf.XLOOKUP(I287,Materials!$A$3:$A$292,Materials!$I$3:$I$292),0)
+IFERROR(L287/_xludf.XLOOKUP(K287,Materials!$A$3:$A$292,Materials!$I$3:$I$292),0)
+IFERROR(N287/_xludf.XLOOKUP(M287,Materials!$A$3:$A$292,Materials!$I$3:$I$292),0)
+IFERROR(P287/_xludf.XLOOKUP(O287,Materials!$A$3:$A$292,Materials!$I$3:$I$292),0)
+IFERROR(R287/_xludf.XLOOKUP(Q287,Materials!$A$3:$A$292,Materials!$I$3:$I$292),0)
+IFERROR(H287/_xludf.XLOOKUP(G287,Materials!$A$3:$A$292,Materials!$I$3:$I$292),0)</f>
        <v>0</v>
      </c>
      <c r="AC287" s="20"/>
      <c r="AD287" s="20"/>
      <c r="AE287" s="20"/>
      <c r="AF287" s="20"/>
      <c r="AG287" s="20"/>
      <c r="AH287" s="20"/>
      <c r="AI287" s="20"/>
      <c r="AJ287" s="20"/>
      <c r="AK287" s="20"/>
      <c r="AL287" s="20"/>
      <c r="AM287" s="20"/>
      <c r="AN287" s="20"/>
      <c r="AO287" s="20"/>
      <c r="AP287" s="20"/>
      <c r="AQ287" s="20"/>
      <c r="AR287" s="20"/>
      <c r="AS287" s="20"/>
      <c r="AT287" s="20"/>
      <c r="AU287" s="20"/>
      <c r="AV287" s="20"/>
    </row>
    <row r="288" spans="1:48" ht="17.25" hidden="1" customHeight="1">
      <c r="A288" s="15" t="s">
        <v>4857</v>
      </c>
      <c r="B288" s="124" t="s">
        <v>162</v>
      </c>
      <c r="C288" s="124" t="s">
        <v>5529</v>
      </c>
      <c r="D288" s="125" t="e">
        <f t="shared" ca="1" si="4"/>
        <v>#NAME?</v>
      </c>
      <c r="E288" s="126" t="str">
        <f t="shared" ca="1" si="5"/>
        <v>Not enough information entered</v>
      </c>
      <c r="F288" s="124" t="s">
        <v>6559</v>
      </c>
      <c r="G288" s="124" t="s">
        <v>5186</v>
      </c>
      <c r="H288" s="124">
        <v>0.18</v>
      </c>
      <c r="I288" s="124" t="s">
        <v>5196</v>
      </c>
      <c r="J288" s="124">
        <v>0.03</v>
      </c>
      <c r="K288" s="124"/>
      <c r="L288" s="124"/>
      <c r="M288" s="124"/>
      <c r="N288" s="124"/>
      <c r="O288" s="124"/>
      <c r="P288" s="124"/>
      <c r="Q288" s="124"/>
      <c r="R288" s="124"/>
      <c r="S288" s="124"/>
      <c r="T288" s="124"/>
      <c r="U288" s="124" t="s">
        <v>5523</v>
      </c>
      <c r="V288" s="127">
        <f t="shared" si="6"/>
        <v>0.21</v>
      </c>
      <c r="W288" s="124"/>
      <c r="X288" s="124"/>
      <c r="Y288" s="124"/>
      <c r="Z288" s="124"/>
      <c r="AA288" s="124" t="e">
        <f t="shared" ca="1" si="7"/>
        <v>#NAME?</v>
      </c>
      <c r="AB288" s="126">
        <f t="array" aca="1" ref="AB288" ca="1">IFERROR(J288/_xludf.XLOOKUP(I288,Materials!$A$3:$A$292,Materials!$I$3:$I$292),0)
+IFERROR(L288/_xludf.XLOOKUP(K288,Materials!$A$3:$A$292,Materials!$I$3:$I$292),0)
+IFERROR(N288/_xludf.XLOOKUP(M288,Materials!$A$3:$A$292,Materials!$I$3:$I$292),0)
+IFERROR(P288/_xludf.XLOOKUP(O288,Materials!$A$3:$A$292,Materials!$I$3:$I$292),0)
+IFERROR(R288/_xludf.XLOOKUP(Q288,Materials!$A$3:$A$292,Materials!$I$3:$I$292),0)
+IFERROR(H288/_xludf.XLOOKUP(G288,Materials!$A$3:$A$292,Materials!$I$3:$I$292),0)</f>
        <v>0</v>
      </c>
      <c r="AC288" s="20"/>
      <c r="AD288" s="20"/>
      <c r="AE288" s="20"/>
      <c r="AF288" s="20"/>
      <c r="AG288" s="20"/>
      <c r="AH288" s="20"/>
      <c r="AI288" s="20"/>
      <c r="AJ288" s="20"/>
      <c r="AK288" s="20"/>
      <c r="AL288" s="20"/>
      <c r="AM288" s="20"/>
      <c r="AN288" s="20"/>
      <c r="AO288" s="20"/>
      <c r="AP288" s="20"/>
      <c r="AQ288" s="20"/>
      <c r="AR288" s="20"/>
      <c r="AS288" s="20"/>
      <c r="AT288" s="20"/>
      <c r="AU288" s="20"/>
      <c r="AV288" s="20"/>
    </row>
    <row r="289" spans="1:48" ht="17.25" hidden="1" customHeight="1">
      <c r="A289" s="15" t="s">
        <v>4857</v>
      </c>
      <c r="B289" s="124" t="s">
        <v>159</v>
      </c>
      <c r="C289" s="124" t="s">
        <v>5530</v>
      </c>
      <c r="D289" s="125" t="e">
        <f t="shared" ca="1" si="4"/>
        <v>#NAME?</v>
      </c>
      <c r="E289" s="126" t="str">
        <f t="shared" ca="1" si="5"/>
        <v>Not enough information entered</v>
      </c>
      <c r="F289" s="124" t="s">
        <v>6664</v>
      </c>
      <c r="G289" s="124" t="s">
        <v>5186</v>
      </c>
      <c r="H289" s="124">
        <v>0.2</v>
      </c>
      <c r="I289" s="124" t="s">
        <v>5211</v>
      </c>
      <c r="J289" s="124">
        <v>0.05</v>
      </c>
      <c r="K289" s="124"/>
      <c r="L289" s="124"/>
      <c r="M289" s="124"/>
      <c r="N289" s="124"/>
      <c r="O289" s="124"/>
      <c r="P289" s="124"/>
      <c r="Q289" s="124"/>
      <c r="R289" s="124"/>
      <c r="S289" s="124"/>
      <c r="T289" s="124"/>
      <c r="U289" s="124" t="s">
        <v>5523</v>
      </c>
      <c r="V289" s="127">
        <f t="shared" si="6"/>
        <v>0.25</v>
      </c>
      <c r="W289" s="124"/>
      <c r="X289" s="124"/>
      <c r="Y289" s="124"/>
      <c r="Z289" s="124"/>
      <c r="AA289" s="124" t="e">
        <f t="shared" ca="1" si="7"/>
        <v>#NAME?</v>
      </c>
      <c r="AB289" s="126">
        <f t="array" aca="1" ref="AB289" ca="1">IFERROR(J289/_xludf.XLOOKUP(I289,Materials!$A$3:$A$292,Materials!$I$3:$I$292),0)
+IFERROR(L289/_xludf.XLOOKUP(K289,Materials!$A$3:$A$292,Materials!$I$3:$I$292),0)
+IFERROR(N289/_xludf.XLOOKUP(M289,Materials!$A$3:$A$292,Materials!$I$3:$I$292),0)
+IFERROR(P289/_xludf.XLOOKUP(O289,Materials!$A$3:$A$292,Materials!$I$3:$I$292),0)
+IFERROR(R289/_xludf.XLOOKUP(Q289,Materials!$A$3:$A$292,Materials!$I$3:$I$292),0)
+IFERROR(H289/_xludf.XLOOKUP(G289,Materials!$A$3:$A$292,Materials!$I$3:$I$292),0)</f>
        <v>0</v>
      </c>
      <c r="AC289" s="20"/>
      <c r="AD289" s="20"/>
      <c r="AE289" s="20"/>
      <c r="AF289" s="20"/>
      <c r="AG289" s="20"/>
      <c r="AH289" s="20"/>
      <c r="AI289" s="20"/>
      <c r="AJ289" s="20"/>
      <c r="AK289" s="20"/>
      <c r="AL289" s="20"/>
      <c r="AM289" s="20"/>
      <c r="AN289" s="20"/>
      <c r="AO289" s="20"/>
      <c r="AP289" s="20"/>
      <c r="AQ289" s="20"/>
      <c r="AR289" s="20"/>
      <c r="AS289" s="20"/>
      <c r="AT289" s="20"/>
      <c r="AU289" s="20"/>
      <c r="AV289" s="20"/>
    </row>
    <row r="290" spans="1:48" ht="17.25" hidden="1" customHeight="1">
      <c r="A290" s="15"/>
      <c r="B290" s="124"/>
      <c r="C290" s="124" t="s">
        <v>5532</v>
      </c>
      <c r="D290" s="125"/>
      <c r="E290" s="126"/>
      <c r="F290" s="124"/>
      <c r="G290" s="124"/>
      <c r="H290" s="124"/>
      <c r="I290" s="124"/>
      <c r="J290" s="124"/>
      <c r="K290" s="124"/>
      <c r="L290" s="124"/>
      <c r="M290" s="124"/>
      <c r="N290" s="124"/>
      <c r="O290" s="124"/>
      <c r="P290" s="124"/>
      <c r="Q290" s="124"/>
      <c r="R290" s="124"/>
      <c r="S290" s="124"/>
      <c r="T290" s="124"/>
      <c r="U290" s="124"/>
      <c r="V290" s="127"/>
      <c r="W290" s="124"/>
      <c r="X290" s="124"/>
      <c r="Y290" s="124"/>
      <c r="Z290" s="124"/>
      <c r="AA290" s="124"/>
      <c r="AB290" s="126"/>
      <c r="AC290" s="20"/>
      <c r="AD290" s="20"/>
      <c r="AE290" s="20"/>
      <c r="AF290" s="20"/>
      <c r="AG290" s="20"/>
      <c r="AH290" s="20"/>
      <c r="AI290" s="20"/>
      <c r="AJ290" s="20"/>
      <c r="AK290" s="20"/>
      <c r="AL290" s="20"/>
      <c r="AM290" s="20"/>
      <c r="AN290" s="20"/>
      <c r="AO290" s="20"/>
      <c r="AP290" s="20"/>
      <c r="AQ290" s="20"/>
      <c r="AR290" s="20"/>
      <c r="AS290" s="20"/>
      <c r="AT290" s="20"/>
      <c r="AU290" s="20"/>
      <c r="AV290" s="20"/>
    </row>
    <row r="291" spans="1:48" ht="17.25" hidden="1" customHeight="1">
      <c r="A291" s="15" t="s">
        <v>4857</v>
      </c>
      <c r="B291" s="124" t="s">
        <v>161</v>
      </c>
      <c r="C291" s="124" t="s">
        <v>5533</v>
      </c>
      <c r="D291" s="125" t="e">
        <f t="shared" ca="1" si="4"/>
        <v>#NAME?</v>
      </c>
      <c r="E291" s="126" t="str">
        <f t="shared" ca="1" si="5"/>
        <v>Not enough information entered</v>
      </c>
      <c r="F291" s="124" t="s">
        <v>6680</v>
      </c>
      <c r="G291" s="124" t="s">
        <v>5186</v>
      </c>
      <c r="H291" s="124">
        <v>0.18</v>
      </c>
      <c r="I291" s="124" t="s">
        <v>5207</v>
      </c>
      <c r="J291" s="124">
        <v>0.06</v>
      </c>
      <c r="K291" s="124" t="s">
        <v>5200</v>
      </c>
      <c r="L291" s="124">
        <v>1.2500000000000001E-2</v>
      </c>
      <c r="M291" s="124"/>
      <c r="N291" s="124"/>
      <c r="O291" s="124"/>
      <c r="P291" s="124"/>
      <c r="Q291" s="124"/>
      <c r="R291" s="124"/>
      <c r="S291" s="124"/>
      <c r="T291" s="124"/>
      <c r="U291" s="124" t="s">
        <v>5523</v>
      </c>
      <c r="V291" s="127">
        <f t="shared" si="6"/>
        <v>0.2525</v>
      </c>
      <c r="W291" s="124"/>
      <c r="X291" s="124"/>
      <c r="Y291" s="124"/>
      <c r="Z291" s="124"/>
      <c r="AA291" s="124" t="e">
        <f t="shared" ca="1" si="7"/>
        <v>#NAME?</v>
      </c>
      <c r="AB291" s="126">
        <f t="array" aca="1" ref="AB291" ca="1">IFERROR(J291/_xludf.XLOOKUP(I291,Materials!$A$3:$A$292,Materials!$I$3:$I$292),0)
+IFERROR(L291/_xludf.XLOOKUP(K291,Materials!$A$3:$A$292,Materials!$I$3:$I$292),0)
+IFERROR(N291/_xludf.XLOOKUP(M291,Materials!$A$3:$A$292,Materials!$I$3:$I$292),0)
+IFERROR(P291/_xludf.XLOOKUP(O291,Materials!$A$3:$A$292,Materials!$I$3:$I$292),0)
+IFERROR(R291/_xludf.XLOOKUP(Q291,Materials!$A$3:$A$292,Materials!$I$3:$I$292),0)
+IFERROR(H291/_xludf.XLOOKUP(G291,Materials!$A$3:$A$292,Materials!$I$3:$I$292),0)</f>
        <v>0</v>
      </c>
      <c r="AC291" s="20"/>
      <c r="AD291" s="20"/>
      <c r="AE291" s="20"/>
      <c r="AF291" s="20"/>
      <c r="AG291" s="20"/>
      <c r="AH291" s="20"/>
      <c r="AI291" s="20"/>
      <c r="AJ291" s="20"/>
      <c r="AK291" s="20"/>
      <c r="AL291" s="20"/>
      <c r="AM291" s="20"/>
      <c r="AN291" s="20"/>
      <c r="AO291" s="20"/>
      <c r="AP291" s="20"/>
      <c r="AQ291" s="20"/>
      <c r="AR291" s="20"/>
      <c r="AS291" s="20"/>
      <c r="AT291" s="20"/>
      <c r="AU291" s="20"/>
      <c r="AV291" s="20"/>
    </row>
    <row r="292" spans="1:48" ht="17.25" hidden="1" customHeight="1">
      <c r="A292" s="15" t="s">
        <v>5808</v>
      </c>
      <c r="B292" s="124" t="s">
        <v>157</v>
      </c>
      <c r="C292" s="124" t="s">
        <v>5522</v>
      </c>
      <c r="D292" s="125" t="e">
        <f t="shared" ca="1" si="4"/>
        <v>#NAME?</v>
      </c>
      <c r="E292" s="126" t="str">
        <f t="shared" ca="1" si="5"/>
        <v>Not enough information entered</v>
      </c>
      <c r="F292" s="124" t="s">
        <v>6434</v>
      </c>
      <c r="G292" s="124" t="s">
        <v>5186</v>
      </c>
      <c r="H292" s="126">
        <v>0.18</v>
      </c>
      <c r="I292" s="124" t="s">
        <v>5204</v>
      </c>
      <c r="J292" s="126">
        <v>0.02</v>
      </c>
      <c r="K292" s="124" t="s">
        <v>5200</v>
      </c>
      <c r="L292" s="126">
        <v>1.2E-2</v>
      </c>
      <c r="M292" s="124"/>
      <c r="N292" s="124"/>
      <c r="O292" s="124"/>
      <c r="P292" s="124"/>
      <c r="Q292" s="124"/>
      <c r="R292" s="124"/>
      <c r="S292" s="124"/>
      <c r="T292" s="124"/>
      <c r="U292" s="124" t="s">
        <v>5523</v>
      </c>
      <c r="V292" s="127">
        <f t="shared" si="6"/>
        <v>0.21199999999999999</v>
      </c>
      <c r="W292" s="126">
        <v>0</v>
      </c>
      <c r="X292" s="126">
        <v>0</v>
      </c>
      <c r="Y292" s="126">
        <v>10</v>
      </c>
      <c r="Z292" s="124"/>
      <c r="AA292" s="124" t="e">
        <f t="shared" ca="1" si="7"/>
        <v>#NAME?</v>
      </c>
      <c r="AB292" s="126">
        <f t="array" aca="1" ref="AB292" ca="1">IFERROR(J292/_xludf.XLOOKUP(I292,Materials!$A$3:$A$292,Materials!$I$3:$I$292),0)
+IFERROR(L292/_xludf.XLOOKUP(K292,Materials!$A$3:$A$292,Materials!$I$3:$I$292),0)
+IFERROR(N292/_xludf.XLOOKUP(M292,Materials!$A$3:$A$292,Materials!$I$3:$I$292),0)
+IFERROR(P292/_xludf.XLOOKUP(O292,Materials!$A$3:$A$292,Materials!$I$3:$I$292),0)
+IFERROR(R292/_xludf.XLOOKUP(Q292,Materials!$A$3:$A$292,Materials!$I$3:$I$292),0)
+IFERROR(H292/_xludf.XLOOKUP(G292,Materials!$A$3:$A$292,Materials!$I$3:$I$292),0)</f>
        <v>0</v>
      </c>
      <c r="AC292" s="20"/>
      <c r="AD292" s="20"/>
      <c r="AE292" s="20"/>
      <c r="AF292" s="20"/>
      <c r="AG292" s="20"/>
      <c r="AH292" s="20"/>
      <c r="AI292" s="20"/>
      <c r="AJ292" s="20"/>
      <c r="AK292" s="20"/>
      <c r="AL292" s="20"/>
      <c r="AM292" s="20"/>
      <c r="AN292" s="20"/>
      <c r="AO292" s="20"/>
      <c r="AP292" s="20"/>
      <c r="AQ292" s="20"/>
      <c r="AR292" s="20"/>
      <c r="AS292" s="20"/>
      <c r="AT292" s="20"/>
      <c r="AU292" s="20"/>
      <c r="AV292" s="20"/>
    </row>
    <row r="293" spans="1:48" ht="17.25" customHeight="1">
      <c r="A293" s="15" t="s">
        <v>5808</v>
      </c>
      <c r="B293" s="124" t="s">
        <v>154</v>
      </c>
      <c r="C293" s="124" t="s">
        <v>5524</v>
      </c>
      <c r="D293" s="125" t="e">
        <f t="shared" ca="1" si="4"/>
        <v>#NAME?</v>
      </c>
      <c r="E293" s="126" t="str">
        <f t="shared" ca="1" si="5"/>
        <v>Not enough information entered</v>
      </c>
      <c r="F293" s="124" t="s">
        <v>6285</v>
      </c>
      <c r="G293" s="124" t="s">
        <v>5186</v>
      </c>
      <c r="H293" s="126">
        <v>0.15</v>
      </c>
      <c r="I293" s="124" t="s">
        <v>5196</v>
      </c>
      <c r="J293" s="126">
        <v>0.03</v>
      </c>
      <c r="K293" s="124"/>
      <c r="L293" s="124"/>
      <c r="M293" s="124"/>
      <c r="N293" s="124"/>
      <c r="O293" s="124"/>
      <c r="P293" s="124"/>
      <c r="Q293" s="124"/>
      <c r="R293" s="124"/>
      <c r="S293" s="124"/>
      <c r="T293" s="124"/>
      <c r="U293" s="124" t="s">
        <v>5523</v>
      </c>
      <c r="V293" s="127">
        <f t="shared" si="6"/>
        <v>0.18</v>
      </c>
      <c r="W293" s="124"/>
      <c r="X293" s="124"/>
      <c r="Y293" s="124"/>
      <c r="Z293" s="124"/>
      <c r="AA293" s="124" t="e">
        <f t="shared" ca="1" si="7"/>
        <v>#NAME?</v>
      </c>
      <c r="AB293" s="126">
        <f t="array" aca="1" ref="AB293" ca="1">IFERROR(J293/_xludf.XLOOKUP(I293,Materials!$A$3:$A$292,Materials!$I$3:$I$292),0)
+IFERROR(L293/_xludf.XLOOKUP(K293,Materials!$A$3:$A$292,Materials!$I$3:$I$292),0)
+IFERROR(N293/_xludf.XLOOKUP(M293,Materials!$A$3:$A$292,Materials!$I$3:$I$292),0)
+IFERROR(P293/_xludf.XLOOKUP(O293,Materials!$A$3:$A$292,Materials!$I$3:$I$292),0)
+IFERROR(R293/_xludf.XLOOKUP(Q293,Materials!$A$3:$A$292,Materials!$I$3:$I$292),0)
+IFERROR(H293/_xludf.XLOOKUP(G293,Materials!$A$3:$A$292,Materials!$I$3:$I$292),0)</f>
        <v>0</v>
      </c>
      <c r="AC293" s="20"/>
      <c r="AD293" s="20"/>
      <c r="AE293" s="20"/>
      <c r="AF293" s="20"/>
      <c r="AG293" s="20"/>
      <c r="AH293" s="20"/>
      <c r="AI293" s="20"/>
      <c r="AJ293" s="20"/>
      <c r="AK293" s="20"/>
      <c r="AL293" s="20"/>
      <c r="AM293" s="20"/>
      <c r="AN293" s="20"/>
      <c r="AO293" s="20"/>
      <c r="AP293" s="20"/>
      <c r="AQ293" s="20"/>
      <c r="AR293" s="20"/>
      <c r="AS293" s="20"/>
      <c r="AT293" s="20"/>
      <c r="AU293" s="20"/>
      <c r="AV293" s="20"/>
    </row>
    <row r="294" spans="1:48" ht="17.25" hidden="1" customHeight="1">
      <c r="A294" s="15" t="s">
        <v>5808</v>
      </c>
      <c r="B294" s="124" t="s">
        <v>160</v>
      </c>
      <c r="C294" s="124" t="s">
        <v>5526</v>
      </c>
      <c r="D294" s="125" t="e">
        <f t="shared" ca="1" si="4"/>
        <v>#NAME?</v>
      </c>
      <c r="E294" s="126" t="str">
        <f t="shared" ca="1" si="5"/>
        <v>Not enough information entered</v>
      </c>
      <c r="F294" s="124" t="s">
        <v>6628</v>
      </c>
      <c r="G294" s="124" t="s">
        <v>5186</v>
      </c>
      <c r="H294" s="126">
        <v>0.18</v>
      </c>
      <c r="I294" s="124" t="s">
        <v>5196</v>
      </c>
      <c r="J294" s="126">
        <v>0.03</v>
      </c>
      <c r="K294" s="124"/>
      <c r="L294" s="124"/>
      <c r="M294" s="124"/>
      <c r="N294" s="124"/>
      <c r="O294" s="124"/>
      <c r="P294" s="124"/>
      <c r="Q294" s="124"/>
      <c r="R294" s="124"/>
      <c r="S294" s="124"/>
      <c r="T294" s="124"/>
      <c r="U294" s="124" t="s">
        <v>5523</v>
      </c>
      <c r="V294" s="127">
        <f t="shared" si="6"/>
        <v>0.21</v>
      </c>
      <c r="W294" s="126">
        <v>0</v>
      </c>
      <c r="X294" s="126">
        <v>0</v>
      </c>
      <c r="Y294" s="126">
        <v>10</v>
      </c>
      <c r="Z294" s="124"/>
      <c r="AA294" s="124" t="e">
        <f t="shared" ca="1" si="7"/>
        <v>#NAME?</v>
      </c>
      <c r="AB294" s="126">
        <f t="array" aca="1" ref="AB294" ca="1">IFERROR(J294/_xludf.XLOOKUP(I294,Materials!$A$3:$A$292,Materials!$I$3:$I$292),0)
+IFERROR(L294/_xludf.XLOOKUP(K294,Materials!$A$3:$A$292,Materials!$I$3:$I$292),0)
+IFERROR(N294/_xludf.XLOOKUP(M294,Materials!$A$3:$A$292,Materials!$I$3:$I$292),0)
+IFERROR(P294/_xludf.XLOOKUP(O294,Materials!$A$3:$A$292,Materials!$I$3:$I$292),0)
+IFERROR(R294/_xludf.XLOOKUP(Q294,Materials!$A$3:$A$292,Materials!$I$3:$I$292),0)
+IFERROR(H294/_xludf.XLOOKUP(G294,Materials!$A$3:$A$292,Materials!$I$3:$I$292),0)</f>
        <v>0</v>
      </c>
      <c r="AC294" s="20"/>
      <c r="AD294" s="20"/>
      <c r="AE294" s="20"/>
      <c r="AF294" s="20"/>
      <c r="AG294" s="20"/>
      <c r="AH294" s="20"/>
      <c r="AI294" s="20"/>
      <c r="AJ294" s="20"/>
      <c r="AK294" s="20"/>
      <c r="AL294" s="20"/>
      <c r="AM294" s="20"/>
      <c r="AN294" s="20"/>
      <c r="AO294" s="20"/>
      <c r="AP294" s="20"/>
      <c r="AQ294" s="20"/>
      <c r="AR294" s="20"/>
      <c r="AS294" s="20"/>
      <c r="AT294" s="20"/>
      <c r="AU294" s="20"/>
      <c r="AV294" s="20"/>
    </row>
    <row r="295" spans="1:48" ht="17.25" hidden="1" customHeight="1">
      <c r="A295" s="15" t="s">
        <v>5809</v>
      </c>
      <c r="B295" s="124" t="s">
        <v>157</v>
      </c>
      <c r="C295" s="124" t="s">
        <v>5522</v>
      </c>
      <c r="D295" s="125" t="e">
        <f t="shared" ca="1" si="4"/>
        <v>#NAME?</v>
      </c>
      <c r="E295" s="126" t="str">
        <f t="shared" ca="1" si="5"/>
        <v>Not enough information entered</v>
      </c>
      <c r="F295" s="124" t="s">
        <v>6435</v>
      </c>
      <c r="G295" s="124" t="s">
        <v>5211</v>
      </c>
      <c r="H295" s="126">
        <v>0.03</v>
      </c>
      <c r="I295" s="124" t="s">
        <v>5186</v>
      </c>
      <c r="J295" s="126">
        <v>0.18</v>
      </c>
      <c r="K295" s="124" t="s">
        <v>5204</v>
      </c>
      <c r="L295" s="126">
        <v>0.02</v>
      </c>
      <c r="M295" s="124" t="s">
        <v>5200</v>
      </c>
      <c r="N295" s="126">
        <v>1.2E-2</v>
      </c>
      <c r="O295" s="124"/>
      <c r="P295" s="124"/>
      <c r="Q295" s="124"/>
      <c r="R295" s="124"/>
      <c r="S295" s="124"/>
      <c r="T295" s="124"/>
      <c r="U295" s="124" t="s">
        <v>5523</v>
      </c>
      <c r="V295" s="127">
        <f t="shared" si="6"/>
        <v>0.24199999999999999</v>
      </c>
      <c r="W295" s="126">
        <v>0</v>
      </c>
      <c r="X295" s="126">
        <v>0</v>
      </c>
      <c r="Y295" s="126">
        <v>10</v>
      </c>
      <c r="Z295" s="124"/>
      <c r="AA295" s="124" t="e">
        <f t="shared" ca="1" si="7"/>
        <v>#NAME?</v>
      </c>
      <c r="AB295" s="126">
        <f t="array" aca="1" ref="AB295" ca="1">IFERROR(J295/_xludf.XLOOKUP(I295,Materials!$A$3:$A$292,Materials!$I$3:$I$292),0)
+IFERROR(L295/_xludf.XLOOKUP(K295,Materials!$A$3:$A$292,Materials!$I$3:$I$292),0)
+IFERROR(N295/_xludf.XLOOKUP(M295,Materials!$A$3:$A$292,Materials!$I$3:$I$292),0)
+IFERROR(P295/_xludf.XLOOKUP(O295,Materials!$A$3:$A$292,Materials!$I$3:$I$292),0)
+IFERROR(R295/_xludf.XLOOKUP(Q295,Materials!$A$3:$A$292,Materials!$I$3:$I$292),0)
+IFERROR(H295/_xludf.XLOOKUP(G295,Materials!$A$3:$A$292,Materials!$I$3:$I$292),0)</f>
        <v>0</v>
      </c>
      <c r="AC295" s="20"/>
      <c r="AD295" s="20"/>
      <c r="AE295" s="20"/>
      <c r="AF295" s="20"/>
      <c r="AG295" s="20"/>
      <c r="AH295" s="20"/>
      <c r="AI295" s="20"/>
      <c r="AJ295" s="20"/>
      <c r="AK295" s="20"/>
      <c r="AL295" s="20"/>
      <c r="AM295" s="20"/>
      <c r="AN295" s="20"/>
      <c r="AO295" s="20"/>
      <c r="AP295" s="20"/>
      <c r="AQ295" s="20"/>
      <c r="AR295" s="20"/>
      <c r="AS295" s="20"/>
      <c r="AT295" s="20"/>
      <c r="AU295" s="20"/>
      <c r="AV295" s="20"/>
    </row>
    <row r="296" spans="1:48" ht="17.25" customHeight="1">
      <c r="A296" s="15" t="s">
        <v>5809</v>
      </c>
      <c r="B296" s="124" t="s">
        <v>154</v>
      </c>
      <c r="C296" s="124" t="s">
        <v>5524</v>
      </c>
      <c r="D296" s="125" t="e">
        <f t="shared" ca="1" si="4"/>
        <v>#NAME?</v>
      </c>
      <c r="E296" s="126" t="str">
        <f t="shared" ca="1" si="5"/>
        <v>Not enough information entered</v>
      </c>
      <c r="F296" s="124" t="s">
        <v>6286</v>
      </c>
      <c r="G296" s="124" t="s">
        <v>5211</v>
      </c>
      <c r="H296" s="126">
        <v>5.8000000000000003E-2</v>
      </c>
      <c r="I296" s="124" t="s">
        <v>5186</v>
      </c>
      <c r="J296" s="126">
        <v>0.15</v>
      </c>
      <c r="K296" s="124" t="s">
        <v>5196</v>
      </c>
      <c r="L296" s="124">
        <v>0.03</v>
      </c>
      <c r="M296" s="124"/>
      <c r="N296" s="124"/>
      <c r="O296" s="124"/>
      <c r="P296" s="124"/>
      <c r="Q296" s="124"/>
      <c r="R296" s="124"/>
      <c r="S296" s="124"/>
      <c r="T296" s="124"/>
      <c r="U296" s="124" t="s">
        <v>5523</v>
      </c>
      <c r="V296" s="127">
        <f t="shared" si="6"/>
        <v>0.23799999999999999</v>
      </c>
      <c r="W296" s="124"/>
      <c r="X296" s="124"/>
      <c r="Y296" s="124"/>
      <c r="Z296" s="124"/>
      <c r="AA296" s="124" t="e">
        <f t="shared" ca="1" si="7"/>
        <v>#NAME?</v>
      </c>
      <c r="AB296" s="126">
        <f t="array" aca="1" ref="AB296" ca="1">IFERROR(J296/_xludf.XLOOKUP(I296,Materials!$A$3:$A$292,Materials!$I$3:$I$292),0)
+IFERROR(L296/_xludf.XLOOKUP(K296,Materials!$A$3:$A$292,Materials!$I$3:$I$292),0)
+IFERROR(N296/_xludf.XLOOKUP(M296,Materials!$A$3:$A$292,Materials!$I$3:$I$292),0)
+IFERROR(P296/_xludf.XLOOKUP(O296,Materials!$A$3:$A$292,Materials!$I$3:$I$292),0)
+IFERROR(R296/_xludf.XLOOKUP(Q296,Materials!$A$3:$A$292,Materials!$I$3:$I$292),0)
+IFERROR(H296/_xludf.XLOOKUP(G296,Materials!$A$3:$A$292,Materials!$I$3:$I$292),0)</f>
        <v>0</v>
      </c>
      <c r="AC296" s="20"/>
      <c r="AD296" s="20"/>
      <c r="AE296" s="20"/>
      <c r="AF296" s="20"/>
      <c r="AG296" s="20"/>
      <c r="AH296" s="20"/>
      <c r="AI296" s="20"/>
      <c r="AJ296" s="20"/>
      <c r="AK296" s="20"/>
      <c r="AL296" s="20"/>
      <c r="AM296" s="20"/>
      <c r="AN296" s="20"/>
      <c r="AO296" s="20"/>
      <c r="AP296" s="20"/>
      <c r="AQ296" s="20"/>
      <c r="AR296" s="20"/>
      <c r="AS296" s="20"/>
      <c r="AT296" s="20"/>
      <c r="AU296" s="20"/>
      <c r="AV296" s="20"/>
    </row>
    <row r="297" spans="1:48" ht="17.25" hidden="1" customHeight="1">
      <c r="A297" s="15" t="s">
        <v>5809</v>
      </c>
      <c r="B297" s="124" t="s">
        <v>160</v>
      </c>
      <c r="C297" s="124" t="s">
        <v>5526</v>
      </c>
      <c r="D297" s="125" t="e">
        <f t="shared" ca="1" si="4"/>
        <v>#NAME?</v>
      </c>
      <c r="E297" s="126" t="str">
        <f t="shared" ca="1" si="5"/>
        <v>Not enough information entered</v>
      </c>
      <c r="F297" s="124" t="s">
        <v>6629</v>
      </c>
      <c r="G297" s="124" t="s">
        <v>5211</v>
      </c>
      <c r="H297" s="126">
        <v>4.7E-2</v>
      </c>
      <c r="I297" s="124" t="s">
        <v>5186</v>
      </c>
      <c r="J297" s="126">
        <v>0.18</v>
      </c>
      <c r="K297" s="124" t="s">
        <v>5196</v>
      </c>
      <c r="L297" s="124">
        <v>0.03</v>
      </c>
      <c r="M297" s="124"/>
      <c r="N297" s="124"/>
      <c r="O297" s="124"/>
      <c r="P297" s="124"/>
      <c r="Q297" s="124"/>
      <c r="R297" s="124"/>
      <c r="S297" s="124"/>
      <c r="T297" s="124"/>
      <c r="U297" s="124" t="s">
        <v>5523</v>
      </c>
      <c r="V297" s="127">
        <f t="shared" si="6"/>
        <v>0.25700000000000001</v>
      </c>
      <c r="W297" s="126">
        <v>0</v>
      </c>
      <c r="X297" s="126">
        <v>0</v>
      </c>
      <c r="Y297" s="126">
        <v>10</v>
      </c>
      <c r="Z297" s="124"/>
      <c r="AA297" s="124" t="e">
        <f t="shared" ca="1" si="7"/>
        <v>#NAME?</v>
      </c>
      <c r="AB297" s="126">
        <f t="array" aca="1" ref="AB297" ca="1">IFERROR(J297/_xludf.XLOOKUP(I297,Materials!$A$3:$A$292,Materials!$I$3:$I$292),0)
+IFERROR(L297/_xludf.XLOOKUP(K297,Materials!$A$3:$A$292,Materials!$I$3:$I$292),0)
+IFERROR(N297/_xludf.XLOOKUP(M297,Materials!$A$3:$A$292,Materials!$I$3:$I$292),0)
+IFERROR(P297/_xludf.XLOOKUP(O297,Materials!$A$3:$A$292,Materials!$I$3:$I$292),0)
+IFERROR(R297/_xludf.XLOOKUP(Q297,Materials!$A$3:$A$292,Materials!$I$3:$I$292),0)
+IFERROR(H297/_xludf.XLOOKUP(G297,Materials!$A$3:$A$292,Materials!$I$3:$I$292),0)</f>
        <v>0</v>
      </c>
      <c r="AC297" s="20"/>
      <c r="AD297" s="20"/>
      <c r="AE297" s="20"/>
      <c r="AF297" s="20"/>
      <c r="AG297" s="20"/>
      <c r="AH297" s="20"/>
      <c r="AI297" s="20"/>
      <c r="AJ297" s="20"/>
      <c r="AK297" s="20"/>
      <c r="AL297" s="20"/>
      <c r="AM297" s="20"/>
      <c r="AN297" s="20"/>
      <c r="AO297" s="20"/>
      <c r="AP297" s="20"/>
      <c r="AQ297" s="20"/>
      <c r="AR297" s="20"/>
      <c r="AS297" s="20"/>
      <c r="AT297" s="20"/>
      <c r="AU297" s="20"/>
      <c r="AV297" s="20"/>
    </row>
    <row r="298" spans="1:48" ht="17.25" hidden="1" customHeight="1">
      <c r="A298" s="15" t="s">
        <v>5810</v>
      </c>
      <c r="B298" s="124" t="s">
        <v>157</v>
      </c>
      <c r="C298" s="124" t="s">
        <v>5522</v>
      </c>
      <c r="D298" s="125" t="e">
        <f t="shared" ca="1" si="4"/>
        <v>#NAME?</v>
      </c>
      <c r="E298" s="126" t="str">
        <f t="shared" ca="1" si="5"/>
        <v>Not enough information entered</v>
      </c>
      <c r="F298" s="124" t="s">
        <v>6436</v>
      </c>
      <c r="G298" s="124" t="s">
        <v>5211</v>
      </c>
      <c r="H298" s="126">
        <v>0.04</v>
      </c>
      <c r="I298" s="124" t="s">
        <v>5186</v>
      </c>
      <c r="J298" s="126">
        <v>0.18</v>
      </c>
      <c r="K298" s="124" t="s">
        <v>5204</v>
      </c>
      <c r="L298" s="126">
        <v>0.02</v>
      </c>
      <c r="M298" s="124" t="s">
        <v>5200</v>
      </c>
      <c r="N298" s="126">
        <v>1.2E-2</v>
      </c>
      <c r="O298" s="124"/>
      <c r="P298" s="124"/>
      <c r="Q298" s="124"/>
      <c r="R298" s="124"/>
      <c r="S298" s="124"/>
      <c r="T298" s="124"/>
      <c r="U298" s="124" t="s">
        <v>5523</v>
      </c>
      <c r="V298" s="127">
        <f t="shared" si="6"/>
        <v>0.252</v>
      </c>
      <c r="W298" s="126">
        <v>0</v>
      </c>
      <c r="X298" s="126">
        <v>0</v>
      </c>
      <c r="Y298" s="126">
        <v>10</v>
      </c>
      <c r="Z298" s="124"/>
      <c r="AA298" s="124" t="e">
        <f t="shared" ca="1" si="7"/>
        <v>#NAME?</v>
      </c>
      <c r="AB298" s="126">
        <f t="array" aca="1" ref="AB298" ca="1">IFERROR(J298/_xludf.XLOOKUP(I298,Materials!$A$3:$A$292,Materials!$I$3:$I$292),0)
+IFERROR(L298/_xludf.XLOOKUP(K298,Materials!$A$3:$A$292,Materials!$I$3:$I$292),0)
+IFERROR(N298/_xludf.XLOOKUP(M298,Materials!$A$3:$A$292,Materials!$I$3:$I$292),0)
+IFERROR(P298/_xludf.XLOOKUP(O298,Materials!$A$3:$A$292,Materials!$I$3:$I$292),0)
+IFERROR(R298/_xludf.XLOOKUP(Q298,Materials!$A$3:$A$292,Materials!$I$3:$I$292),0)
+IFERROR(H298/_xludf.XLOOKUP(G298,Materials!$A$3:$A$292,Materials!$I$3:$I$292),0)</f>
        <v>0</v>
      </c>
      <c r="AC298" s="20"/>
      <c r="AD298" s="20"/>
      <c r="AE298" s="20"/>
      <c r="AF298" s="20"/>
      <c r="AG298" s="20"/>
      <c r="AH298" s="20"/>
      <c r="AI298" s="20"/>
      <c r="AJ298" s="20"/>
      <c r="AK298" s="20"/>
      <c r="AL298" s="20"/>
      <c r="AM298" s="20"/>
      <c r="AN298" s="20"/>
      <c r="AO298" s="20"/>
      <c r="AP298" s="20"/>
      <c r="AQ298" s="20"/>
      <c r="AR298" s="20"/>
      <c r="AS298" s="20"/>
      <c r="AT298" s="20"/>
      <c r="AU298" s="20"/>
      <c r="AV298" s="20"/>
    </row>
    <row r="299" spans="1:48" ht="17.25" customHeight="1">
      <c r="A299" s="15" t="s">
        <v>5810</v>
      </c>
      <c r="B299" s="124" t="s">
        <v>154</v>
      </c>
      <c r="C299" s="124" t="s">
        <v>5524</v>
      </c>
      <c r="D299" s="125" t="e">
        <f t="shared" ca="1" si="4"/>
        <v>#NAME?</v>
      </c>
      <c r="E299" s="126" t="str">
        <f t="shared" ca="1" si="5"/>
        <v>Not enough information entered</v>
      </c>
      <c r="F299" s="124" t="s">
        <v>6287</v>
      </c>
      <c r="G299" s="124" t="s">
        <v>5211</v>
      </c>
      <c r="H299" s="126">
        <v>5.8999999999999997E-2</v>
      </c>
      <c r="I299" s="124" t="s">
        <v>5186</v>
      </c>
      <c r="J299" s="126">
        <v>0.15</v>
      </c>
      <c r="K299" s="124" t="s">
        <v>5196</v>
      </c>
      <c r="L299" s="124">
        <v>0.03</v>
      </c>
      <c r="M299" s="124"/>
      <c r="N299" s="124"/>
      <c r="O299" s="124"/>
      <c r="P299" s="124"/>
      <c r="Q299" s="124"/>
      <c r="R299" s="124"/>
      <c r="S299" s="124"/>
      <c r="T299" s="124"/>
      <c r="U299" s="124" t="s">
        <v>5523</v>
      </c>
      <c r="V299" s="127">
        <f t="shared" si="6"/>
        <v>0.23899999999999999</v>
      </c>
      <c r="W299" s="124"/>
      <c r="X299" s="124"/>
      <c r="Y299" s="124"/>
      <c r="Z299" s="124"/>
      <c r="AA299" s="124" t="e">
        <f t="shared" ca="1" si="7"/>
        <v>#NAME?</v>
      </c>
      <c r="AB299" s="126">
        <f t="array" aca="1" ref="AB299" ca="1">IFERROR(J299/_xludf.XLOOKUP(I299,Materials!$A$3:$A$292,Materials!$I$3:$I$292),0)
+IFERROR(L299/_xludf.XLOOKUP(K299,Materials!$A$3:$A$292,Materials!$I$3:$I$292),0)
+IFERROR(N299/_xludf.XLOOKUP(M299,Materials!$A$3:$A$292,Materials!$I$3:$I$292),0)
+IFERROR(P299/_xludf.XLOOKUP(O299,Materials!$A$3:$A$292,Materials!$I$3:$I$292),0)
+IFERROR(R299/_xludf.XLOOKUP(Q299,Materials!$A$3:$A$292,Materials!$I$3:$I$292),0)
+IFERROR(H299/_xludf.XLOOKUP(G299,Materials!$A$3:$A$292,Materials!$I$3:$I$292),0)</f>
        <v>0</v>
      </c>
      <c r="AC299" s="20"/>
      <c r="AD299" s="20"/>
      <c r="AE299" s="20"/>
      <c r="AF299" s="20"/>
      <c r="AG299" s="20"/>
      <c r="AH299" s="20"/>
      <c r="AI299" s="20"/>
      <c r="AJ299" s="20"/>
      <c r="AK299" s="20"/>
      <c r="AL299" s="20"/>
      <c r="AM299" s="20"/>
      <c r="AN299" s="20"/>
      <c r="AO299" s="20"/>
      <c r="AP299" s="20"/>
      <c r="AQ299" s="20"/>
      <c r="AR299" s="20"/>
      <c r="AS299" s="20"/>
      <c r="AT299" s="20"/>
      <c r="AU299" s="20"/>
      <c r="AV299" s="20"/>
    </row>
    <row r="300" spans="1:48" ht="17.25" hidden="1" customHeight="1">
      <c r="A300" s="15" t="s">
        <v>5810</v>
      </c>
      <c r="B300" s="124" t="s">
        <v>160</v>
      </c>
      <c r="C300" s="124" t="s">
        <v>5526</v>
      </c>
      <c r="D300" s="125" t="e">
        <f t="shared" ca="1" si="4"/>
        <v>#NAME?</v>
      </c>
      <c r="E300" s="126" t="str">
        <f t="shared" ca="1" si="5"/>
        <v>Not enough information entered</v>
      </c>
      <c r="F300" s="124" t="s">
        <v>6630</v>
      </c>
      <c r="G300" s="124" t="s">
        <v>5211</v>
      </c>
      <c r="H300" s="126">
        <v>5.8000000000000003E-2</v>
      </c>
      <c r="I300" s="124" t="s">
        <v>5186</v>
      </c>
      <c r="J300" s="126">
        <v>0.18</v>
      </c>
      <c r="K300" s="124" t="s">
        <v>5196</v>
      </c>
      <c r="L300" s="124">
        <v>0.03</v>
      </c>
      <c r="M300" s="124"/>
      <c r="N300" s="124"/>
      <c r="O300" s="124"/>
      <c r="P300" s="124"/>
      <c r="Q300" s="124"/>
      <c r="R300" s="124"/>
      <c r="S300" s="124"/>
      <c r="T300" s="124"/>
      <c r="U300" s="124" t="s">
        <v>5523</v>
      </c>
      <c r="V300" s="127">
        <f t="shared" si="6"/>
        <v>0.26800000000000002</v>
      </c>
      <c r="W300" s="126">
        <v>0</v>
      </c>
      <c r="X300" s="126">
        <v>0</v>
      </c>
      <c r="Y300" s="126">
        <v>10</v>
      </c>
      <c r="Z300" s="124"/>
      <c r="AA300" s="124" t="e">
        <f t="shared" ca="1" si="7"/>
        <v>#NAME?</v>
      </c>
      <c r="AB300" s="126">
        <f t="array" aca="1" ref="AB300" ca="1">IFERROR(J300/_xludf.XLOOKUP(I300,Materials!$A$3:$A$292,Materials!$I$3:$I$292),0)
+IFERROR(L300/_xludf.XLOOKUP(K300,Materials!$A$3:$A$292,Materials!$I$3:$I$292),0)
+IFERROR(N300/_xludf.XLOOKUP(M300,Materials!$A$3:$A$292,Materials!$I$3:$I$292),0)
+IFERROR(P300/_xludf.XLOOKUP(O300,Materials!$A$3:$A$292,Materials!$I$3:$I$292),0)
+IFERROR(R300/_xludf.XLOOKUP(Q300,Materials!$A$3:$A$292,Materials!$I$3:$I$292),0)
+IFERROR(H300/_xludf.XLOOKUP(G300,Materials!$A$3:$A$292,Materials!$I$3:$I$292),0)</f>
        <v>0</v>
      </c>
      <c r="AC300" s="20"/>
      <c r="AD300" s="20"/>
      <c r="AE300" s="20"/>
      <c r="AF300" s="20"/>
      <c r="AG300" s="20"/>
      <c r="AH300" s="20"/>
      <c r="AI300" s="20"/>
      <c r="AJ300" s="20"/>
      <c r="AK300" s="20"/>
      <c r="AL300" s="20"/>
      <c r="AM300" s="20"/>
      <c r="AN300" s="20"/>
      <c r="AO300" s="20"/>
      <c r="AP300" s="20"/>
      <c r="AQ300" s="20"/>
      <c r="AR300" s="20"/>
      <c r="AS300" s="20"/>
      <c r="AT300" s="20"/>
      <c r="AU300" s="20"/>
      <c r="AV300" s="20"/>
    </row>
    <row r="301" spans="1:48" ht="17.25" hidden="1" customHeight="1">
      <c r="A301" s="15" t="s">
        <v>5811</v>
      </c>
      <c r="B301" s="124" t="s">
        <v>157</v>
      </c>
      <c r="C301" s="124" t="s">
        <v>5522</v>
      </c>
      <c r="D301" s="125" t="e">
        <f t="shared" ca="1" si="4"/>
        <v>#NAME?</v>
      </c>
      <c r="E301" s="126" t="str">
        <f t="shared" ca="1" si="5"/>
        <v>Not enough information entered</v>
      </c>
      <c r="F301" s="124" t="s">
        <v>6437</v>
      </c>
      <c r="G301" s="124" t="s">
        <v>5211</v>
      </c>
      <c r="H301" s="126">
        <v>0.06</v>
      </c>
      <c r="I301" s="124" t="s">
        <v>5186</v>
      </c>
      <c r="J301" s="126">
        <v>0.18</v>
      </c>
      <c r="K301" s="124" t="s">
        <v>5204</v>
      </c>
      <c r="L301" s="126">
        <v>0.02</v>
      </c>
      <c r="M301" s="124" t="s">
        <v>5200</v>
      </c>
      <c r="N301" s="126">
        <v>1.2E-2</v>
      </c>
      <c r="O301" s="124"/>
      <c r="P301" s="124"/>
      <c r="Q301" s="124"/>
      <c r="R301" s="124"/>
      <c r="S301" s="124"/>
      <c r="T301" s="124"/>
      <c r="U301" s="124" t="s">
        <v>5523</v>
      </c>
      <c r="V301" s="127">
        <f t="shared" si="6"/>
        <v>0.27200000000000002</v>
      </c>
      <c r="W301" s="126">
        <v>0</v>
      </c>
      <c r="X301" s="126">
        <v>0</v>
      </c>
      <c r="Y301" s="126">
        <v>10</v>
      </c>
      <c r="Z301" s="124"/>
      <c r="AA301" s="124" t="e">
        <f t="shared" ca="1" si="7"/>
        <v>#NAME?</v>
      </c>
      <c r="AB301" s="126">
        <f t="array" aca="1" ref="AB301" ca="1">IFERROR(J301/_xludf.XLOOKUP(I301,Materials!$A$3:$A$292,Materials!$I$3:$I$292),0)
+IFERROR(L301/_xludf.XLOOKUP(K301,Materials!$A$3:$A$292,Materials!$I$3:$I$292),0)
+IFERROR(N301/_xludf.XLOOKUP(M301,Materials!$A$3:$A$292,Materials!$I$3:$I$292),0)
+IFERROR(P301/_xludf.XLOOKUP(O301,Materials!$A$3:$A$292,Materials!$I$3:$I$292),0)
+IFERROR(R301/_xludf.XLOOKUP(Q301,Materials!$A$3:$A$292,Materials!$I$3:$I$292),0)
+IFERROR(H301/_xludf.XLOOKUP(G301,Materials!$A$3:$A$292,Materials!$I$3:$I$292),0)</f>
        <v>0</v>
      </c>
      <c r="AC301" s="20"/>
      <c r="AD301" s="20"/>
      <c r="AE301" s="20"/>
      <c r="AF301" s="20"/>
      <c r="AG301" s="20"/>
      <c r="AH301" s="20"/>
      <c r="AI301" s="20"/>
      <c r="AJ301" s="20"/>
      <c r="AK301" s="20"/>
      <c r="AL301" s="20"/>
      <c r="AM301" s="20"/>
      <c r="AN301" s="20"/>
      <c r="AO301" s="20"/>
      <c r="AP301" s="20"/>
      <c r="AQ301" s="20"/>
      <c r="AR301" s="20"/>
      <c r="AS301" s="20"/>
      <c r="AT301" s="20"/>
      <c r="AU301" s="20"/>
      <c r="AV301" s="20"/>
    </row>
    <row r="302" spans="1:48" ht="17.25" customHeight="1">
      <c r="A302" s="15" t="s">
        <v>5811</v>
      </c>
      <c r="B302" s="124" t="s">
        <v>154</v>
      </c>
      <c r="C302" s="124" t="s">
        <v>5524</v>
      </c>
      <c r="D302" s="125" t="e">
        <f t="shared" ca="1" si="4"/>
        <v>#NAME?</v>
      </c>
      <c r="E302" s="126" t="str">
        <f t="shared" ca="1" si="5"/>
        <v>Not enough information entered</v>
      </c>
      <c r="F302" s="124" t="s">
        <v>6288</v>
      </c>
      <c r="G302" s="124" t="s">
        <v>5211</v>
      </c>
      <c r="H302" s="126">
        <v>7.8E-2</v>
      </c>
      <c r="I302" s="124" t="s">
        <v>5186</v>
      </c>
      <c r="J302" s="126">
        <v>0.15</v>
      </c>
      <c r="K302" s="124" t="s">
        <v>5196</v>
      </c>
      <c r="L302" s="124">
        <v>0.03</v>
      </c>
      <c r="M302" s="124"/>
      <c r="N302" s="124"/>
      <c r="O302" s="124"/>
      <c r="P302" s="124"/>
      <c r="Q302" s="124"/>
      <c r="R302" s="124"/>
      <c r="S302" s="124"/>
      <c r="T302" s="124"/>
      <c r="U302" s="124" t="s">
        <v>5523</v>
      </c>
      <c r="V302" s="127">
        <f t="shared" si="6"/>
        <v>0.25800000000000001</v>
      </c>
      <c r="W302" s="124"/>
      <c r="X302" s="124"/>
      <c r="Y302" s="124"/>
      <c r="Z302" s="124"/>
      <c r="AA302" s="124" t="e">
        <f t="shared" ca="1" si="7"/>
        <v>#NAME?</v>
      </c>
      <c r="AB302" s="126">
        <f t="array" aca="1" ref="AB302" ca="1">IFERROR(J302/_xludf.XLOOKUP(I302,Materials!$A$3:$A$292,Materials!$I$3:$I$292),0)
+IFERROR(L302/_xludf.XLOOKUP(K302,Materials!$A$3:$A$292,Materials!$I$3:$I$292),0)
+IFERROR(N302/_xludf.XLOOKUP(M302,Materials!$A$3:$A$292,Materials!$I$3:$I$292),0)
+IFERROR(P302/_xludf.XLOOKUP(O302,Materials!$A$3:$A$292,Materials!$I$3:$I$292),0)
+IFERROR(R302/_xludf.XLOOKUP(Q302,Materials!$A$3:$A$292,Materials!$I$3:$I$292),0)
+IFERROR(H302/_xludf.XLOOKUP(G302,Materials!$A$3:$A$292,Materials!$I$3:$I$292),0)</f>
        <v>0</v>
      </c>
      <c r="AC302" s="20"/>
      <c r="AD302" s="20"/>
      <c r="AE302" s="20"/>
      <c r="AF302" s="20"/>
      <c r="AG302" s="20"/>
      <c r="AH302" s="20"/>
      <c r="AI302" s="20"/>
      <c r="AJ302" s="20"/>
      <c r="AK302" s="20"/>
      <c r="AL302" s="20"/>
      <c r="AM302" s="20"/>
      <c r="AN302" s="20"/>
      <c r="AO302" s="20"/>
      <c r="AP302" s="20"/>
      <c r="AQ302" s="20"/>
      <c r="AR302" s="20"/>
      <c r="AS302" s="20"/>
      <c r="AT302" s="20"/>
      <c r="AU302" s="20"/>
      <c r="AV302" s="20"/>
    </row>
    <row r="303" spans="1:48" ht="17.25" hidden="1" customHeight="1">
      <c r="A303" s="15" t="s">
        <v>5811</v>
      </c>
      <c r="B303" s="124" t="s">
        <v>160</v>
      </c>
      <c r="C303" s="124" t="s">
        <v>5526</v>
      </c>
      <c r="D303" s="125" t="e">
        <f t="shared" ca="1" si="4"/>
        <v>#NAME?</v>
      </c>
      <c r="E303" s="126" t="str">
        <f t="shared" ca="1" si="5"/>
        <v>Not enough information entered</v>
      </c>
      <c r="F303" s="124" t="s">
        <v>6631</v>
      </c>
      <c r="G303" s="124" t="s">
        <v>5211</v>
      </c>
      <c r="H303" s="126">
        <v>7.6999999999999999E-2</v>
      </c>
      <c r="I303" s="124" t="s">
        <v>5186</v>
      </c>
      <c r="J303" s="126">
        <v>0.18</v>
      </c>
      <c r="K303" s="124" t="s">
        <v>5196</v>
      </c>
      <c r="L303" s="124">
        <v>0.03</v>
      </c>
      <c r="M303" s="124"/>
      <c r="N303" s="124"/>
      <c r="O303" s="124"/>
      <c r="P303" s="124"/>
      <c r="Q303" s="124"/>
      <c r="R303" s="124"/>
      <c r="S303" s="124"/>
      <c r="T303" s="124"/>
      <c r="U303" s="124" t="s">
        <v>5523</v>
      </c>
      <c r="V303" s="127">
        <f t="shared" si="6"/>
        <v>0.28700000000000003</v>
      </c>
      <c r="W303" s="126">
        <v>0</v>
      </c>
      <c r="X303" s="126">
        <v>0</v>
      </c>
      <c r="Y303" s="126">
        <v>10</v>
      </c>
      <c r="Z303" s="124"/>
      <c r="AA303" s="124" t="e">
        <f t="shared" ca="1" si="7"/>
        <v>#NAME?</v>
      </c>
      <c r="AB303" s="126">
        <f t="array" aca="1" ref="AB303" ca="1">IFERROR(J303/_xludf.XLOOKUP(I303,Materials!$A$3:$A$292,Materials!$I$3:$I$292),0)
+IFERROR(L303/_xludf.XLOOKUP(K303,Materials!$A$3:$A$292,Materials!$I$3:$I$292),0)
+IFERROR(N303/_xludf.XLOOKUP(M303,Materials!$A$3:$A$292,Materials!$I$3:$I$292),0)
+IFERROR(P303/_xludf.XLOOKUP(O303,Materials!$A$3:$A$292,Materials!$I$3:$I$292),0)
+IFERROR(R303/_xludf.XLOOKUP(Q303,Materials!$A$3:$A$292,Materials!$I$3:$I$292),0)
+IFERROR(H303/_xludf.XLOOKUP(G303,Materials!$A$3:$A$292,Materials!$I$3:$I$292),0)</f>
        <v>0</v>
      </c>
      <c r="AC303" s="20"/>
      <c r="AD303" s="20"/>
      <c r="AE303" s="20"/>
      <c r="AF303" s="20"/>
      <c r="AG303" s="20"/>
      <c r="AH303" s="20"/>
      <c r="AI303" s="20"/>
      <c r="AJ303" s="20"/>
      <c r="AK303" s="20"/>
      <c r="AL303" s="20"/>
      <c r="AM303" s="20"/>
      <c r="AN303" s="20"/>
      <c r="AO303" s="20"/>
      <c r="AP303" s="20"/>
      <c r="AQ303" s="20"/>
      <c r="AR303" s="20"/>
      <c r="AS303" s="20"/>
      <c r="AT303" s="20"/>
      <c r="AU303" s="20"/>
      <c r="AV303" s="20"/>
    </row>
    <row r="304" spans="1:48" ht="17.25" hidden="1" customHeight="1">
      <c r="A304" s="15" t="s">
        <v>5812</v>
      </c>
      <c r="B304" s="124" t="s">
        <v>157</v>
      </c>
      <c r="C304" s="124" t="s">
        <v>5522</v>
      </c>
      <c r="D304" s="125" t="e">
        <f t="shared" ca="1" si="4"/>
        <v>#NAME?</v>
      </c>
      <c r="E304" s="126" t="str">
        <f t="shared" ca="1" si="5"/>
        <v>Not enough information entered</v>
      </c>
      <c r="F304" s="124" t="s">
        <v>6438</v>
      </c>
      <c r="G304" s="124" t="s">
        <v>5211</v>
      </c>
      <c r="H304" s="126">
        <v>6.9000000000000006E-2</v>
      </c>
      <c r="I304" s="124" t="s">
        <v>5186</v>
      </c>
      <c r="J304" s="126">
        <v>0.18</v>
      </c>
      <c r="K304" s="124" t="s">
        <v>5204</v>
      </c>
      <c r="L304" s="126">
        <v>0.02</v>
      </c>
      <c r="M304" s="124" t="s">
        <v>5200</v>
      </c>
      <c r="N304" s="126">
        <v>1.2E-2</v>
      </c>
      <c r="O304" s="124"/>
      <c r="P304" s="124"/>
      <c r="Q304" s="124"/>
      <c r="R304" s="124"/>
      <c r="S304" s="124"/>
      <c r="T304" s="124"/>
      <c r="U304" s="124" t="s">
        <v>5523</v>
      </c>
      <c r="V304" s="127">
        <f t="shared" si="6"/>
        <v>0.28100000000000003</v>
      </c>
      <c r="W304" s="126">
        <v>0</v>
      </c>
      <c r="X304" s="126">
        <v>0</v>
      </c>
      <c r="Y304" s="126">
        <v>10</v>
      </c>
      <c r="Z304" s="124"/>
      <c r="AA304" s="124" t="e">
        <f t="shared" ca="1" si="7"/>
        <v>#NAME?</v>
      </c>
      <c r="AB304" s="126">
        <f t="array" aca="1" ref="AB304" ca="1">IFERROR(J304/_xludf.XLOOKUP(I304,Materials!$A$3:$A$292,Materials!$I$3:$I$292),0)
+IFERROR(L304/_xludf.XLOOKUP(K304,Materials!$A$3:$A$292,Materials!$I$3:$I$292),0)
+IFERROR(N304/_xludf.XLOOKUP(M304,Materials!$A$3:$A$292,Materials!$I$3:$I$292),0)
+IFERROR(P304/_xludf.XLOOKUP(O304,Materials!$A$3:$A$292,Materials!$I$3:$I$292),0)
+IFERROR(R304/_xludf.XLOOKUP(Q304,Materials!$A$3:$A$292,Materials!$I$3:$I$292),0)
+IFERROR(H304/_xludf.XLOOKUP(G304,Materials!$A$3:$A$292,Materials!$I$3:$I$292),0)</f>
        <v>0</v>
      </c>
      <c r="AC304" s="20"/>
      <c r="AD304" s="20"/>
      <c r="AE304" s="20"/>
      <c r="AF304" s="20"/>
      <c r="AG304" s="20"/>
      <c r="AH304" s="20"/>
      <c r="AI304" s="20"/>
      <c r="AJ304" s="20"/>
      <c r="AK304" s="20"/>
      <c r="AL304" s="20"/>
      <c r="AM304" s="20"/>
      <c r="AN304" s="20"/>
      <c r="AO304" s="20"/>
      <c r="AP304" s="20"/>
      <c r="AQ304" s="20"/>
      <c r="AR304" s="20"/>
      <c r="AS304" s="20"/>
      <c r="AT304" s="20"/>
      <c r="AU304" s="20"/>
      <c r="AV304" s="20"/>
    </row>
    <row r="305" spans="1:48" ht="17.25" customHeight="1">
      <c r="A305" s="15" t="s">
        <v>5812</v>
      </c>
      <c r="B305" s="124" t="s">
        <v>154</v>
      </c>
      <c r="C305" s="124" t="s">
        <v>5524</v>
      </c>
      <c r="D305" s="125" t="e">
        <f t="shared" ca="1" si="4"/>
        <v>#NAME?</v>
      </c>
      <c r="E305" s="126" t="str">
        <f t="shared" ca="1" si="5"/>
        <v>Not enough information entered</v>
      </c>
      <c r="F305" s="124" t="s">
        <v>6289</v>
      </c>
      <c r="G305" s="124" t="s">
        <v>5211</v>
      </c>
      <c r="H305" s="126">
        <v>9.4E-2</v>
      </c>
      <c r="I305" s="124" t="s">
        <v>5186</v>
      </c>
      <c r="J305" s="126">
        <v>0.15</v>
      </c>
      <c r="K305" s="124" t="s">
        <v>5196</v>
      </c>
      <c r="L305" s="124">
        <v>0.03</v>
      </c>
      <c r="M305" s="124"/>
      <c r="N305" s="124"/>
      <c r="O305" s="124"/>
      <c r="P305" s="124"/>
      <c r="Q305" s="124"/>
      <c r="R305" s="124"/>
      <c r="S305" s="124"/>
      <c r="T305" s="124"/>
      <c r="U305" s="124" t="s">
        <v>5523</v>
      </c>
      <c r="V305" s="127">
        <f t="shared" si="6"/>
        <v>0.27400000000000002</v>
      </c>
      <c r="W305" s="124"/>
      <c r="X305" s="124"/>
      <c r="Y305" s="124"/>
      <c r="Z305" s="124"/>
      <c r="AA305" s="124" t="e">
        <f t="shared" ca="1" si="7"/>
        <v>#NAME?</v>
      </c>
      <c r="AB305" s="126">
        <f t="array" aca="1" ref="AB305" ca="1">IFERROR(J305/_xludf.XLOOKUP(I305,Materials!$A$3:$A$292,Materials!$I$3:$I$292),0)
+IFERROR(L305/_xludf.XLOOKUP(K305,Materials!$A$3:$A$292,Materials!$I$3:$I$292),0)
+IFERROR(N305/_xludf.XLOOKUP(M305,Materials!$A$3:$A$292,Materials!$I$3:$I$292),0)
+IFERROR(P305/_xludf.XLOOKUP(O305,Materials!$A$3:$A$292,Materials!$I$3:$I$292),0)
+IFERROR(R305/_xludf.XLOOKUP(Q305,Materials!$A$3:$A$292,Materials!$I$3:$I$292),0)
+IFERROR(H305/_xludf.XLOOKUP(G305,Materials!$A$3:$A$292,Materials!$I$3:$I$292),0)</f>
        <v>0</v>
      </c>
      <c r="AC305" s="20"/>
      <c r="AD305" s="20"/>
      <c r="AE305" s="20"/>
      <c r="AF305" s="20"/>
      <c r="AG305" s="20"/>
      <c r="AH305" s="20"/>
      <c r="AI305" s="20"/>
      <c r="AJ305" s="20"/>
      <c r="AK305" s="20"/>
      <c r="AL305" s="20"/>
      <c r="AM305" s="20"/>
      <c r="AN305" s="20"/>
      <c r="AO305" s="20"/>
      <c r="AP305" s="20"/>
      <c r="AQ305" s="20"/>
      <c r="AR305" s="20"/>
      <c r="AS305" s="20"/>
      <c r="AT305" s="20"/>
      <c r="AU305" s="20"/>
      <c r="AV305" s="20"/>
    </row>
    <row r="306" spans="1:48" ht="17.25" hidden="1" customHeight="1">
      <c r="A306" s="15" t="s">
        <v>5812</v>
      </c>
      <c r="B306" s="124" t="s">
        <v>160</v>
      </c>
      <c r="C306" s="124" t="s">
        <v>5526</v>
      </c>
      <c r="D306" s="125" t="e">
        <f t="shared" ca="1" si="4"/>
        <v>#NAME?</v>
      </c>
      <c r="E306" s="126" t="str">
        <f t="shared" ca="1" si="5"/>
        <v>Not enough information entered</v>
      </c>
      <c r="F306" s="124" t="s">
        <v>6632</v>
      </c>
      <c r="G306" s="124" t="s">
        <v>5211</v>
      </c>
      <c r="H306" s="126">
        <v>9.2999999999999999E-2</v>
      </c>
      <c r="I306" s="124" t="s">
        <v>5186</v>
      </c>
      <c r="J306" s="126">
        <v>0.18</v>
      </c>
      <c r="K306" s="124" t="s">
        <v>5196</v>
      </c>
      <c r="L306" s="124">
        <v>0.03</v>
      </c>
      <c r="M306" s="124"/>
      <c r="N306" s="124"/>
      <c r="O306" s="124"/>
      <c r="P306" s="124"/>
      <c r="Q306" s="124"/>
      <c r="R306" s="124"/>
      <c r="S306" s="124"/>
      <c r="T306" s="124"/>
      <c r="U306" s="124" t="s">
        <v>5523</v>
      </c>
      <c r="V306" s="127">
        <f t="shared" si="6"/>
        <v>0.30300000000000005</v>
      </c>
      <c r="W306" s="126">
        <v>0</v>
      </c>
      <c r="X306" s="126">
        <v>0</v>
      </c>
      <c r="Y306" s="126">
        <v>10</v>
      </c>
      <c r="Z306" s="124"/>
      <c r="AA306" s="124" t="e">
        <f t="shared" ca="1" si="7"/>
        <v>#NAME?</v>
      </c>
      <c r="AB306" s="126">
        <f t="array" aca="1" ref="AB306" ca="1">IFERROR(J306/_xludf.XLOOKUP(I306,Materials!$A$3:$A$292,Materials!$I$3:$I$292),0)
+IFERROR(L306/_xludf.XLOOKUP(K306,Materials!$A$3:$A$292,Materials!$I$3:$I$292),0)
+IFERROR(N306/_xludf.XLOOKUP(M306,Materials!$A$3:$A$292,Materials!$I$3:$I$292),0)
+IFERROR(P306/_xludf.XLOOKUP(O306,Materials!$A$3:$A$292,Materials!$I$3:$I$292),0)
+IFERROR(R306/_xludf.XLOOKUP(Q306,Materials!$A$3:$A$292,Materials!$I$3:$I$292),0)
+IFERROR(H306/_xludf.XLOOKUP(G306,Materials!$A$3:$A$292,Materials!$I$3:$I$292),0)</f>
        <v>0</v>
      </c>
      <c r="AC306" s="20"/>
      <c r="AD306" s="20"/>
      <c r="AE306" s="20"/>
      <c r="AF306" s="20"/>
      <c r="AG306" s="20"/>
      <c r="AH306" s="20"/>
      <c r="AI306" s="20"/>
      <c r="AJ306" s="20"/>
      <c r="AK306" s="20"/>
      <c r="AL306" s="20"/>
      <c r="AM306" s="20"/>
      <c r="AN306" s="20"/>
      <c r="AO306" s="20"/>
      <c r="AP306" s="20"/>
      <c r="AQ306" s="20"/>
      <c r="AR306" s="20"/>
      <c r="AS306" s="20"/>
      <c r="AT306" s="20"/>
      <c r="AU306" s="20"/>
      <c r="AV306" s="20"/>
    </row>
    <row r="307" spans="1:48" ht="17.25" hidden="1" customHeight="1">
      <c r="A307" s="15" t="s">
        <v>4858</v>
      </c>
      <c r="B307" s="124" t="s">
        <v>158</v>
      </c>
      <c r="C307" s="124" t="s">
        <v>5527</v>
      </c>
      <c r="D307" s="125" t="e">
        <f t="shared" ca="1" si="4"/>
        <v>#NAME?</v>
      </c>
      <c r="E307" s="126" t="str">
        <f t="shared" ca="1" si="5"/>
        <v>Not enough information entered</v>
      </c>
      <c r="F307" s="124" t="s">
        <v>6351</v>
      </c>
      <c r="G307" s="124" t="s">
        <v>5200</v>
      </c>
      <c r="H307" s="124">
        <v>1.2500000000000001E-2</v>
      </c>
      <c r="I307" s="124" t="s">
        <v>5204</v>
      </c>
      <c r="J307" s="124">
        <v>0.05</v>
      </c>
      <c r="K307" s="124" t="s">
        <v>5200</v>
      </c>
      <c r="L307" s="124">
        <v>1.2500000000000001E-2</v>
      </c>
      <c r="M307" s="124"/>
      <c r="N307" s="124"/>
      <c r="O307" s="124"/>
      <c r="P307" s="124"/>
      <c r="Q307" s="124"/>
      <c r="R307" s="124"/>
      <c r="S307" s="124"/>
      <c r="T307" s="124"/>
      <c r="U307" s="124" t="s">
        <v>5523</v>
      </c>
      <c r="V307" s="127">
        <f t="shared" si="6"/>
        <v>7.4999999999999997E-2</v>
      </c>
      <c r="W307" s="124"/>
      <c r="X307" s="124"/>
      <c r="Y307" s="124"/>
      <c r="Z307" s="124"/>
      <c r="AA307" s="124" t="e">
        <f t="shared" ca="1" si="7"/>
        <v>#NAME?</v>
      </c>
      <c r="AB307" s="126">
        <f t="array" aca="1" ref="AB307" ca="1">IFERROR(J307/_xludf.XLOOKUP(I307,Materials!$A$3:$A$292,Materials!$I$3:$I$292),0)
+IFERROR(L307/_xludf.XLOOKUP(K307,Materials!$A$3:$A$292,Materials!$I$3:$I$292),0)
+IFERROR(N307/_xludf.XLOOKUP(M307,Materials!$A$3:$A$292,Materials!$I$3:$I$292),0)
+IFERROR(P307/_xludf.XLOOKUP(O307,Materials!$A$3:$A$292,Materials!$I$3:$I$292),0)
+IFERROR(R307/_xludf.XLOOKUP(Q307,Materials!$A$3:$A$292,Materials!$I$3:$I$292),0)
+IFERROR(H307/_xludf.XLOOKUP(G307,Materials!$A$3:$A$292,Materials!$I$3:$I$292),0)</f>
        <v>0</v>
      </c>
      <c r="AC307" s="20"/>
      <c r="AD307" s="20"/>
      <c r="AE307" s="20"/>
      <c r="AF307" s="20"/>
      <c r="AG307" s="20"/>
      <c r="AH307" s="20"/>
      <c r="AI307" s="20"/>
      <c r="AJ307" s="20"/>
      <c r="AK307" s="20"/>
      <c r="AL307" s="20"/>
      <c r="AM307" s="20"/>
      <c r="AN307" s="20"/>
      <c r="AO307" s="20"/>
      <c r="AP307" s="20"/>
      <c r="AQ307" s="20"/>
      <c r="AR307" s="20"/>
      <c r="AS307" s="20"/>
      <c r="AT307" s="20"/>
      <c r="AU307" s="20"/>
      <c r="AV307" s="20"/>
    </row>
    <row r="308" spans="1:48" ht="17.25" hidden="1" customHeight="1">
      <c r="A308" s="15" t="s">
        <v>4858</v>
      </c>
      <c r="B308" s="124" t="s">
        <v>162</v>
      </c>
      <c r="C308" s="124" t="s">
        <v>5529</v>
      </c>
      <c r="D308" s="125" t="e">
        <f t="shared" ca="1" si="4"/>
        <v>#NAME?</v>
      </c>
      <c r="E308" s="126" t="str">
        <f t="shared" ca="1" si="5"/>
        <v>Not enough information entered</v>
      </c>
      <c r="F308" s="124" t="s">
        <v>6560</v>
      </c>
      <c r="G308" s="124" t="s">
        <v>5186</v>
      </c>
      <c r="H308" s="124">
        <v>0.18</v>
      </c>
      <c r="I308" s="124" t="s">
        <v>5196</v>
      </c>
      <c r="J308" s="124">
        <v>0.03</v>
      </c>
      <c r="K308" s="124"/>
      <c r="L308" s="124"/>
      <c r="M308" s="124"/>
      <c r="N308" s="124"/>
      <c r="O308" s="124"/>
      <c r="P308" s="124"/>
      <c r="Q308" s="124"/>
      <c r="R308" s="124"/>
      <c r="S308" s="124"/>
      <c r="T308" s="124"/>
      <c r="U308" s="124" t="s">
        <v>5523</v>
      </c>
      <c r="V308" s="127">
        <f t="shared" si="6"/>
        <v>0.21</v>
      </c>
      <c r="W308" s="124"/>
      <c r="X308" s="124"/>
      <c r="Y308" s="124"/>
      <c r="Z308" s="124"/>
      <c r="AA308" s="124" t="e">
        <f t="shared" ca="1" si="7"/>
        <v>#NAME?</v>
      </c>
      <c r="AB308" s="126">
        <f t="array" aca="1" ref="AB308" ca="1">IFERROR(J308/_xludf.XLOOKUP(I308,Materials!$A$3:$A$292,Materials!$I$3:$I$292),0)
+IFERROR(L308/_xludf.XLOOKUP(K308,Materials!$A$3:$A$292,Materials!$I$3:$I$292),0)
+IFERROR(N308/_xludf.XLOOKUP(M308,Materials!$A$3:$A$292,Materials!$I$3:$I$292),0)
+IFERROR(P308/_xludf.XLOOKUP(O308,Materials!$A$3:$A$292,Materials!$I$3:$I$292),0)
+IFERROR(R308/_xludf.XLOOKUP(Q308,Materials!$A$3:$A$292,Materials!$I$3:$I$292),0)
+IFERROR(H308/_xludf.XLOOKUP(G308,Materials!$A$3:$A$292,Materials!$I$3:$I$292),0)</f>
        <v>0</v>
      </c>
      <c r="AC308" s="20"/>
      <c r="AD308" s="20"/>
      <c r="AE308" s="20"/>
      <c r="AF308" s="20"/>
      <c r="AG308" s="20"/>
      <c r="AH308" s="20"/>
      <c r="AI308" s="20"/>
      <c r="AJ308" s="20"/>
      <c r="AK308" s="20"/>
      <c r="AL308" s="20"/>
      <c r="AM308" s="20"/>
      <c r="AN308" s="20"/>
      <c r="AO308" s="20"/>
      <c r="AP308" s="20"/>
      <c r="AQ308" s="20"/>
      <c r="AR308" s="20"/>
      <c r="AS308" s="20"/>
      <c r="AT308" s="20"/>
      <c r="AU308" s="20"/>
      <c r="AV308" s="20"/>
    </row>
    <row r="309" spans="1:48" ht="17.25" hidden="1" customHeight="1">
      <c r="A309" s="15"/>
      <c r="B309" s="124"/>
      <c r="C309" s="124" t="s">
        <v>5532</v>
      </c>
      <c r="D309" s="125"/>
      <c r="E309" s="126"/>
      <c r="F309" s="124"/>
      <c r="G309" s="124"/>
      <c r="H309" s="124"/>
      <c r="I309" s="124"/>
      <c r="J309" s="124"/>
      <c r="K309" s="124"/>
      <c r="L309" s="124"/>
      <c r="M309" s="124"/>
      <c r="N309" s="124"/>
      <c r="O309" s="124"/>
      <c r="P309" s="124"/>
      <c r="Q309" s="124"/>
      <c r="R309" s="124"/>
      <c r="S309" s="124"/>
      <c r="T309" s="124"/>
      <c r="U309" s="124"/>
      <c r="V309" s="127"/>
      <c r="W309" s="124"/>
      <c r="X309" s="124"/>
      <c r="Y309" s="124"/>
      <c r="Z309" s="124"/>
      <c r="AA309" s="124"/>
      <c r="AB309" s="126"/>
      <c r="AC309" s="20"/>
      <c r="AD309" s="20"/>
      <c r="AE309" s="20"/>
      <c r="AF309" s="20"/>
      <c r="AG309" s="20"/>
      <c r="AH309" s="20"/>
      <c r="AI309" s="20"/>
      <c r="AJ309" s="20"/>
      <c r="AK309" s="20"/>
      <c r="AL309" s="20"/>
      <c r="AM309" s="20"/>
      <c r="AN309" s="20"/>
      <c r="AO309" s="20"/>
      <c r="AP309" s="20"/>
      <c r="AQ309" s="20"/>
      <c r="AR309" s="20"/>
      <c r="AS309" s="20"/>
      <c r="AT309" s="20"/>
      <c r="AU309" s="20"/>
      <c r="AV309" s="20"/>
    </row>
    <row r="310" spans="1:48" ht="17.25" hidden="1" customHeight="1">
      <c r="A310" s="15" t="s">
        <v>6218</v>
      </c>
      <c r="B310" s="124" t="s">
        <v>157</v>
      </c>
      <c r="C310" s="124" t="s">
        <v>5522</v>
      </c>
      <c r="D310" s="125" t="e">
        <f t="shared" ca="1" si="4"/>
        <v>#NAME?</v>
      </c>
      <c r="E310" s="126" t="str">
        <f t="shared" ca="1" si="5"/>
        <v>Not enough information entered</v>
      </c>
      <c r="F310" s="124" t="s">
        <v>6687</v>
      </c>
      <c r="G310" s="124" t="s">
        <v>5186</v>
      </c>
      <c r="H310" s="126">
        <v>0.18</v>
      </c>
      <c r="I310" s="124" t="s">
        <v>5204</v>
      </c>
      <c r="J310" s="126">
        <v>0.02</v>
      </c>
      <c r="K310" s="124" t="s">
        <v>5200</v>
      </c>
      <c r="L310" s="126">
        <v>1.2E-2</v>
      </c>
      <c r="M310" s="124"/>
      <c r="N310" s="124"/>
      <c r="O310" s="124"/>
      <c r="P310" s="124"/>
      <c r="Q310" s="124"/>
      <c r="R310" s="124"/>
      <c r="S310" s="124"/>
      <c r="T310" s="124"/>
      <c r="U310" s="124" t="s">
        <v>5523</v>
      </c>
      <c r="V310" s="127">
        <f t="shared" si="6"/>
        <v>0.21199999999999999</v>
      </c>
      <c r="W310" s="126">
        <v>0</v>
      </c>
      <c r="X310" s="126">
        <v>0</v>
      </c>
      <c r="Y310" s="126">
        <v>10</v>
      </c>
      <c r="Z310" s="124"/>
      <c r="AA310" s="124" t="e">
        <f t="shared" ca="1" si="7"/>
        <v>#NAME?</v>
      </c>
      <c r="AB310" s="126">
        <f t="array" aca="1" ref="AB310" ca="1">IFERROR(J310/_xludf.XLOOKUP(I310,Materials!$A$3:$A$292,Materials!$I$3:$I$292),0)
+IFERROR(L310/_xludf.XLOOKUP(K310,Materials!$A$3:$A$292,Materials!$I$3:$I$292),0)
+IFERROR(N310/_xludf.XLOOKUP(M310,Materials!$A$3:$A$292,Materials!$I$3:$I$292),0)
+IFERROR(P310/_xludf.XLOOKUP(O310,Materials!$A$3:$A$292,Materials!$I$3:$I$292),0)
+IFERROR(R310/_xludf.XLOOKUP(Q310,Materials!$A$3:$A$292,Materials!$I$3:$I$292),0)
+IFERROR(H310/_xludf.XLOOKUP(G310,Materials!$A$3:$A$292,Materials!$I$3:$I$292),0)</f>
        <v>0</v>
      </c>
      <c r="AC310" s="20"/>
      <c r="AD310" s="20"/>
      <c r="AE310" s="20"/>
      <c r="AF310" s="20"/>
      <c r="AG310" s="20"/>
      <c r="AH310" s="20"/>
      <c r="AI310" s="20"/>
      <c r="AJ310" s="20"/>
      <c r="AK310" s="20"/>
      <c r="AL310" s="20"/>
      <c r="AM310" s="20"/>
      <c r="AN310" s="20"/>
      <c r="AO310" s="20"/>
      <c r="AP310" s="20"/>
      <c r="AQ310" s="20"/>
      <c r="AR310" s="20"/>
      <c r="AS310" s="20"/>
      <c r="AT310" s="20"/>
      <c r="AU310" s="20"/>
      <c r="AV310" s="20"/>
    </row>
    <row r="311" spans="1:48" ht="17.25" customHeight="1">
      <c r="A311" s="15" t="s">
        <v>6218</v>
      </c>
      <c r="B311" s="124" t="s">
        <v>154</v>
      </c>
      <c r="C311" s="124" t="s">
        <v>5524</v>
      </c>
      <c r="D311" s="125" t="e">
        <f t="shared" ca="1" si="4"/>
        <v>#NAME?</v>
      </c>
      <c r="E311" s="126" t="str">
        <f t="shared" ca="1" si="5"/>
        <v>Not enough information entered</v>
      </c>
      <c r="F311" s="124" t="s">
        <v>6290</v>
      </c>
      <c r="G311" s="124" t="s">
        <v>5186</v>
      </c>
      <c r="H311" s="126">
        <v>0.15</v>
      </c>
      <c r="I311" s="124" t="s">
        <v>5196</v>
      </c>
      <c r="J311" s="126">
        <v>0.03</v>
      </c>
      <c r="K311" s="124"/>
      <c r="L311" s="124"/>
      <c r="M311" s="124"/>
      <c r="N311" s="124"/>
      <c r="O311" s="124"/>
      <c r="P311" s="124"/>
      <c r="Q311" s="124"/>
      <c r="R311" s="124"/>
      <c r="S311" s="124"/>
      <c r="T311" s="124"/>
      <c r="U311" s="124" t="s">
        <v>5523</v>
      </c>
      <c r="V311" s="127">
        <f t="shared" si="6"/>
        <v>0.18</v>
      </c>
      <c r="W311" s="124"/>
      <c r="X311" s="124"/>
      <c r="Y311" s="124"/>
      <c r="Z311" s="124"/>
      <c r="AA311" s="124" t="e">
        <f t="shared" ca="1" si="7"/>
        <v>#NAME?</v>
      </c>
      <c r="AB311" s="126">
        <f t="array" aca="1" ref="AB311" ca="1">IFERROR(J311/_xludf.XLOOKUP(I311,Materials!$A$3:$A$292,Materials!$I$3:$I$292),0)
+IFERROR(L311/_xludf.XLOOKUP(K311,Materials!$A$3:$A$292,Materials!$I$3:$I$292),0)
+IFERROR(N311/_xludf.XLOOKUP(M311,Materials!$A$3:$A$292,Materials!$I$3:$I$292),0)
+IFERROR(P311/_xludf.XLOOKUP(O311,Materials!$A$3:$A$292,Materials!$I$3:$I$292),0)
+IFERROR(R311/_xludf.XLOOKUP(Q311,Materials!$A$3:$A$292,Materials!$I$3:$I$292),0)
+IFERROR(H311/_xludf.XLOOKUP(G311,Materials!$A$3:$A$292,Materials!$I$3:$I$292),0)</f>
        <v>0</v>
      </c>
      <c r="AC311" s="20"/>
      <c r="AD311" s="20"/>
      <c r="AE311" s="20"/>
      <c r="AF311" s="20"/>
      <c r="AG311" s="20"/>
      <c r="AH311" s="20"/>
      <c r="AI311" s="20"/>
      <c r="AJ311" s="20"/>
      <c r="AK311" s="20"/>
      <c r="AL311" s="20"/>
      <c r="AM311" s="20"/>
      <c r="AN311" s="20"/>
      <c r="AO311" s="20"/>
      <c r="AP311" s="20"/>
      <c r="AQ311" s="20"/>
      <c r="AR311" s="20"/>
      <c r="AS311" s="20"/>
      <c r="AT311" s="20"/>
      <c r="AU311" s="20"/>
      <c r="AV311" s="20"/>
    </row>
    <row r="312" spans="1:48" ht="17.25" hidden="1" customHeight="1">
      <c r="A312" s="15" t="s">
        <v>6218</v>
      </c>
      <c r="B312" s="124" t="s">
        <v>160</v>
      </c>
      <c r="C312" s="124" t="s">
        <v>5526</v>
      </c>
      <c r="D312" s="125" t="e">
        <f t="shared" ca="1" si="4"/>
        <v>#NAME?</v>
      </c>
      <c r="E312" s="126" t="str">
        <f t="shared" ca="1" si="5"/>
        <v>Not enough information entered</v>
      </c>
      <c r="F312" s="124" t="s">
        <v>6688</v>
      </c>
      <c r="G312" s="124" t="s">
        <v>5186</v>
      </c>
      <c r="H312" s="126">
        <v>0.18</v>
      </c>
      <c r="I312" s="124" t="s">
        <v>5196</v>
      </c>
      <c r="J312" s="126">
        <v>0.03</v>
      </c>
      <c r="K312" s="124"/>
      <c r="L312" s="124"/>
      <c r="M312" s="124"/>
      <c r="N312" s="124"/>
      <c r="O312" s="124"/>
      <c r="P312" s="124"/>
      <c r="Q312" s="124"/>
      <c r="R312" s="124"/>
      <c r="S312" s="124"/>
      <c r="T312" s="124"/>
      <c r="U312" s="124" t="s">
        <v>5523</v>
      </c>
      <c r="V312" s="127">
        <f t="shared" si="6"/>
        <v>0.21</v>
      </c>
      <c r="W312" s="126">
        <v>0</v>
      </c>
      <c r="X312" s="126">
        <v>0</v>
      </c>
      <c r="Y312" s="126">
        <v>10</v>
      </c>
      <c r="Z312" s="124"/>
      <c r="AA312" s="124" t="e">
        <f t="shared" ca="1" si="7"/>
        <v>#NAME?</v>
      </c>
      <c r="AB312" s="126">
        <f t="array" aca="1" ref="AB312" ca="1">IFERROR(J312/_xludf.XLOOKUP(I312,Materials!$A$3:$A$292,Materials!$I$3:$I$292),0)
+IFERROR(L312/_xludf.XLOOKUP(K312,Materials!$A$3:$A$292,Materials!$I$3:$I$292),0)
+IFERROR(N312/_xludf.XLOOKUP(M312,Materials!$A$3:$A$292,Materials!$I$3:$I$292),0)
+IFERROR(P312/_xludf.XLOOKUP(O312,Materials!$A$3:$A$292,Materials!$I$3:$I$292),0)
+IFERROR(R312/_xludf.XLOOKUP(Q312,Materials!$A$3:$A$292,Materials!$I$3:$I$292),0)
+IFERROR(H312/_xludf.XLOOKUP(G312,Materials!$A$3:$A$292,Materials!$I$3:$I$292),0)</f>
        <v>0</v>
      </c>
      <c r="AC312" s="20"/>
      <c r="AD312" s="20"/>
      <c r="AE312" s="20"/>
      <c r="AF312" s="20"/>
      <c r="AG312" s="20"/>
      <c r="AH312" s="20"/>
      <c r="AI312" s="20"/>
      <c r="AJ312" s="20"/>
      <c r="AK312" s="20"/>
      <c r="AL312" s="20"/>
      <c r="AM312" s="20"/>
      <c r="AN312" s="20"/>
      <c r="AO312" s="20"/>
      <c r="AP312" s="20"/>
      <c r="AQ312" s="20"/>
      <c r="AR312" s="20"/>
      <c r="AS312" s="20"/>
      <c r="AT312" s="20"/>
      <c r="AU312" s="20"/>
      <c r="AV312" s="20"/>
    </row>
    <row r="313" spans="1:48" ht="17.25" hidden="1" customHeight="1">
      <c r="A313" s="15" t="s">
        <v>6219</v>
      </c>
      <c r="B313" s="124" t="s">
        <v>157</v>
      </c>
      <c r="C313" s="124" t="s">
        <v>5522</v>
      </c>
      <c r="D313" s="125" t="e">
        <f t="shared" ca="1" si="4"/>
        <v>#NAME?</v>
      </c>
      <c r="E313" s="126" t="str">
        <f t="shared" ca="1" si="5"/>
        <v>Not enough information entered</v>
      </c>
      <c r="F313" s="124" t="s">
        <v>6689</v>
      </c>
      <c r="G313" s="124" t="s">
        <v>5211</v>
      </c>
      <c r="H313" s="126">
        <v>0.03</v>
      </c>
      <c r="I313" s="124" t="s">
        <v>5186</v>
      </c>
      <c r="J313" s="126">
        <v>0.18</v>
      </c>
      <c r="K313" s="124" t="s">
        <v>5204</v>
      </c>
      <c r="L313" s="126">
        <v>0.02</v>
      </c>
      <c r="M313" s="124" t="s">
        <v>5200</v>
      </c>
      <c r="N313" s="126">
        <v>1.2E-2</v>
      </c>
      <c r="O313" s="124"/>
      <c r="P313" s="124"/>
      <c r="Q313" s="124"/>
      <c r="R313" s="124"/>
      <c r="S313" s="124"/>
      <c r="T313" s="124"/>
      <c r="U313" s="124" t="s">
        <v>5523</v>
      </c>
      <c r="V313" s="127">
        <f t="shared" si="6"/>
        <v>0.24199999999999999</v>
      </c>
      <c r="W313" s="126">
        <v>0</v>
      </c>
      <c r="X313" s="126">
        <v>0</v>
      </c>
      <c r="Y313" s="126">
        <v>10</v>
      </c>
      <c r="Z313" s="124"/>
      <c r="AA313" s="124" t="e">
        <f t="shared" ca="1" si="7"/>
        <v>#NAME?</v>
      </c>
      <c r="AB313" s="126">
        <f t="array" aca="1" ref="AB313" ca="1">IFERROR(J313/_xludf.XLOOKUP(I313,Materials!$A$3:$A$292,Materials!$I$3:$I$292),0)
+IFERROR(L313/_xludf.XLOOKUP(K313,Materials!$A$3:$A$292,Materials!$I$3:$I$292),0)
+IFERROR(N313/_xludf.XLOOKUP(M313,Materials!$A$3:$A$292,Materials!$I$3:$I$292),0)
+IFERROR(P313/_xludf.XLOOKUP(O313,Materials!$A$3:$A$292,Materials!$I$3:$I$292),0)
+IFERROR(R313/_xludf.XLOOKUP(Q313,Materials!$A$3:$A$292,Materials!$I$3:$I$292),0)
+IFERROR(H313/_xludf.XLOOKUP(G313,Materials!$A$3:$A$292,Materials!$I$3:$I$292),0)</f>
        <v>0</v>
      </c>
      <c r="AC313" s="20"/>
      <c r="AD313" s="20"/>
      <c r="AE313" s="20"/>
      <c r="AF313" s="20"/>
      <c r="AG313" s="20"/>
      <c r="AH313" s="20"/>
      <c r="AI313" s="20"/>
      <c r="AJ313" s="20"/>
      <c r="AK313" s="20"/>
      <c r="AL313" s="20"/>
      <c r="AM313" s="20"/>
      <c r="AN313" s="20"/>
      <c r="AO313" s="20"/>
      <c r="AP313" s="20"/>
      <c r="AQ313" s="20"/>
      <c r="AR313" s="20"/>
      <c r="AS313" s="20"/>
      <c r="AT313" s="20"/>
      <c r="AU313" s="20"/>
      <c r="AV313" s="20"/>
    </row>
    <row r="314" spans="1:48" ht="17.25" customHeight="1">
      <c r="A314" s="15" t="s">
        <v>6219</v>
      </c>
      <c r="B314" s="124" t="s">
        <v>154</v>
      </c>
      <c r="C314" s="124" t="s">
        <v>5524</v>
      </c>
      <c r="D314" s="125" t="e">
        <f t="shared" ca="1" si="4"/>
        <v>#NAME?</v>
      </c>
      <c r="E314" s="126" t="str">
        <f t="shared" ca="1" si="5"/>
        <v>Not enough information entered</v>
      </c>
      <c r="F314" s="124" t="s">
        <v>6291</v>
      </c>
      <c r="G314" s="124" t="s">
        <v>5211</v>
      </c>
      <c r="H314" s="126">
        <v>5.8000000000000003E-2</v>
      </c>
      <c r="I314" s="124" t="s">
        <v>5186</v>
      </c>
      <c r="J314" s="126">
        <v>0.15</v>
      </c>
      <c r="K314" s="124" t="s">
        <v>5196</v>
      </c>
      <c r="L314" s="124">
        <v>0.03</v>
      </c>
      <c r="M314" s="124"/>
      <c r="N314" s="124"/>
      <c r="O314" s="124"/>
      <c r="P314" s="124"/>
      <c r="Q314" s="124"/>
      <c r="R314" s="124"/>
      <c r="S314" s="124"/>
      <c r="T314" s="124"/>
      <c r="U314" s="124" t="s">
        <v>5523</v>
      </c>
      <c r="V314" s="127">
        <f t="shared" si="6"/>
        <v>0.23799999999999999</v>
      </c>
      <c r="W314" s="124"/>
      <c r="X314" s="124"/>
      <c r="Y314" s="124"/>
      <c r="Z314" s="124"/>
      <c r="AA314" s="124" t="e">
        <f t="shared" ca="1" si="7"/>
        <v>#NAME?</v>
      </c>
      <c r="AB314" s="126">
        <f t="array" aca="1" ref="AB314" ca="1">IFERROR(J314/_xludf.XLOOKUP(I314,Materials!$A$3:$A$292,Materials!$I$3:$I$292),0)
+IFERROR(L314/_xludf.XLOOKUP(K314,Materials!$A$3:$A$292,Materials!$I$3:$I$292),0)
+IFERROR(N314/_xludf.XLOOKUP(M314,Materials!$A$3:$A$292,Materials!$I$3:$I$292),0)
+IFERROR(P314/_xludf.XLOOKUP(O314,Materials!$A$3:$A$292,Materials!$I$3:$I$292),0)
+IFERROR(R314/_xludf.XLOOKUP(Q314,Materials!$A$3:$A$292,Materials!$I$3:$I$292),0)
+IFERROR(H314/_xludf.XLOOKUP(G314,Materials!$A$3:$A$292,Materials!$I$3:$I$292),0)</f>
        <v>0</v>
      </c>
      <c r="AC314" s="20"/>
      <c r="AD314" s="20"/>
      <c r="AE314" s="20"/>
      <c r="AF314" s="20"/>
      <c r="AG314" s="20"/>
      <c r="AH314" s="20"/>
      <c r="AI314" s="20"/>
      <c r="AJ314" s="20"/>
      <c r="AK314" s="20"/>
      <c r="AL314" s="20"/>
      <c r="AM314" s="20"/>
      <c r="AN314" s="20"/>
      <c r="AO314" s="20"/>
      <c r="AP314" s="20"/>
      <c r="AQ314" s="20"/>
      <c r="AR314" s="20"/>
      <c r="AS314" s="20"/>
      <c r="AT314" s="20"/>
      <c r="AU314" s="20"/>
      <c r="AV314" s="20"/>
    </row>
    <row r="315" spans="1:48" ht="17.25" hidden="1" customHeight="1">
      <c r="A315" s="15" t="s">
        <v>6219</v>
      </c>
      <c r="B315" s="124" t="s">
        <v>160</v>
      </c>
      <c r="C315" s="124" t="s">
        <v>5526</v>
      </c>
      <c r="D315" s="125" t="e">
        <f t="shared" ca="1" si="4"/>
        <v>#NAME?</v>
      </c>
      <c r="E315" s="126" t="str">
        <f t="shared" ca="1" si="5"/>
        <v>Not enough information entered</v>
      </c>
      <c r="F315" s="124" t="s">
        <v>6690</v>
      </c>
      <c r="G315" s="124" t="s">
        <v>5211</v>
      </c>
      <c r="H315" s="126">
        <v>4.7E-2</v>
      </c>
      <c r="I315" s="124" t="s">
        <v>5186</v>
      </c>
      <c r="J315" s="126">
        <v>0.18</v>
      </c>
      <c r="K315" s="124" t="s">
        <v>5196</v>
      </c>
      <c r="L315" s="124">
        <v>0.03</v>
      </c>
      <c r="M315" s="124"/>
      <c r="N315" s="124"/>
      <c r="O315" s="124"/>
      <c r="P315" s="124"/>
      <c r="Q315" s="124"/>
      <c r="R315" s="124"/>
      <c r="S315" s="124"/>
      <c r="T315" s="124"/>
      <c r="U315" s="124" t="s">
        <v>5523</v>
      </c>
      <c r="V315" s="127">
        <f t="shared" si="6"/>
        <v>0.25700000000000001</v>
      </c>
      <c r="W315" s="126">
        <v>0</v>
      </c>
      <c r="X315" s="126">
        <v>0</v>
      </c>
      <c r="Y315" s="126">
        <v>10</v>
      </c>
      <c r="Z315" s="124"/>
      <c r="AA315" s="124" t="e">
        <f t="shared" ca="1" si="7"/>
        <v>#NAME?</v>
      </c>
      <c r="AB315" s="126">
        <f t="array" aca="1" ref="AB315" ca="1">IFERROR(J315/_xludf.XLOOKUP(I315,Materials!$A$3:$A$292,Materials!$I$3:$I$292),0)
+IFERROR(L315/_xludf.XLOOKUP(K315,Materials!$A$3:$A$292,Materials!$I$3:$I$292),0)
+IFERROR(N315/_xludf.XLOOKUP(M315,Materials!$A$3:$A$292,Materials!$I$3:$I$292),0)
+IFERROR(P315/_xludf.XLOOKUP(O315,Materials!$A$3:$A$292,Materials!$I$3:$I$292),0)
+IFERROR(R315/_xludf.XLOOKUP(Q315,Materials!$A$3:$A$292,Materials!$I$3:$I$292),0)
+IFERROR(H315/_xludf.XLOOKUP(G315,Materials!$A$3:$A$292,Materials!$I$3:$I$292),0)</f>
        <v>0</v>
      </c>
      <c r="AC315" s="20"/>
      <c r="AD315" s="20"/>
      <c r="AE315" s="20"/>
      <c r="AF315" s="20"/>
      <c r="AG315" s="20"/>
      <c r="AH315" s="20"/>
      <c r="AI315" s="20"/>
      <c r="AJ315" s="20"/>
      <c r="AK315" s="20"/>
      <c r="AL315" s="20"/>
      <c r="AM315" s="20"/>
      <c r="AN315" s="20"/>
      <c r="AO315" s="20"/>
      <c r="AP315" s="20"/>
      <c r="AQ315" s="20"/>
      <c r="AR315" s="20"/>
      <c r="AS315" s="20"/>
      <c r="AT315" s="20"/>
      <c r="AU315" s="20"/>
      <c r="AV315" s="20"/>
    </row>
    <row r="316" spans="1:48" ht="17.25" hidden="1" customHeight="1">
      <c r="A316" s="15" t="s">
        <v>6220</v>
      </c>
      <c r="B316" s="124" t="s">
        <v>157</v>
      </c>
      <c r="C316" s="124" t="s">
        <v>5522</v>
      </c>
      <c r="D316" s="125" t="e">
        <f t="shared" ca="1" si="4"/>
        <v>#NAME?</v>
      </c>
      <c r="E316" s="126" t="str">
        <f t="shared" ca="1" si="5"/>
        <v>Not enough information entered</v>
      </c>
      <c r="F316" s="124" t="s">
        <v>6691</v>
      </c>
      <c r="G316" s="124" t="s">
        <v>5211</v>
      </c>
      <c r="H316" s="126">
        <v>0.04</v>
      </c>
      <c r="I316" s="124" t="s">
        <v>5186</v>
      </c>
      <c r="J316" s="126">
        <v>0.18</v>
      </c>
      <c r="K316" s="124" t="s">
        <v>5204</v>
      </c>
      <c r="L316" s="126">
        <v>0.02</v>
      </c>
      <c r="M316" s="124" t="s">
        <v>5200</v>
      </c>
      <c r="N316" s="126">
        <v>1.2E-2</v>
      </c>
      <c r="O316" s="124"/>
      <c r="P316" s="124"/>
      <c r="Q316" s="124"/>
      <c r="R316" s="124"/>
      <c r="S316" s="124"/>
      <c r="T316" s="124"/>
      <c r="U316" s="124" t="s">
        <v>5523</v>
      </c>
      <c r="V316" s="127">
        <f t="shared" si="6"/>
        <v>0.252</v>
      </c>
      <c r="W316" s="126">
        <v>0</v>
      </c>
      <c r="X316" s="126">
        <v>0</v>
      </c>
      <c r="Y316" s="126">
        <v>10</v>
      </c>
      <c r="Z316" s="124"/>
      <c r="AA316" s="124" t="e">
        <f t="shared" ca="1" si="7"/>
        <v>#NAME?</v>
      </c>
      <c r="AB316" s="126">
        <f t="array" aca="1" ref="AB316" ca="1">IFERROR(J316/_xludf.XLOOKUP(I316,Materials!$A$3:$A$292,Materials!$I$3:$I$292),0)
+IFERROR(L316/_xludf.XLOOKUP(K316,Materials!$A$3:$A$292,Materials!$I$3:$I$292),0)
+IFERROR(N316/_xludf.XLOOKUP(M316,Materials!$A$3:$A$292,Materials!$I$3:$I$292),0)
+IFERROR(P316/_xludf.XLOOKUP(O316,Materials!$A$3:$A$292,Materials!$I$3:$I$292),0)
+IFERROR(R316/_xludf.XLOOKUP(Q316,Materials!$A$3:$A$292,Materials!$I$3:$I$292),0)
+IFERROR(H316/_xludf.XLOOKUP(G316,Materials!$A$3:$A$292,Materials!$I$3:$I$292),0)</f>
        <v>0</v>
      </c>
      <c r="AC316" s="20"/>
      <c r="AD316" s="20"/>
      <c r="AE316" s="20"/>
      <c r="AF316" s="20"/>
      <c r="AG316" s="20"/>
      <c r="AH316" s="20"/>
      <c r="AI316" s="20"/>
      <c r="AJ316" s="20"/>
      <c r="AK316" s="20"/>
      <c r="AL316" s="20"/>
      <c r="AM316" s="20"/>
      <c r="AN316" s="20"/>
      <c r="AO316" s="20"/>
      <c r="AP316" s="20"/>
      <c r="AQ316" s="20"/>
      <c r="AR316" s="20"/>
      <c r="AS316" s="20"/>
      <c r="AT316" s="20"/>
      <c r="AU316" s="20"/>
      <c r="AV316" s="20"/>
    </row>
    <row r="317" spans="1:48" ht="17.25" customHeight="1">
      <c r="A317" s="15" t="s">
        <v>6220</v>
      </c>
      <c r="B317" s="124" t="s">
        <v>154</v>
      </c>
      <c r="C317" s="124" t="s">
        <v>5524</v>
      </c>
      <c r="D317" s="125" t="e">
        <f t="shared" ca="1" si="4"/>
        <v>#NAME?</v>
      </c>
      <c r="E317" s="126" t="str">
        <f t="shared" ca="1" si="5"/>
        <v>Not enough information entered</v>
      </c>
      <c r="F317" s="124" t="s">
        <v>6292</v>
      </c>
      <c r="G317" s="124" t="s">
        <v>5211</v>
      </c>
      <c r="H317" s="126">
        <v>5.8999999999999997E-2</v>
      </c>
      <c r="I317" s="124" t="s">
        <v>5186</v>
      </c>
      <c r="J317" s="126">
        <v>0.15</v>
      </c>
      <c r="K317" s="124" t="s">
        <v>5196</v>
      </c>
      <c r="L317" s="124">
        <v>0.03</v>
      </c>
      <c r="M317" s="124"/>
      <c r="N317" s="124"/>
      <c r="O317" s="124"/>
      <c r="P317" s="124"/>
      <c r="Q317" s="124"/>
      <c r="R317" s="124"/>
      <c r="S317" s="124"/>
      <c r="T317" s="124"/>
      <c r="U317" s="124" t="s">
        <v>5523</v>
      </c>
      <c r="V317" s="127">
        <f t="shared" si="6"/>
        <v>0.23899999999999999</v>
      </c>
      <c r="W317" s="124"/>
      <c r="X317" s="124"/>
      <c r="Y317" s="124"/>
      <c r="Z317" s="124"/>
      <c r="AA317" s="124" t="e">
        <f t="shared" ca="1" si="7"/>
        <v>#NAME?</v>
      </c>
      <c r="AB317" s="126">
        <f t="array" aca="1" ref="AB317" ca="1">IFERROR(J317/_xludf.XLOOKUP(I317,Materials!$A$3:$A$292,Materials!$I$3:$I$292),0)
+IFERROR(L317/_xludf.XLOOKUP(K317,Materials!$A$3:$A$292,Materials!$I$3:$I$292),0)
+IFERROR(N317/_xludf.XLOOKUP(M317,Materials!$A$3:$A$292,Materials!$I$3:$I$292),0)
+IFERROR(P317/_xludf.XLOOKUP(O317,Materials!$A$3:$A$292,Materials!$I$3:$I$292),0)
+IFERROR(R317/_xludf.XLOOKUP(Q317,Materials!$A$3:$A$292,Materials!$I$3:$I$292),0)
+IFERROR(H317/_xludf.XLOOKUP(G317,Materials!$A$3:$A$292,Materials!$I$3:$I$292),0)</f>
        <v>0</v>
      </c>
      <c r="AC317" s="20"/>
      <c r="AD317" s="20"/>
      <c r="AE317" s="20"/>
      <c r="AF317" s="20"/>
      <c r="AG317" s="20"/>
      <c r="AH317" s="20"/>
      <c r="AI317" s="20"/>
      <c r="AJ317" s="20"/>
      <c r="AK317" s="20"/>
      <c r="AL317" s="20"/>
      <c r="AM317" s="20"/>
      <c r="AN317" s="20"/>
      <c r="AO317" s="20"/>
      <c r="AP317" s="20"/>
      <c r="AQ317" s="20"/>
      <c r="AR317" s="20"/>
      <c r="AS317" s="20"/>
      <c r="AT317" s="20"/>
      <c r="AU317" s="20"/>
      <c r="AV317" s="20"/>
    </row>
    <row r="318" spans="1:48" ht="17.25" hidden="1" customHeight="1">
      <c r="A318" s="15" t="s">
        <v>6220</v>
      </c>
      <c r="B318" s="124" t="s">
        <v>160</v>
      </c>
      <c r="C318" s="124" t="s">
        <v>5526</v>
      </c>
      <c r="D318" s="125" t="e">
        <f t="shared" ca="1" si="4"/>
        <v>#NAME?</v>
      </c>
      <c r="E318" s="126" t="str">
        <f t="shared" ca="1" si="5"/>
        <v>Not enough information entered</v>
      </c>
      <c r="F318" s="124" t="s">
        <v>6692</v>
      </c>
      <c r="G318" s="124" t="s">
        <v>5211</v>
      </c>
      <c r="H318" s="126">
        <v>5.8000000000000003E-2</v>
      </c>
      <c r="I318" s="124" t="s">
        <v>5186</v>
      </c>
      <c r="J318" s="126">
        <v>0.18</v>
      </c>
      <c r="K318" s="124" t="s">
        <v>5196</v>
      </c>
      <c r="L318" s="124">
        <v>0.03</v>
      </c>
      <c r="M318" s="124"/>
      <c r="N318" s="124"/>
      <c r="O318" s="124"/>
      <c r="P318" s="124"/>
      <c r="Q318" s="124"/>
      <c r="R318" s="124"/>
      <c r="S318" s="124"/>
      <c r="T318" s="124"/>
      <c r="U318" s="124" t="s">
        <v>5523</v>
      </c>
      <c r="V318" s="127">
        <f t="shared" si="6"/>
        <v>0.26800000000000002</v>
      </c>
      <c r="W318" s="126">
        <v>0</v>
      </c>
      <c r="X318" s="126">
        <v>0</v>
      </c>
      <c r="Y318" s="126">
        <v>10</v>
      </c>
      <c r="Z318" s="124"/>
      <c r="AA318" s="124" t="e">
        <f t="shared" ca="1" si="7"/>
        <v>#NAME?</v>
      </c>
      <c r="AB318" s="126">
        <f t="array" aca="1" ref="AB318" ca="1">IFERROR(J318/_xludf.XLOOKUP(I318,Materials!$A$3:$A$292,Materials!$I$3:$I$292),0)
+IFERROR(L318/_xludf.XLOOKUP(K318,Materials!$A$3:$A$292,Materials!$I$3:$I$292),0)
+IFERROR(N318/_xludf.XLOOKUP(M318,Materials!$A$3:$A$292,Materials!$I$3:$I$292),0)
+IFERROR(P318/_xludf.XLOOKUP(O318,Materials!$A$3:$A$292,Materials!$I$3:$I$292),0)
+IFERROR(R318/_xludf.XLOOKUP(Q318,Materials!$A$3:$A$292,Materials!$I$3:$I$292),0)
+IFERROR(H318/_xludf.XLOOKUP(G318,Materials!$A$3:$A$292,Materials!$I$3:$I$292),0)</f>
        <v>0</v>
      </c>
      <c r="AC318" s="20"/>
      <c r="AD318" s="20"/>
      <c r="AE318" s="20"/>
      <c r="AF318" s="20"/>
      <c r="AG318" s="20"/>
      <c r="AH318" s="20"/>
      <c r="AI318" s="20"/>
      <c r="AJ318" s="20"/>
      <c r="AK318" s="20"/>
      <c r="AL318" s="20"/>
      <c r="AM318" s="20"/>
      <c r="AN318" s="20"/>
      <c r="AO318" s="20"/>
      <c r="AP318" s="20"/>
      <c r="AQ318" s="20"/>
      <c r="AR318" s="20"/>
      <c r="AS318" s="20"/>
      <c r="AT318" s="20"/>
      <c r="AU318" s="20"/>
      <c r="AV318" s="20"/>
    </row>
    <row r="319" spans="1:48" ht="17.25" hidden="1" customHeight="1">
      <c r="A319" s="15" t="s">
        <v>6221</v>
      </c>
      <c r="B319" s="124" t="s">
        <v>157</v>
      </c>
      <c r="C319" s="124" t="s">
        <v>5522</v>
      </c>
      <c r="D319" s="125" t="e">
        <f t="shared" ca="1" si="4"/>
        <v>#NAME?</v>
      </c>
      <c r="E319" s="126" t="str">
        <f t="shared" ca="1" si="5"/>
        <v>Not enough information entered</v>
      </c>
      <c r="F319" s="124" t="s">
        <v>6693</v>
      </c>
      <c r="G319" s="124" t="s">
        <v>5211</v>
      </c>
      <c r="H319" s="126">
        <v>0.06</v>
      </c>
      <c r="I319" s="124" t="s">
        <v>5186</v>
      </c>
      <c r="J319" s="126">
        <v>0.18</v>
      </c>
      <c r="K319" s="124" t="s">
        <v>5204</v>
      </c>
      <c r="L319" s="126">
        <v>0.02</v>
      </c>
      <c r="M319" s="124" t="s">
        <v>5200</v>
      </c>
      <c r="N319" s="126">
        <v>1.2E-2</v>
      </c>
      <c r="O319" s="124"/>
      <c r="P319" s="124"/>
      <c r="Q319" s="124"/>
      <c r="R319" s="124"/>
      <c r="S319" s="124"/>
      <c r="T319" s="124"/>
      <c r="U319" s="124" t="s">
        <v>5523</v>
      </c>
      <c r="V319" s="127">
        <f t="shared" si="6"/>
        <v>0.27200000000000002</v>
      </c>
      <c r="W319" s="126">
        <v>0</v>
      </c>
      <c r="X319" s="126">
        <v>0</v>
      </c>
      <c r="Y319" s="126">
        <v>10</v>
      </c>
      <c r="Z319" s="124"/>
      <c r="AA319" s="124" t="e">
        <f t="shared" ca="1" si="7"/>
        <v>#NAME?</v>
      </c>
      <c r="AB319" s="126">
        <f t="array" aca="1" ref="AB319" ca="1">IFERROR(J319/_xludf.XLOOKUP(I319,Materials!$A$3:$A$292,Materials!$I$3:$I$292),0)
+IFERROR(L319/_xludf.XLOOKUP(K319,Materials!$A$3:$A$292,Materials!$I$3:$I$292),0)
+IFERROR(N319/_xludf.XLOOKUP(M319,Materials!$A$3:$A$292,Materials!$I$3:$I$292),0)
+IFERROR(P319/_xludf.XLOOKUP(O319,Materials!$A$3:$A$292,Materials!$I$3:$I$292),0)
+IFERROR(R319/_xludf.XLOOKUP(Q319,Materials!$A$3:$A$292,Materials!$I$3:$I$292),0)
+IFERROR(H319/_xludf.XLOOKUP(G319,Materials!$A$3:$A$292,Materials!$I$3:$I$292),0)</f>
        <v>0</v>
      </c>
      <c r="AC319" s="20"/>
      <c r="AD319" s="20"/>
      <c r="AE319" s="20"/>
      <c r="AF319" s="20"/>
      <c r="AG319" s="20"/>
      <c r="AH319" s="20"/>
      <c r="AI319" s="20"/>
      <c r="AJ319" s="20"/>
      <c r="AK319" s="20"/>
      <c r="AL319" s="20"/>
      <c r="AM319" s="20"/>
      <c r="AN319" s="20"/>
      <c r="AO319" s="20"/>
      <c r="AP319" s="20"/>
      <c r="AQ319" s="20"/>
      <c r="AR319" s="20"/>
      <c r="AS319" s="20"/>
      <c r="AT319" s="20"/>
      <c r="AU319" s="20"/>
      <c r="AV319" s="20"/>
    </row>
    <row r="320" spans="1:48" ht="17.25" customHeight="1">
      <c r="A320" s="15" t="s">
        <v>6221</v>
      </c>
      <c r="B320" s="124" t="s">
        <v>154</v>
      </c>
      <c r="C320" s="124" t="s">
        <v>5524</v>
      </c>
      <c r="D320" s="125" t="e">
        <f t="shared" ca="1" si="4"/>
        <v>#NAME?</v>
      </c>
      <c r="E320" s="126" t="str">
        <f t="shared" ca="1" si="5"/>
        <v>Not enough information entered</v>
      </c>
      <c r="F320" s="124" t="s">
        <v>6293</v>
      </c>
      <c r="G320" s="124" t="s">
        <v>5211</v>
      </c>
      <c r="H320" s="126">
        <v>7.8E-2</v>
      </c>
      <c r="I320" s="124" t="s">
        <v>5186</v>
      </c>
      <c r="J320" s="126">
        <v>0.15</v>
      </c>
      <c r="K320" s="124" t="s">
        <v>5196</v>
      </c>
      <c r="L320" s="124">
        <v>0.03</v>
      </c>
      <c r="M320" s="124"/>
      <c r="N320" s="124"/>
      <c r="O320" s="124"/>
      <c r="P320" s="124"/>
      <c r="Q320" s="124"/>
      <c r="R320" s="124"/>
      <c r="S320" s="124"/>
      <c r="T320" s="124"/>
      <c r="U320" s="124" t="s">
        <v>5523</v>
      </c>
      <c r="V320" s="127">
        <f t="shared" si="6"/>
        <v>0.25800000000000001</v>
      </c>
      <c r="W320" s="124"/>
      <c r="X320" s="124"/>
      <c r="Y320" s="124"/>
      <c r="Z320" s="124"/>
      <c r="AA320" s="124" t="e">
        <f t="shared" ca="1" si="7"/>
        <v>#NAME?</v>
      </c>
      <c r="AB320" s="126">
        <f t="array" aca="1" ref="AB320" ca="1">IFERROR(J320/_xludf.XLOOKUP(I320,Materials!$A$3:$A$292,Materials!$I$3:$I$292),0)
+IFERROR(L320/_xludf.XLOOKUP(K320,Materials!$A$3:$A$292,Materials!$I$3:$I$292),0)
+IFERROR(N320/_xludf.XLOOKUP(M320,Materials!$A$3:$A$292,Materials!$I$3:$I$292),0)
+IFERROR(P320/_xludf.XLOOKUP(O320,Materials!$A$3:$A$292,Materials!$I$3:$I$292),0)
+IFERROR(R320/_xludf.XLOOKUP(Q320,Materials!$A$3:$A$292,Materials!$I$3:$I$292),0)
+IFERROR(H320/_xludf.XLOOKUP(G320,Materials!$A$3:$A$292,Materials!$I$3:$I$292),0)</f>
        <v>0</v>
      </c>
      <c r="AC320" s="20"/>
      <c r="AD320" s="20"/>
      <c r="AE320" s="20"/>
      <c r="AF320" s="20"/>
      <c r="AG320" s="20"/>
      <c r="AH320" s="20"/>
      <c r="AI320" s="20"/>
      <c r="AJ320" s="20"/>
      <c r="AK320" s="20"/>
      <c r="AL320" s="20"/>
      <c r="AM320" s="20"/>
      <c r="AN320" s="20"/>
      <c r="AO320" s="20"/>
      <c r="AP320" s="20"/>
      <c r="AQ320" s="20"/>
      <c r="AR320" s="20"/>
      <c r="AS320" s="20"/>
      <c r="AT320" s="20"/>
      <c r="AU320" s="20"/>
      <c r="AV320" s="20"/>
    </row>
    <row r="321" spans="1:48" ht="17.25" hidden="1" customHeight="1">
      <c r="A321" s="15" t="s">
        <v>6221</v>
      </c>
      <c r="B321" s="124" t="s">
        <v>160</v>
      </c>
      <c r="C321" s="124" t="s">
        <v>5526</v>
      </c>
      <c r="D321" s="125" t="e">
        <f t="shared" ca="1" si="4"/>
        <v>#NAME?</v>
      </c>
      <c r="E321" s="126" t="str">
        <f t="shared" ca="1" si="5"/>
        <v>Not enough information entered</v>
      </c>
      <c r="F321" s="124" t="s">
        <v>6694</v>
      </c>
      <c r="G321" s="124" t="s">
        <v>5211</v>
      </c>
      <c r="H321" s="126">
        <v>7.6999999999999999E-2</v>
      </c>
      <c r="I321" s="124" t="s">
        <v>5186</v>
      </c>
      <c r="J321" s="126">
        <v>0.18</v>
      </c>
      <c r="K321" s="124" t="s">
        <v>5196</v>
      </c>
      <c r="L321" s="124">
        <v>0.03</v>
      </c>
      <c r="M321" s="124"/>
      <c r="N321" s="124"/>
      <c r="O321" s="124"/>
      <c r="P321" s="124"/>
      <c r="Q321" s="124"/>
      <c r="R321" s="124"/>
      <c r="S321" s="124"/>
      <c r="T321" s="124"/>
      <c r="U321" s="124" t="s">
        <v>5523</v>
      </c>
      <c r="V321" s="127">
        <f t="shared" si="6"/>
        <v>0.28700000000000003</v>
      </c>
      <c r="W321" s="126">
        <v>0</v>
      </c>
      <c r="X321" s="126">
        <v>0</v>
      </c>
      <c r="Y321" s="126">
        <v>10</v>
      </c>
      <c r="Z321" s="124"/>
      <c r="AA321" s="124" t="e">
        <f t="shared" ca="1" si="7"/>
        <v>#NAME?</v>
      </c>
      <c r="AB321" s="126">
        <f t="array" aca="1" ref="AB321" ca="1">IFERROR(J321/_xludf.XLOOKUP(I321,Materials!$A$3:$A$292,Materials!$I$3:$I$292),0)
+IFERROR(L321/_xludf.XLOOKUP(K321,Materials!$A$3:$A$292,Materials!$I$3:$I$292),0)
+IFERROR(N321/_xludf.XLOOKUP(M321,Materials!$A$3:$A$292,Materials!$I$3:$I$292),0)
+IFERROR(P321/_xludf.XLOOKUP(O321,Materials!$A$3:$A$292,Materials!$I$3:$I$292),0)
+IFERROR(R321/_xludf.XLOOKUP(Q321,Materials!$A$3:$A$292,Materials!$I$3:$I$292),0)
+IFERROR(H321/_xludf.XLOOKUP(G321,Materials!$A$3:$A$292,Materials!$I$3:$I$292),0)</f>
        <v>0</v>
      </c>
      <c r="AC321" s="20"/>
      <c r="AD321" s="20"/>
      <c r="AE321" s="20"/>
      <c r="AF321" s="20"/>
      <c r="AG321" s="20"/>
      <c r="AH321" s="20"/>
      <c r="AI321" s="20"/>
      <c r="AJ321" s="20"/>
      <c r="AK321" s="20"/>
      <c r="AL321" s="20"/>
      <c r="AM321" s="20"/>
      <c r="AN321" s="20"/>
      <c r="AO321" s="20"/>
      <c r="AP321" s="20"/>
      <c r="AQ321" s="20"/>
      <c r="AR321" s="20"/>
      <c r="AS321" s="20"/>
      <c r="AT321" s="20"/>
      <c r="AU321" s="20"/>
      <c r="AV321" s="20"/>
    </row>
    <row r="322" spans="1:48" ht="17.25" hidden="1" customHeight="1">
      <c r="A322" s="15" t="s">
        <v>6222</v>
      </c>
      <c r="B322" s="124" t="s">
        <v>157</v>
      </c>
      <c r="C322" s="124" t="s">
        <v>5522</v>
      </c>
      <c r="D322" s="125" t="e">
        <f t="shared" ca="1" si="4"/>
        <v>#NAME?</v>
      </c>
      <c r="E322" s="126" t="str">
        <f t="shared" ca="1" si="5"/>
        <v>Not enough information entered</v>
      </c>
      <c r="F322" s="124" t="s">
        <v>6695</v>
      </c>
      <c r="G322" s="124" t="s">
        <v>5211</v>
      </c>
      <c r="H322" s="126">
        <v>6.9000000000000006E-2</v>
      </c>
      <c r="I322" s="124" t="s">
        <v>5186</v>
      </c>
      <c r="J322" s="126">
        <v>0.18</v>
      </c>
      <c r="K322" s="124" t="s">
        <v>5204</v>
      </c>
      <c r="L322" s="126">
        <v>0.02</v>
      </c>
      <c r="M322" s="124" t="s">
        <v>5200</v>
      </c>
      <c r="N322" s="126">
        <v>1.2E-2</v>
      </c>
      <c r="O322" s="124"/>
      <c r="P322" s="124"/>
      <c r="Q322" s="124"/>
      <c r="R322" s="124"/>
      <c r="S322" s="124"/>
      <c r="T322" s="124"/>
      <c r="U322" s="124" t="s">
        <v>5523</v>
      </c>
      <c r="V322" s="127">
        <f t="shared" si="6"/>
        <v>0.28100000000000003</v>
      </c>
      <c r="W322" s="126">
        <v>0</v>
      </c>
      <c r="X322" s="126">
        <v>0</v>
      </c>
      <c r="Y322" s="126">
        <v>10</v>
      </c>
      <c r="Z322" s="124"/>
      <c r="AA322" s="124" t="e">
        <f t="shared" ca="1" si="7"/>
        <v>#NAME?</v>
      </c>
      <c r="AB322" s="126">
        <f t="array" aca="1" ref="AB322" ca="1">IFERROR(J322/_xludf.XLOOKUP(I322,Materials!$A$3:$A$292,Materials!$I$3:$I$292),0)
+IFERROR(L322/_xludf.XLOOKUP(K322,Materials!$A$3:$A$292,Materials!$I$3:$I$292),0)
+IFERROR(N322/_xludf.XLOOKUP(M322,Materials!$A$3:$A$292,Materials!$I$3:$I$292),0)
+IFERROR(P322/_xludf.XLOOKUP(O322,Materials!$A$3:$A$292,Materials!$I$3:$I$292),0)
+IFERROR(R322/_xludf.XLOOKUP(Q322,Materials!$A$3:$A$292,Materials!$I$3:$I$292),0)
+IFERROR(H322/_xludf.XLOOKUP(G322,Materials!$A$3:$A$292,Materials!$I$3:$I$292),0)</f>
        <v>0</v>
      </c>
      <c r="AC322" s="20"/>
      <c r="AD322" s="20"/>
      <c r="AE322" s="20"/>
      <c r="AF322" s="20"/>
      <c r="AG322" s="20"/>
      <c r="AH322" s="20"/>
      <c r="AI322" s="20"/>
      <c r="AJ322" s="20"/>
      <c r="AK322" s="20"/>
      <c r="AL322" s="20"/>
      <c r="AM322" s="20"/>
      <c r="AN322" s="20"/>
      <c r="AO322" s="20"/>
      <c r="AP322" s="20"/>
      <c r="AQ322" s="20"/>
      <c r="AR322" s="20"/>
      <c r="AS322" s="20"/>
      <c r="AT322" s="20"/>
      <c r="AU322" s="20"/>
      <c r="AV322" s="20"/>
    </row>
    <row r="323" spans="1:48" ht="17.25" customHeight="1">
      <c r="A323" s="15" t="s">
        <v>6222</v>
      </c>
      <c r="B323" s="124" t="s">
        <v>154</v>
      </c>
      <c r="C323" s="124" t="s">
        <v>5524</v>
      </c>
      <c r="D323" s="125" t="e">
        <f t="shared" ca="1" si="4"/>
        <v>#NAME?</v>
      </c>
      <c r="E323" s="126" t="str">
        <f t="shared" ca="1" si="5"/>
        <v>Not enough information entered</v>
      </c>
      <c r="F323" s="124" t="s">
        <v>6294</v>
      </c>
      <c r="G323" s="124" t="s">
        <v>5211</v>
      </c>
      <c r="H323" s="126">
        <v>9.4E-2</v>
      </c>
      <c r="I323" s="124" t="s">
        <v>5186</v>
      </c>
      <c r="J323" s="126">
        <v>0.15</v>
      </c>
      <c r="K323" s="124" t="s">
        <v>5196</v>
      </c>
      <c r="L323" s="124">
        <v>0.03</v>
      </c>
      <c r="M323" s="124"/>
      <c r="N323" s="124"/>
      <c r="O323" s="124"/>
      <c r="P323" s="124"/>
      <c r="Q323" s="124"/>
      <c r="R323" s="124"/>
      <c r="S323" s="124"/>
      <c r="T323" s="124"/>
      <c r="U323" s="124" t="s">
        <v>5523</v>
      </c>
      <c r="V323" s="127">
        <f t="shared" si="6"/>
        <v>0.27400000000000002</v>
      </c>
      <c r="W323" s="124"/>
      <c r="X323" s="124"/>
      <c r="Y323" s="124"/>
      <c r="Z323" s="124"/>
      <c r="AA323" s="124" t="e">
        <f t="shared" ca="1" si="7"/>
        <v>#NAME?</v>
      </c>
      <c r="AB323" s="126">
        <f t="array" aca="1" ref="AB323" ca="1">IFERROR(J323/_xludf.XLOOKUP(I323,Materials!$A$3:$A$292,Materials!$I$3:$I$292),0)
+IFERROR(L323/_xludf.XLOOKUP(K323,Materials!$A$3:$A$292,Materials!$I$3:$I$292),0)
+IFERROR(N323/_xludf.XLOOKUP(M323,Materials!$A$3:$A$292,Materials!$I$3:$I$292),0)
+IFERROR(P323/_xludf.XLOOKUP(O323,Materials!$A$3:$A$292,Materials!$I$3:$I$292),0)
+IFERROR(R323/_xludf.XLOOKUP(Q323,Materials!$A$3:$A$292,Materials!$I$3:$I$292),0)
+IFERROR(H323/_xludf.XLOOKUP(G323,Materials!$A$3:$A$292,Materials!$I$3:$I$292),0)</f>
        <v>0</v>
      </c>
      <c r="AC323" s="20"/>
      <c r="AD323" s="20"/>
      <c r="AE323" s="20"/>
      <c r="AF323" s="20"/>
      <c r="AG323" s="20"/>
      <c r="AH323" s="20"/>
      <c r="AI323" s="20"/>
      <c r="AJ323" s="20"/>
      <c r="AK323" s="20"/>
      <c r="AL323" s="20"/>
      <c r="AM323" s="20"/>
      <c r="AN323" s="20"/>
      <c r="AO323" s="20"/>
      <c r="AP323" s="20"/>
      <c r="AQ323" s="20"/>
      <c r="AR323" s="20"/>
      <c r="AS323" s="20"/>
      <c r="AT323" s="20"/>
      <c r="AU323" s="20"/>
      <c r="AV323" s="20"/>
    </row>
    <row r="324" spans="1:48" ht="17.25" hidden="1" customHeight="1">
      <c r="A324" s="15" t="s">
        <v>6222</v>
      </c>
      <c r="B324" s="124" t="s">
        <v>160</v>
      </c>
      <c r="C324" s="124" t="s">
        <v>5526</v>
      </c>
      <c r="D324" s="125" t="e">
        <f t="shared" ca="1" si="4"/>
        <v>#NAME?</v>
      </c>
      <c r="E324" s="126" t="str">
        <f t="shared" ca="1" si="5"/>
        <v>Not enough information entered</v>
      </c>
      <c r="F324" s="124" t="s">
        <v>6696</v>
      </c>
      <c r="G324" s="124" t="s">
        <v>5211</v>
      </c>
      <c r="H324" s="126">
        <v>9.2999999999999999E-2</v>
      </c>
      <c r="I324" s="124" t="s">
        <v>5186</v>
      </c>
      <c r="J324" s="126">
        <v>0.18</v>
      </c>
      <c r="K324" s="124" t="s">
        <v>5196</v>
      </c>
      <c r="L324" s="124">
        <v>0.03</v>
      </c>
      <c r="M324" s="124"/>
      <c r="N324" s="124"/>
      <c r="O324" s="124"/>
      <c r="P324" s="124"/>
      <c r="Q324" s="124"/>
      <c r="R324" s="124"/>
      <c r="S324" s="124"/>
      <c r="T324" s="124"/>
      <c r="U324" s="124" t="s">
        <v>5523</v>
      </c>
      <c r="V324" s="127">
        <f t="shared" si="6"/>
        <v>0.30300000000000005</v>
      </c>
      <c r="W324" s="126">
        <v>0</v>
      </c>
      <c r="X324" s="126">
        <v>0</v>
      </c>
      <c r="Y324" s="126">
        <v>10</v>
      </c>
      <c r="Z324" s="124"/>
      <c r="AA324" s="124" t="e">
        <f t="shared" ca="1" si="7"/>
        <v>#NAME?</v>
      </c>
      <c r="AB324" s="126">
        <f t="array" aca="1" ref="AB324" ca="1">IFERROR(J324/_xludf.XLOOKUP(I324,Materials!$A$3:$A$292,Materials!$I$3:$I$292),0)
+IFERROR(L324/_xludf.XLOOKUP(K324,Materials!$A$3:$A$292,Materials!$I$3:$I$292),0)
+IFERROR(N324/_xludf.XLOOKUP(M324,Materials!$A$3:$A$292,Materials!$I$3:$I$292),0)
+IFERROR(P324/_xludf.XLOOKUP(O324,Materials!$A$3:$A$292,Materials!$I$3:$I$292),0)
+IFERROR(R324/_xludf.XLOOKUP(Q324,Materials!$A$3:$A$292,Materials!$I$3:$I$292),0)
+IFERROR(H324/_xludf.XLOOKUP(G324,Materials!$A$3:$A$292,Materials!$I$3:$I$292),0)</f>
        <v>0</v>
      </c>
      <c r="AC324" s="20"/>
      <c r="AD324" s="20"/>
      <c r="AE324" s="20"/>
      <c r="AF324" s="20"/>
      <c r="AG324" s="20"/>
      <c r="AH324" s="20"/>
      <c r="AI324" s="20"/>
      <c r="AJ324" s="20"/>
      <c r="AK324" s="20"/>
      <c r="AL324" s="20"/>
      <c r="AM324" s="20"/>
      <c r="AN324" s="20"/>
      <c r="AO324" s="20"/>
      <c r="AP324" s="20"/>
      <c r="AQ324" s="20"/>
      <c r="AR324" s="20"/>
      <c r="AS324" s="20"/>
      <c r="AT324" s="20"/>
      <c r="AU324" s="20"/>
      <c r="AV324" s="20"/>
    </row>
    <row r="325" spans="1:48" ht="17.25" hidden="1" customHeight="1">
      <c r="A325" s="15" t="s">
        <v>4860</v>
      </c>
      <c r="B325" s="124" t="s">
        <v>158</v>
      </c>
      <c r="C325" s="124" t="s">
        <v>5527</v>
      </c>
      <c r="D325" s="125" t="e">
        <f t="shared" ca="1" si="4"/>
        <v>#NAME?</v>
      </c>
      <c r="E325" s="126" t="str">
        <f t="shared" ca="1" si="5"/>
        <v>Not enough information entered</v>
      </c>
      <c r="F325" s="124" t="s">
        <v>6697</v>
      </c>
      <c r="G325" s="124" t="s">
        <v>5200</v>
      </c>
      <c r="H325" s="124">
        <v>1.2500000000000001E-2</v>
      </c>
      <c r="I325" s="124" t="s">
        <v>5204</v>
      </c>
      <c r="J325" s="124">
        <v>0.05</v>
      </c>
      <c r="K325" s="124" t="s">
        <v>5200</v>
      </c>
      <c r="L325" s="124">
        <v>1.2500000000000001E-2</v>
      </c>
      <c r="M325" s="124"/>
      <c r="N325" s="124"/>
      <c r="O325" s="124"/>
      <c r="P325" s="124"/>
      <c r="Q325" s="124"/>
      <c r="R325" s="124"/>
      <c r="S325" s="124"/>
      <c r="T325" s="124"/>
      <c r="U325" s="124" t="s">
        <v>5523</v>
      </c>
      <c r="V325" s="127">
        <f t="shared" si="6"/>
        <v>7.4999999999999997E-2</v>
      </c>
      <c r="W325" s="124"/>
      <c r="X325" s="124"/>
      <c r="Y325" s="124"/>
      <c r="Z325" s="124"/>
      <c r="AA325" s="124" t="e">
        <f t="shared" ca="1" si="7"/>
        <v>#NAME?</v>
      </c>
      <c r="AB325" s="126">
        <f t="array" aca="1" ref="AB325" ca="1">IFERROR(J325/_xludf.XLOOKUP(I325,Materials!$A$3:$A$292,Materials!$I$3:$I$292),0)
+IFERROR(L325/_xludf.XLOOKUP(K325,Materials!$A$3:$A$292,Materials!$I$3:$I$292),0)
+IFERROR(N325/_xludf.XLOOKUP(M325,Materials!$A$3:$A$292,Materials!$I$3:$I$292),0)
+IFERROR(P325/_xludf.XLOOKUP(O325,Materials!$A$3:$A$292,Materials!$I$3:$I$292),0)
+IFERROR(R325/_xludf.XLOOKUP(Q325,Materials!$A$3:$A$292,Materials!$I$3:$I$292),0)
+IFERROR(H325/_xludf.XLOOKUP(G325,Materials!$A$3:$A$292,Materials!$I$3:$I$292),0)</f>
        <v>0</v>
      </c>
      <c r="AC325" s="20"/>
      <c r="AD325" s="20"/>
      <c r="AE325" s="20"/>
      <c r="AF325" s="20"/>
      <c r="AG325" s="20"/>
      <c r="AH325" s="20"/>
      <c r="AI325" s="20"/>
      <c r="AJ325" s="20"/>
      <c r="AK325" s="20"/>
      <c r="AL325" s="20"/>
      <c r="AM325" s="20"/>
      <c r="AN325" s="20"/>
      <c r="AO325" s="20"/>
      <c r="AP325" s="20"/>
      <c r="AQ325" s="20"/>
      <c r="AR325" s="20"/>
      <c r="AS325" s="20"/>
      <c r="AT325" s="20"/>
      <c r="AU325" s="20"/>
      <c r="AV325" s="20"/>
    </row>
    <row r="326" spans="1:48" ht="17.25" hidden="1" customHeight="1">
      <c r="A326" s="15" t="s">
        <v>4860</v>
      </c>
      <c r="B326" s="124" t="s">
        <v>162</v>
      </c>
      <c r="C326" s="124" t="s">
        <v>5529</v>
      </c>
      <c r="D326" s="125" t="e">
        <f t="shared" ca="1" si="4"/>
        <v>#NAME?</v>
      </c>
      <c r="E326" s="126" t="str">
        <f t="shared" ca="1" si="5"/>
        <v>Not enough information entered</v>
      </c>
      <c r="F326" s="124" t="s">
        <v>6698</v>
      </c>
      <c r="G326" s="124" t="s">
        <v>5186</v>
      </c>
      <c r="H326" s="124">
        <v>0.18</v>
      </c>
      <c r="I326" s="124" t="s">
        <v>5196</v>
      </c>
      <c r="J326" s="124">
        <v>0.03</v>
      </c>
      <c r="K326" s="124"/>
      <c r="L326" s="124"/>
      <c r="M326" s="124"/>
      <c r="N326" s="124"/>
      <c r="O326" s="124"/>
      <c r="P326" s="124"/>
      <c r="Q326" s="124"/>
      <c r="R326" s="124"/>
      <c r="S326" s="124"/>
      <c r="T326" s="124"/>
      <c r="U326" s="124" t="s">
        <v>5523</v>
      </c>
      <c r="V326" s="127">
        <f t="shared" si="6"/>
        <v>0.21</v>
      </c>
      <c r="W326" s="124"/>
      <c r="X326" s="124"/>
      <c r="Y326" s="124"/>
      <c r="Z326" s="124"/>
      <c r="AA326" s="124" t="e">
        <f t="shared" ca="1" si="7"/>
        <v>#NAME?</v>
      </c>
      <c r="AB326" s="126">
        <f t="array" aca="1" ref="AB326" ca="1">IFERROR(J326/_xludf.XLOOKUP(I326,Materials!$A$3:$A$292,Materials!$I$3:$I$292),0)
+IFERROR(L326/_xludf.XLOOKUP(K326,Materials!$A$3:$A$292,Materials!$I$3:$I$292),0)
+IFERROR(N326/_xludf.XLOOKUP(M326,Materials!$A$3:$A$292,Materials!$I$3:$I$292),0)
+IFERROR(P326/_xludf.XLOOKUP(O326,Materials!$A$3:$A$292,Materials!$I$3:$I$292),0)
+IFERROR(R326/_xludf.XLOOKUP(Q326,Materials!$A$3:$A$292,Materials!$I$3:$I$292),0)
+IFERROR(H326/_xludf.XLOOKUP(G326,Materials!$A$3:$A$292,Materials!$I$3:$I$292),0)</f>
        <v>0</v>
      </c>
      <c r="AC326" s="20"/>
      <c r="AD326" s="20"/>
      <c r="AE326" s="20"/>
      <c r="AF326" s="20"/>
      <c r="AG326" s="20"/>
      <c r="AH326" s="20"/>
      <c r="AI326" s="20"/>
      <c r="AJ326" s="20"/>
      <c r="AK326" s="20"/>
      <c r="AL326" s="20"/>
      <c r="AM326" s="20"/>
      <c r="AN326" s="20"/>
      <c r="AO326" s="20"/>
      <c r="AP326" s="20"/>
      <c r="AQ326" s="20"/>
      <c r="AR326" s="20"/>
      <c r="AS326" s="20"/>
      <c r="AT326" s="20"/>
      <c r="AU326" s="20"/>
      <c r="AV326" s="20"/>
    </row>
    <row r="327" spans="1:48" ht="17.25" hidden="1" customHeight="1">
      <c r="A327" s="15"/>
      <c r="B327" s="124"/>
      <c r="C327" s="124" t="s">
        <v>5532</v>
      </c>
      <c r="D327" s="125"/>
      <c r="E327" s="126"/>
      <c r="F327" s="124"/>
      <c r="G327" s="124"/>
      <c r="H327" s="124"/>
      <c r="I327" s="124"/>
      <c r="J327" s="124"/>
      <c r="K327" s="124"/>
      <c r="L327" s="124"/>
      <c r="M327" s="124"/>
      <c r="N327" s="124"/>
      <c r="O327" s="124"/>
      <c r="P327" s="124"/>
      <c r="Q327" s="124"/>
      <c r="R327" s="124"/>
      <c r="S327" s="124"/>
      <c r="T327" s="124"/>
      <c r="U327" s="124"/>
      <c r="V327" s="127"/>
      <c r="W327" s="124"/>
      <c r="X327" s="124"/>
      <c r="Y327" s="124"/>
      <c r="Z327" s="124"/>
      <c r="AA327" s="124"/>
      <c r="AB327" s="126"/>
      <c r="AC327" s="20"/>
      <c r="AD327" s="20"/>
      <c r="AE327" s="20"/>
      <c r="AF327" s="20"/>
      <c r="AG327" s="20"/>
      <c r="AH327" s="20"/>
      <c r="AI327" s="20"/>
      <c r="AJ327" s="20"/>
      <c r="AK327" s="20"/>
      <c r="AL327" s="20"/>
      <c r="AM327" s="20"/>
      <c r="AN327" s="20"/>
      <c r="AO327" s="20"/>
      <c r="AP327" s="20"/>
      <c r="AQ327" s="20"/>
      <c r="AR327" s="20"/>
      <c r="AS327" s="20"/>
      <c r="AT327" s="20"/>
      <c r="AU327" s="20"/>
      <c r="AV327" s="20"/>
    </row>
    <row r="328" spans="1:48" ht="17.25" hidden="1" customHeight="1">
      <c r="A328" s="15" t="s">
        <v>5818</v>
      </c>
      <c r="B328" s="124" t="s">
        <v>157</v>
      </c>
      <c r="C328" s="124" t="s">
        <v>5522</v>
      </c>
      <c r="D328" s="125" t="e">
        <f t="shared" ca="1" si="4"/>
        <v>#NAME?</v>
      </c>
      <c r="E328" s="126" t="str">
        <f t="shared" ca="1" si="5"/>
        <v>Not enough information entered</v>
      </c>
      <c r="F328" s="124" t="s">
        <v>6444</v>
      </c>
      <c r="G328" s="124" t="s">
        <v>5186</v>
      </c>
      <c r="H328" s="126">
        <v>0.18</v>
      </c>
      <c r="I328" s="124" t="s">
        <v>5204</v>
      </c>
      <c r="J328" s="126">
        <v>0.02</v>
      </c>
      <c r="K328" s="124" t="s">
        <v>5200</v>
      </c>
      <c r="L328" s="126">
        <v>1.2E-2</v>
      </c>
      <c r="M328" s="124"/>
      <c r="N328" s="124"/>
      <c r="O328" s="124"/>
      <c r="P328" s="124"/>
      <c r="Q328" s="124"/>
      <c r="R328" s="124"/>
      <c r="S328" s="124"/>
      <c r="T328" s="124"/>
      <c r="U328" s="124" t="s">
        <v>5523</v>
      </c>
      <c r="V328" s="127">
        <f t="shared" si="6"/>
        <v>0.21199999999999999</v>
      </c>
      <c r="W328" s="126">
        <v>0</v>
      </c>
      <c r="X328" s="126">
        <v>0</v>
      </c>
      <c r="Y328" s="126">
        <v>10</v>
      </c>
      <c r="Z328" s="124"/>
      <c r="AA328" s="124" t="e">
        <f t="shared" ca="1" si="7"/>
        <v>#NAME?</v>
      </c>
      <c r="AB328" s="126">
        <f t="array" aca="1" ref="AB328" ca="1">IFERROR(J328/_xludf.XLOOKUP(I328,Materials!$A$3:$A$292,Materials!$I$3:$I$292),0)
+IFERROR(L328/_xludf.XLOOKUP(K328,Materials!$A$3:$A$292,Materials!$I$3:$I$292),0)
+IFERROR(N328/_xludf.XLOOKUP(M328,Materials!$A$3:$A$292,Materials!$I$3:$I$292),0)
+IFERROR(P328/_xludf.XLOOKUP(O328,Materials!$A$3:$A$292,Materials!$I$3:$I$292),0)
+IFERROR(R328/_xludf.XLOOKUP(Q328,Materials!$A$3:$A$292,Materials!$I$3:$I$292),0)
+IFERROR(H328/_xludf.XLOOKUP(G328,Materials!$A$3:$A$292,Materials!$I$3:$I$292),0)</f>
        <v>0</v>
      </c>
      <c r="AC328" s="20"/>
      <c r="AD328" s="20"/>
      <c r="AE328" s="20"/>
      <c r="AF328" s="20"/>
      <c r="AG328" s="20"/>
      <c r="AH328" s="20"/>
      <c r="AI328" s="20"/>
      <c r="AJ328" s="20"/>
      <c r="AK328" s="20"/>
      <c r="AL328" s="20"/>
      <c r="AM328" s="20"/>
      <c r="AN328" s="20"/>
      <c r="AO328" s="20"/>
      <c r="AP328" s="20"/>
      <c r="AQ328" s="20"/>
      <c r="AR328" s="20"/>
      <c r="AS328" s="20"/>
      <c r="AT328" s="20"/>
      <c r="AU328" s="20"/>
      <c r="AV328" s="20"/>
    </row>
    <row r="329" spans="1:48" ht="17.25" customHeight="1">
      <c r="A329" s="15" t="s">
        <v>5818</v>
      </c>
      <c r="B329" s="124" t="s">
        <v>154</v>
      </c>
      <c r="C329" s="124" t="s">
        <v>5524</v>
      </c>
      <c r="D329" s="125" t="e">
        <f t="shared" ca="1" si="4"/>
        <v>#NAME?</v>
      </c>
      <c r="E329" s="126" t="str">
        <f t="shared" ca="1" si="5"/>
        <v>Not enough information entered</v>
      </c>
      <c r="F329" s="124" t="s">
        <v>6295</v>
      </c>
      <c r="G329" s="124" t="s">
        <v>5186</v>
      </c>
      <c r="H329" s="126">
        <v>0.15</v>
      </c>
      <c r="I329" s="124" t="s">
        <v>5196</v>
      </c>
      <c r="J329" s="126">
        <v>0.03</v>
      </c>
      <c r="K329" s="124"/>
      <c r="L329" s="124"/>
      <c r="M329" s="124"/>
      <c r="N329" s="124"/>
      <c r="O329" s="124"/>
      <c r="P329" s="124"/>
      <c r="Q329" s="124"/>
      <c r="R329" s="124"/>
      <c r="S329" s="124"/>
      <c r="T329" s="124"/>
      <c r="U329" s="124" t="s">
        <v>5523</v>
      </c>
      <c r="V329" s="127">
        <f t="shared" si="6"/>
        <v>0.18</v>
      </c>
      <c r="W329" s="124"/>
      <c r="X329" s="124"/>
      <c r="Y329" s="124"/>
      <c r="Z329" s="124"/>
      <c r="AA329" s="124" t="e">
        <f t="shared" ca="1" si="7"/>
        <v>#NAME?</v>
      </c>
      <c r="AB329" s="126">
        <f t="array" aca="1" ref="AB329" ca="1">IFERROR(J329/_xludf.XLOOKUP(I329,Materials!$A$3:$A$292,Materials!$I$3:$I$292),0)
+IFERROR(L329/_xludf.XLOOKUP(K329,Materials!$A$3:$A$292,Materials!$I$3:$I$292),0)
+IFERROR(N329/_xludf.XLOOKUP(M329,Materials!$A$3:$A$292,Materials!$I$3:$I$292),0)
+IFERROR(P329/_xludf.XLOOKUP(O329,Materials!$A$3:$A$292,Materials!$I$3:$I$292),0)
+IFERROR(R329/_xludf.XLOOKUP(Q329,Materials!$A$3:$A$292,Materials!$I$3:$I$292),0)
+IFERROR(H329/_xludf.XLOOKUP(G329,Materials!$A$3:$A$292,Materials!$I$3:$I$292),0)</f>
        <v>0</v>
      </c>
      <c r="AC329" s="20"/>
      <c r="AD329" s="20"/>
      <c r="AE329" s="20"/>
      <c r="AF329" s="20"/>
      <c r="AG329" s="20"/>
      <c r="AH329" s="20"/>
      <c r="AI329" s="20"/>
      <c r="AJ329" s="20"/>
      <c r="AK329" s="20"/>
      <c r="AL329" s="20"/>
      <c r="AM329" s="20"/>
      <c r="AN329" s="20"/>
      <c r="AO329" s="20"/>
      <c r="AP329" s="20"/>
      <c r="AQ329" s="20"/>
      <c r="AR329" s="20"/>
      <c r="AS329" s="20"/>
      <c r="AT329" s="20"/>
      <c r="AU329" s="20"/>
      <c r="AV329" s="20"/>
    </row>
    <row r="330" spans="1:48" ht="17.25" hidden="1" customHeight="1">
      <c r="A330" s="15" t="s">
        <v>5818</v>
      </c>
      <c r="B330" s="124" t="s">
        <v>160</v>
      </c>
      <c r="C330" s="124" t="s">
        <v>5526</v>
      </c>
      <c r="D330" s="125" t="e">
        <f t="shared" ca="1" si="4"/>
        <v>#NAME?</v>
      </c>
      <c r="E330" s="126" t="str">
        <f t="shared" ca="1" si="5"/>
        <v>Not enough information entered</v>
      </c>
      <c r="F330" s="124" t="s">
        <v>6638</v>
      </c>
      <c r="G330" s="124" t="s">
        <v>5186</v>
      </c>
      <c r="H330" s="126">
        <v>0.18</v>
      </c>
      <c r="I330" s="124" t="s">
        <v>5196</v>
      </c>
      <c r="J330" s="126">
        <v>0.03</v>
      </c>
      <c r="K330" s="124"/>
      <c r="L330" s="124"/>
      <c r="M330" s="124"/>
      <c r="N330" s="124"/>
      <c r="O330" s="124"/>
      <c r="P330" s="124"/>
      <c r="Q330" s="124"/>
      <c r="R330" s="124"/>
      <c r="S330" s="124"/>
      <c r="T330" s="124"/>
      <c r="U330" s="124" t="s">
        <v>5523</v>
      </c>
      <c r="V330" s="127">
        <f t="shared" si="6"/>
        <v>0.21</v>
      </c>
      <c r="W330" s="126">
        <v>0</v>
      </c>
      <c r="X330" s="126">
        <v>0</v>
      </c>
      <c r="Y330" s="126">
        <v>10</v>
      </c>
      <c r="Z330" s="124"/>
      <c r="AA330" s="124" t="e">
        <f t="shared" ca="1" si="7"/>
        <v>#NAME?</v>
      </c>
      <c r="AB330" s="126">
        <f t="array" aca="1" ref="AB330" ca="1">IFERROR(J330/_xludf.XLOOKUP(I330,Materials!$A$3:$A$292,Materials!$I$3:$I$292),0)
+IFERROR(L330/_xludf.XLOOKUP(K330,Materials!$A$3:$A$292,Materials!$I$3:$I$292),0)
+IFERROR(N330/_xludf.XLOOKUP(M330,Materials!$A$3:$A$292,Materials!$I$3:$I$292),0)
+IFERROR(P330/_xludf.XLOOKUP(O330,Materials!$A$3:$A$292,Materials!$I$3:$I$292),0)
+IFERROR(R330/_xludf.XLOOKUP(Q330,Materials!$A$3:$A$292,Materials!$I$3:$I$292),0)
+IFERROR(H330/_xludf.XLOOKUP(G330,Materials!$A$3:$A$292,Materials!$I$3:$I$292),0)</f>
        <v>0</v>
      </c>
      <c r="AC330" s="20"/>
      <c r="AD330" s="20"/>
      <c r="AE330" s="20"/>
      <c r="AF330" s="20"/>
      <c r="AG330" s="20"/>
      <c r="AH330" s="20"/>
      <c r="AI330" s="20"/>
      <c r="AJ330" s="20"/>
      <c r="AK330" s="20"/>
      <c r="AL330" s="20"/>
      <c r="AM330" s="20"/>
      <c r="AN330" s="20"/>
      <c r="AO330" s="20"/>
      <c r="AP330" s="20"/>
      <c r="AQ330" s="20"/>
      <c r="AR330" s="20"/>
      <c r="AS330" s="20"/>
      <c r="AT330" s="20"/>
      <c r="AU330" s="20"/>
      <c r="AV330" s="20"/>
    </row>
    <row r="331" spans="1:48" ht="17.25" hidden="1" customHeight="1">
      <c r="A331" s="15" t="s">
        <v>5819</v>
      </c>
      <c r="B331" s="124" t="s">
        <v>157</v>
      </c>
      <c r="C331" s="124" t="s">
        <v>5522</v>
      </c>
      <c r="D331" s="125" t="e">
        <f t="shared" ca="1" si="4"/>
        <v>#NAME?</v>
      </c>
      <c r="E331" s="126" t="str">
        <f t="shared" ca="1" si="5"/>
        <v>Not enough information entered</v>
      </c>
      <c r="F331" s="124" t="s">
        <v>6445</v>
      </c>
      <c r="G331" s="124" t="s">
        <v>5211</v>
      </c>
      <c r="H331" s="126">
        <v>0.03</v>
      </c>
      <c r="I331" s="124" t="s">
        <v>5186</v>
      </c>
      <c r="J331" s="126">
        <v>0.18</v>
      </c>
      <c r="K331" s="124" t="s">
        <v>5204</v>
      </c>
      <c r="L331" s="126">
        <v>0.02</v>
      </c>
      <c r="M331" s="124" t="s">
        <v>5200</v>
      </c>
      <c r="N331" s="126">
        <v>1.2E-2</v>
      </c>
      <c r="O331" s="124"/>
      <c r="P331" s="124"/>
      <c r="Q331" s="124"/>
      <c r="R331" s="124"/>
      <c r="S331" s="124"/>
      <c r="T331" s="124"/>
      <c r="U331" s="124" t="s">
        <v>5523</v>
      </c>
      <c r="V331" s="127">
        <f t="shared" si="6"/>
        <v>0.24199999999999999</v>
      </c>
      <c r="W331" s="126">
        <v>0</v>
      </c>
      <c r="X331" s="126">
        <v>0</v>
      </c>
      <c r="Y331" s="126">
        <v>10</v>
      </c>
      <c r="Z331" s="124"/>
      <c r="AA331" s="124" t="e">
        <f t="shared" ca="1" si="7"/>
        <v>#NAME?</v>
      </c>
      <c r="AB331" s="126">
        <f t="array" aca="1" ref="AB331" ca="1">IFERROR(J331/_xludf.XLOOKUP(I331,Materials!$A$3:$A$292,Materials!$I$3:$I$292),0)
+IFERROR(L331/_xludf.XLOOKUP(K331,Materials!$A$3:$A$292,Materials!$I$3:$I$292),0)
+IFERROR(N331/_xludf.XLOOKUP(M331,Materials!$A$3:$A$292,Materials!$I$3:$I$292),0)
+IFERROR(P331/_xludf.XLOOKUP(O331,Materials!$A$3:$A$292,Materials!$I$3:$I$292),0)
+IFERROR(R331/_xludf.XLOOKUP(Q331,Materials!$A$3:$A$292,Materials!$I$3:$I$292),0)
+IFERROR(H331/_xludf.XLOOKUP(G331,Materials!$A$3:$A$292,Materials!$I$3:$I$292),0)</f>
        <v>0</v>
      </c>
      <c r="AC331" s="20"/>
      <c r="AD331" s="20"/>
      <c r="AE331" s="20"/>
      <c r="AF331" s="20"/>
      <c r="AG331" s="20"/>
      <c r="AH331" s="20"/>
      <c r="AI331" s="20"/>
      <c r="AJ331" s="20"/>
      <c r="AK331" s="20"/>
      <c r="AL331" s="20"/>
      <c r="AM331" s="20"/>
      <c r="AN331" s="20"/>
      <c r="AO331" s="20"/>
      <c r="AP331" s="20"/>
      <c r="AQ331" s="20"/>
      <c r="AR331" s="20"/>
      <c r="AS331" s="20"/>
      <c r="AT331" s="20"/>
      <c r="AU331" s="20"/>
      <c r="AV331" s="20"/>
    </row>
    <row r="332" spans="1:48" ht="17.25" customHeight="1">
      <c r="A332" s="15" t="s">
        <v>5819</v>
      </c>
      <c r="B332" s="124" t="s">
        <v>154</v>
      </c>
      <c r="C332" s="124" t="s">
        <v>5524</v>
      </c>
      <c r="D332" s="125" t="e">
        <f t="shared" ca="1" si="4"/>
        <v>#NAME?</v>
      </c>
      <c r="E332" s="126" t="str">
        <f t="shared" ca="1" si="5"/>
        <v>Not enough information entered</v>
      </c>
      <c r="F332" s="124" t="s">
        <v>6296</v>
      </c>
      <c r="G332" s="124" t="s">
        <v>5211</v>
      </c>
      <c r="H332" s="126">
        <v>5.8000000000000003E-2</v>
      </c>
      <c r="I332" s="124" t="s">
        <v>5186</v>
      </c>
      <c r="J332" s="126">
        <v>0.15</v>
      </c>
      <c r="K332" s="124" t="s">
        <v>5196</v>
      </c>
      <c r="L332" s="124">
        <v>0.03</v>
      </c>
      <c r="M332" s="124"/>
      <c r="N332" s="124"/>
      <c r="O332" s="124"/>
      <c r="P332" s="124"/>
      <c r="Q332" s="124"/>
      <c r="R332" s="124"/>
      <c r="S332" s="124"/>
      <c r="T332" s="124"/>
      <c r="U332" s="124" t="s">
        <v>5523</v>
      </c>
      <c r="V332" s="127">
        <f t="shared" si="6"/>
        <v>0.23799999999999999</v>
      </c>
      <c r="W332" s="124"/>
      <c r="X332" s="124"/>
      <c r="Y332" s="124"/>
      <c r="Z332" s="124"/>
      <c r="AA332" s="124" t="e">
        <f t="shared" ca="1" si="7"/>
        <v>#NAME?</v>
      </c>
      <c r="AB332" s="126">
        <f t="array" aca="1" ref="AB332" ca="1">IFERROR(J332/_xludf.XLOOKUP(I332,Materials!$A$3:$A$292,Materials!$I$3:$I$292),0)
+IFERROR(L332/_xludf.XLOOKUP(K332,Materials!$A$3:$A$292,Materials!$I$3:$I$292),0)
+IFERROR(N332/_xludf.XLOOKUP(M332,Materials!$A$3:$A$292,Materials!$I$3:$I$292),0)
+IFERROR(P332/_xludf.XLOOKUP(O332,Materials!$A$3:$A$292,Materials!$I$3:$I$292),0)
+IFERROR(R332/_xludf.XLOOKUP(Q332,Materials!$A$3:$A$292,Materials!$I$3:$I$292),0)
+IFERROR(H332/_xludf.XLOOKUP(G332,Materials!$A$3:$A$292,Materials!$I$3:$I$292),0)</f>
        <v>0</v>
      </c>
      <c r="AC332" s="20"/>
      <c r="AD332" s="20"/>
      <c r="AE332" s="20"/>
      <c r="AF332" s="20"/>
      <c r="AG332" s="20"/>
      <c r="AH332" s="20"/>
      <c r="AI332" s="20"/>
      <c r="AJ332" s="20"/>
      <c r="AK332" s="20"/>
      <c r="AL332" s="20"/>
      <c r="AM332" s="20"/>
      <c r="AN332" s="20"/>
      <c r="AO332" s="20"/>
      <c r="AP332" s="20"/>
      <c r="AQ332" s="20"/>
      <c r="AR332" s="20"/>
      <c r="AS332" s="20"/>
      <c r="AT332" s="20"/>
      <c r="AU332" s="20"/>
      <c r="AV332" s="20"/>
    </row>
    <row r="333" spans="1:48" ht="17.25" hidden="1" customHeight="1">
      <c r="A333" s="15" t="s">
        <v>5819</v>
      </c>
      <c r="B333" s="124" t="s">
        <v>160</v>
      </c>
      <c r="C333" s="124" t="s">
        <v>5526</v>
      </c>
      <c r="D333" s="125" t="e">
        <f t="shared" ca="1" si="4"/>
        <v>#NAME?</v>
      </c>
      <c r="E333" s="126" t="str">
        <f t="shared" ca="1" si="5"/>
        <v>Not enough information entered</v>
      </c>
      <c r="F333" s="124" t="s">
        <v>6639</v>
      </c>
      <c r="G333" s="124" t="s">
        <v>5211</v>
      </c>
      <c r="H333" s="126">
        <v>4.7E-2</v>
      </c>
      <c r="I333" s="124" t="s">
        <v>5186</v>
      </c>
      <c r="J333" s="126">
        <v>0.18</v>
      </c>
      <c r="K333" s="124" t="s">
        <v>5196</v>
      </c>
      <c r="L333" s="124">
        <v>0.03</v>
      </c>
      <c r="M333" s="124"/>
      <c r="N333" s="124"/>
      <c r="O333" s="124"/>
      <c r="P333" s="124"/>
      <c r="Q333" s="124"/>
      <c r="R333" s="124"/>
      <c r="S333" s="124"/>
      <c r="T333" s="124"/>
      <c r="U333" s="124" t="s">
        <v>5523</v>
      </c>
      <c r="V333" s="127">
        <f t="shared" si="6"/>
        <v>0.25700000000000001</v>
      </c>
      <c r="W333" s="126">
        <v>0</v>
      </c>
      <c r="X333" s="126">
        <v>0</v>
      </c>
      <c r="Y333" s="126">
        <v>10</v>
      </c>
      <c r="Z333" s="124"/>
      <c r="AA333" s="124" t="e">
        <f t="shared" ca="1" si="7"/>
        <v>#NAME?</v>
      </c>
      <c r="AB333" s="126">
        <f t="array" aca="1" ref="AB333" ca="1">IFERROR(J333/_xludf.XLOOKUP(I333,Materials!$A$3:$A$292,Materials!$I$3:$I$292),0)
+IFERROR(L333/_xludf.XLOOKUP(K333,Materials!$A$3:$A$292,Materials!$I$3:$I$292),0)
+IFERROR(N333/_xludf.XLOOKUP(M333,Materials!$A$3:$A$292,Materials!$I$3:$I$292),0)
+IFERROR(P333/_xludf.XLOOKUP(O333,Materials!$A$3:$A$292,Materials!$I$3:$I$292),0)
+IFERROR(R333/_xludf.XLOOKUP(Q333,Materials!$A$3:$A$292,Materials!$I$3:$I$292),0)
+IFERROR(H333/_xludf.XLOOKUP(G333,Materials!$A$3:$A$292,Materials!$I$3:$I$292),0)</f>
        <v>0</v>
      </c>
      <c r="AC333" s="20"/>
      <c r="AD333" s="20"/>
      <c r="AE333" s="20"/>
      <c r="AF333" s="20"/>
      <c r="AG333" s="20"/>
      <c r="AH333" s="20"/>
      <c r="AI333" s="20"/>
      <c r="AJ333" s="20"/>
      <c r="AK333" s="20"/>
      <c r="AL333" s="20"/>
      <c r="AM333" s="20"/>
      <c r="AN333" s="20"/>
      <c r="AO333" s="20"/>
      <c r="AP333" s="20"/>
      <c r="AQ333" s="20"/>
      <c r="AR333" s="20"/>
      <c r="AS333" s="20"/>
      <c r="AT333" s="20"/>
      <c r="AU333" s="20"/>
      <c r="AV333" s="20"/>
    </row>
    <row r="334" spans="1:48" ht="17.25" hidden="1" customHeight="1">
      <c r="A334" s="15" t="s">
        <v>5820</v>
      </c>
      <c r="B334" s="124" t="s">
        <v>157</v>
      </c>
      <c r="C334" s="124" t="s">
        <v>5522</v>
      </c>
      <c r="D334" s="125" t="e">
        <f t="shared" ca="1" si="4"/>
        <v>#NAME?</v>
      </c>
      <c r="E334" s="126" t="str">
        <f t="shared" ca="1" si="5"/>
        <v>Not enough information entered</v>
      </c>
      <c r="F334" s="124" t="s">
        <v>6446</v>
      </c>
      <c r="G334" s="124" t="s">
        <v>5211</v>
      </c>
      <c r="H334" s="126">
        <v>0.04</v>
      </c>
      <c r="I334" s="124" t="s">
        <v>5186</v>
      </c>
      <c r="J334" s="126">
        <v>0.18</v>
      </c>
      <c r="K334" s="124" t="s">
        <v>5204</v>
      </c>
      <c r="L334" s="126">
        <v>0.02</v>
      </c>
      <c r="M334" s="124" t="s">
        <v>5200</v>
      </c>
      <c r="N334" s="126">
        <v>1.2E-2</v>
      </c>
      <c r="O334" s="124"/>
      <c r="P334" s="124"/>
      <c r="Q334" s="124"/>
      <c r="R334" s="124"/>
      <c r="S334" s="124"/>
      <c r="T334" s="124"/>
      <c r="U334" s="124" t="s">
        <v>5523</v>
      </c>
      <c r="V334" s="127">
        <f t="shared" si="6"/>
        <v>0.252</v>
      </c>
      <c r="W334" s="126">
        <v>0</v>
      </c>
      <c r="X334" s="126">
        <v>0</v>
      </c>
      <c r="Y334" s="126">
        <v>10</v>
      </c>
      <c r="Z334" s="124"/>
      <c r="AA334" s="124" t="e">
        <f t="shared" ca="1" si="7"/>
        <v>#NAME?</v>
      </c>
      <c r="AB334" s="126">
        <f t="array" aca="1" ref="AB334" ca="1">IFERROR(J334/_xludf.XLOOKUP(I334,Materials!$A$3:$A$292,Materials!$I$3:$I$292),0)
+IFERROR(L334/_xludf.XLOOKUP(K334,Materials!$A$3:$A$292,Materials!$I$3:$I$292),0)
+IFERROR(N334/_xludf.XLOOKUP(M334,Materials!$A$3:$A$292,Materials!$I$3:$I$292),0)
+IFERROR(P334/_xludf.XLOOKUP(O334,Materials!$A$3:$A$292,Materials!$I$3:$I$292),0)
+IFERROR(R334/_xludf.XLOOKUP(Q334,Materials!$A$3:$A$292,Materials!$I$3:$I$292),0)
+IFERROR(H334/_xludf.XLOOKUP(G334,Materials!$A$3:$A$292,Materials!$I$3:$I$292),0)</f>
        <v>0</v>
      </c>
      <c r="AC334" s="20"/>
      <c r="AD334" s="20"/>
      <c r="AE334" s="20"/>
      <c r="AF334" s="20"/>
      <c r="AG334" s="20"/>
      <c r="AH334" s="20"/>
      <c r="AI334" s="20"/>
      <c r="AJ334" s="20"/>
      <c r="AK334" s="20"/>
      <c r="AL334" s="20"/>
      <c r="AM334" s="20"/>
      <c r="AN334" s="20"/>
      <c r="AO334" s="20"/>
      <c r="AP334" s="20"/>
      <c r="AQ334" s="20"/>
      <c r="AR334" s="20"/>
      <c r="AS334" s="20"/>
      <c r="AT334" s="20"/>
      <c r="AU334" s="20"/>
      <c r="AV334" s="20"/>
    </row>
    <row r="335" spans="1:48" ht="17.25" customHeight="1">
      <c r="A335" s="15" t="s">
        <v>5820</v>
      </c>
      <c r="B335" s="124" t="s">
        <v>154</v>
      </c>
      <c r="C335" s="124" t="s">
        <v>5524</v>
      </c>
      <c r="D335" s="125" t="e">
        <f t="shared" ca="1" si="4"/>
        <v>#NAME?</v>
      </c>
      <c r="E335" s="126" t="str">
        <f t="shared" ca="1" si="5"/>
        <v>Not enough information entered</v>
      </c>
      <c r="F335" s="124" t="s">
        <v>6297</v>
      </c>
      <c r="G335" s="124" t="s">
        <v>5211</v>
      </c>
      <c r="H335" s="126">
        <v>5.8999999999999997E-2</v>
      </c>
      <c r="I335" s="124" t="s">
        <v>5186</v>
      </c>
      <c r="J335" s="126">
        <v>0.15</v>
      </c>
      <c r="K335" s="124" t="s">
        <v>5196</v>
      </c>
      <c r="L335" s="124">
        <v>0.03</v>
      </c>
      <c r="M335" s="124"/>
      <c r="N335" s="124"/>
      <c r="O335" s="124"/>
      <c r="P335" s="124"/>
      <c r="Q335" s="124"/>
      <c r="R335" s="124"/>
      <c r="S335" s="124"/>
      <c r="T335" s="124"/>
      <c r="U335" s="124" t="s">
        <v>5523</v>
      </c>
      <c r="V335" s="127">
        <f t="shared" si="6"/>
        <v>0.23899999999999999</v>
      </c>
      <c r="W335" s="124"/>
      <c r="X335" s="124"/>
      <c r="Y335" s="124"/>
      <c r="Z335" s="124"/>
      <c r="AA335" s="124" t="e">
        <f t="shared" ca="1" si="7"/>
        <v>#NAME?</v>
      </c>
      <c r="AB335" s="126">
        <f t="array" aca="1" ref="AB335" ca="1">IFERROR(J335/_xludf.XLOOKUP(I335,Materials!$A$3:$A$292,Materials!$I$3:$I$292),0)
+IFERROR(L335/_xludf.XLOOKUP(K335,Materials!$A$3:$A$292,Materials!$I$3:$I$292),0)
+IFERROR(N335/_xludf.XLOOKUP(M335,Materials!$A$3:$A$292,Materials!$I$3:$I$292),0)
+IFERROR(P335/_xludf.XLOOKUP(O335,Materials!$A$3:$A$292,Materials!$I$3:$I$292),0)
+IFERROR(R335/_xludf.XLOOKUP(Q335,Materials!$A$3:$A$292,Materials!$I$3:$I$292),0)
+IFERROR(H335/_xludf.XLOOKUP(G335,Materials!$A$3:$A$292,Materials!$I$3:$I$292),0)</f>
        <v>0</v>
      </c>
      <c r="AC335" s="20"/>
      <c r="AD335" s="20"/>
      <c r="AE335" s="20"/>
      <c r="AF335" s="20"/>
      <c r="AG335" s="20"/>
      <c r="AH335" s="20"/>
      <c r="AI335" s="20"/>
      <c r="AJ335" s="20"/>
      <c r="AK335" s="20"/>
      <c r="AL335" s="20"/>
      <c r="AM335" s="20"/>
      <c r="AN335" s="20"/>
      <c r="AO335" s="20"/>
      <c r="AP335" s="20"/>
      <c r="AQ335" s="20"/>
      <c r="AR335" s="20"/>
      <c r="AS335" s="20"/>
      <c r="AT335" s="20"/>
      <c r="AU335" s="20"/>
      <c r="AV335" s="20"/>
    </row>
    <row r="336" spans="1:48" ht="17.25" hidden="1" customHeight="1">
      <c r="A336" s="15" t="s">
        <v>5820</v>
      </c>
      <c r="B336" s="124" t="s">
        <v>160</v>
      </c>
      <c r="C336" s="124" t="s">
        <v>5526</v>
      </c>
      <c r="D336" s="125" t="e">
        <f t="shared" ca="1" si="4"/>
        <v>#NAME?</v>
      </c>
      <c r="E336" s="126" t="str">
        <f t="shared" ca="1" si="5"/>
        <v>Not enough information entered</v>
      </c>
      <c r="F336" s="124" t="s">
        <v>6640</v>
      </c>
      <c r="G336" s="124" t="s">
        <v>5211</v>
      </c>
      <c r="H336" s="126">
        <v>5.8000000000000003E-2</v>
      </c>
      <c r="I336" s="124" t="s">
        <v>5186</v>
      </c>
      <c r="J336" s="126">
        <v>0.18</v>
      </c>
      <c r="K336" s="124" t="s">
        <v>5196</v>
      </c>
      <c r="L336" s="124">
        <v>0.03</v>
      </c>
      <c r="M336" s="124"/>
      <c r="N336" s="124"/>
      <c r="O336" s="124"/>
      <c r="P336" s="124"/>
      <c r="Q336" s="124"/>
      <c r="R336" s="124"/>
      <c r="S336" s="124"/>
      <c r="T336" s="124"/>
      <c r="U336" s="124" t="s">
        <v>5523</v>
      </c>
      <c r="V336" s="127">
        <f t="shared" si="6"/>
        <v>0.26800000000000002</v>
      </c>
      <c r="W336" s="126">
        <v>0</v>
      </c>
      <c r="X336" s="126">
        <v>0</v>
      </c>
      <c r="Y336" s="126">
        <v>10</v>
      </c>
      <c r="Z336" s="124"/>
      <c r="AA336" s="124" t="e">
        <f t="shared" ca="1" si="7"/>
        <v>#NAME?</v>
      </c>
      <c r="AB336" s="126">
        <f t="array" aca="1" ref="AB336" ca="1">IFERROR(J336/_xludf.XLOOKUP(I336,Materials!$A$3:$A$292,Materials!$I$3:$I$292),0)
+IFERROR(L336/_xludf.XLOOKUP(K336,Materials!$A$3:$A$292,Materials!$I$3:$I$292),0)
+IFERROR(N336/_xludf.XLOOKUP(M336,Materials!$A$3:$A$292,Materials!$I$3:$I$292),0)
+IFERROR(P336/_xludf.XLOOKUP(O336,Materials!$A$3:$A$292,Materials!$I$3:$I$292),0)
+IFERROR(R336/_xludf.XLOOKUP(Q336,Materials!$A$3:$A$292,Materials!$I$3:$I$292),0)
+IFERROR(H336/_xludf.XLOOKUP(G336,Materials!$A$3:$A$292,Materials!$I$3:$I$292),0)</f>
        <v>0</v>
      </c>
      <c r="AC336" s="20"/>
      <c r="AD336" s="20"/>
      <c r="AE336" s="20"/>
      <c r="AF336" s="20"/>
      <c r="AG336" s="20"/>
      <c r="AH336" s="20"/>
      <c r="AI336" s="20"/>
      <c r="AJ336" s="20"/>
      <c r="AK336" s="20"/>
      <c r="AL336" s="20"/>
      <c r="AM336" s="20"/>
      <c r="AN336" s="20"/>
      <c r="AO336" s="20"/>
      <c r="AP336" s="20"/>
      <c r="AQ336" s="20"/>
      <c r="AR336" s="20"/>
      <c r="AS336" s="20"/>
      <c r="AT336" s="20"/>
      <c r="AU336" s="20"/>
      <c r="AV336" s="20"/>
    </row>
    <row r="337" spans="1:48" ht="17.25" hidden="1" customHeight="1">
      <c r="A337" s="15" t="s">
        <v>5821</v>
      </c>
      <c r="B337" s="124" t="s">
        <v>157</v>
      </c>
      <c r="C337" s="124" t="s">
        <v>5522</v>
      </c>
      <c r="D337" s="125" t="e">
        <f t="shared" ca="1" si="4"/>
        <v>#NAME?</v>
      </c>
      <c r="E337" s="126" t="str">
        <f t="shared" ca="1" si="5"/>
        <v>Not enough information entered</v>
      </c>
      <c r="F337" s="124" t="s">
        <v>6447</v>
      </c>
      <c r="G337" s="124" t="s">
        <v>5211</v>
      </c>
      <c r="H337" s="126">
        <v>0.06</v>
      </c>
      <c r="I337" s="124" t="s">
        <v>5186</v>
      </c>
      <c r="J337" s="126">
        <v>0.18</v>
      </c>
      <c r="K337" s="124" t="s">
        <v>5204</v>
      </c>
      <c r="L337" s="126">
        <v>0.02</v>
      </c>
      <c r="M337" s="124" t="s">
        <v>5200</v>
      </c>
      <c r="N337" s="126">
        <v>1.2E-2</v>
      </c>
      <c r="O337" s="124"/>
      <c r="P337" s="124"/>
      <c r="Q337" s="124"/>
      <c r="R337" s="124"/>
      <c r="S337" s="124"/>
      <c r="T337" s="124"/>
      <c r="U337" s="124" t="s">
        <v>5523</v>
      </c>
      <c r="V337" s="127">
        <f t="shared" si="6"/>
        <v>0.27200000000000002</v>
      </c>
      <c r="W337" s="126">
        <v>0</v>
      </c>
      <c r="X337" s="126">
        <v>0</v>
      </c>
      <c r="Y337" s="126">
        <v>10</v>
      </c>
      <c r="Z337" s="124"/>
      <c r="AA337" s="124" t="e">
        <f t="shared" ca="1" si="7"/>
        <v>#NAME?</v>
      </c>
      <c r="AB337" s="126">
        <f t="array" aca="1" ref="AB337" ca="1">IFERROR(J337/_xludf.XLOOKUP(I337,Materials!$A$3:$A$292,Materials!$I$3:$I$292),0)
+IFERROR(L337/_xludf.XLOOKUP(K337,Materials!$A$3:$A$292,Materials!$I$3:$I$292),0)
+IFERROR(N337/_xludf.XLOOKUP(M337,Materials!$A$3:$A$292,Materials!$I$3:$I$292),0)
+IFERROR(P337/_xludf.XLOOKUP(O337,Materials!$A$3:$A$292,Materials!$I$3:$I$292),0)
+IFERROR(R337/_xludf.XLOOKUP(Q337,Materials!$A$3:$A$292,Materials!$I$3:$I$292),0)
+IFERROR(H337/_xludf.XLOOKUP(G337,Materials!$A$3:$A$292,Materials!$I$3:$I$292),0)</f>
        <v>0</v>
      </c>
      <c r="AC337" s="20"/>
      <c r="AD337" s="20"/>
      <c r="AE337" s="20"/>
      <c r="AF337" s="20"/>
      <c r="AG337" s="20"/>
      <c r="AH337" s="20"/>
      <c r="AI337" s="20"/>
      <c r="AJ337" s="20"/>
      <c r="AK337" s="20"/>
      <c r="AL337" s="20"/>
      <c r="AM337" s="20"/>
      <c r="AN337" s="20"/>
      <c r="AO337" s="20"/>
      <c r="AP337" s="20"/>
      <c r="AQ337" s="20"/>
      <c r="AR337" s="20"/>
      <c r="AS337" s="20"/>
      <c r="AT337" s="20"/>
      <c r="AU337" s="20"/>
      <c r="AV337" s="20"/>
    </row>
    <row r="338" spans="1:48" ht="17.25" customHeight="1">
      <c r="A338" s="15" t="s">
        <v>5821</v>
      </c>
      <c r="B338" s="124" t="s">
        <v>154</v>
      </c>
      <c r="C338" s="124" t="s">
        <v>5524</v>
      </c>
      <c r="D338" s="125" t="e">
        <f t="shared" ca="1" si="4"/>
        <v>#NAME?</v>
      </c>
      <c r="E338" s="126" t="str">
        <f t="shared" ca="1" si="5"/>
        <v>Not enough information entered</v>
      </c>
      <c r="F338" s="124" t="s">
        <v>6298</v>
      </c>
      <c r="G338" s="124" t="s">
        <v>5211</v>
      </c>
      <c r="H338" s="126">
        <v>7.8E-2</v>
      </c>
      <c r="I338" s="124" t="s">
        <v>5186</v>
      </c>
      <c r="J338" s="126">
        <v>0.15</v>
      </c>
      <c r="K338" s="124" t="s">
        <v>5196</v>
      </c>
      <c r="L338" s="124">
        <v>0.03</v>
      </c>
      <c r="M338" s="124"/>
      <c r="N338" s="124"/>
      <c r="O338" s="124"/>
      <c r="P338" s="124"/>
      <c r="Q338" s="124"/>
      <c r="R338" s="124"/>
      <c r="S338" s="124"/>
      <c r="T338" s="124"/>
      <c r="U338" s="124" t="s">
        <v>5523</v>
      </c>
      <c r="V338" s="127">
        <f t="shared" si="6"/>
        <v>0.25800000000000001</v>
      </c>
      <c r="W338" s="124"/>
      <c r="X338" s="124"/>
      <c r="Y338" s="124"/>
      <c r="Z338" s="124"/>
      <c r="AA338" s="124" t="e">
        <f t="shared" ca="1" si="7"/>
        <v>#NAME?</v>
      </c>
      <c r="AB338" s="126">
        <f t="array" aca="1" ref="AB338" ca="1">IFERROR(J338/_xludf.XLOOKUP(I338,Materials!$A$3:$A$292,Materials!$I$3:$I$292),0)
+IFERROR(L338/_xludf.XLOOKUP(K338,Materials!$A$3:$A$292,Materials!$I$3:$I$292),0)
+IFERROR(N338/_xludf.XLOOKUP(M338,Materials!$A$3:$A$292,Materials!$I$3:$I$292),0)
+IFERROR(P338/_xludf.XLOOKUP(O338,Materials!$A$3:$A$292,Materials!$I$3:$I$292),0)
+IFERROR(R338/_xludf.XLOOKUP(Q338,Materials!$A$3:$A$292,Materials!$I$3:$I$292),0)
+IFERROR(H338/_xludf.XLOOKUP(G338,Materials!$A$3:$A$292,Materials!$I$3:$I$292),0)</f>
        <v>0</v>
      </c>
      <c r="AC338" s="20"/>
      <c r="AD338" s="20"/>
      <c r="AE338" s="20"/>
      <c r="AF338" s="20"/>
      <c r="AG338" s="20"/>
      <c r="AH338" s="20"/>
      <c r="AI338" s="20"/>
      <c r="AJ338" s="20"/>
      <c r="AK338" s="20"/>
      <c r="AL338" s="20"/>
      <c r="AM338" s="20"/>
      <c r="AN338" s="20"/>
      <c r="AO338" s="20"/>
      <c r="AP338" s="20"/>
      <c r="AQ338" s="20"/>
      <c r="AR338" s="20"/>
      <c r="AS338" s="20"/>
      <c r="AT338" s="20"/>
      <c r="AU338" s="20"/>
      <c r="AV338" s="20"/>
    </row>
    <row r="339" spans="1:48" ht="17.25" hidden="1" customHeight="1">
      <c r="A339" s="15" t="s">
        <v>5821</v>
      </c>
      <c r="B339" s="124" t="s">
        <v>160</v>
      </c>
      <c r="C339" s="124" t="s">
        <v>5526</v>
      </c>
      <c r="D339" s="125" t="e">
        <f t="shared" ca="1" si="4"/>
        <v>#NAME?</v>
      </c>
      <c r="E339" s="126" t="str">
        <f t="shared" ca="1" si="5"/>
        <v>Not enough information entered</v>
      </c>
      <c r="F339" s="124" t="s">
        <v>6641</v>
      </c>
      <c r="G339" s="124" t="s">
        <v>5211</v>
      </c>
      <c r="H339" s="126">
        <v>7.6999999999999999E-2</v>
      </c>
      <c r="I339" s="124" t="s">
        <v>5186</v>
      </c>
      <c r="J339" s="126">
        <v>0.18</v>
      </c>
      <c r="K339" s="124" t="s">
        <v>5196</v>
      </c>
      <c r="L339" s="124">
        <v>0.03</v>
      </c>
      <c r="M339" s="124"/>
      <c r="N339" s="124"/>
      <c r="O339" s="124"/>
      <c r="P339" s="124"/>
      <c r="Q339" s="124"/>
      <c r="R339" s="124"/>
      <c r="S339" s="124"/>
      <c r="T339" s="124"/>
      <c r="U339" s="124" t="s">
        <v>5523</v>
      </c>
      <c r="V339" s="127">
        <f t="shared" si="6"/>
        <v>0.28700000000000003</v>
      </c>
      <c r="W339" s="126">
        <v>0</v>
      </c>
      <c r="X339" s="126">
        <v>0</v>
      </c>
      <c r="Y339" s="126">
        <v>10</v>
      </c>
      <c r="Z339" s="124"/>
      <c r="AA339" s="124" t="e">
        <f t="shared" ca="1" si="7"/>
        <v>#NAME?</v>
      </c>
      <c r="AB339" s="126">
        <f t="array" aca="1" ref="AB339" ca="1">IFERROR(J339/_xludf.XLOOKUP(I339,Materials!$A$3:$A$292,Materials!$I$3:$I$292),0)
+IFERROR(L339/_xludf.XLOOKUP(K339,Materials!$A$3:$A$292,Materials!$I$3:$I$292),0)
+IFERROR(N339/_xludf.XLOOKUP(M339,Materials!$A$3:$A$292,Materials!$I$3:$I$292),0)
+IFERROR(P339/_xludf.XLOOKUP(O339,Materials!$A$3:$A$292,Materials!$I$3:$I$292),0)
+IFERROR(R339/_xludf.XLOOKUP(Q339,Materials!$A$3:$A$292,Materials!$I$3:$I$292),0)
+IFERROR(H339/_xludf.XLOOKUP(G339,Materials!$A$3:$A$292,Materials!$I$3:$I$292),0)</f>
        <v>0</v>
      </c>
      <c r="AC339" s="20"/>
      <c r="AD339" s="20"/>
      <c r="AE339" s="20"/>
      <c r="AF339" s="20"/>
      <c r="AG339" s="20"/>
      <c r="AH339" s="20"/>
      <c r="AI339" s="20"/>
      <c r="AJ339" s="20"/>
      <c r="AK339" s="20"/>
      <c r="AL339" s="20"/>
      <c r="AM339" s="20"/>
      <c r="AN339" s="20"/>
      <c r="AO339" s="20"/>
      <c r="AP339" s="20"/>
      <c r="AQ339" s="20"/>
      <c r="AR339" s="20"/>
      <c r="AS339" s="20"/>
      <c r="AT339" s="20"/>
      <c r="AU339" s="20"/>
      <c r="AV339" s="20"/>
    </row>
    <row r="340" spans="1:48" ht="17.25" hidden="1" customHeight="1">
      <c r="A340" s="15" t="s">
        <v>5822</v>
      </c>
      <c r="B340" s="124" t="s">
        <v>157</v>
      </c>
      <c r="C340" s="124" t="s">
        <v>5522</v>
      </c>
      <c r="D340" s="125" t="e">
        <f t="shared" ca="1" si="4"/>
        <v>#NAME?</v>
      </c>
      <c r="E340" s="126" t="str">
        <f t="shared" ca="1" si="5"/>
        <v>Not enough information entered</v>
      </c>
      <c r="F340" s="124" t="s">
        <v>6448</v>
      </c>
      <c r="G340" s="124" t="s">
        <v>5211</v>
      </c>
      <c r="H340" s="126">
        <v>6.9000000000000006E-2</v>
      </c>
      <c r="I340" s="124" t="s">
        <v>5186</v>
      </c>
      <c r="J340" s="126">
        <v>0.18</v>
      </c>
      <c r="K340" s="124" t="s">
        <v>5204</v>
      </c>
      <c r="L340" s="126">
        <v>0.02</v>
      </c>
      <c r="M340" s="124" t="s">
        <v>5200</v>
      </c>
      <c r="N340" s="126">
        <v>1.2E-2</v>
      </c>
      <c r="O340" s="124"/>
      <c r="P340" s="124"/>
      <c r="Q340" s="124"/>
      <c r="R340" s="124"/>
      <c r="S340" s="124"/>
      <c r="T340" s="124"/>
      <c r="U340" s="124" t="s">
        <v>5523</v>
      </c>
      <c r="V340" s="127">
        <f t="shared" si="6"/>
        <v>0.28100000000000003</v>
      </c>
      <c r="W340" s="126">
        <v>0</v>
      </c>
      <c r="X340" s="126">
        <v>0</v>
      </c>
      <c r="Y340" s="126">
        <v>10</v>
      </c>
      <c r="Z340" s="124"/>
      <c r="AA340" s="124" t="e">
        <f t="shared" ca="1" si="7"/>
        <v>#NAME?</v>
      </c>
      <c r="AB340" s="126">
        <f t="array" aca="1" ref="AB340" ca="1">IFERROR(J340/_xludf.XLOOKUP(I340,Materials!$A$3:$A$292,Materials!$I$3:$I$292),0)
+IFERROR(L340/_xludf.XLOOKUP(K340,Materials!$A$3:$A$292,Materials!$I$3:$I$292),0)
+IFERROR(N340/_xludf.XLOOKUP(M340,Materials!$A$3:$A$292,Materials!$I$3:$I$292),0)
+IFERROR(P340/_xludf.XLOOKUP(O340,Materials!$A$3:$A$292,Materials!$I$3:$I$292),0)
+IFERROR(R340/_xludf.XLOOKUP(Q340,Materials!$A$3:$A$292,Materials!$I$3:$I$292),0)
+IFERROR(H340/_xludf.XLOOKUP(G340,Materials!$A$3:$A$292,Materials!$I$3:$I$292),0)</f>
        <v>0</v>
      </c>
      <c r="AC340" s="20"/>
      <c r="AD340" s="20"/>
      <c r="AE340" s="20"/>
      <c r="AF340" s="20"/>
      <c r="AG340" s="20"/>
      <c r="AH340" s="20"/>
      <c r="AI340" s="20"/>
      <c r="AJ340" s="20"/>
      <c r="AK340" s="20"/>
      <c r="AL340" s="20"/>
      <c r="AM340" s="20"/>
      <c r="AN340" s="20"/>
      <c r="AO340" s="20"/>
      <c r="AP340" s="20"/>
      <c r="AQ340" s="20"/>
      <c r="AR340" s="20"/>
      <c r="AS340" s="20"/>
      <c r="AT340" s="20"/>
      <c r="AU340" s="20"/>
      <c r="AV340" s="20"/>
    </row>
    <row r="341" spans="1:48" ht="17.25" customHeight="1">
      <c r="A341" s="15" t="s">
        <v>5822</v>
      </c>
      <c r="B341" s="124" t="s">
        <v>154</v>
      </c>
      <c r="C341" s="124" t="s">
        <v>5524</v>
      </c>
      <c r="D341" s="125" t="e">
        <f t="shared" ca="1" si="4"/>
        <v>#NAME?</v>
      </c>
      <c r="E341" s="126" t="str">
        <f t="shared" ca="1" si="5"/>
        <v>Not enough information entered</v>
      </c>
      <c r="F341" s="124" t="s">
        <v>6299</v>
      </c>
      <c r="G341" s="124" t="s">
        <v>5211</v>
      </c>
      <c r="H341" s="126">
        <v>9.4E-2</v>
      </c>
      <c r="I341" s="124" t="s">
        <v>5186</v>
      </c>
      <c r="J341" s="126">
        <v>0.15</v>
      </c>
      <c r="K341" s="124" t="s">
        <v>5196</v>
      </c>
      <c r="L341" s="124">
        <v>0.03</v>
      </c>
      <c r="M341" s="124"/>
      <c r="N341" s="124"/>
      <c r="O341" s="124"/>
      <c r="P341" s="124"/>
      <c r="Q341" s="124"/>
      <c r="R341" s="124"/>
      <c r="S341" s="124"/>
      <c r="T341" s="124"/>
      <c r="U341" s="124" t="s">
        <v>5523</v>
      </c>
      <c r="V341" s="127">
        <f t="shared" si="6"/>
        <v>0.27400000000000002</v>
      </c>
      <c r="W341" s="124"/>
      <c r="X341" s="124"/>
      <c r="Y341" s="124"/>
      <c r="Z341" s="124"/>
      <c r="AA341" s="124" t="e">
        <f t="shared" ca="1" si="7"/>
        <v>#NAME?</v>
      </c>
      <c r="AB341" s="126">
        <f t="array" aca="1" ref="AB341" ca="1">IFERROR(J341/_xludf.XLOOKUP(I341,Materials!$A$3:$A$292,Materials!$I$3:$I$292),0)
+IFERROR(L341/_xludf.XLOOKUP(K341,Materials!$A$3:$A$292,Materials!$I$3:$I$292),0)
+IFERROR(N341/_xludf.XLOOKUP(M341,Materials!$A$3:$A$292,Materials!$I$3:$I$292),0)
+IFERROR(P341/_xludf.XLOOKUP(O341,Materials!$A$3:$A$292,Materials!$I$3:$I$292),0)
+IFERROR(R341/_xludf.XLOOKUP(Q341,Materials!$A$3:$A$292,Materials!$I$3:$I$292),0)
+IFERROR(H341/_xludf.XLOOKUP(G341,Materials!$A$3:$A$292,Materials!$I$3:$I$292),0)</f>
        <v>0</v>
      </c>
      <c r="AC341" s="20"/>
      <c r="AD341" s="20"/>
      <c r="AE341" s="20"/>
      <c r="AF341" s="20"/>
      <c r="AG341" s="20"/>
      <c r="AH341" s="20"/>
      <c r="AI341" s="20"/>
      <c r="AJ341" s="20"/>
      <c r="AK341" s="20"/>
      <c r="AL341" s="20"/>
      <c r="AM341" s="20"/>
      <c r="AN341" s="20"/>
      <c r="AO341" s="20"/>
      <c r="AP341" s="20"/>
      <c r="AQ341" s="20"/>
      <c r="AR341" s="20"/>
      <c r="AS341" s="20"/>
      <c r="AT341" s="20"/>
      <c r="AU341" s="20"/>
      <c r="AV341" s="20"/>
    </row>
    <row r="342" spans="1:48" ht="17.25" hidden="1" customHeight="1">
      <c r="A342" s="15" t="s">
        <v>5822</v>
      </c>
      <c r="B342" s="124" t="s">
        <v>160</v>
      </c>
      <c r="C342" s="124" t="s">
        <v>5526</v>
      </c>
      <c r="D342" s="125" t="e">
        <f t="shared" ca="1" si="4"/>
        <v>#NAME?</v>
      </c>
      <c r="E342" s="126" t="str">
        <f t="shared" ca="1" si="5"/>
        <v>Not enough information entered</v>
      </c>
      <c r="F342" s="124" t="s">
        <v>6642</v>
      </c>
      <c r="G342" s="124" t="s">
        <v>5211</v>
      </c>
      <c r="H342" s="126">
        <v>9.2999999999999999E-2</v>
      </c>
      <c r="I342" s="124" t="s">
        <v>5186</v>
      </c>
      <c r="J342" s="126">
        <v>0.18</v>
      </c>
      <c r="K342" s="124" t="s">
        <v>5196</v>
      </c>
      <c r="L342" s="124">
        <v>0.03</v>
      </c>
      <c r="M342" s="124"/>
      <c r="N342" s="124"/>
      <c r="O342" s="124"/>
      <c r="P342" s="124"/>
      <c r="Q342" s="124"/>
      <c r="R342" s="124"/>
      <c r="S342" s="124"/>
      <c r="T342" s="124"/>
      <c r="U342" s="124" t="s">
        <v>5523</v>
      </c>
      <c r="V342" s="127">
        <f t="shared" si="6"/>
        <v>0.30300000000000005</v>
      </c>
      <c r="W342" s="126">
        <v>0</v>
      </c>
      <c r="X342" s="126">
        <v>0</v>
      </c>
      <c r="Y342" s="126">
        <v>10</v>
      </c>
      <c r="Z342" s="124"/>
      <c r="AA342" s="124" t="e">
        <f t="shared" ca="1" si="7"/>
        <v>#NAME?</v>
      </c>
      <c r="AB342" s="126">
        <f t="array" aca="1" ref="AB342" ca="1">IFERROR(J342/_xludf.XLOOKUP(I342,Materials!$A$3:$A$292,Materials!$I$3:$I$292),0)
+IFERROR(L342/_xludf.XLOOKUP(K342,Materials!$A$3:$A$292,Materials!$I$3:$I$292),0)
+IFERROR(N342/_xludf.XLOOKUP(M342,Materials!$A$3:$A$292,Materials!$I$3:$I$292),0)
+IFERROR(P342/_xludf.XLOOKUP(O342,Materials!$A$3:$A$292,Materials!$I$3:$I$292),0)
+IFERROR(R342/_xludf.XLOOKUP(Q342,Materials!$A$3:$A$292,Materials!$I$3:$I$292),0)
+IFERROR(H342/_xludf.XLOOKUP(G342,Materials!$A$3:$A$292,Materials!$I$3:$I$292),0)</f>
        <v>0</v>
      </c>
      <c r="AC342" s="20"/>
      <c r="AD342" s="20"/>
      <c r="AE342" s="20"/>
      <c r="AF342" s="20"/>
      <c r="AG342" s="20"/>
      <c r="AH342" s="20"/>
      <c r="AI342" s="20"/>
      <c r="AJ342" s="20"/>
      <c r="AK342" s="20"/>
      <c r="AL342" s="20"/>
      <c r="AM342" s="20"/>
      <c r="AN342" s="20"/>
      <c r="AO342" s="20"/>
      <c r="AP342" s="20"/>
      <c r="AQ342" s="20"/>
      <c r="AR342" s="20"/>
      <c r="AS342" s="20"/>
      <c r="AT342" s="20"/>
      <c r="AU342" s="20"/>
      <c r="AV342" s="20"/>
    </row>
    <row r="343" spans="1:48" ht="17.25" hidden="1" customHeight="1">
      <c r="A343" s="15" t="s">
        <v>4861</v>
      </c>
      <c r="B343" s="124" t="s">
        <v>158</v>
      </c>
      <c r="C343" s="124" t="s">
        <v>5527</v>
      </c>
      <c r="D343" s="125" t="e">
        <f t="shared" ca="1" si="4"/>
        <v>#NAME?</v>
      </c>
      <c r="E343" s="126" t="str">
        <f t="shared" ca="1" si="5"/>
        <v>Not enough information entered</v>
      </c>
      <c r="F343" s="124" t="s">
        <v>6353</v>
      </c>
      <c r="G343" s="124" t="s">
        <v>5200</v>
      </c>
      <c r="H343" s="124">
        <v>1.2500000000000001E-2</v>
      </c>
      <c r="I343" s="124" t="s">
        <v>5204</v>
      </c>
      <c r="J343" s="124">
        <v>0.05</v>
      </c>
      <c r="K343" s="124" t="s">
        <v>5200</v>
      </c>
      <c r="L343" s="124">
        <v>1.2500000000000001E-2</v>
      </c>
      <c r="M343" s="124"/>
      <c r="N343" s="124"/>
      <c r="O343" s="124"/>
      <c r="P343" s="124"/>
      <c r="Q343" s="124"/>
      <c r="R343" s="124"/>
      <c r="S343" s="124"/>
      <c r="T343" s="124"/>
      <c r="U343" s="124" t="s">
        <v>5523</v>
      </c>
      <c r="V343" s="127">
        <f t="shared" si="6"/>
        <v>7.4999999999999997E-2</v>
      </c>
      <c r="W343" s="124"/>
      <c r="X343" s="124"/>
      <c r="Y343" s="124"/>
      <c r="Z343" s="124"/>
      <c r="AA343" s="124" t="e">
        <f t="shared" ca="1" si="7"/>
        <v>#NAME?</v>
      </c>
      <c r="AB343" s="126">
        <f t="array" aca="1" ref="AB343" ca="1">IFERROR(J343/_xludf.XLOOKUP(I343,Materials!$A$3:$A$292,Materials!$I$3:$I$292),0)
+IFERROR(L343/_xludf.XLOOKUP(K343,Materials!$A$3:$A$292,Materials!$I$3:$I$292),0)
+IFERROR(N343/_xludf.XLOOKUP(M343,Materials!$A$3:$A$292,Materials!$I$3:$I$292),0)
+IFERROR(P343/_xludf.XLOOKUP(O343,Materials!$A$3:$A$292,Materials!$I$3:$I$292),0)
+IFERROR(R343/_xludf.XLOOKUP(Q343,Materials!$A$3:$A$292,Materials!$I$3:$I$292),0)
+IFERROR(H343/_xludf.XLOOKUP(G343,Materials!$A$3:$A$292,Materials!$I$3:$I$292),0)</f>
        <v>0</v>
      </c>
      <c r="AC343" s="20"/>
      <c r="AD343" s="20"/>
      <c r="AE343" s="20"/>
      <c r="AF343" s="20"/>
      <c r="AG343" s="20"/>
      <c r="AH343" s="20"/>
      <c r="AI343" s="20"/>
      <c r="AJ343" s="20"/>
      <c r="AK343" s="20"/>
      <c r="AL343" s="20"/>
      <c r="AM343" s="20"/>
      <c r="AN343" s="20"/>
      <c r="AO343" s="20"/>
      <c r="AP343" s="20"/>
      <c r="AQ343" s="20"/>
      <c r="AR343" s="20"/>
      <c r="AS343" s="20"/>
      <c r="AT343" s="20"/>
      <c r="AU343" s="20"/>
      <c r="AV343" s="20"/>
    </row>
    <row r="344" spans="1:48" ht="17.25" hidden="1" customHeight="1">
      <c r="A344" s="15" t="s">
        <v>4861</v>
      </c>
      <c r="B344" s="124" t="s">
        <v>162</v>
      </c>
      <c r="C344" s="124" t="s">
        <v>5529</v>
      </c>
      <c r="D344" s="125" t="e">
        <f t="shared" ca="1" si="4"/>
        <v>#NAME?</v>
      </c>
      <c r="E344" s="126" t="str">
        <f t="shared" ca="1" si="5"/>
        <v>Not enough information entered</v>
      </c>
      <c r="F344" s="124" t="s">
        <v>6562</v>
      </c>
      <c r="G344" s="124" t="s">
        <v>5186</v>
      </c>
      <c r="H344" s="124">
        <v>0.18</v>
      </c>
      <c r="I344" s="124" t="s">
        <v>5196</v>
      </c>
      <c r="J344" s="124">
        <v>0.03</v>
      </c>
      <c r="K344" s="124"/>
      <c r="L344" s="124"/>
      <c r="M344" s="124"/>
      <c r="N344" s="124"/>
      <c r="O344" s="124"/>
      <c r="P344" s="124"/>
      <c r="Q344" s="124"/>
      <c r="R344" s="124"/>
      <c r="S344" s="124"/>
      <c r="T344" s="124"/>
      <c r="U344" s="124" t="s">
        <v>5523</v>
      </c>
      <c r="V344" s="127">
        <f t="shared" si="6"/>
        <v>0.21</v>
      </c>
      <c r="W344" s="124"/>
      <c r="X344" s="124"/>
      <c r="Y344" s="124"/>
      <c r="Z344" s="124"/>
      <c r="AA344" s="124" t="e">
        <f t="shared" ca="1" si="7"/>
        <v>#NAME?</v>
      </c>
      <c r="AB344" s="126">
        <f t="array" aca="1" ref="AB344" ca="1">IFERROR(J344/_xludf.XLOOKUP(I344,Materials!$A$3:$A$292,Materials!$I$3:$I$292),0)
+IFERROR(L344/_xludf.XLOOKUP(K344,Materials!$A$3:$A$292,Materials!$I$3:$I$292),0)
+IFERROR(N344/_xludf.XLOOKUP(M344,Materials!$A$3:$A$292,Materials!$I$3:$I$292),0)
+IFERROR(P344/_xludf.XLOOKUP(O344,Materials!$A$3:$A$292,Materials!$I$3:$I$292),0)
+IFERROR(R344/_xludf.XLOOKUP(Q344,Materials!$A$3:$A$292,Materials!$I$3:$I$292),0)
+IFERROR(H344/_xludf.XLOOKUP(G344,Materials!$A$3:$A$292,Materials!$I$3:$I$292),0)</f>
        <v>0</v>
      </c>
      <c r="AC344" s="20"/>
      <c r="AD344" s="20"/>
      <c r="AE344" s="20"/>
      <c r="AF344" s="20"/>
      <c r="AG344" s="20"/>
      <c r="AH344" s="20"/>
      <c r="AI344" s="20"/>
      <c r="AJ344" s="20"/>
      <c r="AK344" s="20"/>
      <c r="AL344" s="20"/>
      <c r="AM344" s="20"/>
      <c r="AN344" s="20"/>
      <c r="AO344" s="20"/>
      <c r="AP344" s="20"/>
      <c r="AQ344" s="20"/>
      <c r="AR344" s="20"/>
      <c r="AS344" s="20"/>
      <c r="AT344" s="20"/>
      <c r="AU344" s="20"/>
      <c r="AV344" s="20"/>
    </row>
    <row r="345" spans="1:48" ht="17.25" hidden="1" customHeight="1">
      <c r="A345" s="15" t="s">
        <v>4861</v>
      </c>
      <c r="B345" s="124" t="s">
        <v>159</v>
      </c>
      <c r="C345" s="124" t="s">
        <v>5530</v>
      </c>
      <c r="D345" s="125" t="e">
        <f t="shared" ca="1" si="4"/>
        <v>#NAME?</v>
      </c>
      <c r="E345" s="126" t="str">
        <f t="shared" ca="1" si="5"/>
        <v>Not enough information entered</v>
      </c>
      <c r="F345" s="124" t="s">
        <v>6666</v>
      </c>
      <c r="G345" s="124" t="s">
        <v>5186</v>
      </c>
      <c r="H345" s="124">
        <v>0.2</v>
      </c>
      <c r="I345" s="124" t="s">
        <v>5211</v>
      </c>
      <c r="J345" s="124">
        <v>0.05</v>
      </c>
      <c r="K345" s="124"/>
      <c r="L345" s="124"/>
      <c r="M345" s="124"/>
      <c r="N345" s="124"/>
      <c r="O345" s="124"/>
      <c r="P345" s="124"/>
      <c r="Q345" s="124"/>
      <c r="R345" s="124"/>
      <c r="S345" s="124"/>
      <c r="T345" s="124"/>
      <c r="U345" s="124" t="s">
        <v>5523</v>
      </c>
      <c r="V345" s="127">
        <f t="shared" si="6"/>
        <v>0.25</v>
      </c>
      <c r="W345" s="124"/>
      <c r="X345" s="124"/>
      <c r="Y345" s="124"/>
      <c r="Z345" s="124"/>
      <c r="AA345" s="124" t="e">
        <f t="shared" ca="1" si="7"/>
        <v>#NAME?</v>
      </c>
      <c r="AB345" s="126">
        <f t="array" aca="1" ref="AB345" ca="1">IFERROR(J345/_xludf.XLOOKUP(I345,Materials!$A$3:$A$292,Materials!$I$3:$I$292),0)
+IFERROR(L345/_xludf.XLOOKUP(K345,Materials!$A$3:$A$292,Materials!$I$3:$I$292),0)
+IFERROR(N345/_xludf.XLOOKUP(M345,Materials!$A$3:$A$292,Materials!$I$3:$I$292),0)
+IFERROR(P345/_xludf.XLOOKUP(O345,Materials!$A$3:$A$292,Materials!$I$3:$I$292),0)
+IFERROR(R345/_xludf.XLOOKUP(Q345,Materials!$A$3:$A$292,Materials!$I$3:$I$292),0)
+IFERROR(H345/_xludf.XLOOKUP(G345,Materials!$A$3:$A$292,Materials!$I$3:$I$292),0)</f>
        <v>0</v>
      </c>
      <c r="AC345" s="20"/>
      <c r="AD345" s="20"/>
      <c r="AE345" s="20"/>
      <c r="AF345" s="20"/>
      <c r="AG345" s="20"/>
      <c r="AH345" s="20"/>
      <c r="AI345" s="20"/>
      <c r="AJ345" s="20"/>
      <c r="AK345" s="20"/>
      <c r="AL345" s="20"/>
      <c r="AM345" s="20"/>
      <c r="AN345" s="20"/>
      <c r="AO345" s="20"/>
      <c r="AP345" s="20"/>
      <c r="AQ345" s="20"/>
      <c r="AR345" s="20"/>
      <c r="AS345" s="20"/>
      <c r="AT345" s="20"/>
      <c r="AU345" s="20"/>
      <c r="AV345" s="20"/>
    </row>
    <row r="346" spans="1:48" ht="17.25" hidden="1" customHeight="1">
      <c r="A346" s="15"/>
      <c r="B346" s="124"/>
      <c r="C346" s="124" t="s">
        <v>5532</v>
      </c>
      <c r="D346" s="125"/>
      <c r="E346" s="126"/>
      <c r="F346" s="124"/>
      <c r="G346" s="124"/>
      <c r="H346" s="124"/>
      <c r="I346" s="124"/>
      <c r="J346" s="124"/>
      <c r="K346" s="124"/>
      <c r="L346" s="124"/>
      <c r="M346" s="124"/>
      <c r="N346" s="124"/>
      <c r="O346" s="124"/>
      <c r="P346" s="124"/>
      <c r="Q346" s="124"/>
      <c r="R346" s="124"/>
      <c r="S346" s="124"/>
      <c r="T346" s="124"/>
      <c r="U346" s="124"/>
      <c r="V346" s="127"/>
      <c r="W346" s="124"/>
      <c r="X346" s="124"/>
      <c r="Y346" s="124"/>
      <c r="Z346" s="124"/>
      <c r="AA346" s="124"/>
      <c r="AB346" s="126"/>
      <c r="AC346" s="20"/>
      <c r="AD346" s="20"/>
      <c r="AE346" s="20"/>
      <c r="AF346" s="20"/>
      <c r="AG346" s="20"/>
      <c r="AH346" s="20"/>
      <c r="AI346" s="20"/>
      <c r="AJ346" s="20"/>
      <c r="AK346" s="20"/>
      <c r="AL346" s="20"/>
      <c r="AM346" s="20"/>
      <c r="AN346" s="20"/>
      <c r="AO346" s="20"/>
      <c r="AP346" s="20"/>
      <c r="AQ346" s="20"/>
      <c r="AR346" s="20"/>
      <c r="AS346" s="20"/>
      <c r="AT346" s="20"/>
      <c r="AU346" s="20"/>
      <c r="AV346" s="20"/>
    </row>
    <row r="347" spans="1:48" ht="17.25" hidden="1" customHeight="1">
      <c r="A347" s="15" t="s">
        <v>4861</v>
      </c>
      <c r="B347" s="124" t="s">
        <v>161</v>
      </c>
      <c r="C347" s="124" t="s">
        <v>5533</v>
      </c>
      <c r="D347" s="125" t="e">
        <f t="shared" ca="1" si="4"/>
        <v>#NAME?</v>
      </c>
      <c r="E347" s="126" t="str">
        <f t="shared" ca="1" si="5"/>
        <v>Not enough information entered</v>
      </c>
      <c r="F347" s="124" t="s">
        <v>6682</v>
      </c>
      <c r="G347" s="124" t="s">
        <v>5186</v>
      </c>
      <c r="H347" s="124">
        <v>0.18</v>
      </c>
      <c r="I347" s="124" t="s">
        <v>5207</v>
      </c>
      <c r="J347" s="124">
        <v>0.06</v>
      </c>
      <c r="K347" s="124" t="s">
        <v>5200</v>
      </c>
      <c r="L347" s="124">
        <v>1.2500000000000001E-2</v>
      </c>
      <c r="M347" s="124"/>
      <c r="N347" s="124"/>
      <c r="O347" s="124"/>
      <c r="P347" s="124"/>
      <c r="Q347" s="124"/>
      <c r="R347" s="124"/>
      <c r="S347" s="124"/>
      <c r="T347" s="124"/>
      <c r="U347" s="124" t="s">
        <v>5523</v>
      </c>
      <c r="V347" s="127">
        <f t="shared" si="6"/>
        <v>0.2525</v>
      </c>
      <c r="W347" s="124"/>
      <c r="X347" s="124"/>
      <c r="Y347" s="124"/>
      <c r="Z347" s="124"/>
      <c r="AA347" s="124" t="e">
        <f t="shared" ca="1" si="7"/>
        <v>#NAME?</v>
      </c>
      <c r="AB347" s="126">
        <f t="array" aca="1" ref="AB347" ca="1">IFERROR(J347/_xludf.XLOOKUP(I347,Materials!$A$3:$A$292,Materials!$I$3:$I$292),0)
+IFERROR(L347/_xludf.XLOOKUP(K347,Materials!$A$3:$A$292,Materials!$I$3:$I$292),0)
+IFERROR(N347/_xludf.XLOOKUP(M347,Materials!$A$3:$A$292,Materials!$I$3:$I$292),0)
+IFERROR(P347/_xludf.XLOOKUP(O347,Materials!$A$3:$A$292,Materials!$I$3:$I$292),0)
+IFERROR(R347/_xludf.XLOOKUP(Q347,Materials!$A$3:$A$292,Materials!$I$3:$I$292),0)
+IFERROR(H347/_xludf.XLOOKUP(G347,Materials!$A$3:$A$292,Materials!$I$3:$I$292),0)</f>
        <v>0</v>
      </c>
      <c r="AC347" s="20"/>
      <c r="AD347" s="20"/>
      <c r="AE347" s="20"/>
      <c r="AF347" s="20"/>
      <c r="AG347" s="20"/>
      <c r="AH347" s="20"/>
      <c r="AI347" s="20"/>
      <c r="AJ347" s="20"/>
      <c r="AK347" s="20"/>
      <c r="AL347" s="20"/>
      <c r="AM347" s="20"/>
      <c r="AN347" s="20"/>
      <c r="AO347" s="20"/>
      <c r="AP347" s="20"/>
      <c r="AQ347" s="20"/>
      <c r="AR347" s="20"/>
      <c r="AS347" s="20"/>
      <c r="AT347" s="20"/>
      <c r="AU347" s="20"/>
      <c r="AV347" s="20"/>
    </row>
    <row r="348" spans="1:48" ht="17.25" hidden="1" customHeight="1">
      <c r="A348" s="15" t="s">
        <v>5823</v>
      </c>
      <c r="B348" s="124" t="s">
        <v>157</v>
      </c>
      <c r="C348" s="124" t="s">
        <v>5522</v>
      </c>
      <c r="D348" s="125" t="e">
        <f t="shared" ca="1" si="4"/>
        <v>#NAME?</v>
      </c>
      <c r="E348" s="126" t="str">
        <f t="shared" ca="1" si="5"/>
        <v>Not enough information entered</v>
      </c>
      <c r="F348" s="124" t="s">
        <v>6449</v>
      </c>
      <c r="G348" s="124" t="s">
        <v>5186</v>
      </c>
      <c r="H348" s="126">
        <v>0.18</v>
      </c>
      <c r="I348" s="124" t="s">
        <v>5204</v>
      </c>
      <c r="J348" s="126">
        <v>0.02</v>
      </c>
      <c r="K348" s="124" t="s">
        <v>5200</v>
      </c>
      <c r="L348" s="126">
        <v>1.2E-2</v>
      </c>
      <c r="M348" s="124"/>
      <c r="N348" s="124"/>
      <c r="O348" s="124"/>
      <c r="P348" s="124"/>
      <c r="Q348" s="124"/>
      <c r="R348" s="124"/>
      <c r="S348" s="124"/>
      <c r="T348" s="124"/>
      <c r="U348" s="124" t="s">
        <v>5523</v>
      </c>
      <c r="V348" s="127">
        <f t="shared" si="6"/>
        <v>0.21199999999999999</v>
      </c>
      <c r="W348" s="126">
        <v>0</v>
      </c>
      <c r="X348" s="126">
        <v>0</v>
      </c>
      <c r="Y348" s="126">
        <v>10</v>
      </c>
      <c r="Z348" s="124"/>
      <c r="AA348" s="124" t="e">
        <f t="shared" ca="1" si="7"/>
        <v>#NAME?</v>
      </c>
      <c r="AB348" s="126">
        <f t="array" aca="1" ref="AB348" ca="1">IFERROR(J348/_xludf.XLOOKUP(I348,Materials!$A$3:$A$292,Materials!$I$3:$I$292),0)
+IFERROR(L348/_xludf.XLOOKUP(K348,Materials!$A$3:$A$292,Materials!$I$3:$I$292),0)
+IFERROR(N348/_xludf.XLOOKUP(M348,Materials!$A$3:$A$292,Materials!$I$3:$I$292),0)
+IFERROR(P348/_xludf.XLOOKUP(O348,Materials!$A$3:$A$292,Materials!$I$3:$I$292),0)
+IFERROR(R348/_xludf.XLOOKUP(Q348,Materials!$A$3:$A$292,Materials!$I$3:$I$292),0)
+IFERROR(H348/_xludf.XLOOKUP(G348,Materials!$A$3:$A$292,Materials!$I$3:$I$292),0)</f>
        <v>0</v>
      </c>
      <c r="AC348" s="20"/>
      <c r="AD348" s="20"/>
      <c r="AE348" s="20"/>
      <c r="AF348" s="20"/>
      <c r="AG348" s="20"/>
      <c r="AH348" s="20"/>
      <c r="AI348" s="20"/>
      <c r="AJ348" s="20"/>
      <c r="AK348" s="20"/>
      <c r="AL348" s="20"/>
      <c r="AM348" s="20"/>
      <c r="AN348" s="20"/>
      <c r="AO348" s="20"/>
      <c r="AP348" s="20"/>
      <c r="AQ348" s="20"/>
      <c r="AR348" s="20"/>
      <c r="AS348" s="20"/>
      <c r="AT348" s="20"/>
      <c r="AU348" s="20"/>
      <c r="AV348" s="20"/>
    </row>
    <row r="349" spans="1:48" ht="17.25" customHeight="1">
      <c r="A349" s="15" t="s">
        <v>5823</v>
      </c>
      <c r="B349" s="124" t="s">
        <v>154</v>
      </c>
      <c r="C349" s="124" t="s">
        <v>5524</v>
      </c>
      <c r="D349" s="125" t="e">
        <f t="shared" ca="1" si="4"/>
        <v>#NAME?</v>
      </c>
      <c r="E349" s="126" t="str">
        <f t="shared" ca="1" si="5"/>
        <v>Not enough information entered</v>
      </c>
      <c r="F349" s="124" t="s">
        <v>6300</v>
      </c>
      <c r="G349" s="124" t="s">
        <v>5186</v>
      </c>
      <c r="H349" s="126">
        <v>0.15</v>
      </c>
      <c r="I349" s="124" t="s">
        <v>5196</v>
      </c>
      <c r="J349" s="126">
        <v>0.03</v>
      </c>
      <c r="K349" s="124"/>
      <c r="L349" s="124"/>
      <c r="M349" s="124"/>
      <c r="N349" s="124"/>
      <c r="O349" s="124"/>
      <c r="P349" s="124"/>
      <c r="Q349" s="124"/>
      <c r="R349" s="124"/>
      <c r="S349" s="124"/>
      <c r="T349" s="124"/>
      <c r="U349" s="124" t="s">
        <v>5523</v>
      </c>
      <c r="V349" s="127">
        <f t="shared" si="6"/>
        <v>0.18</v>
      </c>
      <c r="W349" s="124"/>
      <c r="X349" s="124"/>
      <c r="Y349" s="124"/>
      <c r="Z349" s="124"/>
      <c r="AA349" s="124" t="e">
        <f t="shared" ca="1" si="7"/>
        <v>#NAME?</v>
      </c>
      <c r="AB349" s="126">
        <f t="array" aca="1" ref="AB349" ca="1">IFERROR(J349/_xludf.XLOOKUP(I349,Materials!$A$3:$A$292,Materials!$I$3:$I$292),0)
+IFERROR(L349/_xludf.XLOOKUP(K349,Materials!$A$3:$A$292,Materials!$I$3:$I$292),0)
+IFERROR(N349/_xludf.XLOOKUP(M349,Materials!$A$3:$A$292,Materials!$I$3:$I$292),0)
+IFERROR(P349/_xludf.XLOOKUP(O349,Materials!$A$3:$A$292,Materials!$I$3:$I$292),0)
+IFERROR(R349/_xludf.XLOOKUP(Q349,Materials!$A$3:$A$292,Materials!$I$3:$I$292),0)
+IFERROR(H349/_xludf.XLOOKUP(G349,Materials!$A$3:$A$292,Materials!$I$3:$I$292),0)</f>
        <v>0</v>
      </c>
      <c r="AC349" s="20"/>
      <c r="AD349" s="20"/>
      <c r="AE349" s="20"/>
      <c r="AF349" s="20"/>
      <c r="AG349" s="20"/>
      <c r="AH349" s="20"/>
      <c r="AI349" s="20"/>
      <c r="AJ349" s="20"/>
      <c r="AK349" s="20"/>
      <c r="AL349" s="20"/>
      <c r="AM349" s="20"/>
      <c r="AN349" s="20"/>
      <c r="AO349" s="20"/>
      <c r="AP349" s="20"/>
      <c r="AQ349" s="20"/>
      <c r="AR349" s="20"/>
      <c r="AS349" s="20"/>
      <c r="AT349" s="20"/>
      <c r="AU349" s="20"/>
      <c r="AV349" s="20"/>
    </row>
    <row r="350" spans="1:48" ht="17.25" hidden="1" customHeight="1">
      <c r="A350" s="15" t="s">
        <v>5823</v>
      </c>
      <c r="B350" s="124" t="s">
        <v>160</v>
      </c>
      <c r="C350" s="124" t="s">
        <v>5526</v>
      </c>
      <c r="D350" s="125" t="e">
        <f t="shared" ca="1" si="4"/>
        <v>#NAME?</v>
      </c>
      <c r="E350" s="126" t="str">
        <f t="shared" ca="1" si="5"/>
        <v>Not enough information entered</v>
      </c>
      <c r="F350" s="124" t="s">
        <v>6643</v>
      </c>
      <c r="G350" s="124" t="s">
        <v>5186</v>
      </c>
      <c r="H350" s="126">
        <v>0.18</v>
      </c>
      <c r="I350" s="124" t="s">
        <v>5196</v>
      </c>
      <c r="J350" s="126">
        <v>0.03</v>
      </c>
      <c r="K350" s="124"/>
      <c r="L350" s="124"/>
      <c r="M350" s="124"/>
      <c r="N350" s="124"/>
      <c r="O350" s="124"/>
      <c r="P350" s="124"/>
      <c r="Q350" s="124"/>
      <c r="R350" s="124"/>
      <c r="S350" s="124"/>
      <c r="T350" s="124"/>
      <c r="U350" s="124" t="s">
        <v>5523</v>
      </c>
      <c r="V350" s="127">
        <f t="shared" si="6"/>
        <v>0.21</v>
      </c>
      <c r="W350" s="126">
        <v>0</v>
      </c>
      <c r="X350" s="126">
        <v>0</v>
      </c>
      <c r="Y350" s="126">
        <v>10</v>
      </c>
      <c r="Z350" s="124"/>
      <c r="AA350" s="124" t="e">
        <f t="shared" ca="1" si="7"/>
        <v>#NAME?</v>
      </c>
      <c r="AB350" s="126">
        <f t="array" aca="1" ref="AB350" ca="1">IFERROR(J350/_xludf.XLOOKUP(I350,Materials!$A$3:$A$292,Materials!$I$3:$I$292),0)
+IFERROR(L350/_xludf.XLOOKUP(K350,Materials!$A$3:$A$292,Materials!$I$3:$I$292),0)
+IFERROR(N350/_xludf.XLOOKUP(M350,Materials!$A$3:$A$292,Materials!$I$3:$I$292),0)
+IFERROR(P350/_xludf.XLOOKUP(O350,Materials!$A$3:$A$292,Materials!$I$3:$I$292),0)
+IFERROR(R350/_xludf.XLOOKUP(Q350,Materials!$A$3:$A$292,Materials!$I$3:$I$292),0)
+IFERROR(H350/_xludf.XLOOKUP(G350,Materials!$A$3:$A$292,Materials!$I$3:$I$292),0)</f>
        <v>0</v>
      </c>
      <c r="AC350" s="20"/>
      <c r="AD350" s="20"/>
      <c r="AE350" s="20"/>
      <c r="AF350" s="20"/>
      <c r="AG350" s="20"/>
      <c r="AH350" s="20"/>
      <c r="AI350" s="20"/>
      <c r="AJ350" s="20"/>
      <c r="AK350" s="20"/>
      <c r="AL350" s="20"/>
      <c r="AM350" s="20"/>
      <c r="AN350" s="20"/>
      <c r="AO350" s="20"/>
      <c r="AP350" s="20"/>
      <c r="AQ350" s="20"/>
      <c r="AR350" s="20"/>
      <c r="AS350" s="20"/>
      <c r="AT350" s="20"/>
      <c r="AU350" s="20"/>
      <c r="AV350" s="20"/>
    </row>
    <row r="351" spans="1:48" ht="17.25" hidden="1" customHeight="1">
      <c r="A351" s="15" t="s">
        <v>5824</v>
      </c>
      <c r="B351" s="124" t="s">
        <v>157</v>
      </c>
      <c r="C351" s="124" t="s">
        <v>5522</v>
      </c>
      <c r="D351" s="125" t="e">
        <f t="shared" ca="1" si="4"/>
        <v>#NAME?</v>
      </c>
      <c r="E351" s="126" t="str">
        <f t="shared" ca="1" si="5"/>
        <v>Not enough information entered</v>
      </c>
      <c r="F351" s="124" t="s">
        <v>6450</v>
      </c>
      <c r="G351" s="124" t="s">
        <v>5211</v>
      </c>
      <c r="H351" s="126">
        <v>0.03</v>
      </c>
      <c r="I351" s="124" t="s">
        <v>5186</v>
      </c>
      <c r="J351" s="126">
        <v>0.18</v>
      </c>
      <c r="K351" s="124" t="s">
        <v>5204</v>
      </c>
      <c r="L351" s="126">
        <v>0.02</v>
      </c>
      <c r="M351" s="124" t="s">
        <v>5200</v>
      </c>
      <c r="N351" s="126">
        <v>1.2E-2</v>
      </c>
      <c r="O351" s="124"/>
      <c r="P351" s="124"/>
      <c r="Q351" s="124"/>
      <c r="R351" s="124"/>
      <c r="S351" s="124"/>
      <c r="T351" s="124"/>
      <c r="U351" s="124" t="s">
        <v>5523</v>
      </c>
      <c r="V351" s="127">
        <f t="shared" si="6"/>
        <v>0.24199999999999999</v>
      </c>
      <c r="W351" s="126">
        <v>0</v>
      </c>
      <c r="X351" s="126">
        <v>0</v>
      </c>
      <c r="Y351" s="126">
        <v>10</v>
      </c>
      <c r="Z351" s="124"/>
      <c r="AA351" s="124" t="e">
        <f t="shared" ca="1" si="7"/>
        <v>#NAME?</v>
      </c>
      <c r="AB351" s="126">
        <f t="array" aca="1" ref="AB351" ca="1">IFERROR(J351/_xludf.XLOOKUP(I351,Materials!$A$3:$A$292,Materials!$I$3:$I$292),0)
+IFERROR(L351/_xludf.XLOOKUP(K351,Materials!$A$3:$A$292,Materials!$I$3:$I$292),0)
+IFERROR(N351/_xludf.XLOOKUP(M351,Materials!$A$3:$A$292,Materials!$I$3:$I$292),0)
+IFERROR(P351/_xludf.XLOOKUP(O351,Materials!$A$3:$A$292,Materials!$I$3:$I$292),0)
+IFERROR(R351/_xludf.XLOOKUP(Q351,Materials!$A$3:$A$292,Materials!$I$3:$I$292),0)
+IFERROR(H351/_xludf.XLOOKUP(G351,Materials!$A$3:$A$292,Materials!$I$3:$I$292),0)</f>
        <v>0</v>
      </c>
      <c r="AC351" s="20"/>
      <c r="AD351" s="20"/>
      <c r="AE351" s="20"/>
      <c r="AF351" s="20"/>
      <c r="AG351" s="20"/>
      <c r="AH351" s="20"/>
      <c r="AI351" s="20"/>
      <c r="AJ351" s="20"/>
      <c r="AK351" s="20"/>
      <c r="AL351" s="20"/>
      <c r="AM351" s="20"/>
      <c r="AN351" s="20"/>
      <c r="AO351" s="20"/>
      <c r="AP351" s="20"/>
      <c r="AQ351" s="20"/>
      <c r="AR351" s="20"/>
      <c r="AS351" s="20"/>
      <c r="AT351" s="20"/>
      <c r="AU351" s="20"/>
      <c r="AV351" s="20"/>
    </row>
    <row r="352" spans="1:48" ht="17.25" customHeight="1">
      <c r="A352" s="15" t="s">
        <v>5824</v>
      </c>
      <c r="B352" s="124" t="s">
        <v>154</v>
      </c>
      <c r="C352" s="124" t="s">
        <v>5524</v>
      </c>
      <c r="D352" s="125" t="e">
        <f t="shared" ca="1" si="4"/>
        <v>#NAME?</v>
      </c>
      <c r="E352" s="126" t="str">
        <f t="shared" ca="1" si="5"/>
        <v>Not enough information entered</v>
      </c>
      <c r="F352" s="124" t="s">
        <v>6301</v>
      </c>
      <c r="G352" s="124" t="s">
        <v>5211</v>
      </c>
      <c r="H352" s="126">
        <v>5.8000000000000003E-2</v>
      </c>
      <c r="I352" s="124" t="s">
        <v>5186</v>
      </c>
      <c r="J352" s="126">
        <v>0.15</v>
      </c>
      <c r="K352" s="124" t="s">
        <v>5196</v>
      </c>
      <c r="L352" s="124">
        <v>0.03</v>
      </c>
      <c r="M352" s="124"/>
      <c r="N352" s="124"/>
      <c r="O352" s="124"/>
      <c r="P352" s="124"/>
      <c r="Q352" s="124"/>
      <c r="R352" s="124"/>
      <c r="S352" s="124"/>
      <c r="T352" s="124"/>
      <c r="U352" s="124" t="s">
        <v>5523</v>
      </c>
      <c r="V352" s="127">
        <f t="shared" si="6"/>
        <v>0.23799999999999999</v>
      </c>
      <c r="W352" s="124"/>
      <c r="X352" s="124"/>
      <c r="Y352" s="124"/>
      <c r="Z352" s="124"/>
      <c r="AA352" s="124" t="e">
        <f t="shared" ca="1" si="7"/>
        <v>#NAME?</v>
      </c>
      <c r="AB352" s="126">
        <f t="array" aca="1" ref="AB352" ca="1">IFERROR(J352/_xludf.XLOOKUP(I352,Materials!$A$3:$A$292,Materials!$I$3:$I$292),0)
+IFERROR(L352/_xludf.XLOOKUP(K352,Materials!$A$3:$A$292,Materials!$I$3:$I$292),0)
+IFERROR(N352/_xludf.XLOOKUP(M352,Materials!$A$3:$A$292,Materials!$I$3:$I$292),0)
+IFERROR(P352/_xludf.XLOOKUP(O352,Materials!$A$3:$A$292,Materials!$I$3:$I$292),0)
+IFERROR(R352/_xludf.XLOOKUP(Q352,Materials!$A$3:$A$292,Materials!$I$3:$I$292),0)
+IFERROR(H352/_xludf.XLOOKUP(G352,Materials!$A$3:$A$292,Materials!$I$3:$I$292),0)</f>
        <v>0</v>
      </c>
      <c r="AC352" s="20"/>
      <c r="AD352" s="20"/>
      <c r="AE352" s="20"/>
      <c r="AF352" s="20"/>
      <c r="AG352" s="20"/>
      <c r="AH352" s="20"/>
      <c r="AI352" s="20"/>
      <c r="AJ352" s="20"/>
      <c r="AK352" s="20"/>
      <c r="AL352" s="20"/>
      <c r="AM352" s="20"/>
      <c r="AN352" s="20"/>
      <c r="AO352" s="20"/>
      <c r="AP352" s="20"/>
      <c r="AQ352" s="20"/>
      <c r="AR352" s="20"/>
      <c r="AS352" s="20"/>
      <c r="AT352" s="20"/>
      <c r="AU352" s="20"/>
      <c r="AV352" s="20"/>
    </row>
    <row r="353" spans="1:48" ht="17.25" hidden="1" customHeight="1">
      <c r="A353" s="15" t="s">
        <v>5824</v>
      </c>
      <c r="B353" s="124" t="s">
        <v>160</v>
      </c>
      <c r="C353" s="124" t="s">
        <v>5526</v>
      </c>
      <c r="D353" s="125" t="e">
        <f t="shared" ca="1" si="4"/>
        <v>#NAME?</v>
      </c>
      <c r="E353" s="126" t="str">
        <f t="shared" ca="1" si="5"/>
        <v>Not enough information entered</v>
      </c>
      <c r="F353" s="124" t="s">
        <v>6644</v>
      </c>
      <c r="G353" s="124" t="s">
        <v>5211</v>
      </c>
      <c r="H353" s="126">
        <v>4.7E-2</v>
      </c>
      <c r="I353" s="124" t="s">
        <v>5186</v>
      </c>
      <c r="J353" s="126">
        <v>0.18</v>
      </c>
      <c r="K353" s="124" t="s">
        <v>5196</v>
      </c>
      <c r="L353" s="124">
        <v>0.03</v>
      </c>
      <c r="M353" s="124"/>
      <c r="N353" s="124"/>
      <c r="O353" s="124"/>
      <c r="P353" s="124"/>
      <c r="Q353" s="124"/>
      <c r="R353" s="124"/>
      <c r="S353" s="124"/>
      <c r="T353" s="124"/>
      <c r="U353" s="124" t="s">
        <v>5523</v>
      </c>
      <c r="V353" s="127">
        <f t="shared" si="6"/>
        <v>0.25700000000000001</v>
      </c>
      <c r="W353" s="126">
        <v>0</v>
      </c>
      <c r="X353" s="126">
        <v>0</v>
      </c>
      <c r="Y353" s="126">
        <v>10</v>
      </c>
      <c r="Z353" s="124"/>
      <c r="AA353" s="124" t="e">
        <f t="shared" ca="1" si="7"/>
        <v>#NAME?</v>
      </c>
      <c r="AB353" s="126">
        <f t="array" aca="1" ref="AB353" ca="1">IFERROR(J353/_xludf.XLOOKUP(I353,Materials!$A$3:$A$292,Materials!$I$3:$I$292),0)
+IFERROR(L353/_xludf.XLOOKUP(K353,Materials!$A$3:$A$292,Materials!$I$3:$I$292),0)
+IFERROR(N353/_xludf.XLOOKUP(M353,Materials!$A$3:$A$292,Materials!$I$3:$I$292),0)
+IFERROR(P353/_xludf.XLOOKUP(O353,Materials!$A$3:$A$292,Materials!$I$3:$I$292),0)
+IFERROR(R353/_xludf.XLOOKUP(Q353,Materials!$A$3:$A$292,Materials!$I$3:$I$292),0)
+IFERROR(H353/_xludf.XLOOKUP(G353,Materials!$A$3:$A$292,Materials!$I$3:$I$292),0)</f>
        <v>0</v>
      </c>
      <c r="AC353" s="20"/>
      <c r="AD353" s="20"/>
      <c r="AE353" s="20"/>
      <c r="AF353" s="20"/>
      <c r="AG353" s="20"/>
      <c r="AH353" s="20"/>
      <c r="AI353" s="20"/>
      <c r="AJ353" s="20"/>
      <c r="AK353" s="20"/>
      <c r="AL353" s="20"/>
      <c r="AM353" s="20"/>
      <c r="AN353" s="20"/>
      <c r="AO353" s="20"/>
      <c r="AP353" s="20"/>
      <c r="AQ353" s="20"/>
      <c r="AR353" s="20"/>
      <c r="AS353" s="20"/>
      <c r="AT353" s="20"/>
      <c r="AU353" s="20"/>
      <c r="AV353" s="20"/>
    </row>
    <row r="354" spans="1:48" ht="17.25" hidden="1" customHeight="1">
      <c r="A354" s="15" t="s">
        <v>5825</v>
      </c>
      <c r="B354" s="124" t="s">
        <v>157</v>
      </c>
      <c r="C354" s="124" t="s">
        <v>5522</v>
      </c>
      <c r="D354" s="125" t="e">
        <f t="shared" ca="1" si="4"/>
        <v>#NAME?</v>
      </c>
      <c r="E354" s="126" t="str">
        <f t="shared" ca="1" si="5"/>
        <v>Not enough information entered</v>
      </c>
      <c r="F354" s="124" t="s">
        <v>6451</v>
      </c>
      <c r="G354" s="124" t="s">
        <v>5211</v>
      </c>
      <c r="H354" s="126">
        <v>0.04</v>
      </c>
      <c r="I354" s="124" t="s">
        <v>5186</v>
      </c>
      <c r="J354" s="126">
        <v>0.18</v>
      </c>
      <c r="K354" s="124" t="s">
        <v>5204</v>
      </c>
      <c r="L354" s="126">
        <v>0.02</v>
      </c>
      <c r="M354" s="124" t="s">
        <v>5200</v>
      </c>
      <c r="N354" s="126">
        <v>1.2E-2</v>
      </c>
      <c r="O354" s="124"/>
      <c r="P354" s="124"/>
      <c r="Q354" s="124"/>
      <c r="R354" s="124"/>
      <c r="S354" s="124"/>
      <c r="T354" s="124"/>
      <c r="U354" s="124" t="s">
        <v>5523</v>
      </c>
      <c r="V354" s="127">
        <f t="shared" si="6"/>
        <v>0.252</v>
      </c>
      <c r="W354" s="126">
        <v>0</v>
      </c>
      <c r="X354" s="126">
        <v>0</v>
      </c>
      <c r="Y354" s="126">
        <v>10</v>
      </c>
      <c r="Z354" s="124"/>
      <c r="AA354" s="124" t="e">
        <f t="shared" ca="1" si="7"/>
        <v>#NAME?</v>
      </c>
      <c r="AB354" s="126">
        <f t="array" aca="1" ref="AB354" ca="1">IFERROR(J354/_xludf.XLOOKUP(I354,Materials!$A$3:$A$292,Materials!$I$3:$I$292),0)
+IFERROR(L354/_xludf.XLOOKUP(K354,Materials!$A$3:$A$292,Materials!$I$3:$I$292),0)
+IFERROR(N354/_xludf.XLOOKUP(M354,Materials!$A$3:$A$292,Materials!$I$3:$I$292),0)
+IFERROR(P354/_xludf.XLOOKUP(O354,Materials!$A$3:$A$292,Materials!$I$3:$I$292),0)
+IFERROR(R354/_xludf.XLOOKUP(Q354,Materials!$A$3:$A$292,Materials!$I$3:$I$292),0)
+IFERROR(H354/_xludf.XLOOKUP(G354,Materials!$A$3:$A$292,Materials!$I$3:$I$292),0)</f>
        <v>0</v>
      </c>
      <c r="AC354" s="20"/>
      <c r="AD354" s="20"/>
      <c r="AE354" s="20"/>
      <c r="AF354" s="20"/>
      <c r="AG354" s="20"/>
      <c r="AH354" s="20"/>
      <c r="AI354" s="20"/>
      <c r="AJ354" s="20"/>
      <c r="AK354" s="20"/>
      <c r="AL354" s="20"/>
      <c r="AM354" s="20"/>
      <c r="AN354" s="20"/>
      <c r="AO354" s="20"/>
      <c r="AP354" s="20"/>
      <c r="AQ354" s="20"/>
      <c r="AR354" s="20"/>
      <c r="AS354" s="20"/>
      <c r="AT354" s="20"/>
      <c r="AU354" s="20"/>
      <c r="AV354" s="20"/>
    </row>
    <row r="355" spans="1:48" ht="17.25" customHeight="1">
      <c r="A355" s="15" t="s">
        <v>5825</v>
      </c>
      <c r="B355" s="124" t="s">
        <v>154</v>
      </c>
      <c r="C355" s="124" t="s">
        <v>5524</v>
      </c>
      <c r="D355" s="125" t="e">
        <f t="shared" ca="1" si="4"/>
        <v>#NAME?</v>
      </c>
      <c r="E355" s="126" t="str">
        <f t="shared" ca="1" si="5"/>
        <v>Not enough information entered</v>
      </c>
      <c r="F355" s="124" t="s">
        <v>6302</v>
      </c>
      <c r="G355" s="124" t="s">
        <v>5211</v>
      </c>
      <c r="H355" s="126">
        <v>5.8999999999999997E-2</v>
      </c>
      <c r="I355" s="124" t="s">
        <v>5186</v>
      </c>
      <c r="J355" s="126">
        <v>0.15</v>
      </c>
      <c r="K355" s="124" t="s">
        <v>5196</v>
      </c>
      <c r="L355" s="124">
        <v>0.03</v>
      </c>
      <c r="M355" s="124"/>
      <c r="N355" s="124"/>
      <c r="O355" s="124"/>
      <c r="P355" s="124"/>
      <c r="Q355" s="124"/>
      <c r="R355" s="124"/>
      <c r="S355" s="124"/>
      <c r="T355" s="124"/>
      <c r="U355" s="124" t="s">
        <v>5523</v>
      </c>
      <c r="V355" s="127">
        <f t="shared" si="6"/>
        <v>0.23899999999999999</v>
      </c>
      <c r="W355" s="124"/>
      <c r="X355" s="124"/>
      <c r="Y355" s="124"/>
      <c r="Z355" s="124"/>
      <c r="AA355" s="124" t="e">
        <f t="shared" ca="1" si="7"/>
        <v>#NAME?</v>
      </c>
      <c r="AB355" s="126">
        <f t="array" aca="1" ref="AB355" ca="1">IFERROR(J355/_xludf.XLOOKUP(I355,Materials!$A$3:$A$292,Materials!$I$3:$I$292),0)
+IFERROR(L355/_xludf.XLOOKUP(K355,Materials!$A$3:$A$292,Materials!$I$3:$I$292),0)
+IFERROR(N355/_xludf.XLOOKUP(M355,Materials!$A$3:$A$292,Materials!$I$3:$I$292),0)
+IFERROR(P355/_xludf.XLOOKUP(O355,Materials!$A$3:$A$292,Materials!$I$3:$I$292),0)
+IFERROR(R355/_xludf.XLOOKUP(Q355,Materials!$A$3:$A$292,Materials!$I$3:$I$292),0)
+IFERROR(H355/_xludf.XLOOKUP(G355,Materials!$A$3:$A$292,Materials!$I$3:$I$292),0)</f>
        <v>0</v>
      </c>
      <c r="AC355" s="20"/>
      <c r="AD355" s="20"/>
      <c r="AE355" s="20"/>
      <c r="AF355" s="20"/>
      <c r="AG355" s="20"/>
      <c r="AH355" s="20"/>
      <c r="AI355" s="20"/>
      <c r="AJ355" s="20"/>
      <c r="AK355" s="20"/>
      <c r="AL355" s="20"/>
      <c r="AM355" s="20"/>
      <c r="AN355" s="20"/>
      <c r="AO355" s="20"/>
      <c r="AP355" s="20"/>
      <c r="AQ355" s="20"/>
      <c r="AR355" s="20"/>
      <c r="AS355" s="20"/>
      <c r="AT355" s="20"/>
      <c r="AU355" s="20"/>
      <c r="AV355" s="20"/>
    </row>
    <row r="356" spans="1:48" ht="17.25" hidden="1" customHeight="1">
      <c r="A356" s="15" t="s">
        <v>5825</v>
      </c>
      <c r="B356" s="124" t="s">
        <v>160</v>
      </c>
      <c r="C356" s="124" t="s">
        <v>5526</v>
      </c>
      <c r="D356" s="125" t="e">
        <f t="shared" ca="1" si="4"/>
        <v>#NAME?</v>
      </c>
      <c r="E356" s="126" t="str">
        <f t="shared" ca="1" si="5"/>
        <v>Not enough information entered</v>
      </c>
      <c r="F356" s="124" t="s">
        <v>6645</v>
      </c>
      <c r="G356" s="124" t="s">
        <v>5211</v>
      </c>
      <c r="H356" s="126">
        <v>5.8000000000000003E-2</v>
      </c>
      <c r="I356" s="124" t="s">
        <v>5186</v>
      </c>
      <c r="J356" s="126">
        <v>0.18</v>
      </c>
      <c r="K356" s="124" t="s">
        <v>5196</v>
      </c>
      <c r="L356" s="124">
        <v>0.03</v>
      </c>
      <c r="M356" s="124"/>
      <c r="N356" s="124"/>
      <c r="O356" s="124"/>
      <c r="P356" s="124"/>
      <c r="Q356" s="124"/>
      <c r="R356" s="124"/>
      <c r="S356" s="124"/>
      <c r="T356" s="124"/>
      <c r="U356" s="124" t="s">
        <v>5523</v>
      </c>
      <c r="V356" s="127">
        <f t="shared" si="6"/>
        <v>0.26800000000000002</v>
      </c>
      <c r="W356" s="126">
        <v>0</v>
      </c>
      <c r="X356" s="126">
        <v>0</v>
      </c>
      <c r="Y356" s="126">
        <v>10</v>
      </c>
      <c r="Z356" s="124"/>
      <c r="AA356" s="124" t="e">
        <f t="shared" ca="1" si="7"/>
        <v>#NAME?</v>
      </c>
      <c r="AB356" s="126">
        <f t="array" aca="1" ref="AB356" ca="1">IFERROR(J356/_xludf.XLOOKUP(I356,Materials!$A$3:$A$292,Materials!$I$3:$I$292),0)
+IFERROR(L356/_xludf.XLOOKUP(K356,Materials!$A$3:$A$292,Materials!$I$3:$I$292),0)
+IFERROR(N356/_xludf.XLOOKUP(M356,Materials!$A$3:$A$292,Materials!$I$3:$I$292),0)
+IFERROR(P356/_xludf.XLOOKUP(O356,Materials!$A$3:$A$292,Materials!$I$3:$I$292),0)
+IFERROR(R356/_xludf.XLOOKUP(Q356,Materials!$A$3:$A$292,Materials!$I$3:$I$292),0)
+IFERROR(H356/_xludf.XLOOKUP(G356,Materials!$A$3:$A$292,Materials!$I$3:$I$292),0)</f>
        <v>0</v>
      </c>
      <c r="AC356" s="20"/>
      <c r="AD356" s="20"/>
      <c r="AE356" s="20"/>
      <c r="AF356" s="20"/>
      <c r="AG356" s="20"/>
      <c r="AH356" s="20"/>
      <c r="AI356" s="20"/>
      <c r="AJ356" s="20"/>
      <c r="AK356" s="20"/>
      <c r="AL356" s="20"/>
      <c r="AM356" s="20"/>
      <c r="AN356" s="20"/>
      <c r="AO356" s="20"/>
      <c r="AP356" s="20"/>
      <c r="AQ356" s="20"/>
      <c r="AR356" s="20"/>
      <c r="AS356" s="20"/>
      <c r="AT356" s="20"/>
      <c r="AU356" s="20"/>
      <c r="AV356" s="20"/>
    </row>
    <row r="357" spans="1:48" ht="17.25" hidden="1" customHeight="1">
      <c r="A357" s="15" t="s">
        <v>5826</v>
      </c>
      <c r="B357" s="124" t="s">
        <v>157</v>
      </c>
      <c r="C357" s="124" t="s">
        <v>5522</v>
      </c>
      <c r="D357" s="125" t="e">
        <f t="shared" ca="1" si="4"/>
        <v>#NAME?</v>
      </c>
      <c r="E357" s="126" t="str">
        <f t="shared" ca="1" si="5"/>
        <v>Not enough information entered</v>
      </c>
      <c r="F357" s="124" t="s">
        <v>6452</v>
      </c>
      <c r="G357" s="124" t="s">
        <v>5211</v>
      </c>
      <c r="H357" s="126">
        <v>0.06</v>
      </c>
      <c r="I357" s="124" t="s">
        <v>5186</v>
      </c>
      <c r="J357" s="126">
        <v>0.18</v>
      </c>
      <c r="K357" s="124" t="s">
        <v>5204</v>
      </c>
      <c r="L357" s="126">
        <v>0.02</v>
      </c>
      <c r="M357" s="124" t="s">
        <v>5200</v>
      </c>
      <c r="N357" s="126">
        <v>1.2E-2</v>
      </c>
      <c r="O357" s="124"/>
      <c r="P357" s="124"/>
      <c r="Q357" s="124"/>
      <c r="R357" s="124"/>
      <c r="S357" s="124"/>
      <c r="T357" s="124"/>
      <c r="U357" s="124" t="s">
        <v>5523</v>
      </c>
      <c r="V357" s="127">
        <f t="shared" si="6"/>
        <v>0.27200000000000002</v>
      </c>
      <c r="W357" s="126">
        <v>0</v>
      </c>
      <c r="X357" s="126">
        <v>0</v>
      </c>
      <c r="Y357" s="126">
        <v>10</v>
      </c>
      <c r="Z357" s="124"/>
      <c r="AA357" s="124" t="e">
        <f t="shared" ca="1" si="7"/>
        <v>#NAME?</v>
      </c>
      <c r="AB357" s="126">
        <f t="array" aca="1" ref="AB357" ca="1">IFERROR(J357/_xludf.XLOOKUP(I357,Materials!$A$3:$A$292,Materials!$I$3:$I$292),0)
+IFERROR(L357/_xludf.XLOOKUP(K357,Materials!$A$3:$A$292,Materials!$I$3:$I$292),0)
+IFERROR(N357/_xludf.XLOOKUP(M357,Materials!$A$3:$A$292,Materials!$I$3:$I$292),0)
+IFERROR(P357/_xludf.XLOOKUP(O357,Materials!$A$3:$A$292,Materials!$I$3:$I$292),0)
+IFERROR(R357/_xludf.XLOOKUP(Q357,Materials!$A$3:$A$292,Materials!$I$3:$I$292),0)
+IFERROR(H357/_xludf.XLOOKUP(G357,Materials!$A$3:$A$292,Materials!$I$3:$I$292),0)</f>
        <v>0</v>
      </c>
      <c r="AC357" s="20"/>
      <c r="AD357" s="20"/>
      <c r="AE357" s="20"/>
      <c r="AF357" s="20"/>
      <c r="AG357" s="20"/>
      <c r="AH357" s="20"/>
      <c r="AI357" s="20"/>
      <c r="AJ357" s="20"/>
      <c r="AK357" s="20"/>
      <c r="AL357" s="20"/>
      <c r="AM357" s="20"/>
      <c r="AN357" s="20"/>
      <c r="AO357" s="20"/>
      <c r="AP357" s="20"/>
      <c r="AQ357" s="20"/>
      <c r="AR357" s="20"/>
      <c r="AS357" s="20"/>
      <c r="AT357" s="20"/>
      <c r="AU357" s="20"/>
      <c r="AV357" s="20"/>
    </row>
    <row r="358" spans="1:48" ht="17.25" customHeight="1">
      <c r="A358" s="15" t="s">
        <v>5826</v>
      </c>
      <c r="B358" s="124" t="s">
        <v>154</v>
      </c>
      <c r="C358" s="124" t="s">
        <v>5524</v>
      </c>
      <c r="D358" s="125" t="e">
        <f t="shared" ca="1" si="4"/>
        <v>#NAME?</v>
      </c>
      <c r="E358" s="126" t="str">
        <f t="shared" ca="1" si="5"/>
        <v>Not enough information entered</v>
      </c>
      <c r="F358" s="124" t="s">
        <v>6303</v>
      </c>
      <c r="G358" s="124" t="s">
        <v>5211</v>
      </c>
      <c r="H358" s="126">
        <v>7.8E-2</v>
      </c>
      <c r="I358" s="124" t="s">
        <v>5186</v>
      </c>
      <c r="J358" s="126">
        <v>0.15</v>
      </c>
      <c r="K358" s="124" t="s">
        <v>5196</v>
      </c>
      <c r="L358" s="124">
        <v>0.03</v>
      </c>
      <c r="M358" s="124"/>
      <c r="N358" s="124"/>
      <c r="O358" s="124"/>
      <c r="P358" s="124"/>
      <c r="Q358" s="124"/>
      <c r="R358" s="124"/>
      <c r="S358" s="124"/>
      <c r="T358" s="124"/>
      <c r="U358" s="124" t="s">
        <v>5523</v>
      </c>
      <c r="V358" s="127">
        <f t="shared" si="6"/>
        <v>0.25800000000000001</v>
      </c>
      <c r="W358" s="124"/>
      <c r="X358" s="124"/>
      <c r="Y358" s="124"/>
      <c r="Z358" s="124"/>
      <c r="AA358" s="124" t="e">
        <f t="shared" ca="1" si="7"/>
        <v>#NAME?</v>
      </c>
      <c r="AB358" s="126">
        <f t="array" aca="1" ref="AB358" ca="1">IFERROR(J358/_xludf.XLOOKUP(I358,Materials!$A$3:$A$292,Materials!$I$3:$I$292),0)
+IFERROR(L358/_xludf.XLOOKUP(K358,Materials!$A$3:$A$292,Materials!$I$3:$I$292),0)
+IFERROR(N358/_xludf.XLOOKUP(M358,Materials!$A$3:$A$292,Materials!$I$3:$I$292),0)
+IFERROR(P358/_xludf.XLOOKUP(O358,Materials!$A$3:$A$292,Materials!$I$3:$I$292),0)
+IFERROR(R358/_xludf.XLOOKUP(Q358,Materials!$A$3:$A$292,Materials!$I$3:$I$292),0)
+IFERROR(H358/_xludf.XLOOKUP(G358,Materials!$A$3:$A$292,Materials!$I$3:$I$292),0)</f>
        <v>0</v>
      </c>
      <c r="AC358" s="20"/>
      <c r="AD358" s="20"/>
      <c r="AE358" s="20"/>
      <c r="AF358" s="20"/>
      <c r="AG358" s="20"/>
      <c r="AH358" s="20"/>
      <c r="AI358" s="20"/>
      <c r="AJ358" s="20"/>
      <c r="AK358" s="20"/>
      <c r="AL358" s="20"/>
      <c r="AM358" s="20"/>
      <c r="AN358" s="20"/>
      <c r="AO358" s="20"/>
      <c r="AP358" s="20"/>
      <c r="AQ358" s="20"/>
      <c r="AR358" s="20"/>
      <c r="AS358" s="20"/>
      <c r="AT358" s="20"/>
      <c r="AU358" s="20"/>
      <c r="AV358" s="20"/>
    </row>
    <row r="359" spans="1:48" ht="17.25" hidden="1" customHeight="1">
      <c r="A359" s="15" t="s">
        <v>5826</v>
      </c>
      <c r="B359" s="124" t="s">
        <v>160</v>
      </c>
      <c r="C359" s="124" t="s">
        <v>5526</v>
      </c>
      <c r="D359" s="125" t="e">
        <f t="shared" ca="1" si="4"/>
        <v>#NAME?</v>
      </c>
      <c r="E359" s="126" t="str">
        <f t="shared" ca="1" si="5"/>
        <v>Not enough information entered</v>
      </c>
      <c r="F359" s="124" t="s">
        <v>6646</v>
      </c>
      <c r="G359" s="124" t="s">
        <v>5211</v>
      </c>
      <c r="H359" s="126">
        <v>7.6999999999999999E-2</v>
      </c>
      <c r="I359" s="124" t="s">
        <v>5186</v>
      </c>
      <c r="J359" s="126">
        <v>0.18</v>
      </c>
      <c r="K359" s="124" t="s">
        <v>5196</v>
      </c>
      <c r="L359" s="124">
        <v>0.03</v>
      </c>
      <c r="M359" s="124"/>
      <c r="N359" s="124"/>
      <c r="O359" s="124"/>
      <c r="P359" s="124"/>
      <c r="Q359" s="124"/>
      <c r="R359" s="124"/>
      <c r="S359" s="124"/>
      <c r="T359" s="124"/>
      <c r="U359" s="124" t="s">
        <v>5523</v>
      </c>
      <c r="V359" s="127">
        <f t="shared" si="6"/>
        <v>0.28700000000000003</v>
      </c>
      <c r="W359" s="126">
        <v>0</v>
      </c>
      <c r="X359" s="126">
        <v>0</v>
      </c>
      <c r="Y359" s="126">
        <v>10</v>
      </c>
      <c r="Z359" s="124"/>
      <c r="AA359" s="124" t="e">
        <f t="shared" ca="1" si="7"/>
        <v>#NAME?</v>
      </c>
      <c r="AB359" s="126">
        <f t="array" aca="1" ref="AB359" ca="1">IFERROR(J359/_xludf.XLOOKUP(I359,Materials!$A$3:$A$292,Materials!$I$3:$I$292),0)
+IFERROR(L359/_xludf.XLOOKUP(K359,Materials!$A$3:$A$292,Materials!$I$3:$I$292),0)
+IFERROR(N359/_xludf.XLOOKUP(M359,Materials!$A$3:$A$292,Materials!$I$3:$I$292),0)
+IFERROR(P359/_xludf.XLOOKUP(O359,Materials!$A$3:$A$292,Materials!$I$3:$I$292),0)
+IFERROR(R359/_xludf.XLOOKUP(Q359,Materials!$A$3:$A$292,Materials!$I$3:$I$292),0)
+IFERROR(H359/_xludf.XLOOKUP(G359,Materials!$A$3:$A$292,Materials!$I$3:$I$292),0)</f>
        <v>0</v>
      </c>
      <c r="AC359" s="20"/>
      <c r="AD359" s="20"/>
      <c r="AE359" s="20"/>
      <c r="AF359" s="20"/>
      <c r="AG359" s="20"/>
      <c r="AH359" s="20"/>
      <c r="AI359" s="20"/>
      <c r="AJ359" s="20"/>
      <c r="AK359" s="20"/>
      <c r="AL359" s="20"/>
      <c r="AM359" s="20"/>
      <c r="AN359" s="20"/>
      <c r="AO359" s="20"/>
      <c r="AP359" s="20"/>
      <c r="AQ359" s="20"/>
      <c r="AR359" s="20"/>
      <c r="AS359" s="20"/>
      <c r="AT359" s="20"/>
      <c r="AU359" s="20"/>
      <c r="AV359" s="20"/>
    </row>
    <row r="360" spans="1:48" ht="17.25" hidden="1" customHeight="1">
      <c r="A360" s="15" t="s">
        <v>5827</v>
      </c>
      <c r="B360" s="124" t="s">
        <v>157</v>
      </c>
      <c r="C360" s="124" t="s">
        <v>5522</v>
      </c>
      <c r="D360" s="125" t="e">
        <f t="shared" ca="1" si="4"/>
        <v>#NAME?</v>
      </c>
      <c r="E360" s="126" t="str">
        <f t="shared" ca="1" si="5"/>
        <v>Not enough information entered</v>
      </c>
      <c r="F360" s="124" t="s">
        <v>6453</v>
      </c>
      <c r="G360" s="124" t="s">
        <v>5211</v>
      </c>
      <c r="H360" s="126">
        <v>6.9000000000000006E-2</v>
      </c>
      <c r="I360" s="124" t="s">
        <v>5186</v>
      </c>
      <c r="J360" s="126">
        <v>0.18</v>
      </c>
      <c r="K360" s="124" t="s">
        <v>5204</v>
      </c>
      <c r="L360" s="126">
        <v>0.02</v>
      </c>
      <c r="M360" s="124" t="s">
        <v>5200</v>
      </c>
      <c r="N360" s="126">
        <v>1.2E-2</v>
      </c>
      <c r="O360" s="124"/>
      <c r="P360" s="124"/>
      <c r="Q360" s="124"/>
      <c r="R360" s="124"/>
      <c r="S360" s="124"/>
      <c r="T360" s="124"/>
      <c r="U360" s="124" t="s">
        <v>5523</v>
      </c>
      <c r="V360" s="127">
        <f t="shared" si="6"/>
        <v>0.28100000000000003</v>
      </c>
      <c r="W360" s="126">
        <v>0</v>
      </c>
      <c r="X360" s="126">
        <v>0</v>
      </c>
      <c r="Y360" s="126">
        <v>10</v>
      </c>
      <c r="Z360" s="124"/>
      <c r="AA360" s="124" t="e">
        <f t="shared" ca="1" si="7"/>
        <v>#NAME?</v>
      </c>
      <c r="AB360" s="126">
        <f t="array" aca="1" ref="AB360" ca="1">IFERROR(J360/_xludf.XLOOKUP(I360,Materials!$A$3:$A$292,Materials!$I$3:$I$292),0)
+IFERROR(L360/_xludf.XLOOKUP(K360,Materials!$A$3:$A$292,Materials!$I$3:$I$292),0)
+IFERROR(N360/_xludf.XLOOKUP(M360,Materials!$A$3:$A$292,Materials!$I$3:$I$292),0)
+IFERROR(P360/_xludf.XLOOKUP(O360,Materials!$A$3:$A$292,Materials!$I$3:$I$292),0)
+IFERROR(R360/_xludf.XLOOKUP(Q360,Materials!$A$3:$A$292,Materials!$I$3:$I$292),0)
+IFERROR(H360/_xludf.XLOOKUP(G360,Materials!$A$3:$A$292,Materials!$I$3:$I$292),0)</f>
        <v>0</v>
      </c>
      <c r="AC360" s="20"/>
      <c r="AD360" s="20"/>
      <c r="AE360" s="20"/>
      <c r="AF360" s="20"/>
      <c r="AG360" s="20"/>
      <c r="AH360" s="20"/>
      <c r="AI360" s="20"/>
      <c r="AJ360" s="20"/>
      <c r="AK360" s="20"/>
      <c r="AL360" s="20"/>
      <c r="AM360" s="20"/>
      <c r="AN360" s="20"/>
      <c r="AO360" s="20"/>
      <c r="AP360" s="20"/>
      <c r="AQ360" s="20"/>
      <c r="AR360" s="20"/>
      <c r="AS360" s="20"/>
      <c r="AT360" s="20"/>
      <c r="AU360" s="20"/>
      <c r="AV360" s="20"/>
    </row>
    <row r="361" spans="1:48" ht="17.25" customHeight="1">
      <c r="A361" s="15" t="s">
        <v>5827</v>
      </c>
      <c r="B361" s="124" t="s">
        <v>154</v>
      </c>
      <c r="C361" s="124" t="s">
        <v>5524</v>
      </c>
      <c r="D361" s="125" t="e">
        <f t="shared" ca="1" si="4"/>
        <v>#NAME?</v>
      </c>
      <c r="E361" s="126" t="str">
        <f t="shared" ca="1" si="5"/>
        <v>Not enough information entered</v>
      </c>
      <c r="F361" s="124" t="s">
        <v>6304</v>
      </c>
      <c r="G361" s="124" t="s">
        <v>5211</v>
      </c>
      <c r="H361" s="126">
        <v>9.4E-2</v>
      </c>
      <c r="I361" s="124" t="s">
        <v>5186</v>
      </c>
      <c r="J361" s="126">
        <v>0.15</v>
      </c>
      <c r="K361" s="124" t="s">
        <v>5196</v>
      </c>
      <c r="L361" s="124">
        <v>0.03</v>
      </c>
      <c r="M361" s="124"/>
      <c r="N361" s="124"/>
      <c r="O361" s="124"/>
      <c r="P361" s="124"/>
      <c r="Q361" s="124"/>
      <c r="R361" s="124"/>
      <c r="S361" s="124"/>
      <c r="T361" s="124"/>
      <c r="U361" s="124" t="s">
        <v>5523</v>
      </c>
      <c r="V361" s="127">
        <f t="shared" si="6"/>
        <v>0.27400000000000002</v>
      </c>
      <c r="W361" s="124"/>
      <c r="X361" s="124"/>
      <c r="Y361" s="124"/>
      <c r="Z361" s="124"/>
      <c r="AA361" s="124" t="e">
        <f t="shared" ca="1" si="7"/>
        <v>#NAME?</v>
      </c>
      <c r="AB361" s="126">
        <f t="array" aca="1" ref="AB361" ca="1">IFERROR(J361/_xludf.XLOOKUP(I361,Materials!$A$3:$A$292,Materials!$I$3:$I$292),0)
+IFERROR(L361/_xludf.XLOOKUP(K361,Materials!$A$3:$A$292,Materials!$I$3:$I$292),0)
+IFERROR(N361/_xludf.XLOOKUP(M361,Materials!$A$3:$A$292,Materials!$I$3:$I$292),0)
+IFERROR(P361/_xludf.XLOOKUP(O361,Materials!$A$3:$A$292,Materials!$I$3:$I$292),0)
+IFERROR(R361/_xludf.XLOOKUP(Q361,Materials!$A$3:$A$292,Materials!$I$3:$I$292),0)
+IFERROR(H361/_xludf.XLOOKUP(G361,Materials!$A$3:$A$292,Materials!$I$3:$I$292),0)</f>
        <v>0</v>
      </c>
      <c r="AC361" s="20"/>
      <c r="AD361" s="20"/>
      <c r="AE361" s="20"/>
      <c r="AF361" s="20"/>
      <c r="AG361" s="20"/>
      <c r="AH361" s="20"/>
      <c r="AI361" s="20"/>
      <c r="AJ361" s="20"/>
      <c r="AK361" s="20"/>
      <c r="AL361" s="20"/>
      <c r="AM361" s="20"/>
      <c r="AN361" s="20"/>
      <c r="AO361" s="20"/>
      <c r="AP361" s="20"/>
      <c r="AQ361" s="20"/>
      <c r="AR361" s="20"/>
      <c r="AS361" s="20"/>
      <c r="AT361" s="20"/>
      <c r="AU361" s="20"/>
      <c r="AV361" s="20"/>
    </row>
    <row r="362" spans="1:48" ht="17.25" hidden="1" customHeight="1">
      <c r="A362" s="15" t="s">
        <v>5827</v>
      </c>
      <c r="B362" s="124" t="s">
        <v>160</v>
      </c>
      <c r="C362" s="124" t="s">
        <v>5526</v>
      </c>
      <c r="D362" s="125" t="e">
        <f t="shared" ca="1" si="4"/>
        <v>#NAME?</v>
      </c>
      <c r="E362" s="126" t="str">
        <f t="shared" ca="1" si="5"/>
        <v>Not enough information entered</v>
      </c>
      <c r="F362" s="124" t="s">
        <v>6647</v>
      </c>
      <c r="G362" s="124" t="s">
        <v>5211</v>
      </c>
      <c r="H362" s="126">
        <v>9.2999999999999999E-2</v>
      </c>
      <c r="I362" s="124" t="s">
        <v>5186</v>
      </c>
      <c r="J362" s="126">
        <v>0.18</v>
      </c>
      <c r="K362" s="124" t="s">
        <v>5196</v>
      </c>
      <c r="L362" s="124">
        <v>0.03</v>
      </c>
      <c r="M362" s="124"/>
      <c r="N362" s="124"/>
      <c r="O362" s="124"/>
      <c r="P362" s="124"/>
      <c r="Q362" s="124"/>
      <c r="R362" s="124"/>
      <c r="S362" s="124"/>
      <c r="T362" s="124"/>
      <c r="U362" s="124" t="s">
        <v>5523</v>
      </c>
      <c r="V362" s="127">
        <f t="shared" si="6"/>
        <v>0.30300000000000005</v>
      </c>
      <c r="W362" s="126">
        <v>0</v>
      </c>
      <c r="X362" s="126">
        <v>0</v>
      </c>
      <c r="Y362" s="126">
        <v>10</v>
      </c>
      <c r="Z362" s="124"/>
      <c r="AA362" s="124" t="e">
        <f t="shared" ca="1" si="7"/>
        <v>#NAME?</v>
      </c>
      <c r="AB362" s="126">
        <f t="array" aca="1" ref="AB362" ca="1">IFERROR(J362/_xludf.XLOOKUP(I362,Materials!$A$3:$A$292,Materials!$I$3:$I$292),0)
+IFERROR(L362/_xludf.XLOOKUP(K362,Materials!$A$3:$A$292,Materials!$I$3:$I$292),0)
+IFERROR(N362/_xludf.XLOOKUP(M362,Materials!$A$3:$A$292,Materials!$I$3:$I$292),0)
+IFERROR(P362/_xludf.XLOOKUP(O362,Materials!$A$3:$A$292,Materials!$I$3:$I$292),0)
+IFERROR(R362/_xludf.XLOOKUP(Q362,Materials!$A$3:$A$292,Materials!$I$3:$I$292),0)
+IFERROR(H362/_xludf.XLOOKUP(G362,Materials!$A$3:$A$292,Materials!$I$3:$I$292),0)</f>
        <v>0</v>
      </c>
      <c r="AC362" s="20"/>
      <c r="AD362" s="20"/>
      <c r="AE362" s="20"/>
      <c r="AF362" s="20"/>
      <c r="AG362" s="20"/>
      <c r="AH362" s="20"/>
      <c r="AI362" s="20"/>
      <c r="AJ362" s="20"/>
      <c r="AK362" s="20"/>
      <c r="AL362" s="20"/>
      <c r="AM362" s="20"/>
      <c r="AN362" s="20"/>
      <c r="AO362" s="20"/>
      <c r="AP362" s="20"/>
      <c r="AQ362" s="20"/>
      <c r="AR362" s="20"/>
      <c r="AS362" s="20"/>
      <c r="AT362" s="20"/>
      <c r="AU362" s="20"/>
      <c r="AV362" s="20"/>
    </row>
    <row r="363" spans="1:48" ht="17.25" hidden="1" customHeight="1">
      <c r="A363" s="15" t="s">
        <v>4863</v>
      </c>
      <c r="B363" s="124" t="s">
        <v>158</v>
      </c>
      <c r="C363" s="124" t="s">
        <v>5527</v>
      </c>
      <c r="D363" s="125" t="e">
        <f t="shared" ca="1" si="4"/>
        <v>#NAME?</v>
      </c>
      <c r="E363" s="126" t="str">
        <f t="shared" ca="1" si="5"/>
        <v>Not enough information entered</v>
      </c>
      <c r="F363" s="124" t="s">
        <v>6354</v>
      </c>
      <c r="G363" s="124" t="s">
        <v>5200</v>
      </c>
      <c r="H363" s="124">
        <v>1.2500000000000001E-2</v>
      </c>
      <c r="I363" s="124" t="s">
        <v>5204</v>
      </c>
      <c r="J363" s="124">
        <v>0.05</v>
      </c>
      <c r="K363" s="124" t="s">
        <v>5200</v>
      </c>
      <c r="L363" s="124">
        <v>1.2500000000000001E-2</v>
      </c>
      <c r="M363" s="124"/>
      <c r="N363" s="124"/>
      <c r="O363" s="124"/>
      <c r="P363" s="124"/>
      <c r="Q363" s="124"/>
      <c r="R363" s="124"/>
      <c r="S363" s="124"/>
      <c r="T363" s="124"/>
      <c r="U363" s="124" t="s">
        <v>5523</v>
      </c>
      <c r="V363" s="127">
        <f t="shared" si="6"/>
        <v>7.4999999999999997E-2</v>
      </c>
      <c r="W363" s="124"/>
      <c r="X363" s="124"/>
      <c r="Y363" s="124"/>
      <c r="Z363" s="124"/>
      <c r="AA363" s="124" t="e">
        <f t="shared" ca="1" si="7"/>
        <v>#NAME?</v>
      </c>
      <c r="AB363" s="126">
        <f t="array" aca="1" ref="AB363" ca="1">IFERROR(J363/_xludf.XLOOKUP(I363,Materials!$A$3:$A$292,Materials!$I$3:$I$292),0)
+IFERROR(L363/_xludf.XLOOKUP(K363,Materials!$A$3:$A$292,Materials!$I$3:$I$292),0)
+IFERROR(N363/_xludf.XLOOKUP(M363,Materials!$A$3:$A$292,Materials!$I$3:$I$292),0)
+IFERROR(P363/_xludf.XLOOKUP(O363,Materials!$A$3:$A$292,Materials!$I$3:$I$292),0)
+IFERROR(R363/_xludf.XLOOKUP(Q363,Materials!$A$3:$A$292,Materials!$I$3:$I$292),0)
+IFERROR(H363/_xludf.XLOOKUP(G363,Materials!$A$3:$A$292,Materials!$I$3:$I$292),0)</f>
        <v>0</v>
      </c>
      <c r="AC363" s="20"/>
      <c r="AD363" s="20"/>
      <c r="AE363" s="20"/>
      <c r="AF363" s="20"/>
      <c r="AG363" s="20"/>
      <c r="AH363" s="20"/>
      <c r="AI363" s="20"/>
      <c r="AJ363" s="20"/>
      <c r="AK363" s="20"/>
      <c r="AL363" s="20"/>
      <c r="AM363" s="20"/>
      <c r="AN363" s="20"/>
      <c r="AO363" s="20"/>
      <c r="AP363" s="20"/>
      <c r="AQ363" s="20"/>
      <c r="AR363" s="20"/>
      <c r="AS363" s="20"/>
      <c r="AT363" s="20"/>
      <c r="AU363" s="20"/>
      <c r="AV363" s="20"/>
    </row>
    <row r="364" spans="1:48" ht="17.25" hidden="1" customHeight="1">
      <c r="A364" s="15" t="s">
        <v>4863</v>
      </c>
      <c r="B364" s="124" t="s">
        <v>162</v>
      </c>
      <c r="C364" s="124" t="s">
        <v>5529</v>
      </c>
      <c r="D364" s="125" t="e">
        <f t="shared" ca="1" si="4"/>
        <v>#NAME?</v>
      </c>
      <c r="E364" s="126" t="str">
        <f t="shared" ca="1" si="5"/>
        <v>Not enough information entered</v>
      </c>
      <c r="F364" s="124" t="s">
        <v>6563</v>
      </c>
      <c r="G364" s="124" t="s">
        <v>5186</v>
      </c>
      <c r="H364" s="124">
        <v>0.18</v>
      </c>
      <c r="I364" s="124" t="s">
        <v>5196</v>
      </c>
      <c r="J364" s="124">
        <v>0.03</v>
      </c>
      <c r="K364" s="124"/>
      <c r="L364" s="124"/>
      <c r="M364" s="124"/>
      <c r="N364" s="124"/>
      <c r="O364" s="124"/>
      <c r="P364" s="124"/>
      <c r="Q364" s="124"/>
      <c r="R364" s="124"/>
      <c r="S364" s="124"/>
      <c r="T364" s="124"/>
      <c r="U364" s="124" t="s">
        <v>5523</v>
      </c>
      <c r="V364" s="127">
        <f t="shared" si="6"/>
        <v>0.21</v>
      </c>
      <c r="W364" s="124"/>
      <c r="X364" s="124"/>
      <c r="Y364" s="124"/>
      <c r="Z364" s="124"/>
      <c r="AA364" s="124" t="e">
        <f t="shared" ca="1" si="7"/>
        <v>#NAME?</v>
      </c>
      <c r="AB364" s="126">
        <f t="array" aca="1" ref="AB364" ca="1">IFERROR(J364/_xludf.XLOOKUP(I364,Materials!$A$3:$A$292,Materials!$I$3:$I$292),0)
+IFERROR(L364/_xludf.XLOOKUP(K364,Materials!$A$3:$A$292,Materials!$I$3:$I$292),0)
+IFERROR(N364/_xludf.XLOOKUP(M364,Materials!$A$3:$A$292,Materials!$I$3:$I$292),0)
+IFERROR(P364/_xludf.XLOOKUP(O364,Materials!$A$3:$A$292,Materials!$I$3:$I$292),0)
+IFERROR(R364/_xludf.XLOOKUP(Q364,Materials!$A$3:$A$292,Materials!$I$3:$I$292),0)
+IFERROR(H364/_xludf.XLOOKUP(G364,Materials!$A$3:$A$292,Materials!$I$3:$I$292),0)</f>
        <v>0</v>
      </c>
      <c r="AC364" s="20"/>
      <c r="AD364" s="20"/>
      <c r="AE364" s="20"/>
      <c r="AF364" s="20"/>
      <c r="AG364" s="20"/>
      <c r="AH364" s="20"/>
      <c r="AI364" s="20"/>
      <c r="AJ364" s="20"/>
      <c r="AK364" s="20"/>
      <c r="AL364" s="20"/>
      <c r="AM364" s="20"/>
      <c r="AN364" s="20"/>
      <c r="AO364" s="20"/>
      <c r="AP364" s="20"/>
      <c r="AQ364" s="20"/>
      <c r="AR364" s="20"/>
      <c r="AS364" s="20"/>
      <c r="AT364" s="20"/>
      <c r="AU364" s="20"/>
      <c r="AV364" s="20"/>
    </row>
    <row r="365" spans="1:48" ht="17.25" hidden="1" customHeight="1">
      <c r="A365" s="15" t="s">
        <v>4863</v>
      </c>
      <c r="B365" s="124" t="s">
        <v>159</v>
      </c>
      <c r="C365" s="124" t="s">
        <v>5530</v>
      </c>
      <c r="D365" s="125" t="e">
        <f t="shared" ca="1" si="4"/>
        <v>#NAME?</v>
      </c>
      <c r="E365" s="126" t="str">
        <f t="shared" ca="1" si="5"/>
        <v>Not enough information entered</v>
      </c>
      <c r="F365" s="124" t="s">
        <v>6667</v>
      </c>
      <c r="G365" s="124" t="s">
        <v>5186</v>
      </c>
      <c r="H365" s="124">
        <v>0.2</v>
      </c>
      <c r="I365" s="124" t="s">
        <v>5211</v>
      </c>
      <c r="J365" s="124">
        <v>0.05</v>
      </c>
      <c r="K365" s="124"/>
      <c r="L365" s="124"/>
      <c r="M365" s="124"/>
      <c r="N365" s="124"/>
      <c r="O365" s="124"/>
      <c r="P365" s="124"/>
      <c r="Q365" s="124"/>
      <c r="R365" s="124"/>
      <c r="S365" s="124"/>
      <c r="T365" s="124"/>
      <c r="U365" s="124" t="s">
        <v>5523</v>
      </c>
      <c r="V365" s="127">
        <f t="shared" si="6"/>
        <v>0.25</v>
      </c>
      <c r="W365" s="124"/>
      <c r="X365" s="124"/>
      <c r="Y365" s="124"/>
      <c r="Z365" s="124"/>
      <c r="AA365" s="124" t="e">
        <f t="shared" ca="1" si="7"/>
        <v>#NAME?</v>
      </c>
      <c r="AB365" s="126">
        <f t="array" aca="1" ref="AB365" ca="1">IFERROR(J365/_xludf.XLOOKUP(I365,Materials!$A$3:$A$292,Materials!$I$3:$I$292),0)
+IFERROR(L365/_xludf.XLOOKUP(K365,Materials!$A$3:$A$292,Materials!$I$3:$I$292),0)
+IFERROR(N365/_xludf.XLOOKUP(M365,Materials!$A$3:$A$292,Materials!$I$3:$I$292),0)
+IFERROR(P365/_xludf.XLOOKUP(O365,Materials!$A$3:$A$292,Materials!$I$3:$I$292),0)
+IFERROR(R365/_xludf.XLOOKUP(Q365,Materials!$A$3:$A$292,Materials!$I$3:$I$292),0)
+IFERROR(H365/_xludf.XLOOKUP(G365,Materials!$A$3:$A$292,Materials!$I$3:$I$292),0)</f>
        <v>0</v>
      </c>
      <c r="AC365" s="20"/>
      <c r="AD365" s="20"/>
      <c r="AE365" s="20"/>
      <c r="AF365" s="20"/>
      <c r="AG365" s="20"/>
      <c r="AH365" s="20"/>
      <c r="AI365" s="20"/>
      <c r="AJ365" s="20"/>
      <c r="AK365" s="20"/>
      <c r="AL365" s="20"/>
      <c r="AM365" s="20"/>
      <c r="AN365" s="20"/>
      <c r="AO365" s="20"/>
      <c r="AP365" s="20"/>
      <c r="AQ365" s="20"/>
      <c r="AR365" s="20"/>
      <c r="AS365" s="20"/>
      <c r="AT365" s="20"/>
      <c r="AU365" s="20"/>
      <c r="AV365" s="20"/>
    </row>
    <row r="366" spans="1:48" ht="17.25" hidden="1" customHeight="1">
      <c r="A366" s="15"/>
      <c r="B366" s="124"/>
      <c r="C366" s="124" t="s">
        <v>5532</v>
      </c>
      <c r="D366" s="125"/>
      <c r="E366" s="126"/>
      <c r="F366" s="124"/>
      <c r="G366" s="124"/>
      <c r="H366" s="124"/>
      <c r="I366" s="124"/>
      <c r="J366" s="124"/>
      <c r="K366" s="124"/>
      <c r="L366" s="124"/>
      <c r="M366" s="124"/>
      <c r="N366" s="124"/>
      <c r="O366" s="124"/>
      <c r="P366" s="124"/>
      <c r="Q366" s="124"/>
      <c r="R366" s="124"/>
      <c r="S366" s="124"/>
      <c r="T366" s="124"/>
      <c r="U366" s="124"/>
      <c r="V366" s="127"/>
      <c r="W366" s="124"/>
      <c r="X366" s="124"/>
      <c r="Y366" s="124"/>
      <c r="Z366" s="124"/>
      <c r="AA366" s="124"/>
      <c r="AB366" s="126"/>
      <c r="AC366" s="20"/>
      <c r="AD366" s="20"/>
      <c r="AE366" s="20"/>
      <c r="AF366" s="20"/>
      <c r="AG366" s="20"/>
      <c r="AH366" s="20"/>
      <c r="AI366" s="20"/>
      <c r="AJ366" s="20"/>
      <c r="AK366" s="20"/>
      <c r="AL366" s="20"/>
      <c r="AM366" s="20"/>
      <c r="AN366" s="20"/>
      <c r="AO366" s="20"/>
      <c r="AP366" s="20"/>
      <c r="AQ366" s="20"/>
      <c r="AR366" s="20"/>
      <c r="AS366" s="20"/>
      <c r="AT366" s="20"/>
      <c r="AU366" s="20"/>
      <c r="AV366" s="20"/>
    </row>
    <row r="367" spans="1:48" ht="17.25" hidden="1" customHeight="1">
      <c r="A367" s="15" t="s">
        <v>4863</v>
      </c>
      <c r="B367" s="124" t="s">
        <v>161</v>
      </c>
      <c r="C367" s="124" t="s">
        <v>5533</v>
      </c>
      <c r="D367" s="125" t="e">
        <f t="shared" ca="1" si="4"/>
        <v>#NAME?</v>
      </c>
      <c r="E367" s="126" t="str">
        <f t="shared" ca="1" si="5"/>
        <v>Not enough information entered</v>
      </c>
      <c r="F367" s="124" t="s">
        <v>6683</v>
      </c>
      <c r="G367" s="124" t="s">
        <v>5186</v>
      </c>
      <c r="H367" s="124">
        <v>0.18</v>
      </c>
      <c r="I367" s="124" t="s">
        <v>5207</v>
      </c>
      <c r="J367" s="124">
        <v>0.06</v>
      </c>
      <c r="K367" s="124" t="s">
        <v>5200</v>
      </c>
      <c r="L367" s="124">
        <v>1.2500000000000001E-2</v>
      </c>
      <c r="M367" s="124"/>
      <c r="N367" s="124"/>
      <c r="O367" s="124"/>
      <c r="P367" s="124"/>
      <c r="Q367" s="124"/>
      <c r="R367" s="124"/>
      <c r="S367" s="124"/>
      <c r="T367" s="124"/>
      <c r="U367" s="124" t="s">
        <v>5523</v>
      </c>
      <c r="V367" s="127">
        <f t="shared" si="6"/>
        <v>0.2525</v>
      </c>
      <c r="W367" s="124"/>
      <c r="X367" s="124"/>
      <c r="Y367" s="124"/>
      <c r="Z367" s="124"/>
      <c r="AA367" s="124" t="e">
        <f t="shared" ca="1" si="7"/>
        <v>#NAME?</v>
      </c>
      <c r="AB367" s="126">
        <f t="array" aca="1" ref="AB367" ca="1">IFERROR(J367/_xludf.XLOOKUP(I367,Materials!$A$3:$A$292,Materials!$I$3:$I$292),0)
+IFERROR(L367/_xludf.XLOOKUP(K367,Materials!$A$3:$A$292,Materials!$I$3:$I$292),0)
+IFERROR(N367/_xludf.XLOOKUP(M367,Materials!$A$3:$A$292,Materials!$I$3:$I$292),0)
+IFERROR(P367/_xludf.XLOOKUP(O367,Materials!$A$3:$A$292,Materials!$I$3:$I$292),0)
+IFERROR(R367/_xludf.XLOOKUP(Q367,Materials!$A$3:$A$292,Materials!$I$3:$I$292),0)
+IFERROR(H367/_xludf.XLOOKUP(G367,Materials!$A$3:$A$292,Materials!$I$3:$I$292),0)</f>
        <v>0</v>
      </c>
      <c r="AC367" s="20"/>
      <c r="AD367" s="20"/>
      <c r="AE367" s="20"/>
      <c r="AF367" s="20"/>
      <c r="AG367" s="20"/>
      <c r="AH367" s="20"/>
      <c r="AI367" s="20"/>
      <c r="AJ367" s="20"/>
      <c r="AK367" s="20"/>
      <c r="AL367" s="20"/>
      <c r="AM367" s="20"/>
      <c r="AN367" s="20"/>
      <c r="AO367" s="20"/>
      <c r="AP367" s="20"/>
      <c r="AQ367" s="20"/>
      <c r="AR367" s="20"/>
      <c r="AS367" s="20"/>
      <c r="AT367" s="20"/>
      <c r="AU367" s="20"/>
      <c r="AV367" s="20"/>
    </row>
    <row r="368" spans="1:48" ht="17.25" hidden="1" customHeight="1">
      <c r="A368" s="15" t="s">
        <v>5828</v>
      </c>
      <c r="B368" s="124" t="s">
        <v>157</v>
      </c>
      <c r="C368" s="124" t="s">
        <v>5522</v>
      </c>
      <c r="D368" s="125" t="e">
        <f t="shared" ca="1" si="4"/>
        <v>#NAME?</v>
      </c>
      <c r="E368" s="126" t="str">
        <f t="shared" ca="1" si="5"/>
        <v>Not enough information entered</v>
      </c>
      <c r="F368" s="124" t="s">
        <v>6454</v>
      </c>
      <c r="G368" s="124" t="s">
        <v>5186</v>
      </c>
      <c r="H368" s="126">
        <v>0.18</v>
      </c>
      <c r="I368" s="124" t="s">
        <v>5204</v>
      </c>
      <c r="J368" s="126">
        <v>0.02</v>
      </c>
      <c r="K368" s="124" t="s">
        <v>5200</v>
      </c>
      <c r="L368" s="126">
        <v>1.2E-2</v>
      </c>
      <c r="M368" s="124"/>
      <c r="N368" s="124"/>
      <c r="O368" s="124"/>
      <c r="P368" s="124"/>
      <c r="Q368" s="124"/>
      <c r="R368" s="124"/>
      <c r="S368" s="124"/>
      <c r="T368" s="124"/>
      <c r="U368" s="124" t="s">
        <v>5523</v>
      </c>
      <c r="V368" s="127">
        <f t="shared" si="6"/>
        <v>0.21199999999999999</v>
      </c>
      <c r="W368" s="126">
        <v>0</v>
      </c>
      <c r="X368" s="126">
        <v>0</v>
      </c>
      <c r="Y368" s="126">
        <v>10</v>
      </c>
      <c r="Z368" s="124"/>
      <c r="AA368" s="124" t="e">
        <f t="shared" ca="1" si="7"/>
        <v>#NAME?</v>
      </c>
      <c r="AB368" s="126">
        <f t="array" aca="1" ref="AB368" ca="1">IFERROR(J368/_xludf.XLOOKUP(I368,Materials!$A$3:$A$292,Materials!$I$3:$I$292),0)
+IFERROR(L368/_xludf.XLOOKUP(K368,Materials!$A$3:$A$292,Materials!$I$3:$I$292),0)
+IFERROR(N368/_xludf.XLOOKUP(M368,Materials!$A$3:$A$292,Materials!$I$3:$I$292),0)
+IFERROR(P368/_xludf.XLOOKUP(O368,Materials!$A$3:$A$292,Materials!$I$3:$I$292),0)
+IFERROR(R368/_xludf.XLOOKUP(Q368,Materials!$A$3:$A$292,Materials!$I$3:$I$292),0)
+IFERROR(H368/_xludf.XLOOKUP(G368,Materials!$A$3:$A$292,Materials!$I$3:$I$292),0)</f>
        <v>0</v>
      </c>
      <c r="AC368" s="20"/>
      <c r="AD368" s="20"/>
      <c r="AE368" s="20"/>
      <c r="AF368" s="20"/>
      <c r="AG368" s="20"/>
      <c r="AH368" s="20"/>
      <c r="AI368" s="20"/>
      <c r="AJ368" s="20"/>
      <c r="AK368" s="20"/>
      <c r="AL368" s="20"/>
      <c r="AM368" s="20"/>
      <c r="AN368" s="20"/>
      <c r="AO368" s="20"/>
      <c r="AP368" s="20"/>
      <c r="AQ368" s="20"/>
      <c r="AR368" s="20"/>
      <c r="AS368" s="20"/>
      <c r="AT368" s="20"/>
      <c r="AU368" s="20"/>
      <c r="AV368" s="20"/>
    </row>
    <row r="369" spans="1:48" ht="17.25" customHeight="1">
      <c r="A369" s="15" t="s">
        <v>5828</v>
      </c>
      <c r="B369" s="124" t="s">
        <v>154</v>
      </c>
      <c r="C369" s="124" t="s">
        <v>5524</v>
      </c>
      <c r="D369" s="125" t="e">
        <f t="shared" ca="1" si="4"/>
        <v>#NAME?</v>
      </c>
      <c r="E369" s="126" t="str">
        <f t="shared" ca="1" si="5"/>
        <v>Not enough information entered</v>
      </c>
      <c r="F369" s="124" t="s">
        <v>6305</v>
      </c>
      <c r="G369" s="124" t="s">
        <v>5186</v>
      </c>
      <c r="H369" s="126">
        <v>0.15</v>
      </c>
      <c r="I369" s="124" t="s">
        <v>5196</v>
      </c>
      <c r="J369" s="126">
        <v>0.03</v>
      </c>
      <c r="K369" s="124"/>
      <c r="L369" s="124"/>
      <c r="M369" s="124"/>
      <c r="N369" s="124"/>
      <c r="O369" s="124"/>
      <c r="P369" s="124"/>
      <c r="Q369" s="124"/>
      <c r="R369" s="124"/>
      <c r="S369" s="124"/>
      <c r="T369" s="124"/>
      <c r="U369" s="124" t="s">
        <v>5523</v>
      </c>
      <c r="V369" s="127">
        <f t="shared" si="6"/>
        <v>0.18</v>
      </c>
      <c r="W369" s="124"/>
      <c r="X369" s="124"/>
      <c r="Y369" s="124"/>
      <c r="Z369" s="124"/>
      <c r="AA369" s="124" t="e">
        <f t="shared" ca="1" si="7"/>
        <v>#NAME?</v>
      </c>
      <c r="AB369" s="126">
        <f t="array" aca="1" ref="AB369" ca="1">IFERROR(J369/_xludf.XLOOKUP(I369,Materials!$A$3:$A$292,Materials!$I$3:$I$292),0)
+IFERROR(L369/_xludf.XLOOKUP(K369,Materials!$A$3:$A$292,Materials!$I$3:$I$292),0)
+IFERROR(N369/_xludf.XLOOKUP(M369,Materials!$A$3:$A$292,Materials!$I$3:$I$292),0)
+IFERROR(P369/_xludf.XLOOKUP(O369,Materials!$A$3:$A$292,Materials!$I$3:$I$292),0)
+IFERROR(R369/_xludf.XLOOKUP(Q369,Materials!$A$3:$A$292,Materials!$I$3:$I$292),0)
+IFERROR(H369/_xludf.XLOOKUP(G369,Materials!$A$3:$A$292,Materials!$I$3:$I$292),0)</f>
        <v>0</v>
      </c>
      <c r="AC369" s="20"/>
      <c r="AD369" s="20"/>
      <c r="AE369" s="20"/>
      <c r="AF369" s="20"/>
      <c r="AG369" s="20"/>
      <c r="AH369" s="20"/>
      <c r="AI369" s="20"/>
      <c r="AJ369" s="20"/>
      <c r="AK369" s="20"/>
      <c r="AL369" s="20"/>
      <c r="AM369" s="20"/>
      <c r="AN369" s="20"/>
      <c r="AO369" s="20"/>
      <c r="AP369" s="20"/>
      <c r="AQ369" s="20"/>
      <c r="AR369" s="20"/>
      <c r="AS369" s="20"/>
      <c r="AT369" s="20"/>
      <c r="AU369" s="20"/>
      <c r="AV369" s="20"/>
    </row>
    <row r="370" spans="1:48" ht="17.25" hidden="1" customHeight="1">
      <c r="A370" s="15" t="s">
        <v>5828</v>
      </c>
      <c r="B370" s="124" t="s">
        <v>160</v>
      </c>
      <c r="C370" s="124" t="s">
        <v>5526</v>
      </c>
      <c r="D370" s="125" t="e">
        <f t="shared" ca="1" si="4"/>
        <v>#NAME?</v>
      </c>
      <c r="E370" s="126" t="str">
        <f t="shared" ca="1" si="5"/>
        <v>Not enough information entered</v>
      </c>
      <c r="F370" s="124" t="s">
        <v>6648</v>
      </c>
      <c r="G370" s="124" t="s">
        <v>5186</v>
      </c>
      <c r="H370" s="126">
        <v>0.18</v>
      </c>
      <c r="I370" s="124" t="s">
        <v>5196</v>
      </c>
      <c r="J370" s="126">
        <v>0.03</v>
      </c>
      <c r="K370" s="124"/>
      <c r="L370" s="124"/>
      <c r="M370" s="124"/>
      <c r="N370" s="124"/>
      <c r="O370" s="124"/>
      <c r="P370" s="124"/>
      <c r="Q370" s="124"/>
      <c r="R370" s="124"/>
      <c r="S370" s="124"/>
      <c r="T370" s="124"/>
      <c r="U370" s="124" t="s">
        <v>5523</v>
      </c>
      <c r="V370" s="127">
        <f t="shared" si="6"/>
        <v>0.21</v>
      </c>
      <c r="W370" s="126">
        <v>0</v>
      </c>
      <c r="X370" s="126">
        <v>0</v>
      </c>
      <c r="Y370" s="126">
        <v>10</v>
      </c>
      <c r="Z370" s="124"/>
      <c r="AA370" s="124" t="e">
        <f t="shared" ca="1" si="7"/>
        <v>#NAME?</v>
      </c>
      <c r="AB370" s="126">
        <f t="array" aca="1" ref="AB370" ca="1">IFERROR(J370/_xludf.XLOOKUP(I370,Materials!$A$3:$A$292,Materials!$I$3:$I$292),0)
+IFERROR(L370/_xludf.XLOOKUP(K370,Materials!$A$3:$A$292,Materials!$I$3:$I$292),0)
+IFERROR(N370/_xludf.XLOOKUP(M370,Materials!$A$3:$A$292,Materials!$I$3:$I$292),0)
+IFERROR(P370/_xludf.XLOOKUP(O370,Materials!$A$3:$A$292,Materials!$I$3:$I$292),0)
+IFERROR(R370/_xludf.XLOOKUP(Q370,Materials!$A$3:$A$292,Materials!$I$3:$I$292),0)
+IFERROR(H370/_xludf.XLOOKUP(G370,Materials!$A$3:$A$292,Materials!$I$3:$I$292),0)</f>
        <v>0</v>
      </c>
      <c r="AC370" s="20"/>
      <c r="AD370" s="20"/>
      <c r="AE370" s="20"/>
      <c r="AF370" s="20"/>
      <c r="AG370" s="20"/>
      <c r="AH370" s="20"/>
      <c r="AI370" s="20"/>
      <c r="AJ370" s="20"/>
      <c r="AK370" s="20"/>
      <c r="AL370" s="20"/>
      <c r="AM370" s="20"/>
      <c r="AN370" s="20"/>
      <c r="AO370" s="20"/>
      <c r="AP370" s="20"/>
      <c r="AQ370" s="20"/>
      <c r="AR370" s="20"/>
      <c r="AS370" s="20"/>
      <c r="AT370" s="20"/>
      <c r="AU370" s="20"/>
      <c r="AV370" s="20"/>
    </row>
    <row r="371" spans="1:48" ht="17.25" hidden="1" customHeight="1">
      <c r="A371" s="15" t="s">
        <v>5829</v>
      </c>
      <c r="B371" s="124" t="s">
        <v>157</v>
      </c>
      <c r="C371" s="124" t="s">
        <v>5522</v>
      </c>
      <c r="D371" s="125" t="e">
        <f t="shared" ca="1" si="4"/>
        <v>#NAME?</v>
      </c>
      <c r="E371" s="126" t="str">
        <f t="shared" ca="1" si="5"/>
        <v>Not enough information entered</v>
      </c>
      <c r="F371" s="124" t="s">
        <v>6455</v>
      </c>
      <c r="G371" s="124" t="s">
        <v>5211</v>
      </c>
      <c r="H371" s="126">
        <v>0.03</v>
      </c>
      <c r="I371" s="124" t="s">
        <v>5186</v>
      </c>
      <c r="J371" s="126">
        <v>0.18</v>
      </c>
      <c r="K371" s="124" t="s">
        <v>5204</v>
      </c>
      <c r="L371" s="126">
        <v>0.02</v>
      </c>
      <c r="M371" s="124" t="s">
        <v>5200</v>
      </c>
      <c r="N371" s="126">
        <v>1.2E-2</v>
      </c>
      <c r="O371" s="124"/>
      <c r="P371" s="124"/>
      <c r="Q371" s="124"/>
      <c r="R371" s="124"/>
      <c r="S371" s="124"/>
      <c r="T371" s="124"/>
      <c r="U371" s="124" t="s">
        <v>5523</v>
      </c>
      <c r="V371" s="127">
        <f t="shared" si="6"/>
        <v>0.24199999999999999</v>
      </c>
      <c r="W371" s="126">
        <v>0</v>
      </c>
      <c r="X371" s="126">
        <v>0</v>
      </c>
      <c r="Y371" s="126">
        <v>10</v>
      </c>
      <c r="Z371" s="124"/>
      <c r="AA371" s="124" t="e">
        <f t="shared" ca="1" si="7"/>
        <v>#NAME?</v>
      </c>
      <c r="AB371" s="126">
        <f t="array" aca="1" ref="AB371" ca="1">IFERROR(J371/_xludf.XLOOKUP(I371,Materials!$A$3:$A$292,Materials!$I$3:$I$292),0)
+IFERROR(L371/_xludf.XLOOKUP(K371,Materials!$A$3:$A$292,Materials!$I$3:$I$292),0)
+IFERROR(N371/_xludf.XLOOKUP(M371,Materials!$A$3:$A$292,Materials!$I$3:$I$292),0)
+IFERROR(P371/_xludf.XLOOKUP(O371,Materials!$A$3:$A$292,Materials!$I$3:$I$292),0)
+IFERROR(R371/_xludf.XLOOKUP(Q371,Materials!$A$3:$A$292,Materials!$I$3:$I$292),0)
+IFERROR(H371/_xludf.XLOOKUP(G371,Materials!$A$3:$A$292,Materials!$I$3:$I$292),0)</f>
        <v>0</v>
      </c>
      <c r="AC371" s="20"/>
      <c r="AD371" s="20"/>
      <c r="AE371" s="20"/>
      <c r="AF371" s="20"/>
      <c r="AG371" s="20"/>
      <c r="AH371" s="20"/>
      <c r="AI371" s="20"/>
      <c r="AJ371" s="20"/>
      <c r="AK371" s="20"/>
      <c r="AL371" s="20"/>
      <c r="AM371" s="20"/>
      <c r="AN371" s="20"/>
      <c r="AO371" s="20"/>
      <c r="AP371" s="20"/>
      <c r="AQ371" s="20"/>
      <c r="AR371" s="20"/>
      <c r="AS371" s="20"/>
      <c r="AT371" s="20"/>
      <c r="AU371" s="20"/>
      <c r="AV371" s="20"/>
    </row>
    <row r="372" spans="1:48" ht="17.25" customHeight="1">
      <c r="A372" s="15" t="s">
        <v>5829</v>
      </c>
      <c r="B372" s="124" t="s">
        <v>154</v>
      </c>
      <c r="C372" s="124" t="s">
        <v>5524</v>
      </c>
      <c r="D372" s="125" t="e">
        <f t="shared" ca="1" si="4"/>
        <v>#NAME?</v>
      </c>
      <c r="E372" s="126" t="str">
        <f t="shared" ca="1" si="5"/>
        <v>Not enough information entered</v>
      </c>
      <c r="F372" s="124" t="s">
        <v>6306</v>
      </c>
      <c r="G372" s="124" t="s">
        <v>5211</v>
      </c>
      <c r="H372" s="126">
        <v>5.8000000000000003E-2</v>
      </c>
      <c r="I372" s="124" t="s">
        <v>5186</v>
      </c>
      <c r="J372" s="126">
        <v>0.15</v>
      </c>
      <c r="K372" s="124" t="s">
        <v>5196</v>
      </c>
      <c r="L372" s="124">
        <v>0.03</v>
      </c>
      <c r="M372" s="124"/>
      <c r="N372" s="124"/>
      <c r="O372" s="124"/>
      <c r="P372" s="124"/>
      <c r="Q372" s="124"/>
      <c r="R372" s="124"/>
      <c r="S372" s="124"/>
      <c r="T372" s="124"/>
      <c r="U372" s="124" t="s">
        <v>5523</v>
      </c>
      <c r="V372" s="127">
        <f t="shared" si="6"/>
        <v>0.23799999999999999</v>
      </c>
      <c r="W372" s="124"/>
      <c r="X372" s="124"/>
      <c r="Y372" s="124"/>
      <c r="Z372" s="124"/>
      <c r="AA372" s="124" t="e">
        <f t="shared" ca="1" si="7"/>
        <v>#NAME?</v>
      </c>
      <c r="AB372" s="126">
        <f t="array" aca="1" ref="AB372" ca="1">IFERROR(J372/_xludf.XLOOKUP(I372,Materials!$A$3:$A$292,Materials!$I$3:$I$292),0)
+IFERROR(L372/_xludf.XLOOKUP(K372,Materials!$A$3:$A$292,Materials!$I$3:$I$292),0)
+IFERROR(N372/_xludf.XLOOKUP(M372,Materials!$A$3:$A$292,Materials!$I$3:$I$292),0)
+IFERROR(P372/_xludf.XLOOKUP(O372,Materials!$A$3:$A$292,Materials!$I$3:$I$292),0)
+IFERROR(R372/_xludf.XLOOKUP(Q372,Materials!$A$3:$A$292,Materials!$I$3:$I$292),0)
+IFERROR(H372/_xludf.XLOOKUP(G372,Materials!$A$3:$A$292,Materials!$I$3:$I$292),0)</f>
        <v>0</v>
      </c>
      <c r="AC372" s="20"/>
      <c r="AD372" s="20"/>
      <c r="AE372" s="20"/>
      <c r="AF372" s="20"/>
      <c r="AG372" s="20"/>
      <c r="AH372" s="20"/>
      <c r="AI372" s="20"/>
      <c r="AJ372" s="20"/>
      <c r="AK372" s="20"/>
      <c r="AL372" s="20"/>
      <c r="AM372" s="20"/>
      <c r="AN372" s="20"/>
      <c r="AO372" s="20"/>
      <c r="AP372" s="20"/>
      <c r="AQ372" s="20"/>
      <c r="AR372" s="20"/>
      <c r="AS372" s="20"/>
      <c r="AT372" s="20"/>
      <c r="AU372" s="20"/>
      <c r="AV372" s="20"/>
    </row>
    <row r="373" spans="1:48" ht="17.25" hidden="1" customHeight="1">
      <c r="A373" s="15" t="s">
        <v>5829</v>
      </c>
      <c r="B373" s="124" t="s">
        <v>160</v>
      </c>
      <c r="C373" s="124" t="s">
        <v>5526</v>
      </c>
      <c r="D373" s="125" t="e">
        <f t="shared" ca="1" si="4"/>
        <v>#NAME?</v>
      </c>
      <c r="E373" s="126" t="str">
        <f t="shared" ca="1" si="5"/>
        <v>Not enough information entered</v>
      </c>
      <c r="F373" s="124" t="s">
        <v>6649</v>
      </c>
      <c r="G373" s="124" t="s">
        <v>5211</v>
      </c>
      <c r="H373" s="126">
        <v>4.7E-2</v>
      </c>
      <c r="I373" s="124" t="s">
        <v>5186</v>
      </c>
      <c r="J373" s="126">
        <v>0.18</v>
      </c>
      <c r="K373" s="124" t="s">
        <v>5196</v>
      </c>
      <c r="L373" s="124">
        <v>0.03</v>
      </c>
      <c r="M373" s="124"/>
      <c r="N373" s="124"/>
      <c r="O373" s="124"/>
      <c r="P373" s="124"/>
      <c r="Q373" s="124"/>
      <c r="R373" s="124"/>
      <c r="S373" s="124"/>
      <c r="T373" s="124"/>
      <c r="U373" s="124" t="s">
        <v>5523</v>
      </c>
      <c r="V373" s="127">
        <f t="shared" si="6"/>
        <v>0.25700000000000001</v>
      </c>
      <c r="W373" s="126">
        <v>0</v>
      </c>
      <c r="X373" s="126">
        <v>0</v>
      </c>
      <c r="Y373" s="126">
        <v>10</v>
      </c>
      <c r="Z373" s="124"/>
      <c r="AA373" s="124" t="e">
        <f t="shared" ca="1" si="7"/>
        <v>#NAME?</v>
      </c>
      <c r="AB373" s="126">
        <f t="array" aca="1" ref="AB373" ca="1">IFERROR(J373/_xludf.XLOOKUP(I373,Materials!$A$3:$A$292,Materials!$I$3:$I$292),0)
+IFERROR(L373/_xludf.XLOOKUP(K373,Materials!$A$3:$A$292,Materials!$I$3:$I$292),0)
+IFERROR(N373/_xludf.XLOOKUP(M373,Materials!$A$3:$A$292,Materials!$I$3:$I$292),0)
+IFERROR(P373/_xludf.XLOOKUP(O373,Materials!$A$3:$A$292,Materials!$I$3:$I$292),0)
+IFERROR(R373/_xludf.XLOOKUP(Q373,Materials!$A$3:$A$292,Materials!$I$3:$I$292),0)
+IFERROR(H373/_xludf.XLOOKUP(G373,Materials!$A$3:$A$292,Materials!$I$3:$I$292),0)</f>
        <v>0</v>
      </c>
      <c r="AC373" s="20"/>
      <c r="AD373" s="20"/>
      <c r="AE373" s="20"/>
      <c r="AF373" s="20"/>
      <c r="AG373" s="20"/>
      <c r="AH373" s="20"/>
      <c r="AI373" s="20"/>
      <c r="AJ373" s="20"/>
      <c r="AK373" s="20"/>
      <c r="AL373" s="20"/>
      <c r="AM373" s="20"/>
      <c r="AN373" s="20"/>
      <c r="AO373" s="20"/>
      <c r="AP373" s="20"/>
      <c r="AQ373" s="20"/>
      <c r="AR373" s="20"/>
      <c r="AS373" s="20"/>
      <c r="AT373" s="20"/>
      <c r="AU373" s="20"/>
      <c r="AV373" s="20"/>
    </row>
    <row r="374" spans="1:48" ht="17.25" hidden="1" customHeight="1">
      <c r="A374" s="15" t="s">
        <v>5830</v>
      </c>
      <c r="B374" s="124" t="s">
        <v>157</v>
      </c>
      <c r="C374" s="124" t="s">
        <v>5522</v>
      </c>
      <c r="D374" s="125" t="e">
        <f t="shared" ca="1" si="4"/>
        <v>#NAME?</v>
      </c>
      <c r="E374" s="126" t="str">
        <f t="shared" ca="1" si="5"/>
        <v>Not enough information entered</v>
      </c>
      <c r="F374" s="124" t="s">
        <v>6456</v>
      </c>
      <c r="G374" s="124" t="s">
        <v>5211</v>
      </c>
      <c r="H374" s="126">
        <v>0.04</v>
      </c>
      <c r="I374" s="124" t="s">
        <v>5186</v>
      </c>
      <c r="J374" s="126">
        <v>0.18</v>
      </c>
      <c r="K374" s="124" t="s">
        <v>5204</v>
      </c>
      <c r="L374" s="126">
        <v>0.02</v>
      </c>
      <c r="M374" s="124" t="s">
        <v>5200</v>
      </c>
      <c r="N374" s="126">
        <v>1.2E-2</v>
      </c>
      <c r="O374" s="124"/>
      <c r="P374" s="124"/>
      <c r="Q374" s="124"/>
      <c r="R374" s="124"/>
      <c r="S374" s="124"/>
      <c r="T374" s="124"/>
      <c r="U374" s="124" t="s">
        <v>5523</v>
      </c>
      <c r="V374" s="127">
        <f t="shared" si="6"/>
        <v>0.252</v>
      </c>
      <c r="W374" s="126">
        <v>0</v>
      </c>
      <c r="X374" s="126">
        <v>0</v>
      </c>
      <c r="Y374" s="126">
        <v>10</v>
      </c>
      <c r="Z374" s="124"/>
      <c r="AA374" s="124" t="e">
        <f t="shared" ca="1" si="7"/>
        <v>#NAME?</v>
      </c>
      <c r="AB374" s="126">
        <f t="array" aca="1" ref="AB374" ca="1">IFERROR(J374/_xludf.XLOOKUP(I374,Materials!$A$3:$A$292,Materials!$I$3:$I$292),0)
+IFERROR(L374/_xludf.XLOOKUP(K374,Materials!$A$3:$A$292,Materials!$I$3:$I$292),0)
+IFERROR(N374/_xludf.XLOOKUP(M374,Materials!$A$3:$A$292,Materials!$I$3:$I$292),0)
+IFERROR(P374/_xludf.XLOOKUP(O374,Materials!$A$3:$A$292,Materials!$I$3:$I$292),0)
+IFERROR(R374/_xludf.XLOOKUP(Q374,Materials!$A$3:$A$292,Materials!$I$3:$I$292),0)
+IFERROR(H374/_xludf.XLOOKUP(G374,Materials!$A$3:$A$292,Materials!$I$3:$I$292),0)</f>
        <v>0</v>
      </c>
      <c r="AC374" s="20"/>
      <c r="AD374" s="20"/>
      <c r="AE374" s="20"/>
      <c r="AF374" s="20"/>
      <c r="AG374" s="20"/>
      <c r="AH374" s="20"/>
      <c r="AI374" s="20"/>
      <c r="AJ374" s="20"/>
      <c r="AK374" s="20"/>
      <c r="AL374" s="20"/>
      <c r="AM374" s="20"/>
      <c r="AN374" s="20"/>
      <c r="AO374" s="20"/>
      <c r="AP374" s="20"/>
      <c r="AQ374" s="20"/>
      <c r="AR374" s="20"/>
      <c r="AS374" s="20"/>
      <c r="AT374" s="20"/>
      <c r="AU374" s="20"/>
      <c r="AV374" s="20"/>
    </row>
    <row r="375" spans="1:48" ht="17.25" customHeight="1">
      <c r="A375" s="15" t="s">
        <v>5830</v>
      </c>
      <c r="B375" s="124" t="s">
        <v>154</v>
      </c>
      <c r="C375" s="124" t="s">
        <v>5524</v>
      </c>
      <c r="D375" s="125" t="e">
        <f t="shared" ca="1" si="4"/>
        <v>#NAME?</v>
      </c>
      <c r="E375" s="126" t="str">
        <f t="shared" ca="1" si="5"/>
        <v>Not enough information entered</v>
      </c>
      <c r="F375" s="124" t="s">
        <v>6307</v>
      </c>
      <c r="G375" s="124" t="s">
        <v>5211</v>
      </c>
      <c r="H375" s="126">
        <v>5.8999999999999997E-2</v>
      </c>
      <c r="I375" s="124" t="s">
        <v>5186</v>
      </c>
      <c r="J375" s="126">
        <v>0.15</v>
      </c>
      <c r="K375" s="124" t="s">
        <v>5196</v>
      </c>
      <c r="L375" s="124">
        <v>0.03</v>
      </c>
      <c r="M375" s="124"/>
      <c r="N375" s="124"/>
      <c r="O375" s="124"/>
      <c r="P375" s="124"/>
      <c r="Q375" s="124"/>
      <c r="R375" s="124"/>
      <c r="S375" s="124"/>
      <c r="T375" s="124"/>
      <c r="U375" s="124" t="s">
        <v>5523</v>
      </c>
      <c r="V375" s="127">
        <f t="shared" si="6"/>
        <v>0.23899999999999999</v>
      </c>
      <c r="W375" s="124"/>
      <c r="X375" s="124"/>
      <c r="Y375" s="124"/>
      <c r="Z375" s="124"/>
      <c r="AA375" s="124" t="e">
        <f t="shared" ca="1" si="7"/>
        <v>#NAME?</v>
      </c>
      <c r="AB375" s="126">
        <f t="array" aca="1" ref="AB375" ca="1">IFERROR(J375/_xludf.XLOOKUP(I375,Materials!$A$3:$A$292,Materials!$I$3:$I$292),0)
+IFERROR(L375/_xludf.XLOOKUP(K375,Materials!$A$3:$A$292,Materials!$I$3:$I$292),0)
+IFERROR(N375/_xludf.XLOOKUP(M375,Materials!$A$3:$A$292,Materials!$I$3:$I$292),0)
+IFERROR(P375/_xludf.XLOOKUP(O375,Materials!$A$3:$A$292,Materials!$I$3:$I$292),0)
+IFERROR(R375/_xludf.XLOOKUP(Q375,Materials!$A$3:$A$292,Materials!$I$3:$I$292),0)
+IFERROR(H375/_xludf.XLOOKUP(G375,Materials!$A$3:$A$292,Materials!$I$3:$I$292),0)</f>
        <v>0</v>
      </c>
      <c r="AC375" s="20"/>
      <c r="AD375" s="20"/>
      <c r="AE375" s="20"/>
      <c r="AF375" s="20"/>
      <c r="AG375" s="20"/>
      <c r="AH375" s="20"/>
      <c r="AI375" s="20"/>
      <c r="AJ375" s="20"/>
      <c r="AK375" s="20"/>
      <c r="AL375" s="20"/>
      <c r="AM375" s="20"/>
      <c r="AN375" s="20"/>
      <c r="AO375" s="20"/>
      <c r="AP375" s="20"/>
      <c r="AQ375" s="20"/>
      <c r="AR375" s="20"/>
      <c r="AS375" s="20"/>
      <c r="AT375" s="20"/>
      <c r="AU375" s="20"/>
      <c r="AV375" s="20"/>
    </row>
    <row r="376" spans="1:48" ht="17.25" hidden="1" customHeight="1">
      <c r="A376" s="15" t="s">
        <v>5830</v>
      </c>
      <c r="B376" s="124" t="s">
        <v>160</v>
      </c>
      <c r="C376" s="124" t="s">
        <v>5526</v>
      </c>
      <c r="D376" s="125" t="e">
        <f t="shared" ca="1" si="4"/>
        <v>#NAME?</v>
      </c>
      <c r="E376" s="126" t="str">
        <f t="shared" ca="1" si="5"/>
        <v>Not enough information entered</v>
      </c>
      <c r="F376" s="124" t="s">
        <v>6650</v>
      </c>
      <c r="G376" s="124" t="s">
        <v>5211</v>
      </c>
      <c r="H376" s="126">
        <v>5.8000000000000003E-2</v>
      </c>
      <c r="I376" s="124" t="s">
        <v>5186</v>
      </c>
      <c r="J376" s="126">
        <v>0.18</v>
      </c>
      <c r="K376" s="124" t="s">
        <v>5196</v>
      </c>
      <c r="L376" s="124">
        <v>0.03</v>
      </c>
      <c r="M376" s="124"/>
      <c r="N376" s="124"/>
      <c r="O376" s="124"/>
      <c r="P376" s="124"/>
      <c r="Q376" s="124"/>
      <c r="R376" s="124"/>
      <c r="S376" s="124"/>
      <c r="T376" s="124"/>
      <c r="U376" s="124" t="s">
        <v>5523</v>
      </c>
      <c r="V376" s="127">
        <f t="shared" si="6"/>
        <v>0.26800000000000002</v>
      </c>
      <c r="W376" s="126">
        <v>0</v>
      </c>
      <c r="X376" s="126">
        <v>0</v>
      </c>
      <c r="Y376" s="126">
        <v>10</v>
      </c>
      <c r="Z376" s="124"/>
      <c r="AA376" s="124" t="e">
        <f t="shared" ca="1" si="7"/>
        <v>#NAME?</v>
      </c>
      <c r="AB376" s="126">
        <f t="array" aca="1" ref="AB376" ca="1">IFERROR(J376/_xludf.XLOOKUP(I376,Materials!$A$3:$A$292,Materials!$I$3:$I$292),0)
+IFERROR(L376/_xludf.XLOOKUP(K376,Materials!$A$3:$A$292,Materials!$I$3:$I$292),0)
+IFERROR(N376/_xludf.XLOOKUP(M376,Materials!$A$3:$A$292,Materials!$I$3:$I$292),0)
+IFERROR(P376/_xludf.XLOOKUP(O376,Materials!$A$3:$A$292,Materials!$I$3:$I$292),0)
+IFERROR(R376/_xludf.XLOOKUP(Q376,Materials!$A$3:$A$292,Materials!$I$3:$I$292),0)
+IFERROR(H376/_xludf.XLOOKUP(G376,Materials!$A$3:$A$292,Materials!$I$3:$I$292),0)</f>
        <v>0</v>
      </c>
      <c r="AC376" s="20"/>
      <c r="AD376" s="20"/>
      <c r="AE376" s="20"/>
      <c r="AF376" s="20"/>
      <c r="AG376" s="20"/>
      <c r="AH376" s="20"/>
      <c r="AI376" s="20"/>
      <c r="AJ376" s="20"/>
      <c r="AK376" s="20"/>
      <c r="AL376" s="20"/>
      <c r="AM376" s="20"/>
      <c r="AN376" s="20"/>
      <c r="AO376" s="20"/>
      <c r="AP376" s="20"/>
      <c r="AQ376" s="20"/>
      <c r="AR376" s="20"/>
      <c r="AS376" s="20"/>
      <c r="AT376" s="20"/>
      <c r="AU376" s="20"/>
      <c r="AV376" s="20"/>
    </row>
    <row r="377" spans="1:48" ht="17.25" hidden="1" customHeight="1">
      <c r="A377" s="15" t="s">
        <v>5831</v>
      </c>
      <c r="B377" s="124" t="s">
        <v>157</v>
      </c>
      <c r="C377" s="124" t="s">
        <v>5522</v>
      </c>
      <c r="D377" s="125" t="e">
        <f t="shared" ca="1" si="4"/>
        <v>#NAME?</v>
      </c>
      <c r="E377" s="126" t="str">
        <f t="shared" ca="1" si="5"/>
        <v>Not enough information entered</v>
      </c>
      <c r="F377" s="124" t="s">
        <v>6457</v>
      </c>
      <c r="G377" s="124" t="s">
        <v>5211</v>
      </c>
      <c r="H377" s="126">
        <v>0.06</v>
      </c>
      <c r="I377" s="124" t="s">
        <v>5186</v>
      </c>
      <c r="J377" s="126">
        <v>0.18</v>
      </c>
      <c r="K377" s="124" t="s">
        <v>5204</v>
      </c>
      <c r="L377" s="126">
        <v>0.02</v>
      </c>
      <c r="M377" s="124" t="s">
        <v>5200</v>
      </c>
      <c r="N377" s="126">
        <v>1.2E-2</v>
      </c>
      <c r="O377" s="124"/>
      <c r="P377" s="124"/>
      <c r="Q377" s="124"/>
      <c r="R377" s="124"/>
      <c r="S377" s="124"/>
      <c r="T377" s="124"/>
      <c r="U377" s="124" t="s">
        <v>5523</v>
      </c>
      <c r="V377" s="127">
        <f t="shared" si="6"/>
        <v>0.27200000000000002</v>
      </c>
      <c r="W377" s="126">
        <v>0</v>
      </c>
      <c r="X377" s="126">
        <v>0</v>
      </c>
      <c r="Y377" s="126">
        <v>10</v>
      </c>
      <c r="Z377" s="124"/>
      <c r="AA377" s="124" t="e">
        <f t="shared" ca="1" si="7"/>
        <v>#NAME?</v>
      </c>
      <c r="AB377" s="126">
        <f t="array" aca="1" ref="AB377" ca="1">IFERROR(J377/_xludf.XLOOKUP(I377,Materials!$A$3:$A$292,Materials!$I$3:$I$292),0)
+IFERROR(L377/_xludf.XLOOKUP(K377,Materials!$A$3:$A$292,Materials!$I$3:$I$292),0)
+IFERROR(N377/_xludf.XLOOKUP(M377,Materials!$A$3:$A$292,Materials!$I$3:$I$292),0)
+IFERROR(P377/_xludf.XLOOKUP(O377,Materials!$A$3:$A$292,Materials!$I$3:$I$292),0)
+IFERROR(R377/_xludf.XLOOKUP(Q377,Materials!$A$3:$A$292,Materials!$I$3:$I$292),0)
+IFERROR(H377/_xludf.XLOOKUP(G377,Materials!$A$3:$A$292,Materials!$I$3:$I$292),0)</f>
        <v>0</v>
      </c>
      <c r="AC377" s="20"/>
      <c r="AD377" s="20"/>
      <c r="AE377" s="20"/>
      <c r="AF377" s="20"/>
      <c r="AG377" s="20"/>
      <c r="AH377" s="20"/>
      <c r="AI377" s="20"/>
      <c r="AJ377" s="20"/>
      <c r="AK377" s="20"/>
      <c r="AL377" s="20"/>
      <c r="AM377" s="20"/>
      <c r="AN377" s="20"/>
      <c r="AO377" s="20"/>
      <c r="AP377" s="20"/>
      <c r="AQ377" s="20"/>
      <c r="AR377" s="20"/>
      <c r="AS377" s="20"/>
      <c r="AT377" s="20"/>
      <c r="AU377" s="20"/>
      <c r="AV377" s="20"/>
    </row>
    <row r="378" spans="1:48" ht="17.25" customHeight="1">
      <c r="A378" s="15" t="s">
        <v>5831</v>
      </c>
      <c r="B378" s="124" t="s">
        <v>154</v>
      </c>
      <c r="C378" s="124" t="s">
        <v>5524</v>
      </c>
      <c r="D378" s="125" t="e">
        <f t="shared" ca="1" si="4"/>
        <v>#NAME?</v>
      </c>
      <c r="E378" s="126" t="str">
        <f t="shared" ca="1" si="5"/>
        <v>Not enough information entered</v>
      </c>
      <c r="F378" s="124" t="s">
        <v>6308</v>
      </c>
      <c r="G378" s="124" t="s">
        <v>5211</v>
      </c>
      <c r="H378" s="126">
        <v>7.8E-2</v>
      </c>
      <c r="I378" s="124" t="s">
        <v>5186</v>
      </c>
      <c r="J378" s="126">
        <v>0.15</v>
      </c>
      <c r="K378" s="124" t="s">
        <v>5196</v>
      </c>
      <c r="L378" s="124">
        <v>0.03</v>
      </c>
      <c r="M378" s="124"/>
      <c r="N378" s="124"/>
      <c r="O378" s="124"/>
      <c r="P378" s="124"/>
      <c r="Q378" s="124"/>
      <c r="R378" s="124"/>
      <c r="S378" s="124"/>
      <c r="T378" s="124"/>
      <c r="U378" s="124" t="s">
        <v>5523</v>
      </c>
      <c r="V378" s="127">
        <f t="shared" si="6"/>
        <v>0.25800000000000001</v>
      </c>
      <c r="W378" s="124"/>
      <c r="X378" s="124"/>
      <c r="Y378" s="124"/>
      <c r="Z378" s="124"/>
      <c r="AA378" s="124" t="e">
        <f t="shared" ca="1" si="7"/>
        <v>#NAME?</v>
      </c>
      <c r="AB378" s="126">
        <f t="array" aca="1" ref="AB378" ca="1">IFERROR(J378/_xludf.XLOOKUP(I378,Materials!$A$3:$A$292,Materials!$I$3:$I$292),0)
+IFERROR(L378/_xludf.XLOOKUP(K378,Materials!$A$3:$A$292,Materials!$I$3:$I$292),0)
+IFERROR(N378/_xludf.XLOOKUP(M378,Materials!$A$3:$A$292,Materials!$I$3:$I$292),0)
+IFERROR(P378/_xludf.XLOOKUP(O378,Materials!$A$3:$A$292,Materials!$I$3:$I$292),0)
+IFERROR(R378/_xludf.XLOOKUP(Q378,Materials!$A$3:$A$292,Materials!$I$3:$I$292),0)
+IFERROR(H378/_xludf.XLOOKUP(G378,Materials!$A$3:$A$292,Materials!$I$3:$I$292),0)</f>
        <v>0</v>
      </c>
      <c r="AC378" s="20"/>
      <c r="AD378" s="20"/>
      <c r="AE378" s="20"/>
      <c r="AF378" s="20"/>
      <c r="AG378" s="20"/>
      <c r="AH378" s="20"/>
      <c r="AI378" s="20"/>
      <c r="AJ378" s="20"/>
      <c r="AK378" s="20"/>
      <c r="AL378" s="20"/>
      <c r="AM378" s="20"/>
      <c r="AN378" s="20"/>
      <c r="AO378" s="20"/>
      <c r="AP378" s="20"/>
      <c r="AQ378" s="20"/>
      <c r="AR378" s="20"/>
      <c r="AS378" s="20"/>
      <c r="AT378" s="20"/>
      <c r="AU378" s="20"/>
      <c r="AV378" s="20"/>
    </row>
    <row r="379" spans="1:48" ht="17.25" hidden="1" customHeight="1">
      <c r="A379" s="15" t="s">
        <v>5831</v>
      </c>
      <c r="B379" s="124" t="s">
        <v>160</v>
      </c>
      <c r="C379" s="124" t="s">
        <v>5526</v>
      </c>
      <c r="D379" s="125" t="e">
        <f t="shared" ca="1" si="4"/>
        <v>#NAME?</v>
      </c>
      <c r="E379" s="126" t="str">
        <f t="shared" ca="1" si="5"/>
        <v>Not enough information entered</v>
      </c>
      <c r="F379" s="124" t="s">
        <v>6651</v>
      </c>
      <c r="G379" s="124" t="s">
        <v>5211</v>
      </c>
      <c r="H379" s="126">
        <v>7.6999999999999999E-2</v>
      </c>
      <c r="I379" s="124" t="s">
        <v>5186</v>
      </c>
      <c r="J379" s="126">
        <v>0.18</v>
      </c>
      <c r="K379" s="124" t="s">
        <v>5196</v>
      </c>
      <c r="L379" s="124">
        <v>0.03</v>
      </c>
      <c r="M379" s="124"/>
      <c r="N379" s="124"/>
      <c r="O379" s="124"/>
      <c r="P379" s="124"/>
      <c r="Q379" s="124"/>
      <c r="R379" s="124"/>
      <c r="S379" s="124"/>
      <c r="T379" s="124"/>
      <c r="U379" s="124" t="s">
        <v>5523</v>
      </c>
      <c r="V379" s="127">
        <f t="shared" si="6"/>
        <v>0.28700000000000003</v>
      </c>
      <c r="W379" s="126">
        <v>0</v>
      </c>
      <c r="X379" s="126">
        <v>0</v>
      </c>
      <c r="Y379" s="126">
        <v>10</v>
      </c>
      <c r="Z379" s="124"/>
      <c r="AA379" s="124" t="e">
        <f t="shared" ca="1" si="7"/>
        <v>#NAME?</v>
      </c>
      <c r="AB379" s="126">
        <f t="array" aca="1" ref="AB379" ca="1">IFERROR(J379/_xludf.XLOOKUP(I379,Materials!$A$3:$A$292,Materials!$I$3:$I$292),0)
+IFERROR(L379/_xludf.XLOOKUP(K379,Materials!$A$3:$A$292,Materials!$I$3:$I$292),0)
+IFERROR(N379/_xludf.XLOOKUP(M379,Materials!$A$3:$A$292,Materials!$I$3:$I$292),0)
+IFERROR(P379/_xludf.XLOOKUP(O379,Materials!$A$3:$A$292,Materials!$I$3:$I$292),0)
+IFERROR(R379/_xludf.XLOOKUP(Q379,Materials!$A$3:$A$292,Materials!$I$3:$I$292),0)
+IFERROR(H379/_xludf.XLOOKUP(G379,Materials!$A$3:$A$292,Materials!$I$3:$I$292),0)</f>
        <v>0</v>
      </c>
      <c r="AC379" s="20"/>
      <c r="AD379" s="20"/>
      <c r="AE379" s="20"/>
      <c r="AF379" s="20"/>
      <c r="AG379" s="20"/>
      <c r="AH379" s="20"/>
      <c r="AI379" s="20"/>
      <c r="AJ379" s="20"/>
      <c r="AK379" s="20"/>
      <c r="AL379" s="20"/>
      <c r="AM379" s="20"/>
      <c r="AN379" s="20"/>
      <c r="AO379" s="20"/>
      <c r="AP379" s="20"/>
      <c r="AQ379" s="20"/>
      <c r="AR379" s="20"/>
      <c r="AS379" s="20"/>
      <c r="AT379" s="20"/>
      <c r="AU379" s="20"/>
      <c r="AV379" s="20"/>
    </row>
    <row r="380" spans="1:48" ht="17.25" hidden="1" customHeight="1">
      <c r="A380" s="15" t="s">
        <v>5832</v>
      </c>
      <c r="B380" s="124" t="s">
        <v>157</v>
      </c>
      <c r="C380" s="124" t="s">
        <v>5522</v>
      </c>
      <c r="D380" s="125" t="e">
        <f t="shared" ca="1" si="4"/>
        <v>#NAME?</v>
      </c>
      <c r="E380" s="126" t="str">
        <f t="shared" ca="1" si="5"/>
        <v>Not enough information entered</v>
      </c>
      <c r="F380" s="124" t="s">
        <v>6458</v>
      </c>
      <c r="G380" s="124" t="s">
        <v>5211</v>
      </c>
      <c r="H380" s="126">
        <v>6.9000000000000006E-2</v>
      </c>
      <c r="I380" s="124" t="s">
        <v>5186</v>
      </c>
      <c r="J380" s="126">
        <v>0.18</v>
      </c>
      <c r="K380" s="124" t="s">
        <v>5204</v>
      </c>
      <c r="L380" s="126">
        <v>0.02</v>
      </c>
      <c r="M380" s="124" t="s">
        <v>5200</v>
      </c>
      <c r="N380" s="126">
        <v>1.2E-2</v>
      </c>
      <c r="O380" s="124"/>
      <c r="P380" s="124"/>
      <c r="Q380" s="124"/>
      <c r="R380" s="124"/>
      <c r="S380" s="124"/>
      <c r="T380" s="124"/>
      <c r="U380" s="124" t="s">
        <v>5523</v>
      </c>
      <c r="V380" s="127">
        <f t="shared" si="6"/>
        <v>0.28100000000000003</v>
      </c>
      <c r="W380" s="126">
        <v>0</v>
      </c>
      <c r="X380" s="126">
        <v>0</v>
      </c>
      <c r="Y380" s="126">
        <v>10</v>
      </c>
      <c r="Z380" s="124"/>
      <c r="AA380" s="124" t="e">
        <f t="shared" ca="1" si="7"/>
        <v>#NAME?</v>
      </c>
      <c r="AB380" s="126">
        <f t="array" aca="1" ref="AB380" ca="1">IFERROR(J380/_xludf.XLOOKUP(I380,Materials!$A$3:$A$292,Materials!$I$3:$I$292),0)
+IFERROR(L380/_xludf.XLOOKUP(K380,Materials!$A$3:$A$292,Materials!$I$3:$I$292),0)
+IFERROR(N380/_xludf.XLOOKUP(M380,Materials!$A$3:$A$292,Materials!$I$3:$I$292),0)
+IFERROR(P380/_xludf.XLOOKUP(O380,Materials!$A$3:$A$292,Materials!$I$3:$I$292),0)
+IFERROR(R380/_xludf.XLOOKUP(Q380,Materials!$A$3:$A$292,Materials!$I$3:$I$292),0)
+IFERROR(H380/_xludf.XLOOKUP(G380,Materials!$A$3:$A$292,Materials!$I$3:$I$292),0)</f>
        <v>0</v>
      </c>
      <c r="AC380" s="20"/>
      <c r="AD380" s="20"/>
      <c r="AE380" s="20"/>
      <c r="AF380" s="20"/>
      <c r="AG380" s="20"/>
      <c r="AH380" s="20"/>
      <c r="AI380" s="20"/>
      <c r="AJ380" s="20"/>
      <c r="AK380" s="20"/>
      <c r="AL380" s="20"/>
      <c r="AM380" s="20"/>
      <c r="AN380" s="20"/>
      <c r="AO380" s="20"/>
      <c r="AP380" s="20"/>
      <c r="AQ380" s="20"/>
      <c r="AR380" s="20"/>
      <c r="AS380" s="20"/>
      <c r="AT380" s="20"/>
      <c r="AU380" s="20"/>
      <c r="AV380" s="20"/>
    </row>
    <row r="381" spans="1:48" ht="17.25" customHeight="1">
      <c r="A381" s="15" t="s">
        <v>5832</v>
      </c>
      <c r="B381" s="124" t="s">
        <v>154</v>
      </c>
      <c r="C381" s="124" t="s">
        <v>5524</v>
      </c>
      <c r="D381" s="125" t="e">
        <f t="shared" ca="1" si="4"/>
        <v>#NAME?</v>
      </c>
      <c r="E381" s="126" t="str">
        <f t="shared" ca="1" si="5"/>
        <v>Not enough information entered</v>
      </c>
      <c r="F381" s="124" t="s">
        <v>6309</v>
      </c>
      <c r="G381" s="124" t="s">
        <v>5211</v>
      </c>
      <c r="H381" s="126">
        <v>9.4E-2</v>
      </c>
      <c r="I381" s="124" t="s">
        <v>5186</v>
      </c>
      <c r="J381" s="126">
        <v>0.15</v>
      </c>
      <c r="K381" s="124" t="s">
        <v>5196</v>
      </c>
      <c r="L381" s="124">
        <v>0.03</v>
      </c>
      <c r="M381" s="124"/>
      <c r="N381" s="124"/>
      <c r="O381" s="124"/>
      <c r="P381" s="124"/>
      <c r="Q381" s="124"/>
      <c r="R381" s="124"/>
      <c r="S381" s="124"/>
      <c r="T381" s="124"/>
      <c r="U381" s="124" t="s">
        <v>5523</v>
      </c>
      <c r="V381" s="127">
        <f t="shared" si="6"/>
        <v>0.27400000000000002</v>
      </c>
      <c r="W381" s="124"/>
      <c r="X381" s="124"/>
      <c r="Y381" s="124"/>
      <c r="Z381" s="124"/>
      <c r="AA381" s="124" t="e">
        <f t="shared" ca="1" si="7"/>
        <v>#NAME?</v>
      </c>
      <c r="AB381" s="126">
        <f t="array" aca="1" ref="AB381" ca="1">IFERROR(J381/_xludf.XLOOKUP(I381,Materials!$A$3:$A$292,Materials!$I$3:$I$292),0)
+IFERROR(L381/_xludf.XLOOKUP(K381,Materials!$A$3:$A$292,Materials!$I$3:$I$292),0)
+IFERROR(N381/_xludf.XLOOKUP(M381,Materials!$A$3:$A$292,Materials!$I$3:$I$292),0)
+IFERROR(P381/_xludf.XLOOKUP(O381,Materials!$A$3:$A$292,Materials!$I$3:$I$292),0)
+IFERROR(R381/_xludf.XLOOKUP(Q381,Materials!$A$3:$A$292,Materials!$I$3:$I$292),0)
+IFERROR(H381/_xludf.XLOOKUP(G381,Materials!$A$3:$A$292,Materials!$I$3:$I$292),0)</f>
        <v>0</v>
      </c>
      <c r="AC381" s="20"/>
      <c r="AD381" s="20"/>
      <c r="AE381" s="20"/>
      <c r="AF381" s="20"/>
      <c r="AG381" s="20"/>
      <c r="AH381" s="20"/>
      <c r="AI381" s="20"/>
      <c r="AJ381" s="20"/>
      <c r="AK381" s="20"/>
      <c r="AL381" s="20"/>
      <c r="AM381" s="20"/>
      <c r="AN381" s="20"/>
      <c r="AO381" s="20"/>
      <c r="AP381" s="20"/>
      <c r="AQ381" s="20"/>
      <c r="AR381" s="20"/>
      <c r="AS381" s="20"/>
      <c r="AT381" s="20"/>
      <c r="AU381" s="20"/>
      <c r="AV381" s="20"/>
    </row>
    <row r="382" spans="1:48" ht="17.25" hidden="1" customHeight="1">
      <c r="A382" s="15" t="s">
        <v>5832</v>
      </c>
      <c r="B382" s="124" t="s">
        <v>160</v>
      </c>
      <c r="C382" s="124" t="s">
        <v>5526</v>
      </c>
      <c r="D382" s="125" t="e">
        <f t="shared" ca="1" si="4"/>
        <v>#NAME?</v>
      </c>
      <c r="E382" s="126" t="str">
        <f t="shared" ca="1" si="5"/>
        <v>Not enough information entered</v>
      </c>
      <c r="F382" s="124" t="s">
        <v>6652</v>
      </c>
      <c r="G382" s="124" t="s">
        <v>5211</v>
      </c>
      <c r="H382" s="126">
        <v>9.2999999999999999E-2</v>
      </c>
      <c r="I382" s="124" t="s">
        <v>5186</v>
      </c>
      <c r="J382" s="126">
        <v>0.18</v>
      </c>
      <c r="K382" s="124" t="s">
        <v>5196</v>
      </c>
      <c r="L382" s="124">
        <v>0.03</v>
      </c>
      <c r="M382" s="124"/>
      <c r="N382" s="124"/>
      <c r="O382" s="124"/>
      <c r="P382" s="124"/>
      <c r="Q382" s="124"/>
      <c r="R382" s="124"/>
      <c r="S382" s="124"/>
      <c r="T382" s="124"/>
      <c r="U382" s="124" t="s">
        <v>5523</v>
      </c>
      <c r="V382" s="127">
        <f t="shared" si="6"/>
        <v>0.30300000000000005</v>
      </c>
      <c r="W382" s="126">
        <v>0</v>
      </c>
      <c r="X382" s="126">
        <v>0</v>
      </c>
      <c r="Y382" s="126">
        <v>10</v>
      </c>
      <c r="Z382" s="124"/>
      <c r="AA382" s="124" t="e">
        <f t="shared" ca="1" si="7"/>
        <v>#NAME?</v>
      </c>
      <c r="AB382" s="126">
        <f t="array" aca="1" ref="AB382" ca="1">IFERROR(J382/_xludf.XLOOKUP(I382,Materials!$A$3:$A$292,Materials!$I$3:$I$292),0)
+IFERROR(L382/_xludf.XLOOKUP(K382,Materials!$A$3:$A$292,Materials!$I$3:$I$292),0)
+IFERROR(N382/_xludf.XLOOKUP(M382,Materials!$A$3:$A$292,Materials!$I$3:$I$292),0)
+IFERROR(P382/_xludf.XLOOKUP(O382,Materials!$A$3:$A$292,Materials!$I$3:$I$292),0)
+IFERROR(R382/_xludf.XLOOKUP(Q382,Materials!$A$3:$A$292,Materials!$I$3:$I$292),0)
+IFERROR(H382/_xludf.XLOOKUP(G382,Materials!$A$3:$A$292,Materials!$I$3:$I$292),0)</f>
        <v>0</v>
      </c>
      <c r="AC382" s="20"/>
      <c r="AD382" s="20"/>
      <c r="AE382" s="20"/>
      <c r="AF382" s="20"/>
      <c r="AG382" s="20"/>
      <c r="AH382" s="20"/>
      <c r="AI382" s="20"/>
      <c r="AJ382" s="20"/>
      <c r="AK382" s="20"/>
      <c r="AL382" s="20"/>
      <c r="AM382" s="20"/>
      <c r="AN382" s="20"/>
      <c r="AO382" s="20"/>
      <c r="AP382" s="20"/>
      <c r="AQ382" s="20"/>
      <c r="AR382" s="20"/>
      <c r="AS382" s="20"/>
      <c r="AT382" s="20"/>
      <c r="AU382" s="20"/>
      <c r="AV382" s="20"/>
    </row>
    <row r="383" spans="1:48" ht="17.25" hidden="1" customHeight="1">
      <c r="A383" s="15" t="s">
        <v>4865</v>
      </c>
      <c r="B383" s="124" t="s">
        <v>158</v>
      </c>
      <c r="C383" s="124" t="s">
        <v>5527</v>
      </c>
      <c r="D383" s="125" t="e">
        <f t="shared" ca="1" si="4"/>
        <v>#NAME?</v>
      </c>
      <c r="E383" s="126" t="str">
        <f t="shared" ca="1" si="5"/>
        <v>Not enough information entered</v>
      </c>
      <c r="F383" s="124" t="s">
        <v>6355</v>
      </c>
      <c r="G383" s="124" t="s">
        <v>5200</v>
      </c>
      <c r="H383" s="124">
        <v>1.2500000000000001E-2</v>
      </c>
      <c r="I383" s="124" t="s">
        <v>5204</v>
      </c>
      <c r="J383" s="124">
        <v>0.05</v>
      </c>
      <c r="K383" s="124" t="s">
        <v>5200</v>
      </c>
      <c r="L383" s="124">
        <v>1.2500000000000001E-2</v>
      </c>
      <c r="M383" s="124"/>
      <c r="N383" s="124"/>
      <c r="O383" s="124"/>
      <c r="P383" s="124"/>
      <c r="Q383" s="124"/>
      <c r="R383" s="124"/>
      <c r="S383" s="124"/>
      <c r="T383" s="124"/>
      <c r="U383" s="124" t="s">
        <v>5523</v>
      </c>
      <c r="V383" s="127">
        <f t="shared" si="6"/>
        <v>7.4999999999999997E-2</v>
      </c>
      <c r="W383" s="124"/>
      <c r="X383" s="124"/>
      <c r="Y383" s="124"/>
      <c r="Z383" s="124"/>
      <c r="AA383" s="124" t="e">
        <f t="shared" ca="1" si="7"/>
        <v>#NAME?</v>
      </c>
      <c r="AB383" s="126">
        <f t="array" aca="1" ref="AB383" ca="1">IFERROR(J383/_xludf.XLOOKUP(I383,Materials!$A$3:$A$292,Materials!$I$3:$I$292),0)
+IFERROR(L383/_xludf.XLOOKUP(K383,Materials!$A$3:$A$292,Materials!$I$3:$I$292),0)
+IFERROR(N383/_xludf.XLOOKUP(M383,Materials!$A$3:$A$292,Materials!$I$3:$I$292),0)
+IFERROR(P383/_xludf.XLOOKUP(O383,Materials!$A$3:$A$292,Materials!$I$3:$I$292),0)
+IFERROR(R383/_xludf.XLOOKUP(Q383,Materials!$A$3:$A$292,Materials!$I$3:$I$292),0)
+IFERROR(H383/_xludf.XLOOKUP(G383,Materials!$A$3:$A$292,Materials!$I$3:$I$292),0)</f>
        <v>0</v>
      </c>
      <c r="AC383" s="20"/>
      <c r="AD383" s="20"/>
      <c r="AE383" s="20"/>
      <c r="AF383" s="20"/>
      <c r="AG383" s="20"/>
      <c r="AH383" s="20"/>
      <c r="AI383" s="20"/>
      <c r="AJ383" s="20"/>
      <c r="AK383" s="20"/>
      <c r="AL383" s="20"/>
      <c r="AM383" s="20"/>
      <c r="AN383" s="20"/>
      <c r="AO383" s="20"/>
      <c r="AP383" s="20"/>
      <c r="AQ383" s="20"/>
      <c r="AR383" s="20"/>
      <c r="AS383" s="20"/>
      <c r="AT383" s="20"/>
      <c r="AU383" s="20"/>
      <c r="AV383" s="20"/>
    </row>
    <row r="384" spans="1:48" ht="17.25" hidden="1" customHeight="1">
      <c r="A384" s="15" t="s">
        <v>4865</v>
      </c>
      <c r="B384" s="124" t="s">
        <v>162</v>
      </c>
      <c r="C384" s="124" t="s">
        <v>5529</v>
      </c>
      <c r="D384" s="125" t="e">
        <f t="shared" ca="1" si="4"/>
        <v>#NAME?</v>
      </c>
      <c r="E384" s="126" t="str">
        <f t="shared" ca="1" si="5"/>
        <v>Not enough information entered</v>
      </c>
      <c r="F384" s="124" t="s">
        <v>6564</v>
      </c>
      <c r="G384" s="124" t="s">
        <v>5186</v>
      </c>
      <c r="H384" s="124">
        <v>0.18</v>
      </c>
      <c r="I384" s="124" t="s">
        <v>5196</v>
      </c>
      <c r="J384" s="124">
        <v>0.03</v>
      </c>
      <c r="K384" s="124"/>
      <c r="L384" s="124"/>
      <c r="M384" s="124"/>
      <c r="N384" s="124"/>
      <c r="O384" s="124"/>
      <c r="P384" s="124"/>
      <c r="Q384" s="124"/>
      <c r="R384" s="124"/>
      <c r="S384" s="124"/>
      <c r="T384" s="124"/>
      <c r="U384" s="124" t="s">
        <v>5523</v>
      </c>
      <c r="V384" s="127">
        <f t="shared" si="6"/>
        <v>0.21</v>
      </c>
      <c r="W384" s="124"/>
      <c r="X384" s="124"/>
      <c r="Y384" s="124"/>
      <c r="Z384" s="124"/>
      <c r="AA384" s="124" t="e">
        <f t="shared" ca="1" si="7"/>
        <v>#NAME?</v>
      </c>
      <c r="AB384" s="126">
        <f t="array" aca="1" ref="AB384" ca="1">IFERROR(J384/_xludf.XLOOKUP(I384,Materials!$A$3:$A$292,Materials!$I$3:$I$292),0)
+IFERROR(L384/_xludf.XLOOKUP(K384,Materials!$A$3:$A$292,Materials!$I$3:$I$292),0)
+IFERROR(N384/_xludf.XLOOKUP(M384,Materials!$A$3:$A$292,Materials!$I$3:$I$292),0)
+IFERROR(P384/_xludf.XLOOKUP(O384,Materials!$A$3:$A$292,Materials!$I$3:$I$292),0)
+IFERROR(R384/_xludf.XLOOKUP(Q384,Materials!$A$3:$A$292,Materials!$I$3:$I$292),0)
+IFERROR(H384/_xludf.XLOOKUP(G384,Materials!$A$3:$A$292,Materials!$I$3:$I$292),0)</f>
        <v>0</v>
      </c>
      <c r="AC384" s="20"/>
      <c r="AD384" s="20"/>
      <c r="AE384" s="20"/>
      <c r="AF384" s="20"/>
      <c r="AG384" s="20"/>
      <c r="AH384" s="20"/>
      <c r="AI384" s="20"/>
      <c r="AJ384" s="20"/>
      <c r="AK384" s="20"/>
      <c r="AL384" s="20"/>
      <c r="AM384" s="20"/>
      <c r="AN384" s="20"/>
      <c r="AO384" s="20"/>
      <c r="AP384" s="20"/>
      <c r="AQ384" s="20"/>
      <c r="AR384" s="20"/>
      <c r="AS384" s="20"/>
      <c r="AT384" s="20"/>
      <c r="AU384" s="20"/>
      <c r="AV384" s="20"/>
    </row>
    <row r="385" spans="1:48" ht="17.25" hidden="1" customHeight="1">
      <c r="A385" s="15" t="s">
        <v>4865</v>
      </c>
      <c r="B385" s="124" t="s">
        <v>159</v>
      </c>
      <c r="C385" s="124" t="s">
        <v>5530</v>
      </c>
      <c r="D385" s="125" t="e">
        <f t="shared" ca="1" si="4"/>
        <v>#NAME?</v>
      </c>
      <c r="E385" s="126" t="str">
        <f t="shared" ca="1" si="5"/>
        <v>Not enough information entered</v>
      </c>
      <c r="F385" s="124" t="s">
        <v>6668</v>
      </c>
      <c r="G385" s="124" t="s">
        <v>5186</v>
      </c>
      <c r="H385" s="124">
        <v>0.2</v>
      </c>
      <c r="I385" s="124" t="s">
        <v>5211</v>
      </c>
      <c r="J385" s="124">
        <v>0.05</v>
      </c>
      <c r="K385" s="124"/>
      <c r="L385" s="124"/>
      <c r="M385" s="124"/>
      <c r="N385" s="124"/>
      <c r="O385" s="124"/>
      <c r="P385" s="124"/>
      <c r="Q385" s="124"/>
      <c r="R385" s="124"/>
      <c r="S385" s="124"/>
      <c r="T385" s="124"/>
      <c r="U385" s="124" t="s">
        <v>5523</v>
      </c>
      <c r="V385" s="127">
        <f t="shared" si="6"/>
        <v>0.25</v>
      </c>
      <c r="W385" s="124"/>
      <c r="X385" s="124"/>
      <c r="Y385" s="124"/>
      <c r="Z385" s="124"/>
      <c r="AA385" s="124" t="e">
        <f t="shared" ca="1" si="7"/>
        <v>#NAME?</v>
      </c>
      <c r="AB385" s="126">
        <f t="array" aca="1" ref="AB385" ca="1">IFERROR(J385/_xludf.XLOOKUP(I385,Materials!$A$3:$A$292,Materials!$I$3:$I$292),0)
+IFERROR(L385/_xludf.XLOOKUP(K385,Materials!$A$3:$A$292,Materials!$I$3:$I$292),0)
+IFERROR(N385/_xludf.XLOOKUP(M385,Materials!$A$3:$A$292,Materials!$I$3:$I$292),0)
+IFERROR(P385/_xludf.XLOOKUP(O385,Materials!$A$3:$A$292,Materials!$I$3:$I$292),0)
+IFERROR(R385/_xludf.XLOOKUP(Q385,Materials!$A$3:$A$292,Materials!$I$3:$I$292),0)
+IFERROR(H385/_xludf.XLOOKUP(G385,Materials!$A$3:$A$292,Materials!$I$3:$I$292),0)</f>
        <v>0</v>
      </c>
      <c r="AC385" s="20"/>
      <c r="AD385" s="20"/>
      <c r="AE385" s="20"/>
      <c r="AF385" s="20"/>
      <c r="AG385" s="20"/>
      <c r="AH385" s="20"/>
      <c r="AI385" s="20"/>
      <c r="AJ385" s="20"/>
      <c r="AK385" s="20"/>
      <c r="AL385" s="20"/>
      <c r="AM385" s="20"/>
      <c r="AN385" s="20"/>
      <c r="AO385" s="20"/>
      <c r="AP385" s="20"/>
      <c r="AQ385" s="20"/>
      <c r="AR385" s="20"/>
      <c r="AS385" s="20"/>
      <c r="AT385" s="20"/>
      <c r="AU385" s="20"/>
      <c r="AV385" s="20"/>
    </row>
    <row r="386" spans="1:48" ht="17.25" hidden="1" customHeight="1">
      <c r="A386" s="15"/>
      <c r="B386" s="124"/>
      <c r="C386" s="124" t="s">
        <v>5532</v>
      </c>
      <c r="D386" s="125"/>
      <c r="E386" s="126"/>
      <c r="F386" s="124"/>
      <c r="G386" s="124"/>
      <c r="H386" s="124"/>
      <c r="I386" s="124"/>
      <c r="J386" s="124"/>
      <c r="K386" s="124"/>
      <c r="L386" s="124"/>
      <c r="M386" s="124"/>
      <c r="N386" s="124"/>
      <c r="O386" s="124"/>
      <c r="P386" s="124"/>
      <c r="Q386" s="124"/>
      <c r="R386" s="124"/>
      <c r="S386" s="124"/>
      <c r="T386" s="124"/>
      <c r="U386" s="124"/>
      <c r="V386" s="127"/>
      <c r="W386" s="124"/>
      <c r="X386" s="124"/>
      <c r="Y386" s="124"/>
      <c r="Z386" s="124"/>
      <c r="AA386" s="124"/>
      <c r="AB386" s="126"/>
      <c r="AC386" s="20"/>
      <c r="AD386" s="20"/>
      <c r="AE386" s="20"/>
      <c r="AF386" s="20"/>
      <c r="AG386" s="20"/>
      <c r="AH386" s="20"/>
      <c r="AI386" s="20"/>
      <c r="AJ386" s="20"/>
      <c r="AK386" s="20"/>
      <c r="AL386" s="20"/>
      <c r="AM386" s="20"/>
      <c r="AN386" s="20"/>
      <c r="AO386" s="20"/>
      <c r="AP386" s="20"/>
      <c r="AQ386" s="20"/>
      <c r="AR386" s="20"/>
      <c r="AS386" s="20"/>
      <c r="AT386" s="20"/>
      <c r="AU386" s="20"/>
      <c r="AV386" s="20"/>
    </row>
    <row r="387" spans="1:48" ht="17.25" hidden="1" customHeight="1">
      <c r="A387" s="124" t="s">
        <v>4865</v>
      </c>
      <c r="B387" s="124" t="s">
        <v>161</v>
      </c>
      <c r="C387" s="124" t="s">
        <v>5533</v>
      </c>
      <c r="D387" s="125" t="e">
        <f t="shared" ca="1" si="4"/>
        <v>#NAME?</v>
      </c>
      <c r="E387" s="126" t="str">
        <f t="shared" ca="1" si="5"/>
        <v>Not enough information entered</v>
      </c>
      <c r="F387" s="124" t="s">
        <v>6684</v>
      </c>
      <c r="G387" s="124" t="s">
        <v>5186</v>
      </c>
      <c r="H387" s="124">
        <v>0.18</v>
      </c>
      <c r="I387" s="124" t="s">
        <v>5207</v>
      </c>
      <c r="J387" s="124">
        <v>0.06</v>
      </c>
      <c r="K387" s="124" t="s">
        <v>5200</v>
      </c>
      <c r="L387" s="124">
        <v>1.2500000000000001E-2</v>
      </c>
      <c r="M387" s="124"/>
      <c r="N387" s="124"/>
      <c r="O387" s="124"/>
      <c r="P387" s="124"/>
      <c r="Q387" s="124"/>
      <c r="R387" s="124"/>
      <c r="S387" s="124"/>
      <c r="T387" s="124"/>
      <c r="U387" s="124" t="s">
        <v>5523</v>
      </c>
      <c r="V387" s="127">
        <f t="shared" si="6"/>
        <v>0.2525</v>
      </c>
      <c r="W387" s="124"/>
      <c r="X387" s="124"/>
      <c r="Y387" s="124"/>
      <c r="Z387" s="124"/>
      <c r="AA387" s="124" t="e">
        <f t="shared" ca="1" si="7"/>
        <v>#NAME?</v>
      </c>
      <c r="AB387" s="126">
        <f t="array" aca="1" ref="AB387" ca="1">IFERROR(J387/_xludf.XLOOKUP(I387,Materials!$A$3:$A$292,Materials!$I$3:$I$292),0)
+IFERROR(L387/_xludf.XLOOKUP(K387,Materials!$A$3:$A$292,Materials!$I$3:$I$292),0)
+IFERROR(N387/_xludf.XLOOKUP(M387,Materials!$A$3:$A$292,Materials!$I$3:$I$292),0)
+IFERROR(P387/_xludf.XLOOKUP(O387,Materials!$A$3:$A$292,Materials!$I$3:$I$292),0)
+IFERROR(R387/_xludf.XLOOKUP(Q387,Materials!$A$3:$A$292,Materials!$I$3:$I$292),0)
+IFERROR(H387/_xludf.XLOOKUP(G387,Materials!$A$3:$A$292,Materials!$I$3:$I$292),0)</f>
        <v>0</v>
      </c>
      <c r="AC387" s="20"/>
      <c r="AD387" s="20"/>
      <c r="AE387" s="20"/>
      <c r="AF387" s="20"/>
      <c r="AG387" s="20"/>
      <c r="AH387" s="20"/>
      <c r="AI387" s="20"/>
      <c r="AJ387" s="20"/>
      <c r="AK387" s="20"/>
      <c r="AL387" s="20"/>
      <c r="AM387" s="20"/>
      <c r="AN387" s="20"/>
      <c r="AO387" s="20"/>
      <c r="AP387" s="20"/>
      <c r="AQ387" s="20"/>
      <c r="AR387" s="20"/>
      <c r="AS387" s="20"/>
      <c r="AT387" s="20"/>
      <c r="AU387" s="20"/>
      <c r="AV387" s="20"/>
    </row>
    <row r="388" spans="1:48" ht="17.25" hidden="1" customHeight="1">
      <c r="A388" s="124" t="s">
        <v>4837</v>
      </c>
      <c r="B388" s="124" t="s">
        <v>5531</v>
      </c>
      <c r="C388" s="131"/>
      <c r="D388" s="125">
        <f t="shared" si="4"/>
        <v>0</v>
      </c>
      <c r="E388" s="126" t="str">
        <f t="shared" si="5"/>
        <v>Not enough information entered</v>
      </c>
      <c r="F388" s="124" t="s">
        <v>6310</v>
      </c>
      <c r="G388" s="124" t="s">
        <v>5186</v>
      </c>
      <c r="H388" s="124">
        <v>0.2</v>
      </c>
      <c r="I388" s="132"/>
      <c r="J388" s="133"/>
      <c r="K388" s="132"/>
      <c r="L388" s="133"/>
      <c r="M388" s="132"/>
      <c r="N388" s="134"/>
      <c r="O388" s="132"/>
      <c r="P388" s="134"/>
      <c r="Q388" s="132"/>
      <c r="R388" s="135"/>
      <c r="S388" s="132"/>
      <c r="T388" s="134"/>
      <c r="U388" s="131"/>
      <c r="V388" s="136"/>
      <c r="W388" s="131"/>
      <c r="X388" s="131"/>
      <c r="Y388" s="137"/>
      <c r="Z388" s="134"/>
      <c r="AA388" s="134"/>
      <c r="AB388" s="138"/>
      <c r="AC388" s="20"/>
      <c r="AD388" s="20"/>
      <c r="AE388" s="20"/>
      <c r="AF388" s="20"/>
      <c r="AG388" s="20"/>
      <c r="AH388" s="20"/>
      <c r="AI388" s="20"/>
      <c r="AJ388" s="20"/>
      <c r="AK388" s="20"/>
      <c r="AL388" s="20"/>
      <c r="AM388" s="20"/>
      <c r="AN388" s="20"/>
      <c r="AO388" s="20"/>
      <c r="AP388" s="20"/>
      <c r="AQ388" s="20"/>
      <c r="AR388" s="20"/>
      <c r="AS388" s="20"/>
      <c r="AT388" s="20"/>
      <c r="AU388" s="20"/>
      <c r="AV388" s="20"/>
    </row>
    <row r="389" spans="1:48" ht="17.25" hidden="1" customHeight="1">
      <c r="A389" s="124" t="s">
        <v>4841</v>
      </c>
      <c r="B389" s="124" t="s">
        <v>5531</v>
      </c>
      <c r="C389" s="131"/>
      <c r="D389" s="125">
        <f t="shared" ref="D389:D406" si="8">AA389</f>
        <v>0</v>
      </c>
      <c r="E389" s="126" t="str">
        <f t="shared" ref="E389:E406" si="9">IFERROR(1/AB389, "Not enough information entered")</f>
        <v>Not enough information entered</v>
      </c>
      <c r="F389" s="124" t="s">
        <v>6322</v>
      </c>
      <c r="G389" s="124" t="s">
        <v>5186</v>
      </c>
      <c r="H389" s="124">
        <v>0.2</v>
      </c>
      <c r="I389" s="132"/>
      <c r="J389" s="133"/>
      <c r="K389" s="132"/>
      <c r="L389" s="133"/>
      <c r="M389" s="132"/>
      <c r="N389" s="134"/>
      <c r="O389" s="132"/>
      <c r="P389" s="134"/>
      <c r="Q389" s="132"/>
      <c r="R389" s="135"/>
      <c r="S389" s="132"/>
      <c r="T389" s="134"/>
      <c r="U389" s="131"/>
      <c r="V389" s="136"/>
      <c r="W389" s="131"/>
      <c r="X389" s="131"/>
      <c r="Y389" s="137"/>
      <c r="Z389" s="134"/>
      <c r="AA389" s="134"/>
      <c r="AB389" s="138"/>
      <c r="AC389" s="20"/>
      <c r="AD389" s="20"/>
      <c r="AE389" s="20"/>
      <c r="AF389" s="20"/>
      <c r="AG389" s="20"/>
      <c r="AH389" s="20"/>
      <c r="AI389" s="20"/>
      <c r="AJ389" s="20"/>
      <c r="AK389" s="20"/>
      <c r="AL389" s="20"/>
      <c r="AM389" s="20"/>
      <c r="AN389" s="20"/>
      <c r="AO389" s="20"/>
      <c r="AP389" s="20"/>
      <c r="AQ389" s="20"/>
      <c r="AR389" s="20"/>
      <c r="AS389" s="20"/>
      <c r="AT389" s="20"/>
      <c r="AU389" s="20"/>
      <c r="AV389" s="20"/>
    </row>
    <row r="390" spans="1:48" ht="17.25" hidden="1" customHeight="1">
      <c r="A390" s="124" t="s">
        <v>4842</v>
      </c>
      <c r="B390" s="124" t="s">
        <v>5531</v>
      </c>
      <c r="C390" s="131"/>
      <c r="D390" s="125">
        <f t="shared" si="8"/>
        <v>0</v>
      </c>
      <c r="E390" s="126" t="str">
        <f t="shared" si="9"/>
        <v>Not enough information entered</v>
      </c>
      <c r="F390" s="124" t="s">
        <v>6323</v>
      </c>
      <c r="G390" s="124" t="s">
        <v>5186</v>
      </c>
      <c r="H390" s="124">
        <v>0.2</v>
      </c>
      <c r="I390" s="132"/>
      <c r="J390" s="133"/>
      <c r="K390" s="132"/>
      <c r="L390" s="133"/>
      <c r="M390" s="132"/>
      <c r="N390" s="134"/>
      <c r="O390" s="132"/>
      <c r="P390" s="134"/>
      <c r="Q390" s="132"/>
      <c r="R390" s="135"/>
      <c r="S390" s="132"/>
      <c r="T390" s="134"/>
      <c r="U390" s="131"/>
      <c r="V390" s="136"/>
      <c r="W390" s="131"/>
      <c r="X390" s="131"/>
      <c r="Y390" s="137"/>
      <c r="Z390" s="134"/>
      <c r="AA390" s="134"/>
      <c r="AB390" s="138"/>
      <c r="AC390" s="20"/>
      <c r="AD390" s="20"/>
      <c r="AE390" s="20"/>
      <c r="AF390" s="20"/>
      <c r="AG390" s="20"/>
      <c r="AH390" s="20"/>
      <c r="AI390" s="20"/>
      <c r="AJ390" s="20"/>
      <c r="AK390" s="20"/>
      <c r="AL390" s="20"/>
      <c r="AM390" s="20"/>
      <c r="AN390" s="20"/>
      <c r="AO390" s="20"/>
      <c r="AP390" s="20"/>
      <c r="AQ390" s="20"/>
      <c r="AR390" s="20"/>
      <c r="AS390" s="20"/>
      <c r="AT390" s="20"/>
      <c r="AU390" s="20"/>
      <c r="AV390" s="20"/>
    </row>
    <row r="391" spans="1:48" ht="17.25" hidden="1" customHeight="1">
      <c r="A391" s="124" t="s">
        <v>4843</v>
      </c>
      <c r="B391" s="124" t="s">
        <v>5531</v>
      </c>
      <c r="C391" s="131"/>
      <c r="D391" s="125">
        <f t="shared" si="8"/>
        <v>0</v>
      </c>
      <c r="E391" s="126" t="str">
        <f t="shared" si="9"/>
        <v>Not enough information entered</v>
      </c>
      <c r="F391" s="124" t="s">
        <v>6324</v>
      </c>
      <c r="G391" s="124" t="s">
        <v>5186</v>
      </c>
      <c r="H391" s="124">
        <v>0.2</v>
      </c>
      <c r="I391" s="132"/>
      <c r="J391" s="133"/>
      <c r="K391" s="132"/>
      <c r="L391" s="133"/>
      <c r="M391" s="132"/>
      <c r="N391" s="134"/>
      <c r="O391" s="132"/>
      <c r="P391" s="134"/>
      <c r="Q391" s="132"/>
      <c r="R391" s="135"/>
      <c r="S391" s="132"/>
      <c r="T391" s="134"/>
      <c r="U391" s="131"/>
      <c r="V391" s="136"/>
      <c r="W391" s="131"/>
      <c r="X391" s="131"/>
      <c r="Y391" s="137"/>
      <c r="Z391" s="134"/>
      <c r="AA391" s="134"/>
      <c r="AB391" s="138"/>
      <c r="AC391" s="20"/>
      <c r="AD391" s="20"/>
      <c r="AE391" s="20"/>
      <c r="AF391" s="20"/>
      <c r="AG391" s="20"/>
      <c r="AH391" s="20"/>
      <c r="AI391" s="20"/>
      <c r="AJ391" s="20"/>
      <c r="AK391" s="20"/>
      <c r="AL391" s="20"/>
      <c r="AM391" s="20"/>
      <c r="AN391" s="20"/>
      <c r="AO391" s="20"/>
      <c r="AP391" s="20"/>
      <c r="AQ391" s="20"/>
      <c r="AR391" s="20"/>
      <c r="AS391" s="20"/>
      <c r="AT391" s="20"/>
      <c r="AU391" s="20"/>
      <c r="AV391" s="20"/>
    </row>
    <row r="392" spans="1:48" ht="17.25" hidden="1" customHeight="1">
      <c r="A392" s="124" t="s">
        <v>4845</v>
      </c>
      <c r="B392" s="124" t="s">
        <v>5531</v>
      </c>
      <c r="C392" s="131"/>
      <c r="D392" s="125">
        <f t="shared" si="8"/>
        <v>0</v>
      </c>
      <c r="E392" s="126" t="str">
        <f t="shared" si="9"/>
        <v>Not enough information entered</v>
      </c>
      <c r="F392" s="124" t="s">
        <v>6325</v>
      </c>
      <c r="G392" s="124" t="s">
        <v>5186</v>
      </c>
      <c r="H392" s="124">
        <v>0.2</v>
      </c>
      <c r="I392" s="132"/>
      <c r="J392" s="133"/>
      <c r="K392" s="132"/>
      <c r="L392" s="133"/>
      <c r="M392" s="132"/>
      <c r="N392" s="134"/>
      <c r="O392" s="132"/>
      <c r="P392" s="134"/>
      <c r="Q392" s="132"/>
      <c r="R392" s="135"/>
      <c r="S392" s="132"/>
      <c r="T392" s="134"/>
      <c r="U392" s="131"/>
      <c r="V392" s="136"/>
      <c r="W392" s="131"/>
      <c r="X392" s="131"/>
      <c r="Y392" s="137"/>
      <c r="Z392" s="134"/>
      <c r="AA392" s="134"/>
      <c r="AB392" s="138"/>
      <c r="AC392" s="20"/>
      <c r="AD392" s="20"/>
      <c r="AE392" s="20"/>
      <c r="AF392" s="20"/>
      <c r="AG392" s="20"/>
      <c r="AH392" s="20"/>
      <c r="AI392" s="20"/>
      <c r="AJ392" s="20"/>
      <c r="AK392" s="20"/>
      <c r="AL392" s="20"/>
      <c r="AM392" s="20"/>
      <c r="AN392" s="20"/>
      <c r="AO392" s="20"/>
      <c r="AP392" s="20"/>
      <c r="AQ392" s="20"/>
      <c r="AR392" s="20"/>
      <c r="AS392" s="20"/>
      <c r="AT392" s="20"/>
      <c r="AU392" s="20"/>
      <c r="AV392" s="20"/>
    </row>
    <row r="393" spans="1:48" ht="17.25" hidden="1" customHeight="1">
      <c r="A393" s="124" t="s">
        <v>4846</v>
      </c>
      <c r="B393" s="124" t="s">
        <v>5531</v>
      </c>
      <c r="C393" s="131"/>
      <c r="D393" s="125">
        <f t="shared" si="8"/>
        <v>0</v>
      </c>
      <c r="E393" s="126" t="str">
        <f t="shared" si="9"/>
        <v>Not enough information entered</v>
      </c>
      <c r="F393" s="124" t="s">
        <v>6326</v>
      </c>
      <c r="G393" s="124" t="s">
        <v>5186</v>
      </c>
      <c r="H393" s="124">
        <v>0.2</v>
      </c>
      <c r="I393" s="132"/>
      <c r="J393" s="133"/>
      <c r="K393" s="132"/>
      <c r="L393" s="133"/>
      <c r="M393" s="132"/>
      <c r="N393" s="134"/>
      <c r="O393" s="132"/>
      <c r="P393" s="134"/>
      <c r="Q393" s="132"/>
      <c r="R393" s="135"/>
      <c r="S393" s="132"/>
      <c r="T393" s="134"/>
      <c r="U393" s="131"/>
      <c r="V393" s="136"/>
      <c r="W393" s="131"/>
      <c r="X393" s="131"/>
      <c r="Y393" s="137"/>
      <c r="Z393" s="134"/>
      <c r="AA393" s="134"/>
      <c r="AB393" s="138"/>
      <c r="AC393" s="20"/>
      <c r="AD393" s="20"/>
      <c r="AE393" s="20"/>
      <c r="AF393" s="20"/>
      <c r="AG393" s="20"/>
      <c r="AH393" s="20"/>
      <c r="AI393" s="20"/>
      <c r="AJ393" s="20"/>
      <c r="AK393" s="20"/>
      <c r="AL393" s="20"/>
      <c r="AM393" s="20"/>
      <c r="AN393" s="20"/>
      <c r="AO393" s="20"/>
      <c r="AP393" s="20"/>
      <c r="AQ393" s="20"/>
      <c r="AR393" s="20"/>
      <c r="AS393" s="20"/>
      <c r="AT393" s="20"/>
      <c r="AU393" s="20"/>
      <c r="AV393" s="20"/>
    </row>
    <row r="394" spans="1:48" ht="17.25" hidden="1" customHeight="1">
      <c r="A394" s="124" t="s">
        <v>4847</v>
      </c>
      <c r="B394" s="124" t="s">
        <v>5531</v>
      </c>
      <c r="C394" s="131"/>
      <c r="D394" s="125">
        <f t="shared" si="8"/>
        <v>0</v>
      </c>
      <c r="E394" s="126" t="str">
        <f t="shared" si="9"/>
        <v>Not enough information entered</v>
      </c>
      <c r="F394" s="124" t="s">
        <v>6327</v>
      </c>
      <c r="G394" s="124" t="s">
        <v>5186</v>
      </c>
      <c r="H394" s="124">
        <v>0.2</v>
      </c>
      <c r="I394" s="132"/>
      <c r="J394" s="133"/>
      <c r="K394" s="132"/>
      <c r="L394" s="133"/>
      <c r="M394" s="132"/>
      <c r="N394" s="134"/>
      <c r="O394" s="132"/>
      <c r="P394" s="134"/>
      <c r="Q394" s="132"/>
      <c r="R394" s="135"/>
      <c r="S394" s="132"/>
      <c r="T394" s="134"/>
      <c r="U394" s="131"/>
      <c r="V394" s="136"/>
      <c r="W394" s="131"/>
      <c r="X394" s="131"/>
      <c r="Y394" s="137"/>
      <c r="Z394" s="134"/>
      <c r="AA394" s="134"/>
      <c r="AB394" s="138"/>
      <c r="AC394" s="20"/>
      <c r="AD394" s="20"/>
      <c r="AE394" s="20"/>
      <c r="AF394" s="20"/>
      <c r="AG394" s="20"/>
      <c r="AH394" s="20"/>
      <c r="AI394" s="20"/>
      <c r="AJ394" s="20"/>
      <c r="AK394" s="20"/>
      <c r="AL394" s="20"/>
      <c r="AM394" s="20"/>
      <c r="AN394" s="20"/>
      <c r="AO394" s="20"/>
      <c r="AP394" s="20"/>
      <c r="AQ394" s="20"/>
      <c r="AR394" s="20"/>
      <c r="AS394" s="20"/>
      <c r="AT394" s="20"/>
      <c r="AU394" s="20"/>
      <c r="AV394" s="20"/>
    </row>
    <row r="395" spans="1:48" ht="17.25" hidden="1" customHeight="1">
      <c r="A395" s="124" t="s">
        <v>4849</v>
      </c>
      <c r="B395" s="124" t="s">
        <v>5531</v>
      </c>
      <c r="C395" s="131"/>
      <c r="D395" s="125">
        <f t="shared" si="8"/>
        <v>0</v>
      </c>
      <c r="E395" s="126" t="str">
        <f t="shared" si="9"/>
        <v>Not enough information entered</v>
      </c>
      <c r="F395" s="124" t="s">
        <v>6328</v>
      </c>
      <c r="G395" s="124" t="s">
        <v>5186</v>
      </c>
      <c r="H395" s="124">
        <v>0.2</v>
      </c>
      <c r="I395" s="132"/>
      <c r="J395" s="133"/>
      <c r="K395" s="132"/>
      <c r="L395" s="133"/>
      <c r="M395" s="132"/>
      <c r="N395" s="134"/>
      <c r="O395" s="132"/>
      <c r="P395" s="134"/>
      <c r="Q395" s="132"/>
      <c r="R395" s="135"/>
      <c r="S395" s="132"/>
      <c r="T395" s="134"/>
      <c r="U395" s="131"/>
      <c r="V395" s="139"/>
      <c r="W395" s="131"/>
      <c r="X395" s="131"/>
      <c r="Y395" s="137"/>
      <c r="Z395" s="134"/>
      <c r="AA395" s="134"/>
      <c r="AB395" s="138"/>
      <c r="AC395" s="20"/>
      <c r="AD395" s="20"/>
      <c r="AE395" s="20"/>
      <c r="AF395" s="20"/>
      <c r="AG395" s="20"/>
      <c r="AH395" s="20"/>
      <c r="AI395" s="20"/>
      <c r="AJ395" s="20"/>
      <c r="AK395" s="20"/>
      <c r="AL395" s="20"/>
      <c r="AM395" s="20"/>
      <c r="AN395" s="20"/>
      <c r="AO395" s="20"/>
      <c r="AP395" s="20"/>
      <c r="AQ395" s="20"/>
      <c r="AR395" s="20"/>
      <c r="AS395" s="20"/>
      <c r="AT395" s="20"/>
      <c r="AU395" s="20"/>
      <c r="AV395" s="20"/>
    </row>
    <row r="396" spans="1:48" ht="17.25" hidden="1" customHeight="1">
      <c r="A396" s="124" t="s">
        <v>4850</v>
      </c>
      <c r="B396" s="124" t="s">
        <v>5531</v>
      </c>
      <c r="C396" s="131"/>
      <c r="D396" s="125">
        <f t="shared" si="8"/>
        <v>0</v>
      </c>
      <c r="E396" s="126" t="str">
        <f t="shared" si="9"/>
        <v>Not enough information entered</v>
      </c>
      <c r="F396" s="124" t="s">
        <v>6329</v>
      </c>
      <c r="G396" s="124" t="s">
        <v>5186</v>
      </c>
      <c r="H396" s="124">
        <v>0.2</v>
      </c>
      <c r="I396" s="132"/>
      <c r="J396" s="133"/>
      <c r="K396" s="132"/>
      <c r="L396" s="133"/>
      <c r="M396" s="132"/>
      <c r="N396" s="134"/>
      <c r="O396" s="132"/>
      <c r="P396" s="134"/>
      <c r="Q396" s="132"/>
      <c r="R396" s="135"/>
      <c r="S396" s="132"/>
      <c r="T396" s="134"/>
      <c r="U396" s="131"/>
      <c r="V396" s="140"/>
      <c r="W396" s="131"/>
      <c r="X396" s="131"/>
      <c r="Y396" s="137"/>
      <c r="Z396" s="134"/>
      <c r="AA396" s="134"/>
      <c r="AB396" s="138"/>
      <c r="AC396" s="20"/>
      <c r="AD396" s="20"/>
      <c r="AE396" s="20"/>
      <c r="AF396" s="20"/>
      <c r="AG396" s="20"/>
      <c r="AH396" s="20"/>
      <c r="AI396" s="20"/>
      <c r="AJ396" s="20"/>
      <c r="AK396" s="20"/>
      <c r="AL396" s="20"/>
      <c r="AM396" s="20"/>
      <c r="AN396" s="20"/>
      <c r="AO396" s="20"/>
      <c r="AP396" s="20"/>
      <c r="AQ396" s="20"/>
      <c r="AR396" s="20"/>
      <c r="AS396" s="20"/>
      <c r="AT396" s="20"/>
      <c r="AU396" s="20"/>
      <c r="AV396" s="20"/>
    </row>
    <row r="397" spans="1:48" ht="17.25" hidden="1" customHeight="1">
      <c r="A397" s="124" t="s">
        <v>4851</v>
      </c>
      <c r="B397" s="124" t="s">
        <v>5531</v>
      </c>
      <c r="C397" s="131"/>
      <c r="D397" s="125">
        <f t="shared" si="8"/>
        <v>0</v>
      </c>
      <c r="E397" s="126" t="str">
        <f t="shared" si="9"/>
        <v>Not enough information entered</v>
      </c>
      <c r="F397" s="124" t="s">
        <v>6330</v>
      </c>
      <c r="G397" s="124" t="s">
        <v>5186</v>
      </c>
      <c r="H397" s="124">
        <v>0.2</v>
      </c>
      <c r="I397" s="132"/>
      <c r="J397" s="133"/>
      <c r="K397" s="132"/>
      <c r="L397" s="133"/>
      <c r="M397" s="132"/>
      <c r="N397" s="134"/>
      <c r="O397" s="132"/>
      <c r="P397" s="134"/>
      <c r="Q397" s="132"/>
      <c r="R397" s="135"/>
      <c r="S397" s="132"/>
      <c r="T397" s="134"/>
      <c r="U397" s="131"/>
      <c r="V397" s="140"/>
      <c r="W397" s="131"/>
      <c r="X397" s="131"/>
      <c r="Y397" s="137"/>
      <c r="Z397" s="134"/>
      <c r="AA397" s="134"/>
      <c r="AB397" s="138"/>
      <c r="AC397" s="20"/>
      <c r="AD397" s="20"/>
      <c r="AE397" s="20"/>
      <c r="AF397" s="20"/>
      <c r="AG397" s="20"/>
      <c r="AH397" s="20"/>
      <c r="AI397" s="20"/>
      <c r="AJ397" s="20"/>
      <c r="AK397" s="20"/>
      <c r="AL397" s="20"/>
      <c r="AM397" s="20"/>
      <c r="AN397" s="20"/>
      <c r="AO397" s="20"/>
      <c r="AP397" s="20"/>
      <c r="AQ397" s="20"/>
      <c r="AR397" s="20"/>
      <c r="AS397" s="20"/>
      <c r="AT397" s="20"/>
      <c r="AU397" s="20"/>
      <c r="AV397" s="20"/>
    </row>
    <row r="398" spans="1:48" ht="17.25" hidden="1" customHeight="1">
      <c r="A398" s="124" t="s">
        <v>4853</v>
      </c>
      <c r="B398" s="124" t="s">
        <v>5531</v>
      </c>
      <c r="C398" s="131"/>
      <c r="D398" s="125">
        <f t="shared" si="8"/>
        <v>0</v>
      </c>
      <c r="E398" s="126" t="str">
        <f t="shared" si="9"/>
        <v>Not enough information entered</v>
      </c>
      <c r="F398" s="124" t="s">
        <v>6331</v>
      </c>
      <c r="G398" s="124" t="s">
        <v>5186</v>
      </c>
      <c r="H398" s="124">
        <v>0.2</v>
      </c>
      <c r="I398" s="132"/>
      <c r="J398" s="133"/>
      <c r="K398" s="132"/>
      <c r="L398" s="133"/>
      <c r="M398" s="132"/>
      <c r="N398" s="134"/>
      <c r="O398" s="132"/>
      <c r="P398" s="134"/>
      <c r="Q398" s="132"/>
      <c r="R398" s="135"/>
      <c r="S398" s="132"/>
      <c r="T398" s="134"/>
      <c r="U398" s="131"/>
      <c r="V398" s="140"/>
      <c r="W398" s="131"/>
      <c r="X398" s="131"/>
      <c r="Y398" s="137"/>
      <c r="Z398" s="134"/>
      <c r="AA398" s="134"/>
      <c r="AB398" s="138"/>
      <c r="AC398" s="20"/>
      <c r="AD398" s="20"/>
      <c r="AE398" s="20"/>
      <c r="AF398" s="20"/>
      <c r="AG398" s="20"/>
      <c r="AH398" s="20"/>
      <c r="AI398" s="20"/>
      <c r="AJ398" s="20"/>
      <c r="AK398" s="20"/>
      <c r="AL398" s="20"/>
      <c r="AM398" s="20"/>
      <c r="AN398" s="20"/>
      <c r="AO398" s="20"/>
      <c r="AP398" s="20"/>
      <c r="AQ398" s="20"/>
      <c r="AR398" s="20"/>
      <c r="AS398" s="20"/>
      <c r="AT398" s="20"/>
      <c r="AU398" s="20"/>
      <c r="AV398" s="20"/>
    </row>
    <row r="399" spans="1:48" ht="17.25" hidden="1" customHeight="1">
      <c r="A399" s="124" t="s">
        <v>4855</v>
      </c>
      <c r="B399" s="124" t="s">
        <v>5531</v>
      </c>
      <c r="C399" s="131"/>
      <c r="D399" s="125">
        <f t="shared" si="8"/>
        <v>0</v>
      </c>
      <c r="E399" s="126" t="str">
        <f t="shared" si="9"/>
        <v>Not enough information entered</v>
      </c>
      <c r="F399" s="124" t="s">
        <v>6335</v>
      </c>
      <c r="G399" s="124" t="s">
        <v>5186</v>
      </c>
      <c r="H399" s="124">
        <v>0.2</v>
      </c>
      <c r="I399" s="132"/>
      <c r="J399" s="133"/>
      <c r="K399" s="132"/>
      <c r="L399" s="133"/>
      <c r="M399" s="132"/>
      <c r="N399" s="134"/>
      <c r="O399" s="132"/>
      <c r="P399" s="134"/>
      <c r="Q399" s="132"/>
      <c r="R399" s="135"/>
      <c r="S399" s="132"/>
      <c r="T399" s="134"/>
      <c r="U399" s="131"/>
      <c r="V399" s="140"/>
      <c r="W399" s="131"/>
      <c r="X399" s="131"/>
      <c r="Y399" s="137"/>
      <c r="Z399" s="134"/>
      <c r="AA399" s="134"/>
      <c r="AB399" s="138"/>
      <c r="AC399" s="20"/>
      <c r="AD399" s="20"/>
      <c r="AE399" s="20"/>
      <c r="AF399" s="20"/>
      <c r="AG399" s="20"/>
      <c r="AH399" s="20"/>
      <c r="AI399" s="20"/>
      <c r="AJ399" s="20"/>
      <c r="AK399" s="20"/>
      <c r="AL399" s="20"/>
      <c r="AM399" s="20"/>
      <c r="AN399" s="20"/>
      <c r="AO399" s="20"/>
      <c r="AP399" s="20"/>
      <c r="AQ399" s="20"/>
      <c r="AR399" s="20"/>
      <c r="AS399" s="20"/>
      <c r="AT399" s="20"/>
      <c r="AU399" s="20"/>
      <c r="AV399" s="20"/>
    </row>
    <row r="400" spans="1:48" ht="17.25" hidden="1" customHeight="1">
      <c r="A400" s="124" t="s">
        <v>4856</v>
      </c>
      <c r="B400" s="124" t="s">
        <v>5531</v>
      </c>
      <c r="C400" s="131"/>
      <c r="D400" s="125">
        <f t="shared" si="8"/>
        <v>0</v>
      </c>
      <c r="E400" s="126" t="str">
        <f t="shared" si="9"/>
        <v>Not enough information entered</v>
      </c>
      <c r="F400" s="124" t="s">
        <v>6332</v>
      </c>
      <c r="G400" s="124" t="s">
        <v>5186</v>
      </c>
      <c r="H400" s="124">
        <v>0.2</v>
      </c>
      <c r="I400" s="132"/>
      <c r="J400" s="133"/>
      <c r="K400" s="132"/>
      <c r="L400" s="133"/>
      <c r="M400" s="132"/>
      <c r="N400" s="134"/>
      <c r="O400" s="132"/>
      <c r="P400" s="134"/>
      <c r="Q400" s="132"/>
      <c r="R400" s="135"/>
      <c r="S400" s="132"/>
      <c r="T400" s="134"/>
      <c r="U400" s="131"/>
      <c r="V400" s="140"/>
      <c r="W400" s="131"/>
      <c r="X400" s="131"/>
      <c r="Y400" s="137"/>
      <c r="Z400" s="134"/>
      <c r="AA400" s="134"/>
      <c r="AB400" s="138"/>
      <c r="AC400" s="20"/>
      <c r="AD400" s="20"/>
      <c r="AE400" s="20"/>
      <c r="AF400" s="20"/>
      <c r="AG400" s="20"/>
      <c r="AH400" s="20"/>
      <c r="AI400" s="20"/>
      <c r="AJ400" s="20"/>
      <c r="AK400" s="20"/>
      <c r="AL400" s="20"/>
      <c r="AM400" s="20"/>
      <c r="AN400" s="20"/>
      <c r="AO400" s="20"/>
      <c r="AP400" s="20"/>
      <c r="AQ400" s="20"/>
      <c r="AR400" s="20"/>
      <c r="AS400" s="20"/>
      <c r="AT400" s="20"/>
      <c r="AU400" s="20"/>
      <c r="AV400" s="20"/>
    </row>
    <row r="401" spans="1:48" ht="17.25" hidden="1" customHeight="1">
      <c r="A401" s="124" t="s">
        <v>4857</v>
      </c>
      <c r="B401" s="124" t="s">
        <v>5531</v>
      </c>
      <c r="C401" s="131"/>
      <c r="D401" s="125">
        <f t="shared" si="8"/>
        <v>0</v>
      </c>
      <c r="E401" s="126" t="str">
        <f t="shared" si="9"/>
        <v>Not enough information entered</v>
      </c>
      <c r="F401" s="124" t="s">
        <v>6333</v>
      </c>
      <c r="G401" s="124" t="s">
        <v>5186</v>
      </c>
      <c r="H401" s="124">
        <v>0.2</v>
      </c>
      <c r="I401" s="132"/>
      <c r="J401" s="133"/>
      <c r="K401" s="132"/>
      <c r="L401" s="133"/>
      <c r="M401" s="132"/>
      <c r="N401" s="134"/>
      <c r="O401" s="132"/>
      <c r="P401" s="134"/>
      <c r="Q401" s="132"/>
      <c r="R401" s="135"/>
      <c r="S401" s="132"/>
      <c r="T401" s="134"/>
      <c r="U401" s="131"/>
      <c r="V401" s="140"/>
      <c r="W401" s="131"/>
      <c r="X401" s="131"/>
      <c r="Y401" s="137"/>
      <c r="Z401" s="134"/>
      <c r="AA401" s="134"/>
      <c r="AB401" s="138"/>
      <c r="AC401" s="20"/>
      <c r="AD401" s="20"/>
      <c r="AE401" s="20"/>
      <c r="AF401" s="20"/>
      <c r="AG401" s="20"/>
      <c r="AH401" s="20"/>
      <c r="AI401" s="20"/>
      <c r="AJ401" s="20"/>
      <c r="AK401" s="20"/>
      <c r="AL401" s="20"/>
      <c r="AM401" s="20"/>
      <c r="AN401" s="20"/>
      <c r="AO401" s="20"/>
      <c r="AP401" s="20"/>
      <c r="AQ401" s="20"/>
      <c r="AR401" s="20"/>
      <c r="AS401" s="20"/>
      <c r="AT401" s="20"/>
      <c r="AU401" s="20"/>
      <c r="AV401" s="20"/>
    </row>
    <row r="402" spans="1:48" ht="17.25" hidden="1" customHeight="1">
      <c r="A402" s="124" t="s">
        <v>4858</v>
      </c>
      <c r="B402" s="124" t="s">
        <v>5531</v>
      </c>
      <c r="C402" s="131"/>
      <c r="D402" s="125">
        <f t="shared" si="8"/>
        <v>0</v>
      </c>
      <c r="E402" s="126" t="str">
        <f t="shared" si="9"/>
        <v>Not enough information entered</v>
      </c>
      <c r="F402" s="124" t="s">
        <v>6334</v>
      </c>
      <c r="G402" s="124" t="s">
        <v>5186</v>
      </c>
      <c r="H402" s="124">
        <v>0.2</v>
      </c>
      <c r="I402" s="132"/>
      <c r="J402" s="133"/>
      <c r="K402" s="132"/>
      <c r="L402" s="133"/>
      <c r="M402" s="132"/>
      <c r="N402" s="134"/>
      <c r="O402" s="132"/>
      <c r="P402" s="134"/>
      <c r="Q402" s="132"/>
      <c r="R402" s="135"/>
      <c r="S402" s="132"/>
      <c r="T402" s="134"/>
      <c r="U402" s="131"/>
      <c r="V402" s="140"/>
      <c r="W402" s="131"/>
      <c r="X402" s="131"/>
      <c r="Y402" s="137"/>
      <c r="Z402" s="134"/>
      <c r="AA402" s="134"/>
      <c r="AB402" s="138"/>
      <c r="AC402" s="20"/>
      <c r="AD402" s="20"/>
      <c r="AE402" s="20"/>
      <c r="AF402" s="20"/>
      <c r="AG402" s="20"/>
      <c r="AH402" s="20"/>
      <c r="AI402" s="20"/>
      <c r="AJ402" s="20"/>
      <c r="AK402" s="20"/>
      <c r="AL402" s="20"/>
      <c r="AM402" s="20"/>
      <c r="AN402" s="20"/>
      <c r="AO402" s="20"/>
      <c r="AP402" s="20"/>
      <c r="AQ402" s="20"/>
      <c r="AR402" s="20"/>
      <c r="AS402" s="20"/>
      <c r="AT402" s="20"/>
      <c r="AU402" s="20"/>
      <c r="AV402" s="20"/>
    </row>
    <row r="403" spans="1:48" ht="17.25" hidden="1" customHeight="1">
      <c r="A403" s="124" t="s">
        <v>4860</v>
      </c>
      <c r="B403" s="124" t="s">
        <v>5531</v>
      </c>
      <c r="C403" s="131"/>
      <c r="D403" s="125">
        <f t="shared" si="8"/>
        <v>0</v>
      </c>
      <c r="E403" s="126" t="str">
        <f t="shared" si="9"/>
        <v>Not enough information entered</v>
      </c>
      <c r="F403" s="124" t="s">
        <v>6685</v>
      </c>
      <c r="G403" s="124" t="s">
        <v>5186</v>
      </c>
      <c r="H403" s="124">
        <v>0.2</v>
      </c>
      <c r="I403" s="132"/>
      <c r="J403" s="133"/>
      <c r="K403" s="132"/>
      <c r="L403" s="133"/>
      <c r="M403" s="132"/>
      <c r="N403" s="134"/>
      <c r="O403" s="132"/>
      <c r="P403" s="134"/>
      <c r="Q403" s="132"/>
      <c r="R403" s="135"/>
      <c r="S403" s="132"/>
      <c r="T403" s="134"/>
      <c r="U403" s="131"/>
      <c r="V403" s="140"/>
      <c r="W403" s="131"/>
      <c r="X403" s="131"/>
      <c r="Y403" s="137"/>
      <c r="Z403" s="134"/>
      <c r="AA403" s="134"/>
      <c r="AB403" s="138"/>
      <c r="AC403" s="20"/>
      <c r="AD403" s="20"/>
      <c r="AE403" s="20"/>
      <c r="AF403" s="20"/>
      <c r="AG403" s="20"/>
      <c r="AH403" s="20"/>
      <c r="AI403" s="20"/>
      <c r="AJ403" s="20"/>
      <c r="AK403" s="20"/>
      <c r="AL403" s="20"/>
      <c r="AM403" s="20"/>
      <c r="AN403" s="20"/>
      <c r="AO403" s="20"/>
      <c r="AP403" s="20"/>
      <c r="AQ403" s="20"/>
      <c r="AR403" s="20"/>
      <c r="AS403" s="20"/>
      <c r="AT403" s="20"/>
      <c r="AU403" s="20"/>
      <c r="AV403" s="20"/>
    </row>
    <row r="404" spans="1:48" ht="17.25" hidden="1" customHeight="1">
      <c r="A404" s="124" t="s">
        <v>4861</v>
      </c>
      <c r="B404" s="124" t="s">
        <v>5531</v>
      </c>
      <c r="C404" s="131"/>
      <c r="D404" s="125">
        <f t="shared" si="8"/>
        <v>0</v>
      </c>
      <c r="E404" s="126" t="str">
        <f t="shared" si="9"/>
        <v>Not enough information entered</v>
      </c>
      <c r="F404" s="124" t="s">
        <v>6336</v>
      </c>
      <c r="G404" s="124" t="s">
        <v>5186</v>
      </c>
      <c r="H404" s="124">
        <v>0.2</v>
      </c>
      <c r="I404" s="132"/>
      <c r="J404" s="133"/>
      <c r="K404" s="132"/>
      <c r="L404" s="133"/>
      <c r="M404" s="132"/>
      <c r="N404" s="134"/>
      <c r="O404" s="132"/>
      <c r="P404" s="134"/>
      <c r="Q404" s="132"/>
      <c r="R404" s="135"/>
      <c r="S404" s="132"/>
      <c r="T404" s="134"/>
      <c r="U404" s="131"/>
      <c r="V404" s="141"/>
      <c r="W404" s="131"/>
      <c r="X404" s="131"/>
      <c r="Y404" s="137"/>
      <c r="Z404" s="134"/>
      <c r="AA404" s="134"/>
      <c r="AB404" s="138"/>
      <c r="AC404" s="20"/>
      <c r="AD404" s="20"/>
      <c r="AE404" s="20"/>
      <c r="AF404" s="20"/>
      <c r="AG404" s="20"/>
      <c r="AH404" s="20"/>
      <c r="AI404" s="20"/>
      <c r="AJ404" s="20"/>
      <c r="AK404" s="20"/>
      <c r="AL404" s="20"/>
      <c r="AM404" s="20"/>
      <c r="AN404" s="20"/>
      <c r="AO404" s="20"/>
      <c r="AP404" s="20"/>
      <c r="AQ404" s="20"/>
      <c r="AR404" s="20"/>
      <c r="AS404" s="20"/>
      <c r="AT404" s="20"/>
      <c r="AU404" s="20"/>
      <c r="AV404" s="20"/>
    </row>
    <row r="405" spans="1:48" ht="17.25" hidden="1" customHeight="1">
      <c r="A405" s="124" t="s">
        <v>4863</v>
      </c>
      <c r="B405" s="124" t="s">
        <v>5531</v>
      </c>
      <c r="C405" s="131"/>
      <c r="D405" s="125">
        <f t="shared" si="8"/>
        <v>0</v>
      </c>
      <c r="E405" s="126" t="str">
        <f t="shared" si="9"/>
        <v>Not enough information entered</v>
      </c>
      <c r="F405" s="124" t="s">
        <v>6337</v>
      </c>
      <c r="G405" s="124" t="s">
        <v>5186</v>
      </c>
      <c r="H405" s="124">
        <v>0.2</v>
      </c>
      <c r="I405" s="132"/>
      <c r="J405" s="133"/>
      <c r="K405" s="132"/>
      <c r="L405" s="133"/>
      <c r="M405" s="132"/>
      <c r="N405" s="134"/>
      <c r="O405" s="132"/>
      <c r="P405" s="134"/>
      <c r="Q405" s="132"/>
      <c r="R405" s="135"/>
      <c r="S405" s="132"/>
      <c r="T405" s="134"/>
      <c r="U405" s="131"/>
      <c r="V405" s="142"/>
      <c r="W405" s="131"/>
      <c r="X405" s="131"/>
      <c r="Y405" s="137"/>
      <c r="Z405" s="134"/>
      <c r="AA405" s="134"/>
      <c r="AB405" s="138"/>
      <c r="AC405" s="20"/>
      <c r="AD405" s="20"/>
      <c r="AE405" s="20"/>
      <c r="AF405" s="20"/>
      <c r="AG405" s="20"/>
      <c r="AH405" s="20"/>
      <c r="AI405" s="20"/>
      <c r="AJ405" s="20"/>
      <c r="AK405" s="20"/>
      <c r="AL405" s="20"/>
      <c r="AM405" s="20"/>
      <c r="AN405" s="20"/>
      <c r="AO405" s="20"/>
      <c r="AP405" s="20"/>
      <c r="AQ405" s="20"/>
      <c r="AR405" s="20"/>
      <c r="AS405" s="20"/>
      <c r="AT405" s="20"/>
      <c r="AU405" s="20"/>
      <c r="AV405" s="20"/>
    </row>
    <row r="406" spans="1:48" ht="17.25" hidden="1" customHeight="1">
      <c r="A406" s="124" t="s">
        <v>4865</v>
      </c>
      <c r="B406" s="124" t="s">
        <v>5531</v>
      </c>
      <c r="C406" s="131"/>
      <c r="D406" s="125">
        <f t="shared" si="8"/>
        <v>0</v>
      </c>
      <c r="E406" s="126" t="str">
        <f t="shared" si="9"/>
        <v>Not enough information entered</v>
      </c>
      <c r="F406" s="124" t="s">
        <v>6338</v>
      </c>
      <c r="G406" s="124" t="s">
        <v>5186</v>
      </c>
      <c r="H406" s="124">
        <v>0.2</v>
      </c>
      <c r="I406" s="132"/>
      <c r="J406" s="133"/>
      <c r="K406" s="132"/>
      <c r="L406" s="133"/>
      <c r="M406" s="132"/>
      <c r="N406" s="134"/>
      <c r="O406" s="132"/>
      <c r="P406" s="134"/>
      <c r="Q406" s="132"/>
      <c r="R406" s="135"/>
      <c r="S406" s="132"/>
      <c r="T406" s="134"/>
      <c r="U406" s="131"/>
      <c r="V406" s="142"/>
      <c r="W406" s="131"/>
      <c r="X406" s="131"/>
      <c r="Y406" s="137"/>
      <c r="Z406" s="134"/>
      <c r="AA406" s="134"/>
      <c r="AB406" s="138"/>
      <c r="AC406" s="20"/>
      <c r="AD406" s="20"/>
      <c r="AE406" s="20"/>
      <c r="AF406" s="20"/>
      <c r="AG406" s="20"/>
      <c r="AH406" s="20"/>
      <c r="AI406" s="20"/>
      <c r="AJ406" s="20"/>
      <c r="AK406" s="20"/>
      <c r="AL406" s="20"/>
      <c r="AM406" s="20"/>
      <c r="AN406" s="20"/>
      <c r="AO406" s="20"/>
      <c r="AP406" s="20"/>
      <c r="AQ406" s="20"/>
      <c r="AR406" s="20"/>
      <c r="AS406" s="20"/>
      <c r="AT406" s="20"/>
      <c r="AU406" s="20"/>
      <c r="AV406" s="20"/>
    </row>
    <row r="407" spans="1:48" ht="17.25" hidden="1" customHeight="1">
      <c r="A407" s="130"/>
      <c r="B407" s="131"/>
      <c r="C407" s="131"/>
      <c r="D407" s="131"/>
      <c r="E407" s="15"/>
      <c r="F407" s="131"/>
      <c r="G407" s="132"/>
      <c r="H407" s="133"/>
      <c r="I407" s="132"/>
      <c r="J407" s="133"/>
      <c r="K407" s="132"/>
      <c r="L407" s="133"/>
      <c r="M407" s="132"/>
      <c r="N407" s="134"/>
      <c r="O407" s="132"/>
      <c r="P407" s="134"/>
      <c r="Q407" s="132"/>
      <c r="R407" s="135"/>
      <c r="S407" s="132"/>
      <c r="T407" s="134"/>
      <c r="U407" s="131"/>
      <c r="V407" s="142"/>
      <c r="W407" s="131"/>
      <c r="X407" s="131"/>
      <c r="Y407" s="137"/>
      <c r="Z407" s="134"/>
      <c r="AA407" s="134"/>
      <c r="AB407" s="138"/>
      <c r="AC407" s="20"/>
      <c r="AD407" s="20"/>
      <c r="AE407" s="20"/>
      <c r="AF407" s="20"/>
      <c r="AG407" s="20"/>
      <c r="AH407" s="20"/>
      <c r="AI407" s="20"/>
      <c r="AJ407" s="20"/>
      <c r="AK407" s="20"/>
      <c r="AL407" s="20"/>
      <c r="AM407" s="20"/>
      <c r="AN407" s="20"/>
      <c r="AO407" s="20"/>
      <c r="AP407" s="20"/>
      <c r="AQ407" s="20"/>
      <c r="AR407" s="20"/>
      <c r="AS407" s="20"/>
      <c r="AT407" s="20"/>
      <c r="AU407" s="20"/>
      <c r="AV407" s="20"/>
    </row>
    <row r="408" spans="1:48" ht="17.25" hidden="1" customHeight="1">
      <c r="A408" s="130"/>
      <c r="B408" s="131"/>
      <c r="C408" s="131"/>
      <c r="D408" s="131"/>
      <c r="E408" s="15"/>
      <c r="F408" s="131"/>
      <c r="G408" s="132"/>
      <c r="H408" s="133"/>
      <c r="I408" s="132"/>
      <c r="J408" s="133"/>
      <c r="K408" s="132"/>
      <c r="L408" s="133"/>
      <c r="M408" s="132"/>
      <c r="N408" s="134"/>
      <c r="O408" s="132"/>
      <c r="P408" s="134"/>
      <c r="Q408" s="132"/>
      <c r="R408" s="135"/>
      <c r="S408" s="132"/>
      <c r="T408" s="134"/>
      <c r="U408" s="131"/>
      <c r="V408" s="142"/>
      <c r="W408" s="131"/>
      <c r="X408" s="131"/>
      <c r="Y408" s="137"/>
      <c r="Z408" s="134"/>
      <c r="AA408" s="134"/>
      <c r="AB408" s="138"/>
      <c r="AC408" s="20"/>
      <c r="AD408" s="20"/>
      <c r="AE408" s="20"/>
      <c r="AF408" s="20"/>
      <c r="AG408" s="20"/>
      <c r="AH408" s="20"/>
      <c r="AI408" s="20"/>
      <c r="AJ408" s="20"/>
      <c r="AK408" s="20"/>
      <c r="AL408" s="20"/>
      <c r="AM408" s="20"/>
      <c r="AN408" s="20"/>
      <c r="AO408" s="20"/>
      <c r="AP408" s="20"/>
      <c r="AQ408" s="20"/>
      <c r="AR408" s="20"/>
      <c r="AS408" s="20"/>
      <c r="AT408" s="20"/>
      <c r="AU408" s="20"/>
      <c r="AV408" s="20"/>
    </row>
    <row r="409" spans="1:48" ht="17.25" hidden="1" customHeight="1">
      <c r="A409" s="130"/>
      <c r="B409" s="131"/>
      <c r="C409" s="131"/>
      <c r="D409" s="131"/>
      <c r="E409" s="15"/>
      <c r="F409" s="131"/>
      <c r="G409" s="132"/>
      <c r="H409" s="133"/>
      <c r="I409" s="132"/>
      <c r="J409" s="133"/>
      <c r="K409" s="132"/>
      <c r="L409" s="133"/>
      <c r="M409" s="132"/>
      <c r="N409" s="134"/>
      <c r="O409" s="132"/>
      <c r="P409" s="134"/>
      <c r="Q409" s="132"/>
      <c r="R409" s="135"/>
      <c r="S409" s="132"/>
      <c r="T409" s="134"/>
      <c r="U409" s="131"/>
      <c r="V409" s="142"/>
      <c r="W409" s="131"/>
      <c r="X409" s="131"/>
      <c r="Y409" s="137"/>
      <c r="Z409" s="134"/>
      <c r="AA409" s="134"/>
      <c r="AB409" s="138"/>
      <c r="AC409" s="20"/>
      <c r="AD409" s="20"/>
      <c r="AE409" s="20"/>
      <c r="AF409" s="20"/>
      <c r="AG409" s="20"/>
      <c r="AH409" s="20"/>
      <c r="AI409" s="20"/>
      <c r="AJ409" s="20"/>
      <c r="AK409" s="20"/>
      <c r="AL409" s="20"/>
      <c r="AM409" s="20"/>
      <c r="AN409" s="20"/>
      <c r="AO409" s="20"/>
      <c r="AP409" s="20"/>
      <c r="AQ409" s="20"/>
      <c r="AR409" s="20"/>
      <c r="AS409" s="20"/>
      <c r="AT409" s="20"/>
      <c r="AU409" s="20"/>
      <c r="AV409" s="20"/>
    </row>
    <row r="410" spans="1:48" ht="17.25" hidden="1" customHeight="1">
      <c r="A410" s="130"/>
      <c r="B410" s="131"/>
      <c r="C410" s="131"/>
      <c r="D410" s="131"/>
      <c r="E410" s="15"/>
      <c r="F410" s="131"/>
      <c r="G410" s="132"/>
      <c r="H410" s="133"/>
      <c r="I410" s="132"/>
      <c r="J410" s="133"/>
      <c r="K410" s="132"/>
      <c r="L410" s="133"/>
      <c r="M410" s="132"/>
      <c r="N410" s="134"/>
      <c r="O410" s="132"/>
      <c r="P410" s="134"/>
      <c r="Q410" s="132"/>
      <c r="R410" s="135"/>
      <c r="S410" s="132"/>
      <c r="T410" s="134"/>
      <c r="U410" s="131"/>
      <c r="V410" s="142"/>
      <c r="W410" s="131"/>
      <c r="X410" s="131"/>
      <c r="Y410" s="137"/>
      <c r="Z410" s="134"/>
      <c r="AA410" s="134"/>
      <c r="AB410" s="138"/>
      <c r="AC410" s="20"/>
      <c r="AD410" s="20"/>
      <c r="AE410" s="20"/>
      <c r="AF410" s="20"/>
      <c r="AG410" s="20"/>
      <c r="AH410" s="20"/>
      <c r="AI410" s="20"/>
      <c r="AJ410" s="20"/>
      <c r="AK410" s="20"/>
      <c r="AL410" s="20"/>
      <c r="AM410" s="20"/>
      <c r="AN410" s="20"/>
      <c r="AO410" s="20"/>
      <c r="AP410" s="20"/>
      <c r="AQ410" s="20"/>
      <c r="AR410" s="20"/>
      <c r="AS410" s="20"/>
      <c r="AT410" s="20"/>
      <c r="AU410" s="20"/>
      <c r="AV410" s="20"/>
    </row>
    <row r="411" spans="1:48" ht="17.25" hidden="1" customHeight="1">
      <c r="A411" s="130"/>
      <c r="B411" s="131"/>
      <c r="C411" s="131"/>
      <c r="D411" s="131"/>
      <c r="E411" s="15"/>
      <c r="F411" s="131"/>
      <c r="G411" s="132"/>
      <c r="H411" s="133"/>
      <c r="I411" s="132"/>
      <c r="J411" s="133"/>
      <c r="K411" s="132"/>
      <c r="L411" s="133"/>
      <c r="M411" s="132"/>
      <c r="N411" s="134"/>
      <c r="O411" s="132"/>
      <c r="P411" s="134"/>
      <c r="Q411" s="132"/>
      <c r="R411" s="135"/>
      <c r="S411" s="132"/>
      <c r="T411" s="134"/>
      <c r="U411" s="131"/>
      <c r="V411" s="142"/>
      <c r="W411" s="131"/>
      <c r="X411" s="131"/>
      <c r="Y411" s="137"/>
      <c r="Z411" s="134"/>
      <c r="AA411" s="134"/>
      <c r="AB411" s="138"/>
      <c r="AC411" s="20"/>
      <c r="AD411" s="20"/>
      <c r="AE411" s="20"/>
      <c r="AF411" s="20"/>
      <c r="AG411" s="20"/>
      <c r="AH411" s="20"/>
      <c r="AI411" s="20"/>
      <c r="AJ411" s="20"/>
      <c r="AK411" s="20"/>
      <c r="AL411" s="20"/>
      <c r="AM411" s="20"/>
      <c r="AN411" s="20"/>
      <c r="AO411" s="20"/>
      <c r="AP411" s="20"/>
      <c r="AQ411" s="20"/>
      <c r="AR411" s="20"/>
      <c r="AS411" s="20"/>
      <c r="AT411" s="20"/>
      <c r="AU411" s="20"/>
      <c r="AV411" s="20"/>
    </row>
    <row r="412" spans="1:48" ht="17.25" hidden="1" customHeight="1">
      <c r="A412" s="130"/>
      <c r="B412" s="131"/>
      <c r="C412" s="131"/>
      <c r="D412" s="131"/>
      <c r="E412" s="15"/>
      <c r="F412" s="131"/>
      <c r="G412" s="132"/>
      <c r="H412" s="133"/>
      <c r="I412" s="132"/>
      <c r="J412" s="133"/>
      <c r="K412" s="132"/>
      <c r="L412" s="133"/>
      <c r="M412" s="132"/>
      <c r="N412" s="134"/>
      <c r="O412" s="132"/>
      <c r="P412" s="134"/>
      <c r="Q412" s="132"/>
      <c r="R412" s="135"/>
      <c r="S412" s="132"/>
      <c r="T412" s="134"/>
      <c r="U412" s="131"/>
      <c r="V412" s="142"/>
      <c r="W412" s="131"/>
      <c r="X412" s="131"/>
      <c r="Y412" s="137"/>
      <c r="Z412" s="134"/>
      <c r="AA412" s="134"/>
      <c r="AB412" s="138"/>
      <c r="AC412" s="20"/>
      <c r="AD412" s="20"/>
      <c r="AE412" s="20"/>
      <c r="AF412" s="20"/>
      <c r="AG412" s="20"/>
      <c r="AH412" s="20"/>
      <c r="AI412" s="20"/>
      <c r="AJ412" s="20"/>
      <c r="AK412" s="20"/>
      <c r="AL412" s="20"/>
      <c r="AM412" s="20"/>
      <c r="AN412" s="20"/>
      <c r="AO412" s="20"/>
      <c r="AP412" s="20"/>
      <c r="AQ412" s="20"/>
      <c r="AR412" s="20"/>
      <c r="AS412" s="20"/>
      <c r="AT412" s="20"/>
      <c r="AU412" s="20"/>
      <c r="AV412" s="20"/>
    </row>
    <row r="413" spans="1:48" ht="17.25" hidden="1" customHeight="1">
      <c r="A413" s="130"/>
      <c r="B413" s="131"/>
      <c r="C413" s="131"/>
      <c r="D413" s="131"/>
      <c r="E413" s="15"/>
      <c r="F413" s="131"/>
      <c r="G413" s="132"/>
      <c r="H413" s="133"/>
      <c r="I413" s="132"/>
      <c r="J413" s="133"/>
      <c r="K413" s="132"/>
      <c r="L413" s="131"/>
      <c r="M413" s="132"/>
      <c r="N413" s="134"/>
      <c r="O413" s="132"/>
      <c r="P413" s="134"/>
      <c r="Q413" s="132"/>
      <c r="R413" s="135"/>
      <c r="S413" s="132"/>
      <c r="T413" s="134"/>
      <c r="U413" s="131"/>
      <c r="V413" s="143"/>
      <c r="W413" s="131"/>
      <c r="X413" s="131"/>
      <c r="Y413" s="137"/>
      <c r="Z413" s="134"/>
      <c r="AA413" s="134"/>
      <c r="AB413" s="138"/>
      <c r="AC413" s="20"/>
      <c r="AD413" s="20"/>
      <c r="AE413" s="20"/>
      <c r="AF413" s="20"/>
      <c r="AG413" s="20"/>
      <c r="AH413" s="20"/>
      <c r="AI413" s="20"/>
      <c r="AJ413" s="20"/>
      <c r="AK413" s="20"/>
      <c r="AL413" s="20"/>
      <c r="AM413" s="20"/>
      <c r="AN413" s="20"/>
      <c r="AO413" s="20"/>
      <c r="AP413" s="20"/>
      <c r="AQ413" s="20"/>
      <c r="AR413" s="20"/>
      <c r="AS413" s="20"/>
      <c r="AT413" s="20"/>
      <c r="AU413" s="20"/>
      <c r="AV413" s="20"/>
    </row>
    <row r="414" spans="1:48" ht="17.25" hidden="1" customHeight="1">
      <c r="A414" s="130"/>
      <c r="B414" s="131"/>
      <c r="C414" s="131"/>
      <c r="D414" s="131"/>
      <c r="E414" s="15"/>
      <c r="F414" s="131"/>
      <c r="G414" s="132"/>
      <c r="H414" s="133"/>
      <c r="I414" s="132"/>
      <c r="J414" s="133"/>
      <c r="K414" s="132"/>
      <c r="L414" s="131"/>
      <c r="M414" s="132"/>
      <c r="N414" s="134"/>
      <c r="O414" s="132"/>
      <c r="P414" s="134"/>
      <c r="Q414" s="132"/>
      <c r="R414" s="135"/>
      <c r="S414" s="132"/>
      <c r="T414" s="134"/>
      <c r="U414" s="131"/>
      <c r="V414" s="144"/>
      <c r="W414" s="131"/>
      <c r="X414" s="131"/>
      <c r="Y414" s="137"/>
      <c r="Z414" s="134"/>
      <c r="AA414" s="134"/>
      <c r="AB414" s="138"/>
      <c r="AC414" s="20"/>
      <c r="AD414" s="20"/>
      <c r="AE414" s="20"/>
      <c r="AF414" s="20"/>
      <c r="AG414" s="20"/>
      <c r="AH414" s="20"/>
      <c r="AI414" s="20"/>
      <c r="AJ414" s="20"/>
      <c r="AK414" s="20"/>
      <c r="AL414" s="20"/>
      <c r="AM414" s="20"/>
      <c r="AN414" s="20"/>
      <c r="AO414" s="20"/>
      <c r="AP414" s="20"/>
      <c r="AQ414" s="20"/>
      <c r="AR414" s="20"/>
      <c r="AS414" s="20"/>
      <c r="AT414" s="20"/>
      <c r="AU414" s="20"/>
      <c r="AV414" s="20"/>
    </row>
    <row r="415" spans="1:48" ht="17.25" hidden="1" customHeight="1">
      <c r="A415" s="130"/>
      <c r="B415" s="131"/>
      <c r="C415" s="131"/>
      <c r="D415" s="131"/>
      <c r="E415" s="15"/>
      <c r="F415" s="131"/>
      <c r="G415" s="132"/>
      <c r="H415" s="133"/>
      <c r="I415" s="132"/>
      <c r="J415" s="133"/>
      <c r="K415" s="132"/>
      <c r="L415" s="131"/>
      <c r="M415" s="132"/>
      <c r="N415" s="134"/>
      <c r="O415" s="132"/>
      <c r="P415" s="134"/>
      <c r="Q415" s="132"/>
      <c r="R415" s="135"/>
      <c r="S415" s="132"/>
      <c r="T415" s="134"/>
      <c r="U415" s="131"/>
      <c r="V415" s="145"/>
      <c r="W415" s="131"/>
      <c r="X415" s="131"/>
      <c r="Y415" s="137"/>
      <c r="Z415" s="134"/>
      <c r="AA415" s="134"/>
      <c r="AB415" s="138"/>
      <c r="AC415" s="20"/>
      <c r="AD415" s="20"/>
      <c r="AE415" s="20"/>
      <c r="AF415" s="20"/>
      <c r="AG415" s="20"/>
      <c r="AH415" s="20"/>
      <c r="AI415" s="20"/>
      <c r="AJ415" s="20"/>
      <c r="AK415" s="20"/>
      <c r="AL415" s="20"/>
      <c r="AM415" s="20"/>
      <c r="AN415" s="20"/>
      <c r="AO415" s="20"/>
      <c r="AP415" s="20"/>
      <c r="AQ415" s="20"/>
      <c r="AR415" s="20"/>
      <c r="AS415" s="20"/>
      <c r="AT415" s="20"/>
      <c r="AU415" s="20"/>
      <c r="AV415" s="20"/>
    </row>
    <row r="416" spans="1:48" ht="17.25" hidden="1" customHeight="1">
      <c r="A416" s="130"/>
      <c r="B416" s="131"/>
      <c r="C416" s="131"/>
      <c r="D416" s="131"/>
      <c r="E416" s="15"/>
      <c r="F416" s="131"/>
      <c r="G416" s="132"/>
      <c r="H416" s="133"/>
      <c r="I416" s="132"/>
      <c r="J416" s="133"/>
      <c r="K416" s="132"/>
      <c r="L416" s="133"/>
      <c r="M416" s="132"/>
      <c r="N416" s="134"/>
      <c r="O416" s="132"/>
      <c r="P416" s="134"/>
      <c r="Q416" s="132"/>
      <c r="R416" s="135"/>
      <c r="S416" s="132"/>
      <c r="T416" s="134"/>
      <c r="U416" s="131"/>
      <c r="V416" s="145"/>
      <c r="W416" s="131"/>
      <c r="X416" s="131"/>
      <c r="Y416" s="137"/>
      <c r="Z416" s="134"/>
      <c r="AA416" s="134"/>
      <c r="AB416" s="138"/>
      <c r="AC416" s="20"/>
      <c r="AD416" s="20"/>
      <c r="AE416" s="20"/>
      <c r="AF416" s="20"/>
      <c r="AG416" s="20"/>
      <c r="AH416" s="20"/>
      <c r="AI416" s="20"/>
      <c r="AJ416" s="20"/>
      <c r="AK416" s="20"/>
      <c r="AL416" s="20"/>
      <c r="AM416" s="20"/>
      <c r="AN416" s="20"/>
      <c r="AO416" s="20"/>
      <c r="AP416" s="20"/>
      <c r="AQ416" s="20"/>
      <c r="AR416" s="20"/>
      <c r="AS416" s="20"/>
      <c r="AT416" s="20"/>
      <c r="AU416" s="20"/>
      <c r="AV416" s="20"/>
    </row>
    <row r="417" spans="1:48" ht="17.25" hidden="1" customHeight="1">
      <c r="A417" s="130"/>
      <c r="B417" s="131"/>
      <c r="C417" s="131"/>
      <c r="D417" s="131"/>
      <c r="E417" s="15"/>
      <c r="F417" s="131"/>
      <c r="G417" s="132"/>
      <c r="H417" s="133"/>
      <c r="I417" s="132"/>
      <c r="J417" s="133"/>
      <c r="K417" s="132"/>
      <c r="L417" s="131"/>
      <c r="M417" s="132"/>
      <c r="N417" s="134"/>
      <c r="O417" s="132"/>
      <c r="P417" s="134"/>
      <c r="Q417" s="132"/>
      <c r="R417" s="135"/>
      <c r="S417" s="132"/>
      <c r="T417" s="134"/>
      <c r="U417" s="131"/>
      <c r="V417" s="145"/>
      <c r="W417" s="131"/>
      <c r="X417" s="131"/>
      <c r="Y417" s="137"/>
      <c r="Z417" s="134"/>
      <c r="AA417" s="134"/>
      <c r="AB417" s="138"/>
      <c r="AC417" s="20"/>
      <c r="AD417" s="20"/>
      <c r="AE417" s="20"/>
      <c r="AF417" s="20"/>
      <c r="AG417" s="20"/>
      <c r="AH417" s="20"/>
      <c r="AI417" s="20"/>
      <c r="AJ417" s="20"/>
      <c r="AK417" s="20"/>
      <c r="AL417" s="20"/>
      <c r="AM417" s="20"/>
      <c r="AN417" s="20"/>
      <c r="AO417" s="20"/>
      <c r="AP417" s="20"/>
      <c r="AQ417" s="20"/>
      <c r="AR417" s="20"/>
      <c r="AS417" s="20"/>
      <c r="AT417" s="20"/>
      <c r="AU417" s="20"/>
      <c r="AV417" s="20"/>
    </row>
    <row r="418" spans="1:48" ht="17.25" hidden="1" customHeight="1">
      <c r="A418" s="130"/>
      <c r="B418" s="131"/>
      <c r="C418" s="131"/>
      <c r="D418" s="131"/>
      <c r="E418" s="15"/>
      <c r="F418" s="131"/>
      <c r="G418" s="132"/>
      <c r="H418" s="133"/>
      <c r="I418" s="132"/>
      <c r="J418" s="133"/>
      <c r="K418" s="132"/>
      <c r="L418" s="133"/>
      <c r="M418" s="132"/>
      <c r="N418" s="134"/>
      <c r="O418" s="132"/>
      <c r="P418" s="134"/>
      <c r="Q418" s="132"/>
      <c r="R418" s="135"/>
      <c r="S418" s="132"/>
      <c r="T418" s="134"/>
      <c r="U418" s="131"/>
      <c r="V418" s="145"/>
      <c r="W418" s="131"/>
      <c r="X418" s="131"/>
      <c r="Y418" s="137"/>
      <c r="Z418" s="134"/>
      <c r="AA418" s="134"/>
      <c r="AB418" s="138"/>
      <c r="AC418" s="20"/>
      <c r="AD418" s="20"/>
      <c r="AE418" s="20"/>
      <c r="AF418" s="20"/>
      <c r="AG418" s="20"/>
      <c r="AH418" s="20"/>
      <c r="AI418" s="20"/>
      <c r="AJ418" s="20"/>
      <c r="AK418" s="20"/>
      <c r="AL418" s="20"/>
      <c r="AM418" s="20"/>
      <c r="AN418" s="20"/>
      <c r="AO418" s="20"/>
      <c r="AP418" s="20"/>
      <c r="AQ418" s="20"/>
      <c r="AR418" s="20"/>
      <c r="AS418" s="20"/>
      <c r="AT418" s="20"/>
      <c r="AU418" s="20"/>
      <c r="AV418" s="20"/>
    </row>
    <row r="419" spans="1:48" ht="17.25" hidden="1" customHeight="1">
      <c r="A419" s="130"/>
      <c r="B419" s="131"/>
      <c r="C419" s="131"/>
      <c r="D419" s="131"/>
      <c r="E419" s="15"/>
      <c r="F419" s="131"/>
      <c r="G419" s="132"/>
      <c r="H419" s="133"/>
      <c r="I419" s="132"/>
      <c r="J419" s="133"/>
      <c r="K419" s="132"/>
      <c r="L419" s="131"/>
      <c r="M419" s="132"/>
      <c r="N419" s="134"/>
      <c r="O419" s="132"/>
      <c r="P419" s="134"/>
      <c r="Q419" s="132"/>
      <c r="R419" s="135"/>
      <c r="S419" s="132"/>
      <c r="T419" s="134"/>
      <c r="U419" s="131"/>
      <c r="V419" s="145"/>
      <c r="W419" s="131"/>
      <c r="X419" s="131"/>
      <c r="Y419" s="137"/>
      <c r="Z419" s="134"/>
      <c r="AA419" s="134"/>
      <c r="AB419" s="138"/>
      <c r="AC419" s="20"/>
      <c r="AD419" s="20"/>
      <c r="AE419" s="20"/>
      <c r="AF419" s="20"/>
      <c r="AG419" s="20"/>
      <c r="AH419" s="20"/>
      <c r="AI419" s="20"/>
      <c r="AJ419" s="20"/>
      <c r="AK419" s="20"/>
      <c r="AL419" s="20"/>
      <c r="AM419" s="20"/>
      <c r="AN419" s="20"/>
      <c r="AO419" s="20"/>
      <c r="AP419" s="20"/>
      <c r="AQ419" s="20"/>
      <c r="AR419" s="20"/>
      <c r="AS419" s="20"/>
      <c r="AT419" s="20"/>
      <c r="AU419" s="20"/>
      <c r="AV419" s="20"/>
    </row>
    <row r="420" spans="1:48" ht="17.25" hidden="1" customHeight="1">
      <c r="A420" s="130"/>
      <c r="B420" s="131"/>
      <c r="C420" s="131"/>
      <c r="D420" s="131"/>
      <c r="E420" s="15"/>
      <c r="F420" s="131"/>
      <c r="G420" s="132"/>
      <c r="H420" s="133"/>
      <c r="I420" s="132"/>
      <c r="J420" s="133"/>
      <c r="K420" s="132"/>
      <c r="L420" s="131"/>
      <c r="M420" s="132"/>
      <c r="N420" s="134"/>
      <c r="O420" s="132"/>
      <c r="P420" s="134"/>
      <c r="Q420" s="132"/>
      <c r="R420" s="135"/>
      <c r="S420" s="132"/>
      <c r="T420" s="134"/>
      <c r="U420" s="131"/>
      <c r="V420" s="145"/>
      <c r="W420" s="131"/>
      <c r="X420" s="131"/>
      <c r="Y420" s="137"/>
      <c r="Z420" s="134"/>
      <c r="AA420" s="134"/>
      <c r="AB420" s="138"/>
      <c r="AC420" s="20"/>
      <c r="AD420" s="20"/>
      <c r="AE420" s="20"/>
      <c r="AF420" s="20"/>
      <c r="AG420" s="20"/>
      <c r="AH420" s="20"/>
      <c r="AI420" s="20"/>
      <c r="AJ420" s="20"/>
      <c r="AK420" s="20"/>
      <c r="AL420" s="20"/>
      <c r="AM420" s="20"/>
      <c r="AN420" s="20"/>
      <c r="AO420" s="20"/>
      <c r="AP420" s="20"/>
      <c r="AQ420" s="20"/>
      <c r="AR420" s="20"/>
      <c r="AS420" s="20"/>
      <c r="AT420" s="20"/>
      <c r="AU420" s="20"/>
      <c r="AV420" s="20"/>
    </row>
    <row r="421" spans="1:48" ht="17.25" hidden="1" customHeight="1">
      <c r="A421" s="130"/>
      <c r="B421" s="131"/>
      <c r="C421" s="131"/>
      <c r="D421" s="131"/>
      <c r="E421" s="15"/>
      <c r="F421" s="131"/>
      <c r="G421" s="132"/>
      <c r="H421" s="133"/>
      <c r="I421" s="132"/>
      <c r="J421" s="133"/>
      <c r="K421" s="132"/>
      <c r="L421" s="131"/>
      <c r="M421" s="132"/>
      <c r="N421" s="134"/>
      <c r="O421" s="132"/>
      <c r="P421" s="134"/>
      <c r="Q421" s="132"/>
      <c r="R421" s="135"/>
      <c r="S421" s="132"/>
      <c r="T421" s="134"/>
      <c r="U421" s="131"/>
      <c r="V421" s="145"/>
      <c r="W421" s="131"/>
      <c r="X421" s="131"/>
      <c r="Y421" s="137"/>
      <c r="Z421" s="134"/>
      <c r="AA421" s="134"/>
      <c r="AB421" s="138"/>
      <c r="AC421" s="20"/>
      <c r="AD421" s="20"/>
      <c r="AE421" s="20"/>
      <c r="AF421" s="20"/>
      <c r="AG421" s="20"/>
      <c r="AH421" s="20"/>
      <c r="AI421" s="20"/>
      <c r="AJ421" s="20"/>
      <c r="AK421" s="20"/>
      <c r="AL421" s="20"/>
      <c r="AM421" s="20"/>
      <c r="AN421" s="20"/>
      <c r="AO421" s="20"/>
      <c r="AP421" s="20"/>
      <c r="AQ421" s="20"/>
      <c r="AR421" s="20"/>
      <c r="AS421" s="20"/>
      <c r="AT421" s="20"/>
      <c r="AU421" s="20"/>
      <c r="AV421" s="20"/>
    </row>
    <row r="422" spans="1:48" ht="17.25" hidden="1" customHeight="1">
      <c r="A422" s="130"/>
      <c r="B422" s="131"/>
      <c r="C422" s="131"/>
      <c r="D422" s="131"/>
      <c r="E422" s="15"/>
      <c r="F422" s="131"/>
      <c r="G422" s="132"/>
      <c r="H422" s="133"/>
      <c r="I422" s="132"/>
      <c r="J422" s="133"/>
      <c r="K422" s="132"/>
      <c r="L422" s="133"/>
      <c r="M422" s="132"/>
      <c r="N422" s="134"/>
      <c r="O422" s="132"/>
      <c r="P422" s="134"/>
      <c r="Q422" s="132"/>
      <c r="R422" s="135"/>
      <c r="S422" s="132"/>
      <c r="T422" s="134"/>
      <c r="U422" s="131"/>
      <c r="V422" s="146"/>
      <c r="W422" s="131"/>
      <c r="X422" s="131"/>
      <c r="Y422" s="137"/>
      <c r="Z422" s="134"/>
      <c r="AA422" s="134"/>
      <c r="AB422" s="138"/>
      <c r="AC422" s="20"/>
      <c r="AD422" s="20"/>
      <c r="AE422" s="20"/>
      <c r="AF422" s="20"/>
      <c r="AG422" s="20"/>
      <c r="AH422" s="20"/>
      <c r="AI422" s="20"/>
      <c r="AJ422" s="20"/>
      <c r="AK422" s="20"/>
      <c r="AL422" s="20"/>
      <c r="AM422" s="20"/>
      <c r="AN422" s="20"/>
      <c r="AO422" s="20"/>
      <c r="AP422" s="20"/>
      <c r="AQ422" s="20"/>
      <c r="AR422" s="20"/>
      <c r="AS422" s="20"/>
      <c r="AT422" s="20"/>
      <c r="AU422" s="20"/>
      <c r="AV422" s="20"/>
    </row>
    <row r="423" spans="1:48" ht="17.25" hidden="1" customHeight="1">
      <c r="A423" s="130"/>
      <c r="B423" s="131"/>
      <c r="C423" s="131"/>
      <c r="D423" s="131"/>
      <c r="E423" s="15"/>
      <c r="F423" s="131"/>
      <c r="G423" s="132"/>
      <c r="H423" s="133"/>
      <c r="I423" s="132"/>
      <c r="J423" s="133"/>
      <c r="K423" s="132"/>
      <c r="L423" s="133"/>
      <c r="M423" s="132"/>
      <c r="N423" s="134"/>
      <c r="O423" s="132"/>
      <c r="P423" s="134"/>
      <c r="Q423" s="132"/>
      <c r="R423" s="135"/>
      <c r="S423" s="132"/>
      <c r="T423" s="134"/>
      <c r="U423" s="131"/>
      <c r="V423" s="147"/>
      <c r="W423" s="131"/>
      <c r="X423" s="131"/>
      <c r="Y423" s="137"/>
      <c r="Z423" s="134"/>
      <c r="AA423" s="134"/>
      <c r="AB423" s="138"/>
      <c r="AC423" s="20"/>
      <c r="AD423" s="20"/>
      <c r="AE423" s="20"/>
      <c r="AF423" s="20"/>
      <c r="AG423" s="20"/>
      <c r="AH423" s="20"/>
      <c r="AI423" s="20"/>
      <c r="AJ423" s="20"/>
      <c r="AK423" s="20"/>
      <c r="AL423" s="20"/>
      <c r="AM423" s="20"/>
      <c r="AN423" s="20"/>
      <c r="AO423" s="20"/>
      <c r="AP423" s="20"/>
      <c r="AQ423" s="20"/>
      <c r="AR423" s="20"/>
      <c r="AS423" s="20"/>
      <c r="AT423" s="20"/>
      <c r="AU423" s="20"/>
      <c r="AV423" s="20"/>
    </row>
    <row r="424" spans="1:48" ht="17.25" hidden="1" customHeight="1">
      <c r="A424" s="130"/>
      <c r="B424" s="131"/>
      <c r="C424" s="131"/>
      <c r="D424" s="131"/>
      <c r="E424" s="15"/>
      <c r="F424" s="131"/>
      <c r="G424" s="132"/>
      <c r="H424" s="133"/>
      <c r="I424" s="132"/>
      <c r="J424" s="133"/>
      <c r="K424" s="132"/>
      <c r="L424" s="133"/>
      <c r="M424" s="132"/>
      <c r="N424" s="134"/>
      <c r="O424" s="132"/>
      <c r="P424" s="134"/>
      <c r="Q424" s="132"/>
      <c r="R424" s="135"/>
      <c r="S424" s="132"/>
      <c r="T424" s="134"/>
      <c r="U424" s="131"/>
      <c r="V424" s="148"/>
      <c r="W424" s="131"/>
      <c r="X424" s="131"/>
      <c r="Y424" s="137"/>
      <c r="Z424" s="134"/>
      <c r="AA424" s="134"/>
      <c r="AB424" s="138"/>
      <c r="AC424" s="20"/>
      <c r="AD424" s="20"/>
      <c r="AE424" s="20"/>
      <c r="AF424" s="20"/>
      <c r="AG424" s="20"/>
      <c r="AH424" s="20"/>
      <c r="AI424" s="20"/>
      <c r="AJ424" s="20"/>
      <c r="AK424" s="20"/>
      <c r="AL424" s="20"/>
      <c r="AM424" s="20"/>
      <c r="AN424" s="20"/>
      <c r="AO424" s="20"/>
      <c r="AP424" s="20"/>
      <c r="AQ424" s="20"/>
      <c r="AR424" s="20"/>
      <c r="AS424" s="20"/>
      <c r="AT424" s="20"/>
      <c r="AU424" s="20"/>
      <c r="AV424" s="20"/>
    </row>
    <row r="425" spans="1:48" ht="17.25" hidden="1" customHeight="1">
      <c r="A425" s="130"/>
      <c r="B425" s="131"/>
      <c r="C425" s="131"/>
      <c r="D425" s="131"/>
      <c r="E425" s="15"/>
      <c r="F425" s="131"/>
      <c r="G425" s="132"/>
      <c r="H425" s="133"/>
      <c r="I425" s="132"/>
      <c r="J425" s="133"/>
      <c r="K425" s="132"/>
      <c r="L425" s="133"/>
      <c r="M425" s="132"/>
      <c r="N425" s="134"/>
      <c r="O425" s="132"/>
      <c r="P425" s="134"/>
      <c r="Q425" s="132"/>
      <c r="R425" s="135"/>
      <c r="S425" s="132"/>
      <c r="T425" s="134"/>
      <c r="U425" s="131"/>
      <c r="V425" s="148"/>
      <c r="W425" s="131"/>
      <c r="X425" s="131"/>
      <c r="Y425" s="137"/>
      <c r="Z425" s="134"/>
      <c r="AA425" s="134"/>
      <c r="AB425" s="138"/>
      <c r="AC425" s="20"/>
      <c r="AD425" s="20"/>
      <c r="AE425" s="20"/>
      <c r="AF425" s="20"/>
      <c r="AG425" s="20"/>
      <c r="AH425" s="20"/>
      <c r="AI425" s="20"/>
      <c r="AJ425" s="20"/>
      <c r="AK425" s="20"/>
      <c r="AL425" s="20"/>
      <c r="AM425" s="20"/>
      <c r="AN425" s="20"/>
      <c r="AO425" s="20"/>
      <c r="AP425" s="20"/>
      <c r="AQ425" s="20"/>
      <c r="AR425" s="20"/>
      <c r="AS425" s="20"/>
      <c r="AT425" s="20"/>
      <c r="AU425" s="20"/>
      <c r="AV425" s="20"/>
    </row>
    <row r="426" spans="1:48" ht="17.25" hidden="1" customHeight="1">
      <c r="A426" s="130"/>
      <c r="B426" s="131"/>
      <c r="C426" s="131"/>
      <c r="D426" s="131"/>
      <c r="E426" s="15"/>
      <c r="F426" s="131"/>
      <c r="G426" s="132"/>
      <c r="H426" s="133"/>
      <c r="I426" s="132"/>
      <c r="J426" s="133"/>
      <c r="K426" s="132"/>
      <c r="L426" s="133"/>
      <c r="M426" s="132"/>
      <c r="N426" s="134"/>
      <c r="O426" s="132"/>
      <c r="P426" s="134"/>
      <c r="Q426" s="132"/>
      <c r="R426" s="135"/>
      <c r="S426" s="132"/>
      <c r="T426" s="134"/>
      <c r="U426" s="131"/>
      <c r="V426" s="148"/>
      <c r="W426" s="131"/>
      <c r="X426" s="131"/>
      <c r="Y426" s="137"/>
      <c r="Z426" s="134"/>
      <c r="AA426" s="134"/>
      <c r="AB426" s="138"/>
      <c r="AC426" s="20"/>
      <c r="AD426" s="20"/>
      <c r="AE426" s="20"/>
      <c r="AF426" s="20"/>
      <c r="AG426" s="20"/>
      <c r="AH426" s="20"/>
      <c r="AI426" s="20"/>
      <c r="AJ426" s="20"/>
      <c r="AK426" s="20"/>
      <c r="AL426" s="20"/>
      <c r="AM426" s="20"/>
      <c r="AN426" s="20"/>
      <c r="AO426" s="20"/>
      <c r="AP426" s="20"/>
      <c r="AQ426" s="20"/>
      <c r="AR426" s="20"/>
      <c r="AS426" s="20"/>
      <c r="AT426" s="20"/>
      <c r="AU426" s="20"/>
      <c r="AV426" s="20"/>
    </row>
    <row r="427" spans="1:48" ht="17.25" hidden="1" customHeight="1">
      <c r="A427" s="130"/>
      <c r="B427" s="131"/>
      <c r="C427" s="131"/>
      <c r="D427" s="131"/>
      <c r="E427" s="15"/>
      <c r="F427" s="131"/>
      <c r="G427" s="132"/>
      <c r="H427" s="133"/>
      <c r="I427" s="132"/>
      <c r="J427" s="133"/>
      <c r="K427" s="132"/>
      <c r="L427" s="133"/>
      <c r="M427" s="132"/>
      <c r="N427" s="134"/>
      <c r="O427" s="132"/>
      <c r="P427" s="134"/>
      <c r="Q427" s="132"/>
      <c r="R427" s="135"/>
      <c r="S427" s="132"/>
      <c r="T427" s="134"/>
      <c r="U427" s="131"/>
      <c r="V427" s="148"/>
      <c r="W427" s="131"/>
      <c r="X427" s="131"/>
      <c r="Y427" s="137"/>
      <c r="Z427" s="134"/>
      <c r="AA427" s="134"/>
      <c r="AB427" s="138"/>
      <c r="AC427" s="20"/>
      <c r="AD427" s="20"/>
      <c r="AE427" s="20"/>
      <c r="AF427" s="20"/>
      <c r="AG427" s="20"/>
      <c r="AH427" s="20"/>
      <c r="AI427" s="20"/>
      <c r="AJ427" s="20"/>
      <c r="AK427" s="20"/>
      <c r="AL427" s="20"/>
      <c r="AM427" s="20"/>
      <c r="AN427" s="20"/>
      <c r="AO427" s="20"/>
      <c r="AP427" s="20"/>
      <c r="AQ427" s="20"/>
      <c r="AR427" s="20"/>
      <c r="AS427" s="20"/>
      <c r="AT427" s="20"/>
      <c r="AU427" s="20"/>
      <c r="AV427" s="20"/>
    </row>
    <row r="428" spans="1:48" ht="17.25" hidden="1" customHeight="1">
      <c r="A428" s="130"/>
      <c r="B428" s="131"/>
      <c r="C428" s="131"/>
      <c r="D428" s="131"/>
      <c r="E428" s="15"/>
      <c r="F428" s="131"/>
      <c r="G428" s="132"/>
      <c r="H428" s="133"/>
      <c r="I428" s="132"/>
      <c r="J428" s="133"/>
      <c r="K428" s="132"/>
      <c r="L428" s="133"/>
      <c r="M428" s="132"/>
      <c r="N428" s="134"/>
      <c r="O428" s="132"/>
      <c r="P428" s="134"/>
      <c r="Q428" s="132"/>
      <c r="R428" s="135"/>
      <c r="S428" s="132"/>
      <c r="T428" s="134"/>
      <c r="U428" s="131"/>
      <c r="V428" s="148"/>
      <c r="W428" s="131"/>
      <c r="X428" s="131"/>
      <c r="Y428" s="137"/>
      <c r="Z428" s="134"/>
      <c r="AA428" s="134"/>
      <c r="AB428" s="138"/>
      <c r="AC428" s="20"/>
      <c r="AD428" s="20"/>
      <c r="AE428" s="20"/>
      <c r="AF428" s="20"/>
      <c r="AG428" s="20"/>
      <c r="AH428" s="20"/>
      <c r="AI428" s="20"/>
      <c r="AJ428" s="20"/>
      <c r="AK428" s="20"/>
      <c r="AL428" s="20"/>
      <c r="AM428" s="20"/>
      <c r="AN428" s="20"/>
      <c r="AO428" s="20"/>
      <c r="AP428" s="20"/>
      <c r="AQ428" s="20"/>
      <c r="AR428" s="20"/>
      <c r="AS428" s="20"/>
      <c r="AT428" s="20"/>
      <c r="AU428" s="20"/>
      <c r="AV428" s="20"/>
    </row>
    <row r="429" spans="1:48" ht="17.25" hidden="1" customHeight="1">
      <c r="A429" s="130" t="e">
        <f t="shared" ref="A429:A431" si="10">_xlfn.TEXTBEFORE(A408,"_",-1)</f>
        <v>#VALUE!</v>
      </c>
      <c r="B429" s="131"/>
      <c r="C429" s="131"/>
      <c r="D429" s="131"/>
      <c r="E429" s="15"/>
      <c r="F429" s="131"/>
      <c r="G429" s="132"/>
      <c r="H429" s="133"/>
      <c r="I429" s="132"/>
      <c r="J429" s="133"/>
      <c r="K429" s="132"/>
      <c r="L429" s="133"/>
      <c r="M429" s="132"/>
      <c r="N429" s="134"/>
      <c r="O429" s="132"/>
      <c r="P429" s="134"/>
      <c r="Q429" s="132"/>
      <c r="R429" s="135"/>
      <c r="S429" s="132"/>
      <c r="T429" s="134"/>
      <c r="U429" s="131"/>
      <c r="V429" s="148"/>
      <c r="W429" s="131"/>
      <c r="X429" s="131"/>
      <c r="Y429" s="137"/>
      <c r="Z429" s="134"/>
      <c r="AA429" s="134"/>
      <c r="AB429" s="138"/>
      <c r="AC429" s="20"/>
      <c r="AD429" s="20"/>
      <c r="AE429" s="20"/>
      <c r="AF429" s="20"/>
      <c r="AG429" s="20"/>
      <c r="AH429" s="20"/>
      <c r="AI429" s="20"/>
      <c r="AJ429" s="20"/>
      <c r="AK429" s="20"/>
      <c r="AL429" s="20"/>
      <c r="AM429" s="20"/>
      <c r="AN429" s="20"/>
      <c r="AO429" s="20"/>
      <c r="AP429" s="20"/>
      <c r="AQ429" s="20"/>
      <c r="AR429" s="20"/>
      <c r="AS429" s="20"/>
      <c r="AT429" s="20"/>
      <c r="AU429" s="20"/>
      <c r="AV429" s="20"/>
    </row>
    <row r="430" spans="1:48" ht="17.25" hidden="1" customHeight="1">
      <c r="A430" s="130" t="e">
        <f t="shared" si="10"/>
        <v>#VALUE!</v>
      </c>
      <c r="B430" s="131"/>
      <c r="C430" s="131"/>
      <c r="D430" s="131"/>
      <c r="E430" s="15"/>
      <c r="F430" s="131"/>
      <c r="G430" s="132"/>
      <c r="H430" s="133"/>
      <c r="I430" s="132"/>
      <c r="J430" s="133"/>
      <c r="K430" s="132"/>
      <c r="L430" s="133"/>
      <c r="M430" s="132"/>
      <c r="N430" s="134"/>
      <c r="O430" s="132"/>
      <c r="P430" s="134"/>
      <c r="Q430" s="132"/>
      <c r="R430" s="135"/>
      <c r="S430" s="132"/>
      <c r="T430" s="134"/>
      <c r="U430" s="131"/>
      <c r="V430" s="148"/>
      <c r="W430" s="131"/>
      <c r="X430" s="131"/>
      <c r="Y430" s="137"/>
      <c r="Z430" s="134"/>
      <c r="AA430" s="134"/>
      <c r="AB430" s="138"/>
      <c r="AC430" s="20"/>
      <c r="AD430" s="20"/>
      <c r="AE430" s="20"/>
      <c r="AF430" s="20"/>
      <c r="AG430" s="20"/>
      <c r="AH430" s="20"/>
      <c r="AI430" s="20"/>
      <c r="AJ430" s="20"/>
      <c r="AK430" s="20"/>
      <c r="AL430" s="20"/>
      <c r="AM430" s="20"/>
      <c r="AN430" s="20"/>
      <c r="AO430" s="20"/>
      <c r="AP430" s="20"/>
      <c r="AQ430" s="20"/>
      <c r="AR430" s="20"/>
      <c r="AS430" s="20"/>
      <c r="AT430" s="20"/>
      <c r="AU430" s="20"/>
      <c r="AV430" s="20"/>
    </row>
    <row r="431" spans="1:48" ht="17.25" hidden="1" customHeight="1">
      <c r="A431" s="130" t="e">
        <f t="shared" si="10"/>
        <v>#VALUE!</v>
      </c>
      <c r="B431" s="131"/>
      <c r="C431" s="131"/>
      <c r="D431" s="131"/>
      <c r="E431" s="15"/>
      <c r="F431" s="131"/>
      <c r="G431" s="132"/>
      <c r="H431" s="133"/>
      <c r="I431" s="132"/>
      <c r="J431" s="133"/>
      <c r="K431" s="132"/>
      <c r="L431" s="133"/>
      <c r="M431" s="132"/>
      <c r="N431" s="134"/>
      <c r="O431" s="132"/>
      <c r="P431" s="134"/>
      <c r="Q431" s="132"/>
      <c r="R431" s="135"/>
      <c r="S431" s="132"/>
      <c r="T431" s="134"/>
      <c r="U431" s="131"/>
      <c r="V431" s="149"/>
      <c r="W431" s="131"/>
      <c r="X431" s="131"/>
      <c r="Y431" s="137"/>
      <c r="Z431" s="134"/>
      <c r="AA431" s="134"/>
      <c r="AB431" s="138"/>
      <c r="AC431" s="20"/>
      <c r="AD431" s="20"/>
      <c r="AE431" s="20"/>
      <c r="AF431" s="20"/>
      <c r="AG431" s="20"/>
      <c r="AH431" s="20"/>
      <c r="AI431" s="20"/>
      <c r="AJ431" s="20"/>
      <c r="AK431" s="20"/>
      <c r="AL431" s="20"/>
      <c r="AM431" s="20"/>
      <c r="AN431" s="20"/>
      <c r="AO431" s="20"/>
      <c r="AP431" s="20"/>
      <c r="AQ431" s="20"/>
      <c r="AR431" s="20"/>
      <c r="AS431" s="20"/>
      <c r="AT431" s="20"/>
      <c r="AU431" s="20"/>
      <c r="AV431" s="20"/>
    </row>
    <row r="432" spans="1:48" ht="17.25" hidden="1" customHeight="1">
      <c r="A432" s="130"/>
      <c r="B432" s="131"/>
      <c r="C432" s="131"/>
      <c r="D432" s="131"/>
      <c r="E432" s="15"/>
      <c r="F432" s="131"/>
      <c r="G432" s="132"/>
      <c r="H432" s="133"/>
      <c r="I432" s="132"/>
      <c r="J432" s="133"/>
      <c r="K432" s="132"/>
      <c r="L432" s="133"/>
      <c r="M432" s="132"/>
      <c r="N432" s="134"/>
      <c r="O432" s="132"/>
      <c r="P432" s="134"/>
      <c r="Q432" s="132"/>
      <c r="R432" s="135"/>
      <c r="S432" s="132"/>
      <c r="T432" s="134"/>
      <c r="U432" s="131"/>
      <c r="V432" s="150"/>
      <c r="W432" s="131"/>
      <c r="X432" s="131"/>
      <c r="Y432" s="137"/>
      <c r="Z432" s="134"/>
      <c r="AA432" s="134"/>
      <c r="AB432" s="138"/>
      <c r="AC432" s="20"/>
      <c r="AD432" s="20"/>
      <c r="AE432" s="20"/>
      <c r="AF432" s="20"/>
      <c r="AG432" s="20"/>
      <c r="AH432" s="20"/>
      <c r="AI432" s="20"/>
      <c r="AJ432" s="20"/>
      <c r="AK432" s="20"/>
      <c r="AL432" s="20"/>
      <c r="AM432" s="20"/>
      <c r="AN432" s="20"/>
      <c r="AO432" s="20"/>
      <c r="AP432" s="20"/>
      <c r="AQ432" s="20"/>
      <c r="AR432" s="20"/>
      <c r="AS432" s="20"/>
      <c r="AT432" s="20"/>
      <c r="AU432" s="20"/>
      <c r="AV432" s="20"/>
    </row>
    <row r="433" spans="1:48" ht="17.25" hidden="1" customHeight="1">
      <c r="A433" s="130"/>
      <c r="B433" s="131"/>
      <c r="C433" s="131"/>
      <c r="D433" s="131"/>
      <c r="E433" s="15"/>
      <c r="F433" s="131"/>
      <c r="G433" s="132"/>
      <c r="H433" s="133"/>
      <c r="I433" s="132"/>
      <c r="J433" s="133"/>
      <c r="K433" s="132"/>
      <c r="L433" s="133"/>
      <c r="M433" s="132"/>
      <c r="N433" s="134"/>
      <c r="O433" s="132"/>
      <c r="P433" s="134"/>
      <c r="Q433" s="132"/>
      <c r="R433" s="135"/>
      <c r="S433" s="132"/>
      <c r="T433" s="134"/>
      <c r="U433" s="131"/>
      <c r="V433" s="136"/>
      <c r="W433" s="131"/>
      <c r="X433" s="131"/>
      <c r="Y433" s="137"/>
      <c r="Z433" s="134"/>
      <c r="AA433" s="134"/>
      <c r="AB433" s="138"/>
      <c r="AC433" s="20"/>
      <c r="AD433" s="20"/>
      <c r="AE433" s="20"/>
      <c r="AF433" s="20"/>
      <c r="AG433" s="20"/>
      <c r="AH433" s="20"/>
      <c r="AI433" s="20"/>
      <c r="AJ433" s="20"/>
      <c r="AK433" s="20"/>
      <c r="AL433" s="20"/>
      <c r="AM433" s="20"/>
      <c r="AN433" s="20"/>
      <c r="AO433" s="20"/>
      <c r="AP433" s="20"/>
      <c r="AQ433" s="20"/>
      <c r="AR433" s="20"/>
      <c r="AS433" s="20"/>
      <c r="AT433" s="20"/>
      <c r="AU433" s="20"/>
      <c r="AV433" s="20"/>
    </row>
    <row r="434" spans="1:48" ht="17.25" hidden="1" customHeight="1">
      <c r="A434" s="130"/>
      <c r="B434" s="131"/>
      <c r="C434" s="131"/>
      <c r="D434" s="131"/>
      <c r="E434" s="15"/>
      <c r="F434" s="131"/>
      <c r="G434" s="132"/>
      <c r="H434" s="133"/>
      <c r="I434" s="132"/>
      <c r="J434" s="133"/>
      <c r="K434" s="132"/>
      <c r="L434" s="133"/>
      <c r="M434" s="132"/>
      <c r="N434" s="134"/>
      <c r="O434" s="132"/>
      <c r="P434" s="134"/>
      <c r="Q434" s="132"/>
      <c r="R434" s="135"/>
      <c r="S434" s="132"/>
      <c r="T434" s="134"/>
      <c r="U434" s="131"/>
      <c r="V434" s="136"/>
      <c r="W434" s="131"/>
      <c r="X434" s="131"/>
      <c r="Y434" s="137"/>
      <c r="Z434" s="134"/>
      <c r="AA434" s="134"/>
      <c r="AB434" s="138"/>
      <c r="AC434" s="20"/>
      <c r="AD434" s="20"/>
      <c r="AE434" s="20"/>
      <c r="AF434" s="20"/>
      <c r="AG434" s="20"/>
      <c r="AH434" s="20"/>
      <c r="AI434" s="20"/>
      <c r="AJ434" s="20"/>
      <c r="AK434" s="20"/>
      <c r="AL434" s="20"/>
      <c r="AM434" s="20"/>
      <c r="AN434" s="20"/>
      <c r="AO434" s="20"/>
      <c r="AP434" s="20"/>
      <c r="AQ434" s="20"/>
      <c r="AR434" s="20"/>
      <c r="AS434" s="20"/>
      <c r="AT434" s="20"/>
      <c r="AU434" s="20"/>
      <c r="AV434" s="20"/>
    </row>
    <row r="435" spans="1:48" ht="17.25" hidden="1" customHeight="1">
      <c r="A435" s="130"/>
      <c r="B435" s="131"/>
      <c r="C435" s="131"/>
      <c r="D435" s="131"/>
      <c r="E435" s="15"/>
      <c r="F435" s="131"/>
      <c r="G435" s="132"/>
      <c r="H435" s="133"/>
      <c r="I435" s="132"/>
      <c r="J435" s="133"/>
      <c r="K435" s="132"/>
      <c r="L435" s="133"/>
      <c r="M435" s="132"/>
      <c r="N435" s="134"/>
      <c r="O435" s="132"/>
      <c r="P435" s="134"/>
      <c r="Q435" s="132"/>
      <c r="R435" s="135"/>
      <c r="S435" s="132"/>
      <c r="T435" s="134"/>
      <c r="U435" s="131"/>
      <c r="V435" s="136"/>
      <c r="W435" s="131"/>
      <c r="X435" s="131"/>
      <c r="Y435" s="137"/>
      <c r="Z435" s="134"/>
      <c r="AA435" s="134"/>
      <c r="AB435" s="138"/>
      <c r="AC435" s="20"/>
      <c r="AD435" s="20"/>
      <c r="AE435" s="20"/>
      <c r="AF435" s="20"/>
      <c r="AG435" s="20"/>
      <c r="AH435" s="20"/>
      <c r="AI435" s="20"/>
      <c r="AJ435" s="20"/>
      <c r="AK435" s="20"/>
      <c r="AL435" s="20"/>
      <c r="AM435" s="20"/>
      <c r="AN435" s="20"/>
      <c r="AO435" s="20"/>
      <c r="AP435" s="20"/>
      <c r="AQ435" s="20"/>
      <c r="AR435" s="20"/>
      <c r="AS435" s="20"/>
      <c r="AT435" s="20"/>
      <c r="AU435" s="20"/>
      <c r="AV435" s="20"/>
    </row>
    <row r="436" spans="1:48" ht="17.25" hidden="1" customHeight="1">
      <c r="A436" s="130"/>
      <c r="B436" s="131"/>
      <c r="C436" s="131"/>
      <c r="D436" s="131"/>
      <c r="E436" s="15"/>
      <c r="F436" s="131"/>
      <c r="G436" s="132"/>
      <c r="H436" s="133"/>
      <c r="I436" s="132"/>
      <c r="J436" s="133"/>
      <c r="K436" s="132"/>
      <c r="L436" s="133"/>
      <c r="M436" s="132"/>
      <c r="N436" s="134"/>
      <c r="O436" s="132"/>
      <c r="P436" s="134"/>
      <c r="Q436" s="132"/>
      <c r="R436" s="135"/>
      <c r="S436" s="132"/>
      <c r="T436" s="134"/>
      <c r="U436" s="131"/>
      <c r="V436" s="136"/>
      <c r="W436" s="131"/>
      <c r="X436" s="131"/>
      <c r="Y436" s="137"/>
      <c r="Z436" s="134"/>
      <c r="AA436" s="134"/>
      <c r="AB436" s="138"/>
      <c r="AC436" s="20"/>
      <c r="AD436" s="20"/>
      <c r="AE436" s="20"/>
      <c r="AF436" s="20"/>
      <c r="AG436" s="20"/>
      <c r="AH436" s="20"/>
      <c r="AI436" s="20"/>
      <c r="AJ436" s="20"/>
      <c r="AK436" s="20"/>
      <c r="AL436" s="20"/>
      <c r="AM436" s="20"/>
      <c r="AN436" s="20"/>
      <c r="AO436" s="20"/>
      <c r="AP436" s="20"/>
      <c r="AQ436" s="20"/>
      <c r="AR436" s="20"/>
      <c r="AS436" s="20"/>
      <c r="AT436" s="20"/>
      <c r="AU436" s="20"/>
      <c r="AV436" s="20"/>
    </row>
    <row r="437" spans="1:48" ht="17.25" hidden="1" customHeight="1">
      <c r="A437" s="130"/>
      <c r="B437" s="131"/>
      <c r="C437" s="131"/>
      <c r="D437" s="131"/>
      <c r="E437" s="15"/>
      <c r="F437" s="131"/>
      <c r="G437" s="132"/>
      <c r="H437" s="133"/>
      <c r="I437" s="132"/>
      <c r="J437" s="133"/>
      <c r="K437" s="132"/>
      <c r="L437" s="133"/>
      <c r="M437" s="132"/>
      <c r="N437" s="134"/>
      <c r="O437" s="132"/>
      <c r="P437" s="134"/>
      <c r="Q437" s="132"/>
      <c r="R437" s="135"/>
      <c r="S437" s="132"/>
      <c r="T437" s="134"/>
      <c r="U437" s="131"/>
      <c r="V437" s="136"/>
      <c r="W437" s="131"/>
      <c r="X437" s="131"/>
      <c r="Y437" s="137"/>
      <c r="Z437" s="134"/>
      <c r="AA437" s="134"/>
      <c r="AB437" s="138"/>
      <c r="AC437" s="20"/>
      <c r="AD437" s="20"/>
      <c r="AE437" s="20"/>
      <c r="AF437" s="20"/>
      <c r="AG437" s="20"/>
      <c r="AH437" s="20"/>
      <c r="AI437" s="20"/>
      <c r="AJ437" s="20"/>
      <c r="AK437" s="20"/>
      <c r="AL437" s="20"/>
      <c r="AM437" s="20"/>
      <c r="AN437" s="20"/>
      <c r="AO437" s="20"/>
      <c r="AP437" s="20"/>
      <c r="AQ437" s="20"/>
      <c r="AR437" s="20"/>
      <c r="AS437" s="20"/>
      <c r="AT437" s="20"/>
      <c r="AU437" s="20"/>
      <c r="AV437" s="20"/>
    </row>
    <row r="438" spans="1:48" ht="17.25" hidden="1" customHeight="1">
      <c r="A438" s="130"/>
      <c r="B438" s="131"/>
      <c r="C438" s="131"/>
      <c r="D438" s="131"/>
      <c r="E438" s="15"/>
      <c r="F438" s="131"/>
      <c r="G438" s="132"/>
      <c r="H438" s="133"/>
      <c r="I438" s="132"/>
      <c r="J438" s="133"/>
      <c r="K438" s="132"/>
      <c r="L438" s="133"/>
      <c r="M438" s="132"/>
      <c r="N438" s="134"/>
      <c r="O438" s="132"/>
      <c r="P438" s="134"/>
      <c r="Q438" s="132"/>
      <c r="R438" s="135"/>
      <c r="S438" s="132"/>
      <c r="T438" s="134"/>
      <c r="U438" s="131"/>
      <c r="V438" s="136"/>
      <c r="W438" s="131"/>
      <c r="X438" s="131"/>
      <c r="Y438" s="137"/>
      <c r="Z438" s="134"/>
      <c r="AA438" s="134"/>
      <c r="AB438" s="138"/>
      <c r="AC438" s="20"/>
      <c r="AD438" s="20"/>
      <c r="AE438" s="20"/>
      <c r="AF438" s="20"/>
      <c r="AG438" s="20"/>
      <c r="AH438" s="20"/>
      <c r="AI438" s="20"/>
      <c r="AJ438" s="20"/>
      <c r="AK438" s="20"/>
      <c r="AL438" s="20"/>
      <c r="AM438" s="20"/>
      <c r="AN438" s="20"/>
      <c r="AO438" s="20"/>
      <c r="AP438" s="20"/>
      <c r="AQ438" s="20"/>
      <c r="AR438" s="20"/>
      <c r="AS438" s="20"/>
      <c r="AT438" s="20"/>
      <c r="AU438" s="20"/>
      <c r="AV438" s="20"/>
    </row>
    <row r="439" spans="1:48" ht="17.25" hidden="1" customHeight="1">
      <c r="A439" s="130"/>
      <c r="B439" s="131"/>
      <c r="C439" s="131"/>
      <c r="D439" s="131"/>
      <c r="E439" s="15"/>
      <c r="F439" s="131"/>
      <c r="G439" s="132"/>
      <c r="H439" s="133"/>
      <c r="I439" s="132"/>
      <c r="J439" s="133"/>
      <c r="K439" s="132"/>
      <c r="L439" s="133"/>
      <c r="M439" s="132"/>
      <c r="N439" s="134"/>
      <c r="O439" s="132"/>
      <c r="P439" s="134"/>
      <c r="Q439" s="132"/>
      <c r="R439" s="135"/>
      <c r="S439" s="132"/>
      <c r="T439" s="134"/>
      <c r="U439" s="131"/>
      <c r="V439" s="136"/>
      <c r="W439" s="131"/>
      <c r="X439" s="131"/>
      <c r="Y439" s="137"/>
      <c r="Z439" s="134"/>
      <c r="AA439" s="134"/>
      <c r="AB439" s="138"/>
      <c r="AC439" s="20"/>
      <c r="AD439" s="20"/>
      <c r="AE439" s="20"/>
      <c r="AF439" s="20"/>
      <c r="AG439" s="20"/>
      <c r="AH439" s="20"/>
      <c r="AI439" s="20"/>
      <c r="AJ439" s="20"/>
      <c r="AK439" s="20"/>
      <c r="AL439" s="20"/>
      <c r="AM439" s="20"/>
      <c r="AN439" s="20"/>
      <c r="AO439" s="20"/>
      <c r="AP439" s="20"/>
      <c r="AQ439" s="20"/>
      <c r="AR439" s="20"/>
      <c r="AS439" s="20"/>
      <c r="AT439" s="20"/>
      <c r="AU439" s="20"/>
      <c r="AV439" s="20"/>
    </row>
    <row r="440" spans="1:48" ht="17.25" hidden="1" customHeight="1">
      <c r="A440" s="130"/>
      <c r="B440" s="131"/>
      <c r="C440" s="131"/>
      <c r="D440" s="131"/>
      <c r="E440" s="15"/>
      <c r="F440" s="131"/>
      <c r="G440" s="132"/>
      <c r="H440" s="133"/>
      <c r="I440" s="132"/>
      <c r="J440" s="133"/>
      <c r="K440" s="132"/>
      <c r="L440" s="133"/>
      <c r="M440" s="132"/>
      <c r="N440" s="134"/>
      <c r="O440" s="132"/>
      <c r="P440" s="134"/>
      <c r="Q440" s="132"/>
      <c r="R440" s="135"/>
      <c r="S440" s="132"/>
      <c r="T440" s="134"/>
      <c r="U440" s="131"/>
      <c r="V440" s="151"/>
      <c r="W440" s="131"/>
      <c r="X440" s="131"/>
      <c r="Y440" s="137"/>
      <c r="Z440" s="134"/>
      <c r="AA440" s="134"/>
      <c r="AB440" s="138"/>
      <c r="AC440" s="20"/>
      <c r="AD440" s="20"/>
      <c r="AE440" s="20"/>
      <c r="AF440" s="20"/>
      <c r="AG440" s="20"/>
      <c r="AH440" s="20"/>
      <c r="AI440" s="20"/>
      <c r="AJ440" s="20"/>
      <c r="AK440" s="20"/>
      <c r="AL440" s="20"/>
      <c r="AM440" s="20"/>
      <c r="AN440" s="20"/>
      <c r="AO440" s="20"/>
      <c r="AP440" s="20"/>
      <c r="AQ440" s="20"/>
      <c r="AR440" s="20"/>
      <c r="AS440" s="20"/>
      <c r="AT440" s="20"/>
      <c r="AU440" s="20"/>
      <c r="AV440" s="20"/>
    </row>
    <row r="441" spans="1:48" ht="17.25" hidden="1" customHeight="1">
      <c r="A441" s="130"/>
      <c r="B441" s="131"/>
      <c r="C441" s="131"/>
      <c r="D441" s="131"/>
      <c r="E441" s="15"/>
      <c r="F441" s="131"/>
      <c r="G441" s="132"/>
      <c r="H441" s="133"/>
      <c r="I441" s="132"/>
      <c r="J441" s="133"/>
      <c r="K441" s="132"/>
      <c r="L441" s="133"/>
      <c r="M441" s="132"/>
      <c r="N441" s="134"/>
      <c r="O441" s="132"/>
      <c r="P441" s="134"/>
      <c r="Q441" s="132"/>
      <c r="R441" s="135"/>
      <c r="S441" s="132"/>
      <c r="T441" s="134"/>
      <c r="U441" s="131"/>
      <c r="V441" s="152"/>
      <c r="W441" s="131"/>
      <c r="X441" s="131"/>
      <c r="Y441" s="137"/>
      <c r="Z441" s="134"/>
      <c r="AA441" s="134"/>
      <c r="AB441" s="138"/>
      <c r="AC441" s="20"/>
      <c r="AD441" s="20"/>
      <c r="AE441" s="20"/>
      <c r="AF441" s="20"/>
      <c r="AG441" s="20"/>
      <c r="AH441" s="20"/>
      <c r="AI441" s="20"/>
      <c r="AJ441" s="20"/>
      <c r="AK441" s="20"/>
      <c r="AL441" s="20"/>
      <c r="AM441" s="20"/>
      <c r="AN441" s="20"/>
      <c r="AO441" s="20"/>
      <c r="AP441" s="20"/>
      <c r="AQ441" s="20"/>
      <c r="AR441" s="20"/>
      <c r="AS441" s="20"/>
      <c r="AT441" s="20"/>
      <c r="AU441" s="20"/>
      <c r="AV441" s="20"/>
    </row>
    <row r="442" spans="1:48" ht="17.25" hidden="1" customHeight="1">
      <c r="A442" s="130"/>
      <c r="B442" s="131"/>
      <c r="C442" s="131"/>
      <c r="D442" s="131"/>
      <c r="E442" s="15"/>
      <c r="F442" s="131"/>
      <c r="G442" s="132"/>
      <c r="H442" s="133"/>
      <c r="I442" s="132"/>
      <c r="J442" s="133"/>
      <c r="K442" s="132"/>
      <c r="L442" s="133"/>
      <c r="M442" s="132"/>
      <c r="N442" s="134"/>
      <c r="O442" s="132"/>
      <c r="P442" s="134"/>
      <c r="Q442" s="132"/>
      <c r="R442" s="135"/>
      <c r="S442" s="132"/>
      <c r="T442" s="134"/>
      <c r="U442" s="131"/>
      <c r="V442" s="140"/>
      <c r="W442" s="131"/>
      <c r="X442" s="131"/>
      <c r="Y442" s="137"/>
      <c r="Z442" s="134"/>
      <c r="AA442" s="134"/>
      <c r="AB442" s="138"/>
      <c r="AC442" s="20"/>
      <c r="AD442" s="20"/>
      <c r="AE442" s="20"/>
      <c r="AF442" s="20"/>
      <c r="AG442" s="20"/>
      <c r="AH442" s="20"/>
      <c r="AI442" s="20"/>
      <c r="AJ442" s="20"/>
      <c r="AK442" s="20"/>
      <c r="AL442" s="20"/>
      <c r="AM442" s="20"/>
      <c r="AN442" s="20"/>
      <c r="AO442" s="20"/>
      <c r="AP442" s="20"/>
      <c r="AQ442" s="20"/>
      <c r="AR442" s="20"/>
      <c r="AS442" s="20"/>
      <c r="AT442" s="20"/>
      <c r="AU442" s="20"/>
      <c r="AV442" s="20"/>
    </row>
    <row r="443" spans="1:48" ht="17.25" hidden="1" customHeight="1">
      <c r="A443" s="130"/>
      <c r="B443" s="131"/>
      <c r="C443" s="131"/>
      <c r="D443" s="131"/>
      <c r="E443" s="15"/>
      <c r="F443" s="131"/>
      <c r="G443" s="132"/>
      <c r="H443" s="133"/>
      <c r="I443" s="132"/>
      <c r="J443" s="133"/>
      <c r="K443" s="132"/>
      <c r="L443" s="133"/>
      <c r="M443" s="132"/>
      <c r="N443" s="134"/>
      <c r="O443" s="132"/>
      <c r="P443" s="134"/>
      <c r="Q443" s="132"/>
      <c r="R443" s="135"/>
      <c r="S443" s="132"/>
      <c r="T443" s="134"/>
      <c r="U443" s="131"/>
      <c r="V443" s="140"/>
      <c r="W443" s="131"/>
      <c r="X443" s="131"/>
      <c r="Y443" s="137"/>
      <c r="Z443" s="134"/>
      <c r="AA443" s="134"/>
      <c r="AB443" s="138"/>
      <c r="AC443" s="20"/>
      <c r="AD443" s="20"/>
      <c r="AE443" s="20"/>
      <c r="AF443" s="20"/>
      <c r="AG443" s="20"/>
      <c r="AH443" s="20"/>
      <c r="AI443" s="20"/>
      <c r="AJ443" s="20"/>
      <c r="AK443" s="20"/>
      <c r="AL443" s="20"/>
      <c r="AM443" s="20"/>
      <c r="AN443" s="20"/>
      <c r="AO443" s="20"/>
      <c r="AP443" s="20"/>
      <c r="AQ443" s="20"/>
      <c r="AR443" s="20"/>
      <c r="AS443" s="20"/>
      <c r="AT443" s="20"/>
      <c r="AU443" s="20"/>
      <c r="AV443" s="20"/>
    </row>
    <row r="444" spans="1:48" ht="17.25" hidden="1" customHeight="1">
      <c r="A444" s="130"/>
      <c r="B444" s="131"/>
      <c r="C444" s="131"/>
      <c r="D444" s="131"/>
      <c r="E444" s="15"/>
      <c r="F444" s="131"/>
      <c r="G444" s="132"/>
      <c r="H444" s="133"/>
      <c r="I444" s="132"/>
      <c r="J444" s="133"/>
      <c r="K444" s="132"/>
      <c r="L444" s="133"/>
      <c r="M444" s="132"/>
      <c r="N444" s="134"/>
      <c r="O444" s="132"/>
      <c r="P444" s="134"/>
      <c r="Q444" s="132"/>
      <c r="R444" s="135"/>
      <c r="S444" s="132"/>
      <c r="T444" s="134"/>
      <c r="U444" s="131"/>
      <c r="V444" s="140"/>
      <c r="W444" s="131"/>
      <c r="X444" s="131"/>
      <c r="Y444" s="137"/>
      <c r="Z444" s="134"/>
      <c r="AA444" s="134"/>
      <c r="AB444" s="138"/>
      <c r="AC444" s="20"/>
      <c r="AD444" s="20"/>
      <c r="AE444" s="20"/>
      <c r="AF444" s="20"/>
      <c r="AG444" s="20"/>
      <c r="AH444" s="20"/>
      <c r="AI444" s="20"/>
      <c r="AJ444" s="20"/>
      <c r="AK444" s="20"/>
      <c r="AL444" s="20"/>
      <c r="AM444" s="20"/>
      <c r="AN444" s="20"/>
      <c r="AO444" s="20"/>
      <c r="AP444" s="20"/>
      <c r="AQ444" s="20"/>
      <c r="AR444" s="20"/>
      <c r="AS444" s="20"/>
      <c r="AT444" s="20"/>
      <c r="AU444" s="20"/>
      <c r="AV444" s="20"/>
    </row>
    <row r="445" spans="1:48" ht="17.25" hidden="1" customHeight="1">
      <c r="A445" s="130"/>
      <c r="B445" s="131"/>
      <c r="C445" s="131"/>
      <c r="D445" s="131"/>
      <c r="E445" s="15"/>
      <c r="F445" s="131"/>
      <c r="G445" s="132"/>
      <c r="H445" s="133"/>
      <c r="I445" s="132"/>
      <c r="J445" s="133"/>
      <c r="K445" s="132"/>
      <c r="L445" s="133"/>
      <c r="M445" s="132"/>
      <c r="N445" s="134"/>
      <c r="O445" s="132"/>
      <c r="P445" s="134"/>
      <c r="Q445" s="132"/>
      <c r="R445" s="135"/>
      <c r="S445" s="132"/>
      <c r="T445" s="134"/>
      <c r="U445" s="131"/>
      <c r="V445" s="140"/>
      <c r="W445" s="131"/>
      <c r="X445" s="131"/>
      <c r="Y445" s="137"/>
      <c r="Z445" s="134"/>
      <c r="AA445" s="134"/>
      <c r="AB445" s="138"/>
      <c r="AC445" s="20"/>
      <c r="AD445" s="20"/>
      <c r="AE445" s="20"/>
      <c r="AF445" s="20"/>
      <c r="AG445" s="20"/>
      <c r="AH445" s="20"/>
      <c r="AI445" s="20"/>
      <c r="AJ445" s="20"/>
      <c r="AK445" s="20"/>
      <c r="AL445" s="20"/>
      <c r="AM445" s="20"/>
      <c r="AN445" s="20"/>
      <c r="AO445" s="20"/>
      <c r="AP445" s="20"/>
      <c r="AQ445" s="20"/>
      <c r="AR445" s="20"/>
      <c r="AS445" s="20"/>
      <c r="AT445" s="20"/>
      <c r="AU445" s="20"/>
      <c r="AV445" s="20"/>
    </row>
    <row r="446" spans="1:48" ht="17.25" hidden="1" customHeight="1">
      <c r="A446" s="130"/>
      <c r="B446" s="131"/>
      <c r="C446" s="131"/>
      <c r="D446" s="131"/>
      <c r="E446" s="15"/>
      <c r="F446" s="131"/>
      <c r="G446" s="132"/>
      <c r="H446" s="133"/>
      <c r="I446" s="132"/>
      <c r="J446" s="133"/>
      <c r="K446" s="132"/>
      <c r="L446" s="133"/>
      <c r="M446" s="132"/>
      <c r="N446" s="134"/>
      <c r="O446" s="132"/>
      <c r="P446" s="134"/>
      <c r="Q446" s="132"/>
      <c r="R446" s="135"/>
      <c r="S446" s="132"/>
      <c r="T446" s="134"/>
      <c r="U446" s="131"/>
      <c r="V446" s="140"/>
      <c r="W446" s="131"/>
      <c r="X446" s="131"/>
      <c r="Y446" s="137"/>
      <c r="Z446" s="134"/>
      <c r="AA446" s="134"/>
      <c r="AB446" s="138"/>
      <c r="AC446" s="20"/>
      <c r="AD446" s="20"/>
      <c r="AE446" s="20"/>
      <c r="AF446" s="20"/>
      <c r="AG446" s="20"/>
      <c r="AH446" s="20"/>
      <c r="AI446" s="20"/>
      <c r="AJ446" s="20"/>
      <c r="AK446" s="20"/>
      <c r="AL446" s="20"/>
      <c r="AM446" s="20"/>
      <c r="AN446" s="20"/>
      <c r="AO446" s="20"/>
      <c r="AP446" s="20"/>
      <c r="AQ446" s="20"/>
      <c r="AR446" s="20"/>
      <c r="AS446" s="20"/>
      <c r="AT446" s="20"/>
      <c r="AU446" s="20"/>
      <c r="AV446" s="20"/>
    </row>
    <row r="447" spans="1:48" ht="17.25" hidden="1" customHeight="1">
      <c r="A447" s="130"/>
      <c r="B447" s="131"/>
      <c r="C447" s="131"/>
      <c r="D447" s="131"/>
      <c r="E447" s="15"/>
      <c r="F447" s="131"/>
      <c r="G447" s="132"/>
      <c r="H447" s="133"/>
      <c r="I447" s="132"/>
      <c r="J447" s="133"/>
      <c r="K447" s="132"/>
      <c r="L447" s="133"/>
      <c r="M447" s="132"/>
      <c r="N447" s="134"/>
      <c r="O447" s="132"/>
      <c r="P447" s="134"/>
      <c r="Q447" s="132"/>
      <c r="R447" s="135"/>
      <c r="S447" s="132"/>
      <c r="T447" s="134"/>
      <c r="U447" s="131"/>
      <c r="V447" s="140"/>
      <c r="W447" s="131"/>
      <c r="X447" s="131"/>
      <c r="Y447" s="137"/>
      <c r="Z447" s="134"/>
      <c r="AA447" s="134"/>
      <c r="AB447" s="138"/>
      <c r="AC447" s="20"/>
      <c r="AD447" s="20"/>
      <c r="AE447" s="20"/>
      <c r="AF447" s="20"/>
      <c r="AG447" s="20"/>
      <c r="AH447" s="20"/>
      <c r="AI447" s="20"/>
      <c r="AJ447" s="20"/>
      <c r="AK447" s="20"/>
      <c r="AL447" s="20"/>
      <c r="AM447" s="20"/>
      <c r="AN447" s="20"/>
      <c r="AO447" s="20"/>
      <c r="AP447" s="20"/>
      <c r="AQ447" s="20"/>
      <c r="AR447" s="20"/>
      <c r="AS447" s="20"/>
      <c r="AT447" s="20"/>
      <c r="AU447" s="20"/>
      <c r="AV447" s="20"/>
    </row>
    <row r="448" spans="1:48" ht="17.25" hidden="1" customHeight="1">
      <c r="A448" s="130"/>
      <c r="B448" s="131"/>
      <c r="C448" s="131"/>
      <c r="D448" s="131"/>
      <c r="E448" s="15"/>
      <c r="F448" s="131"/>
      <c r="G448" s="132"/>
      <c r="H448" s="133"/>
      <c r="I448" s="132"/>
      <c r="J448" s="133"/>
      <c r="K448" s="132"/>
      <c r="L448" s="133"/>
      <c r="M448" s="132"/>
      <c r="N448" s="134"/>
      <c r="O448" s="132"/>
      <c r="P448" s="134"/>
      <c r="Q448" s="132"/>
      <c r="R448" s="135"/>
      <c r="S448" s="132"/>
      <c r="T448" s="134"/>
      <c r="U448" s="131"/>
      <c r="V448" s="140"/>
      <c r="W448" s="131"/>
      <c r="X448" s="131"/>
      <c r="Y448" s="137"/>
      <c r="Z448" s="134"/>
      <c r="AA448" s="134"/>
      <c r="AB448" s="138"/>
      <c r="AC448" s="20"/>
      <c r="AD448" s="20"/>
      <c r="AE448" s="20"/>
      <c r="AF448" s="20"/>
      <c r="AG448" s="20"/>
      <c r="AH448" s="20"/>
      <c r="AI448" s="20"/>
      <c r="AJ448" s="20"/>
      <c r="AK448" s="20"/>
      <c r="AL448" s="20"/>
      <c r="AM448" s="20"/>
      <c r="AN448" s="20"/>
      <c r="AO448" s="20"/>
      <c r="AP448" s="20"/>
      <c r="AQ448" s="20"/>
      <c r="AR448" s="20"/>
      <c r="AS448" s="20"/>
      <c r="AT448" s="20"/>
      <c r="AU448" s="20"/>
      <c r="AV448" s="20"/>
    </row>
    <row r="449" spans="1:48" ht="17.25" hidden="1" customHeight="1">
      <c r="A449" s="130"/>
      <c r="B449" s="131"/>
      <c r="C449" s="131"/>
      <c r="D449" s="131"/>
      <c r="E449" s="15"/>
      <c r="F449" s="131"/>
      <c r="G449" s="132"/>
      <c r="H449" s="133"/>
      <c r="I449" s="132"/>
      <c r="J449" s="133"/>
      <c r="K449" s="132"/>
      <c r="L449" s="133"/>
      <c r="M449" s="132"/>
      <c r="N449" s="134"/>
      <c r="O449" s="132"/>
      <c r="P449" s="134"/>
      <c r="Q449" s="132"/>
      <c r="R449" s="135"/>
      <c r="S449" s="132"/>
      <c r="T449" s="134"/>
      <c r="U449" s="131"/>
      <c r="V449" s="153"/>
      <c r="W449" s="131"/>
      <c r="X449" s="131"/>
      <c r="Y449" s="137"/>
      <c r="Z449" s="134"/>
      <c r="AA449" s="134"/>
      <c r="AB449" s="138"/>
      <c r="AC449" s="20"/>
      <c r="AD449" s="20"/>
      <c r="AE449" s="20"/>
      <c r="AF449" s="20"/>
      <c r="AG449" s="20"/>
      <c r="AH449" s="20"/>
      <c r="AI449" s="20"/>
      <c r="AJ449" s="20"/>
      <c r="AK449" s="20"/>
      <c r="AL449" s="20"/>
      <c r="AM449" s="20"/>
      <c r="AN449" s="20"/>
      <c r="AO449" s="20"/>
      <c r="AP449" s="20"/>
      <c r="AQ449" s="20"/>
      <c r="AR449" s="20"/>
      <c r="AS449" s="20"/>
      <c r="AT449" s="20"/>
      <c r="AU449" s="20"/>
      <c r="AV449" s="20"/>
    </row>
    <row r="450" spans="1:48" ht="17.25" hidden="1" customHeight="1">
      <c r="A450" s="130"/>
      <c r="B450" s="131"/>
      <c r="C450" s="131"/>
      <c r="D450" s="131"/>
      <c r="E450" s="15"/>
      <c r="F450" s="131"/>
      <c r="G450" s="132"/>
      <c r="H450" s="133"/>
      <c r="I450" s="132"/>
      <c r="J450" s="133"/>
      <c r="K450" s="132"/>
      <c r="L450" s="133"/>
      <c r="M450" s="132"/>
      <c r="N450" s="134"/>
      <c r="O450" s="132"/>
      <c r="P450" s="134"/>
      <c r="Q450" s="132"/>
      <c r="R450" s="135"/>
      <c r="S450" s="132"/>
      <c r="T450" s="134"/>
      <c r="U450" s="131"/>
      <c r="V450" s="154"/>
      <c r="W450" s="131"/>
      <c r="X450" s="131"/>
      <c r="Y450" s="137"/>
      <c r="Z450" s="134"/>
      <c r="AA450" s="134"/>
      <c r="AB450" s="138"/>
      <c r="AC450" s="20"/>
      <c r="AD450" s="20"/>
      <c r="AE450" s="20"/>
      <c r="AF450" s="20"/>
      <c r="AG450" s="20"/>
      <c r="AH450" s="20"/>
      <c r="AI450" s="20"/>
      <c r="AJ450" s="20"/>
      <c r="AK450" s="20"/>
      <c r="AL450" s="20"/>
      <c r="AM450" s="20"/>
      <c r="AN450" s="20"/>
      <c r="AO450" s="20"/>
      <c r="AP450" s="20"/>
      <c r="AQ450" s="20"/>
      <c r="AR450" s="20"/>
      <c r="AS450" s="20"/>
      <c r="AT450" s="20"/>
      <c r="AU450" s="20"/>
      <c r="AV450" s="20"/>
    </row>
    <row r="451" spans="1:48" ht="17.25" hidden="1" customHeight="1">
      <c r="A451" s="130"/>
      <c r="B451" s="131"/>
      <c r="C451" s="131"/>
      <c r="D451" s="131"/>
      <c r="E451" s="15"/>
      <c r="F451" s="131"/>
      <c r="G451" s="132"/>
      <c r="H451" s="133"/>
      <c r="I451" s="132"/>
      <c r="J451" s="133"/>
      <c r="K451" s="132"/>
      <c r="L451" s="133"/>
      <c r="M451" s="132"/>
      <c r="N451" s="134"/>
      <c r="O451" s="132"/>
      <c r="P451" s="134"/>
      <c r="Q451" s="132"/>
      <c r="R451" s="135"/>
      <c r="S451" s="132"/>
      <c r="T451" s="134"/>
      <c r="U451" s="131"/>
      <c r="V451" s="142"/>
      <c r="W451" s="131"/>
      <c r="X451" s="131"/>
      <c r="Y451" s="137"/>
      <c r="Z451" s="134"/>
      <c r="AA451" s="134"/>
      <c r="AB451" s="138"/>
      <c r="AC451" s="20"/>
      <c r="AD451" s="20"/>
      <c r="AE451" s="20"/>
      <c r="AF451" s="20"/>
      <c r="AG451" s="20"/>
      <c r="AH451" s="20"/>
      <c r="AI451" s="20"/>
      <c r="AJ451" s="20"/>
      <c r="AK451" s="20"/>
      <c r="AL451" s="20"/>
      <c r="AM451" s="20"/>
      <c r="AN451" s="20"/>
      <c r="AO451" s="20"/>
      <c r="AP451" s="20"/>
      <c r="AQ451" s="20"/>
      <c r="AR451" s="20"/>
      <c r="AS451" s="20"/>
      <c r="AT451" s="20"/>
      <c r="AU451" s="20"/>
      <c r="AV451" s="20"/>
    </row>
    <row r="452" spans="1:48" ht="17.25" hidden="1" customHeight="1">
      <c r="A452" s="130"/>
      <c r="B452" s="131"/>
      <c r="C452" s="131"/>
      <c r="D452" s="131"/>
      <c r="E452" s="15"/>
      <c r="F452" s="131"/>
      <c r="G452" s="132"/>
      <c r="H452" s="133"/>
      <c r="I452" s="132"/>
      <c r="J452" s="133"/>
      <c r="K452" s="132"/>
      <c r="L452" s="133"/>
      <c r="M452" s="132"/>
      <c r="N452" s="134"/>
      <c r="O452" s="132"/>
      <c r="P452" s="134"/>
      <c r="Q452" s="132"/>
      <c r="R452" s="135"/>
      <c r="S452" s="132"/>
      <c r="T452" s="134"/>
      <c r="U452" s="131"/>
      <c r="V452" s="142"/>
      <c r="W452" s="131"/>
      <c r="X452" s="131"/>
      <c r="Y452" s="137"/>
      <c r="Z452" s="134"/>
      <c r="AA452" s="134"/>
      <c r="AB452" s="138"/>
      <c r="AC452" s="20"/>
      <c r="AD452" s="20"/>
      <c r="AE452" s="20"/>
      <c r="AF452" s="20"/>
      <c r="AG452" s="20"/>
      <c r="AH452" s="20"/>
      <c r="AI452" s="20"/>
      <c r="AJ452" s="20"/>
      <c r="AK452" s="20"/>
      <c r="AL452" s="20"/>
      <c r="AM452" s="20"/>
      <c r="AN452" s="20"/>
      <c r="AO452" s="20"/>
      <c r="AP452" s="20"/>
      <c r="AQ452" s="20"/>
      <c r="AR452" s="20"/>
      <c r="AS452" s="20"/>
      <c r="AT452" s="20"/>
      <c r="AU452" s="20"/>
      <c r="AV452" s="20"/>
    </row>
    <row r="453" spans="1:48" ht="17.25" hidden="1" customHeight="1">
      <c r="A453" s="130"/>
      <c r="B453" s="131"/>
      <c r="C453" s="131"/>
      <c r="D453" s="131"/>
      <c r="E453" s="15"/>
      <c r="F453" s="131"/>
      <c r="G453" s="132"/>
      <c r="H453" s="133"/>
      <c r="I453" s="132"/>
      <c r="J453" s="133"/>
      <c r="K453" s="132"/>
      <c r="L453" s="133"/>
      <c r="M453" s="132"/>
      <c r="N453" s="134"/>
      <c r="O453" s="132"/>
      <c r="P453" s="134"/>
      <c r="Q453" s="132"/>
      <c r="R453" s="135"/>
      <c r="S453" s="132"/>
      <c r="T453" s="134"/>
      <c r="U453" s="131"/>
      <c r="V453" s="142"/>
      <c r="W453" s="131"/>
      <c r="X453" s="131"/>
      <c r="Y453" s="137"/>
      <c r="Z453" s="134"/>
      <c r="AA453" s="134"/>
      <c r="AB453" s="138"/>
      <c r="AC453" s="20"/>
      <c r="AD453" s="20"/>
      <c r="AE453" s="20"/>
      <c r="AF453" s="20"/>
      <c r="AG453" s="20"/>
      <c r="AH453" s="20"/>
      <c r="AI453" s="20"/>
      <c r="AJ453" s="20"/>
      <c r="AK453" s="20"/>
      <c r="AL453" s="20"/>
      <c r="AM453" s="20"/>
      <c r="AN453" s="20"/>
      <c r="AO453" s="20"/>
      <c r="AP453" s="20"/>
      <c r="AQ453" s="20"/>
      <c r="AR453" s="20"/>
      <c r="AS453" s="20"/>
      <c r="AT453" s="20"/>
      <c r="AU453" s="20"/>
      <c r="AV453" s="20"/>
    </row>
    <row r="454" spans="1:48" ht="17.25" hidden="1" customHeight="1">
      <c r="A454" s="130"/>
      <c r="B454" s="131"/>
      <c r="C454" s="131"/>
      <c r="D454" s="131"/>
      <c r="E454" s="15"/>
      <c r="F454" s="131"/>
      <c r="G454" s="132"/>
      <c r="H454" s="133"/>
      <c r="I454" s="132"/>
      <c r="J454" s="133"/>
      <c r="K454" s="132"/>
      <c r="L454" s="133"/>
      <c r="M454" s="132"/>
      <c r="N454" s="134"/>
      <c r="O454" s="132"/>
      <c r="P454" s="134"/>
      <c r="Q454" s="132"/>
      <c r="R454" s="135"/>
      <c r="S454" s="132"/>
      <c r="T454" s="134"/>
      <c r="U454" s="131"/>
      <c r="V454" s="142"/>
      <c r="W454" s="131"/>
      <c r="X454" s="131"/>
      <c r="Y454" s="137"/>
      <c r="Z454" s="134"/>
      <c r="AA454" s="134"/>
      <c r="AB454" s="138"/>
      <c r="AC454" s="20"/>
      <c r="AD454" s="20"/>
      <c r="AE454" s="20"/>
      <c r="AF454" s="20"/>
      <c r="AG454" s="20"/>
      <c r="AH454" s="20"/>
      <c r="AI454" s="20"/>
      <c r="AJ454" s="20"/>
      <c r="AK454" s="20"/>
      <c r="AL454" s="20"/>
      <c r="AM454" s="20"/>
      <c r="AN454" s="20"/>
      <c r="AO454" s="20"/>
      <c r="AP454" s="20"/>
      <c r="AQ454" s="20"/>
      <c r="AR454" s="20"/>
      <c r="AS454" s="20"/>
      <c r="AT454" s="20"/>
      <c r="AU454" s="20"/>
      <c r="AV454" s="20"/>
    </row>
    <row r="455" spans="1:48" ht="17.25" hidden="1" customHeight="1">
      <c r="A455" s="130"/>
      <c r="B455" s="131"/>
      <c r="C455" s="131"/>
      <c r="D455" s="131"/>
      <c r="E455" s="15"/>
      <c r="F455" s="131"/>
      <c r="G455" s="132"/>
      <c r="H455" s="133"/>
      <c r="I455" s="132"/>
      <c r="J455" s="133"/>
      <c r="K455" s="132"/>
      <c r="L455" s="133"/>
      <c r="M455" s="132"/>
      <c r="N455" s="134"/>
      <c r="O455" s="132"/>
      <c r="P455" s="134"/>
      <c r="Q455" s="132"/>
      <c r="R455" s="135"/>
      <c r="S455" s="132"/>
      <c r="T455" s="134"/>
      <c r="U455" s="131"/>
      <c r="V455" s="142"/>
      <c r="W455" s="131"/>
      <c r="X455" s="131"/>
      <c r="Y455" s="137"/>
      <c r="Z455" s="134"/>
      <c r="AA455" s="134"/>
      <c r="AB455" s="138"/>
      <c r="AC455" s="20"/>
      <c r="AD455" s="20"/>
      <c r="AE455" s="20"/>
      <c r="AF455" s="20"/>
      <c r="AG455" s="20"/>
      <c r="AH455" s="20"/>
      <c r="AI455" s="20"/>
      <c r="AJ455" s="20"/>
      <c r="AK455" s="20"/>
      <c r="AL455" s="20"/>
      <c r="AM455" s="20"/>
      <c r="AN455" s="20"/>
      <c r="AO455" s="20"/>
      <c r="AP455" s="20"/>
      <c r="AQ455" s="20"/>
      <c r="AR455" s="20"/>
      <c r="AS455" s="20"/>
      <c r="AT455" s="20"/>
      <c r="AU455" s="20"/>
      <c r="AV455" s="20"/>
    </row>
    <row r="456" spans="1:48" ht="17.25" hidden="1" customHeight="1">
      <c r="A456" s="130"/>
      <c r="B456" s="131"/>
      <c r="C456" s="131"/>
      <c r="D456" s="131"/>
      <c r="E456" s="15"/>
      <c r="F456" s="131"/>
      <c r="G456" s="132"/>
      <c r="H456" s="133"/>
      <c r="I456" s="132"/>
      <c r="J456" s="133"/>
      <c r="K456" s="132"/>
      <c r="L456" s="133"/>
      <c r="M456" s="132"/>
      <c r="N456" s="134"/>
      <c r="O456" s="132"/>
      <c r="P456" s="134"/>
      <c r="Q456" s="132"/>
      <c r="R456" s="135"/>
      <c r="S456" s="132"/>
      <c r="T456" s="134"/>
      <c r="U456" s="131"/>
      <c r="V456" s="142"/>
      <c r="W456" s="131"/>
      <c r="X456" s="131"/>
      <c r="Y456" s="137"/>
      <c r="Z456" s="134"/>
      <c r="AA456" s="134"/>
      <c r="AB456" s="138"/>
      <c r="AC456" s="20"/>
      <c r="AD456" s="20"/>
      <c r="AE456" s="20"/>
      <c r="AF456" s="20"/>
      <c r="AG456" s="20"/>
      <c r="AH456" s="20"/>
      <c r="AI456" s="20"/>
      <c r="AJ456" s="20"/>
      <c r="AK456" s="20"/>
      <c r="AL456" s="20"/>
      <c r="AM456" s="20"/>
      <c r="AN456" s="20"/>
      <c r="AO456" s="20"/>
      <c r="AP456" s="20"/>
      <c r="AQ456" s="20"/>
      <c r="AR456" s="20"/>
      <c r="AS456" s="20"/>
      <c r="AT456" s="20"/>
      <c r="AU456" s="20"/>
      <c r="AV456" s="20"/>
    </row>
    <row r="457" spans="1:48" ht="17.25" hidden="1" customHeight="1">
      <c r="A457" s="130"/>
      <c r="B457" s="131"/>
      <c r="C457" s="131"/>
      <c r="D457" s="131"/>
      <c r="E457" s="15"/>
      <c r="F457" s="131"/>
      <c r="G457" s="132"/>
      <c r="H457" s="133"/>
      <c r="I457" s="132"/>
      <c r="J457" s="133"/>
      <c r="K457" s="132"/>
      <c r="L457" s="133"/>
      <c r="M457" s="132"/>
      <c r="N457" s="134"/>
      <c r="O457" s="132"/>
      <c r="P457" s="134"/>
      <c r="Q457" s="132"/>
      <c r="R457" s="135"/>
      <c r="S457" s="132"/>
      <c r="T457" s="134"/>
      <c r="U457" s="131"/>
      <c r="V457" s="142"/>
      <c r="W457" s="131"/>
      <c r="X457" s="131"/>
      <c r="Y457" s="137"/>
      <c r="Z457" s="134"/>
      <c r="AA457" s="134"/>
      <c r="AB457" s="138"/>
      <c r="AC457" s="20"/>
      <c r="AD457" s="20"/>
      <c r="AE457" s="20"/>
      <c r="AF457" s="20"/>
      <c r="AG457" s="20"/>
      <c r="AH457" s="20"/>
      <c r="AI457" s="20"/>
      <c r="AJ457" s="20"/>
      <c r="AK457" s="20"/>
      <c r="AL457" s="20"/>
      <c r="AM457" s="20"/>
      <c r="AN457" s="20"/>
      <c r="AO457" s="20"/>
      <c r="AP457" s="20"/>
      <c r="AQ457" s="20"/>
      <c r="AR457" s="20"/>
      <c r="AS457" s="20"/>
      <c r="AT457" s="20"/>
      <c r="AU457" s="20"/>
      <c r="AV457" s="20"/>
    </row>
    <row r="458" spans="1:48" ht="17.25" hidden="1" customHeight="1">
      <c r="A458" s="130"/>
      <c r="B458" s="131"/>
      <c r="C458" s="131"/>
      <c r="D458" s="131"/>
      <c r="E458" s="15"/>
      <c r="F458" s="131"/>
      <c r="G458" s="132"/>
      <c r="H458" s="133"/>
      <c r="I458" s="132"/>
      <c r="J458" s="133"/>
      <c r="K458" s="132"/>
      <c r="L458" s="131"/>
      <c r="M458" s="132"/>
      <c r="N458" s="134"/>
      <c r="O458" s="132"/>
      <c r="P458" s="134"/>
      <c r="Q458" s="132"/>
      <c r="R458" s="135"/>
      <c r="S458" s="132"/>
      <c r="T458" s="134"/>
      <c r="U458" s="131"/>
      <c r="V458" s="143"/>
      <c r="W458" s="131"/>
      <c r="X458" s="131"/>
      <c r="Y458" s="137"/>
      <c r="Z458" s="134"/>
      <c r="AA458" s="134"/>
      <c r="AB458" s="138"/>
      <c r="AC458" s="20"/>
      <c r="AD458" s="20"/>
      <c r="AE458" s="20"/>
      <c r="AF458" s="20"/>
      <c r="AG458" s="20"/>
      <c r="AH458" s="20"/>
      <c r="AI458" s="20"/>
      <c r="AJ458" s="20"/>
      <c r="AK458" s="20"/>
      <c r="AL458" s="20"/>
      <c r="AM458" s="20"/>
      <c r="AN458" s="20"/>
      <c r="AO458" s="20"/>
      <c r="AP458" s="20"/>
      <c r="AQ458" s="20"/>
      <c r="AR458" s="20"/>
      <c r="AS458" s="20"/>
      <c r="AT458" s="20"/>
      <c r="AU458" s="20"/>
      <c r="AV458" s="20"/>
    </row>
    <row r="459" spans="1:48" ht="17.25" hidden="1" customHeight="1">
      <c r="A459" s="130"/>
      <c r="B459" s="131"/>
      <c r="C459" s="131"/>
      <c r="D459" s="131"/>
      <c r="E459" s="15"/>
      <c r="F459" s="131"/>
      <c r="G459" s="132"/>
      <c r="H459" s="133"/>
      <c r="I459" s="132"/>
      <c r="J459" s="133"/>
      <c r="K459" s="132"/>
      <c r="L459" s="131"/>
      <c r="M459" s="132"/>
      <c r="N459" s="134"/>
      <c r="O459" s="132"/>
      <c r="P459" s="134"/>
      <c r="Q459" s="132"/>
      <c r="R459" s="135"/>
      <c r="S459" s="132"/>
      <c r="T459" s="134"/>
      <c r="U459" s="131"/>
      <c r="V459" s="144"/>
      <c r="W459" s="131"/>
      <c r="X459" s="131"/>
      <c r="Y459" s="137"/>
      <c r="Z459" s="134"/>
      <c r="AA459" s="134"/>
      <c r="AB459" s="138"/>
      <c r="AC459" s="20"/>
      <c r="AD459" s="20"/>
      <c r="AE459" s="20"/>
      <c r="AF459" s="20"/>
      <c r="AG459" s="20"/>
      <c r="AH459" s="20"/>
      <c r="AI459" s="20"/>
      <c r="AJ459" s="20"/>
      <c r="AK459" s="20"/>
      <c r="AL459" s="20"/>
      <c r="AM459" s="20"/>
      <c r="AN459" s="20"/>
      <c r="AO459" s="20"/>
      <c r="AP459" s="20"/>
      <c r="AQ459" s="20"/>
      <c r="AR459" s="20"/>
      <c r="AS459" s="20"/>
      <c r="AT459" s="20"/>
      <c r="AU459" s="20"/>
      <c r="AV459" s="20"/>
    </row>
    <row r="460" spans="1:48" ht="17.25" hidden="1" customHeight="1">
      <c r="A460" s="130"/>
      <c r="B460" s="131"/>
      <c r="C460" s="131"/>
      <c r="D460" s="131"/>
      <c r="E460" s="15"/>
      <c r="F460" s="131"/>
      <c r="G460" s="132"/>
      <c r="H460" s="133"/>
      <c r="I460" s="132"/>
      <c r="J460" s="133"/>
      <c r="K460" s="132"/>
      <c r="L460" s="131"/>
      <c r="M460" s="132"/>
      <c r="N460" s="134"/>
      <c r="O460" s="132"/>
      <c r="P460" s="134"/>
      <c r="Q460" s="132"/>
      <c r="R460" s="135"/>
      <c r="S460" s="132"/>
      <c r="T460" s="134"/>
      <c r="U460" s="131"/>
      <c r="V460" s="145"/>
      <c r="W460" s="131"/>
      <c r="X460" s="131"/>
      <c r="Y460" s="137"/>
      <c r="Z460" s="134"/>
      <c r="AA460" s="134"/>
      <c r="AB460" s="138"/>
      <c r="AC460" s="20"/>
      <c r="AD460" s="20"/>
      <c r="AE460" s="20"/>
      <c r="AF460" s="20"/>
      <c r="AG460" s="20"/>
      <c r="AH460" s="20"/>
      <c r="AI460" s="20"/>
      <c r="AJ460" s="20"/>
      <c r="AK460" s="20"/>
      <c r="AL460" s="20"/>
      <c r="AM460" s="20"/>
      <c r="AN460" s="20"/>
      <c r="AO460" s="20"/>
      <c r="AP460" s="20"/>
      <c r="AQ460" s="20"/>
      <c r="AR460" s="20"/>
      <c r="AS460" s="20"/>
      <c r="AT460" s="20"/>
      <c r="AU460" s="20"/>
      <c r="AV460" s="20"/>
    </row>
    <row r="461" spans="1:48" ht="17.25" hidden="1" customHeight="1">
      <c r="A461" s="130"/>
      <c r="B461" s="131"/>
      <c r="C461" s="131"/>
      <c r="D461" s="131"/>
      <c r="E461" s="15"/>
      <c r="F461" s="131"/>
      <c r="G461" s="132"/>
      <c r="H461" s="133"/>
      <c r="I461" s="132"/>
      <c r="J461" s="133"/>
      <c r="K461" s="132"/>
      <c r="L461" s="133"/>
      <c r="M461" s="132"/>
      <c r="N461" s="134"/>
      <c r="O461" s="132"/>
      <c r="P461" s="134"/>
      <c r="Q461" s="132"/>
      <c r="R461" s="135"/>
      <c r="S461" s="132"/>
      <c r="T461" s="134"/>
      <c r="U461" s="131"/>
      <c r="V461" s="145"/>
      <c r="W461" s="131"/>
      <c r="X461" s="131"/>
      <c r="Y461" s="137"/>
      <c r="Z461" s="134"/>
      <c r="AA461" s="134"/>
      <c r="AB461" s="138"/>
      <c r="AC461" s="20"/>
      <c r="AD461" s="20"/>
      <c r="AE461" s="20"/>
      <c r="AF461" s="20"/>
      <c r="AG461" s="20"/>
      <c r="AH461" s="20"/>
      <c r="AI461" s="20"/>
      <c r="AJ461" s="20"/>
      <c r="AK461" s="20"/>
      <c r="AL461" s="20"/>
      <c r="AM461" s="20"/>
      <c r="AN461" s="20"/>
      <c r="AO461" s="20"/>
      <c r="AP461" s="20"/>
      <c r="AQ461" s="20"/>
      <c r="AR461" s="20"/>
      <c r="AS461" s="20"/>
      <c r="AT461" s="20"/>
      <c r="AU461" s="20"/>
      <c r="AV461" s="20"/>
    </row>
    <row r="462" spans="1:48" ht="17.25" hidden="1" customHeight="1">
      <c r="A462" s="130"/>
      <c r="B462" s="131"/>
      <c r="C462" s="131"/>
      <c r="D462" s="131"/>
      <c r="E462" s="15"/>
      <c r="F462" s="131"/>
      <c r="G462" s="132"/>
      <c r="H462" s="133"/>
      <c r="I462" s="132"/>
      <c r="J462" s="133"/>
      <c r="K462" s="132"/>
      <c r="L462" s="131"/>
      <c r="M462" s="132"/>
      <c r="N462" s="134"/>
      <c r="O462" s="132"/>
      <c r="P462" s="134"/>
      <c r="Q462" s="132"/>
      <c r="R462" s="135"/>
      <c r="S462" s="132"/>
      <c r="T462" s="134"/>
      <c r="U462" s="131"/>
      <c r="V462" s="145"/>
      <c r="W462" s="131"/>
      <c r="X462" s="131"/>
      <c r="Y462" s="137"/>
      <c r="Z462" s="134"/>
      <c r="AA462" s="134"/>
      <c r="AB462" s="138"/>
      <c r="AC462" s="20"/>
      <c r="AD462" s="20"/>
      <c r="AE462" s="20"/>
      <c r="AF462" s="20"/>
      <c r="AG462" s="20"/>
      <c r="AH462" s="20"/>
      <c r="AI462" s="20"/>
      <c r="AJ462" s="20"/>
      <c r="AK462" s="20"/>
      <c r="AL462" s="20"/>
      <c r="AM462" s="20"/>
      <c r="AN462" s="20"/>
      <c r="AO462" s="20"/>
      <c r="AP462" s="20"/>
      <c r="AQ462" s="20"/>
      <c r="AR462" s="20"/>
      <c r="AS462" s="20"/>
      <c r="AT462" s="20"/>
      <c r="AU462" s="20"/>
      <c r="AV462" s="20"/>
    </row>
    <row r="463" spans="1:48" ht="17.25" hidden="1" customHeight="1">
      <c r="A463" s="130"/>
      <c r="B463" s="131"/>
      <c r="C463" s="131"/>
      <c r="D463" s="131"/>
      <c r="E463" s="15"/>
      <c r="F463" s="131"/>
      <c r="G463" s="132"/>
      <c r="H463" s="133"/>
      <c r="I463" s="132"/>
      <c r="J463" s="133"/>
      <c r="K463" s="132"/>
      <c r="L463" s="133"/>
      <c r="M463" s="132"/>
      <c r="N463" s="134"/>
      <c r="O463" s="132"/>
      <c r="P463" s="134"/>
      <c r="Q463" s="132"/>
      <c r="R463" s="135"/>
      <c r="S463" s="132"/>
      <c r="T463" s="134"/>
      <c r="U463" s="131"/>
      <c r="V463" s="145"/>
      <c r="W463" s="131"/>
      <c r="X463" s="131"/>
      <c r="Y463" s="137"/>
      <c r="Z463" s="134"/>
      <c r="AA463" s="134"/>
      <c r="AB463" s="138"/>
      <c r="AC463" s="20"/>
      <c r="AD463" s="20"/>
      <c r="AE463" s="20"/>
      <c r="AF463" s="20"/>
      <c r="AG463" s="20"/>
      <c r="AH463" s="20"/>
      <c r="AI463" s="20"/>
      <c r="AJ463" s="20"/>
      <c r="AK463" s="20"/>
      <c r="AL463" s="20"/>
      <c r="AM463" s="20"/>
      <c r="AN463" s="20"/>
      <c r="AO463" s="20"/>
      <c r="AP463" s="20"/>
      <c r="AQ463" s="20"/>
      <c r="AR463" s="20"/>
      <c r="AS463" s="20"/>
      <c r="AT463" s="20"/>
      <c r="AU463" s="20"/>
      <c r="AV463" s="20"/>
    </row>
    <row r="464" spans="1:48" ht="17.25" hidden="1" customHeight="1">
      <c r="A464" s="130"/>
      <c r="B464" s="131"/>
      <c r="C464" s="131"/>
      <c r="D464" s="131"/>
      <c r="E464" s="15"/>
      <c r="F464" s="131"/>
      <c r="G464" s="132"/>
      <c r="H464" s="133"/>
      <c r="I464" s="132"/>
      <c r="J464" s="133"/>
      <c r="K464" s="132"/>
      <c r="L464" s="131"/>
      <c r="M464" s="132"/>
      <c r="N464" s="134"/>
      <c r="O464" s="132"/>
      <c r="P464" s="134"/>
      <c r="Q464" s="132"/>
      <c r="R464" s="135"/>
      <c r="S464" s="132"/>
      <c r="T464" s="134"/>
      <c r="U464" s="131"/>
      <c r="V464" s="145"/>
      <c r="W464" s="131"/>
      <c r="X464" s="131"/>
      <c r="Y464" s="137"/>
      <c r="Z464" s="134"/>
      <c r="AA464" s="134"/>
      <c r="AB464" s="138"/>
      <c r="AC464" s="20"/>
      <c r="AD464" s="20"/>
      <c r="AE464" s="20"/>
      <c r="AF464" s="20"/>
      <c r="AG464" s="20"/>
      <c r="AH464" s="20"/>
      <c r="AI464" s="20"/>
      <c r="AJ464" s="20"/>
      <c r="AK464" s="20"/>
      <c r="AL464" s="20"/>
      <c r="AM464" s="20"/>
      <c r="AN464" s="20"/>
      <c r="AO464" s="20"/>
      <c r="AP464" s="20"/>
      <c r="AQ464" s="20"/>
      <c r="AR464" s="20"/>
      <c r="AS464" s="20"/>
      <c r="AT464" s="20"/>
      <c r="AU464" s="20"/>
      <c r="AV464" s="20"/>
    </row>
    <row r="465" spans="1:48" ht="17.25" hidden="1" customHeight="1">
      <c r="A465" s="130"/>
      <c r="B465" s="131"/>
      <c r="C465" s="131"/>
      <c r="D465" s="131"/>
      <c r="E465" s="15"/>
      <c r="F465" s="131"/>
      <c r="G465" s="132"/>
      <c r="H465" s="133"/>
      <c r="I465" s="132"/>
      <c r="J465" s="133"/>
      <c r="K465" s="132"/>
      <c r="L465" s="131"/>
      <c r="M465" s="132"/>
      <c r="N465" s="134"/>
      <c r="O465" s="132"/>
      <c r="P465" s="134"/>
      <c r="Q465" s="132"/>
      <c r="R465" s="135"/>
      <c r="S465" s="132"/>
      <c r="T465" s="134"/>
      <c r="U465" s="131"/>
      <c r="V465" s="145"/>
      <c r="W465" s="131"/>
      <c r="X465" s="131"/>
      <c r="Y465" s="137"/>
      <c r="Z465" s="134"/>
      <c r="AA465" s="134"/>
      <c r="AB465" s="138"/>
      <c r="AC465" s="20"/>
      <c r="AD465" s="20"/>
      <c r="AE465" s="20"/>
      <c r="AF465" s="20"/>
      <c r="AG465" s="20"/>
      <c r="AH465" s="20"/>
      <c r="AI465" s="20"/>
      <c r="AJ465" s="20"/>
      <c r="AK465" s="20"/>
      <c r="AL465" s="20"/>
      <c r="AM465" s="20"/>
      <c r="AN465" s="20"/>
      <c r="AO465" s="20"/>
      <c r="AP465" s="20"/>
      <c r="AQ465" s="20"/>
      <c r="AR465" s="20"/>
      <c r="AS465" s="20"/>
      <c r="AT465" s="20"/>
      <c r="AU465" s="20"/>
      <c r="AV465" s="20"/>
    </row>
    <row r="466" spans="1:48" ht="17.25" hidden="1" customHeight="1">
      <c r="A466" s="130"/>
      <c r="B466" s="131"/>
      <c r="C466" s="131"/>
      <c r="D466" s="131"/>
      <c r="E466" s="15"/>
      <c r="F466" s="131"/>
      <c r="G466" s="132"/>
      <c r="H466" s="133"/>
      <c r="I466" s="132"/>
      <c r="J466" s="133"/>
      <c r="K466" s="132"/>
      <c r="L466" s="131"/>
      <c r="M466" s="132"/>
      <c r="N466" s="134"/>
      <c r="O466" s="132"/>
      <c r="P466" s="134"/>
      <c r="Q466" s="132"/>
      <c r="R466" s="135"/>
      <c r="S466" s="132"/>
      <c r="T466" s="134"/>
      <c r="U466" s="131"/>
      <c r="V466" s="145"/>
      <c r="W466" s="131"/>
      <c r="X466" s="131"/>
      <c r="Y466" s="137"/>
      <c r="Z466" s="134"/>
      <c r="AA466" s="134"/>
      <c r="AB466" s="138"/>
      <c r="AC466" s="20"/>
      <c r="AD466" s="20"/>
      <c r="AE466" s="20"/>
      <c r="AF466" s="20"/>
      <c r="AG466" s="20"/>
      <c r="AH466" s="20"/>
      <c r="AI466" s="20"/>
      <c r="AJ466" s="20"/>
      <c r="AK466" s="20"/>
      <c r="AL466" s="20"/>
      <c r="AM466" s="20"/>
      <c r="AN466" s="20"/>
      <c r="AO466" s="20"/>
      <c r="AP466" s="20"/>
      <c r="AQ466" s="20"/>
      <c r="AR466" s="20"/>
      <c r="AS466" s="20"/>
      <c r="AT466" s="20"/>
      <c r="AU466" s="20"/>
      <c r="AV466" s="20"/>
    </row>
    <row r="467" spans="1:48" ht="17.25" hidden="1" customHeight="1">
      <c r="A467" s="130"/>
      <c r="B467" s="131"/>
      <c r="C467" s="131"/>
      <c r="D467" s="131"/>
      <c r="E467" s="15"/>
      <c r="F467" s="131"/>
      <c r="G467" s="132"/>
      <c r="H467" s="133"/>
      <c r="I467" s="132"/>
      <c r="J467" s="133"/>
      <c r="K467" s="132"/>
      <c r="L467" s="133"/>
      <c r="M467" s="132"/>
      <c r="N467" s="134"/>
      <c r="O467" s="132"/>
      <c r="P467" s="134"/>
      <c r="Q467" s="132"/>
      <c r="R467" s="135"/>
      <c r="S467" s="132"/>
      <c r="T467" s="134"/>
      <c r="U467" s="131"/>
      <c r="V467" s="155"/>
      <c r="W467" s="131"/>
      <c r="X467" s="131"/>
      <c r="Y467" s="137"/>
      <c r="Z467" s="134"/>
      <c r="AA467" s="134"/>
      <c r="AB467" s="138"/>
      <c r="AC467" s="20"/>
      <c r="AD467" s="20"/>
      <c r="AE467" s="20"/>
      <c r="AF467" s="20"/>
      <c r="AG467" s="20"/>
      <c r="AH467" s="20"/>
      <c r="AI467" s="20"/>
      <c r="AJ467" s="20"/>
      <c r="AK467" s="20"/>
      <c r="AL467" s="20"/>
      <c r="AM467" s="20"/>
      <c r="AN467" s="20"/>
      <c r="AO467" s="20"/>
      <c r="AP467" s="20"/>
      <c r="AQ467" s="20"/>
      <c r="AR467" s="20"/>
      <c r="AS467" s="20"/>
      <c r="AT467" s="20"/>
      <c r="AU467" s="20"/>
      <c r="AV467" s="20"/>
    </row>
    <row r="468" spans="1:48" ht="17.25" hidden="1" customHeight="1">
      <c r="A468" s="130"/>
      <c r="B468" s="131"/>
      <c r="C468" s="131"/>
      <c r="D468" s="131"/>
      <c r="E468" s="15"/>
      <c r="F468" s="131"/>
      <c r="G468" s="132"/>
      <c r="H468" s="133"/>
      <c r="I468" s="132"/>
      <c r="J468" s="133"/>
      <c r="K468" s="132"/>
      <c r="L468" s="133"/>
      <c r="M468" s="132"/>
      <c r="N468" s="134"/>
      <c r="O468" s="132"/>
      <c r="P468" s="134"/>
      <c r="Q468" s="132"/>
      <c r="R468" s="135"/>
      <c r="S468" s="132"/>
      <c r="T468" s="134"/>
      <c r="U468" s="131"/>
      <c r="V468" s="156"/>
      <c r="W468" s="131"/>
      <c r="X468" s="131"/>
      <c r="Y468" s="137"/>
      <c r="Z468" s="134"/>
      <c r="AA468" s="134"/>
      <c r="AB468" s="138"/>
      <c r="AC468" s="20"/>
      <c r="AD468" s="20"/>
      <c r="AE468" s="20"/>
      <c r="AF468" s="20"/>
      <c r="AG468" s="20"/>
      <c r="AH468" s="20"/>
      <c r="AI468" s="20"/>
      <c r="AJ468" s="20"/>
      <c r="AK468" s="20"/>
      <c r="AL468" s="20"/>
      <c r="AM468" s="20"/>
      <c r="AN468" s="20"/>
      <c r="AO468" s="20"/>
      <c r="AP468" s="20"/>
      <c r="AQ468" s="20"/>
      <c r="AR468" s="20"/>
      <c r="AS468" s="20"/>
      <c r="AT468" s="20"/>
      <c r="AU468" s="20"/>
      <c r="AV468" s="20"/>
    </row>
    <row r="469" spans="1:48" ht="17.25" hidden="1" customHeight="1">
      <c r="A469" s="130"/>
      <c r="B469" s="131"/>
      <c r="C469" s="131"/>
      <c r="D469" s="131"/>
      <c r="E469" s="15"/>
      <c r="F469" s="131"/>
      <c r="G469" s="132"/>
      <c r="H469" s="133"/>
      <c r="I469" s="132"/>
      <c r="J469" s="133"/>
      <c r="K469" s="132"/>
      <c r="L469" s="133"/>
      <c r="M469" s="132"/>
      <c r="N469" s="134"/>
      <c r="O469" s="132"/>
      <c r="P469" s="134"/>
      <c r="Q469" s="132"/>
      <c r="R469" s="135"/>
      <c r="S469" s="132"/>
      <c r="T469" s="134"/>
      <c r="U469" s="131"/>
      <c r="V469" s="148"/>
      <c r="W469" s="131"/>
      <c r="X469" s="131"/>
      <c r="Y469" s="137"/>
      <c r="Z469" s="134"/>
      <c r="AA469" s="134"/>
      <c r="AB469" s="138"/>
      <c r="AC469" s="20"/>
      <c r="AD469" s="20"/>
      <c r="AE469" s="20"/>
      <c r="AF469" s="20"/>
      <c r="AG469" s="20"/>
      <c r="AH469" s="20"/>
      <c r="AI469" s="20"/>
      <c r="AJ469" s="20"/>
      <c r="AK469" s="20"/>
      <c r="AL469" s="20"/>
      <c r="AM469" s="20"/>
      <c r="AN469" s="20"/>
      <c r="AO469" s="20"/>
      <c r="AP469" s="20"/>
      <c r="AQ469" s="20"/>
      <c r="AR469" s="20"/>
      <c r="AS469" s="20"/>
      <c r="AT469" s="20"/>
      <c r="AU469" s="20"/>
      <c r="AV469" s="20"/>
    </row>
    <row r="470" spans="1:48" ht="17.25" hidden="1" customHeight="1">
      <c r="A470" s="130"/>
      <c r="B470" s="131"/>
      <c r="C470" s="131"/>
      <c r="D470" s="131"/>
      <c r="E470" s="15"/>
      <c r="F470" s="131"/>
      <c r="G470" s="132"/>
      <c r="H470" s="133"/>
      <c r="I470" s="132"/>
      <c r="J470" s="133"/>
      <c r="K470" s="132"/>
      <c r="L470" s="133"/>
      <c r="M470" s="132"/>
      <c r="N470" s="134"/>
      <c r="O470" s="132"/>
      <c r="P470" s="134"/>
      <c r="Q470" s="132"/>
      <c r="R470" s="135"/>
      <c r="S470" s="132"/>
      <c r="T470" s="134"/>
      <c r="U470" s="131"/>
      <c r="V470" s="148"/>
      <c r="W470" s="131"/>
      <c r="X470" s="131"/>
      <c r="Y470" s="137"/>
      <c r="Z470" s="134"/>
      <c r="AA470" s="134"/>
      <c r="AB470" s="138"/>
      <c r="AC470" s="20"/>
      <c r="AD470" s="20"/>
      <c r="AE470" s="20"/>
      <c r="AF470" s="20"/>
      <c r="AG470" s="20"/>
      <c r="AH470" s="20"/>
      <c r="AI470" s="20"/>
      <c r="AJ470" s="20"/>
      <c r="AK470" s="20"/>
      <c r="AL470" s="20"/>
      <c r="AM470" s="20"/>
      <c r="AN470" s="20"/>
      <c r="AO470" s="20"/>
      <c r="AP470" s="20"/>
      <c r="AQ470" s="20"/>
      <c r="AR470" s="20"/>
      <c r="AS470" s="20"/>
      <c r="AT470" s="20"/>
      <c r="AU470" s="20"/>
      <c r="AV470" s="20"/>
    </row>
    <row r="471" spans="1:48" ht="17.25" hidden="1" customHeight="1">
      <c r="A471" s="130"/>
      <c r="B471" s="131"/>
      <c r="C471" s="131"/>
      <c r="D471" s="131"/>
      <c r="E471" s="15"/>
      <c r="F471" s="131"/>
      <c r="G471" s="132"/>
      <c r="H471" s="133"/>
      <c r="I471" s="132"/>
      <c r="J471" s="133"/>
      <c r="K471" s="132"/>
      <c r="L471" s="133"/>
      <c r="M471" s="132"/>
      <c r="N471" s="134"/>
      <c r="O471" s="132"/>
      <c r="P471" s="134"/>
      <c r="Q471" s="132"/>
      <c r="R471" s="135"/>
      <c r="S471" s="132"/>
      <c r="T471" s="134"/>
      <c r="U471" s="131"/>
      <c r="V471" s="148"/>
      <c r="W471" s="131"/>
      <c r="X471" s="131"/>
      <c r="Y471" s="137"/>
      <c r="Z471" s="134"/>
      <c r="AA471" s="134"/>
      <c r="AB471" s="138"/>
      <c r="AC471" s="20"/>
      <c r="AD471" s="20"/>
      <c r="AE471" s="20"/>
      <c r="AF471" s="20"/>
      <c r="AG471" s="20"/>
      <c r="AH471" s="20"/>
      <c r="AI471" s="20"/>
      <c r="AJ471" s="20"/>
      <c r="AK471" s="20"/>
      <c r="AL471" s="20"/>
      <c r="AM471" s="20"/>
      <c r="AN471" s="20"/>
      <c r="AO471" s="20"/>
      <c r="AP471" s="20"/>
      <c r="AQ471" s="20"/>
      <c r="AR471" s="20"/>
      <c r="AS471" s="20"/>
      <c r="AT471" s="20"/>
      <c r="AU471" s="20"/>
      <c r="AV471" s="20"/>
    </row>
    <row r="472" spans="1:48" ht="17.25" hidden="1" customHeight="1">
      <c r="A472" s="130"/>
      <c r="B472" s="131"/>
      <c r="C472" s="131"/>
      <c r="D472" s="131"/>
      <c r="E472" s="15"/>
      <c r="F472" s="131"/>
      <c r="G472" s="132"/>
      <c r="H472" s="133"/>
      <c r="I472" s="132"/>
      <c r="J472" s="133"/>
      <c r="K472" s="132"/>
      <c r="L472" s="133"/>
      <c r="M472" s="132"/>
      <c r="N472" s="134"/>
      <c r="O472" s="132"/>
      <c r="P472" s="134"/>
      <c r="Q472" s="132"/>
      <c r="R472" s="135"/>
      <c r="S472" s="132"/>
      <c r="T472" s="134"/>
      <c r="U472" s="131"/>
      <c r="V472" s="148"/>
      <c r="W472" s="131"/>
      <c r="X472" s="131"/>
      <c r="Y472" s="137"/>
      <c r="Z472" s="134"/>
      <c r="AA472" s="134"/>
      <c r="AB472" s="138"/>
      <c r="AC472" s="20"/>
      <c r="AD472" s="20"/>
      <c r="AE472" s="20"/>
      <c r="AF472" s="20"/>
      <c r="AG472" s="20"/>
      <c r="AH472" s="20"/>
      <c r="AI472" s="20"/>
      <c r="AJ472" s="20"/>
      <c r="AK472" s="20"/>
      <c r="AL472" s="20"/>
      <c r="AM472" s="20"/>
      <c r="AN472" s="20"/>
      <c r="AO472" s="20"/>
      <c r="AP472" s="20"/>
      <c r="AQ472" s="20"/>
      <c r="AR472" s="20"/>
      <c r="AS472" s="20"/>
      <c r="AT472" s="20"/>
      <c r="AU472" s="20"/>
      <c r="AV472" s="20"/>
    </row>
    <row r="473" spans="1:48" ht="17.25" hidden="1" customHeight="1">
      <c r="A473" s="130"/>
      <c r="B473" s="131"/>
      <c r="C473" s="131"/>
      <c r="D473" s="131"/>
      <c r="E473" s="15"/>
      <c r="F473" s="131"/>
      <c r="G473" s="132"/>
      <c r="H473" s="133"/>
      <c r="I473" s="132"/>
      <c r="J473" s="133"/>
      <c r="K473" s="132"/>
      <c r="L473" s="133"/>
      <c r="M473" s="132"/>
      <c r="N473" s="134"/>
      <c r="O473" s="132"/>
      <c r="P473" s="134"/>
      <c r="Q473" s="132"/>
      <c r="R473" s="135"/>
      <c r="S473" s="132"/>
      <c r="T473" s="134"/>
      <c r="U473" s="131"/>
      <c r="V473" s="148"/>
      <c r="W473" s="131"/>
      <c r="X473" s="131"/>
      <c r="Y473" s="137"/>
      <c r="Z473" s="134"/>
      <c r="AA473" s="134"/>
      <c r="AB473" s="138"/>
      <c r="AC473" s="20"/>
      <c r="AD473" s="20"/>
      <c r="AE473" s="20"/>
      <c r="AF473" s="20"/>
      <c r="AG473" s="20"/>
      <c r="AH473" s="20"/>
      <c r="AI473" s="20"/>
      <c r="AJ473" s="20"/>
      <c r="AK473" s="20"/>
      <c r="AL473" s="20"/>
      <c r="AM473" s="20"/>
      <c r="AN473" s="20"/>
      <c r="AO473" s="20"/>
      <c r="AP473" s="20"/>
      <c r="AQ473" s="20"/>
      <c r="AR473" s="20"/>
      <c r="AS473" s="20"/>
      <c r="AT473" s="20"/>
      <c r="AU473" s="20"/>
      <c r="AV473" s="20"/>
    </row>
    <row r="474" spans="1:48" ht="17.25" hidden="1" customHeight="1">
      <c r="A474" s="130"/>
      <c r="B474" s="131"/>
      <c r="C474" s="131"/>
      <c r="D474" s="131"/>
      <c r="E474" s="15"/>
      <c r="F474" s="131"/>
      <c r="G474" s="132"/>
      <c r="H474" s="133"/>
      <c r="I474" s="132"/>
      <c r="J474" s="133"/>
      <c r="K474" s="132"/>
      <c r="L474" s="133"/>
      <c r="M474" s="132"/>
      <c r="N474" s="134"/>
      <c r="O474" s="132"/>
      <c r="P474" s="134"/>
      <c r="Q474" s="132"/>
      <c r="R474" s="135"/>
      <c r="S474" s="132"/>
      <c r="T474" s="134"/>
      <c r="U474" s="131"/>
      <c r="V474" s="148"/>
      <c r="W474" s="131"/>
      <c r="X474" s="131"/>
      <c r="Y474" s="137"/>
      <c r="Z474" s="134"/>
      <c r="AA474" s="134"/>
      <c r="AB474" s="138"/>
      <c r="AC474" s="20"/>
      <c r="AD474" s="20"/>
      <c r="AE474" s="20"/>
      <c r="AF474" s="20"/>
      <c r="AG474" s="20"/>
      <c r="AH474" s="20"/>
      <c r="AI474" s="20"/>
      <c r="AJ474" s="20"/>
      <c r="AK474" s="20"/>
      <c r="AL474" s="20"/>
      <c r="AM474" s="20"/>
      <c r="AN474" s="20"/>
      <c r="AO474" s="20"/>
      <c r="AP474" s="20"/>
      <c r="AQ474" s="20"/>
      <c r="AR474" s="20"/>
      <c r="AS474" s="20"/>
      <c r="AT474" s="20"/>
      <c r="AU474" s="20"/>
      <c r="AV474" s="20"/>
    </row>
    <row r="475" spans="1:48" ht="17.25" hidden="1" customHeight="1">
      <c r="A475" s="130"/>
      <c r="B475" s="131"/>
      <c r="C475" s="131"/>
      <c r="D475" s="131"/>
      <c r="E475" s="15"/>
      <c r="F475" s="131"/>
      <c r="G475" s="132"/>
      <c r="H475" s="133"/>
      <c r="I475" s="132"/>
      <c r="J475" s="133"/>
      <c r="K475" s="132"/>
      <c r="L475" s="133"/>
      <c r="M475" s="132"/>
      <c r="N475" s="134"/>
      <c r="O475" s="132"/>
      <c r="P475" s="134"/>
      <c r="Q475" s="132"/>
      <c r="R475" s="135"/>
      <c r="S475" s="132"/>
      <c r="T475" s="134"/>
      <c r="U475" s="131"/>
      <c r="V475" s="148"/>
      <c r="W475" s="131"/>
      <c r="X475" s="131"/>
      <c r="Y475" s="137"/>
      <c r="Z475" s="134"/>
      <c r="AA475" s="134"/>
      <c r="AB475" s="138"/>
      <c r="AC475" s="20"/>
      <c r="AD475" s="20"/>
      <c r="AE475" s="20"/>
      <c r="AF475" s="20"/>
      <c r="AG475" s="20"/>
      <c r="AH475" s="20"/>
      <c r="AI475" s="20"/>
      <c r="AJ475" s="20"/>
      <c r="AK475" s="20"/>
      <c r="AL475" s="20"/>
      <c r="AM475" s="20"/>
      <c r="AN475" s="20"/>
      <c r="AO475" s="20"/>
      <c r="AP475" s="20"/>
      <c r="AQ475" s="20"/>
      <c r="AR475" s="20"/>
      <c r="AS475" s="20"/>
      <c r="AT475" s="20"/>
      <c r="AU475" s="20"/>
      <c r="AV475" s="20"/>
    </row>
    <row r="476" spans="1:48" ht="17.25" hidden="1" customHeight="1">
      <c r="A476" s="130"/>
      <c r="B476" s="131"/>
      <c r="C476" s="131"/>
      <c r="D476" s="131"/>
      <c r="E476" s="15"/>
      <c r="F476" s="131"/>
      <c r="G476" s="132"/>
      <c r="H476" s="133"/>
      <c r="I476" s="132"/>
      <c r="J476" s="133"/>
      <c r="K476" s="132"/>
      <c r="L476" s="133"/>
      <c r="M476" s="132"/>
      <c r="N476" s="134"/>
      <c r="O476" s="132"/>
      <c r="P476" s="134"/>
      <c r="Q476" s="132"/>
      <c r="R476" s="135"/>
      <c r="S476" s="132"/>
      <c r="T476" s="134"/>
      <c r="U476" s="131"/>
      <c r="V476" s="139"/>
      <c r="W476" s="131"/>
      <c r="X476" s="131"/>
      <c r="Y476" s="137"/>
      <c r="Z476" s="134"/>
      <c r="AA476" s="134"/>
      <c r="AB476" s="138"/>
      <c r="AC476" s="20"/>
      <c r="AD476" s="20"/>
      <c r="AE476" s="20"/>
      <c r="AF476" s="20"/>
      <c r="AG476" s="20"/>
      <c r="AH476" s="20"/>
      <c r="AI476" s="20"/>
      <c r="AJ476" s="20"/>
      <c r="AK476" s="20"/>
      <c r="AL476" s="20"/>
      <c r="AM476" s="20"/>
      <c r="AN476" s="20"/>
      <c r="AO476" s="20"/>
      <c r="AP476" s="20"/>
      <c r="AQ476" s="20"/>
      <c r="AR476" s="20"/>
      <c r="AS476" s="20"/>
      <c r="AT476" s="20"/>
      <c r="AU476" s="20"/>
      <c r="AV476" s="20"/>
    </row>
    <row r="477" spans="1:48" ht="17.25" hidden="1" customHeight="1">
      <c r="A477" s="130"/>
      <c r="B477" s="131"/>
      <c r="C477" s="131"/>
      <c r="D477" s="131"/>
      <c r="E477" s="15"/>
      <c r="F477" s="131"/>
      <c r="G477" s="132"/>
      <c r="H477" s="133"/>
      <c r="I477" s="132"/>
      <c r="J477" s="133"/>
      <c r="K477" s="132"/>
      <c r="L477" s="133"/>
      <c r="M477" s="132"/>
      <c r="N477" s="134"/>
      <c r="O477" s="132"/>
      <c r="P477" s="134"/>
      <c r="Q477" s="132"/>
      <c r="R477" s="135"/>
      <c r="S477" s="132"/>
      <c r="T477" s="134"/>
      <c r="U477" s="131"/>
      <c r="V477" s="136"/>
      <c r="W477" s="131"/>
      <c r="X477" s="131"/>
      <c r="Y477" s="137"/>
      <c r="Z477" s="134"/>
      <c r="AA477" s="134"/>
      <c r="AB477" s="138"/>
      <c r="AC477" s="20"/>
      <c r="AD477" s="20"/>
      <c r="AE477" s="20"/>
      <c r="AF477" s="20"/>
      <c r="AG477" s="20"/>
      <c r="AH477" s="20"/>
      <c r="AI477" s="20"/>
      <c r="AJ477" s="20"/>
      <c r="AK477" s="20"/>
      <c r="AL477" s="20"/>
      <c r="AM477" s="20"/>
      <c r="AN477" s="20"/>
      <c r="AO477" s="20"/>
      <c r="AP477" s="20"/>
      <c r="AQ477" s="20"/>
      <c r="AR477" s="20"/>
      <c r="AS477" s="20"/>
      <c r="AT477" s="20"/>
      <c r="AU477" s="20"/>
      <c r="AV477" s="20"/>
    </row>
    <row r="478" spans="1:48" ht="17.25" hidden="1" customHeight="1">
      <c r="A478" s="130"/>
      <c r="B478" s="131"/>
      <c r="C478" s="131"/>
      <c r="D478" s="131"/>
      <c r="E478" s="15"/>
      <c r="F478" s="131"/>
      <c r="G478" s="132"/>
      <c r="H478" s="133"/>
      <c r="I478" s="132"/>
      <c r="J478" s="133"/>
      <c r="K478" s="132"/>
      <c r="L478" s="133"/>
      <c r="M478" s="132"/>
      <c r="N478" s="134"/>
      <c r="O478" s="132"/>
      <c r="P478" s="134"/>
      <c r="Q478" s="132"/>
      <c r="R478" s="135"/>
      <c r="S478" s="132"/>
      <c r="T478" s="134"/>
      <c r="U478" s="131"/>
      <c r="V478" s="136"/>
      <c r="W478" s="131"/>
      <c r="X478" s="131"/>
      <c r="Y478" s="137"/>
      <c r="Z478" s="134"/>
      <c r="AA478" s="134"/>
      <c r="AB478" s="138"/>
      <c r="AC478" s="20"/>
      <c r="AD478" s="20"/>
      <c r="AE478" s="20"/>
      <c r="AF478" s="20"/>
      <c r="AG478" s="20"/>
      <c r="AH478" s="20"/>
      <c r="AI478" s="20"/>
      <c r="AJ478" s="20"/>
      <c r="AK478" s="20"/>
      <c r="AL478" s="20"/>
      <c r="AM478" s="20"/>
      <c r="AN478" s="20"/>
      <c r="AO478" s="20"/>
      <c r="AP478" s="20"/>
      <c r="AQ478" s="20"/>
      <c r="AR478" s="20"/>
      <c r="AS478" s="20"/>
      <c r="AT478" s="20"/>
      <c r="AU478" s="20"/>
      <c r="AV478" s="20"/>
    </row>
    <row r="479" spans="1:48" ht="17.25" hidden="1" customHeight="1">
      <c r="A479" s="130"/>
      <c r="B479" s="131"/>
      <c r="C479" s="131"/>
      <c r="D479" s="131"/>
      <c r="E479" s="15"/>
      <c r="F479" s="131"/>
      <c r="G479" s="132"/>
      <c r="H479" s="133"/>
      <c r="I479" s="132"/>
      <c r="J479" s="133"/>
      <c r="K479" s="132"/>
      <c r="L479" s="133"/>
      <c r="M479" s="132"/>
      <c r="N479" s="134"/>
      <c r="O479" s="132"/>
      <c r="P479" s="134"/>
      <c r="Q479" s="132"/>
      <c r="R479" s="135"/>
      <c r="S479" s="132"/>
      <c r="T479" s="134"/>
      <c r="U479" s="131"/>
      <c r="V479" s="136"/>
      <c r="W479" s="131"/>
      <c r="X479" s="131"/>
      <c r="Y479" s="137"/>
      <c r="Z479" s="134"/>
      <c r="AA479" s="134"/>
      <c r="AB479" s="138"/>
      <c r="AC479" s="20"/>
      <c r="AD479" s="20"/>
      <c r="AE479" s="20"/>
      <c r="AF479" s="20"/>
      <c r="AG479" s="20"/>
      <c r="AH479" s="20"/>
      <c r="AI479" s="20"/>
      <c r="AJ479" s="20"/>
      <c r="AK479" s="20"/>
      <c r="AL479" s="20"/>
      <c r="AM479" s="20"/>
      <c r="AN479" s="20"/>
      <c r="AO479" s="20"/>
      <c r="AP479" s="20"/>
      <c r="AQ479" s="20"/>
      <c r="AR479" s="20"/>
      <c r="AS479" s="20"/>
      <c r="AT479" s="20"/>
      <c r="AU479" s="20"/>
      <c r="AV479" s="20"/>
    </row>
    <row r="480" spans="1:48" ht="17.25" hidden="1" customHeight="1">
      <c r="A480" s="130"/>
      <c r="B480" s="131"/>
      <c r="C480" s="131"/>
      <c r="D480" s="131"/>
      <c r="E480" s="15"/>
      <c r="F480" s="131"/>
      <c r="G480" s="132"/>
      <c r="H480" s="133"/>
      <c r="I480" s="132"/>
      <c r="J480" s="133"/>
      <c r="K480" s="132"/>
      <c r="L480" s="133"/>
      <c r="M480" s="132"/>
      <c r="N480" s="134"/>
      <c r="O480" s="132"/>
      <c r="P480" s="134"/>
      <c r="Q480" s="132"/>
      <c r="R480" s="135"/>
      <c r="S480" s="132"/>
      <c r="T480" s="134"/>
      <c r="U480" s="131"/>
      <c r="V480" s="136"/>
      <c r="W480" s="131"/>
      <c r="X480" s="131"/>
      <c r="Y480" s="137"/>
      <c r="Z480" s="134"/>
      <c r="AA480" s="134"/>
      <c r="AB480" s="138"/>
      <c r="AC480" s="20"/>
      <c r="AD480" s="20"/>
      <c r="AE480" s="20"/>
      <c r="AF480" s="20"/>
      <c r="AG480" s="20"/>
      <c r="AH480" s="20"/>
      <c r="AI480" s="20"/>
      <c r="AJ480" s="20"/>
      <c r="AK480" s="20"/>
      <c r="AL480" s="20"/>
      <c r="AM480" s="20"/>
      <c r="AN480" s="20"/>
      <c r="AO480" s="20"/>
      <c r="AP480" s="20"/>
      <c r="AQ480" s="20"/>
      <c r="AR480" s="20"/>
      <c r="AS480" s="20"/>
      <c r="AT480" s="20"/>
      <c r="AU480" s="20"/>
      <c r="AV480" s="20"/>
    </row>
    <row r="481" spans="1:48" ht="17.25" hidden="1" customHeight="1">
      <c r="A481" s="130"/>
      <c r="B481" s="131"/>
      <c r="C481" s="131"/>
      <c r="D481" s="131"/>
      <c r="E481" s="15"/>
      <c r="F481" s="131"/>
      <c r="G481" s="132"/>
      <c r="H481" s="133"/>
      <c r="I481" s="132"/>
      <c r="J481" s="133"/>
      <c r="K481" s="132"/>
      <c r="L481" s="133"/>
      <c r="M481" s="132"/>
      <c r="N481" s="134"/>
      <c r="O481" s="132"/>
      <c r="P481" s="134"/>
      <c r="Q481" s="132"/>
      <c r="R481" s="135"/>
      <c r="S481" s="132"/>
      <c r="T481" s="134"/>
      <c r="U481" s="131"/>
      <c r="V481" s="136"/>
      <c r="W481" s="131"/>
      <c r="X481" s="131"/>
      <c r="Y481" s="137"/>
      <c r="Z481" s="134"/>
      <c r="AA481" s="134"/>
      <c r="AB481" s="138"/>
      <c r="AC481" s="20"/>
      <c r="AD481" s="20"/>
      <c r="AE481" s="20"/>
      <c r="AF481" s="20"/>
      <c r="AG481" s="20"/>
      <c r="AH481" s="20"/>
      <c r="AI481" s="20"/>
      <c r="AJ481" s="20"/>
      <c r="AK481" s="20"/>
      <c r="AL481" s="20"/>
      <c r="AM481" s="20"/>
      <c r="AN481" s="20"/>
      <c r="AO481" s="20"/>
      <c r="AP481" s="20"/>
      <c r="AQ481" s="20"/>
      <c r="AR481" s="20"/>
      <c r="AS481" s="20"/>
      <c r="AT481" s="20"/>
      <c r="AU481" s="20"/>
      <c r="AV481" s="20"/>
    </row>
    <row r="482" spans="1:48" ht="17.25" hidden="1" customHeight="1">
      <c r="A482" s="130"/>
      <c r="B482" s="131"/>
      <c r="C482" s="131"/>
      <c r="D482" s="131"/>
      <c r="E482" s="15"/>
      <c r="F482" s="131"/>
      <c r="G482" s="132"/>
      <c r="H482" s="133"/>
      <c r="I482" s="132"/>
      <c r="J482" s="133"/>
      <c r="K482" s="132"/>
      <c r="L482" s="133"/>
      <c r="M482" s="132"/>
      <c r="N482" s="134"/>
      <c r="O482" s="132"/>
      <c r="P482" s="134"/>
      <c r="Q482" s="132"/>
      <c r="R482" s="135"/>
      <c r="S482" s="132"/>
      <c r="T482" s="134"/>
      <c r="U482" s="131"/>
      <c r="V482" s="136"/>
      <c r="W482" s="131"/>
      <c r="X482" s="131"/>
      <c r="Y482" s="137"/>
      <c r="Z482" s="134"/>
      <c r="AA482" s="134"/>
      <c r="AB482" s="138"/>
      <c r="AC482" s="20"/>
      <c r="AD482" s="20"/>
      <c r="AE482" s="20"/>
      <c r="AF482" s="20"/>
      <c r="AG482" s="20"/>
      <c r="AH482" s="20"/>
      <c r="AI482" s="20"/>
      <c r="AJ482" s="20"/>
      <c r="AK482" s="20"/>
      <c r="AL482" s="20"/>
      <c r="AM482" s="20"/>
      <c r="AN482" s="20"/>
      <c r="AO482" s="20"/>
      <c r="AP482" s="20"/>
      <c r="AQ482" s="20"/>
      <c r="AR482" s="20"/>
      <c r="AS482" s="20"/>
      <c r="AT482" s="20"/>
      <c r="AU482" s="20"/>
      <c r="AV482" s="20"/>
    </row>
    <row r="483" spans="1:48" ht="17.25" hidden="1" customHeight="1">
      <c r="A483" s="130"/>
      <c r="B483" s="131"/>
      <c r="C483" s="131"/>
      <c r="D483" s="131"/>
      <c r="E483" s="15"/>
      <c r="F483" s="131"/>
      <c r="G483" s="132"/>
      <c r="H483" s="133"/>
      <c r="I483" s="132"/>
      <c r="J483" s="133"/>
      <c r="K483" s="132"/>
      <c r="L483" s="133"/>
      <c r="M483" s="132"/>
      <c r="N483" s="134"/>
      <c r="O483" s="132"/>
      <c r="P483" s="134"/>
      <c r="Q483" s="132"/>
      <c r="R483" s="135"/>
      <c r="S483" s="132"/>
      <c r="T483" s="134"/>
      <c r="U483" s="131"/>
      <c r="V483" s="136"/>
      <c r="W483" s="131"/>
      <c r="X483" s="131"/>
      <c r="Y483" s="137"/>
      <c r="Z483" s="134"/>
      <c r="AA483" s="134"/>
      <c r="AB483" s="138"/>
      <c r="AC483" s="20"/>
      <c r="AD483" s="20"/>
      <c r="AE483" s="20"/>
      <c r="AF483" s="20"/>
      <c r="AG483" s="20"/>
      <c r="AH483" s="20"/>
      <c r="AI483" s="20"/>
      <c r="AJ483" s="20"/>
      <c r="AK483" s="20"/>
      <c r="AL483" s="20"/>
      <c r="AM483" s="20"/>
      <c r="AN483" s="20"/>
      <c r="AO483" s="20"/>
      <c r="AP483" s="20"/>
      <c r="AQ483" s="20"/>
      <c r="AR483" s="20"/>
      <c r="AS483" s="20"/>
      <c r="AT483" s="20"/>
      <c r="AU483" s="20"/>
      <c r="AV483" s="20"/>
    </row>
    <row r="484" spans="1:48" ht="17.25" hidden="1" customHeight="1">
      <c r="A484" s="130"/>
      <c r="B484" s="131"/>
      <c r="C484" s="131"/>
      <c r="D484" s="131"/>
      <c r="E484" s="15"/>
      <c r="F484" s="131"/>
      <c r="G484" s="132"/>
      <c r="H484" s="133"/>
      <c r="I484" s="132"/>
      <c r="J484" s="133"/>
      <c r="K484" s="132"/>
      <c r="L484" s="133"/>
      <c r="M484" s="132"/>
      <c r="N484" s="134"/>
      <c r="O484" s="132"/>
      <c r="P484" s="134"/>
      <c r="Q484" s="132"/>
      <c r="R484" s="135"/>
      <c r="S484" s="132"/>
      <c r="T484" s="134"/>
      <c r="U484" s="131"/>
      <c r="V484" s="136"/>
      <c r="W484" s="131"/>
      <c r="X484" s="131"/>
      <c r="Y484" s="137"/>
      <c r="Z484" s="134"/>
      <c r="AA484" s="134"/>
      <c r="AB484" s="138"/>
      <c r="AC484" s="20"/>
      <c r="AD484" s="20"/>
      <c r="AE484" s="20"/>
      <c r="AF484" s="20"/>
      <c r="AG484" s="20"/>
      <c r="AH484" s="20"/>
      <c r="AI484" s="20"/>
      <c r="AJ484" s="20"/>
      <c r="AK484" s="20"/>
      <c r="AL484" s="20"/>
      <c r="AM484" s="20"/>
      <c r="AN484" s="20"/>
      <c r="AO484" s="20"/>
      <c r="AP484" s="20"/>
      <c r="AQ484" s="20"/>
      <c r="AR484" s="20"/>
      <c r="AS484" s="20"/>
      <c r="AT484" s="20"/>
      <c r="AU484" s="20"/>
      <c r="AV484" s="20"/>
    </row>
    <row r="485" spans="1:48" ht="17.25" hidden="1" customHeight="1">
      <c r="A485" s="130"/>
      <c r="B485" s="131"/>
      <c r="C485" s="131"/>
      <c r="D485" s="131"/>
      <c r="E485" s="15"/>
      <c r="F485" s="131"/>
      <c r="G485" s="132"/>
      <c r="H485" s="133"/>
      <c r="I485" s="132"/>
      <c r="J485" s="133"/>
      <c r="K485" s="132"/>
      <c r="L485" s="133"/>
      <c r="M485" s="132"/>
      <c r="N485" s="134"/>
      <c r="O485" s="132"/>
      <c r="P485" s="134"/>
      <c r="Q485" s="132"/>
      <c r="R485" s="135"/>
      <c r="S485" s="132"/>
      <c r="T485" s="134"/>
      <c r="U485" s="131"/>
      <c r="V485" s="141"/>
      <c r="W485" s="131"/>
      <c r="X485" s="131"/>
      <c r="Y485" s="137"/>
      <c r="Z485" s="134"/>
      <c r="AA485" s="134"/>
      <c r="AB485" s="138"/>
      <c r="AC485" s="20"/>
      <c r="AD485" s="20"/>
      <c r="AE485" s="20"/>
      <c r="AF485" s="20"/>
      <c r="AG485" s="20"/>
      <c r="AH485" s="20"/>
      <c r="AI485" s="20"/>
      <c r="AJ485" s="20"/>
      <c r="AK485" s="20"/>
      <c r="AL485" s="20"/>
      <c r="AM485" s="20"/>
      <c r="AN485" s="20"/>
      <c r="AO485" s="20"/>
      <c r="AP485" s="20"/>
      <c r="AQ485" s="20"/>
      <c r="AR485" s="20"/>
      <c r="AS485" s="20"/>
      <c r="AT485" s="20"/>
      <c r="AU485" s="20"/>
      <c r="AV485" s="20"/>
    </row>
    <row r="486" spans="1:48" ht="17.25" hidden="1" customHeight="1">
      <c r="A486" s="130"/>
      <c r="B486" s="131"/>
      <c r="C486" s="131"/>
      <c r="D486" s="131"/>
      <c r="E486" s="15"/>
      <c r="F486" s="131"/>
      <c r="G486" s="132"/>
      <c r="H486" s="133"/>
      <c r="I486" s="132"/>
      <c r="J486" s="133"/>
      <c r="K486" s="132"/>
      <c r="L486" s="133"/>
      <c r="M486" s="132"/>
      <c r="N486" s="134"/>
      <c r="O486" s="132"/>
      <c r="P486" s="134"/>
      <c r="Q486" s="132"/>
      <c r="R486" s="135"/>
      <c r="S486" s="132"/>
      <c r="T486" s="134"/>
      <c r="U486" s="131"/>
      <c r="V486" s="142"/>
      <c r="W486" s="131"/>
      <c r="X486" s="131"/>
      <c r="Y486" s="137"/>
      <c r="Z486" s="134"/>
      <c r="AA486" s="134"/>
      <c r="AB486" s="138"/>
      <c r="AC486" s="20"/>
      <c r="AD486" s="20"/>
      <c r="AE486" s="20"/>
      <c r="AF486" s="20"/>
      <c r="AG486" s="20"/>
      <c r="AH486" s="20"/>
      <c r="AI486" s="20"/>
      <c r="AJ486" s="20"/>
      <c r="AK486" s="20"/>
      <c r="AL486" s="20"/>
      <c r="AM486" s="20"/>
      <c r="AN486" s="20"/>
      <c r="AO486" s="20"/>
      <c r="AP486" s="20"/>
      <c r="AQ486" s="20"/>
      <c r="AR486" s="20"/>
      <c r="AS486" s="20"/>
      <c r="AT486" s="20"/>
      <c r="AU486" s="20"/>
      <c r="AV486" s="20"/>
    </row>
    <row r="487" spans="1:48" ht="17.25" hidden="1" customHeight="1">
      <c r="A487" s="130"/>
      <c r="B487" s="131"/>
      <c r="C487" s="131"/>
      <c r="D487" s="131"/>
      <c r="E487" s="15"/>
      <c r="F487" s="131"/>
      <c r="G487" s="132"/>
      <c r="H487" s="133"/>
      <c r="I487" s="132"/>
      <c r="J487" s="133"/>
      <c r="K487" s="132"/>
      <c r="L487" s="133"/>
      <c r="M487" s="132"/>
      <c r="N487" s="134"/>
      <c r="O487" s="132"/>
      <c r="P487" s="134"/>
      <c r="Q487" s="132"/>
      <c r="R487" s="135"/>
      <c r="S487" s="132"/>
      <c r="T487" s="134"/>
      <c r="U487" s="131"/>
      <c r="V487" s="140"/>
      <c r="W487" s="131"/>
      <c r="X487" s="131"/>
      <c r="Y487" s="137"/>
      <c r="Z487" s="134"/>
      <c r="AA487" s="134"/>
      <c r="AB487" s="138"/>
      <c r="AC487" s="20"/>
      <c r="AD487" s="20"/>
      <c r="AE487" s="20"/>
      <c r="AF487" s="20"/>
      <c r="AG487" s="20"/>
      <c r="AH487" s="20"/>
      <c r="AI487" s="20"/>
      <c r="AJ487" s="20"/>
      <c r="AK487" s="20"/>
      <c r="AL487" s="20"/>
      <c r="AM487" s="20"/>
      <c r="AN487" s="20"/>
      <c r="AO487" s="20"/>
      <c r="AP487" s="20"/>
      <c r="AQ487" s="20"/>
      <c r="AR487" s="20"/>
      <c r="AS487" s="20"/>
      <c r="AT487" s="20"/>
      <c r="AU487" s="20"/>
      <c r="AV487" s="20"/>
    </row>
    <row r="488" spans="1:48" ht="17.25" hidden="1" customHeight="1">
      <c r="A488" s="130"/>
      <c r="B488" s="131"/>
      <c r="C488" s="131"/>
      <c r="D488" s="131"/>
      <c r="E488" s="15"/>
      <c r="F488" s="131"/>
      <c r="G488" s="132"/>
      <c r="H488" s="133"/>
      <c r="I488" s="132"/>
      <c r="J488" s="133"/>
      <c r="K488" s="132"/>
      <c r="L488" s="133"/>
      <c r="M488" s="132"/>
      <c r="N488" s="134"/>
      <c r="O488" s="132"/>
      <c r="P488" s="134"/>
      <c r="Q488" s="132"/>
      <c r="R488" s="135"/>
      <c r="S488" s="132"/>
      <c r="T488" s="134"/>
      <c r="U488" s="131"/>
      <c r="V488" s="140"/>
      <c r="W488" s="131"/>
      <c r="X488" s="131"/>
      <c r="Y488" s="137"/>
      <c r="Z488" s="134"/>
      <c r="AA488" s="134"/>
      <c r="AB488" s="138"/>
      <c r="AC488" s="20"/>
      <c r="AD488" s="20"/>
      <c r="AE488" s="20"/>
      <c r="AF488" s="20"/>
      <c r="AG488" s="20"/>
      <c r="AH488" s="20"/>
      <c r="AI488" s="20"/>
      <c r="AJ488" s="20"/>
      <c r="AK488" s="20"/>
      <c r="AL488" s="20"/>
      <c r="AM488" s="20"/>
      <c r="AN488" s="20"/>
      <c r="AO488" s="20"/>
      <c r="AP488" s="20"/>
      <c r="AQ488" s="20"/>
      <c r="AR488" s="20"/>
      <c r="AS488" s="20"/>
      <c r="AT488" s="20"/>
      <c r="AU488" s="20"/>
      <c r="AV488" s="20"/>
    </row>
    <row r="489" spans="1:48" ht="17.25" hidden="1" customHeight="1">
      <c r="A489" s="130"/>
      <c r="B489" s="131"/>
      <c r="C489" s="131"/>
      <c r="D489" s="131"/>
      <c r="E489" s="15"/>
      <c r="F489" s="131"/>
      <c r="G489" s="132"/>
      <c r="H489" s="133"/>
      <c r="I489" s="132"/>
      <c r="J489" s="133"/>
      <c r="K489" s="132"/>
      <c r="L489" s="133"/>
      <c r="M489" s="132"/>
      <c r="N489" s="134"/>
      <c r="O489" s="132"/>
      <c r="P489" s="134"/>
      <c r="Q489" s="132"/>
      <c r="R489" s="135"/>
      <c r="S489" s="132"/>
      <c r="T489" s="134"/>
      <c r="U489" s="131"/>
      <c r="V489" s="140"/>
      <c r="W489" s="131"/>
      <c r="X489" s="131"/>
      <c r="Y489" s="137"/>
      <c r="Z489" s="134"/>
      <c r="AA489" s="134"/>
      <c r="AB489" s="138"/>
      <c r="AC489" s="20"/>
      <c r="AD489" s="20"/>
      <c r="AE489" s="20"/>
      <c r="AF489" s="20"/>
      <c r="AG489" s="20"/>
      <c r="AH489" s="20"/>
      <c r="AI489" s="20"/>
      <c r="AJ489" s="20"/>
      <c r="AK489" s="20"/>
      <c r="AL489" s="20"/>
      <c r="AM489" s="20"/>
      <c r="AN489" s="20"/>
      <c r="AO489" s="20"/>
      <c r="AP489" s="20"/>
      <c r="AQ489" s="20"/>
      <c r="AR489" s="20"/>
      <c r="AS489" s="20"/>
      <c r="AT489" s="20"/>
      <c r="AU489" s="20"/>
      <c r="AV489" s="20"/>
    </row>
    <row r="490" spans="1:48" ht="17.25" hidden="1" customHeight="1">
      <c r="A490" s="130"/>
      <c r="B490" s="131"/>
      <c r="C490" s="131"/>
      <c r="D490" s="131"/>
      <c r="E490" s="15"/>
      <c r="F490" s="131"/>
      <c r="G490" s="132"/>
      <c r="H490" s="133"/>
      <c r="I490" s="132"/>
      <c r="J490" s="133"/>
      <c r="K490" s="132"/>
      <c r="L490" s="133"/>
      <c r="M490" s="132"/>
      <c r="N490" s="134"/>
      <c r="O490" s="132"/>
      <c r="P490" s="134"/>
      <c r="Q490" s="132"/>
      <c r="R490" s="135"/>
      <c r="S490" s="132"/>
      <c r="T490" s="134"/>
      <c r="U490" s="131"/>
      <c r="V490" s="140"/>
      <c r="W490" s="131"/>
      <c r="X490" s="131"/>
      <c r="Y490" s="137"/>
      <c r="Z490" s="134"/>
      <c r="AA490" s="134"/>
      <c r="AB490" s="138"/>
      <c r="AC490" s="20"/>
      <c r="AD490" s="20"/>
      <c r="AE490" s="20"/>
      <c r="AF490" s="20"/>
      <c r="AG490" s="20"/>
      <c r="AH490" s="20"/>
      <c r="AI490" s="20"/>
      <c r="AJ490" s="20"/>
      <c r="AK490" s="20"/>
      <c r="AL490" s="20"/>
      <c r="AM490" s="20"/>
      <c r="AN490" s="20"/>
      <c r="AO490" s="20"/>
      <c r="AP490" s="20"/>
      <c r="AQ490" s="20"/>
      <c r="AR490" s="20"/>
      <c r="AS490" s="20"/>
      <c r="AT490" s="20"/>
      <c r="AU490" s="20"/>
      <c r="AV490" s="20"/>
    </row>
    <row r="491" spans="1:48" ht="17.25" hidden="1" customHeight="1">
      <c r="A491" s="130"/>
      <c r="B491" s="131"/>
      <c r="C491" s="131"/>
      <c r="D491" s="131"/>
      <c r="E491" s="15"/>
      <c r="F491" s="131"/>
      <c r="G491" s="132"/>
      <c r="H491" s="133"/>
      <c r="I491" s="132"/>
      <c r="J491" s="133"/>
      <c r="K491" s="132"/>
      <c r="L491" s="133"/>
      <c r="M491" s="132"/>
      <c r="N491" s="134"/>
      <c r="O491" s="132"/>
      <c r="P491" s="134"/>
      <c r="Q491" s="132"/>
      <c r="R491" s="135"/>
      <c r="S491" s="132"/>
      <c r="T491" s="134"/>
      <c r="U491" s="131"/>
      <c r="V491" s="140"/>
      <c r="W491" s="131"/>
      <c r="X491" s="131"/>
      <c r="Y491" s="137"/>
      <c r="Z491" s="134"/>
      <c r="AA491" s="134"/>
      <c r="AB491" s="138"/>
      <c r="AC491" s="20"/>
      <c r="AD491" s="20"/>
      <c r="AE491" s="20"/>
      <c r="AF491" s="20"/>
      <c r="AG491" s="20"/>
      <c r="AH491" s="20"/>
      <c r="AI491" s="20"/>
      <c r="AJ491" s="20"/>
      <c r="AK491" s="20"/>
      <c r="AL491" s="20"/>
      <c r="AM491" s="20"/>
      <c r="AN491" s="20"/>
      <c r="AO491" s="20"/>
      <c r="AP491" s="20"/>
      <c r="AQ491" s="20"/>
      <c r="AR491" s="20"/>
      <c r="AS491" s="20"/>
      <c r="AT491" s="20"/>
      <c r="AU491" s="20"/>
      <c r="AV491" s="20"/>
    </row>
    <row r="492" spans="1:48" ht="17.25" hidden="1" customHeight="1">
      <c r="A492" s="130"/>
      <c r="B492" s="131"/>
      <c r="C492" s="131"/>
      <c r="D492" s="131"/>
      <c r="E492" s="15"/>
      <c r="F492" s="131"/>
      <c r="G492" s="132"/>
      <c r="H492" s="133"/>
      <c r="I492" s="132"/>
      <c r="J492" s="133"/>
      <c r="K492" s="132"/>
      <c r="L492" s="133"/>
      <c r="M492" s="132"/>
      <c r="N492" s="134"/>
      <c r="O492" s="132"/>
      <c r="P492" s="134"/>
      <c r="Q492" s="132"/>
      <c r="R492" s="135"/>
      <c r="S492" s="132"/>
      <c r="T492" s="134"/>
      <c r="U492" s="131"/>
      <c r="V492" s="140"/>
      <c r="W492" s="131"/>
      <c r="X492" s="131"/>
      <c r="Y492" s="137"/>
      <c r="Z492" s="134"/>
      <c r="AA492" s="134"/>
      <c r="AB492" s="138"/>
      <c r="AC492" s="20"/>
      <c r="AD492" s="20"/>
      <c r="AE492" s="20"/>
      <c r="AF492" s="20"/>
      <c r="AG492" s="20"/>
      <c r="AH492" s="20"/>
      <c r="AI492" s="20"/>
      <c r="AJ492" s="20"/>
      <c r="AK492" s="20"/>
      <c r="AL492" s="20"/>
      <c r="AM492" s="20"/>
      <c r="AN492" s="20"/>
      <c r="AO492" s="20"/>
      <c r="AP492" s="20"/>
      <c r="AQ492" s="20"/>
      <c r="AR492" s="20"/>
      <c r="AS492" s="20"/>
      <c r="AT492" s="20"/>
      <c r="AU492" s="20"/>
      <c r="AV492" s="20"/>
    </row>
    <row r="493" spans="1:48" ht="17.25" hidden="1" customHeight="1">
      <c r="A493" s="130"/>
      <c r="B493" s="131"/>
      <c r="C493" s="131"/>
      <c r="D493" s="131"/>
      <c r="E493" s="15"/>
      <c r="F493" s="131"/>
      <c r="G493" s="132"/>
      <c r="H493" s="133"/>
      <c r="I493" s="132"/>
      <c r="J493" s="133"/>
      <c r="K493" s="132"/>
      <c r="L493" s="133"/>
      <c r="M493" s="132"/>
      <c r="N493" s="134"/>
      <c r="O493" s="132"/>
      <c r="P493" s="134"/>
      <c r="Q493" s="132"/>
      <c r="R493" s="135"/>
      <c r="S493" s="132"/>
      <c r="T493" s="134"/>
      <c r="U493" s="131"/>
      <c r="V493" s="140"/>
      <c r="W493" s="131"/>
      <c r="X493" s="131"/>
      <c r="Y493" s="137"/>
      <c r="Z493" s="134"/>
      <c r="AA493" s="134"/>
      <c r="AB493" s="138"/>
      <c r="AC493" s="20"/>
      <c r="AD493" s="20"/>
      <c r="AE493" s="20"/>
      <c r="AF493" s="20"/>
      <c r="AG493" s="20"/>
      <c r="AH493" s="20"/>
      <c r="AI493" s="20"/>
      <c r="AJ493" s="20"/>
      <c r="AK493" s="20"/>
      <c r="AL493" s="20"/>
      <c r="AM493" s="20"/>
      <c r="AN493" s="20"/>
      <c r="AO493" s="20"/>
      <c r="AP493" s="20"/>
      <c r="AQ493" s="20"/>
      <c r="AR493" s="20"/>
      <c r="AS493" s="20"/>
      <c r="AT493" s="20"/>
      <c r="AU493" s="20"/>
      <c r="AV493" s="20"/>
    </row>
    <row r="494" spans="1:48" ht="17.25" hidden="1" customHeight="1">
      <c r="A494" s="130"/>
      <c r="B494" s="131"/>
      <c r="C494" s="131"/>
      <c r="D494" s="131"/>
      <c r="E494" s="15"/>
      <c r="F494" s="131"/>
      <c r="G494" s="132"/>
      <c r="H494" s="133"/>
      <c r="I494" s="132"/>
      <c r="J494" s="133"/>
      <c r="K494" s="132"/>
      <c r="L494" s="133"/>
      <c r="M494" s="132"/>
      <c r="N494" s="134"/>
      <c r="O494" s="132"/>
      <c r="P494" s="134"/>
      <c r="Q494" s="132"/>
      <c r="R494" s="135"/>
      <c r="S494" s="132"/>
      <c r="T494" s="134"/>
      <c r="U494" s="131"/>
      <c r="V494" s="157"/>
      <c r="W494" s="131"/>
      <c r="X494" s="131"/>
      <c r="Y494" s="137"/>
      <c r="Z494" s="134"/>
      <c r="AA494" s="134"/>
      <c r="AB494" s="138"/>
      <c r="AC494" s="20"/>
      <c r="AD494" s="20"/>
      <c r="AE494" s="20"/>
      <c r="AF494" s="20"/>
      <c r="AG494" s="20"/>
      <c r="AH494" s="20"/>
      <c r="AI494" s="20"/>
      <c r="AJ494" s="20"/>
      <c r="AK494" s="20"/>
      <c r="AL494" s="20"/>
      <c r="AM494" s="20"/>
      <c r="AN494" s="20"/>
      <c r="AO494" s="20"/>
      <c r="AP494" s="20"/>
      <c r="AQ494" s="20"/>
      <c r="AR494" s="20"/>
      <c r="AS494" s="20"/>
      <c r="AT494" s="20"/>
      <c r="AU494" s="20"/>
      <c r="AV494" s="20"/>
    </row>
    <row r="495" spans="1:48" ht="17.25" hidden="1" customHeight="1">
      <c r="A495" s="130"/>
      <c r="B495" s="131"/>
      <c r="C495" s="131"/>
      <c r="D495" s="131"/>
      <c r="E495" s="15"/>
      <c r="F495" s="131"/>
      <c r="G495" s="132"/>
      <c r="H495" s="133"/>
      <c r="I495" s="132"/>
      <c r="J495" s="133"/>
      <c r="K495" s="132"/>
      <c r="L495" s="133"/>
      <c r="M495" s="132"/>
      <c r="N495" s="134"/>
      <c r="O495" s="132"/>
      <c r="P495" s="134"/>
      <c r="Q495" s="132"/>
      <c r="R495" s="135"/>
      <c r="S495" s="132"/>
      <c r="T495" s="134"/>
      <c r="U495" s="131"/>
      <c r="V495" s="158"/>
      <c r="W495" s="131"/>
      <c r="X495" s="131"/>
      <c r="Y495" s="137"/>
      <c r="Z495" s="134"/>
      <c r="AA495" s="134"/>
      <c r="AB495" s="138"/>
      <c r="AC495" s="20"/>
      <c r="AD495" s="20"/>
      <c r="AE495" s="20"/>
      <c r="AF495" s="20"/>
      <c r="AG495" s="20"/>
      <c r="AH495" s="20"/>
      <c r="AI495" s="20"/>
      <c r="AJ495" s="20"/>
      <c r="AK495" s="20"/>
      <c r="AL495" s="20"/>
      <c r="AM495" s="20"/>
      <c r="AN495" s="20"/>
      <c r="AO495" s="20"/>
      <c r="AP495" s="20"/>
      <c r="AQ495" s="20"/>
      <c r="AR495" s="20"/>
      <c r="AS495" s="20"/>
      <c r="AT495" s="20"/>
      <c r="AU495" s="20"/>
      <c r="AV495" s="20"/>
    </row>
    <row r="496" spans="1:48" ht="17.25" hidden="1" customHeight="1">
      <c r="A496" s="130"/>
      <c r="B496" s="131"/>
      <c r="C496" s="131"/>
      <c r="D496" s="131"/>
      <c r="E496" s="15"/>
      <c r="F496" s="131"/>
      <c r="G496" s="132"/>
      <c r="H496" s="133"/>
      <c r="I496" s="132"/>
      <c r="J496" s="133"/>
      <c r="K496" s="132"/>
      <c r="L496" s="133"/>
      <c r="M496" s="132"/>
      <c r="N496" s="134"/>
      <c r="O496" s="132"/>
      <c r="P496" s="134"/>
      <c r="Q496" s="132"/>
      <c r="R496" s="135"/>
      <c r="S496" s="132"/>
      <c r="T496" s="134"/>
      <c r="U496" s="131"/>
      <c r="V496" s="142"/>
      <c r="W496" s="131"/>
      <c r="X496" s="131"/>
      <c r="Y496" s="137"/>
      <c r="Z496" s="134"/>
      <c r="AA496" s="134"/>
      <c r="AB496" s="138"/>
      <c r="AC496" s="20"/>
      <c r="AD496" s="20"/>
      <c r="AE496" s="20"/>
      <c r="AF496" s="20"/>
      <c r="AG496" s="20"/>
      <c r="AH496" s="20"/>
      <c r="AI496" s="20"/>
      <c r="AJ496" s="20"/>
      <c r="AK496" s="20"/>
      <c r="AL496" s="20"/>
      <c r="AM496" s="20"/>
      <c r="AN496" s="20"/>
      <c r="AO496" s="20"/>
      <c r="AP496" s="20"/>
      <c r="AQ496" s="20"/>
      <c r="AR496" s="20"/>
      <c r="AS496" s="20"/>
      <c r="AT496" s="20"/>
      <c r="AU496" s="20"/>
      <c r="AV496" s="20"/>
    </row>
    <row r="497" spans="1:48" ht="17.25" hidden="1" customHeight="1">
      <c r="A497" s="130"/>
      <c r="B497" s="131"/>
      <c r="C497" s="131"/>
      <c r="D497" s="131"/>
      <c r="E497" s="15"/>
      <c r="F497" s="131"/>
      <c r="G497" s="132"/>
      <c r="H497" s="133"/>
      <c r="I497" s="132"/>
      <c r="J497" s="133"/>
      <c r="K497" s="132"/>
      <c r="L497" s="133"/>
      <c r="M497" s="132"/>
      <c r="N497" s="134"/>
      <c r="O497" s="132"/>
      <c r="P497" s="134"/>
      <c r="Q497" s="132"/>
      <c r="R497" s="135"/>
      <c r="S497" s="132"/>
      <c r="T497" s="134"/>
      <c r="U497" s="131"/>
      <c r="V497" s="142"/>
      <c r="W497" s="131"/>
      <c r="X497" s="131"/>
      <c r="Y497" s="137"/>
      <c r="Z497" s="134"/>
      <c r="AA497" s="134"/>
      <c r="AB497" s="138"/>
      <c r="AC497" s="20"/>
      <c r="AD497" s="20"/>
      <c r="AE497" s="20"/>
      <c r="AF497" s="20"/>
      <c r="AG497" s="20"/>
      <c r="AH497" s="20"/>
      <c r="AI497" s="20"/>
      <c r="AJ497" s="20"/>
      <c r="AK497" s="20"/>
      <c r="AL497" s="20"/>
      <c r="AM497" s="20"/>
      <c r="AN497" s="20"/>
      <c r="AO497" s="20"/>
      <c r="AP497" s="20"/>
      <c r="AQ497" s="20"/>
      <c r="AR497" s="20"/>
      <c r="AS497" s="20"/>
      <c r="AT497" s="20"/>
      <c r="AU497" s="20"/>
      <c r="AV497" s="20"/>
    </row>
    <row r="498" spans="1:48" ht="17.25" hidden="1" customHeight="1">
      <c r="A498" s="130"/>
      <c r="B498" s="131"/>
      <c r="C498" s="131"/>
      <c r="D498" s="131"/>
      <c r="E498" s="15"/>
      <c r="F498" s="131"/>
      <c r="G498" s="132"/>
      <c r="H498" s="133"/>
      <c r="I498" s="132"/>
      <c r="J498" s="133"/>
      <c r="K498" s="132"/>
      <c r="L498" s="133"/>
      <c r="M498" s="132"/>
      <c r="N498" s="134"/>
      <c r="O498" s="132"/>
      <c r="P498" s="134"/>
      <c r="Q498" s="132"/>
      <c r="R498" s="135"/>
      <c r="S498" s="132"/>
      <c r="T498" s="134"/>
      <c r="U498" s="131"/>
      <c r="V498" s="142"/>
      <c r="W498" s="131"/>
      <c r="X498" s="131"/>
      <c r="Y498" s="137"/>
      <c r="Z498" s="134"/>
      <c r="AA498" s="134"/>
      <c r="AB498" s="138"/>
      <c r="AC498" s="20"/>
      <c r="AD498" s="20"/>
      <c r="AE498" s="20"/>
      <c r="AF498" s="20"/>
      <c r="AG498" s="20"/>
      <c r="AH498" s="20"/>
      <c r="AI498" s="20"/>
      <c r="AJ498" s="20"/>
      <c r="AK498" s="20"/>
      <c r="AL498" s="20"/>
      <c r="AM498" s="20"/>
      <c r="AN498" s="20"/>
      <c r="AO498" s="20"/>
      <c r="AP498" s="20"/>
      <c r="AQ498" s="20"/>
      <c r="AR498" s="20"/>
      <c r="AS498" s="20"/>
      <c r="AT498" s="20"/>
      <c r="AU498" s="20"/>
      <c r="AV498" s="20"/>
    </row>
    <row r="499" spans="1:48" ht="17.25" hidden="1" customHeight="1">
      <c r="A499" s="130"/>
      <c r="B499" s="131"/>
      <c r="C499" s="131"/>
      <c r="D499" s="131"/>
      <c r="E499" s="15"/>
      <c r="F499" s="131"/>
      <c r="G499" s="132"/>
      <c r="H499" s="133"/>
      <c r="I499" s="132"/>
      <c r="J499" s="133"/>
      <c r="K499" s="132"/>
      <c r="L499" s="133"/>
      <c r="M499" s="132"/>
      <c r="N499" s="134"/>
      <c r="O499" s="132"/>
      <c r="P499" s="134"/>
      <c r="Q499" s="132"/>
      <c r="R499" s="135"/>
      <c r="S499" s="132"/>
      <c r="T499" s="134"/>
      <c r="U499" s="131"/>
      <c r="V499" s="142"/>
      <c r="W499" s="131"/>
      <c r="X499" s="131"/>
      <c r="Y499" s="137"/>
      <c r="Z499" s="134"/>
      <c r="AA499" s="134"/>
      <c r="AB499" s="138"/>
      <c r="AC499" s="20"/>
      <c r="AD499" s="20"/>
      <c r="AE499" s="20"/>
      <c r="AF499" s="20"/>
      <c r="AG499" s="20"/>
      <c r="AH499" s="20"/>
      <c r="AI499" s="20"/>
      <c r="AJ499" s="20"/>
      <c r="AK499" s="20"/>
      <c r="AL499" s="20"/>
      <c r="AM499" s="20"/>
      <c r="AN499" s="20"/>
      <c r="AO499" s="20"/>
      <c r="AP499" s="20"/>
      <c r="AQ499" s="20"/>
      <c r="AR499" s="20"/>
      <c r="AS499" s="20"/>
      <c r="AT499" s="20"/>
      <c r="AU499" s="20"/>
      <c r="AV499" s="20"/>
    </row>
    <row r="500" spans="1:48" ht="17.25" hidden="1" customHeight="1">
      <c r="A500" s="130"/>
      <c r="B500" s="131"/>
      <c r="C500" s="131"/>
      <c r="D500" s="131"/>
      <c r="E500" s="15"/>
      <c r="F500" s="131"/>
      <c r="G500" s="132"/>
      <c r="H500" s="133"/>
      <c r="I500" s="132"/>
      <c r="J500" s="133"/>
      <c r="K500" s="132"/>
      <c r="L500" s="133"/>
      <c r="M500" s="132"/>
      <c r="N500" s="134"/>
      <c r="O500" s="132"/>
      <c r="P500" s="134"/>
      <c r="Q500" s="132"/>
      <c r="R500" s="135"/>
      <c r="S500" s="132"/>
      <c r="T500" s="134"/>
      <c r="U500" s="131"/>
      <c r="V500" s="142"/>
      <c r="W500" s="131"/>
      <c r="X500" s="131"/>
      <c r="Y500" s="137"/>
      <c r="Z500" s="134"/>
      <c r="AA500" s="134"/>
      <c r="AB500" s="138"/>
      <c r="AC500" s="20"/>
      <c r="AD500" s="20"/>
      <c r="AE500" s="20"/>
      <c r="AF500" s="20"/>
      <c r="AG500" s="20"/>
      <c r="AH500" s="20"/>
      <c r="AI500" s="20"/>
      <c r="AJ500" s="20"/>
      <c r="AK500" s="20"/>
      <c r="AL500" s="20"/>
      <c r="AM500" s="20"/>
      <c r="AN500" s="20"/>
      <c r="AO500" s="20"/>
      <c r="AP500" s="20"/>
      <c r="AQ500" s="20"/>
      <c r="AR500" s="20"/>
      <c r="AS500" s="20"/>
      <c r="AT500" s="20"/>
      <c r="AU500" s="20"/>
      <c r="AV500" s="20"/>
    </row>
    <row r="501" spans="1:48" ht="17.25" hidden="1" customHeight="1">
      <c r="A501" s="130"/>
      <c r="B501" s="131"/>
      <c r="C501" s="131"/>
      <c r="D501" s="131"/>
      <c r="E501" s="15"/>
      <c r="F501" s="131"/>
      <c r="G501" s="132"/>
      <c r="H501" s="133"/>
      <c r="I501" s="132"/>
      <c r="J501" s="133"/>
      <c r="K501" s="132"/>
      <c r="L501" s="133"/>
      <c r="M501" s="132"/>
      <c r="N501" s="134"/>
      <c r="O501" s="132"/>
      <c r="P501" s="134"/>
      <c r="Q501" s="132"/>
      <c r="R501" s="135"/>
      <c r="S501" s="132"/>
      <c r="T501" s="134"/>
      <c r="U501" s="131"/>
      <c r="V501" s="142"/>
      <c r="W501" s="131"/>
      <c r="X501" s="131"/>
      <c r="Y501" s="137"/>
      <c r="Z501" s="134"/>
      <c r="AA501" s="134"/>
      <c r="AB501" s="138"/>
      <c r="AC501" s="20"/>
      <c r="AD501" s="20"/>
      <c r="AE501" s="20"/>
      <c r="AF501" s="20"/>
      <c r="AG501" s="20"/>
      <c r="AH501" s="20"/>
      <c r="AI501" s="20"/>
      <c r="AJ501" s="20"/>
      <c r="AK501" s="20"/>
      <c r="AL501" s="20"/>
      <c r="AM501" s="20"/>
      <c r="AN501" s="20"/>
      <c r="AO501" s="20"/>
      <c r="AP501" s="20"/>
      <c r="AQ501" s="20"/>
      <c r="AR501" s="20"/>
      <c r="AS501" s="20"/>
      <c r="AT501" s="20"/>
      <c r="AU501" s="20"/>
      <c r="AV501" s="20"/>
    </row>
    <row r="502" spans="1:48" ht="17.25" hidden="1" customHeight="1">
      <c r="A502" s="130"/>
      <c r="B502" s="131"/>
      <c r="C502" s="131"/>
      <c r="D502" s="131"/>
      <c r="E502" s="15"/>
      <c r="F502" s="131"/>
      <c r="G502" s="132"/>
      <c r="H502" s="133"/>
      <c r="I502" s="132"/>
      <c r="J502" s="133"/>
      <c r="K502" s="132"/>
      <c r="L502" s="133"/>
      <c r="M502" s="132"/>
      <c r="N502" s="134"/>
      <c r="O502" s="132"/>
      <c r="P502" s="134"/>
      <c r="Q502" s="132"/>
      <c r="R502" s="135"/>
      <c r="S502" s="132"/>
      <c r="T502" s="134"/>
      <c r="U502" s="131"/>
      <c r="V502" s="142"/>
      <c r="W502" s="131"/>
      <c r="X502" s="131"/>
      <c r="Y502" s="137"/>
      <c r="Z502" s="134"/>
      <c r="AA502" s="134"/>
      <c r="AB502" s="138"/>
      <c r="AC502" s="20"/>
      <c r="AD502" s="20"/>
      <c r="AE502" s="20"/>
      <c r="AF502" s="20"/>
      <c r="AG502" s="20"/>
      <c r="AH502" s="20"/>
      <c r="AI502" s="20"/>
      <c r="AJ502" s="20"/>
      <c r="AK502" s="20"/>
      <c r="AL502" s="20"/>
      <c r="AM502" s="20"/>
      <c r="AN502" s="20"/>
      <c r="AO502" s="20"/>
      <c r="AP502" s="20"/>
      <c r="AQ502" s="20"/>
      <c r="AR502" s="20"/>
      <c r="AS502" s="20"/>
      <c r="AT502" s="20"/>
      <c r="AU502" s="20"/>
      <c r="AV502" s="20"/>
    </row>
    <row r="503" spans="1:48" ht="17.25" hidden="1" customHeight="1">
      <c r="A503" s="130"/>
      <c r="B503" s="131"/>
      <c r="C503" s="131"/>
      <c r="D503" s="131"/>
      <c r="E503" s="15"/>
      <c r="F503" s="131"/>
      <c r="G503" s="132"/>
      <c r="H503" s="133"/>
      <c r="I503" s="132"/>
      <c r="J503" s="133"/>
      <c r="K503" s="132"/>
      <c r="L503" s="131"/>
      <c r="M503" s="132"/>
      <c r="N503" s="134"/>
      <c r="O503" s="132"/>
      <c r="P503" s="134"/>
      <c r="Q503" s="132"/>
      <c r="R503" s="135"/>
      <c r="S503" s="132"/>
      <c r="T503" s="134"/>
      <c r="U503" s="131"/>
      <c r="V503" s="143"/>
      <c r="W503" s="131"/>
      <c r="X503" s="131"/>
      <c r="Y503" s="137"/>
      <c r="Z503" s="134"/>
      <c r="AA503" s="134"/>
      <c r="AB503" s="138"/>
      <c r="AC503" s="20"/>
      <c r="AD503" s="20"/>
      <c r="AE503" s="20"/>
      <c r="AF503" s="20"/>
      <c r="AG503" s="20"/>
      <c r="AH503" s="20"/>
      <c r="AI503" s="20"/>
      <c r="AJ503" s="20"/>
      <c r="AK503" s="20"/>
      <c r="AL503" s="20"/>
      <c r="AM503" s="20"/>
      <c r="AN503" s="20"/>
      <c r="AO503" s="20"/>
      <c r="AP503" s="20"/>
      <c r="AQ503" s="20"/>
      <c r="AR503" s="20"/>
      <c r="AS503" s="20"/>
      <c r="AT503" s="20"/>
      <c r="AU503" s="20"/>
      <c r="AV503" s="20"/>
    </row>
    <row r="504" spans="1:48" ht="17.25" hidden="1" customHeight="1">
      <c r="A504" s="130"/>
      <c r="B504" s="131"/>
      <c r="C504" s="131"/>
      <c r="D504" s="131"/>
      <c r="E504" s="15"/>
      <c r="F504" s="131"/>
      <c r="G504" s="132"/>
      <c r="H504" s="133"/>
      <c r="I504" s="132"/>
      <c r="J504" s="133"/>
      <c r="K504" s="132"/>
      <c r="L504" s="131"/>
      <c r="M504" s="132"/>
      <c r="N504" s="134"/>
      <c r="O504" s="132"/>
      <c r="P504" s="134"/>
      <c r="Q504" s="132"/>
      <c r="R504" s="135"/>
      <c r="S504" s="132"/>
      <c r="T504" s="134"/>
      <c r="U504" s="131"/>
      <c r="V504" s="144"/>
      <c r="W504" s="131"/>
      <c r="X504" s="131"/>
      <c r="Y504" s="137"/>
      <c r="Z504" s="134"/>
      <c r="AA504" s="134"/>
      <c r="AB504" s="138"/>
      <c r="AC504" s="20"/>
      <c r="AD504" s="20"/>
      <c r="AE504" s="20"/>
      <c r="AF504" s="20"/>
      <c r="AG504" s="20"/>
      <c r="AH504" s="20"/>
      <c r="AI504" s="20"/>
      <c r="AJ504" s="20"/>
      <c r="AK504" s="20"/>
      <c r="AL504" s="20"/>
      <c r="AM504" s="20"/>
      <c r="AN504" s="20"/>
      <c r="AO504" s="20"/>
      <c r="AP504" s="20"/>
      <c r="AQ504" s="20"/>
      <c r="AR504" s="20"/>
      <c r="AS504" s="20"/>
      <c r="AT504" s="20"/>
      <c r="AU504" s="20"/>
      <c r="AV504" s="20"/>
    </row>
    <row r="505" spans="1:48" ht="17.25" hidden="1" customHeight="1">
      <c r="A505" s="130"/>
      <c r="B505" s="131"/>
      <c r="C505" s="131"/>
      <c r="D505" s="131"/>
      <c r="E505" s="15"/>
      <c r="F505" s="131"/>
      <c r="G505" s="132"/>
      <c r="H505" s="133"/>
      <c r="I505" s="132"/>
      <c r="J505" s="133"/>
      <c r="K505" s="132"/>
      <c r="L505" s="131"/>
      <c r="M505" s="132"/>
      <c r="N505" s="134"/>
      <c r="O505" s="132"/>
      <c r="P505" s="134"/>
      <c r="Q505" s="132"/>
      <c r="R505" s="135"/>
      <c r="S505" s="132"/>
      <c r="T505" s="134"/>
      <c r="U505" s="131"/>
      <c r="V505" s="145"/>
      <c r="W505" s="131"/>
      <c r="X505" s="131"/>
      <c r="Y505" s="137"/>
      <c r="Z505" s="134"/>
      <c r="AA505" s="134"/>
      <c r="AB505" s="138"/>
      <c r="AC505" s="20"/>
      <c r="AD505" s="20"/>
      <c r="AE505" s="20"/>
      <c r="AF505" s="20"/>
      <c r="AG505" s="20"/>
      <c r="AH505" s="20"/>
      <c r="AI505" s="20"/>
      <c r="AJ505" s="20"/>
      <c r="AK505" s="20"/>
      <c r="AL505" s="20"/>
      <c r="AM505" s="20"/>
      <c r="AN505" s="20"/>
      <c r="AO505" s="20"/>
      <c r="AP505" s="20"/>
      <c r="AQ505" s="20"/>
      <c r="AR505" s="20"/>
      <c r="AS505" s="20"/>
      <c r="AT505" s="20"/>
      <c r="AU505" s="20"/>
      <c r="AV505" s="20"/>
    </row>
    <row r="506" spans="1:48" ht="17.25" hidden="1" customHeight="1">
      <c r="A506" s="130"/>
      <c r="B506" s="131"/>
      <c r="C506" s="131"/>
      <c r="D506" s="131"/>
      <c r="E506" s="15"/>
      <c r="F506" s="131"/>
      <c r="G506" s="132"/>
      <c r="H506" s="133"/>
      <c r="I506" s="132"/>
      <c r="J506" s="133"/>
      <c r="K506" s="132"/>
      <c r="L506" s="133"/>
      <c r="M506" s="132"/>
      <c r="N506" s="134"/>
      <c r="O506" s="132"/>
      <c r="P506" s="134"/>
      <c r="Q506" s="132"/>
      <c r="R506" s="135"/>
      <c r="S506" s="132"/>
      <c r="T506" s="134"/>
      <c r="U506" s="131"/>
      <c r="V506" s="145"/>
      <c r="W506" s="131"/>
      <c r="X506" s="131"/>
      <c r="Y506" s="137"/>
      <c r="Z506" s="134"/>
      <c r="AA506" s="134"/>
      <c r="AB506" s="138"/>
      <c r="AC506" s="20"/>
      <c r="AD506" s="20"/>
      <c r="AE506" s="20"/>
      <c r="AF506" s="20"/>
      <c r="AG506" s="20"/>
      <c r="AH506" s="20"/>
      <c r="AI506" s="20"/>
      <c r="AJ506" s="20"/>
      <c r="AK506" s="20"/>
      <c r="AL506" s="20"/>
      <c r="AM506" s="20"/>
      <c r="AN506" s="20"/>
      <c r="AO506" s="20"/>
      <c r="AP506" s="20"/>
      <c r="AQ506" s="20"/>
      <c r="AR506" s="20"/>
      <c r="AS506" s="20"/>
      <c r="AT506" s="20"/>
      <c r="AU506" s="20"/>
      <c r="AV506" s="20"/>
    </row>
    <row r="507" spans="1:48" ht="17.25" hidden="1" customHeight="1">
      <c r="A507" s="130"/>
      <c r="B507" s="131"/>
      <c r="C507" s="131"/>
      <c r="D507" s="131"/>
      <c r="E507" s="15"/>
      <c r="F507" s="131"/>
      <c r="G507" s="132"/>
      <c r="H507" s="133"/>
      <c r="I507" s="132"/>
      <c r="J507" s="133"/>
      <c r="K507" s="132"/>
      <c r="L507" s="131"/>
      <c r="M507" s="132"/>
      <c r="N507" s="134"/>
      <c r="O507" s="132"/>
      <c r="P507" s="134"/>
      <c r="Q507" s="132"/>
      <c r="R507" s="135"/>
      <c r="S507" s="132"/>
      <c r="T507" s="134"/>
      <c r="U507" s="131"/>
      <c r="V507" s="145"/>
      <c r="W507" s="131"/>
      <c r="X507" s="131"/>
      <c r="Y507" s="137"/>
      <c r="Z507" s="134"/>
      <c r="AA507" s="134"/>
      <c r="AB507" s="138"/>
      <c r="AC507" s="20"/>
      <c r="AD507" s="20"/>
      <c r="AE507" s="20"/>
      <c r="AF507" s="20"/>
      <c r="AG507" s="20"/>
      <c r="AH507" s="20"/>
      <c r="AI507" s="20"/>
      <c r="AJ507" s="20"/>
      <c r="AK507" s="20"/>
      <c r="AL507" s="20"/>
      <c r="AM507" s="20"/>
      <c r="AN507" s="20"/>
      <c r="AO507" s="20"/>
      <c r="AP507" s="20"/>
      <c r="AQ507" s="20"/>
      <c r="AR507" s="20"/>
      <c r="AS507" s="20"/>
      <c r="AT507" s="20"/>
      <c r="AU507" s="20"/>
      <c r="AV507" s="20"/>
    </row>
    <row r="508" spans="1:48" ht="17.25" hidden="1" customHeight="1">
      <c r="A508" s="130"/>
      <c r="B508" s="131"/>
      <c r="C508" s="131"/>
      <c r="D508" s="131"/>
      <c r="E508" s="15"/>
      <c r="F508" s="131"/>
      <c r="G508" s="132"/>
      <c r="H508" s="133"/>
      <c r="I508" s="132"/>
      <c r="J508" s="133"/>
      <c r="K508" s="132"/>
      <c r="L508" s="133"/>
      <c r="M508" s="132"/>
      <c r="N508" s="134"/>
      <c r="O508" s="132"/>
      <c r="P508" s="134"/>
      <c r="Q508" s="132"/>
      <c r="R508" s="135"/>
      <c r="S508" s="132"/>
      <c r="T508" s="134"/>
      <c r="U508" s="131"/>
      <c r="V508" s="145"/>
      <c r="W508" s="131"/>
      <c r="X508" s="131"/>
      <c r="Y508" s="137"/>
      <c r="Z508" s="134"/>
      <c r="AA508" s="134"/>
      <c r="AB508" s="138"/>
      <c r="AC508" s="20"/>
      <c r="AD508" s="20"/>
      <c r="AE508" s="20"/>
      <c r="AF508" s="20"/>
      <c r="AG508" s="20"/>
      <c r="AH508" s="20"/>
      <c r="AI508" s="20"/>
      <c r="AJ508" s="20"/>
      <c r="AK508" s="20"/>
      <c r="AL508" s="20"/>
      <c r="AM508" s="20"/>
      <c r="AN508" s="20"/>
      <c r="AO508" s="20"/>
      <c r="AP508" s="20"/>
      <c r="AQ508" s="20"/>
      <c r="AR508" s="20"/>
      <c r="AS508" s="20"/>
      <c r="AT508" s="20"/>
      <c r="AU508" s="20"/>
      <c r="AV508" s="20"/>
    </row>
    <row r="509" spans="1:48" ht="17.25" hidden="1" customHeight="1">
      <c r="A509" s="130"/>
      <c r="B509" s="131"/>
      <c r="C509" s="131"/>
      <c r="D509" s="131"/>
      <c r="E509" s="15"/>
      <c r="F509" s="131"/>
      <c r="G509" s="132"/>
      <c r="H509" s="133"/>
      <c r="I509" s="132"/>
      <c r="J509" s="133"/>
      <c r="K509" s="132"/>
      <c r="L509" s="131"/>
      <c r="M509" s="132"/>
      <c r="N509" s="134"/>
      <c r="O509" s="132"/>
      <c r="P509" s="134"/>
      <c r="Q509" s="132"/>
      <c r="R509" s="135"/>
      <c r="S509" s="132"/>
      <c r="T509" s="134"/>
      <c r="U509" s="131"/>
      <c r="V509" s="145"/>
      <c r="W509" s="131"/>
      <c r="X509" s="131"/>
      <c r="Y509" s="137"/>
      <c r="Z509" s="134"/>
      <c r="AA509" s="134"/>
      <c r="AB509" s="138"/>
      <c r="AC509" s="20"/>
      <c r="AD509" s="20"/>
      <c r="AE509" s="20"/>
      <c r="AF509" s="20"/>
      <c r="AG509" s="20"/>
      <c r="AH509" s="20"/>
      <c r="AI509" s="20"/>
      <c r="AJ509" s="20"/>
      <c r="AK509" s="20"/>
      <c r="AL509" s="20"/>
      <c r="AM509" s="20"/>
      <c r="AN509" s="20"/>
      <c r="AO509" s="20"/>
      <c r="AP509" s="20"/>
      <c r="AQ509" s="20"/>
      <c r="AR509" s="20"/>
      <c r="AS509" s="20"/>
      <c r="AT509" s="20"/>
      <c r="AU509" s="20"/>
      <c r="AV509" s="20"/>
    </row>
    <row r="510" spans="1:48" ht="17.25" hidden="1" customHeight="1">
      <c r="A510" s="130"/>
      <c r="B510" s="131"/>
      <c r="C510" s="131"/>
      <c r="D510" s="131"/>
      <c r="E510" s="15"/>
      <c r="F510" s="131"/>
      <c r="G510" s="132"/>
      <c r="H510" s="133"/>
      <c r="I510" s="132"/>
      <c r="J510" s="133"/>
      <c r="K510" s="132"/>
      <c r="L510" s="131"/>
      <c r="M510" s="132"/>
      <c r="N510" s="134"/>
      <c r="O510" s="132"/>
      <c r="P510" s="134"/>
      <c r="Q510" s="132"/>
      <c r="R510" s="135"/>
      <c r="S510" s="132"/>
      <c r="T510" s="134"/>
      <c r="U510" s="131"/>
      <c r="V510" s="145"/>
      <c r="W510" s="131"/>
      <c r="X510" s="131"/>
      <c r="Y510" s="137"/>
      <c r="Z510" s="134"/>
      <c r="AA510" s="134"/>
      <c r="AB510" s="138"/>
      <c r="AC510" s="20"/>
      <c r="AD510" s="20"/>
      <c r="AE510" s="20"/>
      <c r="AF510" s="20"/>
      <c r="AG510" s="20"/>
      <c r="AH510" s="20"/>
      <c r="AI510" s="20"/>
      <c r="AJ510" s="20"/>
      <c r="AK510" s="20"/>
      <c r="AL510" s="20"/>
      <c r="AM510" s="20"/>
      <c r="AN510" s="20"/>
      <c r="AO510" s="20"/>
      <c r="AP510" s="20"/>
      <c r="AQ510" s="20"/>
      <c r="AR510" s="20"/>
      <c r="AS510" s="20"/>
      <c r="AT510" s="20"/>
      <c r="AU510" s="20"/>
      <c r="AV510" s="20"/>
    </row>
    <row r="511" spans="1:48" ht="17.25" hidden="1" customHeight="1">
      <c r="A511" s="130"/>
      <c r="B511" s="131"/>
      <c r="C511" s="131"/>
      <c r="D511" s="131"/>
      <c r="E511" s="15"/>
      <c r="F511" s="131"/>
      <c r="G511" s="132"/>
      <c r="H511" s="133"/>
      <c r="I511" s="132"/>
      <c r="J511" s="133"/>
      <c r="K511" s="132"/>
      <c r="L511" s="131"/>
      <c r="M511" s="132"/>
      <c r="N511" s="134"/>
      <c r="O511" s="132"/>
      <c r="P511" s="134"/>
      <c r="Q511" s="132"/>
      <c r="R511" s="135"/>
      <c r="S511" s="132"/>
      <c r="T511" s="134"/>
      <c r="U511" s="131"/>
      <c r="V511" s="145"/>
      <c r="W511" s="131"/>
      <c r="X511" s="131"/>
      <c r="Y511" s="137"/>
      <c r="Z511" s="134"/>
      <c r="AA511" s="134"/>
      <c r="AB511" s="138"/>
      <c r="AC511" s="20"/>
      <c r="AD511" s="20"/>
      <c r="AE511" s="20"/>
      <c r="AF511" s="20"/>
      <c r="AG511" s="20"/>
      <c r="AH511" s="20"/>
      <c r="AI511" s="20"/>
      <c r="AJ511" s="20"/>
      <c r="AK511" s="20"/>
      <c r="AL511" s="20"/>
      <c r="AM511" s="20"/>
      <c r="AN511" s="20"/>
      <c r="AO511" s="20"/>
      <c r="AP511" s="20"/>
      <c r="AQ511" s="20"/>
      <c r="AR511" s="20"/>
      <c r="AS511" s="20"/>
      <c r="AT511" s="20"/>
      <c r="AU511" s="20"/>
      <c r="AV511" s="20"/>
    </row>
    <row r="512" spans="1:48" ht="17.25" hidden="1" customHeight="1">
      <c r="A512" s="130"/>
      <c r="B512" s="131"/>
      <c r="C512" s="131"/>
      <c r="D512" s="131"/>
      <c r="E512" s="15"/>
      <c r="F512" s="131"/>
      <c r="G512" s="132"/>
      <c r="H512" s="133"/>
      <c r="I512" s="132"/>
      <c r="J512" s="133"/>
      <c r="K512" s="132"/>
      <c r="L512" s="133"/>
      <c r="M512" s="132"/>
      <c r="N512" s="134"/>
      <c r="O512" s="132"/>
      <c r="P512" s="134"/>
      <c r="Q512" s="132"/>
      <c r="R512" s="135"/>
      <c r="S512" s="132"/>
      <c r="T512" s="134"/>
      <c r="U512" s="131"/>
      <c r="V512" s="159"/>
      <c r="W512" s="131"/>
      <c r="X512" s="131"/>
      <c r="Y512" s="137"/>
      <c r="Z512" s="134"/>
      <c r="AA512" s="134"/>
      <c r="AB512" s="138"/>
      <c r="AC512" s="20"/>
      <c r="AD512" s="20"/>
      <c r="AE512" s="20"/>
      <c r="AF512" s="20"/>
      <c r="AG512" s="20"/>
      <c r="AH512" s="20"/>
      <c r="AI512" s="20"/>
      <c r="AJ512" s="20"/>
      <c r="AK512" s="20"/>
      <c r="AL512" s="20"/>
      <c r="AM512" s="20"/>
      <c r="AN512" s="20"/>
      <c r="AO512" s="20"/>
      <c r="AP512" s="20"/>
      <c r="AQ512" s="20"/>
      <c r="AR512" s="20"/>
      <c r="AS512" s="20"/>
      <c r="AT512" s="20"/>
      <c r="AU512" s="20"/>
      <c r="AV512" s="20"/>
    </row>
    <row r="513" spans="1:48" ht="17.25" hidden="1" customHeight="1">
      <c r="A513" s="130"/>
      <c r="B513" s="131"/>
      <c r="C513" s="131"/>
      <c r="D513" s="131"/>
      <c r="E513" s="15"/>
      <c r="F513" s="131"/>
      <c r="G513" s="132"/>
      <c r="H513" s="133"/>
      <c r="I513" s="132"/>
      <c r="J513" s="133"/>
      <c r="K513" s="132"/>
      <c r="L513" s="133"/>
      <c r="M513" s="132"/>
      <c r="N513" s="134"/>
      <c r="O513" s="132"/>
      <c r="P513" s="134"/>
      <c r="Q513" s="132"/>
      <c r="R513" s="135"/>
      <c r="S513" s="132"/>
      <c r="T513" s="134"/>
      <c r="U513" s="131"/>
      <c r="V513" s="145"/>
      <c r="W513" s="131"/>
      <c r="X513" s="131"/>
      <c r="Y513" s="137"/>
      <c r="Z513" s="134"/>
      <c r="AA513" s="134"/>
      <c r="AB513" s="138"/>
      <c r="AC513" s="20"/>
      <c r="AD513" s="20"/>
      <c r="AE513" s="20"/>
      <c r="AF513" s="20"/>
      <c r="AG513" s="20"/>
      <c r="AH513" s="20"/>
      <c r="AI513" s="20"/>
      <c r="AJ513" s="20"/>
      <c r="AK513" s="20"/>
      <c r="AL513" s="20"/>
      <c r="AM513" s="20"/>
      <c r="AN513" s="20"/>
      <c r="AO513" s="20"/>
      <c r="AP513" s="20"/>
      <c r="AQ513" s="20"/>
      <c r="AR513" s="20"/>
      <c r="AS513" s="20"/>
      <c r="AT513" s="20"/>
      <c r="AU513" s="20"/>
      <c r="AV513" s="20"/>
    </row>
    <row r="514" spans="1:48" ht="17.25" hidden="1" customHeight="1">
      <c r="A514" s="130"/>
      <c r="B514" s="131"/>
      <c r="C514" s="131"/>
      <c r="D514" s="131"/>
      <c r="E514" s="15"/>
      <c r="F514" s="131"/>
      <c r="G514" s="132"/>
      <c r="H514" s="133"/>
      <c r="I514" s="132"/>
      <c r="J514" s="133"/>
      <c r="K514" s="132"/>
      <c r="L514" s="133"/>
      <c r="M514" s="132"/>
      <c r="N514" s="134"/>
      <c r="O514" s="132"/>
      <c r="P514" s="134"/>
      <c r="Q514" s="132"/>
      <c r="R514" s="135"/>
      <c r="S514" s="132"/>
      <c r="T514" s="134"/>
      <c r="U514" s="131"/>
      <c r="V514" s="156"/>
      <c r="W514" s="131"/>
      <c r="X514" s="131"/>
      <c r="Y514" s="137"/>
      <c r="Z514" s="134"/>
      <c r="AA514" s="134"/>
      <c r="AB514" s="138"/>
      <c r="AC514" s="20"/>
      <c r="AD514" s="20"/>
      <c r="AE514" s="20"/>
      <c r="AF514" s="20"/>
      <c r="AG514" s="20"/>
      <c r="AH514" s="20"/>
      <c r="AI514" s="20"/>
      <c r="AJ514" s="20"/>
      <c r="AK514" s="20"/>
      <c r="AL514" s="20"/>
      <c r="AM514" s="20"/>
      <c r="AN514" s="20"/>
      <c r="AO514" s="20"/>
      <c r="AP514" s="20"/>
      <c r="AQ514" s="20"/>
      <c r="AR514" s="20"/>
      <c r="AS514" s="20"/>
      <c r="AT514" s="20"/>
      <c r="AU514" s="20"/>
      <c r="AV514" s="20"/>
    </row>
    <row r="515" spans="1:48" ht="17.25" hidden="1" customHeight="1">
      <c r="A515" s="130"/>
      <c r="B515" s="131"/>
      <c r="C515" s="131"/>
      <c r="D515" s="131"/>
      <c r="E515" s="15"/>
      <c r="F515" s="131"/>
      <c r="G515" s="132"/>
      <c r="H515" s="133"/>
      <c r="I515" s="132"/>
      <c r="J515" s="133"/>
      <c r="K515" s="132"/>
      <c r="L515" s="133"/>
      <c r="M515" s="132"/>
      <c r="N515" s="134"/>
      <c r="O515" s="132"/>
      <c r="P515" s="134"/>
      <c r="Q515" s="132"/>
      <c r="R515" s="135"/>
      <c r="S515" s="132"/>
      <c r="T515" s="134"/>
      <c r="U515" s="131"/>
      <c r="V515" s="156"/>
      <c r="W515" s="131"/>
      <c r="X515" s="131"/>
      <c r="Y515" s="137"/>
      <c r="Z515" s="134"/>
      <c r="AA515" s="134"/>
      <c r="AB515" s="138"/>
      <c r="AC515" s="20"/>
      <c r="AD515" s="20"/>
      <c r="AE515" s="20"/>
      <c r="AF515" s="20"/>
      <c r="AG515" s="20"/>
      <c r="AH515" s="20"/>
      <c r="AI515" s="20"/>
      <c r="AJ515" s="20"/>
      <c r="AK515" s="20"/>
      <c r="AL515" s="20"/>
      <c r="AM515" s="20"/>
      <c r="AN515" s="20"/>
      <c r="AO515" s="20"/>
      <c r="AP515" s="20"/>
      <c r="AQ515" s="20"/>
      <c r="AR515" s="20"/>
      <c r="AS515" s="20"/>
      <c r="AT515" s="20"/>
      <c r="AU515" s="20"/>
      <c r="AV515" s="20"/>
    </row>
    <row r="516" spans="1:48" ht="17.25" hidden="1" customHeight="1">
      <c r="A516" s="130"/>
      <c r="B516" s="131"/>
      <c r="C516" s="131"/>
      <c r="D516" s="131"/>
      <c r="E516" s="15"/>
      <c r="F516" s="131"/>
      <c r="G516" s="132"/>
      <c r="H516" s="133"/>
      <c r="I516" s="132"/>
      <c r="J516" s="133"/>
      <c r="K516" s="132"/>
      <c r="L516" s="133"/>
      <c r="M516" s="132"/>
      <c r="N516" s="134"/>
      <c r="O516" s="132"/>
      <c r="P516" s="134"/>
      <c r="Q516" s="132"/>
      <c r="R516" s="135"/>
      <c r="S516" s="132"/>
      <c r="T516" s="134"/>
      <c r="U516" s="131"/>
      <c r="V516" s="156"/>
      <c r="W516" s="131"/>
      <c r="X516" s="131"/>
      <c r="Y516" s="137"/>
      <c r="Z516" s="134"/>
      <c r="AA516" s="134"/>
      <c r="AB516" s="138"/>
      <c r="AC516" s="20"/>
      <c r="AD516" s="20"/>
      <c r="AE516" s="20"/>
      <c r="AF516" s="20"/>
      <c r="AG516" s="20"/>
      <c r="AH516" s="20"/>
      <c r="AI516" s="20"/>
      <c r="AJ516" s="20"/>
      <c r="AK516" s="20"/>
      <c r="AL516" s="20"/>
      <c r="AM516" s="20"/>
      <c r="AN516" s="20"/>
      <c r="AO516" s="20"/>
      <c r="AP516" s="20"/>
      <c r="AQ516" s="20"/>
      <c r="AR516" s="20"/>
      <c r="AS516" s="20"/>
      <c r="AT516" s="20"/>
      <c r="AU516" s="20"/>
      <c r="AV516" s="20"/>
    </row>
    <row r="517" spans="1:48" ht="17.25" hidden="1" customHeight="1">
      <c r="A517" s="130"/>
      <c r="B517" s="131"/>
      <c r="C517" s="131"/>
      <c r="D517" s="131"/>
      <c r="E517" s="15"/>
      <c r="F517" s="131"/>
      <c r="G517" s="132"/>
      <c r="H517" s="133"/>
      <c r="I517" s="132"/>
      <c r="J517" s="133"/>
      <c r="K517" s="132"/>
      <c r="L517" s="133"/>
      <c r="M517" s="132"/>
      <c r="N517" s="134"/>
      <c r="O517" s="132"/>
      <c r="P517" s="134"/>
      <c r="Q517" s="132"/>
      <c r="R517" s="135"/>
      <c r="S517" s="132"/>
      <c r="T517" s="134"/>
      <c r="U517" s="131"/>
      <c r="V517" s="156"/>
      <c r="W517" s="131"/>
      <c r="X517" s="131"/>
      <c r="Y517" s="137"/>
      <c r="Z517" s="134"/>
      <c r="AA517" s="134"/>
      <c r="AB517" s="138"/>
      <c r="AC517" s="20"/>
      <c r="AD517" s="20"/>
      <c r="AE517" s="20"/>
      <c r="AF517" s="20"/>
      <c r="AG517" s="20"/>
      <c r="AH517" s="20"/>
      <c r="AI517" s="20"/>
      <c r="AJ517" s="20"/>
      <c r="AK517" s="20"/>
      <c r="AL517" s="20"/>
      <c r="AM517" s="20"/>
      <c r="AN517" s="20"/>
      <c r="AO517" s="20"/>
      <c r="AP517" s="20"/>
      <c r="AQ517" s="20"/>
      <c r="AR517" s="20"/>
      <c r="AS517" s="20"/>
      <c r="AT517" s="20"/>
      <c r="AU517" s="20"/>
      <c r="AV517" s="20"/>
    </row>
    <row r="518" spans="1:48" ht="17.25" hidden="1" customHeight="1">
      <c r="A518" s="130"/>
      <c r="B518" s="131"/>
      <c r="C518" s="131"/>
      <c r="D518" s="131"/>
      <c r="E518" s="15"/>
      <c r="F518" s="131"/>
      <c r="G518" s="132"/>
      <c r="H518" s="133"/>
      <c r="I518" s="132"/>
      <c r="J518" s="133"/>
      <c r="K518" s="132"/>
      <c r="L518" s="133"/>
      <c r="M518" s="132"/>
      <c r="N518" s="134"/>
      <c r="O518" s="132"/>
      <c r="P518" s="134"/>
      <c r="Q518" s="132"/>
      <c r="R518" s="135"/>
      <c r="S518" s="132"/>
      <c r="T518" s="134"/>
      <c r="U518" s="131"/>
      <c r="V518" s="156"/>
      <c r="W518" s="131"/>
      <c r="X518" s="131"/>
      <c r="Y518" s="137"/>
      <c r="Z518" s="134"/>
      <c r="AA518" s="134"/>
      <c r="AB518" s="138"/>
      <c r="AC518" s="20"/>
      <c r="AD518" s="20"/>
      <c r="AE518" s="20"/>
      <c r="AF518" s="20"/>
      <c r="AG518" s="20"/>
      <c r="AH518" s="20"/>
      <c r="AI518" s="20"/>
      <c r="AJ518" s="20"/>
      <c r="AK518" s="20"/>
      <c r="AL518" s="20"/>
      <c r="AM518" s="20"/>
      <c r="AN518" s="20"/>
      <c r="AO518" s="20"/>
      <c r="AP518" s="20"/>
      <c r="AQ518" s="20"/>
      <c r="AR518" s="20"/>
      <c r="AS518" s="20"/>
      <c r="AT518" s="20"/>
      <c r="AU518" s="20"/>
      <c r="AV518" s="20"/>
    </row>
    <row r="519" spans="1:48" ht="17.25" hidden="1" customHeight="1">
      <c r="A519" s="130"/>
      <c r="B519" s="131"/>
      <c r="C519" s="131"/>
      <c r="D519" s="131"/>
      <c r="E519" s="15"/>
      <c r="F519" s="131"/>
      <c r="G519" s="132"/>
      <c r="H519" s="133"/>
      <c r="I519" s="132"/>
      <c r="J519" s="133"/>
      <c r="K519" s="132"/>
      <c r="L519" s="133"/>
      <c r="M519" s="132"/>
      <c r="N519" s="134"/>
      <c r="O519" s="132"/>
      <c r="P519" s="134"/>
      <c r="Q519" s="132"/>
      <c r="R519" s="135"/>
      <c r="S519" s="132"/>
      <c r="T519" s="134"/>
      <c r="U519" s="131"/>
      <c r="V519" s="156"/>
      <c r="W519" s="131"/>
      <c r="X519" s="131"/>
      <c r="Y519" s="137"/>
      <c r="Z519" s="134"/>
      <c r="AA519" s="134"/>
      <c r="AB519" s="138"/>
      <c r="AC519" s="20"/>
      <c r="AD519" s="20"/>
      <c r="AE519" s="20"/>
      <c r="AF519" s="20"/>
      <c r="AG519" s="20"/>
      <c r="AH519" s="20"/>
      <c r="AI519" s="20"/>
      <c r="AJ519" s="20"/>
      <c r="AK519" s="20"/>
      <c r="AL519" s="20"/>
      <c r="AM519" s="20"/>
      <c r="AN519" s="20"/>
      <c r="AO519" s="20"/>
      <c r="AP519" s="20"/>
      <c r="AQ519" s="20"/>
      <c r="AR519" s="20"/>
      <c r="AS519" s="20"/>
      <c r="AT519" s="20"/>
      <c r="AU519" s="20"/>
      <c r="AV519" s="20"/>
    </row>
    <row r="520" spans="1:48" ht="17.25" hidden="1" customHeight="1">
      <c r="A520" s="130"/>
      <c r="B520" s="131"/>
      <c r="C520" s="131"/>
      <c r="D520" s="131"/>
      <c r="E520" s="15"/>
      <c r="F520" s="131"/>
      <c r="G520" s="132"/>
      <c r="H520" s="133"/>
      <c r="I520" s="132"/>
      <c r="J520" s="133"/>
      <c r="K520" s="132"/>
      <c r="L520" s="133"/>
      <c r="M520" s="132"/>
      <c r="N520" s="134"/>
      <c r="O520" s="132"/>
      <c r="P520" s="134"/>
      <c r="Q520" s="132"/>
      <c r="R520" s="135"/>
      <c r="S520" s="132"/>
      <c r="T520" s="134"/>
      <c r="U520" s="131"/>
      <c r="V520" s="156"/>
      <c r="W520" s="131"/>
      <c r="X520" s="131"/>
      <c r="Y520" s="137"/>
      <c r="Z520" s="134"/>
      <c r="AA520" s="134"/>
      <c r="AB520" s="138"/>
      <c r="AC520" s="20"/>
      <c r="AD520" s="20"/>
      <c r="AE520" s="20"/>
      <c r="AF520" s="20"/>
      <c r="AG520" s="20"/>
      <c r="AH520" s="20"/>
      <c r="AI520" s="20"/>
      <c r="AJ520" s="20"/>
      <c r="AK520" s="20"/>
      <c r="AL520" s="20"/>
      <c r="AM520" s="20"/>
      <c r="AN520" s="20"/>
      <c r="AO520" s="20"/>
      <c r="AP520" s="20"/>
      <c r="AQ520" s="20"/>
      <c r="AR520" s="20"/>
      <c r="AS520" s="20"/>
      <c r="AT520" s="20"/>
      <c r="AU520" s="20"/>
      <c r="AV520" s="20"/>
    </row>
    <row r="521" spans="1:48" ht="17.25" hidden="1" customHeight="1">
      <c r="A521" s="130"/>
      <c r="B521" s="131"/>
      <c r="C521" s="131"/>
      <c r="D521" s="131"/>
      <c r="E521" s="15"/>
      <c r="F521" s="131"/>
      <c r="G521" s="132"/>
      <c r="H521" s="133"/>
      <c r="I521" s="132"/>
      <c r="J521" s="133"/>
      <c r="K521" s="132"/>
      <c r="L521" s="133"/>
      <c r="M521" s="132"/>
      <c r="N521" s="134"/>
      <c r="O521" s="132"/>
      <c r="P521" s="134"/>
      <c r="Q521" s="132"/>
      <c r="R521" s="135"/>
      <c r="S521" s="132"/>
      <c r="T521" s="134"/>
      <c r="U521" s="131"/>
      <c r="V521" s="146"/>
      <c r="W521" s="131"/>
      <c r="X521" s="131"/>
      <c r="Y521" s="137"/>
      <c r="Z521" s="134"/>
      <c r="AA521" s="134"/>
      <c r="AB521" s="138"/>
      <c r="AC521" s="20"/>
      <c r="AD521" s="20"/>
      <c r="AE521" s="20"/>
      <c r="AF521" s="20"/>
      <c r="AG521" s="20"/>
      <c r="AH521" s="20"/>
      <c r="AI521" s="20"/>
      <c r="AJ521" s="20"/>
      <c r="AK521" s="20"/>
      <c r="AL521" s="20"/>
      <c r="AM521" s="20"/>
      <c r="AN521" s="20"/>
      <c r="AO521" s="20"/>
      <c r="AP521" s="20"/>
      <c r="AQ521" s="20"/>
      <c r="AR521" s="20"/>
      <c r="AS521" s="20"/>
      <c r="AT521" s="20"/>
      <c r="AU521" s="20"/>
      <c r="AV521" s="20"/>
    </row>
    <row r="522" spans="1:48" ht="17.25" hidden="1" customHeight="1">
      <c r="A522" s="130"/>
      <c r="B522" s="131"/>
      <c r="C522" s="131"/>
      <c r="D522" s="131"/>
      <c r="E522" s="15"/>
      <c r="F522" s="131"/>
      <c r="G522" s="132"/>
      <c r="H522" s="133"/>
      <c r="I522" s="132"/>
      <c r="J522" s="133"/>
      <c r="K522" s="132"/>
      <c r="L522" s="133"/>
      <c r="M522" s="132"/>
      <c r="N522" s="134"/>
      <c r="O522" s="132"/>
      <c r="P522" s="134"/>
      <c r="Q522" s="132"/>
      <c r="R522" s="135"/>
      <c r="S522" s="132"/>
      <c r="T522" s="134"/>
      <c r="U522" s="131"/>
      <c r="V522" s="156"/>
      <c r="W522" s="131"/>
      <c r="X522" s="131"/>
      <c r="Y522" s="137"/>
      <c r="Z522" s="134"/>
      <c r="AA522" s="134"/>
      <c r="AB522" s="138"/>
      <c r="AC522" s="20"/>
      <c r="AD522" s="20"/>
      <c r="AE522" s="20"/>
      <c r="AF522" s="20"/>
      <c r="AG522" s="20"/>
      <c r="AH522" s="20"/>
      <c r="AI522" s="20"/>
      <c r="AJ522" s="20"/>
      <c r="AK522" s="20"/>
      <c r="AL522" s="20"/>
      <c r="AM522" s="20"/>
      <c r="AN522" s="20"/>
      <c r="AO522" s="20"/>
      <c r="AP522" s="20"/>
      <c r="AQ522" s="20"/>
      <c r="AR522" s="20"/>
      <c r="AS522" s="20"/>
      <c r="AT522" s="20"/>
      <c r="AU522" s="20"/>
      <c r="AV522" s="20"/>
    </row>
    <row r="523" spans="1:48" ht="17.25" hidden="1" customHeight="1">
      <c r="A523" s="130"/>
      <c r="B523" s="131"/>
      <c r="C523" s="131"/>
      <c r="D523" s="131"/>
      <c r="E523" s="15"/>
      <c r="F523" s="131"/>
      <c r="G523" s="132"/>
      <c r="H523" s="133"/>
      <c r="I523" s="132"/>
      <c r="J523" s="133"/>
      <c r="K523" s="132"/>
      <c r="L523" s="133"/>
      <c r="M523" s="132"/>
      <c r="N523" s="134"/>
      <c r="O523" s="132"/>
      <c r="P523" s="134"/>
      <c r="Q523" s="132"/>
      <c r="R523" s="135"/>
      <c r="S523" s="132"/>
      <c r="T523" s="134"/>
      <c r="U523" s="131"/>
      <c r="V523" s="148"/>
      <c r="W523" s="131"/>
      <c r="X523" s="131"/>
      <c r="Y523" s="137"/>
      <c r="Z523" s="134"/>
      <c r="AA523" s="134"/>
      <c r="AB523" s="138"/>
      <c r="AC523" s="20"/>
      <c r="AD523" s="20"/>
      <c r="AE523" s="20"/>
      <c r="AF523" s="20"/>
      <c r="AG523" s="20"/>
      <c r="AH523" s="20"/>
      <c r="AI523" s="20"/>
      <c r="AJ523" s="20"/>
      <c r="AK523" s="20"/>
      <c r="AL523" s="20"/>
      <c r="AM523" s="20"/>
      <c r="AN523" s="20"/>
      <c r="AO523" s="20"/>
      <c r="AP523" s="20"/>
      <c r="AQ523" s="20"/>
      <c r="AR523" s="20"/>
      <c r="AS523" s="20"/>
      <c r="AT523" s="20"/>
      <c r="AU523" s="20"/>
      <c r="AV523" s="20"/>
    </row>
    <row r="524" spans="1:48" ht="17.25" hidden="1" customHeight="1">
      <c r="A524" s="130"/>
      <c r="B524" s="131"/>
      <c r="C524" s="131"/>
      <c r="D524" s="131"/>
      <c r="E524" s="15"/>
      <c r="F524" s="131"/>
      <c r="G524" s="132"/>
      <c r="H524" s="133"/>
      <c r="I524" s="132"/>
      <c r="J524" s="133"/>
      <c r="K524" s="132"/>
      <c r="L524" s="133"/>
      <c r="M524" s="132"/>
      <c r="N524" s="134"/>
      <c r="O524" s="132"/>
      <c r="P524" s="134"/>
      <c r="Q524" s="132"/>
      <c r="R524" s="135"/>
      <c r="S524" s="132"/>
      <c r="T524" s="134"/>
      <c r="U524" s="131"/>
      <c r="V524" s="148"/>
      <c r="W524" s="131"/>
      <c r="X524" s="131"/>
      <c r="Y524" s="137"/>
      <c r="Z524" s="134"/>
      <c r="AA524" s="134"/>
      <c r="AB524" s="138"/>
      <c r="AC524" s="20"/>
      <c r="AD524" s="20"/>
      <c r="AE524" s="20"/>
      <c r="AF524" s="20"/>
      <c r="AG524" s="20"/>
      <c r="AH524" s="20"/>
      <c r="AI524" s="20"/>
      <c r="AJ524" s="20"/>
      <c r="AK524" s="20"/>
      <c r="AL524" s="20"/>
      <c r="AM524" s="20"/>
      <c r="AN524" s="20"/>
      <c r="AO524" s="20"/>
      <c r="AP524" s="20"/>
      <c r="AQ524" s="20"/>
      <c r="AR524" s="20"/>
      <c r="AS524" s="20"/>
      <c r="AT524" s="20"/>
      <c r="AU524" s="20"/>
      <c r="AV524" s="20"/>
    </row>
    <row r="525" spans="1:48" ht="17.25" hidden="1" customHeight="1">
      <c r="A525" s="130"/>
      <c r="B525" s="131"/>
      <c r="C525" s="131"/>
      <c r="D525" s="131"/>
      <c r="E525" s="15"/>
      <c r="F525" s="131"/>
      <c r="G525" s="132"/>
      <c r="H525" s="133"/>
      <c r="I525" s="132"/>
      <c r="J525" s="133"/>
      <c r="K525" s="132"/>
      <c r="L525" s="133"/>
      <c r="M525" s="132"/>
      <c r="N525" s="134"/>
      <c r="O525" s="132"/>
      <c r="P525" s="134"/>
      <c r="Q525" s="132"/>
      <c r="R525" s="135"/>
      <c r="S525" s="132"/>
      <c r="T525" s="134"/>
      <c r="U525" s="131"/>
      <c r="V525" s="148"/>
      <c r="W525" s="131"/>
      <c r="X525" s="131"/>
      <c r="Y525" s="137"/>
      <c r="Z525" s="134"/>
      <c r="AA525" s="134"/>
      <c r="AB525" s="138"/>
      <c r="AC525" s="20"/>
      <c r="AD525" s="20"/>
      <c r="AE525" s="20"/>
      <c r="AF525" s="20"/>
      <c r="AG525" s="20"/>
      <c r="AH525" s="20"/>
      <c r="AI525" s="20"/>
      <c r="AJ525" s="20"/>
      <c r="AK525" s="20"/>
      <c r="AL525" s="20"/>
      <c r="AM525" s="20"/>
      <c r="AN525" s="20"/>
      <c r="AO525" s="20"/>
      <c r="AP525" s="20"/>
      <c r="AQ525" s="20"/>
      <c r="AR525" s="20"/>
      <c r="AS525" s="20"/>
      <c r="AT525" s="20"/>
      <c r="AU525" s="20"/>
      <c r="AV525" s="20"/>
    </row>
    <row r="526" spans="1:48" ht="17.25" hidden="1" customHeight="1">
      <c r="A526" s="130"/>
      <c r="B526" s="131"/>
      <c r="C526" s="131"/>
      <c r="D526" s="131"/>
      <c r="E526" s="15"/>
      <c r="F526" s="131"/>
      <c r="G526" s="132"/>
      <c r="H526" s="133"/>
      <c r="I526" s="132"/>
      <c r="J526" s="133"/>
      <c r="K526" s="132"/>
      <c r="L526" s="133"/>
      <c r="M526" s="132"/>
      <c r="N526" s="134"/>
      <c r="O526" s="132"/>
      <c r="P526" s="134"/>
      <c r="Q526" s="132"/>
      <c r="R526" s="135"/>
      <c r="S526" s="132"/>
      <c r="T526" s="134"/>
      <c r="U526" s="131"/>
      <c r="V526" s="148"/>
      <c r="W526" s="131"/>
      <c r="X526" s="131"/>
      <c r="Y526" s="137"/>
      <c r="Z526" s="134"/>
      <c r="AA526" s="134"/>
      <c r="AB526" s="138"/>
      <c r="AC526" s="20"/>
      <c r="AD526" s="20"/>
      <c r="AE526" s="20"/>
      <c r="AF526" s="20"/>
      <c r="AG526" s="20"/>
      <c r="AH526" s="20"/>
      <c r="AI526" s="20"/>
      <c r="AJ526" s="20"/>
      <c r="AK526" s="20"/>
      <c r="AL526" s="20"/>
      <c r="AM526" s="20"/>
      <c r="AN526" s="20"/>
      <c r="AO526" s="20"/>
      <c r="AP526" s="20"/>
      <c r="AQ526" s="20"/>
      <c r="AR526" s="20"/>
      <c r="AS526" s="20"/>
      <c r="AT526" s="20"/>
      <c r="AU526" s="20"/>
      <c r="AV526" s="20"/>
    </row>
    <row r="527" spans="1:48" ht="17.25" hidden="1" customHeight="1">
      <c r="A527" s="130"/>
      <c r="B527" s="131"/>
      <c r="C527" s="131"/>
      <c r="D527" s="131"/>
      <c r="E527" s="15"/>
      <c r="F527" s="131"/>
      <c r="G527" s="132"/>
      <c r="H527" s="133"/>
      <c r="I527" s="132"/>
      <c r="J527" s="133"/>
      <c r="K527" s="132"/>
      <c r="L527" s="133"/>
      <c r="M527" s="132"/>
      <c r="N527" s="134"/>
      <c r="O527" s="132"/>
      <c r="P527" s="134"/>
      <c r="Q527" s="132"/>
      <c r="R527" s="135"/>
      <c r="S527" s="132"/>
      <c r="T527" s="134"/>
      <c r="U527" s="131"/>
      <c r="V527" s="148"/>
      <c r="W527" s="131"/>
      <c r="X527" s="131"/>
      <c r="Y527" s="137"/>
      <c r="Z527" s="134"/>
      <c r="AA527" s="134"/>
      <c r="AB527" s="138"/>
      <c r="AC527" s="20"/>
      <c r="AD527" s="20"/>
      <c r="AE527" s="20"/>
      <c r="AF527" s="20"/>
      <c r="AG527" s="20"/>
      <c r="AH527" s="20"/>
      <c r="AI527" s="20"/>
      <c r="AJ527" s="20"/>
      <c r="AK527" s="20"/>
      <c r="AL527" s="20"/>
      <c r="AM527" s="20"/>
      <c r="AN527" s="20"/>
      <c r="AO527" s="20"/>
      <c r="AP527" s="20"/>
      <c r="AQ527" s="20"/>
      <c r="AR527" s="20"/>
      <c r="AS527" s="20"/>
      <c r="AT527" s="20"/>
      <c r="AU527" s="20"/>
      <c r="AV527" s="20"/>
    </row>
    <row r="528" spans="1:48" ht="17.25" hidden="1" customHeight="1">
      <c r="A528" s="130"/>
      <c r="B528" s="131"/>
      <c r="C528" s="131"/>
      <c r="D528" s="131"/>
      <c r="E528" s="15"/>
      <c r="F528" s="131"/>
      <c r="G528" s="132"/>
      <c r="H528" s="133"/>
      <c r="I528" s="132"/>
      <c r="J528" s="133"/>
      <c r="K528" s="132"/>
      <c r="L528" s="133"/>
      <c r="M528" s="132"/>
      <c r="N528" s="134"/>
      <c r="O528" s="132"/>
      <c r="P528" s="134"/>
      <c r="Q528" s="132"/>
      <c r="R528" s="135"/>
      <c r="S528" s="132"/>
      <c r="T528" s="134"/>
      <c r="U528" s="131"/>
      <c r="V528" s="148"/>
      <c r="W528" s="131"/>
      <c r="X528" s="131"/>
      <c r="Y528" s="137"/>
      <c r="Z528" s="134"/>
      <c r="AA528" s="134"/>
      <c r="AB528" s="138"/>
      <c r="AC528" s="20"/>
      <c r="AD528" s="20"/>
      <c r="AE528" s="20"/>
      <c r="AF528" s="20"/>
      <c r="AG528" s="20"/>
      <c r="AH528" s="20"/>
      <c r="AI528" s="20"/>
      <c r="AJ528" s="20"/>
      <c r="AK528" s="20"/>
      <c r="AL528" s="20"/>
      <c r="AM528" s="20"/>
      <c r="AN528" s="20"/>
      <c r="AO528" s="20"/>
      <c r="AP528" s="20"/>
      <c r="AQ528" s="20"/>
      <c r="AR528" s="20"/>
      <c r="AS528" s="20"/>
      <c r="AT528" s="20"/>
      <c r="AU528" s="20"/>
      <c r="AV528" s="20"/>
    </row>
    <row r="529" spans="1:48" ht="17.25" hidden="1" customHeight="1">
      <c r="A529" s="130"/>
      <c r="B529" s="131"/>
      <c r="C529" s="131"/>
      <c r="D529" s="131"/>
      <c r="E529" s="15"/>
      <c r="F529" s="131"/>
      <c r="G529" s="132"/>
      <c r="H529" s="133"/>
      <c r="I529" s="132"/>
      <c r="J529" s="133"/>
      <c r="K529" s="132"/>
      <c r="L529" s="133"/>
      <c r="M529" s="132"/>
      <c r="N529" s="134"/>
      <c r="O529" s="132"/>
      <c r="P529" s="134"/>
      <c r="Q529" s="132"/>
      <c r="R529" s="135"/>
      <c r="S529" s="132"/>
      <c r="T529" s="134"/>
      <c r="U529" s="131"/>
      <c r="V529" s="148"/>
      <c r="W529" s="131"/>
      <c r="X529" s="131"/>
      <c r="Y529" s="137"/>
      <c r="Z529" s="134"/>
      <c r="AA529" s="134"/>
      <c r="AB529" s="138"/>
      <c r="AC529" s="20"/>
      <c r="AD529" s="20"/>
      <c r="AE529" s="20"/>
      <c r="AF529" s="20"/>
      <c r="AG529" s="20"/>
      <c r="AH529" s="20"/>
      <c r="AI529" s="20"/>
      <c r="AJ529" s="20"/>
      <c r="AK529" s="20"/>
      <c r="AL529" s="20"/>
      <c r="AM529" s="20"/>
      <c r="AN529" s="20"/>
      <c r="AO529" s="20"/>
      <c r="AP529" s="20"/>
      <c r="AQ529" s="20"/>
      <c r="AR529" s="20"/>
      <c r="AS529" s="20"/>
      <c r="AT529" s="20"/>
      <c r="AU529" s="20"/>
      <c r="AV529" s="20"/>
    </row>
    <row r="530" spans="1:48" ht="17.25" hidden="1" customHeight="1">
      <c r="A530" s="130"/>
      <c r="B530" s="131"/>
      <c r="C530" s="131"/>
      <c r="D530" s="131"/>
      <c r="E530" s="15"/>
      <c r="F530" s="131"/>
      <c r="G530" s="132"/>
      <c r="H530" s="133"/>
      <c r="I530" s="132"/>
      <c r="J530" s="133"/>
      <c r="K530" s="132"/>
      <c r="L530" s="133"/>
      <c r="M530" s="132"/>
      <c r="N530" s="134"/>
      <c r="O530" s="132"/>
      <c r="P530" s="134"/>
      <c r="Q530" s="132"/>
      <c r="R530" s="135"/>
      <c r="S530" s="132"/>
      <c r="T530" s="134"/>
      <c r="U530" s="131"/>
      <c r="V530" s="155"/>
      <c r="W530" s="131"/>
      <c r="X530" s="131"/>
      <c r="Y530" s="137"/>
      <c r="Z530" s="134"/>
      <c r="AA530" s="134"/>
      <c r="AB530" s="138"/>
      <c r="AC530" s="20"/>
      <c r="AD530" s="20"/>
      <c r="AE530" s="20"/>
      <c r="AF530" s="20"/>
      <c r="AG530" s="20"/>
      <c r="AH530" s="20"/>
      <c r="AI530" s="20"/>
      <c r="AJ530" s="20"/>
      <c r="AK530" s="20"/>
      <c r="AL530" s="20"/>
      <c r="AM530" s="20"/>
      <c r="AN530" s="20"/>
      <c r="AO530" s="20"/>
      <c r="AP530" s="20"/>
      <c r="AQ530" s="20"/>
      <c r="AR530" s="20"/>
      <c r="AS530" s="20"/>
      <c r="AT530" s="20"/>
      <c r="AU530" s="20"/>
      <c r="AV530" s="20"/>
    </row>
    <row r="531" spans="1:48" ht="17.25" hidden="1" customHeight="1">
      <c r="A531" s="130"/>
      <c r="B531" s="131"/>
      <c r="C531" s="131"/>
      <c r="D531" s="131"/>
      <c r="E531" s="15"/>
      <c r="F531" s="131"/>
      <c r="G531" s="132"/>
      <c r="H531" s="133"/>
      <c r="I531" s="132"/>
      <c r="J531" s="133"/>
      <c r="K531" s="132"/>
      <c r="L531" s="133"/>
      <c r="M531" s="132"/>
      <c r="N531" s="134"/>
      <c r="O531" s="132"/>
      <c r="P531" s="134"/>
      <c r="Q531" s="132"/>
      <c r="R531" s="135"/>
      <c r="S531" s="132"/>
      <c r="T531" s="134"/>
      <c r="U531" s="131"/>
      <c r="V531" s="150"/>
      <c r="W531" s="131"/>
      <c r="X531" s="131"/>
      <c r="Y531" s="137"/>
      <c r="Z531" s="134"/>
      <c r="AA531" s="134"/>
      <c r="AB531" s="138"/>
      <c r="AC531" s="20"/>
      <c r="AD531" s="20"/>
      <c r="AE531" s="20"/>
      <c r="AF531" s="20"/>
      <c r="AG531" s="20"/>
      <c r="AH531" s="20"/>
      <c r="AI531" s="20"/>
      <c r="AJ531" s="20"/>
      <c r="AK531" s="20"/>
      <c r="AL531" s="20"/>
      <c r="AM531" s="20"/>
      <c r="AN531" s="20"/>
      <c r="AO531" s="20"/>
      <c r="AP531" s="20"/>
      <c r="AQ531" s="20"/>
      <c r="AR531" s="20"/>
      <c r="AS531" s="20"/>
      <c r="AT531" s="20"/>
      <c r="AU531" s="20"/>
      <c r="AV531" s="20"/>
    </row>
    <row r="532" spans="1:48" ht="17.25" hidden="1" customHeight="1">
      <c r="A532" s="130"/>
      <c r="B532" s="131"/>
      <c r="C532" s="131"/>
      <c r="D532" s="131"/>
      <c r="E532" s="15"/>
      <c r="F532" s="131"/>
      <c r="G532" s="132"/>
      <c r="H532" s="133"/>
      <c r="I532" s="132"/>
      <c r="J532" s="133"/>
      <c r="K532" s="132"/>
      <c r="L532" s="133"/>
      <c r="M532" s="132"/>
      <c r="N532" s="134"/>
      <c r="O532" s="132"/>
      <c r="P532" s="134"/>
      <c r="Q532" s="132"/>
      <c r="R532" s="135"/>
      <c r="S532" s="132"/>
      <c r="T532" s="134"/>
      <c r="U532" s="131"/>
      <c r="V532" s="136"/>
      <c r="W532" s="131"/>
      <c r="X532" s="131"/>
      <c r="Y532" s="137"/>
      <c r="Z532" s="134"/>
      <c r="AA532" s="134"/>
      <c r="AB532" s="138"/>
      <c r="AC532" s="20"/>
      <c r="AD532" s="20"/>
      <c r="AE532" s="20"/>
      <c r="AF532" s="20"/>
      <c r="AG532" s="20"/>
      <c r="AH532" s="20"/>
      <c r="AI532" s="20"/>
      <c r="AJ532" s="20"/>
      <c r="AK532" s="20"/>
      <c r="AL532" s="20"/>
      <c r="AM532" s="20"/>
      <c r="AN532" s="20"/>
      <c r="AO532" s="20"/>
      <c r="AP532" s="20"/>
      <c r="AQ532" s="20"/>
      <c r="AR532" s="20"/>
      <c r="AS532" s="20"/>
      <c r="AT532" s="20"/>
      <c r="AU532" s="20"/>
      <c r="AV532" s="20"/>
    </row>
    <row r="533" spans="1:48" ht="17.25" hidden="1" customHeight="1">
      <c r="A533" s="130"/>
      <c r="B533" s="131"/>
      <c r="C533" s="131"/>
      <c r="D533" s="131"/>
      <c r="E533" s="15"/>
      <c r="F533" s="131"/>
      <c r="G533" s="132"/>
      <c r="H533" s="133"/>
      <c r="I533" s="132"/>
      <c r="J533" s="133"/>
      <c r="K533" s="132"/>
      <c r="L533" s="133"/>
      <c r="M533" s="132"/>
      <c r="N533" s="134"/>
      <c r="O533" s="132"/>
      <c r="P533" s="134"/>
      <c r="Q533" s="132"/>
      <c r="R533" s="135"/>
      <c r="S533" s="132"/>
      <c r="T533" s="134"/>
      <c r="U533" s="131"/>
      <c r="V533" s="136"/>
      <c r="W533" s="131"/>
      <c r="X533" s="131"/>
      <c r="Y533" s="137"/>
      <c r="Z533" s="134"/>
      <c r="AA533" s="134"/>
      <c r="AB533" s="138"/>
      <c r="AC533" s="20"/>
      <c r="AD533" s="20"/>
      <c r="AE533" s="20"/>
      <c r="AF533" s="20"/>
      <c r="AG533" s="20"/>
      <c r="AH533" s="20"/>
      <c r="AI533" s="20"/>
      <c r="AJ533" s="20"/>
      <c r="AK533" s="20"/>
      <c r="AL533" s="20"/>
      <c r="AM533" s="20"/>
      <c r="AN533" s="20"/>
      <c r="AO533" s="20"/>
      <c r="AP533" s="20"/>
      <c r="AQ533" s="20"/>
      <c r="AR533" s="20"/>
      <c r="AS533" s="20"/>
      <c r="AT533" s="20"/>
      <c r="AU533" s="20"/>
      <c r="AV533" s="20"/>
    </row>
    <row r="534" spans="1:48" ht="17.25" hidden="1" customHeight="1">
      <c r="A534" s="130"/>
      <c r="B534" s="131"/>
      <c r="C534" s="131"/>
      <c r="D534" s="131"/>
      <c r="E534" s="15"/>
      <c r="F534" s="131"/>
      <c r="G534" s="132"/>
      <c r="H534" s="133"/>
      <c r="I534" s="132"/>
      <c r="J534" s="133"/>
      <c r="K534" s="132"/>
      <c r="L534" s="133"/>
      <c r="M534" s="132"/>
      <c r="N534" s="134"/>
      <c r="O534" s="132"/>
      <c r="P534" s="134"/>
      <c r="Q534" s="132"/>
      <c r="R534" s="135"/>
      <c r="S534" s="132"/>
      <c r="T534" s="134"/>
      <c r="U534" s="131"/>
      <c r="V534" s="136"/>
      <c r="W534" s="131"/>
      <c r="X534" s="131"/>
      <c r="Y534" s="137"/>
      <c r="Z534" s="134"/>
      <c r="AA534" s="134"/>
      <c r="AB534" s="138"/>
      <c r="AC534" s="20"/>
      <c r="AD534" s="20"/>
      <c r="AE534" s="20"/>
      <c r="AF534" s="20"/>
      <c r="AG534" s="20"/>
      <c r="AH534" s="20"/>
      <c r="AI534" s="20"/>
      <c r="AJ534" s="20"/>
      <c r="AK534" s="20"/>
      <c r="AL534" s="20"/>
      <c r="AM534" s="20"/>
      <c r="AN534" s="20"/>
      <c r="AO534" s="20"/>
      <c r="AP534" s="20"/>
      <c r="AQ534" s="20"/>
      <c r="AR534" s="20"/>
      <c r="AS534" s="20"/>
      <c r="AT534" s="20"/>
      <c r="AU534" s="20"/>
      <c r="AV534" s="20"/>
    </row>
    <row r="535" spans="1:48" ht="17.25" hidden="1" customHeight="1">
      <c r="A535" s="130"/>
      <c r="B535" s="131"/>
      <c r="C535" s="131"/>
      <c r="D535" s="131"/>
      <c r="E535" s="15"/>
      <c r="F535" s="131"/>
      <c r="G535" s="132"/>
      <c r="H535" s="133"/>
      <c r="I535" s="132"/>
      <c r="J535" s="133"/>
      <c r="K535" s="132"/>
      <c r="L535" s="133"/>
      <c r="M535" s="132"/>
      <c r="N535" s="134"/>
      <c r="O535" s="132"/>
      <c r="P535" s="134"/>
      <c r="Q535" s="132"/>
      <c r="R535" s="135"/>
      <c r="S535" s="132"/>
      <c r="T535" s="134"/>
      <c r="U535" s="131"/>
      <c r="V535" s="136"/>
      <c r="W535" s="131"/>
      <c r="X535" s="131"/>
      <c r="Y535" s="137"/>
      <c r="Z535" s="134"/>
      <c r="AA535" s="134"/>
      <c r="AB535" s="138"/>
      <c r="AC535" s="20"/>
      <c r="AD535" s="20"/>
      <c r="AE535" s="20"/>
      <c r="AF535" s="20"/>
      <c r="AG535" s="20"/>
      <c r="AH535" s="20"/>
      <c r="AI535" s="20"/>
      <c r="AJ535" s="20"/>
      <c r="AK535" s="20"/>
      <c r="AL535" s="20"/>
      <c r="AM535" s="20"/>
      <c r="AN535" s="20"/>
      <c r="AO535" s="20"/>
      <c r="AP535" s="20"/>
      <c r="AQ535" s="20"/>
      <c r="AR535" s="20"/>
      <c r="AS535" s="20"/>
      <c r="AT535" s="20"/>
      <c r="AU535" s="20"/>
      <c r="AV535" s="20"/>
    </row>
    <row r="536" spans="1:48" ht="17.25" hidden="1" customHeight="1">
      <c r="A536" s="130"/>
      <c r="B536" s="131"/>
      <c r="C536" s="131"/>
      <c r="D536" s="131"/>
      <c r="E536" s="15"/>
      <c r="F536" s="131"/>
      <c r="G536" s="132"/>
      <c r="H536" s="133"/>
      <c r="I536" s="132"/>
      <c r="J536" s="133"/>
      <c r="K536" s="132"/>
      <c r="L536" s="133"/>
      <c r="M536" s="132"/>
      <c r="N536" s="134"/>
      <c r="O536" s="132"/>
      <c r="P536" s="134"/>
      <c r="Q536" s="132"/>
      <c r="R536" s="135"/>
      <c r="S536" s="132"/>
      <c r="T536" s="134"/>
      <c r="U536" s="131"/>
      <c r="V536" s="136"/>
      <c r="W536" s="131"/>
      <c r="X536" s="131"/>
      <c r="Y536" s="137"/>
      <c r="Z536" s="134"/>
      <c r="AA536" s="134"/>
      <c r="AB536" s="138"/>
      <c r="AC536" s="20"/>
      <c r="AD536" s="20"/>
      <c r="AE536" s="20"/>
      <c r="AF536" s="20"/>
      <c r="AG536" s="20"/>
      <c r="AH536" s="20"/>
      <c r="AI536" s="20"/>
      <c r="AJ536" s="20"/>
      <c r="AK536" s="20"/>
      <c r="AL536" s="20"/>
      <c r="AM536" s="20"/>
      <c r="AN536" s="20"/>
      <c r="AO536" s="20"/>
      <c r="AP536" s="20"/>
      <c r="AQ536" s="20"/>
      <c r="AR536" s="20"/>
      <c r="AS536" s="20"/>
      <c r="AT536" s="20"/>
      <c r="AU536" s="20"/>
      <c r="AV536" s="20"/>
    </row>
    <row r="537" spans="1:48" ht="17.25" hidden="1" customHeight="1">
      <c r="A537" s="130"/>
      <c r="B537" s="131"/>
      <c r="C537" s="131"/>
      <c r="D537" s="131"/>
      <c r="E537" s="15"/>
      <c r="F537" s="131"/>
      <c r="G537" s="132"/>
      <c r="H537" s="133"/>
      <c r="I537" s="132"/>
      <c r="J537" s="133"/>
      <c r="K537" s="132"/>
      <c r="L537" s="133"/>
      <c r="M537" s="132"/>
      <c r="N537" s="134"/>
      <c r="O537" s="132"/>
      <c r="P537" s="134"/>
      <c r="Q537" s="132"/>
      <c r="R537" s="135"/>
      <c r="S537" s="132"/>
      <c r="T537" s="134"/>
      <c r="U537" s="131"/>
      <c r="V537" s="136"/>
      <c r="W537" s="131"/>
      <c r="X537" s="131"/>
      <c r="Y537" s="137"/>
      <c r="Z537" s="134"/>
      <c r="AA537" s="134"/>
      <c r="AB537" s="138"/>
      <c r="AC537" s="20"/>
      <c r="AD537" s="20"/>
      <c r="AE537" s="20"/>
      <c r="AF537" s="20"/>
      <c r="AG537" s="20"/>
      <c r="AH537" s="20"/>
      <c r="AI537" s="20"/>
      <c r="AJ537" s="20"/>
      <c r="AK537" s="20"/>
      <c r="AL537" s="20"/>
      <c r="AM537" s="20"/>
      <c r="AN537" s="20"/>
      <c r="AO537" s="20"/>
      <c r="AP537" s="20"/>
      <c r="AQ537" s="20"/>
      <c r="AR537" s="20"/>
      <c r="AS537" s="20"/>
      <c r="AT537" s="20"/>
      <c r="AU537" s="20"/>
      <c r="AV537" s="20"/>
    </row>
    <row r="538" spans="1:48" ht="17.25" hidden="1" customHeight="1">
      <c r="A538" s="130"/>
      <c r="B538" s="131"/>
      <c r="C538" s="131"/>
      <c r="D538" s="131"/>
      <c r="E538" s="15"/>
      <c r="F538" s="131"/>
      <c r="G538" s="132"/>
      <c r="H538" s="133"/>
      <c r="I538" s="132"/>
      <c r="J538" s="133"/>
      <c r="K538" s="132"/>
      <c r="L538" s="133"/>
      <c r="M538" s="132"/>
      <c r="N538" s="134"/>
      <c r="O538" s="132"/>
      <c r="P538" s="134"/>
      <c r="Q538" s="132"/>
      <c r="R538" s="135"/>
      <c r="S538" s="132"/>
      <c r="T538" s="134"/>
      <c r="U538" s="131"/>
      <c r="V538" s="136"/>
      <c r="W538" s="131"/>
      <c r="X538" s="131"/>
      <c r="Y538" s="137"/>
      <c r="Z538" s="134"/>
      <c r="AA538" s="134"/>
      <c r="AB538" s="138"/>
      <c r="AC538" s="20"/>
      <c r="AD538" s="20"/>
      <c r="AE538" s="20"/>
      <c r="AF538" s="20"/>
      <c r="AG538" s="20"/>
      <c r="AH538" s="20"/>
      <c r="AI538" s="20"/>
      <c r="AJ538" s="20"/>
      <c r="AK538" s="20"/>
      <c r="AL538" s="20"/>
      <c r="AM538" s="20"/>
      <c r="AN538" s="20"/>
      <c r="AO538" s="20"/>
      <c r="AP538" s="20"/>
      <c r="AQ538" s="20"/>
      <c r="AR538" s="20"/>
      <c r="AS538" s="20"/>
      <c r="AT538" s="20"/>
      <c r="AU538" s="20"/>
      <c r="AV538" s="20"/>
    </row>
    <row r="539" spans="1:48" ht="17.25" hidden="1" customHeight="1">
      <c r="A539" s="130"/>
      <c r="B539" s="131"/>
      <c r="C539" s="131"/>
      <c r="D539" s="131"/>
      <c r="E539" s="15"/>
      <c r="F539" s="131"/>
      <c r="G539" s="132"/>
      <c r="H539" s="133"/>
      <c r="I539" s="132"/>
      <c r="J539" s="133"/>
      <c r="K539" s="132"/>
      <c r="L539" s="133"/>
      <c r="M539" s="132"/>
      <c r="N539" s="134"/>
      <c r="O539" s="132"/>
      <c r="P539" s="134"/>
      <c r="Q539" s="132"/>
      <c r="R539" s="135"/>
      <c r="S539" s="132"/>
      <c r="T539" s="134"/>
      <c r="U539" s="131"/>
      <c r="V539" s="139"/>
      <c r="W539" s="131"/>
      <c r="X539" s="131"/>
      <c r="Y539" s="137"/>
      <c r="Z539" s="134"/>
      <c r="AA539" s="134"/>
      <c r="AB539" s="138"/>
      <c r="AC539" s="20"/>
      <c r="AD539" s="20"/>
      <c r="AE539" s="20"/>
      <c r="AF539" s="20"/>
      <c r="AG539" s="20"/>
      <c r="AH539" s="20"/>
      <c r="AI539" s="20"/>
      <c r="AJ539" s="20"/>
      <c r="AK539" s="20"/>
      <c r="AL539" s="20"/>
      <c r="AM539" s="20"/>
      <c r="AN539" s="20"/>
      <c r="AO539" s="20"/>
      <c r="AP539" s="20"/>
      <c r="AQ539" s="20"/>
      <c r="AR539" s="20"/>
      <c r="AS539" s="20"/>
      <c r="AT539" s="20"/>
      <c r="AU539" s="20"/>
      <c r="AV539" s="20"/>
    </row>
    <row r="540" spans="1:48" ht="17.25" hidden="1" customHeight="1">
      <c r="A540" s="130"/>
      <c r="B540" s="131"/>
      <c r="C540" s="131"/>
      <c r="D540" s="131"/>
      <c r="E540" s="15"/>
      <c r="F540" s="131"/>
      <c r="G540" s="132"/>
      <c r="H540" s="133"/>
      <c r="I540" s="132"/>
      <c r="J540" s="133"/>
      <c r="K540" s="132"/>
      <c r="L540" s="133"/>
      <c r="M540" s="132"/>
      <c r="N540" s="134"/>
      <c r="O540" s="132"/>
      <c r="P540" s="134"/>
      <c r="Q540" s="132"/>
      <c r="R540" s="135"/>
      <c r="S540" s="132"/>
      <c r="T540" s="134"/>
      <c r="U540" s="131"/>
      <c r="V540" s="140"/>
      <c r="W540" s="131"/>
      <c r="X540" s="131"/>
      <c r="Y540" s="137"/>
      <c r="Z540" s="134"/>
      <c r="AA540" s="134"/>
      <c r="AB540" s="138"/>
      <c r="AC540" s="20"/>
      <c r="AD540" s="20"/>
      <c r="AE540" s="20"/>
      <c r="AF540" s="20"/>
      <c r="AG540" s="20"/>
      <c r="AH540" s="20"/>
      <c r="AI540" s="20"/>
      <c r="AJ540" s="20"/>
      <c r="AK540" s="20"/>
      <c r="AL540" s="20"/>
      <c r="AM540" s="20"/>
      <c r="AN540" s="20"/>
      <c r="AO540" s="20"/>
      <c r="AP540" s="20"/>
      <c r="AQ540" s="20"/>
      <c r="AR540" s="20"/>
      <c r="AS540" s="20"/>
      <c r="AT540" s="20"/>
      <c r="AU540" s="20"/>
      <c r="AV540" s="20"/>
    </row>
    <row r="541" spans="1:48" ht="17.25" hidden="1" customHeight="1">
      <c r="A541" s="130"/>
      <c r="B541" s="131"/>
      <c r="C541" s="131"/>
      <c r="D541" s="131"/>
      <c r="E541" s="15"/>
      <c r="F541" s="131"/>
      <c r="G541" s="132"/>
      <c r="H541" s="133"/>
      <c r="I541" s="132"/>
      <c r="J541" s="133"/>
      <c r="K541" s="132"/>
      <c r="L541" s="133"/>
      <c r="M541" s="132"/>
      <c r="N541" s="134"/>
      <c r="O541" s="132"/>
      <c r="P541" s="134"/>
      <c r="Q541" s="132"/>
      <c r="R541" s="135"/>
      <c r="S541" s="132"/>
      <c r="T541" s="134"/>
      <c r="U541" s="131"/>
      <c r="V541" s="140"/>
      <c r="W541" s="131"/>
      <c r="X541" s="131"/>
      <c r="Y541" s="137"/>
      <c r="Z541" s="134"/>
      <c r="AA541" s="134"/>
      <c r="AB541" s="138"/>
      <c r="AC541" s="20"/>
      <c r="AD541" s="20"/>
      <c r="AE541" s="20"/>
      <c r="AF541" s="20"/>
      <c r="AG541" s="20"/>
      <c r="AH541" s="20"/>
      <c r="AI541" s="20"/>
      <c r="AJ541" s="20"/>
      <c r="AK541" s="20"/>
      <c r="AL541" s="20"/>
      <c r="AM541" s="20"/>
      <c r="AN541" s="20"/>
      <c r="AO541" s="20"/>
      <c r="AP541" s="20"/>
      <c r="AQ541" s="20"/>
      <c r="AR541" s="20"/>
      <c r="AS541" s="20"/>
      <c r="AT541" s="20"/>
      <c r="AU541" s="20"/>
      <c r="AV541" s="20"/>
    </row>
    <row r="542" spans="1:48" ht="17.25" hidden="1" customHeight="1">
      <c r="A542" s="130"/>
      <c r="B542" s="131"/>
      <c r="C542" s="131"/>
      <c r="D542" s="131"/>
      <c r="E542" s="15"/>
      <c r="F542" s="131"/>
      <c r="G542" s="132"/>
      <c r="H542" s="133"/>
      <c r="I542" s="132"/>
      <c r="J542" s="133"/>
      <c r="K542" s="132"/>
      <c r="L542" s="133"/>
      <c r="M542" s="132"/>
      <c r="N542" s="134"/>
      <c r="O542" s="132"/>
      <c r="P542" s="134"/>
      <c r="Q542" s="132"/>
      <c r="R542" s="135"/>
      <c r="S542" s="132"/>
      <c r="T542" s="134"/>
      <c r="U542" s="131"/>
      <c r="V542" s="140"/>
      <c r="W542" s="131"/>
      <c r="X542" s="131"/>
      <c r="Y542" s="137"/>
      <c r="Z542" s="134"/>
      <c r="AA542" s="134"/>
      <c r="AB542" s="138"/>
      <c r="AC542" s="20"/>
      <c r="AD542" s="20"/>
      <c r="AE542" s="20"/>
      <c r="AF542" s="20"/>
      <c r="AG542" s="20"/>
      <c r="AH542" s="20"/>
      <c r="AI542" s="20"/>
      <c r="AJ542" s="20"/>
      <c r="AK542" s="20"/>
      <c r="AL542" s="20"/>
      <c r="AM542" s="20"/>
      <c r="AN542" s="20"/>
      <c r="AO542" s="20"/>
      <c r="AP542" s="20"/>
      <c r="AQ542" s="20"/>
      <c r="AR542" s="20"/>
      <c r="AS542" s="20"/>
      <c r="AT542" s="20"/>
      <c r="AU542" s="20"/>
      <c r="AV542" s="20"/>
    </row>
    <row r="543" spans="1:48" ht="17.25" hidden="1" customHeight="1">
      <c r="A543" s="130"/>
      <c r="B543" s="131"/>
      <c r="C543" s="131"/>
      <c r="D543" s="131"/>
      <c r="E543" s="15"/>
      <c r="F543" s="131"/>
      <c r="G543" s="132"/>
      <c r="H543" s="133"/>
      <c r="I543" s="132"/>
      <c r="J543" s="133"/>
      <c r="K543" s="132"/>
      <c r="L543" s="133"/>
      <c r="M543" s="132"/>
      <c r="N543" s="134"/>
      <c r="O543" s="132"/>
      <c r="P543" s="134"/>
      <c r="Q543" s="132"/>
      <c r="R543" s="135"/>
      <c r="S543" s="132"/>
      <c r="T543" s="134"/>
      <c r="U543" s="131"/>
      <c r="V543" s="140"/>
      <c r="W543" s="131"/>
      <c r="X543" s="131"/>
      <c r="Y543" s="137"/>
      <c r="Z543" s="134"/>
      <c r="AA543" s="134"/>
      <c r="AB543" s="138"/>
      <c r="AC543" s="20"/>
      <c r="AD543" s="20"/>
      <c r="AE543" s="20"/>
      <c r="AF543" s="20"/>
      <c r="AG543" s="20"/>
      <c r="AH543" s="20"/>
      <c r="AI543" s="20"/>
      <c r="AJ543" s="20"/>
      <c r="AK543" s="20"/>
      <c r="AL543" s="20"/>
      <c r="AM543" s="20"/>
      <c r="AN543" s="20"/>
      <c r="AO543" s="20"/>
      <c r="AP543" s="20"/>
      <c r="AQ543" s="20"/>
      <c r="AR543" s="20"/>
      <c r="AS543" s="20"/>
      <c r="AT543" s="20"/>
      <c r="AU543" s="20"/>
      <c r="AV543" s="20"/>
    </row>
    <row r="544" spans="1:48" ht="17.25" hidden="1" customHeight="1">
      <c r="A544" s="130"/>
      <c r="B544" s="131"/>
      <c r="C544" s="131"/>
      <c r="D544" s="131"/>
      <c r="E544" s="15"/>
      <c r="F544" s="131"/>
      <c r="G544" s="132"/>
      <c r="H544" s="133"/>
      <c r="I544" s="132"/>
      <c r="J544" s="133"/>
      <c r="K544" s="132"/>
      <c r="L544" s="133"/>
      <c r="M544" s="132"/>
      <c r="N544" s="134"/>
      <c r="O544" s="132"/>
      <c r="P544" s="134"/>
      <c r="Q544" s="132"/>
      <c r="R544" s="135"/>
      <c r="S544" s="132"/>
      <c r="T544" s="134"/>
      <c r="U544" s="131"/>
      <c r="V544" s="140"/>
      <c r="W544" s="131"/>
      <c r="X544" s="131"/>
      <c r="Y544" s="137"/>
      <c r="Z544" s="134"/>
      <c r="AA544" s="134"/>
      <c r="AB544" s="138"/>
      <c r="AC544" s="20"/>
      <c r="AD544" s="20"/>
      <c r="AE544" s="20"/>
      <c r="AF544" s="20"/>
      <c r="AG544" s="20"/>
      <c r="AH544" s="20"/>
      <c r="AI544" s="20"/>
      <c r="AJ544" s="20"/>
      <c r="AK544" s="20"/>
      <c r="AL544" s="20"/>
      <c r="AM544" s="20"/>
      <c r="AN544" s="20"/>
      <c r="AO544" s="20"/>
      <c r="AP544" s="20"/>
      <c r="AQ544" s="20"/>
      <c r="AR544" s="20"/>
      <c r="AS544" s="20"/>
      <c r="AT544" s="20"/>
      <c r="AU544" s="20"/>
      <c r="AV544" s="20"/>
    </row>
    <row r="545" spans="1:48" ht="17.25" hidden="1" customHeight="1">
      <c r="A545" s="130"/>
      <c r="B545" s="131"/>
      <c r="C545" s="131"/>
      <c r="D545" s="131"/>
      <c r="E545" s="15"/>
      <c r="F545" s="131"/>
      <c r="G545" s="132"/>
      <c r="H545" s="133"/>
      <c r="I545" s="132"/>
      <c r="J545" s="133"/>
      <c r="K545" s="132"/>
      <c r="L545" s="133"/>
      <c r="M545" s="132"/>
      <c r="N545" s="134"/>
      <c r="O545" s="132"/>
      <c r="P545" s="134"/>
      <c r="Q545" s="132"/>
      <c r="R545" s="135"/>
      <c r="S545" s="132"/>
      <c r="T545" s="134"/>
      <c r="U545" s="131"/>
      <c r="V545" s="140"/>
      <c r="W545" s="131"/>
      <c r="X545" s="131"/>
      <c r="Y545" s="137"/>
      <c r="Z545" s="134"/>
      <c r="AA545" s="134"/>
      <c r="AB545" s="138"/>
      <c r="AC545" s="20"/>
      <c r="AD545" s="20"/>
      <c r="AE545" s="20"/>
      <c r="AF545" s="20"/>
      <c r="AG545" s="20"/>
      <c r="AH545" s="20"/>
      <c r="AI545" s="20"/>
      <c r="AJ545" s="20"/>
      <c r="AK545" s="20"/>
      <c r="AL545" s="20"/>
      <c r="AM545" s="20"/>
      <c r="AN545" s="20"/>
      <c r="AO545" s="20"/>
      <c r="AP545" s="20"/>
      <c r="AQ545" s="20"/>
      <c r="AR545" s="20"/>
      <c r="AS545" s="20"/>
      <c r="AT545" s="20"/>
      <c r="AU545" s="20"/>
      <c r="AV545" s="20"/>
    </row>
    <row r="546" spans="1:48" ht="17.25" hidden="1" customHeight="1">
      <c r="A546" s="130"/>
      <c r="B546" s="131"/>
      <c r="C546" s="131"/>
      <c r="D546" s="131"/>
      <c r="E546" s="15"/>
      <c r="F546" s="131"/>
      <c r="G546" s="132"/>
      <c r="H546" s="133"/>
      <c r="I546" s="132"/>
      <c r="J546" s="133"/>
      <c r="K546" s="132"/>
      <c r="L546" s="133"/>
      <c r="M546" s="132"/>
      <c r="N546" s="134"/>
      <c r="O546" s="132"/>
      <c r="P546" s="134"/>
      <c r="Q546" s="132"/>
      <c r="R546" s="135"/>
      <c r="S546" s="132"/>
      <c r="T546" s="134"/>
      <c r="U546" s="131"/>
      <c r="V546" s="140"/>
      <c r="W546" s="131"/>
      <c r="X546" s="131"/>
      <c r="Y546" s="137"/>
      <c r="Z546" s="134"/>
      <c r="AA546" s="134"/>
      <c r="AB546" s="138"/>
      <c r="AC546" s="20"/>
      <c r="AD546" s="20"/>
      <c r="AE546" s="20"/>
      <c r="AF546" s="20"/>
      <c r="AG546" s="20"/>
      <c r="AH546" s="20"/>
      <c r="AI546" s="20"/>
      <c r="AJ546" s="20"/>
      <c r="AK546" s="20"/>
      <c r="AL546" s="20"/>
      <c r="AM546" s="20"/>
      <c r="AN546" s="20"/>
      <c r="AO546" s="20"/>
      <c r="AP546" s="20"/>
      <c r="AQ546" s="20"/>
      <c r="AR546" s="20"/>
      <c r="AS546" s="20"/>
      <c r="AT546" s="20"/>
      <c r="AU546" s="20"/>
      <c r="AV546" s="20"/>
    </row>
    <row r="547" spans="1:48" ht="17.25" hidden="1" customHeight="1">
      <c r="A547" s="130"/>
      <c r="B547" s="131"/>
      <c r="C547" s="131"/>
      <c r="D547" s="131"/>
      <c r="E547" s="15"/>
      <c r="F547" s="131"/>
      <c r="G547" s="132"/>
      <c r="H547" s="133"/>
      <c r="I547" s="132"/>
      <c r="J547" s="133"/>
      <c r="K547" s="132"/>
      <c r="L547" s="133"/>
      <c r="M547" s="132"/>
      <c r="N547" s="134"/>
      <c r="O547" s="132"/>
      <c r="P547" s="134"/>
      <c r="Q547" s="132"/>
      <c r="R547" s="135"/>
      <c r="S547" s="132"/>
      <c r="T547" s="134"/>
      <c r="U547" s="131"/>
      <c r="V547" s="140"/>
      <c r="W547" s="131"/>
      <c r="X547" s="131"/>
      <c r="Y547" s="137"/>
      <c r="Z547" s="134"/>
      <c r="AA547" s="134"/>
      <c r="AB547" s="138"/>
      <c r="AC547" s="20"/>
      <c r="AD547" s="20"/>
      <c r="AE547" s="20"/>
      <c r="AF547" s="20"/>
      <c r="AG547" s="20"/>
      <c r="AH547" s="20"/>
      <c r="AI547" s="20"/>
      <c r="AJ547" s="20"/>
      <c r="AK547" s="20"/>
      <c r="AL547" s="20"/>
      <c r="AM547" s="20"/>
      <c r="AN547" s="20"/>
      <c r="AO547" s="20"/>
      <c r="AP547" s="20"/>
      <c r="AQ547" s="20"/>
      <c r="AR547" s="20"/>
      <c r="AS547" s="20"/>
      <c r="AT547" s="20"/>
      <c r="AU547" s="20"/>
      <c r="AV547" s="20"/>
    </row>
    <row r="548" spans="1:48" ht="17.25" hidden="1" customHeight="1">
      <c r="A548" s="130"/>
      <c r="B548" s="131"/>
      <c r="C548" s="131"/>
      <c r="D548" s="131"/>
      <c r="E548" s="15"/>
      <c r="F548" s="131"/>
      <c r="G548" s="132"/>
      <c r="H548" s="133"/>
      <c r="I548" s="132"/>
      <c r="J548" s="133"/>
      <c r="K548" s="132"/>
      <c r="L548" s="131"/>
      <c r="M548" s="132"/>
      <c r="N548" s="134"/>
      <c r="O548" s="132"/>
      <c r="P548" s="134"/>
      <c r="Q548" s="132"/>
      <c r="R548" s="135"/>
      <c r="S548" s="132"/>
      <c r="T548" s="134"/>
      <c r="U548" s="131"/>
      <c r="V548" s="143"/>
      <c r="W548" s="131"/>
      <c r="X548" s="131"/>
      <c r="Y548" s="137"/>
      <c r="Z548" s="134"/>
      <c r="AA548" s="134"/>
      <c r="AB548" s="138"/>
      <c r="AC548" s="20"/>
      <c r="AD548" s="20"/>
      <c r="AE548" s="20"/>
      <c r="AF548" s="20"/>
      <c r="AG548" s="20"/>
      <c r="AH548" s="20"/>
      <c r="AI548" s="20"/>
      <c r="AJ548" s="20"/>
      <c r="AK548" s="20"/>
      <c r="AL548" s="20"/>
      <c r="AM548" s="20"/>
      <c r="AN548" s="20"/>
      <c r="AO548" s="20"/>
      <c r="AP548" s="20"/>
      <c r="AQ548" s="20"/>
      <c r="AR548" s="20"/>
      <c r="AS548" s="20"/>
      <c r="AT548" s="20"/>
      <c r="AU548" s="20"/>
      <c r="AV548" s="20"/>
    </row>
    <row r="549" spans="1:48" ht="17.25" hidden="1" customHeight="1">
      <c r="A549" s="130"/>
      <c r="B549" s="131"/>
      <c r="C549" s="131"/>
      <c r="D549" s="131"/>
      <c r="E549" s="15"/>
      <c r="F549" s="131"/>
      <c r="G549" s="132"/>
      <c r="H549" s="133"/>
      <c r="I549" s="132"/>
      <c r="J549" s="133"/>
      <c r="K549" s="132"/>
      <c r="L549" s="131"/>
      <c r="M549" s="132"/>
      <c r="N549" s="134"/>
      <c r="O549" s="132"/>
      <c r="P549" s="134"/>
      <c r="Q549" s="132"/>
      <c r="R549" s="135"/>
      <c r="S549" s="132"/>
      <c r="T549" s="134"/>
      <c r="U549" s="131"/>
      <c r="V549" s="144"/>
      <c r="W549" s="131"/>
      <c r="X549" s="131"/>
      <c r="Y549" s="137"/>
      <c r="Z549" s="134"/>
      <c r="AA549" s="134"/>
      <c r="AB549" s="138"/>
      <c r="AC549" s="20"/>
      <c r="AD549" s="20"/>
      <c r="AE549" s="20"/>
      <c r="AF549" s="20"/>
      <c r="AG549" s="20"/>
      <c r="AH549" s="20"/>
      <c r="AI549" s="20"/>
      <c r="AJ549" s="20"/>
      <c r="AK549" s="20"/>
      <c r="AL549" s="20"/>
      <c r="AM549" s="20"/>
      <c r="AN549" s="20"/>
      <c r="AO549" s="20"/>
      <c r="AP549" s="20"/>
      <c r="AQ549" s="20"/>
      <c r="AR549" s="20"/>
      <c r="AS549" s="20"/>
      <c r="AT549" s="20"/>
      <c r="AU549" s="20"/>
      <c r="AV549" s="20"/>
    </row>
    <row r="550" spans="1:48" ht="17.25" hidden="1" customHeight="1">
      <c r="A550" s="130"/>
      <c r="B550" s="131"/>
      <c r="C550" s="131"/>
      <c r="D550" s="131"/>
      <c r="E550" s="15"/>
      <c r="F550" s="131"/>
      <c r="G550" s="132"/>
      <c r="H550" s="133"/>
      <c r="I550" s="132"/>
      <c r="J550" s="133"/>
      <c r="K550" s="132"/>
      <c r="L550" s="131"/>
      <c r="M550" s="132"/>
      <c r="N550" s="134"/>
      <c r="O550" s="132"/>
      <c r="P550" s="134"/>
      <c r="Q550" s="132"/>
      <c r="R550" s="135"/>
      <c r="S550" s="132"/>
      <c r="T550" s="134"/>
      <c r="U550" s="131"/>
      <c r="V550" s="145"/>
      <c r="W550" s="131"/>
      <c r="X550" s="131"/>
      <c r="Y550" s="137"/>
      <c r="Z550" s="134"/>
      <c r="AA550" s="134"/>
      <c r="AB550" s="138"/>
      <c r="AC550" s="20"/>
      <c r="AD550" s="20"/>
      <c r="AE550" s="20"/>
      <c r="AF550" s="20"/>
      <c r="AG550" s="20"/>
      <c r="AH550" s="20"/>
      <c r="AI550" s="20"/>
      <c r="AJ550" s="20"/>
      <c r="AK550" s="20"/>
      <c r="AL550" s="20"/>
      <c r="AM550" s="20"/>
      <c r="AN550" s="20"/>
      <c r="AO550" s="20"/>
      <c r="AP550" s="20"/>
      <c r="AQ550" s="20"/>
      <c r="AR550" s="20"/>
      <c r="AS550" s="20"/>
      <c r="AT550" s="20"/>
      <c r="AU550" s="20"/>
      <c r="AV550" s="20"/>
    </row>
    <row r="551" spans="1:48" ht="17.25" hidden="1" customHeight="1">
      <c r="A551" s="130"/>
      <c r="B551" s="131"/>
      <c r="C551" s="131"/>
      <c r="D551" s="131"/>
      <c r="E551" s="15"/>
      <c r="F551" s="131"/>
      <c r="G551" s="132"/>
      <c r="H551" s="133"/>
      <c r="I551" s="132"/>
      <c r="J551" s="133"/>
      <c r="K551" s="132"/>
      <c r="L551" s="133"/>
      <c r="M551" s="132"/>
      <c r="N551" s="134"/>
      <c r="O551" s="132"/>
      <c r="P551" s="134"/>
      <c r="Q551" s="132"/>
      <c r="R551" s="135"/>
      <c r="S551" s="132"/>
      <c r="T551" s="134"/>
      <c r="U551" s="131"/>
      <c r="V551" s="145"/>
      <c r="W551" s="131"/>
      <c r="X551" s="131"/>
      <c r="Y551" s="137"/>
      <c r="Z551" s="134"/>
      <c r="AA551" s="134"/>
      <c r="AB551" s="138"/>
      <c r="AC551" s="20"/>
      <c r="AD551" s="20"/>
      <c r="AE551" s="20"/>
      <c r="AF551" s="20"/>
      <c r="AG551" s="20"/>
      <c r="AH551" s="20"/>
      <c r="AI551" s="20"/>
      <c r="AJ551" s="20"/>
      <c r="AK551" s="20"/>
      <c r="AL551" s="20"/>
      <c r="AM551" s="20"/>
      <c r="AN551" s="20"/>
      <c r="AO551" s="20"/>
      <c r="AP551" s="20"/>
      <c r="AQ551" s="20"/>
      <c r="AR551" s="20"/>
      <c r="AS551" s="20"/>
      <c r="AT551" s="20"/>
      <c r="AU551" s="20"/>
      <c r="AV551" s="20"/>
    </row>
    <row r="552" spans="1:48" ht="17.25" hidden="1" customHeight="1">
      <c r="A552" s="130"/>
      <c r="B552" s="131"/>
      <c r="C552" s="131"/>
      <c r="D552" s="131"/>
      <c r="E552" s="15"/>
      <c r="F552" s="131"/>
      <c r="G552" s="132"/>
      <c r="H552" s="133"/>
      <c r="I552" s="132"/>
      <c r="J552" s="133"/>
      <c r="K552" s="132"/>
      <c r="L552" s="131"/>
      <c r="M552" s="132"/>
      <c r="N552" s="134"/>
      <c r="O552" s="132"/>
      <c r="P552" s="134"/>
      <c r="Q552" s="132"/>
      <c r="R552" s="135"/>
      <c r="S552" s="132"/>
      <c r="T552" s="134"/>
      <c r="U552" s="131"/>
      <c r="V552" s="145"/>
      <c r="W552" s="131"/>
      <c r="X552" s="131"/>
      <c r="Y552" s="137"/>
      <c r="Z552" s="134"/>
      <c r="AA552" s="134"/>
      <c r="AB552" s="138"/>
      <c r="AC552" s="20"/>
      <c r="AD552" s="20"/>
      <c r="AE552" s="20"/>
      <c r="AF552" s="20"/>
      <c r="AG552" s="20"/>
      <c r="AH552" s="20"/>
      <c r="AI552" s="20"/>
      <c r="AJ552" s="20"/>
      <c r="AK552" s="20"/>
      <c r="AL552" s="20"/>
      <c r="AM552" s="20"/>
      <c r="AN552" s="20"/>
      <c r="AO552" s="20"/>
      <c r="AP552" s="20"/>
      <c r="AQ552" s="20"/>
      <c r="AR552" s="20"/>
      <c r="AS552" s="20"/>
      <c r="AT552" s="20"/>
      <c r="AU552" s="20"/>
      <c r="AV552" s="20"/>
    </row>
    <row r="553" spans="1:48" ht="17.25" hidden="1" customHeight="1">
      <c r="A553" s="130"/>
      <c r="B553" s="131"/>
      <c r="C553" s="131"/>
      <c r="D553" s="131"/>
      <c r="E553" s="15"/>
      <c r="F553" s="131"/>
      <c r="G553" s="132"/>
      <c r="H553" s="133"/>
      <c r="I553" s="132"/>
      <c r="J553" s="133"/>
      <c r="K553" s="132"/>
      <c r="L553" s="133"/>
      <c r="M553" s="132"/>
      <c r="N553" s="134"/>
      <c r="O553" s="132"/>
      <c r="P553" s="134"/>
      <c r="Q553" s="132"/>
      <c r="R553" s="135"/>
      <c r="S553" s="132"/>
      <c r="T553" s="134"/>
      <c r="U553" s="131"/>
      <c r="V553" s="145"/>
      <c r="W553" s="131"/>
      <c r="X553" s="131"/>
      <c r="Y553" s="137"/>
      <c r="Z553" s="134"/>
      <c r="AA553" s="134"/>
      <c r="AB553" s="138"/>
      <c r="AC553" s="20"/>
      <c r="AD553" s="20"/>
      <c r="AE553" s="20"/>
      <c r="AF553" s="20"/>
      <c r="AG553" s="20"/>
      <c r="AH553" s="20"/>
      <c r="AI553" s="20"/>
      <c r="AJ553" s="20"/>
      <c r="AK553" s="20"/>
      <c r="AL553" s="20"/>
      <c r="AM553" s="20"/>
      <c r="AN553" s="20"/>
      <c r="AO553" s="20"/>
      <c r="AP553" s="20"/>
      <c r="AQ553" s="20"/>
      <c r="AR553" s="20"/>
      <c r="AS553" s="20"/>
      <c r="AT553" s="20"/>
      <c r="AU553" s="20"/>
      <c r="AV553" s="20"/>
    </row>
    <row r="554" spans="1:48" ht="17.25" hidden="1" customHeight="1">
      <c r="A554" s="130"/>
      <c r="B554" s="131"/>
      <c r="C554" s="131"/>
      <c r="D554" s="131"/>
      <c r="E554" s="15"/>
      <c r="F554" s="131"/>
      <c r="G554" s="132"/>
      <c r="H554" s="133"/>
      <c r="I554" s="132"/>
      <c r="J554" s="133"/>
      <c r="K554" s="132"/>
      <c r="L554" s="131"/>
      <c r="M554" s="132"/>
      <c r="N554" s="134"/>
      <c r="O554" s="132"/>
      <c r="P554" s="134"/>
      <c r="Q554" s="132"/>
      <c r="R554" s="135"/>
      <c r="S554" s="132"/>
      <c r="T554" s="134"/>
      <c r="U554" s="131"/>
      <c r="V554" s="145"/>
      <c r="W554" s="131"/>
      <c r="X554" s="131"/>
      <c r="Y554" s="137"/>
      <c r="Z554" s="134"/>
      <c r="AA554" s="134"/>
      <c r="AB554" s="138"/>
      <c r="AC554" s="20"/>
      <c r="AD554" s="20"/>
      <c r="AE554" s="20"/>
      <c r="AF554" s="20"/>
      <c r="AG554" s="20"/>
      <c r="AH554" s="20"/>
      <c r="AI554" s="20"/>
      <c r="AJ554" s="20"/>
      <c r="AK554" s="20"/>
      <c r="AL554" s="20"/>
      <c r="AM554" s="20"/>
      <c r="AN554" s="20"/>
      <c r="AO554" s="20"/>
      <c r="AP554" s="20"/>
      <c r="AQ554" s="20"/>
      <c r="AR554" s="20"/>
      <c r="AS554" s="20"/>
      <c r="AT554" s="20"/>
      <c r="AU554" s="20"/>
      <c r="AV554" s="20"/>
    </row>
    <row r="555" spans="1:48" ht="17.25" hidden="1" customHeight="1">
      <c r="A555" s="130"/>
      <c r="B555" s="131"/>
      <c r="C555" s="131"/>
      <c r="D555" s="131"/>
      <c r="E555" s="15"/>
      <c r="F555" s="131"/>
      <c r="G555" s="132"/>
      <c r="H555" s="133"/>
      <c r="I555" s="132"/>
      <c r="J555" s="133"/>
      <c r="K555" s="132"/>
      <c r="L555" s="131"/>
      <c r="M555" s="132"/>
      <c r="N555" s="134"/>
      <c r="O555" s="132"/>
      <c r="P555" s="134"/>
      <c r="Q555" s="132"/>
      <c r="R555" s="135"/>
      <c r="S555" s="132"/>
      <c r="T555" s="134"/>
      <c r="U555" s="131"/>
      <c r="V555" s="145"/>
      <c r="W555" s="131"/>
      <c r="X555" s="131"/>
      <c r="Y555" s="137"/>
      <c r="Z555" s="134"/>
      <c r="AA555" s="134"/>
      <c r="AB555" s="138"/>
      <c r="AC555" s="20"/>
      <c r="AD555" s="20"/>
      <c r="AE555" s="20"/>
      <c r="AF555" s="20"/>
      <c r="AG555" s="20"/>
      <c r="AH555" s="20"/>
      <c r="AI555" s="20"/>
      <c r="AJ555" s="20"/>
      <c r="AK555" s="20"/>
      <c r="AL555" s="20"/>
      <c r="AM555" s="20"/>
      <c r="AN555" s="20"/>
      <c r="AO555" s="20"/>
      <c r="AP555" s="20"/>
      <c r="AQ555" s="20"/>
      <c r="AR555" s="20"/>
      <c r="AS555" s="20"/>
      <c r="AT555" s="20"/>
      <c r="AU555" s="20"/>
      <c r="AV555" s="20"/>
    </row>
    <row r="556" spans="1:48" ht="17.25" hidden="1" customHeight="1">
      <c r="A556" s="130"/>
      <c r="B556" s="131"/>
      <c r="C556" s="131"/>
      <c r="D556" s="131"/>
      <c r="E556" s="15"/>
      <c r="F556" s="131"/>
      <c r="G556" s="132"/>
      <c r="H556" s="133"/>
      <c r="I556" s="132"/>
      <c r="J556" s="133"/>
      <c r="K556" s="132"/>
      <c r="L556" s="131"/>
      <c r="M556" s="132"/>
      <c r="N556" s="134"/>
      <c r="O556" s="132"/>
      <c r="P556" s="134"/>
      <c r="Q556" s="132"/>
      <c r="R556" s="135"/>
      <c r="S556" s="132"/>
      <c r="T556" s="134"/>
      <c r="U556" s="131"/>
      <c r="V556" s="145"/>
      <c r="W556" s="131"/>
      <c r="X556" s="131"/>
      <c r="Y556" s="137"/>
      <c r="Z556" s="134"/>
      <c r="AA556" s="134"/>
      <c r="AB556" s="138"/>
      <c r="AC556" s="20"/>
      <c r="AD556" s="20"/>
      <c r="AE556" s="20"/>
      <c r="AF556" s="20"/>
      <c r="AG556" s="20"/>
      <c r="AH556" s="20"/>
      <c r="AI556" s="20"/>
      <c r="AJ556" s="20"/>
      <c r="AK556" s="20"/>
      <c r="AL556" s="20"/>
      <c r="AM556" s="20"/>
      <c r="AN556" s="20"/>
      <c r="AO556" s="20"/>
      <c r="AP556" s="20"/>
      <c r="AQ556" s="20"/>
      <c r="AR556" s="20"/>
      <c r="AS556" s="20"/>
      <c r="AT556" s="20"/>
      <c r="AU556" s="20"/>
      <c r="AV556" s="20"/>
    </row>
    <row r="557" spans="1:48" ht="17.25" hidden="1" customHeight="1">
      <c r="A557" s="130"/>
      <c r="B557" s="131"/>
      <c r="C557" s="131"/>
      <c r="D557" s="131"/>
      <c r="E557" s="15"/>
      <c r="F557" s="131"/>
      <c r="G557" s="132"/>
      <c r="H557" s="133"/>
      <c r="I557" s="132"/>
      <c r="J557" s="133"/>
      <c r="K557" s="132"/>
      <c r="L557" s="133"/>
      <c r="M557" s="132"/>
      <c r="N557" s="134"/>
      <c r="O557" s="132"/>
      <c r="P557" s="134"/>
      <c r="Q557" s="132"/>
      <c r="R557" s="135"/>
      <c r="S557" s="132"/>
      <c r="T557" s="134"/>
      <c r="U557" s="131"/>
      <c r="V557" s="159"/>
      <c r="W557" s="131"/>
      <c r="X557" s="131"/>
      <c r="Y557" s="137"/>
      <c r="Z557" s="134"/>
      <c r="AA557" s="134"/>
      <c r="AB557" s="138"/>
      <c r="AC557" s="20"/>
      <c r="AD557" s="20"/>
      <c r="AE557" s="20"/>
      <c r="AF557" s="20"/>
      <c r="AG557" s="20"/>
      <c r="AH557" s="20"/>
      <c r="AI557" s="20"/>
      <c r="AJ557" s="20"/>
      <c r="AK557" s="20"/>
      <c r="AL557" s="20"/>
      <c r="AM557" s="20"/>
      <c r="AN557" s="20"/>
      <c r="AO557" s="20"/>
      <c r="AP557" s="20"/>
      <c r="AQ557" s="20"/>
      <c r="AR557" s="20"/>
      <c r="AS557" s="20"/>
      <c r="AT557" s="20"/>
      <c r="AU557" s="20"/>
      <c r="AV557" s="20"/>
    </row>
    <row r="558" spans="1:48" ht="17.25" hidden="1" customHeight="1">
      <c r="A558" s="130"/>
      <c r="B558" s="131"/>
      <c r="C558" s="131"/>
      <c r="D558" s="131"/>
      <c r="E558" s="15"/>
      <c r="F558" s="131"/>
      <c r="G558" s="132"/>
      <c r="H558" s="133"/>
      <c r="I558" s="132"/>
      <c r="J558" s="133"/>
      <c r="K558" s="132"/>
      <c r="L558" s="133"/>
      <c r="M558" s="132"/>
      <c r="N558" s="134"/>
      <c r="O558" s="132"/>
      <c r="P558" s="134"/>
      <c r="Q558" s="132"/>
      <c r="R558" s="135"/>
      <c r="S558" s="132"/>
      <c r="T558" s="134"/>
      <c r="U558" s="131"/>
      <c r="V558" s="145"/>
      <c r="W558" s="131"/>
      <c r="X558" s="131"/>
      <c r="Y558" s="137"/>
      <c r="Z558" s="134"/>
      <c r="AA558" s="134"/>
      <c r="AB558" s="138"/>
      <c r="AC558" s="20"/>
      <c r="AD558" s="20"/>
      <c r="AE558" s="20"/>
      <c r="AF558" s="20"/>
      <c r="AG558" s="20"/>
      <c r="AH558" s="20"/>
      <c r="AI558" s="20"/>
      <c r="AJ558" s="20"/>
      <c r="AK558" s="20"/>
      <c r="AL558" s="20"/>
      <c r="AM558" s="20"/>
      <c r="AN558" s="20"/>
      <c r="AO558" s="20"/>
      <c r="AP558" s="20"/>
      <c r="AQ558" s="20"/>
      <c r="AR558" s="20"/>
      <c r="AS558" s="20"/>
      <c r="AT558" s="20"/>
      <c r="AU558" s="20"/>
      <c r="AV558" s="20"/>
    </row>
    <row r="559" spans="1:48" ht="17.25" hidden="1" customHeight="1">
      <c r="A559" s="130"/>
      <c r="B559" s="131"/>
      <c r="C559" s="131"/>
      <c r="D559" s="131"/>
      <c r="E559" s="15"/>
      <c r="F559" s="131"/>
      <c r="G559" s="132"/>
      <c r="H559" s="133"/>
      <c r="I559" s="132"/>
      <c r="J559" s="133"/>
      <c r="K559" s="132"/>
      <c r="L559" s="133"/>
      <c r="M559" s="132"/>
      <c r="N559" s="134"/>
      <c r="O559" s="132"/>
      <c r="P559" s="134"/>
      <c r="Q559" s="132"/>
      <c r="R559" s="135"/>
      <c r="S559" s="132"/>
      <c r="T559" s="134"/>
      <c r="U559" s="131"/>
      <c r="V559" s="156"/>
      <c r="W559" s="131"/>
      <c r="X559" s="131"/>
      <c r="Y559" s="137"/>
      <c r="Z559" s="134"/>
      <c r="AA559" s="134"/>
      <c r="AB559" s="138"/>
      <c r="AC559" s="20"/>
      <c r="AD559" s="20"/>
      <c r="AE559" s="20"/>
      <c r="AF559" s="20"/>
      <c r="AG559" s="20"/>
      <c r="AH559" s="20"/>
      <c r="AI559" s="20"/>
      <c r="AJ559" s="20"/>
      <c r="AK559" s="20"/>
      <c r="AL559" s="20"/>
      <c r="AM559" s="20"/>
      <c r="AN559" s="20"/>
      <c r="AO559" s="20"/>
      <c r="AP559" s="20"/>
      <c r="AQ559" s="20"/>
      <c r="AR559" s="20"/>
      <c r="AS559" s="20"/>
      <c r="AT559" s="20"/>
      <c r="AU559" s="20"/>
      <c r="AV559" s="20"/>
    </row>
    <row r="560" spans="1:48" ht="17.25" hidden="1" customHeight="1">
      <c r="A560" s="130"/>
      <c r="B560" s="131"/>
      <c r="C560" s="131"/>
      <c r="D560" s="131"/>
      <c r="E560" s="15"/>
      <c r="F560" s="131"/>
      <c r="G560" s="132"/>
      <c r="H560" s="133"/>
      <c r="I560" s="132"/>
      <c r="J560" s="133"/>
      <c r="K560" s="132"/>
      <c r="L560" s="133"/>
      <c r="M560" s="132"/>
      <c r="N560" s="134"/>
      <c r="O560" s="132"/>
      <c r="P560" s="134"/>
      <c r="Q560" s="132"/>
      <c r="R560" s="135"/>
      <c r="S560" s="132"/>
      <c r="T560" s="134"/>
      <c r="U560" s="131"/>
      <c r="V560" s="156"/>
      <c r="W560" s="131"/>
      <c r="X560" s="131"/>
      <c r="Y560" s="137"/>
      <c r="Z560" s="134"/>
      <c r="AA560" s="134"/>
      <c r="AB560" s="138"/>
      <c r="AC560" s="20"/>
      <c r="AD560" s="20"/>
      <c r="AE560" s="20"/>
      <c r="AF560" s="20"/>
      <c r="AG560" s="20"/>
      <c r="AH560" s="20"/>
      <c r="AI560" s="20"/>
      <c r="AJ560" s="20"/>
      <c r="AK560" s="20"/>
      <c r="AL560" s="20"/>
      <c r="AM560" s="20"/>
      <c r="AN560" s="20"/>
      <c r="AO560" s="20"/>
      <c r="AP560" s="20"/>
      <c r="AQ560" s="20"/>
      <c r="AR560" s="20"/>
      <c r="AS560" s="20"/>
      <c r="AT560" s="20"/>
      <c r="AU560" s="20"/>
      <c r="AV560" s="20"/>
    </row>
    <row r="561" spans="1:48" ht="17.25" hidden="1" customHeight="1">
      <c r="A561" s="130"/>
      <c r="B561" s="131"/>
      <c r="C561" s="131"/>
      <c r="D561" s="131"/>
      <c r="E561" s="15"/>
      <c r="F561" s="131"/>
      <c r="G561" s="132"/>
      <c r="H561" s="133"/>
      <c r="I561" s="132"/>
      <c r="J561" s="133"/>
      <c r="K561" s="132"/>
      <c r="L561" s="133"/>
      <c r="M561" s="132"/>
      <c r="N561" s="134"/>
      <c r="O561" s="132"/>
      <c r="P561" s="134"/>
      <c r="Q561" s="132"/>
      <c r="R561" s="135"/>
      <c r="S561" s="132"/>
      <c r="T561" s="134"/>
      <c r="U561" s="131"/>
      <c r="V561" s="156"/>
      <c r="W561" s="131"/>
      <c r="X561" s="131"/>
      <c r="Y561" s="137"/>
      <c r="Z561" s="134"/>
      <c r="AA561" s="134"/>
      <c r="AB561" s="138"/>
      <c r="AC561" s="20"/>
      <c r="AD561" s="20"/>
      <c r="AE561" s="20"/>
      <c r="AF561" s="20"/>
      <c r="AG561" s="20"/>
      <c r="AH561" s="20"/>
      <c r="AI561" s="20"/>
      <c r="AJ561" s="20"/>
      <c r="AK561" s="20"/>
      <c r="AL561" s="20"/>
      <c r="AM561" s="20"/>
      <c r="AN561" s="20"/>
      <c r="AO561" s="20"/>
      <c r="AP561" s="20"/>
      <c r="AQ561" s="20"/>
      <c r="AR561" s="20"/>
      <c r="AS561" s="20"/>
      <c r="AT561" s="20"/>
      <c r="AU561" s="20"/>
      <c r="AV561" s="20"/>
    </row>
    <row r="562" spans="1:48" ht="17.25" hidden="1" customHeight="1">
      <c r="A562" s="130"/>
      <c r="B562" s="131"/>
      <c r="C562" s="131"/>
      <c r="D562" s="131"/>
      <c r="E562" s="15"/>
      <c r="F562" s="131"/>
      <c r="G562" s="132"/>
      <c r="H562" s="133"/>
      <c r="I562" s="132"/>
      <c r="J562" s="133"/>
      <c r="K562" s="132"/>
      <c r="L562" s="133"/>
      <c r="M562" s="132"/>
      <c r="N562" s="134"/>
      <c r="O562" s="132"/>
      <c r="P562" s="134"/>
      <c r="Q562" s="132"/>
      <c r="R562" s="135"/>
      <c r="S562" s="132"/>
      <c r="T562" s="134"/>
      <c r="U562" s="131"/>
      <c r="V562" s="156"/>
      <c r="W562" s="131"/>
      <c r="X562" s="131"/>
      <c r="Y562" s="137"/>
      <c r="Z562" s="134"/>
      <c r="AA562" s="134"/>
      <c r="AB562" s="138"/>
      <c r="AC562" s="20"/>
      <c r="AD562" s="20"/>
      <c r="AE562" s="20"/>
      <c r="AF562" s="20"/>
      <c r="AG562" s="20"/>
      <c r="AH562" s="20"/>
      <c r="AI562" s="20"/>
      <c r="AJ562" s="20"/>
      <c r="AK562" s="20"/>
      <c r="AL562" s="20"/>
      <c r="AM562" s="20"/>
      <c r="AN562" s="20"/>
      <c r="AO562" s="20"/>
      <c r="AP562" s="20"/>
      <c r="AQ562" s="20"/>
      <c r="AR562" s="20"/>
      <c r="AS562" s="20"/>
      <c r="AT562" s="20"/>
      <c r="AU562" s="20"/>
      <c r="AV562" s="20"/>
    </row>
    <row r="563" spans="1:48" ht="17.25" hidden="1" customHeight="1">
      <c r="A563" s="130"/>
      <c r="B563" s="131"/>
      <c r="C563" s="131"/>
      <c r="D563" s="131"/>
      <c r="E563" s="15"/>
      <c r="F563" s="131"/>
      <c r="G563" s="132"/>
      <c r="H563" s="133"/>
      <c r="I563" s="132"/>
      <c r="J563" s="133"/>
      <c r="K563" s="132"/>
      <c r="L563" s="133"/>
      <c r="M563" s="132"/>
      <c r="N563" s="134"/>
      <c r="O563" s="132"/>
      <c r="P563" s="134"/>
      <c r="Q563" s="132"/>
      <c r="R563" s="135"/>
      <c r="S563" s="132"/>
      <c r="T563" s="134"/>
      <c r="U563" s="131"/>
      <c r="V563" s="156"/>
      <c r="W563" s="131"/>
      <c r="X563" s="131"/>
      <c r="Y563" s="137"/>
      <c r="Z563" s="134"/>
      <c r="AA563" s="134"/>
      <c r="AB563" s="138"/>
      <c r="AC563" s="20"/>
      <c r="AD563" s="20"/>
      <c r="AE563" s="20"/>
      <c r="AF563" s="20"/>
      <c r="AG563" s="20"/>
      <c r="AH563" s="20"/>
      <c r="AI563" s="20"/>
      <c r="AJ563" s="20"/>
      <c r="AK563" s="20"/>
      <c r="AL563" s="20"/>
      <c r="AM563" s="20"/>
      <c r="AN563" s="20"/>
      <c r="AO563" s="20"/>
      <c r="AP563" s="20"/>
      <c r="AQ563" s="20"/>
      <c r="AR563" s="20"/>
      <c r="AS563" s="20"/>
      <c r="AT563" s="20"/>
      <c r="AU563" s="20"/>
      <c r="AV563" s="20"/>
    </row>
    <row r="564" spans="1:48" ht="17.25" hidden="1" customHeight="1">
      <c r="A564" s="130"/>
      <c r="B564" s="131"/>
      <c r="C564" s="131"/>
      <c r="D564" s="131"/>
      <c r="E564" s="15"/>
      <c r="F564" s="131"/>
      <c r="G564" s="132"/>
      <c r="H564" s="133"/>
      <c r="I564" s="132"/>
      <c r="J564" s="133"/>
      <c r="K564" s="132"/>
      <c r="L564" s="133"/>
      <c r="M564" s="132"/>
      <c r="N564" s="134"/>
      <c r="O564" s="132"/>
      <c r="P564" s="134"/>
      <c r="Q564" s="132"/>
      <c r="R564" s="135"/>
      <c r="S564" s="132"/>
      <c r="T564" s="134"/>
      <c r="U564" s="131"/>
      <c r="V564" s="156"/>
      <c r="W564" s="131"/>
      <c r="X564" s="131"/>
      <c r="Y564" s="137"/>
      <c r="Z564" s="134"/>
      <c r="AA564" s="134"/>
      <c r="AB564" s="138"/>
      <c r="AC564" s="20"/>
      <c r="AD564" s="20"/>
      <c r="AE564" s="20"/>
      <c r="AF564" s="20"/>
      <c r="AG564" s="20"/>
      <c r="AH564" s="20"/>
      <c r="AI564" s="20"/>
      <c r="AJ564" s="20"/>
      <c r="AK564" s="20"/>
      <c r="AL564" s="20"/>
      <c r="AM564" s="20"/>
      <c r="AN564" s="20"/>
      <c r="AO564" s="20"/>
      <c r="AP564" s="20"/>
      <c r="AQ564" s="20"/>
      <c r="AR564" s="20"/>
      <c r="AS564" s="20"/>
      <c r="AT564" s="20"/>
      <c r="AU564" s="20"/>
      <c r="AV564" s="20"/>
    </row>
    <row r="565" spans="1:48" ht="17.25" hidden="1" customHeight="1">
      <c r="A565" s="130"/>
      <c r="B565" s="131"/>
      <c r="C565" s="131"/>
      <c r="D565" s="131"/>
      <c r="E565" s="15"/>
      <c r="F565" s="131"/>
      <c r="G565" s="132"/>
      <c r="H565" s="133"/>
      <c r="I565" s="132"/>
      <c r="J565" s="133"/>
      <c r="K565" s="132"/>
      <c r="L565" s="133"/>
      <c r="M565" s="132"/>
      <c r="N565" s="134"/>
      <c r="O565" s="132"/>
      <c r="P565" s="134"/>
      <c r="Q565" s="132"/>
      <c r="R565" s="135"/>
      <c r="S565" s="132"/>
      <c r="T565" s="134"/>
      <c r="U565" s="131"/>
      <c r="V565" s="156"/>
      <c r="W565" s="131"/>
      <c r="X565" s="131"/>
      <c r="Y565" s="137"/>
      <c r="Z565" s="134"/>
      <c r="AA565" s="134"/>
      <c r="AB565" s="138"/>
      <c r="AC565" s="20"/>
      <c r="AD565" s="20"/>
      <c r="AE565" s="20"/>
      <c r="AF565" s="20"/>
      <c r="AG565" s="20"/>
      <c r="AH565" s="20"/>
      <c r="AI565" s="20"/>
      <c r="AJ565" s="20"/>
      <c r="AK565" s="20"/>
      <c r="AL565" s="20"/>
      <c r="AM565" s="20"/>
      <c r="AN565" s="20"/>
      <c r="AO565" s="20"/>
      <c r="AP565" s="20"/>
      <c r="AQ565" s="20"/>
      <c r="AR565" s="20"/>
      <c r="AS565" s="20"/>
      <c r="AT565" s="20"/>
      <c r="AU565" s="20"/>
      <c r="AV565" s="20"/>
    </row>
    <row r="566" spans="1:48" ht="17.25" hidden="1" customHeight="1">
      <c r="A566" s="130"/>
      <c r="B566" s="131"/>
      <c r="C566" s="131"/>
      <c r="D566" s="131"/>
      <c r="E566" s="15"/>
      <c r="F566" s="131"/>
      <c r="G566" s="132"/>
      <c r="H566" s="133"/>
      <c r="I566" s="132"/>
      <c r="J566" s="133"/>
      <c r="K566" s="132"/>
      <c r="L566" s="133"/>
      <c r="M566" s="132"/>
      <c r="N566" s="134"/>
      <c r="O566" s="132"/>
      <c r="P566" s="134"/>
      <c r="Q566" s="132"/>
      <c r="R566" s="135"/>
      <c r="S566" s="132"/>
      <c r="T566" s="134"/>
      <c r="U566" s="131"/>
      <c r="V566" s="146"/>
      <c r="W566" s="131"/>
      <c r="X566" s="131"/>
      <c r="Y566" s="137"/>
      <c r="Z566" s="134"/>
      <c r="AA566" s="134"/>
      <c r="AB566" s="138"/>
      <c r="AC566" s="20"/>
      <c r="AD566" s="20"/>
      <c r="AE566" s="20"/>
      <c r="AF566" s="20"/>
      <c r="AG566" s="20"/>
      <c r="AH566" s="20"/>
      <c r="AI566" s="20"/>
      <c r="AJ566" s="20"/>
      <c r="AK566" s="20"/>
      <c r="AL566" s="20"/>
      <c r="AM566" s="20"/>
      <c r="AN566" s="20"/>
      <c r="AO566" s="20"/>
      <c r="AP566" s="20"/>
      <c r="AQ566" s="20"/>
      <c r="AR566" s="20"/>
      <c r="AS566" s="20"/>
      <c r="AT566" s="20"/>
      <c r="AU566" s="20"/>
      <c r="AV566" s="20"/>
    </row>
    <row r="567" spans="1:48" ht="17.25" hidden="1" customHeight="1">
      <c r="A567" s="130"/>
      <c r="B567" s="131"/>
      <c r="C567" s="131"/>
      <c r="D567" s="131"/>
      <c r="E567" s="15"/>
      <c r="F567" s="131"/>
      <c r="G567" s="132"/>
      <c r="H567" s="133"/>
      <c r="I567" s="132"/>
      <c r="J567" s="133"/>
      <c r="K567" s="132"/>
      <c r="L567" s="133"/>
      <c r="M567" s="132"/>
      <c r="N567" s="134"/>
      <c r="O567" s="132"/>
      <c r="P567" s="134"/>
      <c r="Q567" s="132"/>
      <c r="R567" s="135"/>
      <c r="S567" s="132"/>
      <c r="T567" s="134"/>
      <c r="U567" s="131"/>
      <c r="V567" s="156"/>
      <c r="W567" s="131"/>
      <c r="X567" s="131"/>
      <c r="Y567" s="137"/>
      <c r="Z567" s="134"/>
      <c r="AA567" s="134"/>
      <c r="AB567" s="138"/>
      <c r="AC567" s="20"/>
      <c r="AD567" s="20"/>
      <c r="AE567" s="20"/>
      <c r="AF567" s="20"/>
      <c r="AG567" s="20"/>
      <c r="AH567" s="20"/>
      <c r="AI567" s="20"/>
      <c r="AJ567" s="20"/>
      <c r="AK567" s="20"/>
      <c r="AL567" s="20"/>
      <c r="AM567" s="20"/>
      <c r="AN567" s="20"/>
      <c r="AO567" s="20"/>
      <c r="AP567" s="20"/>
      <c r="AQ567" s="20"/>
      <c r="AR567" s="20"/>
      <c r="AS567" s="20"/>
      <c r="AT567" s="20"/>
      <c r="AU567" s="20"/>
      <c r="AV567" s="20"/>
    </row>
    <row r="568" spans="1:48" ht="17.25" hidden="1" customHeight="1">
      <c r="A568" s="130"/>
      <c r="B568" s="131"/>
      <c r="C568" s="131"/>
      <c r="D568" s="131"/>
      <c r="E568" s="15"/>
      <c r="F568" s="131"/>
      <c r="G568" s="132"/>
      <c r="H568" s="133"/>
      <c r="I568" s="132"/>
      <c r="J568" s="133"/>
      <c r="K568" s="132"/>
      <c r="L568" s="133"/>
      <c r="M568" s="132"/>
      <c r="N568" s="134"/>
      <c r="O568" s="132"/>
      <c r="P568" s="134"/>
      <c r="Q568" s="132"/>
      <c r="R568" s="135"/>
      <c r="S568" s="132"/>
      <c r="T568" s="134"/>
      <c r="U568" s="131"/>
      <c r="V568" s="148"/>
      <c r="W568" s="131"/>
      <c r="X568" s="131"/>
      <c r="Y568" s="137"/>
      <c r="Z568" s="134"/>
      <c r="AA568" s="134"/>
      <c r="AB568" s="138"/>
      <c r="AC568" s="20"/>
      <c r="AD568" s="20"/>
      <c r="AE568" s="20"/>
      <c r="AF568" s="20"/>
      <c r="AG568" s="20"/>
      <c r="AH568" s="20"/>
      <c r="AI568" s="20"/>
      <c r="AJ568" s="20"/>
      <c r="AK568" s="20"/>
      <c r="AL568" s="20"/>
      <c r="AM568" s="20"/>
      <c r="AN568" s="20"/>
      <c r="AO568" s="20"/>
      <c r="AP568" s="20"/>
      <c r="AQ568" s="20"/>
      <c r="AR568" s="20"/>
      <c r="AS568" s="20"/>
      <c r="AT568" s="20"/>
      <c r="AU568" s="20"/>
      <c r="AV568" s="20"/>
    </row>
    <row r="569" spans="1:48" ht="17.25" hidden="1" customHeight="1">
      <c r="A569" s="130"/>
      <c r="B569" s="131"/>
      <c r="C569" s="131"/>
      <c r="D569" s="131"/>
      <c r="E569" s="15"/>
      <c r="F569" s="131"/>
      <c r="G569" s="132"/>
      <c r="H569" s="133"/>
      <c r="I569" s="132"/>
      <c r="J569" s="133"/>
      <c r="K569" s="132"/>
      <c r="L569" s="133"/>
      <c r="M569" s="132"/>
      <c r="N569" s="134"/>
      <c r="O569" s="132"/>
      <c r="P569" s="134"/>
      <c r="Q569" s="132"/>
      <c r="R569" s="135"/>
      <c r="S569" s="132"/>
      <c r="T569" s="134"/>
      <c r="U569" s="131"/>
      <c r="V569" s="148"/>
      <c r="W569" s="131"/>
      <c r="X569" s="131"/>
      <c r="Y569" s="137"/>
      <c r="Z569" s="134"/>
      <c r="AA569" s="134"/>
      <c r="AB569" s="138"/>
      <c r="AC569" s="20"/>
      <c r="AD569" s="20"/>
      <c r="AE569" s="20"/>
      <c r="AF569" s="20"/>
      <c r="AG569" s="20"/>
      <c r="AH569" s="20"/>
      <c r="AI569" s="20"/>
      <c r="AJ569" s="20"/>
      <c r="AK569" s="20"/>
      <c r="AL569" s="20"/>
      <c r="AM569" s="20"/>
      <c r="AN569" s="20"/>
      <c r="AO569" s="20"/>
      <c r="AP569" s="20"/>
      <c r="AQ569" s="20"/>
      <c r="AR569" s="20"/>
      <c r="AS569" s="20"/>
      <c r="AT569" s="20"/>
      <c r="AU569" s="20"/>
      <c r="AV569" s="20"/>
    </row>
    <row r="570" spans="1:48" ht="17.25" hidden="1" customHeight="1">
      <c r="A570" s="130"/>
      <c r="B570" s="131"/>
      <c r="C570" s="131"/>
      <c r="D570" s="131"/>
      <c r="E570" s="15"/>
      <c r="F570" s="131"/>
      <c r="G570" s="132"/>
      <c r="H570" s="133"/>
      <c r="I570" s="132"/>
      <c r="J570" s="133"/>
      <c r="K570" s="132"/>
      <c r="L570" s="133"/>
      <c r="M570" s="132"/>
      <c r="N570" s="134"/>
      <c r="O570" s="132"/>
      <c r="P570" s="134"/>
      <c r="Q570" s="132"/>
      <c r="R570" s="135"/>
      <c r="S570" s="132"/>
      <c r="T570" s="134"/>
      <c r="U570" s="131"/>
      <c r="V570" s="148"/>
      <c r="W570" s="131"/>
      <c r="X570" s="131"/>
      <c r="Y570" s="137"/>
      <c r="Z570" s="134"/>
      <c r="AA570" s="134"/>
      <c r="AB570" s="138"/>
      <c r="AC570" s="20"/>
      <c r="AD570" s="20"/>
      <c r="AE570" s="20"/>
      <c r="AF570" s="20"/>
      <c r="AG570" s="20"/>
      <c r="AH570" s="20"/>
      <c r="AI570" s="20"/>
      <c r="AJ570" s="20"/>
      <c r="AK570" s="20"/>
      <c r="AL570" s="20"/>
      <c r="AM570" s="20"/>
      <c r="AN570" s="20"/>
      <c r="AO570" s="20"/>
      <c r="AP570" s="20"/>
      <c r="AQ570" s="20"/>
      <c r="AR570" s="20"/>
      <c r="AS570" s="20"/>
      <c r="AT570" s="20"/>
      <c r="AU570" s="20"/>
      <c r="AV570" s="20"/>
    </row>
    <row r="571" spans="1:48" ht="17.25" hidden="1" customHeight="1">
      <c r="A571" s="130"/>
      <c r="B571" s="131"/>
      <c r="C571" s="131"/>
      <c r="D571" s="131"/>
      <c r="E571" s="15"/>
      <c r="F571" s="131"/>
      <c r="G571" s="132"/>
      <c r="H571" s="133"/>
      <c r="I571" s="132"/>
      <c r="J571" s="133"/>
      <c r="K571" s="132"/>
      <c r="L571" s="133"/>
      <c r="M571" s="132"/>
      <c r="N571" s="134"/>
      <c r="O571" s="132"/>
      <c r="P571" s="134"/>
      <c r="Q571" s="132"/>
      <c r="R571" s="135"/>
      <c r="S571" s="132"/>
      <c r="T571" s="134"/>
      <c r="U571" s="131"/>
      <c r="V571" s="148"/>
      <c r="W571" s="131"/>
      <c r="X571" s="131"/>
      <c r="Y571" s="137"/>
      <c r="Z571" s="134"/>
      <c r="AA571" s="134"/>
      <c r="AB571" s="138"/>
      <c r="AC571" s="20"/>
      <c r="AD571" s="20"/>
      <c r="AE571" s="20"/>
      <c r="AF571" s="20"/>
      <c r="AG571" s="20"/>
      <c r="AH571" s="20"/>
      <c r="AI571" s="20"/>
      <c r="AJ571" s="20"/>
      <c r="AK571" s="20"/>
      <c r="AL571" s="20"/>
      <c r="AM571" s="20"/>
      <c r="AN571" s="20"/>
      <c r="AO571" s="20"/>
      <c r="AP571" s="20"/>
      <c r="AQ571" s="20"/>
      <c r="AR571" s="20"/>
      <c r="AS571" s="20"/>
      <c r="AT571" s="20"/>
      <c r="AU571" s="20"/>
      <c r="AV571" s="20"/>
    </row>
    <row r="572" spans="1:48" ht="17.25" hidden="1" customHeight="1">
      <c r="A572" s="130"/>
      <c r="B572" s="131"/>
      <c r="C572" s="131"/>
      <c r="D572" s="131"/>
      <c r="E572" s="15"/>
      <c r="F572" s="131"/>
      <c r="G572" s="132"/>
      <c r="H572" s="133"/>
      <c r="I572" s="132"/>
      <c r="J572" s="133"/>
      <c r="K572" s="132"/>
      <c r="L572" s="133"/>
      <c r="M572" s="132"/>
      <c r="N572" s="134"/>
      <c r="O572" s="132"/>
      <c r="P572" s="134"/>
      <c r="Q572" s="132"/>
      <c r="R572" s="135"/>
      <c r="S572" s="132"/>
      <c r="T572" s="134"/>
      <c r="U572" s="131"/>
      <c r="V572" s="148"/>
      <c r="W572" s="131"/>
      <c r="X572" s="131"/>
      <c r="Y572" s="137"/>
      <c r="Z572" s="134"/>
      <c r="AA572" s="134"/>
      <c r="AB572" s="138"/>
      <c r="AC572" s="20"/>
      <c r="AD572" s="20"/>
      <c r="AE572" s="20"/>
      <c r="AF572" s="20"/>
      <c r="AG572" s="20"/>
      <c r="AH572" s="20"/>
      <c r="AI572" s="20"/>
      <c r="AJ572" s="20"/>
      <c r="AK572" s="20"/>
      <c r="AL572" s="20"/>
      <c r="AM572" s="20"/>
      <c r="AN572" s="20"/>
      <c r="AO572" s="20"/>
      <c r="AP572" s="20"/>
      <c r="AQ572" s="20"/>
      <c r="AR572" s="20"/>
      <c r="AS572" s="20"/>
      <c r="AT572" s="20"/>
      <c r="AU572" s="20"/>
      <c r="AV572" s="20"/>
    </row>
    <row r="573" spans="1:48" ht="17.25" hidden="1" customHeight="1">
      <c r="A573" s="130"/>
      <c r="B573" s="131"/>
      <c r="C573" s="131"/>
      <c r="D573" s="131"/>
      <c r="E573" s="15"/>
      <c r="F573" s="131"/>
      <c r="G573" s="132"/>
      <c r="H573" s="133"/>
      <c r="I573" s="132"/>
      <c r="J573" s="133"/>
      <c r="K573" s="132"/>
      <c r="L573" s="133"/>
      <c r="M573" s="132"/>
      <c r="N573" s="134"/>
      <c r="O573" s="132"/>
      <c r="P573" s="134"/>
      <c r="Q573" s="132"/>
      <c r="R573" s="135"/>
      <c r="S573" s="132"/>
      <c r="T573" s="134"/>
      <c r="U573" s="131"/>
      <c r="V573" s="148"/>
      <c r="W573" s="131"/>
      <c r="X573" s="131"/>
      <c r="Y573" s="137"/>
      <c r="Z573" s="134"/>
      <c r="AA573" s="134"/>
      <c r="AB573" s="138"/>
      <c r="AC573" s="20"/>
      <c r="AD573" s="20"/>
      <c r="AE573" s="20"/>
      <c r="AF573" s="20"/>
      <c r="AG573" s="20"/>
      <c r="AH573" s="20"/>
      <c r="AI573" s="20"/>
      <c r="AJ573" s="20"/>
      <c r="AK573" s="20"/>
      <c r="AL573" s="20"/>
      <c r="AM573" s="20"/>
      <c r="AN573" s="20"/>
      <c r="AO573" s="20"/>
      <c r="AP573" s="20"/>
      <c r="AQ573" s="20"/>
      <c r="AR573" s="20"/>
      <c r="AS573" s="20"/>
      <c r="AT573" s="20"/>
      <c r="AU573" s="20"/>
      <c r="AV573" s="20"/>
    </row>
    <row r="574" spans="1:48" ht="17.25" hidden="1" customHeight="1">
      <c r="A574" s="130"/>
      <c r="B574" s="131"/>
      <c r="C574" s="131"/>
      <c r="D574" s="131"/>
      <c r="E574" s="15"/>
      <c r="F574" s="131"/>
      <c r="G574" s="132"/>
      <c r="H574" s="133"/>
      <c r="I574" s="132"/>
      <c r="J574" s="133"/>
      <c r="K574" s="132"/>
      <c r="L574" s="133"/>
      <c r="M574" s="132"/>
      <c r="N574" s="134"/>
      <c r="O574" s="132"/>
      <c r="P574" s="134"/>
      <c r="Q574" s="132"/>
      <c r="R574" s="135"/>
      <c r="S574" s="132"/>
      <c r="T574" s="134"/>
      <c r="U574" s="131"/>
      <c r="V574" s="148"/>
      <c r="W574" s="131"/>
      <c r="X574" s="131"/>
      <c r="Y574" s="137"/>
      <c r="Z574" s="134"/>
      <c r="AA574" s="134"/>
      <c r="AB574" s="138"/>
      <c r="AC574" s="20"/>
      <c r="AD574" s="20"/>
      <c r="AE574" s="20"/>
      <c r="AF574" s="20"/>
      <c r="AG574" s="20"/>
      <c r="AH574" s="20"/>
      <c r="AI574" s="20"/>
      <c r="AJ574" s="20"/>
      <c r="AK574" s="20"/>
      <c r="AL574" s="20"/>
      <c r="AM574" s="20"/>
      <c r="AN574" s="20"/>
      <c r="AO574" s="20"/>
      <c r="AP574" s="20"/>
      <c r="AQ574" s="20"/>
      <c r="AR574" s="20"/>
      <c r="AS574" s="20"/>
      <c r="AT574" s="20"/>
      <c r="AU574" s="20"/>
      <c r="AV574" s="20"/>
    </row>
    <row r="575" spans="1:48" ht="17.25" hidden="1" customHeight="1">
      <c r="A575" s="130"/>
      <c r="B575" s="131"/>
      <c r="C575" s="131"/>
      <c r="D575" s="131"/>
      <c r="E575" s="15"/>
      <c r="F575" s="131"/>
      <c r="G575" s="132"/>
      <c r="H575" s="133"/>
      <c r="I575" s="132"/>
      <c r="J575" s="133"/>
      <c r="K575" s="132"/>
      <c r="L575" s="133"/>
      <c r="M575" s="132"/>
      <c r="N575" s="134"/>
      <c r="O575" s="132"/>
      <c r="P575" s="134"/>
      <c r="Q575" s="132"/>
      <c r="R575" s="135"/>
      <c r="S575" s="132"/>
      <c r="T575" s="134"/>
      <c r="U575" s="131"/>
      <c r="V575" s="155"/>
      <c r="W575" s="131"/>
      <c r="X575" s="131"/>
      <c r="Y575" s="137"/>
      <c r="Z575" s="134"/>
      <c r="AA575" s="134"/>
      <c r="AB575" s="138"/>
      <c r="AC575" s="20"/>
      <c r="AD575" s="20"/>
      <c r="AE575" s="20"/>
      <c r="AF575" s="20"/>
      <c r="AG575" s="20"/>
      <c r="AH575" s="20"/>
      <c r="AI575" s="20"/>
      <c r="AJ575" s="20"/>
      <c r="AK575" s="20"/>
      <c r="AL575" s="20"/>
      <c r="AM575" s="20"/>
      <c r="AN575" s="20"/>
      <c r="AO575" s="20"/>
      <c r="AP575" s="20"/>
      <c r="AQ575" s="20"/>
      <c r="AR575" s="20"/>
      <c r="AS575" s="20"/>
      <c r="AT575" s="20"/>
      <c r="AU575" s="20"/>
      <c r="AV575" s="20"/>
    </row>
    <row r="576" spans="1:48" ht="17.25" hidden="1" customHeight="1">
      <c r="A576" s="130"/>
      <c r="B576" s="131"/>
      <c r="C576" s="131"/>
      <c r="D576" s="131"/>
      <c r="E576" s="15"/>
      <c r="F576" s="131"/>
      <c r="G576" s="132"/>
      <c r="H576" s="133"/>
      <c r="I576" s="132"/>
      <c r="J576" s="133"/>
      <c r="K576" s="132"/>
      <c r="L576" s="133"/>
      <c r="M576" s="132"/>
      <c r="N576" s="134"/>
      <c r="O576" s="132"/>
      <c r="P576" s="134"/>
      <c r="Q576" s="132"/>
      <c r="R576" s="135"/>
      <c r="S576" s="132"/>
      <c r="T576" s="134"/>
      <c r="U576" s="131"/>
      <c r="V576" s="150"/>
      <c r="W576" s="131"/>
      <c r="X576" s="131"/>
      <c r="Y576" s="137"/>
      <c r="Z576" s="134"/>
      <c r="AA576" s="134"/>
      <c r="AB576" s="138"/>
      <c r="AC576" s="20"/>
      <c r="AD576" s="20"/>
      <c r="AE576" s="20"/>
      <c r="AF576" s="20"/>
      <c r="AG576" s="20"/>
      <c r="AH576" s="20"/>
      <c r="AI576" s="20"/>
      <c r="AJ576" s="20"/>
      <c r="AK576" s="20"/>
      <c r="AL576" s="20"/>
      <c r="AM576" s="20"/>
      <c r="AN576" s="20"/>
      <c r="AO576" s="20"/>
      <c r="AP576" s="20"/>
      <c r="AQ576" s="20"/>
      <c r="AR576" s="20"/>
      <c r="AS576" s="20"/>
      <c r="AT576" s="20"/>
      <c r="AU576" s="20"/>
      <c r="AV576" s="20"/>
    </row>
    <row r="577" spans="1:48" ht="17.25" hidden="1" customHeight="1">
      <c r="A577" s="130"/>
      <c r="B577" s="131"/>
      <c r="C577" s="131"/>
      <c r="D577" s="131"/>
      <c r="E577" s="15"/>
      <c r="F577" s="131"/>
      <c r="G577" s="132"/>
      <c r="H577" s="133"/>
      <c r="I577" s="132"/>
      <c r="J577" s="133"/>
      <c r="K577" s="132"/>
      <c r="L577" s="133"/>
      <c r="M577" s="132"/>
      <c r="N577" s="134"/>
      <c r="O577" s="132"/>
      <c r="P577" s="134"/>
      <c r="Q577" s="132"/>
      <c r="R577" s="135"/>
      <c r="S577" s="132"/>
      <c r="T577" s="134"/>
      <c r="U577" s="131"/>
      <c r="V577" s="136"/>
      <c r="W577" s="131"/>
      <c r="X577" s="131"/>
      <c r="Y577" s="137"/>
      <c r="Z577" s="134"/>
      <c r="AA577" s="134"/>
      <c r="AB577" s="138"/>
      <c r="AC577" s="20"/>
      <c r="AD577" s="20"/>
      <c r="AE577" s="20"/>
      <c r="AF577" s="20"/>
      <c r="AG577" s="20"/>
      <c r="AH577" s="20"/>
      <c r="AI577" s="20"/>
      <c r="AJ577" s="20"/>
      <c r="AK577" s="20"/>
      <c r="AL577" s="20"/>
      <c r="AM577" s="20"/>
      <c r="AN577" s="20"/>
      <c r="AO577" s="20"/>
      <c r="AP577" s="20"/>
      <c r="AQ577" s="20"/>
      <c r="AR577" s="20"/>
      <c r="AS577" s="20"/>
      <c r="AT577" s="20"/>
      <c r="AU577" s="20"/>
      <c r="AV577" s="20"/>
    </row>
    <row r="578" spans="1:48" ht="17.25" hidden="1" customHeight="1">
      <c r="A578" s="130"/>
      <c r="B578" s="131"/>
      <c r="C578" s="131"/>
      <c r="D578" s="131"/>
      <c r="E578" s="15"/>
      <c r="F578" s="131"/>
      <c r="G578" s="132"/>
      <c r="H578" s="133"/>
      <c r="I578" s="132"/>
      <c r="J578" s="133"/>
      <c r="K578" s="132"/>
      <c r="L578" s="133"/>
      <c r="M578" s="132"/>
      <c r="N578" s="134"/>
      <c r="O578" s="132"/>
      <c r="P578" s="134"/>
      <c r="Q578" s="132"/>
      <c r="R578" s="135"/>
      <c r="S578" s="132"/>
      <c r="T578" s="134"/>
      <c r="U578" s="131"/>
      <c r="V578" s="136"/>
      <c r="W578" s="131"/>
      <c r="X578" s="131"/>
      <c r="Y578" s="137"/>
      <c r="Z578" s="134"/>
      <c r="AA578" s="134"/>
      <c r="AB578" s="138"/>
      <c r="AC578" s="20"/>
      <c r="AD578" s="20"/>
      <c r="AE578" s="20"/>
      <c r="AF578" s="20"/>
      <c r="AG578" s="20"/>
      <c r="AH578" s="20"/>
      <c r="AI578" s="20"/>
      <c r="AJ578" s="20"/>
      <c r="AK578" s="20"/>
      <c r="AL578" s="20"/>
      <c r="AM578" s="20"/>
      <c r="AN578" s="20"/>
      <c r="AO578" s="20"/>
      <c r="AP578" s="20"/>
      <c r="AQ578" s="20"/>
      <c r="AR578" s="20"/>
      <c r="AS578" s="20"/>
      <c r="AT578" s="20"/>
      <c r="AU578" s="20"/>
      <c r="AV578" s="20"/>
    </row>
    <row r="579" spans="1:48" ht="17.25" hidden="1" customHeight="1">
      <c r="A579" s="130"/>
      <c r="B579" s="131"/>
      <c r="C579" s="131"/>
      <c r="D579" s="131"/>
      <c r="E579" s="15"/>
      <c r="F579" s="131"/>
      <c r="G579" s="132"/>
      <c r="H579" s="133"/>
      <c r="I579" s="132"/>
      <c r="J579" s="133"/>
      <c r="K579" s="132"/>
      <c r="L579" s="133"/>
      <c r="M579" s="132"/>
      <c r="N579" s="134"/>
      <c r="O579" s="132"/>
      <c r="P579" s="134"/>
      <c r="Q579" s="132"/>
      <c r="R579" s="135"/>
      <c r="S579" s="132"/>
      <c r="T579" s="134"/>
      <c r="U579" s="131"/>
      <c r="V579" s="136"/>
      <c r="W579" s="131"/>
      <c r="X579" s="131"/>
      <c r="Y579" s="137"/>
      <c r="Z579" s="134"/>
      <c r="AA579" s="134"/>
      <c r="AB579" s="138"/>
      <c r="AC579" s="20"/>
      <c r="AD579" s="20"/>
      <c r="AE579" s="20"/>
      <c r="AF579" s="20"/>
      <c r="AG579" s="20"/>
      <c r="AH579" s="20"/>
      <c r="AI579" s="20"/>
      <c r="AJ579" s="20"/>
      <c r="AK579" s="20"/>
      <c r="AL579" s="20"/>
      <c r="AM579" s="20"/>
      <c r="AN579" s="20"/>
      <c r="AO579" s="20"/>
      <c r="AP579" s="20"/>
      <c r="AQ579" s="20"/>
      <c r="AR579" s="20"/>
      <c r="AS579" s="20"/>
      <c r="AT579" s="20"/>
      <c r="AU579" s="20"/>
      <c r="AV579" s="20"/>
    </row>
    <row r="580" spans="1:48" ht="17.25" hidden="1" customHeight="1">
      <c r="A580" s="130"/>
      <c r="B580" s="131"/>
      <c r="C580" s="131"/>
      <c r="D580" s="131"/>
      <c r="E580" s="15"/>
      <c r="F580" s="131"/>
      <c r="G580" s="132"/>
      <c r="H580" s="133"/>
      <c r="I580" s="132"/>
      <c r="J580" s="133"/>
      <c r="K580" s="132"/>
      <c r="L580" s="133"/>
      <c r="M580" s="132"/>
      <c r="N580" s="134"/>
      <c r="O580" s="132"/>
      <c r="P580" s="134"/>
      <c r="Q580" s="132"/>
      <c r="R580" s="135"/>
      <c r="S580" s="132"/>
      <c r="T580" s="134"/>
      <c r="U580" s="131"/>
      <c r="V580" s="136"/>
      <c r="W580" s="131"/>
      <c r="X580" s="131"/>
      <c r="Y580" s="137"/>
      <c r="Z580" s="134"/>
      <c r="AA580" s="134"/>
      <c r="AB580" s="138"/>
      <c r="AC580" s="20"/>
      <c r="AD580" s="20"/>
      <c r="AE580" s="20"/>
      <c r="AF580" s="20"/>
      <c r="AG580" s="20"/>
      <c r="AH580" s="20"/>
      <c r="AI580" s="20"/>
      <c r="AJ580" s="20"/>
      <c r="AK580" s="20"/>
      <c r="AL580" s="20"/>
      <c r="AM580" s="20"/>
      <c r="AN580" s="20"/>
      <c r="AO580" s="20"/>
      <c r="AP580" s="20"/>
      <c r="AQ580" s="20"/>
      <c r="AR580" s="20"/>
      <c r="AS580" s="20"/>
      <c r="AT580" s="20"/>
      <c r="AU580" s="20"/>
      <c r="AV580" s="20"/>
    </row>
    <row r="581" spans="1:48" ht="17.25" hidden="1" customHeight="1">
      <c r="A581" s="130"/>
      <c r="B581" s="131"/>
      <c r="C581" s="131"/>
      <c r="D581" s="131"/>
      <c r="E581" s="15"/>
      <c r="F581" s="131"/>
      <c r="G581" s="132"/>
      <c r="H581" s="133"/>
      <c r="I581" s="132"/>
      <c r="J581" s="133"/>
      <c r="K581" s="132"/>
      <c r="L581" s="133"/>
      <c r="M581" s="132"/>
      <c r="N581" s="134"/>
      <c r="O581" s="132"/>
      <c r="P581" s="134"/>
      <c r="Q581" s="132"/>
      <c r="R581" s="135"/>
      <c r="S581" s="132"/>
      <c r="T581" s="134"/>
      <c r="U581" s="131"/>
      <c r="V581" s="136"/>
      <c r="W581" s="131"/>
      <c r="X581" s="131"/>
      <c r="Y581" s="137"/>
      <c r="Z581" s="134"/>
      <c r="AA581" s="134"/>
      <c r="AB581" s="138"/>
      <c r="AC581" s="20"/>
      <c r="AD581" s="20"/>
      <c r="AE581" s="20"/>
      <c r="AF581" s="20"/>
      <c r="AG581" s="20"/>
      <c r="AH581" s="20"/>
      <c r="AI581" s="20"/>
      <c r="AJ581" s="20"/>
      <c r="AK581" s="20"/>
      <c r="AL581" s="20"/>
      <c r="AM581" s="20"/>
      <c r="AN581" s="20"/>
      <c r="AO581" s="20"/>
      <c r="AP581" s="20"/>
      <c r="AQ581" s="20"/>
      <c r="AR581" s="20"/>
      <c r="AS581" s="20"/>
      <c r="AT581" s="20"/>
      <c r="AU581" s="20"/>
      <c r="AV581" s="20"/>
    </row>
    <row r="582" spans="1:48" ht="17.25" hidden="1" customHeight="1">
      <c r="A582" s="130"/>
      <c r="B582" s="131"/>
      <c r="C582" s="131"/>
      <c r="D582" s="131"/>
      <c r="E582" s="15"/>
      <c r="F582" s="131"/>
      <c r="G582" s="132"/>
      <c r="H582" s="133"/>
      <c r="I582" s="132"/>
      <c r="J582" s="133"/>
      <c r="K582" s="132"/>
      <c r="L582" s="133"/>
      <c r="M582" s="132"/>
      <c r="N582" s="134"/>
      <c r="O582" s="132"/>
      <c r="P582" s="134"/>
      <c r="Q582" s="132"/>
      <c r="R582" s="135"/>
      <c r="S582" s="132"/>
      <c r="T582" s="134"/>
      <c r="U582" s="131"/>
      <c r="V582" s="136"/>
      <c r="W582" s="131"/>
      <c r="X582" s="131"/>
      <c r="Y582" s="137"/>
      <c r="Z582" s="134"/>
      <c r="AA582" s="134"/>
      <c r="AB582" s="138"/>
      <c r="AC582" s="20"/>
      <c r="AD582" s="20"/>
      <c r="AE582" s="20"/>
      <c r="AF582" s="20"/>
      <c r="AG582" s="20"/>
      <c r="AH582" s="20"/>
      <c r="AI582" s="20"/>
      <c r="AJ582" s="20"/>
      <c r="AK582" s="20"/>
      <c r="AL582" s="20"/>
      <c r="AM582" s="20"/>
      <c r="AN582" s="20"/>
      <c r="AO582" s="20"/>
      <c r="AP582" s="20"/>
      <c r="AQ582" s="20"/>
      <c r="AR582" s="20"/>
      <c r="AS582" s="20"/>
      <c r="AT582" s="20"/>
      <c r="AU582" s="20"/>
      <c r="AV582" s="20"/>
    </row>
    <row r="583" spans="1:48" ht="17.25" hidden="1" customHeight="1">
      <c r="A583" s="130"/>
      <c r="B583" s="131"/>
      <c r="C583" s="131"/>
      <c r="D583" s="131"/>
      <c r="E583" s="15"/>
      <c r="F583" s="131"/>
      <c r="G583" s="132"/>
      <c r="H583" s="133"/>
      <c r="I583" s="132"/>
      <c r="J583" s="133"/>
      <c r="K583" s="132"/>
      <c r="L583" s="133"/>
      <c r="M583" s="132"/>
      <c r="N583" s="134"/>
      <c r="O583" s="132"/>
      <c r="P583" s="134"/>
      <c r="Q583" s="132"/>
      <c r="R583" s="135"/>
      <c r="S583" s="132"/>
      <c r="T583" s="134"/>
      <c r="U583" s="131"/>
      <c r="V583" s="136"/>
      <c r="W583" s="131"/>
      <c r="X583" s="131"/>
      <c r="Y583" s="137"/>
      <c r="Z583" s="134"/>
      <c r="AA583" s="134"/>
      <c r="AB583" s="138"/>
      <c r="AC583" s="20"/>
      <c r="AD583" s="20"/>
      <c r="AE583" s="20"/>
      <c r="AF583" s="20"/>
      <c r="AG583" s="20"/>
      <c r="AH583" s="20"/>
      <c r="AI583" s="20"/>
      <c r="AJ583" s="20"/>
      <c r="AK583" s="20"/>
      <c r="AL583" s="20"/>
      <c r="AM583" s="20"/>
      <c r="AN583" s="20"/>
      <c r="AO583" s="20"/>
      <c r="AP583" s="20"/>
      <c r="AQ583" s="20"/>
      <c r="AR583" s="20"/>
      <c r="AS583" s="20"/>
      <c r="AT583" s="20"/>
      <c r="AU583" s="20"/>
      <c r="AV583" s="20"/>
    </row>
    <row r="584" spans="1:48" ht="17.25" hidden="1" customHeight="1">
      <c r="A584" s="130"/>
      <c r="B584" s="131"/>
      <c r="C584" s="131"/>
      <c r="D584" s="131"/>
      <c r="E584" s="15"/>
      <c r="F584" s="131"/>
      <c r="G584" s="132"/>
      <c r="H584" s="133"/>
      <c r="I584" s="132"/>
      <c r="J584" s="133"/>
      <c r="K584" s="132"/>
      <c r="L584" s="133"/>
      <c r="M584" s="132"/>
      <c r="N584" s="134"/>
      <c r="O584" s="132"/>
      <c r="P584" s="134"/>
      <c r="Q584" s="132"/>
      <c r="R584" s="135"/>
      <c r="S584" s="132"/>
      <c r="T584" s="134"/>
      <c r="U584" s="131"/>
      <c r="V584" s="139"/>
      <c r="W584" s="131"/>
      <c r="X584" s="131"/>
      <c r="Y584" s="137"/>
      <c r="Z584" s="134"/>
      <c r="AA584" s="134"/>
      <c r="AB584" s="138"/>
      <c r="AC584" s="20"/>
      <c r="AD584" s="20"/>
      <c r="AE584" s="20"/>
      <c r="AF584" s="20"/>
      <c r="AG584" s="20"/>
      <c r="AH584" s="20"/>
      <c r="AI584" s="20"/>
      <c r="AJ584" s="20"/>
      <c r="AK584" s="20"/>
      <c r="AL584" s="20"/>
      <c r="AM584" s="20"/>
      <c r="AN584" s="20"/>
      <c r="AO584" s="20"/>
      <c r="AP584" s="20"/>
      <c r="AQ584" s="20"/>
      <c r="AR584" s="20"/>
      <c r="AS584" s="20"/>
      <c r="AT584" s="20"/>
      <c r="AU584" s="20"/>
      <c r="AV584" s="20"/>
    </row>
    <row r="585" spans="1:48" ht="17.25" hidden="1" customHeight="1">
      <c r="A585" s="130"/>
      <c r="B585" s="131"/>
      <c r="C585" s="131"/>
      <c r="D585" s="131"/>
      <c r="E585" s="15"/>
      <c r="F585" s="131"/>
      <c r="G585" s="132"/>
      <c r="H585" s="133"/>
      <c r="I585" s="132"/>
      <c r="J585" s="133"/>
      <c r="K585" s="132"/>
      <c r="L585" s="133"/>
      <c r="M585" s="132"/>
      <c r="N585" s="134"/>
      <c r="O585" s="132"/>
      <c r="P585" s="134"/>
      <c r="Q585" s="132"/>
      <c r="R585" s="135"/>
      <c r="S585" s="132"/>
      <c r="T585" s="134"/>
      <c r="U585" s="131"/>
      <c r="V585" s="140"/>
      <c r="W585" s="131"/>
      <c r="X585" s="131"/>
      <c r="Y585" s="137"/>
      <c r="Z585" s="134"/>
      <c r="AA585" s="134"/>
      <c r="AB585" s="138"/>
      <c r="AC585" s="20"/>
      <c r="AD585" s="20"/>
      <c r="AE585" s="20"/>
      <c r="AF585" s="20"/>
      <c r="AG585" s="20"/>
      <c r="AH585" s="20"/>
      <c r="AI585" s="20"/>
      <c r="AJ585" s="20"/>
      <c r="AK585" s="20"/>
      <c r="AL585" s="20"/>
      <c r="AM585" s="20"/>
      <c r="AN585" s="20"/>
      <c r="AO585" s="20"/>
      <c r="AP585" s="20"/>
      <c r="AQ585" s="20"/>
      <c r="AR585" s="20"/>
      <c r="AS585" s="20"/>
      <c r="AT585" s="20"/>
      <c r="AU585" s="20"/>
      <c r="AV585" s="20"/>
    </row>
    <row r="586" spans="1:48" ht="17.25" hidden="1" customHeight="1">
      <c r="A586" s="130"/>
      <c r="B586" s="131"/>
      <c r="C586" s="131"/>
      <c r="D586" s="131"/>
      <c r="E586" s="15"/>
      <c r="F586" s="131"/>
      <c r="G586" s="132"/>
      <c r="H586" s="133"/>
      <c r="I586" s="132"/>
      <c r="J586" s="133"/>
      <c r="K586" s="132"/>
      <c r="L586" s="133"/>
      <c r="M586" s="132"/>
      <c r="N586" s="134"/>
      <c r="O586" s="132"/>
      <c r="P586" s="134"/>
      <c r="Q586" s="132"/>
      <c r="R586" s="135"/>
      <c r="S586" s="132"/>
      <c r="T586" s="134"/>
      <c r="U586" s="131"/>
      <c r="V586" s="140"/>
      <c r="W586" s="131"/>
      <c r="X586" s="131"/>
      <c r="Y586" s="137"/>
      <c r="Z586" s="134"/>
      <c r="AA586" s="134"/>
      <c r="AB586" s="138"/>
      <c r="AC586" s="20"/>
      <c r="AD586" s="20"/>
      <c r="AE586" s="20"/>
      <c r="AF586" s="20"/>
      <c r="AG586" s="20"/>
      <c r="AH586" s="20"/>
      <c r="AI586" s="20"/>
      <c r="AJ586" s="20"/>
      <c r="AK586" s="20"/>
      <c r="AL586" s="20"/>
      <c r="AM586" s="20"/>
      <c r="AN586" s="20"/>
      <c r="AO586" s="20"/>
      <c r="AP586" s="20"/>
      <c r="AQ586" s="20"/>
      <c r="AR586" s="20"/>
      <c r="AS586" s="20"/>
      <c r="AT586" s="20"/>
      <c r="AU586" s="20"/>
      <c r="AV586" s="20"/>
    </row>
    <row r="587" spans="1:48" ht="17.25" hidden="1" customHeight="1">
      <c r="A587" s="130"/>
      <c r="B587" s="131"/>
      <c r="C587" s="131"/>
      <c r="D587" s="131"/>
      <c r="E587" s="15"/>
      <c r="F587" s="131"/>
      <c r="G587" s="132"/>
      <c r="H587" s="133"/>
      <c r="I587" s="132"/>
      <c r="J587" s="133"/>
      <c r="K587" s="132"/>
      <c r="L587" s="133"/>
      <c r="M587" s="132"/>
      <c r="N587" s="134"/>
      <c r="O587" s="132"/>
      <c r="P587" s="134"/>
      <c r="Q587" s="132"/>
      <c r="R587" s="135"/>
      <c r="S587" s="132"/>
      <c r="T587" s="134"/>
      <c r="U587" s="131"/>
      <c r="V587" s="140"/>
      <c r="W587" s="131"/>
      <c r="X587" s="131"/>
      <c r="Y587" s="137"/>
      <c r="Z587" s="134"/>
      <c r="AA587" s="134"/>
      <c r="AB587" s="138"/>
      <c r="AC587" s="20"/>
      <c r="AD587" s="20"/>
      <c r="AE587" s="20"/>
      <c r="AF587" s="20"/>
      <c r="AG587" s="20"/>
      <c r="AH587" s="20"/>
      <c r="AI587" s="20"/>
      <c r="AJ587" s="20"/>
      <c r="AK587" s="20"/>
      <c r="AL587" s="20"/>
      <c r="AM587" s="20"/>
      <c r="AN587" s="20"/>
      <c r="AO587" s="20"/>
      <c r="AP587" s="20"/>
      <c r="AQ587" s="20"/>
      <c r="AR587" s="20"/>
      <c r="AS587" s="20"/>
      <c r="AT587" s="20"/>
      <c r="AU587" s="20"/>
      <c r="AV587" s="20"/>
    </row>
    <row r="588" spans="1:48" ht="17.25" hidden="1" customHeight="1">
      <c r="A588" s="130"/>
      <c r="B588" s="131"/>
      <c r="C588" s="131"/>
      <c r="D588" s="131"/>
      <c r="E588" s="15"/>
      <c r="F588" s="131"/>
      <c r="G588" s="132"/>
      <c r="H588" s="133"/>
      <c r="I588" s="132"/>
      <c r="J588" s="133"/>
      <c r="K588" s="132"/>
      <c r="L588" s="133"/>
      <c r="M588" s="132"/>
      <c r="N588" s="134"/>
      <c r="O588" s="132"/>
      <c r="P588" s="134"/>
      <c r="Q588" s="132"/>
      <c r="R588" s="135"/>
      <c r="S588" s="132"/>
      <c r="T588" s="134"/>
      <c r="U588" s="131"/>
      <c r="V588" s="140"/>
      <c r="W588" s="131"/>
      <c r="X588" s="131"/>
      <c r="Y588" s="137"/>
      <c r="Z588" s="134"/>
      <c r="AA588" s="134"/>
      <c r="AB588" s="138"/>
      <c r="AC588" s="20"/>
      <c r="AD588" s="20"/>
      <c r="AE588" s="20"/>
      <c r="AF588" s="20"/>
      <c r="AG588" s="20"/>
      <c r="AH588" s="20"/>
      <c r="AI588" s="20"/>
      <c r="AJ588" s="20"/>
      <c r="AK588" s="20"/>
      <c r="AL588" s="20"/>
      <c r="AM588" s="20"/>
      <c r="AN588" s="20"/>
      <c r="AO588" s="20"/>
      <c r="AP588" s="20"/>
      <c r="AQ588" s="20"/>
      <c r="AR588" s="20"/>
      <c r="AS588" s="20"/>
      <c r="AT588" s="20"/>
      <c r="AU588" s="20"/>
      <c r="AV588" s="20"/>
    </row>
    <row r="589" spans="1:48" ht="17.25" hidden="1" customHeight="1">
      <c r="A589" s="130"/>
      <c r="B589" s="131"/>
      <c r="C589" s="131"/>
      <c r="D589" s="131"/>
      <c r="E589" s="15"/>
      <c r="F589" s="131"/>
      <c r="G589" s="132"/>
      <c r="H589" s="133"/>
      <c r="I589" s="132"/>
      <c r="J589" s="133"/>
      <c r="K589" s="132"/>
      <c r="L589" s="133"/>
      <c r="M589" s="132"/>
      <c r="N589" s="134"/>
      <c r="O589" s="132"/>
      <c r="P589" s="134"/>
      <c r="Q589" s="132"/>
      <c r="R589" s="135"/>
      <c r="S589" s="132"/>
      <c r="T589" s="134"/>
      <c r="U589" s="131"/>
      <c r="V589" s="140"/>
      <c r="W589" s="131"/>
      <c r="X589" s="131"/>
      <c r="Y589" s="137"/>
      <c r="Z589" s="134"/>
      <c r="AA589" s="134"/>
      <c r="AB589" s="138"/>
      <c r="AC589" s="20"/>
      <c r="AD589" s="20"/>
      <c r="AE589" s="20"/>
      <c r="AF589" s="20"/>
      <c r="AG589" s="20"/>
      <c r="AH589" s="20"/>
      <c r="AI589" s="20"/>
      <c r="AJ589" s="20"/>
      <c r="AK589" s="20"/>
      <c r="AL589" s="20"/>
      <c r="AM589" s="20"/>
      <c r="AN589" s="20"/>
      <c r="AO589" s="20"/>
      <c r="AP589" s="20"/>
      <c r="AQ589" s="20"/>
      <c r="AR589" s="20"/>
      <c r="AS589" s="20"/>
      <c r="AT589" s="20"/>
      <c r="AU589" s="20"/>
      <c r="AV589" s="20"/>
    </row>
    <row r="590" spans="1:48" ht="17.25" hidden="1" customHeight="1">
      <c r="A590" s="130"/>
      <c r="B590" s="131"/>
      <c r="C590" s="131"/>
      <c r="D590" s="131"/>
      <c r="E590" s="15"/>
      <c r="F590" s="131"/>
      <c r="G590" s="132"/>
      <c r="H590" s="133"/>
      <c r="I590" s="132"/>
      <c r="J590" s="133"/>
      <c r="K590" s="132"/>
      <c r="L590" s="133"/>
      <c r="M590" s="132"/>
      <c r="N590" s="134"/>
      <c r="O590" s="132"/>
      <c r="P590" s="134"/>
      <c r="Q590" s="132"/>
      <c r="R590" s="135"/>
      <c r="S590" s="132"/>
      <c r="T590" s="134"/>
      <c r="U590" s="131"/>
      <c r="V590" s="140"/>
      <c r="W590" s="131"/>
      <c r="X590" s="131"/>
      <c r="Y590" s="137"/>
      <c r="Z590" s="134"/>
      <c r="AA590" s="134"/>
      <c r="AB590" s="138"/>
      <c r="AC590" s="20"/>
      <c r="AD590" s="20"/>
      <c r="AE590" s="20"/>
      <c r="AF590" s="20"/>
      <c r="AG590" s="20"/>
      <c r="AH590" s="20"/>
      <c r="AI590" s="20"/>
      <c r="AJ590" s="20"/>
      <c r="AK590" s="20"/>
      <c r="AL590" s="20"/>
      <c r="AM590" s="20"/>
      <c r="AN590" s="20"/>
      <c r="AO590" s="20"/>
      <c r="AP590" s="20"/>
      <c r="AQ590" s="20"/>
      <c r="AR590" s="20"/>
      <c r="AS590" s="20"/>
      <c r="AT590" s="20"/>
      <c r="AU590" s="20"/>
      <c r="AV590" s="20"/>
    </row>
    <row r="591" spans="1:48" ht="17.25" hidden="1" customHeight="1">
      <c r="A591" s="130"/>
      <c r="B591" s="131"/>
      <c r="C591" s="131"/>
      <c r="D591" s="131"/>
      <c r="E591" s="15"/>
      <c r="F591" s="131"/>
      <c r="G591" s="132"/>
      <c r="H591" s="133"/>
      <c r="I591" s="132"/>
      <c r="J591" s="133"/>
      <c r="K591" s="132"/>
      <c r="L591" s="133"/>
      <c r="M591" s="132"/>
      <c r="N591" s="134"/>
      <c r="O591" s="132"/>
      <c r="P591" s="134"/>
      <c r="Q591" s="132"/>
      <c r="R591" s="135"/>
      <c r="S591" s="132"/>
      <c r="T591" s="134"/>
      <c r="U591" s="131"/>
      <c r="V591" s="140"/>
      <c r="W591" s="131"/>
      <c r="X591" s="131"/>
      <c r="Y591" s="137"/>
      <c r="Z591" s="134"/>
      <c r="AA591" s="134"/>
      <c r="AB591" s="138"/>
      <c r="AC591" s="20"/>
      <c r="AD591" s="20"/>
      <c r="AE591" s="20"/>
      <c r="AF591" s="20"/>
      <c r="AG591" s="20"/>
      <c r="AH591" s="20"/>
      <c r="AI591" s="20"/>
      <c r="AJ591" s="20"/>
      <c r="AK591" s="20"/>
      <c r="AL591" s="20"/>
      <c r="AM591" s="20"/>
      <c r="AN591" s="20"/>
      <c r="AO591" s="20"/>
      <c r="AP591" s="20"/>
      <c r="AQ591" s="20"/>
      <c r="AR591" s="20"/>
      <c r="AS591" s="20"/>
      <c r="AT591" s="20"/>
      <c r="AU591" s="20"/>
      <c r="AV591" s="20"/>
    </row>
    <row r="592" spans="1:48" ht="17.25" hidden="1" customHeight="1">
      <c r="A592" s="130"/>
      <c r="B592" s="131"/>
      <c r="C592" s="131"/>
      <c r="D592" s="131"/>
      <c r="E592" s="15"/>
      <c r="F592" s="131"/>
      <c r="G592" s="132"/>
      <c r="H592" s="133"/>
      <c r="I592" s="132"/>
      <c r="J592" s="133"/>
      <c r="K592" s="132"/>
      <c r="L592" s="133"/>
      <c r="M592" s="132"/>
      <c r="N592" s="134"/>
      <c r="O592" s="132"/>
      <c r="P592" s="134"/>
      <c r="Q592" s="132"/>
      <c r="R592" s="135"/>
      <c r="S592" s="132"/>
      <c r="T592" s="134"/>
      <c r="U592" s="131"/>
      <c r="V592" s="140"/>
      <c r="W592" s="131"/>
      <c r="X592" s="131"/>
      <c r="Y592" s="137"/>
      <c r="Z592" s="134"/>
      <c r="AA592" s="134"/>
      <c r="AB592" s="138"/>
      <c r="AC592" s="20"/>
      <c r="AD592" s="20"/>
      <c r="AE592" s="20"/>
      <c r="AF592" s="20"/>
      <c r="AG592" s="20"/>
      <c r="AH592" s="20"/>
      <c r="AI592" s="20"/>
      <c r="AJ592" s="20"/>
      <c r="AK592" s="20"/>
      <c r="AL592" s="20"/>
      <c r="AM592" s="20"/>
      <c r="AN592" s="20"/>
      <c r="AO592" s="20"/>
      <c r="AP592" s="20"/>
      <c r="AQ592" s="20"/>
      <c r="AR592" s="20"/>
      <c r="AS592" s="20"/>
      <c r="AT592" s="20"/>
      <c r="AU592" s="20"/>
      <c r="AV592" s="20"/>
    </row>
    <row r="593" spans="1:48" ht="17.25" hidden="1" customHeight="1">
      <c r="A593" s="130"/>
      <c r="B593" s="131"/>
      <c r="C593" s="131"/>
      <c r="D593" s="131"/>
      <c r="E593" s="15"/>
      <c r="F593" s="131"/>
      <c r="G593" s="132"/>
      <c r="H593" s="133"/>
      <c r="I593" s="132"/>
      <c r="J593" s="133"/>
      <c r="K593" s="132"/>
      <c r="L593" s="131"/>
      <c r="M593" s="132"/>
      <c r="N593" s="134"/>
      <c r="O593" s="132"/>
      <c r="P593" s="134"/>
      <c r="Q593" s="132"/>
      <c r="R593" s="135"/>
      <c r="S593" s="132"/>
      <c r="T593" s="134"/>
      <c r="U593" s="131"/>
      <c r="V593" s="143"/>
      <c r="W593" s="131"/>
      <c r="X593" s="131"/>
      <c r="Y593" s="137"/>
      <c r="Z593" s="134"/>
      <c r="AA593" s="134"/>
      <c r="AB593" s="138"/>
      <c r="AC593" s="20"/>
      <c r="AD593" s="20"/>
      <c r="AE593" s="20"/>
      <c r="AF593" s="20"/>
      <c r="AG593" s="20"/>
      <c r="AH593" s="20"/>
      <c r="AI593" s="20"/>
      <c r="AJ593" s="20"/>
      <c r="AK593" s="20"/>
      <c r="AL593" s="20"/>
      <c r="AM593" s="20"/>
      <c r="AN593" s="20"/>
      <c r="AO593" s="20"/>
      <c r="AP593" s="20"/>
      <c r="AQ593" s="20"/>
      <c r="AR593" s="20"/>
      <c r="AS593" s="20"/>
      <c r="AT593" s="20"/>
      <c r="AU593" s="20"/>
      <c r="AV593" s="20"/>
    </row>
    <row r="594" spans="1:48" ht="17.25" hidden="1" customHeight="1">
      <c r="A594" s="130"/>
      <c r="B594" s="131"/>
      <c r="C594" s="131"/>
      <c r="D594" s="131"/>
      <c r="E594" s="15"/>
      <c r="F594" s="131"/>
      <c r="G594" s="132"/>
      <c r="H594" s="133"/>
      <c r="I594" s="132"/>
      <c r="J594" s="133"/>
      <c r="K594" s="132"/>
      <c r="L594" s="131"/>
      <c r="M594" s="132"/>
      <c r="N594" s="134"/>
      <c r="O594" s="132"/>
      <c r="P594" s="134"/>
      <c r="Q594" s="132"/>
      <c r="R594" s="135"/>
      <c r="S594" s="132"/>
      <c r="T594" s="134"/>
      <c r="U594" s="131"/>
      <c r="V594" s="144"/>
      <c r="W594" s="131"/>
      <c r="X594" s="131"/>
      <c r="Y594" s="137"/>
      <c r="Z594" s="134"/>
      <c r="AA594" s="134"/>
      <c r="AB594" s="138"/>
      <c r="AC594" s="20"/>
      <c r="AD594" s="20"/>
      <c r="AE594" s="20"/>
      <c r="AF594" s="20"/>
      <c r="AG594" s="20"/>
      <c r="AH594" s="20"/>
      <c r="AI594" s="20"/>
      <c r="AJ594" s="20"/>
      <c r="AK594" s="20"/>
      <c r="AL594" s="20"/>
      <c r="AM594" s="20"/>
      <c r="AN594" s="20"/>
      <c r="AO594" s="20"/>
      <c r="AP594" s="20"/>
      <c r="AQ594" s="20"/>
      <c r="AR594" s="20"/>
      <c r="AS594" s="20"/>
      <c r="AT594" s="20"/>
      <c r="AU594" s="20"/>
      <c r="AV594" s="20"/>
    </row>
    <row r="595" spans="1:48" ht="17.25" hidden="1" customHeight="1">
      <c r="A595" s="130"/>
      <c r="B595" s="131"/>
      <c r="C595" s="131"/>
      <c r="D595" s="131"/>
      <c r="E595" s="15"/>
      <c r="F595" s="131"/>
      <c r="G595" s="132"/>
      <c r="H595" s="133"/>
      <c r="I595" s="132"/>
      <c r="J595" s="133"/>
      <c r="K595" s="132"/>
      <c r="L595" s="131"/>
      <c r="M595" s="132"/>
      <c r="N595" s="134"/>
      <c r="O595" s="132"/>
      <c r="P595" s="134"/>
      <c r="Q595" s="132"/>
      <c r="R595" s="135"/>
      <c r="S595" s="132"/>
      <c r="T595" s="134"/>
      <c r="U595" s="131"/>
      <c r="V595" s="145"/>
      <c r="W595" s="131"/>
      <c r="X595" s="131"/>
      <c r="Y595" s="137"/>
      <c r="Z595" s="134"/>
      <c r="AA595" s="134"/>
      <c r="AB595" s="138"/>
      <c r="AC595" s="20"/>
      <c r="AD595" s="20"/>
      <c r="AE595" s="20"/>
      <c r="AF595" s="20"/>
      <c r="AG595" s="20"/>
      <c r="AH595" s="20"/>
      <c r="AI595" s="20"/>
      <c r="AJ595" s="20"/>
      <c r="AK595" s="20"/>
      <c r="AL595" s="20"/>
      <c r="AM595" s="20"/>
      <c r="AN595" s="20"/>
      <c r="AO595" s="20"/>
      <c r="AP595" s="20"/>
      <c r="AQ595" s="20"/>
      <c r="AR595" s="20"/>
      <c r="AS595" s="20"/>
      <c r="AT595" s="20"/>
      <c r="AU595" s="20"/>
      <c r="AV595" s="20"/>
    </row>
    <row r="596" spans="1:48" ht="17.25" hidden="1" customHeight="1">
      <c r="A596" s="130"/>
      <c r="B596" s="131"/>
      <c r="C596" s="131"/>
      <c r="D596" s="131"/>
      <c r="E596" s="15"/>
      <c r="F596" s="131"/>
      <c r="G596" s="132"/>
      <c r="H596" s="133"/>
      <c r="I596" s="132"/>
      <c r="J596" s="133"/>
      <c r="K596" s="132"/>
      <c r="L596" s="133"/>
      <c r="M596" s="132"/>
      <c r="N596" s="134"/>
      <c r="O596" s="132"/>
      <c r="P596" s="134"/>
      <c r="Q596" s="132"/>
      <c r="R596" s="135"/>
      <c r="S596" s="132"/>
      <c r="T596" s="134"/>
      <c r="U596" s="131"/>
      <c r="V596" s="145"/>
      <c r="W596" s="131"/>
      <c r="X596" s="131"/>
      <c r="Y596" s="137"/>
      <c r="Z596" s="134"/>
      <c r="AA596" s="134"/>
      <c r="AB596" s="138"/>
      <c r="AC596" s="20"/>
      <c r="AD596" s="20"/>
      <c r="AE596" s="20"/>
      <c r="AF596" s="20"/>
      <c r="AG596" s="20"/>
      <c r="AH596" s="20"/>
      <c r="AI596" s="20"/>
      <c r="AJ596" s="20"/>
      <c r="AK596" s="20"/>
      <c r="AL596" s="20"/>
      <c r="AM596" s="20"/>
      <c r="AN596" s="20"/>
      <c r="AO596" s="20"/>
      <c r="AP596" s="20"/>
      <c r="AQ596" s="20"/>
      <c r="AR596" s="20"/>
      <c r="AS596" s="20"/>
      <c r="AT596" s="20"/>
      <c r="AU596" s="20"/>
      <c r="AV596" s="20"/>
    </row>
    <row r="597" spans="1:48" ht="17.25" hidden="1" customHeight="1">
      <c r="A597" s="130"/>
      <c r="B597" s="131"/>
      <c r="C597" s="131"/>
      <c r="D597" s="131"/>
      <c r="E597" s="15"/>
      <c r="F597" s="131"/>
      <c r="G597" s="132"/>
      <c r="H597" s="133"/>
      <c r="I597" s="132"/>
      <c r="J597" s="133"/>
      <c r="K597" s="132"/>
      <c r="L597" s="131"/>
      <c r="M597" s="132"/>
      <c r="N597" s="134"/>
      <c r="O597" s="132"/>
      <c r="P597" s="134"/>
      <c r="Q597" s="132"/>
      <c r="R597" s="135"/>
      <c r="S597" s="132"/>
      <c r="T597" s="134"/>
      <c r="U597" s="131"/>
      <c r="V597" s="145"/>
      <c r="W597" s="131"/>
      <c r="X597" s="131"/>
      <c r="Y597" s="137"/>
      <c r="Z597" s="134"/>
      <c r="AA597" s="134"/>
      <c r="AB597" s="138"/>
      <c r="AC597" s="20"/>
      <c r="AD597" s="20"/>
      <c r="AE597" s="20"/>
      <c r="AF597" s="20"/>
      <c r="AG597" s="20"/>
      <c r="AH597" s="20"/>
      <c r="AI597" s="20"/>
      <c r="AJ597" s="20"/>
      <c r="AK597" s="20"/>
      <c r="AL597" s="20"/>
      <c r="AM597" s="20"/>
      <c r="AN597" s="20"/>
      <c r="AO597" s="20"/>
      <c r="AP597" s="20"/>
      <c r="AQ597" s="20"/>
      <c r="AR597" s="20"/>
      <c r="AS597" s="20"/>
      <c r="AT597" s="20"/>
      <c r="AU597" s="20"/>
      <c r="AV597" s="20"/>
    </row>
    <row r="598" spans="1:48" ht="17.25" hidden="1" customHeight="1">
      <c r="A598" s="130"/>
      <c r="B598" s="131"/>
      <c r="C598" s="131"/>
      <c r="D598" s="131"/>
      <c r="E598" s="15"/>
      <c r="F598" s="131"/>
      <c r="G598" s="132"/>
      <c r="H598" s="133"/>
      <c r="I598" s="132"/>
      <c r="J598" s="133"/>
      <c r="K598" s="132"/>
      <c r="L598" s="133"/>
      <c r="M598" s="132"/>
      <c r="N598" s="134"/>
      <c r="O598" s="132"/>
      <c r="P598" s="134"/>
      <c r="Q598" s="132"/>
      <c r="R598" s="135"/>
      <c r="S598" s="132"/>
      <c r="T598" s="134"/>
      <c r="U598" s="131"/>
      <c r="V598" s="145"/>
      <c r="W598" s="131"/>
      <c r="X598" s="131"/>
      <c r="Y598" s="137"/>
      <c r="Z598" s="134"/>
      <c r="AA598" s="134"/>
      <c r="AB598" s="138"/>
      <c r="AC598" s="20"/>
      <c r="AD598" s="20"/>
      <c r="AE598" s="20"/>
      <c r="AF598" s="20"/>
      <c r="AG598" s="20"/>
      <c r="AH598" s="20"/>
      <c r="AI598" s="20"/>
      <c r="AJ598" s="20"/>
      <c r="AK598" s="20"/>
      <c r="AL598" s="20"/>
      <c r="AM598" s="20"/>
      <c r="AN598" s="20"/>
      <c r="AO598" s="20"/>
      <c r="AP598" s="20"/>
      <c r="AQ598" s="20"/>
      <c r="AR598" s="20"/>
      <c r="AS598" s="20"/>
      <c r="AT598" s="20"/>
      <c r="AU598" s="20"/>
      <c r="AV598" s="20"/>
    </row>
    <row r="599" spans="1:48" ht="17.25" hidden="1" customHeight="1">
      <c r="A599" s="130"/>
      <c r="B599" s="131"/>
      <c r="C599" s="131"/>
      <c r="D599" s="131"/>
      <c r="E599" s="15"/>
      <c r="F599" s="131"/>
      <c r="G599" s="132"/>
      <c r="H599" s="133"/>
      <c r="I599" s="132"/>
      <c r="J599" s="133"/>
      <c r="K599" s="132"/>
      <c r="L599" s="131"/>
      <c r="M599" s="132"/>
      <c r="N599" s="134"/>
      <c r="O599" s="132"/>
      <c r="P599" s="134"/>
      <c r="Q599" s="132"/>
      <c r="R599" s="135"/>
      <c r="S599" s="132"/>
      <c r="T599" s="134"/>
      <c r="U599" s="131"/>
      <c r="V599" s="145"/>
      <c r="W599" s="131"/>
      <c r="X599" s="131"/>
      <c r="Y599" s="137"/>
      <c r="Z599" s="134"/>
      <c r="AA599" s="134"/>
      <c r="AB599" s="138"/>
      <c r="AC599" s="20"/>
      <c r="AD599" s="20"/>
      <c r="AE599" s="20"/>
      <c r="AF599" s="20"/>
      <c r="AG599" s="20"/>
      <c r="AH599" s="20"/>
      <c r="AI599" s="20"/>
      <c r="AJ599" s="20"/>
      <c r="AK599" s="20"/>
      <c r="AL599" s="20"/>
      <c r="AM599" s="20"/>
      <c r="AN599" s="20"/>
      <c r="AO599" s="20"/>
      <c r="AP599" s="20"/>
      <c r="AQ599" s="20"/>
      <c r="AR599" s="20"/>
      <c r="AS599" s="20"/>
      <c r="AT599" s="20"/>
      <c r="AU599" s="20"/>
      <c r="AV599" s="20"/>
    </row>
    <row r="600" spans="1:48" ht="17.25" hidden="1" customHeight="1">
      <c r="A600" s="130"/>
      <c r="B600" s="131"/>
      <c r="C600" s="131"/>
      <c r="D600" s="131"/>
      <c r="E600" s="15"/>
      <c r="F600" s="131"/>
      <c r="G600" s="132"/>
      <c r="H600" s="133"/>
      <c r="I600" s="132"/>
      <c r="J600" s="133"/>
      <c r="K600" s="132"/>
      <c r="L600" s="131"/>
      <c r="M600" s="132"/>
      <c r="N600" s="134"/>
      <c r="O600" s="132"/>
      <c r="P600" s="134"/>
      <c r="Q600" s="132"/>
      <c r="R600" s="135"/>
      <c r="S600" s="132"/>
      <c r="T600" s="134"/>
      <c r="U600" s="131"/>
      <c r="V600" s="145"/>
      <c r="W600" s="131"/>
      <c r="X600" s="131"/>
      <c r="Y600" s="137"/>
      <c r="Z600" s="134"/>
      <c r="AA600" s="134"/>
      <c r="AB600" s="138"/>
      <c r="AC600" s="20"/>
      <c r="AD600" s="20"/>
      <c r="AE600" s="20"/>
      <c r="AF600" s="20"/>
      <c r="AG600" s="20"/>
      <c r="AH600" s="20"/>
      <c r="AI600" s="20"/>
      <c r="AJ600" s="20"/>
      <c r="AK600" s="20"/>
      <c r="AL600" s="20"/>
      <c r="AM600" s="20"/>
      <c r="AN600" s="20"/>
      <c r="AO600" s="20"/>
      <c r="AP600" s="20"/>
      <c r="AQ600" s="20"/>
      <c r="AR600" s="20"/>
      <c r="AS600" s="20"/>
      <c r="AT600" s="20"/>
      <c r="AU600" s="20"/>
      <c r="AV600" s="20"/>
    </row>
    <row r="601" spans="1:48" ht="17.25" hidden="1" customHeight="1">
      <c r="A601" s="130"/>
      <c r="B601" s="131"/>
      <c r="C601" s="131"/>
      <c r="D601" s="131"/>
      <c r="E601" s="15"/>
      <c r="F601" s="131"/>
      <c r="G601" s="132"/>
      <c r="H601" s="133"/>
      <c r="I601" s="132"/>
      <c r="J601" s="133"/>
      <c r="K601" s="132"/>
      <c r="L601" s="131"/>
      <c r="M601" s="132"/>
      <c r="N601" s="134"/>
      <c r="O601" s="132"/>
      <c r="P601" s="134"/>
      <c r="Q601" s="132"/>
      <c r="R601" s="135"/>
      <c r="S601" s="132"/>
      <c r="T601" s="134"/>
      <c r="U601" s="131"/>
      <c r="V601" s="145"/>
      <c r="W601" s="131"/>
      <c r="X601" s="131"/>
      <c r="Y601" s="137"/>
      <c r="Z601" s="134"/>
      <c r="AA601" s="134"/>
      <c r="AB601" s="138"/>
      <c r="AC601" s="20"/>
      <c r="AD601" s="20"/>
      <c r="AE601" s="20"/>
      <c r="AF601" s="20"/>
      <c r="AG601" s="20"/>
      <c r="AH601" s="20"/>
      <c r="AI601" s="20"/>
      <c r="AJ601" s="20"/>
      <c r="AK601" s="20"/>
      <c r="AL601" s="20"/>
      <c r="AM601" s="20"/>
      <c r="AN601" s="20"/>
      <c r="AO601" s="20"/>
      <c r="AP601" s="20"/>
      <c r="AQ601" s="20"/>
      <c r="AR601" s="20"/>
      <c r="AS601" s="20"/>
      <c r="AT601" s="20"/>
      <c r="AU601" s="20"/>
      <c r="AV601" s="20"/>
    </row>
    <row r="602" spans="1:48" ht="17.25" hidden="1" customHeight="1">
      <c r="A602" s="130"/>
      <c r="B602" s="131"/>
      <c r="C602" s="131"/>
      <c r="D602" s="131"/>
      <c r="E602" s="15"/>
      <c r="F602" s="131"/>
      <c r="G602" s="132"/>
      <c r="H602" s="133"/>
      <c r="I602" s="132"/>
      <c r="J602" s="133"/>
      <c r="K602" s="132"/>
      <c r="L602" s="133"/>
      <c r="M602" s="132"/>
      <c r="N602" s="134"/>
      <c r="O602" s="132"/>
      <c r="P602" s="134"/>
      <c r="Q602" s="132"/>
      <c r="R602" s="135"/>
      <c r="S602" s="132"/>
      <c r="T602" s="134"/>
      <c r="U602" s="131"/>
      <c r="V602" s="159"/>
      <c r="W602" s="131"/>
      <c r="X602" s="131"/>
      <c r="Y602" s="137"/>
      <c r="Z602" s="134"/>
      <c r="AA602" s="134"/>
      <c r="AB602" s="138"/>
      <c r="AC602" s="20"/>
      <c r="AD602" s="20"/>
      <c r="AE602" s="20"/>
      <c r="AF602" s="20"/>
      <c r="AG602" s="20"/>
      <c r="AH602" s="20"/>
      <c r="AI602" s="20"/>
      <c r="AJ602" s="20"/>
      <c r="AK602" s="20"/>
      <c r="AL602" s="20"/>
      <c r="AM602" s="20"/>
      <c r="AN602" s="20"/>
      <c r="AO602" s="20"/>
      <c r="AP602" s="20"/>
      <c r="AQ602" s="20"/>
      <c r="AR602" s="20"/>
      <c r="AS602" s="20"/>
      <c r="AT602" s="20"/>
      <c r="AU602" s="20"/>
      <c r="AV602" s="20"/>
    </row>
    <row r="603" spans="1:48" ht="17.25" hidden="1" customHeight="1">
      <c r="A603" s="130"/>
      <c r="B603" s="131"/>
      <c r="C603" s="131"/>
      <c r="D603" s="131"/>
      <c r="E603" s="15"/>
      <c r="F603" s="131"/>
      <c r="G603" s="132"/>
      <c r="H603" s="133"/>
      <c r="I603" s="132"/>
      <c r="J603" s="133"/>
      <c r="K603" s="132"/>
      <c r="L603" s="133"/>
      <c r="M603" s="132"/>
      <c r="N603" s="134"/>
      <c r="O603" s="132"/>
      <c r="P603" s="134"/>
      <c r="Q603" s="132"/>
      <c r="R603" s="135"/>
      <c r="S603" s="132"/>
      <c r="T603" s="134"/>
      <c r="U603" s="131"/>
      <c r="V603" s="145"/>
      <c r="W603" s="131"/>
      <c r="X603" s="131"/>
      <c r="Y603" s="137"/>
      <c r="Z603" s="134"/>
      <c r="AA603" s="134"/>
      <c r="AB603" s="138"/>
      <c r="AC603" s="20"/>
      <c r="AD603" s="20"/>
      <c r="AE603" s="20"/>
      <c r="AF603" s="20"/>
      <c r="AG603" s="20"/>
      <c r="AH603" s="20"/>
      <c r="AI603" s="20"/>
      <c r="AJ603" s="20"/>
      <c r="AK603" s="20"/>
      <c r="AL603" s="20"/>
      <c r="AM603" s="20"/>
      <c r="AN603" s="20"/>
      <c r="AO603" s="20"/>
      <c r="AP603" s="20"/>
      <c r="AQ603" s="20"/>
      <c r="AR603" s="20"/>
      <c r="AS603" s="20"/>
      <c r="AT603" s="20"/>
      <c r="AU603" s="20"/>
      <c r="AV603" s="20"/>
    </row>
    <row r="604" spans="1:48" ht="17.25" hidden="1" customHeight="1">
      <c r="A604" s="130"/>
      <c r="B604" s="131"/>
      <c r="C604" s="131"/>
      <c r="D604" s="131"/>
      <c r="E604" s="15"/>
      <c r="F604" s="131"/>
      <c r="G604" s="132"/>
      <c r="H604" s="133"/>
      <c r="I604" s="132"/>
      <c r="J604" s="133"/>
      <c r="K604" s="132"/>
      <c r="L604" s="133"/>
      <c r="M604" s="132"/>
      <c r="N604" s="134"/>
      <c r="O604" s="132"/>
      <c r="P604" s="134"/>
      <c r="Q604" s="132"/>
      <c r="R604" s="135"/>
      <c r="S604" s="132"/>
      <c r="T604" s="134"/>
      <c r="U604" s="131"/>
      <c r="V604" s="156"/>
      <c r="W604" s="131"/>
      <c r="X604" s="131"/>
      <c r="Y604" s="137"/>
      <c r="Z604" s="134"/>
      <c r="AA604" s="134"/>
      <c r="AB604" s="138"/>
      <c r="AC604" s="20"/>
      <c r="AD604" s="20"/>
      <c r="AE604" s="20"/>
      <c r="AF604" s="20"/>
      <c r="AG604" s="20"/>
      <c r="AH604" s="20"/>
      <c r="AI604" s="20"/>
      <c r="AJ604" s="20"/>
      <c r="AK604" s="20"/>
      <c r="AL604" s="20"/>
      <c r="AM604" s="20"/>
      <c r="AN604" s="20"/>
      <c r="AO604" s="20"/>
      <c r="AP604" s="20"/>
      <c r="AQ604" s="20"/>
      <c r="AR604" s="20"/>
      <c r="AS604" s="20"/>
      <c r="AT604" s="20"/>
      <c r="AU604" s="20"/>
      <c r="AV604" s="20"/>
    </row>
    <row r="605" spans="1:48" ht="17.25" hidden="1" customHeight="1">
      <c r="A605" s="130"/>
      <c r="B605" s="131"/>
      <c r="C605" s="131"/>
      <c r="D605" s="131"/>
      <c r="E605" s="15"/>
      <c r="F605" s="131"/>
      <c r="G605" s="132"/>
      <c r="H605" s="133"/>
      <c r="I605" s="132"/>
      <c r="J605" s="133"/>
      <c r="K605" s="132"/>
      <c r="L605" s="133"/>
      <c r="M605" s="132"/>
      <c r="N605" s="134"/>
      <c r="O605" s="132"/>
      <c r="P605" s="134"/>
      <c r="Q605" s="132"/>
      <c r="R605" s="135"/>
      <c r="S605" s="132"/>
      <c r="T605" s="134"/>
      <c r="U605" s="131"/>
      <c r="V605" s="156"/>
      <c r="W605" s="131"/>
      <c r="X605" s="131"/>
      <c r="Y605" s="137"/>
      <c r="Z605" s="134"/>
      <c r="AA605" s="134"/>
      <c r="AB605" s="138"/>
      <c r="AC605" s="20"/>
      <c r="AD605" s="20"/>
      <c r="AE605" s="20"/>
      <c r="AF605" s="20"/>
      <c r="AG605" s="20"/>
      <c r="AH605" s="20"/>
      <c r="AI605" s="20"/>
      <c r="AJ605" s="20"/>
      <c r="AK605" s="20"/>
      <c r="AL605" s="20"/>
      <c r="AM605" s="20"/>
      <c r="AN605" s="20"/>
      <c r="AO605" s="20"/>
      <c r="AP605" s="20"/>
      <c r="AQ605" s="20"/>
      <c r="AR605" s="20"/>
      <c r="AS605" s="20"/>
      <c r="AT605" s="20"/>
      <c r="AU605" s="20"/>
      <c r="AV605" s="20"/>
    </row>
    <row r="606" spans="1:48" ht="17.25" hidden="1" customHeight="1">
      <c r="A606" s="130"/>
      <c r="B606" s="131"/>
      <c r="C606" s="131"/>
      <c r="D606" s="131"/>
      <c r="E606" s="15"/>
      <c r="F606" s="131"/>
      <c r="G606" s="132"/>
      <c r="H606" s="133"/>
      <c r="I606" s="132"/>
      <c r="J606" s="133"/>
      <c r="K606" s="132"/>
      <c r="L606" s="133"/>
      <c r="M606" s="132"/>
      <c r="N606" s="134"/>
      <c r="O606" s="132"/>
      <c r="P606" s="134"/>
      <c r="Q606" s="132"/>
      <c r="R606" s="135"/>
      <c r="S606" s="132"/>
      <c r="T606" s="134"/>
      <c r="U606" s="131"/>
      <c r="V606" s="156"/>
      <c r="W606" s="131"/>
      <c r="X606" s="131"/>
      <c r="Y606" s="137"/>
      <c r="Z606" s="134"/>
      <c r="AA606" s="134"/>
      <c r="AB606" s="138"/>
      <c r="AC606" s="20"/>
      <c r="AD606" s="20"/>
      <c r="AE606" s="20"/>
      <c r="AF606" s="20"/>
      <c r="AG606" s="20"/>
      <c r="AH606" s="20"/>
      <c r="AI606" s="20"/>
      <c r="AJ606" s="20"/>
      <c r="AK606" s="20"/>
      <c r="AL606" s="20"/>
      <c r="AM606" s="20"/>
      <c r="AN606" s="20"/>
      <c r="AO606" s="20"/>
      <c r="AP606" s="20"/>
      <c r="AQ606" s="20"/>
      <c r="AR606" s="20"/>
      <c r="AS606" s="20"/>
      <c r="AT606" s="20"/>
      <c r="AU606" s="20"/>
      <c r="AV606" s="20"/>
    </row>
    <row r="607" spans="1:48" ht="17.25" hidden="1" customHeight="1">
      <c r="A607" s="130"/>
      <c r="B607" s="131"/>
      <c r="C607" s="131"/>
      <c r="D607" s="131"/>
      <c r="E607" s="15"/>
      <c r="F607" s="131"/>
      <c r="G607" s="132"/>
      <c r="H607" s="133"/>
      <c r="I607" s="132"/>
      <c r="J607" s="133"/>
      <c r="K607" s="132"/>
      <c r="L607" s="133"/>
      <c r="M607" s="132"/>
      <c r="N607" s="134"/>
      <c r="O607" s="132"/>
      <c r="P607" s="134"/>
      <c r="Q607" s="132"/>
      <c r="R607" s="135"/>
      <c r="S607" s="132"/>
      <c r="T607" s="134"/>
      <c r="U607" s="131"/>
      <c r="V607" s="156"/>
      <c r="W607" s="131"/>
      <c r="X607" s="131"/>
      <c r="Y607" s="137"/>
      <c r="Z607" s="134"/>
      <c r="AA607" s="134"/>
      <c r="AB607" s="138"/>
      <c r="AC607" s="20"/>
      <c r="AD607" s="20"/>
      <c r="AE607" s="20"/>
      <c r="AF607" s="20"/>
      <c r="AG607" s="20"/>
      <c r="AH607" s="20"/>
      <c r="AI607" s="20"/>
      <c r="AJ607" s="20"/>
      <c r="AK607" s="20"/>
      <c r="AL607" s="20"/>
      <c r="AM607" s="20"/>
      <c r="AN607" s="20"/>
      <c r="AO607" s="20"/>
      <c r="AP607" s="20"/>
      <c r="AQ607" s="20"/>
      <c r="AR607" s="20"/>
      <c r="AS607" s="20"/>
      <c r="AT607" s="20"/>
      <c r="AU607" s="20"/>
      <c r="AV607" s="20"/>
    </row>
    <row r="608" spans="1:48" ht="17.25" hidden="1" customHeight="1">
      <c r="A608" s="130"/>
      <c r="B608" s="131"/>
      <c r="C608" s="131"/>
      <c r="D608" s="131"/>
      <c r="E608" s="15"/>
      <c r="F608" s="131"/>
      <c r="G608" s="132"/>
      <c r="H608" s="133"/>
      <c r="I608" s="132"/>
      <c r="J608" s="133"/>
      <c r="K608" s="132"/>
      <c r="L608" s="133"/>
      <c r="M608" s="132"/>
      <c r="N608" s="134"/>
      <c r="O608" s="132"/>
      <c r="P608" s="134"/>
      <c r="Q608" s="132"/>
      <c r="R608" s="135"/>
      <c r="S608" s="132"/>
      <c r="T608" s="134"/>
      <c r="U608" s="131"/>
      <c r="V608" s="156"/>
      <c r="W608" s="131"/>
      <c r="X608" s="131"/>
      <c r="Y608" s="137"/>
      <c r="Z608" s="134"/>
      <c r="AA608" s="134"/>
      <c r="AB608" s="138"/>
      <c r="AC608" s="20"/>
      <c r="AD608" s="20"/>
      <c r="AE608" s="20"/>
      <c r="AF608" s="20"/>
      <c r="AG608" s="20"/>
      <c r="AH608" s="20"/>
      <c r="AI608" s="20"/>
      <c r="AJ608" s="20"/>
      <c r="AK608" s="20"/>
      <c r="AL608" s="20"/>
      <c r="AM608" s="20"/>
      <c r="AN608" s="20"/>
      <c r="AO608" s="20"/>
      <c r="AP608" s="20"/>
      <c r="AQ608" s="20"/>
      <c r="AR608" s="20"/>
      <c r="AS608" s="20"/>
      <c r="AT608" s="20"/>
      <c r="AU608" s="20"/>
      <c r="AV608" s="20"/>
    </row>
    <row r="609" spans="1:48" ht="17.25" hidden="1" customHeight="1">
      <c r="A609" s="130"/>
      <c r="B609" s="131"/>
      <c r="C609" s="131"/>
      <c r="D609" s="131"/>
      <c r="E609" s="15"/>
      <c r="F609" s="131"/>
      <c r="G609" s="132"/>
      <c r="H609" s="133"/>
      <c r="I609" s="132"/>
      <c r="J609" s="133"/>
      <c r="K609" s="132"/>
      <c r="L609" s="133"/>
      <c r="M609" s="132"/>
      <c r="N609" s="134"/>
      <c r="O609" s="132"/>
      <c r="P609" s="134"/>
      <c r="Q609" s="132"/>
      <c r="R609" s="135"/>
      <c r="S609" s="132"/>
      <c r="T609" s="134"/>
      <c r="U609" s="131"/>
      <c r="V609" s="156"/>
      <c r="W609" s="131"/>
      <c r="X609" s="131"/>
      <c r="Y609" s="137"/>
      <c r="Z609" s="134"/>
      <c r="AA609" s="134"/>
      <c r="AB609" s="138"/>
      <c r="AC609" s="20"/>
      <c r="AD609" s="20"/>
      <c r="AE609" s="20"/>
      <c r="AF609" s="20"/>
      <c r="AG609" s="20"/>
      <c r="AH609" s="20"/>
      <c r="AI609" s="20"/>
      <c r="AJ609" s="20"/>
      <c r="AK609" s="20"/>
      <c r="AL609" s="20"/>
      <c r="AM609" s="20"/>
      <c r="AN609" s="20"/>
      <c r="AO609" s="20"/>
      <c r="AP609" s="20"/>
      <c r="AQ609" s="20"/>
      <c r="AR609" s="20"/>
      <c r="AS609" s="20"/>
      <c r="AT609" s="20"/>
      <c r="AU609" s="20"/>
      <c r="AV609" s="20"/>
    </row>
    <row r="610" spans="1:48" ht="17.25" hidden="1" customHeight="1">
      <c r="A610" s="130"/>
      <c r="B610" s="131"/>
      <c r="C610" s="131"/>
      <c r="D610" s="131"/>
      <c r="E610" s="15"/>
      <c r="F610" s="131"/>
      <c r="G610" s="132"/>
      <c r="H610" s="133"/>
      <c r="I610" s="132"/>
      <c r="J610" s="133"/>
      <c r="K610" s="132"/>
      <c r="L610" s="133"/>
      <c r="M610" s="132"/>
      <c r="N610" s="134"/>
      <c r="O610" s="132"/>
      <c r="P610" s="134"/>
      <c r="Q610" s="132"/>
      <c r="R610" s="135"/>
      <c r="S610" s="132"/>
      <c r="T610" s="134"/>
      <c r="U610" s="131"/>
      <c r="V610" s="156"/>
      <c r="W610" s="131"/>
      <c r="X610" s="131"/>
      <c r="Y610" s="137"/>
      <c r="Z610" s="134"/>
      <c r="AA610" s="134"/>
      <c r="AB610" s="138"/>
      <c r="AC610" s="20"/>
      <c r="AD610" s="20"/>
      <c r="AE610" s="20"/>
      <c r="AF610" s="20"/>
      <c r="AG610" s="20"/>
      <c r="AH610" s="20"/>
      <c r="AI610" s="20"/>
      <c r="AJ610" s="20"/>
      <c r="AK610" s="20"/>
      <c r="AL610" s="20"/>
      <c r="AM610" s="20"/>
      <c r="AN610" s="20"/>
      <c r="AO610" s="20"/>
      <c r="AP610" s="20"/>
      <c r="AQ610" s="20"/>
      <c r="AR610" s="20"/>
      <c r="AS610" s="20"/>
      <c r="AT610" s="20"/>
      <c r="AU610" s="20"/>
      <c r="AV610" s="20"/>
    </row>
    <row r="611" spans="1:48" ht="17.25" hidden="1" customHeight="1">
      <c r="A611" s="130"/>
      <c r="B611" s="131"/>
      <c r="C611" s="131"/>
      <c r="D611" s="131"/>
      <c r="E611" s="15"/>
      <c r="F611" s="131"/>
      <c r="G611" s="132"/>
      <c r="H611" s="133"/>
      <c r="I611" s="132"/>
      <c r="J611" s="133"/>
      <c r="K611" s="132"/>
      <c r="L611" s="133"/>
      <c r="M611" s="132"/>
      <c r="N611" s="134"/>
      <c r="O611" s="132"/>
      <c r="P611" s="134"/>
      <c r="Q611" s="132"/>
      <c r="R611" s="135"/>
      <c r="S611" s="132"/>
      <c r="T611" s="134"/>
      <c r="U611" s="131"/>
      <c r="V611" s="146"/>
      <c r="W611" s="131"/>
      <c r="X611" s="131"/>
      <c r="Y611" s="137"/>
      <c r="Z611" s="134"/>
      <c r="AA611" s="134"/>
      <c r="AB611" s="138"/>
      <c r="AC611" s="20"/>
      <c r="AD611" s="20"/>
      <c r="AE611" s="20"/>
      <c r="AF611" s="20"/>
      <c r="AG611" s="20"/>
      <c r="AH611" s="20"/>
      <c r="AI611" s="20"/>
      <c r="AJ611" s="20"/>
      <c r="AK611" s="20"/>
      <c r="AL611" s="20"/>
      <c r="AM611" s="20"/>
      <c r="AN611" s="20"/>
      <c r="AO611" s="20"/>
      <c r="AP611" s="20"/>
      <c r="AQ611" s="20"/>
      <c r="AR611" s="20"/>
      <c r="AS611" s="20"/>
      <c r="AT611" s="20"/>
      <c r="AU611" s="20"/>
      <c r="AV611" s="20"/>
    </row>
    <row r="612" spans="1:48" ht="17.25" hidden="1" customHeight="1">
      <c r="A612" s="130"/>
      <c r="B612" s="131"/>
      <c r="C612" s="131"/>
      <c r="D612" s="131"/>
      <c r="E612" s="15"/>
      <c r="F612" s="131"/>
      <c r="G612" s="132"/>
      <c r="H612" s="133"/>
      <c r="I612" s="132"/>
      <c r="J612" s="133"/>
      <c r="K612" s="132"/>
      <c r="L612" s="133"/>
      <c r="M612" s="132"/>
      <c r="N612" s="134"/>
      <c r="O612" s="132"/>
      <c r="P612" s="134"/>
      <c r="Q612" s="132"/>
      <c r="R612" s="135"/>
      <c r="S612" s="132"/>
      <c r="T612" s="134"/>
      <c r="U612" s="131"/>
      <c r="V612" s="156"/>
      <c r="W612" s="131"/>
      <c r="X612" s="131"/>
      <c r="Y612" s="137"/>
      <c r="Z612" s="134"/>
      <c r="AA612" s="134"/>
      <c r="AB612" s="138"/>
      <c r="AC612" s="20"/>
      <c r="AD612" s="20"/>
      <c r="AE612" s="20"/>
      <c r="AF612" s="20"/>
      <c r="AG612" s="20"/>
      <c r="AH612" s="20"/>
      <c r="AI612" s="20"/>
      <c r="AJ612" s="20"/>
      <c r="AK612" s="20"/>
      <c r="AL612" s="20"/>
      <c r="AM612" s="20"/>
      <c r="AN612" s="20"/>
      <c r="AO612" s="20"/>
      <c r="AP612" s="20"/>
      <c r="AQ612" s="20"/>
      <c r="AR612" s="20"/>
      <c r="AS612" s="20"/>
      <c r="AT612" s="20"/>
      <c r="AU612" s="20"/>
      <c r="AV612" s="20"/>
    </row>
    <row r="613" spans="1:48" ht="17.25" hidden="1" customHeight="1">
      <c r="A613" s="130"/>
      <c r="B613" s="131"/>
      <c r="C613" s="131"/>
      <c r="D613" s="131"/>
      <c r="E613" s="15"/>
      <c r="F613" s="131"/>
      <c r="G613" s="132"/>
      <c r="H613" s="133"/>
      <c r="I613" s="132"/>
      <c r="J613" s="133"/>
      <c r="K613" s="132"/>
      <c r="L613" s="133"/>
      <c r="M613" s="132"/>
      <c r="N613" s="134"/>
      <c r="O613" s="132"/>
      <c r="P613" s="134"/>
      <c r="Q613" s="132"/>
      <c r="R613" s="135"/>
      <c r="S613" s="132"/>
      <c r="T613" s="134"/>
      <c r="U613" s="131"/>
      <c r="V613" s="148"/>
      <c r="W613" s="131"/>
      <c r="X613" s="131"/>
      <c r="Y613" s="137"/>
      <c r="Z613" s="134"/>
      <c r="AA613" s="134"/>
      <c r="AB613" s="138"/>
      <c r="AC613" s="20"/>
      <c r="AD613" s="20"/>
      <c r="AE613" s="20"/>
      <c r="AF613" s="20"/>
      <c r="AG613" s="20"/>
      <c r="AH613" s="20"/>
      <c r="AI613" s="20"/>
      <c r="AJ613" s="20"/>
      <c r="AK613" s="20"/>
      <c r="AL613" s="20"/>
      <c r="AM613" s="20"/>
      <c r="AN613" s="20"/>
      <c r="AO613" s="20"/>
      <c r="AP613" s="20"/>
      <c r="AQ613" s="20"/>
      <c r="AR613" s="20"/>
      <c r="AS613" s="20"/>
      <c r="AT613" s="20"/>
      <c r="AU613" s="20"/>
      <c r="AV613" s="20"/>
    </row>
    <row r="614" spans="1:48" ht="17.25" hidden="1" customHeight="1">
      <c r="A614" s="130"/>
      <c r="B614" s="131"/>
      <c r="C614" s="131"/>
      <c r="D614" s="131"/>
      <c r="E614" s="15"/>
      <c r="F614" s="131"/>
      <c r="G614" s="132"/>
      <c r="H614" s="133"/>
      <c r="I614" s="132"/>
      <c r="J614" s="133"/>
      <c r="K614" s="132"/>
      <c r="L614" s="133"/>
      <c r="M614" s="132"/>
      <c r="N614" s="134"/>
      <c r="O614" s="132"/>
      <c r="P614" s="134"/>
      <c r="Q614" s="132"/>
      <c r="R614" s="135"/>
      <c r="S614" s="132"/>
      <c r="T614" s="134"/>
      <c r="U614" s="131"/>
      <c r="V614" s="148"/>
      <c r="W614" s="131"/>
      <c r="X614" s="131"/>
      <c r="Y614" s="137"/>
      <c r="Z614" s="134"/>
      <c r="AA614" s="134"/>
      <c r="AB614" s="138"/>
      <c r="AC614" s="20"/>
      <c r="AD614" s="20"/>
      <c r="AE614" s="20"/>
      <c r="AF614" s="20"/>
      <c r="AG614" s="20"/>
      <c r="AH614" s="20"/>
      <c r="AI614" s="20"/>
      <c r="AJ614" s="20"/>
      <c r="AK614" s="20"/>
      <c r="AL614" s="20"/>
      <c r="AM614" s="20"/>
      <c r="AN614" s="20"/>
      <c r="AO614" s="20"/>
      <c r="AP614" s="20"/>
      <c r="AQ614" s="20"/>
      <c r="AR614" s="20"/>
      <c r="AS614" s="20"/>
      <c r="AT614" s="20"/>
      <c r="AU614" s="20"/>
      <c r="AV614" s="20"/>
    </row>
    <row r="615" spans="1:48" ht="17.25" hidden="1" customHeight="1">
      <c r="A615" s="130"/>
      <c r="B615" s="131"/>
      <c r="C615" s="131"/>
      <c r="D615" s="131"/>
      <c r="E615" s="15"/>
      <c r="F615" s="131"/>
      <c r="G615" s="132"/>
      <c r="H615" s="133"/>
      <c r="I615" s="132"/>
      <c r="J615" s="133"/>
      <c r="K615" s="132"/>
      <c r="L615" s="133"/>
      <c r="M615" s="132"/>
      <c r="N615" s="134"/>
      <c r="O615" s="132"/>
      <c r="P615" s="134"/>
      <c r="Q615" s="132"/>
      <c r="R615" s="135"/>
      <c r="S615" s="132"/>
      <c r="T615" s="134"/>
      <c r="U615" s="131"/>
      <c r="V615" s="148"/>
      <c r="W615" s="131"/>
      <c r="X615" s="131"/>
      <c r="Y615" s="137"/>
      <c r="Z615" s="134"/>
      <c r="AA615" s="134"/>
      <c r="AB615" s="138"/>
      <c r="AC615" s="20"/>
      <c r="AD615" s="20"/>
      <c r="AE615" s="20"/>
      <c r="AF615" s="20"/>
      <c r="AG615" s="20"/>
      <c r="AH615" s="20"/>
      <c r="AI615" s="20"/>
      <c r="AJ615" s="20"/>
      <c r="AK615" s="20"/>
      <c r="AL615" s="20"/>
      <c r="AM615" s="20"/>
      <c r="AN615" s="20"/>
      <c r="AO615" s="20"/>
      <c r="AP615" s="20"/>
      <c r="AQ615" s="20"/>
      <c r="AR615" s="20"/>
      <c r="AS615" s="20"/>
      <c r="AT615" s="20"/>
      <c r="AU615" s="20"/>
      <c r="AV615" s="20"/>
    </row>
    <row r="616" spans="1:48" ht="17.25" hidden="1" customHeight="1">
      <c r="A616" s="130"/>
      <c r="B616" s="131"/>
      <c r="C616" s="131"/>
      <c r="D616" s="131"/>
      <c r="E616" s="15"/>
      <c r="F616" s="131"/>
      <c r="G616" s="132"/>
      <c r="H616" s="133"/>
      <c r="I616" s="132"/>
      <c r="J616" s="133"/>
      <c r="K616" s="132"/>
      <c r="L616" s="133"/>
      <c r="M616" s="132"/>
      <c r="N616" s="134"/>
      <c r="O616" s="132"/>
      <c r="P616" s="134"/>
      <c r="Q616" s="132"/>
      <c r="R616" s="135"/>
      <c r="S616" s="132"/>
      <c r="T616" s="134"/>
      <c r="U616" s="131"/>
      <c r="V616" s="148"/>
      <c r="W616" s="131"/>
      <c r="X616" s="131"/>
      <c r="Y616" s="137"/>
      <c r="Z616" s="134"/>
      <c r="AA616" s="134"/>
      <c r="AB616" s="138"/>
      <c r="AC616" s="20"/>
      <c r="AD616" s="20"/>
      <c r="AE616" s="20"/>
      <c r="AF616" s="20"/>
      <c r="AG616" s="20"/>
      <c r="AH616" s="20"/>
      <c r="AI616" s="20"/>
      <c r="AJ616" s="20"/>
      <c r="AK616" s="20"/>
      <c r="AL616" s="20"/>
      <c r="AM616" s="20"/>
      <c r="AN616" s="20"/>
      <c r="AO616" s="20"/>
      <c r="AP616" s="20"/>
      <c r="AQ616" s="20"/>
      <c r="AR616" s="20"/>
      <c r="AS616" s="20"/>
      <c r="AT616" s="20"/>
      <c r="AU616" s="20"/>
      <c r="AV616" s="20"/>
    </row>
    <row r="617" spans="1:48" ht="17.25" hidden="1" customHeight="1">
      <c r="A617" s="130"/>
      <c r="B617" s="131"/>
      <c r="C617" s="131"/>
      <c r="D617" s="131"/>
      <c r="E617" s="15"/>
      <c r="F617" s="131"/>
      <c r="G617" s="132"/>
      <c r="H617" s="133"/>
      <c r="I617" s="132"/>
      <c r="J617" s="133"/>
      <c r="K617" s="132"/>
      <c r="L617" s="133"/>
      <c r="M617" s="132"/>
      <c r="N617" s="134"/>
      <c r="O617" s="132"/>
      <c r="P617" s="134"/>
      <c r="Q617" s="132"/>
      <c r="R617" s="135"/>
      <c r="S617" s="132"/>
      <c r="T617" s="134"/>
      <c r="U617" s="131"/>
      <c r="V617" s="148"/>
      <c r="W617" s="131"/>
      <c r="X617" s="131"/>
      <c r="Y617" s="137"/>
      <c r="Z617" s="134"/>
      <c r="AA617" s="134"/>
      <c r="AB617" s="138"/>
      <c r="AC617" s="20"/>
      <c r="AD617" s="20"/>
      <c r="AE617" s="20"/>
      <c r="AF617" s="20"/>
      <c r="AG617" s="20"/>
      <c r="AH617" s="20"/>
      <c r="AI617" s="20"/>
      <c r="AJ617" s="20"/>
      <c r="AK617" s="20"/>
      <c r="AL617" s="20"/>
      <c r="AM617" s="20"/>
      <c r="AN617" s="20"/>
      <c r="AO617" s="20"/>
      <c r="AP617" s="20"/>
      <c r="AQ617" s="20"/>
      <c r="AR617" s="20"/>
      <c r="AS617" s="20"/>
      <c r="AT617" s="20"/>
      <c r="AU617" s="20"/>
      <c r="AV617" s="20"/>
    </row>
    <row r="618" spans="1:48" ht="17.25" hidden="1" customHeight="1">
      <c r="A618" s="130"/>
      <c r="B618" s="131"/>
      <c r="C618" s="131"/>
      <c r="D618" s="131"/>
      <c r="E618" s="15"/>
      <c r="F618" s="131"/>
      <c r="G618" s="132"/>
      <c r="H618" s="133"/>
      <c r="I618" s="132"/>
      <c r="J618" s="133"/>
      <c r="K618" s="132"/>
      <c r="L618" s="133"/>
      <c r="M618" s="132"/>
      <c r="N618" s="134"/>
      <c r="O618" s="132"/>
      <c r="P618" s="134"/>
      <c r="Q618" s="132"/>
      <c r="R618" s="135"/>
      <c r="S618" s="132"/>
      <c r="T618" s="134"/>
      <c r="U618" s="131"/>
      <c r="V618" s="148"/>
      <c r="W618" s="131"/>
      <c r="X618" s="131"/>
      <c r="Y618" s="137"/>
      <c r="Z618" s="134"/>
      <c r="AA618" s="134"/>
      <c r="AB618" s="138"/>
      <c r="AC618" s="20"/>
      <c r="AD618" s="20"/>
      <c r="AE618" s="20"/>
      <c r="AF618" s="20"/>
      <c r="AG618" s="20"/>
      <c r="AH618" s="20"/>
      <c r="AI618" s="20"/>
      <c r="AJ618" s="20"/>
      <c r="AK618" s="20"/>
      <c r="AL618" s="20"/>
      <c r="AM618" s="20"/>
      <c r="AN618" s="20"/>
      <c r="AO618" s="20"/>
      <c r="AP618" s="20"/>
      <c r="AQ618" s="20"/>
      <c r="AR618" s="20"/>
      <c r="AS618" s="20"/>
      <c r="AT618" s="20"/>
      <c r="AU618" s="20"/>
      <c r="AV618" s="20"/>
    </row>
    <row r="619" spans="1:48" ht="17.25" hidden="1" customHeight="1">
      <c r="A619" s="130"/>
      <c r="B619" s="131"/>
      <c r="C619" s="131"/>
      <c r="D619" s="131"/>
      <c r="E619" s="15"/>
      <c r="F619" s="131"/>
      <c r="G619" s="132"/>
      <c r="H619" s="133"/>
      <c r="I619" s="132"/>
      <c r="J619" s="133"/>
      <c r="K619" s="132"/>
      <c r="L619" s="133"/>
      <c r="M619" s="132"/>
      <c r="N619" s="134"/>
      <c r="O619" s="132"/>
      <c r="P619" s="134"/>
      <c r="Q619" s="132"/>
      <c r="R619" s="135"/>
      <c r="S619" s="132"/>
      <c r="T619" s="134"/>
      <c r="U619" s="131"/>
      <c r="V619" s="148"/>
      <c r="W619" s="131"/>
      <c r="X619" s="131"/>
      <c r="Y619" s="137"/>
      <c r="Z619" s="134"/>
      <c r="AA619" s="134"/>
      <c r="AB619" s="138"/>
      <c r="AC619" s="20"/>
      <c r="AD619" s="20"/>
      <c r="AE619" s="20"/>
      <c r="AF619" s="20"/>
      <c r="AG619" s="20"/>
      <c r="AH619" s="20"/>
      <c r="AI619" s="20"/>
      <c r="AJ619" s="20"/>
      <c r="AK619" s="20"/>
      <c r="AL619" s="20"/>
      <c r="AM619" s="20"/>
      <c r="AN619" s="20"/>
      <c r="AO619" s="20"/>
      <c r="AP619" s="20"/>
      <c r="AQ619" s="20"/>
      <c r="AR619" s="20"/>
      <c r="AS619" s="20"/>
      <c r="AT619" s="20"/>
      <c r="AU619" s="20"/>
      <c r="AV619" s="20"/>
    </row>
    <row r="620" spans="1:48" ht="17.25" hidden="1" customHeight="1">
      <c r="A620" s="130"/>
      <c r="B620" s="131"/>
      <c r="C620" s="131"/>
      <c r="D620" s="131"/>
      <c r="E620" s="15"/>
      <c r="F620" s="131"/>
      <c r="G620" s="132"/>
      <c r="H620" s="133"/>
      <c r="I620" s="132"/>
      <c r="J620" s="133"/>
      <c r="K620" s="132"/>
      <c r="L620" s="133"/>
      <c r="M620" s="132"/>
      <c r="N620" s="134"/>
      <c r="O620" s="132"/>
      <c r="P620" s="134"/>
      <c r="Q620" s="132"/>
      <c r="R620" s="135"/>
      <c r="S620" s="132"/>
      <c r="T620" s="134"/>
      <c r="U620" s="131"/>
      <c r="V620" s="155"/>
      <c r="W620" s="131"/>
      <c r="X620" s="131"/>
      <c r="Y620" s="137"/>
      <c r="Z620" s="134"/>
      <c r="AA620" s="134"/>
      <c r="AB620" s="138"/>
      <c r="AC620" s="20"/>
      <c r="AD620" s="20"/>
      <c r="AE620" s="20"/>
      <c r="AF620" s="20"/>
      <c r="AG620" s="20"/>
      <c r="AH620" s="20"/>
      <c r="AI620" s="20"/>
      <c r="AJ620" s="20"/>
      <c r="AK620" s="20"/>
      <c r="AL620" s="20"/>
      <c r="AM620" s="20"/>
      <c r="AN620" s="20"/>
      <c r="AO620" s="20"/>
      <c r="AP620" s="20"/>
      <c r="AQ620" s="20"/>
      <c r="AR620" s="20"/>
      <c r="AS620" s="20"/>
      <c r="AT620" s="20"/>
      <c r="AU620" s="20"/>
      <c r="AV620" s="20"/>
    </row>
    <row r="621" spans="1:48" ht="17.25" hidden="1" customHeight="1">
      <c r="A621" s="130"/>
      <c r="B621" s="131"/>
      <c r="C621" s="131"/>
      <c r="D621" s="131"/>
      <c r="E621" s="15"/>
      <c r="F621" s="131"/>
      <c r="G621" s="132"/>
      <c r="H621" s="133"/>
      <c r="I621" s="132"/>
      <c r="J621" s="133"/>
      <c r="K621" s="132"/>
      <c r="L621" s="133"/>
      <c r="M621" s="132"/>
      <c r="N621" s="134"/>
      <c r="O621" s="132"/>
      <c r="P621" s="134"/>
      <c r="Q621" s="132"/>
      <c r="R621" s="135"/>
      <c r="S621" s="132"/>
      <c r="T621" s="134"/>
      <c r="U621" s="131"/>
      <c r="V621" s="150"/>
      <c r="W621" s="131"/>
      <c r="X621" s="131"/>
      <c r="Y621" s="137"/>
      <c r="Z621" s="134"/>
      <c r="AA621" s="134"/>
      <c r="AB621" s="138"/>
      <c r="AC621" s="20"/>
      <c r="AD621" s="20"/>
      <c r="AE621" s="20"/>
      <c r="AF621" s="20"/>
      <c r="AG621" s="20"/>
      <c r="AH621" s="20"/>
      <c r="AI621" s="20"/>
      <c r="AJ621" s="20"/>
      <c r="AK621" s="20"/>
      <c r="AL621" s="20"/>
      <c r="AM621" s="20"/>
      <c r="AN621" s="20"/>
      <c r="AO621" s="20"/>
      <c r="AP621" s="20"/>
      <c r="AQ621" s="20"/>
      <c r="AR621" s="20"/>
      <c r="AS621" s="20"/>
      <c r="AT621" s="20"/>
      <c r="AU621" s="20"/>
      <c r="AV621" s="20"/>
    </row>
    <row r="622" spans="1:48" ht="17.25" hidden="1" customHeight="1">
      <c r="A622" s="130"/>
      <c r="B622" s="131"/>
      <c r="C622" s="131"/>
      <c r="D622" s="131"/>
      <c r="E622" s="15"/>
      <c r="F622" s="131"/>
      <c r="G622" s="132"/>
      <c r="H622" s="133"/>
      <c r="I622" s="132"/>
      <c r="J622" s="133"/>
      <c r="K622" s="132"/>
      <c r="L622" s="133"/>
      <c r="M622" s="132"/>
      <c r="N622" s="134"/>
      <c r="O622" s="132"/>
      <c r="P622" s="134"/>
      <c r="Q622" s="132"/>
      <c r="R622" s="135"/>
      <c r="S622" s="132"/>
      <c r="T622" s="134"/>
      <c r="U622" s="131"/>
      <c r="V622" s="136"/>
      <c r="W622" s="131"/>
      <c r="X622" s="131"/>
      <c r="Y622" s="137"/>
      <c r="Z622" s="134"/>
      <c r="AA622" s="134"/>
      <c r="AB622" s="138"/>
      <c r="AC622" s="20"/>
      <c r="AD622" s="20"/>
      <c r="AE622" s="20"/>
      <c r="AF622" s="20"/>
      <c r="AG622" s="20"/>
      <c r="AH622" s="20"/>
      <c r="AI622" s="20"/>
      <c r="AJ622" s="20"/>
      <c r="AK622" s="20"/>
      <c r="AL622" s="20"/>
      <c r="AM622" s="20"/>
      <c r="AN622" s="20"/>
      <c r="AO622" s="20"/>
      <c r="AP622" s="20"/>
      <c r="AQ622" s="20"/>
      <c r="AR622" s="20"/>
      <c r="AS622" s="20"/>
      <c r="AT622" s="20"/>
      <c r="AU622" s="20"/>
      <c r="AV622" s="20"/>
    </row>
    <row r="623" spans="1:48" ht="17.25" hidden="1" customHeight="1">
      <c r="A623" s="130"/>
      <c r="B623" s="131"/>
      <c r="C623" s="131"/>
      <c r="D623" s="131"/>
      <c r="E623" s="15"/>
      <c r="F623" s="131"/>
      <c r="G623" s="132"/>
      <c r="H623" s="133"/>
      <c r="I623" s="132"/>
      <c r="J623" s="133"/>
      <c r="K623" s="132"/>
      <c r="L623" s="133"/>
      <c r="M623" s="132"/>
      <c r="N623" s="134"/>
      <c r="O623" s="132"/>
      <c r="P623" s="134"/>
      <c r="Q623" s="132"/>
      <c r="R623" s="135"/>
      <c r="S623" s="132"/>
      <c r="T623" s="134"/>
      <c r="U623" s="131"/>
      <c r="V623" s="136"/>
      <c r="W623" s="131"/>
      <c r="X623" s="131"/>
      <c r="Y623" s="137"/>
      <c r="Z623" s="134"/>
      <c r="AA623" s="134"/>
      <c r="AB623" s="138"/>
      <c r="AC623" s="20"/>
      <c r="AD623" s="20"/>
      <c r="AE623" s="20"/>
      <c r="AF623" s="20"/>
      <c r="AG623" s="20"/>
      <c r="AH623" s="20"/>
      <c r="AI623" s="20"/>
      <c r="AJ623" s="20"/>
      <c r="AK623" s="20"/>
      <c r="AL623" s="20"/>
      <c r="AM623" s="20"/>
      <c r="AN623" s="20"/>
      <c r="AO623" s="20"/>
      <c r="AP623" s="20"/>
      <c r="AQ623" s="20"/>
      <c r="AR623" s="20"/>
      <c r="AS623" s="20"/>
      <c r="AT623" s="20"/>
      <c r="AU623" s="20"/>
      <c r="AV623" s="20"/>
    </row>
    <row r="624" spans="1:48" ht="17.25" hidden="1" customHeight="1">
      <c r="A624" s="130"/>
      <c r="B624" s="131"/>
      <c r="C624" s="131"/>
      <c r="D624" s="131"/>
      <c r="E624" s="15"/>
      <c r="F624" s="131"/>
      <c r="G624" s="132"/>
      <c r="H624" s="133"/>
      <c r="I624" s="132"/>
      <c r="J624" s="133"/>
      <c r="K624" s="132"/>
      <c r="L624" s="133"/>
      <c r="M624" s="132"/>
      <c r="N624" s="134"/>
      <c r="O624" s="132"/>
      <c r="P624" s="134"/>
      <c r="Q624" s="132"/>
      <c r="R624" s="135"/>
      <c r="S624" s="132"/>
      <c r="T624" s="134"/>
      <c r="U624" s="131"/>
      <c r="V624" s="136"/>
      <c r="W624" s="131"/>
      <c r="X624" s="131"/>
      <c r="Y624" s="137"/>
      <c r="Z624" s="134"/>
      <c r="AA624" s="134"/>
      <c r="AB624" s="138"/>
      <c r="AC624" s="20"/>
      <c r="AD624" s="20"/>
      <c r="AE624" s="20"/>
      <c r="AF624" s="20"/>
      <c r="AG624" s="20"/>
      <c r="AH624" s="20"/>
      <c r="AI624" s="20"/>
      <c r="AJ624" s="20"/>
      <c r="AK624" s="20"/>
      <c r="AL624" s="20"/>
      <c r="AM624" s="20"/>
      <c r="AN624" s="20"/>
      <c r="AO624" s="20"/>
      <c r="AP624" s="20"/>
      <c r="AQ624" s="20"/>
      <c r="AR624" s="20"/>
      <c r="AS624" s="20"/>
      <c r="AT624" s="20"/>
      <c r="AU624" s="20"/>
      <c r="AV624" s="20"/>
    </row>
    <row r="625" spans="1:48" ht="17.25" hidden="1" customHeight="1">
      <c r="A625" s="130"/>
      <c r="B625" s="131"/>
      <c r="C625" s="131"/>
      <c r="D625" s="131"/>
      <c r="E625" s="15"/>
      <c r="F625" s="131"/>
      <c r="G625" s="132"/>
      <c r="H625" s="133"/>
      <c r="I625" s="132"/>
      <c r="J625" s="133"/>
      <c r="K625" s="132"/>
      <c r="L625" s="133"/>
      <c r="M625" s="132"/>
      <c r="N625" s="134"/>
      <c r="O625" s="132"/>
      <c r="P625" s="134"/>
      <c r="Q625" s="132"/>
      <c r="R625" s="135"/>
      <c r="S625" s="132"/>
      <c r="T625" s="134"/>
      <c r="U625" s="131"/>
      <c r="V625" s="136"/>
      <c r="W625" s="131"/>
      <c r="X625" s="131"/>
      <c r="Y625" s="137"/>
      <c r="Z625" s="134"/>
      <c r="AA625" s="134"/>
      <c r="AB625" s="138"/>
      <c r="AC625" s="20"/>
      <c r="AD625" s="20"/>
      <c r="AE625" s="20"/>
      <c r="AF625" s="20"/>
      <c r="AG625" s="20"/>
      <c r="AH625" s="20"/>
      <c r="AI625" s="20"/>
      <c r="AJ625" s="20"/>
      <c r="AK625" s="20"/>
      <c r="AL625" s="20"/>
      <c r="AM625" s="20"/>
      <c r="AN625" s="20"/>
      <c r="AO625" s="20"/>
      <c r="AP625" s="20"/>
      <c r="AQ625" s="20"/>
      <c r="AR625" s="20"/>
      <c r="AS625" s="20"/>
      <c r="AT625" s="20"/>
      <c r="AU625" s="20"/>
      <c r="AV625" s="20"/>
    </row>
    <row r="626" spans="1:48" ht="17.25" hidden="1" customHeight="1">
      <c r="A626" s="130"/>
      <c r="B626" s="131"/>
      <c r="C626" s="131"/>
      <c r="D626" s="131"/>
      <c r="E626" s="15"/>
      <c r="F626" s="131"/>
      <c r="G626" s="132"/>
      <c r="H626" s="133"/>
      <c r="I626" s="132"/>
      <c r="J626" s="133"/>
      <c r="K626" s="132"/>
      <c r="L626" s="133"/>
      <c r="M626" s="132"/>
      <c r="N626" s="134"/>
      <c r="O626" s="132"/>
      <c r="P626" s="134"/>
      <c r="Q626" s="132"/>
      <c r="R626" s="135"/>
      <c r="S626" s="132"/>
      <c r="T626" s="134"/>
      <c r="U626" s="131"/>
      <c r="V626" s="136"/>
      <c r="W626" s="131"/>
      <c r="X626" s="131"/>
      <c r="Y626" s="137"/>
      <c r="Z626" s="134"/>
      <c r="AA626" s="134"/>
      <c r="AB626" s="138"/>
      <c r="AC626" s="20"/>
      <c r="AD626" s="20"/>
      <c r="AE626" s="20"/>
      <c r="AF626" s="20"/>
      <c r="AG626" s="20"/>
      <c r="AH626" s="20"/>
      <c r="AI626" s="20"/>
      <c r="AJ626" s="20"/>
      <c r="AK626" s="20"/>
      <c r="AL626" s="20"/>
      <c r="AM626" s="20"/>
      <c r="AN626" s="20"/>
      <c r="AO626" s="20"/>
      <c r="AP626" s="20"/>
      <c r="AQ626" s="20"/>
      <c r="AR626" s="20"/>
      <c r="AS626" s="20"/>
      <c r="AT626" s="20"/>
      <c r="AU626" s="20"/>
      <c r="AV626" s="20"/>
    </row>
    <row r="627" spans="1:48" ht="17.25" hidden="1" customHeight="1">
      <c r="A627" s="130"/>
      <c r="B627" s="131"/>
      <c r="C627" s="131"/>
      <c r="D627" s="131"/>
      <c r="E627" s="15"/>
      <c r="F627" s="131"/>
      <c r="G627" s="132"/>
      <c r="H627" s="133"/>
      <c r="I627" s="132"/>
      <c r="J627" s="133"/>
      <c r="K627" s="132"/>
      <c r="L627" s="133"/>
      <c r="M627" s="132"/>
      <c r="N627" s="134"/>
      <c r="O627" s="132"/>
      <c r="P627" s="134"/>
      <c r="Q627" s="132"/>
      <c r="R627" s="135"/>
      <c r="S627" s="132"/>
      <c r="T627" s="134"/>
      <c r="U627" s="131"/>
      <c r="V627" s="136"/>
      <c r="W627" s="131"/>
      <c r="X627" s="131"/>
      <c r="Y627" s="137"/>
      <c r="Z627" s="134"/>
      <c r="AA627" s="134"/>
      <c r="AB627" s="138"/>
      <c r="AC627" s="20"/>
      <c r="AD627" s="20"/>
      <c r="AE627" s="20"/>
      <c r="AF627" s="20"/>
      <c r="AG627" s="20"/>
      <c r="AH627" s="20"/>
      <c r="AI627" s="20"/>
      <c r="AJ627" s="20"/>
      <c r="AK627" s="20"/>
      <c r="AL627" s="20"/>
      <c r="AM627" s="20"/>
      <c r="AN627" s="20"/>
      <c r="AO627" s="20"/>
      <c r="AP627" s="20"/>
      <c r="AQ627" s="20"/>
      <c r="AR627" s="20"/>
      <c r="AS627" s="20"/>
      <c r="AT627" s="20"/>
      <c r="AU627" s="20"/>
      <c r="AV627" s="20"/>
    </row>
    <row r="628" spans="1:48" ht="17.25" hidden="1" customHeight="1">
      <c r="A628" s="130"/>
      <c r="B628" s="131"/>
      <c r="C628" s="131"/>
      <c r="D628" s="131"/>
      <c r="E628" s="15"/>
      <c r="F628" s="131"/>
      <c r="G628" s="132"/>
      <c r="H628" s="133"/>
      <c r="I628" s="132"/>
      <c r="J628" s="133"/>
      <c r="K628" s="132"/>
      <c r="L628" s="133"/>
      <c r="M628" s="132"/>
      <c r="N628" s="134"/>
      <c r="O628" s="132"/>
      <c r="P628" s="134"/>
      <c r="Q628" s="132"/>
      <c r="R628" s="135"/>
      <c r="S628" s="132"/>
      <c r="T628" s="134"/>
      <c r="U628" s="131"/>
      <c r="V628" s="136"/>
      <c r="W628" s="131"/>
      <c r="X628" s="131"/>
      <c r="Y628" s="137"/>
      <c r="Z628" s="134"/>
      <c r="AA628" s="134"/>
      <c r="AB628" s="138"/>
      <c r="AC628" s="20"/>
      <c r="AD628" s="20"/>
      <c r="AE628" s="20"/>
      <c r="AF628" s="20"/>
      <c r="AG628" s="20"/>
      <c r="AH628" s="20"/>
      <c r="AI628" s="20"/>
      <c r="AJ628" s="20"/>
      <c r="AK628" s="20"/>
      <c r="AL628" s="20"/>
      <c r="AM628" s="20"/>
      <c r="AN628" s="20"/>
      <c r="AO628" s="20"/>
      <c r="AP628" s="20"/>
      <c r="AQ628" s="20"/>
      <c r="AR628" s="20"/>
      <c r="AS628" s="20"/>
      <c r="AT628" s="20"/>
      <c r="AU628" s="20"/>
      <c r="AV628" s="20"/>
    </row>
    <row r="629" spans="1:48" ht="17.25" hidden="1" customHeight="1">
      <c r="A629" s="130"/>
      <c r="B629" s="131"/>
      <c r="C629" s="131"/>
      <c r="D629" s="131"/>
      <c r="E629" s="15"/>
      <c r="F629" s="131"/>
      <c r="G629" s="132"/>
      <c r="H629" s="133"/>
      <c r="I629" s="132"/>
      <c r="J629" s="133"/>
      <c r="K629" s="132"/>
      <c r="L629" s="133"/>
      <c r="M629" s="132"/>
      <c r="N629" s="134"/>
      <c r="O629" s="132"/>
      <c r="P629" s="134"/>
      <c r="Q629" s="132"/>
      <c r="R629" s="135"/>
      <c r="S629" s="132"/>
      <c r="T629" s="134"/>
      <c r="U629" s="131"/>
      <c r="V629" s="139"/>
      <c r="W629" s="131"/>
      <c r="X629" s="131"/>
      <c r="Y629" s="137"/>
      <c r="Z629" s="134"/>
      <c r="AA629" s="134"/>
      <c r="AB629" s="138"/>
      <c r="AC629" s="20"/>
      <c r="AD629" s="20"/>
      <c r="AE629" s="20"/>
      <c r="AF629" s="20"/>
      <c r="AG629" s="20"/>
      <c r="AH629" s="20"/>
      <c r="AI629" s="20"/>
      <c r="AJ629" s="20"/>
      <c r="AK629" s="20"/>
      <c r="AL629" s="20"/>
      <c r="AM629" s="20"/>
      <c r="AN629" s="20"/>
      <c r="AO629" s="20"/>
      <c r="AP629" s="20"/>
      <c r="AQ629" s="20"/>
      <c r="AR629" s="20"/>
      <c r="AS629" s="20"/>
      <c r="AT629" s="20"/>
      <c r="AU629" s="20"/>
      <c r="AV629" s="20"/>
    </row>
    <row r="630" spans="1:48" ht="17.25" hidden="1" customHeight="1">
      <c r="A630" s="130"/>
      <c r="B630" s="131"/>
      <c r="C630" s="131"/>
      <c r="D630" s="131"/>
      <c r="E630" s="15"/>
      <c r="F630" s="131"/>
      <c r="G630" s="132"/>
      <c r="H630" s="133"/>
      <c r="I630" s="132"/>
      <c r="J630" s="133"/>
      <c r="K630" s="132"/>
      <c r="L630" s="133"/>
      <c r="M630" s="132"/>
      <c r="N630" s="134"/>
      <c r="O630" s="132"/>
      <c r="P630" s="134"/>
      <c r="Q630" s="132"/>
      <c r="R630" s="135"/>
      <c r="S630" s="132"/>
      <c r="T630" s="134"/>
      <c r="U630" s="131"/>
      <c r="V630" s="140"/>
      <c r="W630" s="131"/>
      <c r="X630" s="131"/>
      <c r="Y630" s="137"/>
      <c r="Z630" s="134"/>
      <c r="AA630" s="134"/>
      <c r="AB630" s="138"/>
      <c r="AC630" s="20"/>
      <c r="AD630" s="20"/>
      <c r="AE630" s="20"/>
      <c r="AF630" s="20"/>
      <c r="AG630" s="20"/>
      <c r="AH630" s="20"/>
      <c r="AI630" s="20"/>
      <c r="AJ630" s="20"/>
      <c r="AK630" s="20"/>
      <c r="AL630" s="20"/>
      <c r="AM630" s="20"/>
      <c r="AN630" s="20"/>
      <c r="AO630" s="20"/>
      <c r="AP630" s="20"/>
      <c r="AQ630" s="20"/>
      <c r="AR630" s="20"/>
      <c r="AS630" s="20"/>
      <c r="AT630" s="20"/>
      <c r="AU630" s="20"/>
      <c r="AV630" s="20"/>
    </row>
    <row r="631" spans="1:48" ht="17.25" hidden="1" customHeight="1">
      <c r="A631" s="130"/>
      <c r="B631" s="131"/>
      <c r="C631" s="131"/>
      <c r="D631" s="131"/>
      <c r="E631" s="15"/>
      <c r="F631" s="131"/>
      <c r="G631" s="132"/>
      <c r="H631" s="133"/>
      <c r="I631" s="132"/>
      <c r="J631" s="133"/>
      <c r="K631" s="132"/>
      <c r="L631" s="133"/>
      <c r="M631" s="132"/>
      <c r="N631" s="134"/>
      <c r="O631" s="132"/>
      <c r="P631" s="134"/>
      <c r="Q631" s="132"/>
      <c r="R631" s="135"/>
      <c r="S631" s="132"/>
      <c r="T631" s="134"/>
      <c r="U631" s="131"/>
      <c r="V631" s="140"/>
      <c r="W631" s="131"/>
      <c r="X631" s="131"/>
      <c r="Y631" s="137"/>
      <c r="Z631" s="134"/>
      <c r="AA631" s="134"/>
      <c r="AB631" s="138"/>
      <c r="AC631" s="20"/>
      <c r="AD631" s="20"/>
      <c r="AE631" s="20"/>
      <c r="AF631" s="20"/>
      <c r="AG631" s="20"/>
      <c r="AH631" s="20"/>
      <c r="AI631" s="20"/>
      <c r="AJ631" s="20"/>
      <c r="AK631" s="20"/>
      <c r="AL631" s="20"/>
      <c r="AM631" s="20"/>
      <c r="AN631" s="20"/>
      <c r="AO631" s="20"/>
      <c r="AP631" s="20"/>
      <c r="AQ631" s="20"/>
      <c r="AR631" s="20"/>
      <c r="AS631" s="20"/>
      <c r="AT631" s="20"/>
      <c r="AU631" s="20"/>
      <c r="AV631" s="20"/>
    </row>
    <row r="632" spans="1:48" ht="17.25" hidden="1" customHeight="1">
      <c r="A632" s="130"/>
      <c r="B632" s="131"/>
      <c r="C632" s="131"/>
      <c r="D632" s="131"/>
      <c r="E632" s="15"/>
      <c r="F632" s="131"/>
      <c r="G632" s="132"/>
      <c r="H632" s="133"/>
      <c r="I632" s="132"/>
      <c r="J632" s="133"/>
      <c r="K632" s="132"/>
      <c r="L632" s="133"/>
      <c r="M632" s="132"/>
      <c r="N632" s="134"/>
      <c r="O632" s="132"/>
      <c r="P632" s="134"/>
      <c r="Q632" s="132"/>
      <c r="R632" s="135"/>
      <c r="S632" s="132"/>
      <c r="T632" s="134"/>
      <c r="U632" s="131"/>
      <c r="V632" s="140"/>
      <c r="W632" s="131"/>
      <c r="X632" s="131"/>
      <c r="Y632" s="137"/>
      <c r="Z632" s="134"/>
      <c r="AA632" s="134"/>
      <c r="AB632" s="138"/>
      <c r="AC632" s="20"/>
      <c r="AD632" s="20"/>
      <c r="AE632" s="20"/>
      <c r="AF632" s="20"/>
      <c r="AG632" s="20"/>
      <c r="AH632" s="20"/>
      <c r="AI632" s="20"/>
      <c r="AJ632" s="20"/>
      <c r="AK632" s="20"/>
      <c r="AL632" s="20"/>
      <c r="AM632" s="20"/>
      <c r="AN632" s="20"/>
      <c r="AO632" s="20"/>
      <c r="AP632" s="20"/>
      <c r="AQ632" s="20"/>
      <c r="AR632" s="20"/>
      <c r="AS632" s="20"/>
      <c r="AT632" s="20"/>
      <c r="AU632" s="20"/>
      <c r="AV632" s="20"/>
    </row>
    <row r="633" spans="1:48" ht="17.25" hidden="1" customHeight="1">
      <c r="A633" s="130"/>
      <c r="B633" s="131"/>
      <c r="C633" s="131"/>
      <c r="D633" s="131"/>
      <c r="E633" s="15"/>
      <c r="F633" s="131"/>
      <c r="G633" s="132"/>
      <c r="H633" s="133"/>
      <c r="I633" s="132"/>
      <c r="J633" s="133"/>
      <c r="K633" s="132"/>
      <c r="L633" s="133"/>
      <c r="M633" s="132"/>
      <c r="N633" s="134"/>
      <c r="O633" s="132"/>
      <c r="P633" s="134"/>
      <c r="Q633" s="132"/>
      <c r="R633" s="135"/>
      <c r="S633" s="132"/>
      <c r="T633" s="134"/>
      <c r="U633" s="131"/>
      <c r="V633" s="140"/>
      <c r="W633" s="131"/>
      <c r="X633" s="131"/>
      <c r="Y633" s="137"/>
      <c r="Z633" s="134"/>
      <c r="AA633" s="134"/>
      <c r="AB633" s="138"/>
      <c r="AC633" s="20"/>
      <c r="AD633" s="20"/>
      <c r="AE633" s="20"/>
      <c r="AF633" s="20"/>
      <c r="AG633" s="20"/>
      <c r="AH633" s="20"/>
      <c r="AI633" s="20"/>
      <c r="AJ633" s="20"/>
      <c r="AK633" s="20"/>
      <c r="AL633" s="20"/>
      <c r="AM633" s="20"/>
      <c r="AN633" s="20"/>
      <c r="AO633" s="20"/>
      <c r="AP633" s="20"/>
      <c r="AQ633" s="20"/>
      <c r="AR633" s="20"/>
      <c r="AS633" s="20"/>
      <c r="AT633" s="20"/>
      <c r="AU633" s="20"/>
      <c r="AV633" s="20"/>
    </row>
    <row r="634" spans="1:48" ht="17.25" hidden="1" customHeight="1">
      <c r="A634" s="130"/>
      <c r="B634" s="131"/>
      <c r="C634" s="131"/>
      <c r="D634" s="131"/>
      <c r="E634" s="15"/>
      <c r="F634" s="131"/>
      <c r="G634" s="132"/>
      <c r="H634" s="133"/>
      <c r="I634" s="132"/>
      <c r="J634" s="133"/>
      <c r="K634" s="132"/>
      <c r="L634" s="133"/>
      <c r="M634" s="132"/>
      <c r="N634" s="134"/>
      <c r="O634" s="132"/>
      <c r="P634" s="134"/>
      <c r="Q634" s="132"/>
      <c r="R634" s="135"/>
      <c r="S634" s="132"/>
      <c r="T634" s="134"/>
      <c r="U634" s="131"/>
      <c r="V634" s="140"/>
      <c r="W634" s="131"/>
      <c r="X634" s="131"/>
      <c r="Y634" s="137"/>
      <c r="Z634" s="134"/>
      <c r="AA634" s="134"/>
      <c r="AB634" s="138"/>
      <c r="AC634" s="20"/>
      <c r="AD634" s="20"/>
      <c r="AE634" s="20"/>
      <c r="AF634" s="20"/>
      <c r="AG634" s="20"/>
      <c r="AH634" s="20"/>
      <c r="AI634" s="20"/>
      <c r="AJ634" s="20"/>
      <c r="AK634" s="20"/>
      <c r="AL634" s="20"/>
      <c r="AM634" s="20"/>
      <c r="AN634" s="20"/>
      <c r="AO634" s="20"/>
      <c r="AP634" s="20"/>
      <c r="AQ634" s="20"/>
      <c r="AR634" s="20"/>
      <c r="AS634" s="20"/>
      <c r="AT634" s="20"/>
      <c r="AU634" s="20"/>
      <c r="AV634" s="20"/>
    </row>
    <row r="635" spans="1:48" ht="17.25" hidden="1" customHeight="1">
      <c r="A635" s="130"/>
      <c r="B635" s="131"/>
      <c r="C635" s="131"/>
      <c r="D635" s="131"/>
      <c r="E635" s="15"/>
      <c r="F635" s="131"/>
      <c r="G635" s="132"/>
      <c r="H635" s="133"/>
      <c r="I635" s="132"/>
      <c r="J635" s="133"/>
      <c r="K635" s="132"/>
      <c r="L635" s="133"/>
      <c r="M635" s="132"/>
      <c r="N635" s="134"/>
      <c r="O635" s="132"/>
      <c r="P635" s="134"/>
      <c r="Q635" s="132"/>
      <c r="R635" s="135"/>
      <c r="S635" s="132"/>
      <c r="T635" s="134"/>
      <c r="U635" s="131"/>
      <c r="V635" s="140"/>
      <c r="W635" s="131"/>
      <c r="X635" s="131"/>
      <c r="Y635" s="137"/>
      <c r="Z635" s="134"/>
      <c r="AA635" s="134"/>
      <c r="AB635" s="138"/>
      <c r="AC635" s="20"/>
      <c r="AD635" s="20"/>
      <c r="AE635" s="20"/>
      <c r="AF635" s="20"/>
      <c r="AG635" s="20"/>
      <c r="AH635" s="20"/>
      <c r="AI635" s="20"/>
      <c r="AJ635" s="20"/>
      <c r="AK635" s="20"/>
      <c r="AL635" s="20"/>
      <c r="AM635" s="20"/>
      <c r="AN635" s="20"/>
      <c r="AO635" s="20"/>
      <c r="AP635" s="20"/>
      <c r="AQ635" s="20"/>
      <c r="AR635" s="20"/>
      <c r="AS635" s="20"/>
      <c r="AT635" s="20"/>
      <c r="AU635" s="20"/>
      <c r="AV635" s="20"/>
    </row>
    <row r="636" spans="1:48" ht="17.25" hidden="1" customHeight="1">
      <c r="A636" s="130"/>
      <c r="B636" s="131"/>
      <c r="C636" s="131"/>
      <c r="D636" s="131"/>
      <c r="E636" s="15"/>
      <c r="F636" s="131"/>
      <c r="G636" s="132"/>
      <c r="H636" s="133"/>
      <c r="I636" s="132"/>
      <c r="J636" s="133"/>
      <c r="K636" s="132"/>
      <c r="L636" s="133"/>
      <c r="M636" s="132"/>
      <c r="N636" s="134"/>
      <c r="O636" s="132"/>
      <c r="P636" s="134"/>
      <c r="Q636" s="132"/>
      <c r="R636" s="135"/>
      <c r="S636" s="132"/>
      <c r="T636" s="134"/>
      <c r="U636" s="131"/>
      <c r="V636" s="140"/>
      <c r="W636" s="131"/>
      <c r="X636" s="131"/>
      <c r="Y636" s="137"/>
      <c r="Z636" s="134"/>
      <c r="AA636" s="134"/>
      <c r="AB636" s="138"/>
      <c r="AC636" s="20"/>
      <c r="AD636" s="20"/>
      <c r="AE636" s="20"/>
      <c r="AF636" s="20"/>
      <c r="AG636" s="20"/>
      <c r="AH636" s="20"/>
      <c r="AI636" s="20"/>
      <c r="AJ636" s="20"/>
      <c r="AK636" s="20"/>
      <c r="AL636" s="20"/>
      <c r="AM636" s="20"/>
      <c r="AN636" s="20"/>
      <c r="AO636" s="20"/>
      <c r="AP636" s="20"/>
      <c r="AQ636" s="20"/>
      <c r="AR636" s="20"/>
      <c r="AS636" s="20"/>
      <c r="AT636" s="20"/>
      <c r="AU636" s="20"/>
      <c r="AV636" s="20"/>
    </row>
    <row r="637" spans="1:48" ht="17.25" hidden="1" customHeight="1">
      <c r="A637" s="130"/>
      <c r="B637" s="131"/>
      <c r="C637" s="131"/>
      <c r="D637" s="131"/>
      <c r="E637" s="15"/>
      <c r="F637" s="131"/>
      <c r="G637" s="132"/>
      <c r="H637" s="133"/>
      <c r="I637" s="132"/>
      <c r="J637" s="133"/>
      <c r="K637" s="132"/>
      <c r="L637" s="133"/>
      <c r="M637" s="132"/>
      <c r="N637" s="134"/>
      <c r="O637" s="132"/>
      <c r="P637" s="134"/>
      <c r="Q637" s="132"/>
      <c r="R637" s="135"/>
      <c r="S637" s="132"/>
      <c r="T637" s="134"/>
      <c r="U637" s="131"/>
      <c r="V637" s="140"/>
      <c r="W637" s="131"/>
      <c r="X637" s="131"/>
      <c r="Y637" s="137"/>
      <c r="Z637" s="134"/>
      <c r="AA637" s="134"/>
      <c r="AB637" s="138"/>
      <c r="AC637" s="20"/>
      <c r="AD637" s="20"/>
      <c r="AE637" s="20"/>
      <c r="AF637" s="20"/>
      <c r="AG637" s="20"/>
      <c r="AH637" s="20"/>
      <c r="AI637" s="20"/>
      <c r="AJ637" s="20"/>
      <c r="AK637" s="20"/>
      <c r="AL637" s="20"/>
      <c r="AM637" s="20"/>
      <c r="AN637" s="20"/>
      <c r="AO637" s="20"/>
      <c r="AP637" s="20"/>
      <c r="AQ637" s="20"/>
      <c r="AR637" s="20"/>
      <c r="AS637" s="20"/>
      <c r="AT637" s="20"/>
      <c r="AU637" s="20"/>
      <c r="AV637" s="20"/>
    </row>
    <row r="638" spans="1:48" ht="17.25" hidden="1" customHeight="1">
      <c r="A638" s="130"/>
      <c r="B638" s="131"/>
      <c r="C638" s="131"/>
      <c r="D638" s="131"/>
      <c r="E638" s="15"/>
      <c r="F638" s="131"/>
      <c r="G638" s="132"/>
      <c r="H638" s="133"/>
      <c r="I638" s="132"/>
      <c r="J638" s="131"/>
      <c r="K638" s="132"/>
      <c r="L638" s="131"/>
      <c r="M638" s="132"/>
      <c r="N638" s="134"/>
      <c r="O638" s="132"/>
      <c r="P638" s="134"/>
      <c r="Q638" s="132"/>
      <c r="R638" s="135"/>
      <c r="S638" s="132"/>
      <c r="T638" s="134"/>
      <c r="U638" s="131"/>
      <c r="V638" s="144"/>
      <c r="W638" s="131"/>
      <c r="X638" s="131"/>
      <c r="Y638" s="137"/>
      <c r="Z638" s="134"/>
      <c r="AA638" s="134"/>
      <c r="AB638" s="138"/>
      <c r="AC638" s="20"/>
      <c r="AD638" s="20"/>
      <c r="AE638" s="20"/>
      <c r="AF638" s="20"/>
      <c r="AG638" s="20"/>
      <c r="AH638" s="20"/>
      <c r="AI638" s="20"/>
      <c r="AJ638" s="20"/>
      <c r="AK638" s="20"/>
      <c r="AL638" s="20"/>
      <c r="AM638" s="20"/>
      <c r="AN638" s="20"/>
      <c r="AO638" s="20"/>
      <c r="AP638" s="20"/>
      <c r="AQ638" s="20"/>
      <c r="AR638" s="20"/>
      <c r="AS638" s="20"/>
      <c r="AT638" s="20"/>
      <c r="AU638" s="20"/>
      <c r="AV638" s="20"/>
    </row>
    <row r="639" spans="1:48" ht="17.25" hidden="1" customHeight="1">
      <c r="A639" s="130"/>
      <c r="B639" s="131"/>
      <c r="C639" s="131"/>
      <c r="D639" s="131"/>
      <c r="E639" s="15"/>
      <c r="F639" s="131"/>
      <c r="G639" s="132"/>
      <c r="H639" s="133"/>
      <c r="I639" s="132"/>
      <c r="J639" s="131"/>
      <c r="K639" s="132"/>
      <c r="L639" s="131"/>
      <c r="M639" s="132"/>
      <c r="N639" s="134"/>
      <c r="O639" s="132"/>
      <c r="P639" s="134"/>
      <c r="Q639" s="132"/>
      <c r="R639" s="135"/>
      <c r="S639" s="132"/>
      <c r="T639" s="134"/>
      <c r="U639" s="131"/>
      <c r="V639" s="160"/>
      <c r="W639" s="131"/>
      <c r="X639" s="131"/>
      <c r="Y639" s="137"/>
      <c r="Z639" s="134"/>
      <c r="AA639" s="134"/>
      <c r="AB639" s="138"/>
      <c r="AC639" s="20"/>
      <c r="AD639" s="20"/>
      <c r="AE639" s="20"/>
      <c r="AF639" s="20"/>
      <c r="AG639" s="20"/>
      <c r="AH639" s="20"/>
      <c r="AI639" s="20"/>
      <c r="AJ639" s="20"/>
      <c r="AK639" s="20"/>
      <c r="AL639" s="20"/>
      <c r="AM639" s="20"/>
      <c r="AN639" s="20"/>
      <c r="AO639" s="20"/>
      <c r="AP639" s="20"/>
      <c r="AQ639" s="20"/>
      <c r="AR639" s="20"/>
      <c r="AS639" s="20"/>
      <c r="AT639" s="20"/>
      <c r="AU639" s="20"/>
      <c r="AV639" s="20"/>
    </row>
    <row r="640" spans="1:48" ht="17.25" hidden="1" customHeight="1">
      <c r="A640" s="130"/>
      <c r="B640" s="131"/>
      <c r="C640" s="131"/>
      <c r="D640" s="131"/>
      <c r="E640" s="15"/>
      <c r="F640" s="131"/>
      <c r="G640" s="132"/>
      <c r="H640" s="133"/>
      <c r="I640" s="132"/>
      <c r="J640" s="131"/>
      <c r="K640" s="132"/>
      <c r="L640" s="131"/>
      <c r="M640" s="132"/>
      <c r="N640" s="134"/>
      <c r="O640" s="132"/>
      <c r="P640" s="134"/>
      <c r="Q640" s="132"/>
      <c r="R640" s="135"/>
      <c r="S640" s="132"/>
      <c r="T640" s="134"/>
      <c r="U640" s="131"/>
      <c r="V640" s="144"/>
      <c r="W640" s="131"/>
      <c r="X640" s="131"/>
      <c r="Y640" s="137"/>
      <c r="Z640" s="134"/>
      <c r="AA640" s="134"/>
      <c r="AB640" s="138"/>
      <c r="AC640" s="20"/>
      <c r="AD640" s="20"/>
      <c r="AE640" s="20"/>
      <c r="AF640" s="20"/>
      <c r="AG640" s="20"/>
      <c r="AH640" s="20"/>
      <c r="AI640" s="20"/>
      <c r="AJ640" s="20"/>
      <c r="AK640" s="20"/>
      <c r="AL640" s="20"/>
      <c r="AM640" s="20"/>
      <c r="AN640" s="20"/>
      <c r="AO640" s="20"/>
      <c r="AP640" s="20"/>
      <c r="AQ640" s="20"/>
      <c r="AR640" s="20"/>
      <c r="AS640" s="20"/>
      <c r="AT640" s="20"/>
      <c r="AU640" s="20"/>
      <c r="AV640" s="20"/>
    </row>
    <row r="641" spans="1:48" ht="17.25" hidden="1" customHeight="1">
      <c r="A641" s="130"/>
      <c r="B641" s="131"/>
      <c r="C641" s="131"/>
      <c r="D641" s="131"/>
      <c r="E641" s="15"/>
      <c r="F641" s="131"/>
      <c r="G641" s="132"/>
      <c r="H641" s="133"/>
      <c r="I641" s="132"/>
      <c r="J641" s="133"/>
      <c r="K641" s="132"/>
      <c r="L641" s="133"/>
      <c r="M641" s="132"/>
      <c r="N641" s="134"/>
      <c r="O641" s="132"/>
      <c r="P641" s="134"/>
      <c r="Q641" s="132"/>
      <c r="R641" s="135"/>
      <c r="S641" s="132"/>
      <c r="T641" s="134"/>
      <c r="U641" s="131"/>
      <c r="V641" s="144"/>
      <c r="W641" s="131"/>
      <c r="X641" s="131"/>
      <c r="Y641" s="137"/>
      <c r="Z641" s="134"/>
      <c r="AA641" s="134"/>
      <c r="AB641" s="138"/>
      <c r="AC641" s="20"/>
      <c r="AD641" s="20"/>
      <c r="AE641" s="20"/>
      <c r="AF641" s="20"/>
      <c r="AG641" s="20"/>
      <c r="AH641" s="20"/>
      <c r="AI641" s="20"/>
      <c r="AJ641" s="20"/>
      <c r="AK641" s="20"/>
      <c r="AL641" s="20"/>
      <c r="AM641" s="20"/>
      <c r="AN641" s="20"/>
      <c r="AO641" s="20"/>
      <c r="AP641" s="20"/>
      <c r="AQ641" s="20"/>
      <c r="AR641" s="20"/>
      <c r="AS641" s="20"/>
      <c r="AT641" s="20"/>
      <c r="AU641" s="20"/>
      <c r="AV641" s="20"/>
    </row>
    <row r="642" spans="1:48" ht="17.25" hidden="1" customHeight="1">
      <c r="A642" s="130"/>
      <c r="B642" s="131"/>
      <c r="C642" s="131"/>
      <c r="D642" s="131"/>
      <c r="E642" s="15"/>
      <c r="F642" s="131"/>
      <c r="G642" s="132"/>
      <c r="H642" s="133"/>
      <c r="I642" s="132"/>
      <c r="J642" s="131"/>
      <c r="K642" s="132"/>
      <c r="L642" s="131"/>
      <c r="M642" s="132"/>
      <c r="N642" s="134"/>
      <c r="O642" s="132"/>
      <c r="P642" s="134"/>
      <c r="Q642" s="132"/>
      <c r="R642" s="135"/>
      <c r="S642" s="132"/>
      <c r="T642" s="134"/>
      <c r="U642" s="131"/>
      <c r="V642" s="144"/>
      <c r="W642" s="131"/>
      <c r="X642" s="131"/>
      <c r="Y642" s="137"/>
      <c r="Z642" s="134"/>
      <c r="AA642" s="134"/>
      <c r="AB642" s="138"/>
      <c r="AC642" s="20"/>
      <c r="AD642" s="20"/>
      <c r="AE642" s="20"/>
      <c r="AF642" s="20"/>
      <c r="AG642" s="20"/>
      <c r="AH642" s="20"/>
      <c r="AI642" s="20"/>
      <c r="AJ642" s="20"/>
      <c r="AK642" s="20"/>
      <c r="AL642" s="20"/>
      <c r="AM642" s="20"/>
      <c r="AN642" s="20"/>
      <c r="AO642" s="20"/>
      <c r="AP642" s="20"/>
      <c r="AQ642" s="20"/>
      <c r="AR642" s="20"/>
      <c r="AS642" s="20"/>
      <c r="AT642" s="20"/>
      <c r="AU642" s="20"/>
      <c r="AV642" s="20"/>
    </row>
    <row r="643" spans="1:48" ht="17.25" hidden="1" customHeight="1">
      <c r="A643" s="130"/>
      <c r="B643" s="131"/>
      <c r="C643" s="131"/>
      <c r="D643" s="131"/>
      <c r="E643" s="15"/>
      <c r="F643" s="131"/>
      <c r="G643" s="132"/>
      <c r="H643" s="133"/>
      <c r="I643" s="132"/>
      <c r="J643" s="133"/>
      <c r="K643" s="132"/>
      <c r="L643" s="133"/>
      <c r="M643" s="132"/>
      <c r="N643" s="134"/>
      <c r="O643" s="132"/>
      <c r="P643" s="134"/>
      <c r="Q643" s="132"/>
      <c r="R643" s="135"/>
      <c r="S643" s="132"/>
      <c r="T643" s="134"/>
      <c r="U643" s="131"/>
      <c r="V643" s="144"/>
      <c r="W643" s="131"/>
      <c r="X643" s="131"/>
      <c r="Y643" s="137"/>
      <c r="Z643" s="134"/>
      <c r="AA643" s="134"/>
      <c r="AB643" s="138"/>
      <c r="AC643" s="20"/>
      <c r="AD643" s="20"/>
      <c r="AE643" s="20"/>
      <c r="AF643" s="20"/>
      <c r="AG643" s="20"/>
      <c r="AH643" s="20"/>
      <c r="AI643" s="20"/>
      <c r="AJ643" s="20"/>
      <c r="AK643" s="20"/>
      <c r="AL643" s="20"/>
      <c r="AM643" s="20"/>
      <c r="AN643" s="20"/>
      <c r="AO643" s="20"/>
      <c r="AP643" s="20"/>
      <c r="AQ643" s="20"/>
      <c r="AR643" s="20"/>
      <c r="AS643" s="20"/>
      <c r="AT643" s="20"/>
      <c r="AU643" s="20"/>
      <c r="AV643" s="20"/>
    </row>
    <row r="644" spans="1:48" ht="17.25" hidden="1" customHeight="1">
      <c r="A644" s="130"/>
      <c r="B644" s="131"/>
      <c r="C644" s="131"/>
      <c r="D644" s="131"/>
      <c r="E644" s="15"/>
      <c r="F644" s="131"/>
      <c r="G644" s="132"/>
      <c r="H644" s="133"/>
      <c r="I644" s="132"/>
      <c r="J644" s="131"/>
      <c r="K644" s="132"/>
      <c r="L644" s="131"/>
      <c r="M644" s="132"/>
      <c r="N644" s="134"/>
      <c r="O644" s="132"/>
      <c r="P644" s="134"/>
      <c r="Q644" s="132"/>
      <c r="R644" s="135"/>
      <c r="S644" s="132"/>
      <c r="T644" s="134"/>
      <c r="U644" s="131"/>
      <c r="V644" s="144"/>
      <c r="W644" s="131"/>
      <c r="X644" s="131"/>
      <c r="Y644" s="137"/>
      <c r="Z644" s="134"/>
      <c r="AA644" s="134"/>
      <c r="AB644" s="138"/>
      <c r="AC644" s="20"/>
      <c r="AD644" s="20"/>
      <c r="AE644" s="20"/>
      <c r="AF644" s="20"/>
      <c r="AG644" s="20"/>
      <c r="AH644" s="20"/>
      <c r="AI644" s="20"/>
      <c r="AJ644" s="20"/>
      <c r="AK644" s="20"/>
      <c r="AL644" s="20"/>
      <c r="AM644" s="20"/>
      <c r="AN644" s="20"/>
      <c r="AO644" s="20"/>
      <c r="AP644" s="20"/>
      <c r="AQ644" s="20"/>
      <c r="AR644" s="20"/>
      <c r="AS644" s="20"/>
      <c r="AT644" s="20"/>
      <c r="AU644" s="20"/>
      <c r="AV644" s="20"/>
    </row>
    <row r="645" spans="1:48" ht="17.25" hidden="1" customHeight="1">
      <c r="A645" s="130"/>
      <c r="B645" s="131"/>
      <c r="C645" s="131"/>
      <c r="D645" s="131"/>
      <c r="E645" s="15"/>
      <c r="F645" s="131"/>
      <c r="G645" s="132"/>
      <c r="H645" s="133"/>
      <c r="I645" s="132"/>
      <c r="J645" s="131"/>
      <c r="K645" s="132"/>
      <c r="L645" s="131"/>
      <c r="M645" s="132"/>
      <c r="N645" s="134"/>
      <c r="O645" s="132"/>
      <c r="P645" s="134"/>
      <c r="Q645" s="132"/>
      <c r="R645" s="135"/>
      <c r="S645" s="132"/>
      <c r="T645" s="134"/>
      <c r="U645" s="131"/>
      <c r="V645" s="144"/>
      <c r="W645" s="131"/>
      <c r="X645" s="131"/>
      <c r="Y645" s="137"/>
      <c r="Z645" s="134"/>
      <c r="AA645" s="134"/>
      <c r="AB645" s="138"/>
      <c r="AC645" s="20"/>
      <c r="AD645" s="20"/>
      <c r="AE645" s="20"/>
      <c r="AF645" s="20"/>
      <c r="AG645" s="20"/>
      <c r="AH645" s="20"/>
      <c r="AI645" s="20"/>
      <c r="AJ645" s="20"/>
      <c r="AK645" s="20"/>
      <c r="AL645" s="20"/>
      <c r="AM645" s="20"/>
      <c r="AN645" s="20"/>
      <c r="AO645" s="20"/>
      <c r="AP645" s="20"/>
      <c r="AQ645" s="20"/>
      <c r="AR645" s="20"/>
      <c r="AS645" s="20"/>
      <c r="AT645" s="20"/>
      <c r="AU645" s="20"/>
      <c r="AV645" s="20"/>
    </row>
    <row r="646" spans="1:48" ht="17.25" hidden="1" customHeight="1">
      <c r="A646" s="130"/>
      <c r="B646" s="131"/>
      <c r="C646" s="131"/>
      <c r="D646" s="131"/>
      <c r="E646" s="15"/>
      <c r="F646" s="131"/>
      <c r="G646" s="132"/>
      <c r="H646" s="133"/>
      <c r="I646" s="132"/>
      <c r="J646" s="131"/>
      <c r="K646" s="132"/>
      <c r="L646" s="131"/>
      <c r="M646" s="132"/>
      <c r="N646" s="134"/>
      <c r="O646" s="132"/>
      <c r="P646" s="134"/>
      <c r="Q646" s="132"/>
      <c r="R646" s="135"/>
      <c r="S646" s="132"/>
      <c r="T646" s="134"/>
      <c r="U646" s="131"/>
      <c r="V646" s="144"/>
      <c r="W646" s="131"/>
      <c r="X646" s="131"/>
      <c r="Y646" s="137"/>
      <c r="Z646" s="134"/>
      <c r="AA646" s="134"/>
      <c r="AB646" s="138"/>
      <c r="AC646" s="20"/>
      <c r="AD646" s="20"/>
      <c r="AE646" s="20"/>
      <c r="AF646" s="20"/>
      <c r="AG646" s="20"/>
      <c r="AH646" s="20"/>
      <c r="AI646" s="20"/>
      <c r="AJ646" s="20"/>
      <c r="AK646" s="20"/>
      <c r="AL646" s="20"/>
      <c r="AM646" s="20"/>
      <c r="AN646" s="20"/>
      <c r="AO646" s="20"/>
      <c r="AP646" s="20"/>
      <c r="AQ646" s="20"/>
      <c r="AR646" s="20"/>
      <c r="AS646" s="20"/>
      <c r="AT646" s="20"/>
      <c r="AU646" s="20"/>
      <c r="AV646" s="20"/>
    </row>
    <row r="647" spans="1:48" ht="17.25" hidden="1" customHeight="1">
      <c r="A647" s="130"/>
      <c r="B647" s="131"/>
      <c r="C647" s="131"/>
      <c r="D647" s="131"/>
      <c r="E647" s="15"/>
      <c r="F647" s="131"/>
      <c r="G647" s="132"/>
      <c r="H647" s="133"/>
      <c r="I647" s="132"/>
      <c r="J647" s="133"/>
      <c r="K647" s="132"/>
      <c r="L647" s="131"/>
      <c r="M647" s="132"/>
      <c r="N647" s="134"/>
      <c r="O647" s="132"/>
      <c r="P647" s="134"/>
      <c r="Q647" s="132"/>
      <c r="R647" s="135"/>
      <c r="S647" s="132"/>
      <c r="T647" s="134"/>
      <c r="U647" s="131"/>
      <c r="V647" s="161"/>
      <c r="W647" s="131"/>
      <c r="X647" s="131"/>
      <c r="Y647" s="137"/>
      <c r="Z647" s="134"/>
      <c r="AA647" s="134"/>
      <c r="AB647" s="138"/>
      <c r="AC647" s="20"/>
      <c r="AD647" s="20"/>
      <c r="AE647" s="20"/>
      <c r="AF647" s="20"/>
      <c r="AG647" s="20"/>
      <c r="AH647" s="20"/>
      <c r="AI647" s="20"/>
      <c r="AJ647" s="20"/>
      <c r="AK647" s="20"/>
      <c r="AL647" s="20"/>
      <c r="AM647" s="20"/>
      <c r="AN647" s="20"/>
      <c r="AO647" s="20"/>
      <c r="AP647" s="20"/>
      <c r="AQ647" s="20"/>
      <c r="AR647" s="20"/>
      <c r="AS647" s="20"/>
      <c r="AT647" s="20"/>
      <c r="AU647" s="20"/>
      <c r="AV647" s="20"/>
    </row>
    <row r="648" spans="1:48" ht="17.25" hidden="1" customHeight="1">
      <c r="A648" s="130"/>
      <c r="B648" s="131"/>
      <c r="C648" s="131"/>
      <c r="D648" s="131"/>
      <c r="E648" s="15"/>
      <c r="F648" s="131"/>
      <c r="G648" s="132"/>
      <c r="H648" s="133"/>
      <c r="I648" s="132"/>
      <c r="J648" s="133"/>
      <c r="K648" s="132"/>
      <c r="L648" s="131"/>
      <c r="M648" s="132"/>
      <c r="N648" s="134"/>
      <c r="O648" s="132"/>
      <c r="P648" s="134"/>
      <c r="Q648" s="132"/>
      <c r="R648" s="135"/>
      <c r="S648" s="132"/>
      <c r="T648" s="134"/>
      <c r="U648" s="131"/>
      <c r="V648" s="144"/>
      <c r="W648" s="131"/>
      <c r="X648" s="131"/>
      <c r="Y648" s="137"/>
      <c r="Z648" s="134"/>
      <c r="AA648" s="134"/>
      <c r="AB648" s="138"/>
      <c r="AC648" s="20"/>
      <c r="AD648" s="20"/>
      <c r="AE648" s="20"/>
      <c r="AF648" s="20"/>
      <c r="AG648" s="20"/>
      <c r="AH648" s="20"/>
      <c r="AI648" s="20"/>
      <c r="AJ648" s="20"/>
      <c r="AK648" s="20"/>
      <c r="AL648" s="20"/>
      <c r="AM648" s="20"/>
      <c r="AN648" s="20"/>
      <c r="AO648" s="20"/>
      <c r="AP648" s="20"/>
      <c r="AQ648" s="20"/>
      <c r="AR648" s="20"/>
      <c r="AS648" s="20"/>
      <c r="AT648" s="20"/>
      <c r="AU648" s="20"/>
      <c r="AV648" s="20"/>
    </row>
    <row r="649" spans="1:48" ht="17.25" hidden="1" customHeight="1">
      <c r="A649" s="130"/>
      <c r="B649" s="131"/>
      <c r="C649" s="131"/>
      <c r="D649" s="131"/>
      <c r="E649" s="15"/>
      <c r="F649" s="131"/>
      <c r="G649" s="132"/>
      <c r="H649" s="133"/>
      <c r="I649" s="132"/>
      <c r="J649" s="131"/>
      <c r="K649" s="132"/>
      <c r="L649" s="131"/>
      <c r="M649" s="132"/>
      <c r="N649" s="134"/>
      <c r="O649" s="132"/>
      <c r="P649" s="134"/>
      <c r="Q649" s="132"/>
      <c r="R649" s="135"/>
      <c r="S649" s="132"/>
      <c r="T649" s="134"/>
      <c r="U649" s="131"/>
      <c r="V649" s="144"/>
      <c r="W649" s="131"/>
      <c r="X649" s="131"/>
      <c r="Y649" s="137"/>
      <c r="Z649" s="134"/>
      <c r="AA649" s="134"/>
      <c r="AB649" s="138"/>
      <c r="AC649" s="20"/>
      <c r="AD649" s="20"/>
      <c r="AE649" s="20"/>
      <c r="AF649" s="20"/>
      <c r="AG649" s="20"/>
      <c r="AH649" s="20"/>
      <c r="AI649" s="20"/>
      <c r="AJ649" s="20"/>
      <c r="AK649" s="20"/>
      <c r="AL649" s="20"/>
      <c r="AM649" s="20"/>
      <c r="AN649" s="20"/>
      <c r="AO649" s="20"/>
      <c r="AP649" s="20"/>
      <c r="AQ649" s="20"/>
      <c r="AR649" s="20"/>
      <c r="AS649" s="20"/>
      <c r="AT649" s="20"/>
      <c r="AU649" s="20"/>
      <c r="AV649" s="20"/>
    </row>
    <row r="650" spans="1:48" ht="17.25" hidden="1" customHeight="1">
      <c r="A650" s="130"/>
      <c r="B650" s="131"/>
      <c r="C650" s="131"/>
      <c r="D650" s="131"/>
      <c r="E650" s="15"/>
      <c r="F650" s="131"/>
      <c r="G650" s="132"/>
      <c r="H650" s="133"/>
      <c r="I650" s="132"/>
      <c r="J650" s="133"/>
      <c r="K650" s="132"/>
      <c r="L650" s="133"/>
      <c r="M650" s="132"/>
      <c r="N650" s="134"/>
      <c r="O650" s="132"/>
      <c r="P650" s="134"/>
      <c r="Q650" s="132"/>
      <c r="R650" s="135"/>
      <c r="S650" s="132"/>
      <c r="T650" s="134"/>
      <c r="U650" s="131"/>
      <c r="V650" s="144"/>
      <c r="W650" s="131"/>
      <c r="X650" s="131"/>
      <c r="Y650" s="137"/>
      <c r="Z650" s="134"/>
      <c r="AA650" s="134"/>
      <c r="AB650" s="138"/>
      <c r="AC650" s="20"/>
      <c r="AD650" s="20"/>
      <c r="AE650" s="20"/>
      <c r="AF650" s="20"/>
      <c r="AG650" s="20"/>
      <c r="AH650" s="20"/>
      <c r="AI650" s="20"/>
      <c r="AJ650" s="20"/>
      <c r="AK650" s="20"/>
      <c r="AL650" s="20"/>
      <c r="AM650" s="20"/>
      <c r="AN650" s="20"/>
      <c r="AO650" s="20"/>
      <c r="AP650" s="20"/>
      <c r="AQ650" s="20"/>
      <c r="AR650" s="20"/>
      <c r="AS650" s="20"/>
      <c r="AT650" s="20"/>
      <c r="AU650" s="20"/>
      <c r="AV650" s="20"/>
    </row>
    <row r="651" spans="1:48" ht="17.25" hidden="1" customHeight="1">
      <c r="A651" s="130"/>
      <c r="B651" s="131"/>
      <c r="C651" s="131"/>
      <c r="D651" s="131"/>
      <c r="E651" s="15"/>
      <c r="F651" s="131"/>
      <c r="G651" s="132"/>
      <c r="H651" s="133"/>
      <c r="I651" s="132"/>
      <c r="J651" s="133"/>
      <c r="K651" s="132"/>
      <c r="L651" s="133"/>
      <c r="M651" s="132"/>
      <c r="N651" s="134"/>
      <c r="O651" s="132"/>
      <c r="P651" s="134"/>
      <c r="Q651" s="132"/>
      <c r="R651" s="135"/>
      <c r="S651" s="132"/>
      <c r="T651" s="134"/>
      <c r="U651" s="131"/>
      <c r="V651" s="144"/>
      <c r="W651" s="131"/>
      <c r="X651" s="131"/>
      <c r="Y651" s="137"/>
      <c r="Z651" s="134"/>
      <c r="AA651" s="134"/>
      <c r="AB651" s="138"/>
      <c r="AC651" s="20"/>
      <c r="AD651" s="20"/>
      <c r="AE651" s="20"/>
      <c r="AF651" s="20"/>
      <c r="AG651" s="20"/>
      <c r="AH651" s="20"/>
      <c r="AI651" s="20"/>
      <c r="AJ651" s="20"/>
      <c r="AK651" s="20"/>
      <c r="AL651" s="20"/>
      <c r="AM651" s="20"/>
      <c r="AN651" s="20"/>
      <c r="AO651" s="20"/>
      <c r="AP651" s="20"/>
      <c r="AQ651" s="20"/>
      <c r="AR651" s="20"/>
      <c r="AS651" s="20"/>
      <c r="AT651" s="20"/>
      <c r="AU651" s="20"/>
      <c r="AV651" s="20"/>
    </row>
    <row r="652" spans="1:48" ht="17.25" hidden="1" customHeight="1">
      <c r="A652" s="130"/>
      <c r="B652" s="131"/>
      <c r="C652" s="131"/>
      <c r="D652" s="131"/>
      <c r="E652" s="15"/>
      <c r="F652" s="131"/>
      <c r="G652" s="132"/>
      <c r="H652" s="133"/>
      <c r="I652" s="132"/>
      <c r="J652" s="133"/>
      <c r="K652" s="132"/>
      <c r="L652" s="133"/>
      <c r="M652" s="132"/>
      <c r="N652" s="134"/>
      <c r="O652" s="132"/>
      <c r="P652" s="134"/>
      <c r="Q652" s="132"/>
      <c r="R652" s="135"/>
      <c r="S652" s="132"/>
      <c r="T652" s="134"/>
      <c r="U652" s="131"/>
      <c r="V652" s="144"/>
      <c r="W652" s="131"/>
      <c r="X652" s="131"/>
      <c r="Y652" s="137"/>
      <c r="Z652" s="134"/>
      <c r="AA652" s="134"/>
      <c r="AB652" s="138"/>
      <c r="AC652" s="20"/>
      <c r="AD652" s="20"/>
      <c r="AE652" s="20"/>
      <c r="AF652" s="20"/>
      <c r="AG652" s="20"/>
      <c r="AH652" s="20"/>
      <c r="AI652" s="20"/>
      <c r="AJ652" s="20"/>
      <c r="AK652" s="20"/>
      <c r="AL652" s="20"/>
      <c r="AM652" s="20"/>
      <c r="AN652" s="20"/>
      <c r="AO652" s="20"/>
      <c r="AP652" s="20"/>
      <c r="AQ652" s="20"/>
      <c r="AR652" s="20"/>
      <c r="AS652" s="20"/>
      <c r="AT652" s="20"/>
      <c r="AU652" s="20"/>
      <c r="AV652" s="20"/>
    </row>
    <row r="653" spans="1:48" ht="17.25" hidden="1" customHeight="1">
      <c r="A653" s="130"/>
      <c r="B653" s="131"/>
      <c r="C653" s="131"/>
      <c r="D653" s="131"/>
      <c r="E653" s="15"/>
      <c r="F653" s="131"/>
      <c r="G653" s="132"/>
      <c r="H653" s="133"/>
      <c r="I653" s="132"/>
      <c r="J653" s="133"/>
      <c r="K653" s="132"/>
      <c r="L653" s="133"/>
      <c r="M653" s="132"/>
      <c r="N653" s="134"/>
      <c r="O653" s="132"/>
      <c r="P653" s="134"/>
      <c r="Q653" s="132"/>
      <c r="R653" s="135"/>
      <c r="S653" s="132"/>
      <c r="T653" s="134"/>
      <c r="U653" s="131"/>
      <c r="V653" s="144"/>
      <c r="W653" s="131"/>
      <c r="X653" s="131"/>
      <c r="Y653" s="137"/>
      <c r="Z653" s="134"/>
      <c r="AA653" s="134"/>
      <c r="AB653" s="138"/>
      <c r="AC653" s="20"/>
      <c r="AD653" s="20"/>
      <c r="AE653" s="20"/>
      <c r="AF653" s="20"/>
      <c r="AG653" s="20"/>
      <c r="AH653" s="20"/>
      <c r="AI653" s="20"/>
      <c r="AJ653" s="20"/>
      <c r="AK653" s="20"/>
      <c r="AL653" s="20"/>
      <c r="AM653" s="20"/>
      <c r="AN653" s="20"/>
      <c r="AO653" s="20"/>
      <c r="AP653" s="20"/>
      <c r="AQ653" s="20"/>
      <c r="AR653" s="20"/>
      <c r="AS653" s="20"/>
      <c r="AT653" s="20"/>
      <c r="AU653" s="20"/>
      <c r="AV653" s="20"/>
    </row>
    <row r="654" spans="1:48" ht="17.25" hidden="1" customHeight="1">
      <c r="A654" s="130"/>
      <c r="B654" s="131"/>
      <c r="C654" s="131"/>
      <c r="D654" s="131"/>
      <c r="E654" s="15"/>
      <c r="F654" s="131"/>
      <c r="G654" s="132"/>
      <c r="H654" s="133"/>
      <c r="I654" s="132"/>
      <c r="J654" s="131"/>
      <c r="K654" s="132"/>
      <c r="L654" s="131"/>
      <c r="M654" s="132"/>
      <c r="N654" s="134"/>
      <c r="O654" s="132"/>
      <c r="P654" s="134"/>
      <c r="Q654" s="132"/>
      <c r="R654" s="135"/>
      <c r="S654" s="132"/>
      <c r="T654" s="134"/>
      <c r="U654" s="131"/>
      <c r="V654" s="144"/>
      <c r="W654" s="131"/>
      <c r="X654" s="131"/>
      <c r="Y654" s="137"/>
      <c r="Z654" s="134"/>
      <c r="AA654" s="134"/>
      <c r="AB654" s="138"/>
      <c r="AC654" s="20"/>
      <c r="AD654" s="20"/>
      <c r="AE654" s="20"/>
      <c r="AF654" s="20"/>
      <c r="AG654" s="20"/>
      <c r="AH654" s="20"/>
      <c r="AI654" s="20"/>
      <c r="AJ654" s="20"/>
      <c r="AK654" s="20"/>
      <c r="AL654" s="20"/>
      <c r="AM654" s="20"/>
      <c r="AN654" s="20"/>
      <c r="AO654" s="20"/>
      <c r="AP654" s="20"/>
      <c r="AQ654" s="20"/>
      <c r="AR654" s="20"/>
      <c r="AS654" s="20"/>
      <c r="AT654" s="20"/>
      <c r="AU654" s="20"/>
      <c r="AV654" s="20"/>
    </row>
    <row r="655" spans="1:48" ht="17.25" hidden="1" customHeight="1">
      <c r="A655" s="130"/>
      <c r="B655" s="131"/>
      <c r="C655" s="131"/>
      <c r="D655" s="131"/>
      <c r="E655" s="15"/>
      <c r="F655" s="131"/>
      <c r="G655" s="132"/>
      <c r="H655" s="133"/>
      <c r="I655" s="132"/>
      <c r="J655" s="133"/>
      <c r="K655" s="132"/>
      <c r="L655" s="133"/>
      <c r="M655" s="132"/>
      <c r="N655" s="134"/>
      <c r="O655" s="132"/>
      <c r="P655" s="134"/>
      <c r="Q655" s="132"/>
      <c r="R655" s="135"/>
      <c r="S655" s="132"/>
      <c r="T655" s="134"/>
      <c r="U655" s="131"/>
      <c r="V655" s="144"/>
      <c r="W655" s="131"/>
      <c r="X655" s="131"/>
      <c r="Y655" s="137"/>
      <c r="Z655" s="134"/>
      <c r="AA655" s="134"/>
      <c r="AB655" s="138"/>
      <c r="AC655" s="20"/>
      <c r="AD655" s="20"/>
      <c r="AE655" s="20"/>
      <c r="AF655" s="20"/>
      <c r="AG655" s="20"/>
      <c r="AH655" s="20"/>
      <c r="AI655" s="20"/>
      <c r="AJ655" s="20"/>
      <c r="AK655" s="20"/>
      <c r="AL655" s="20"/>
      <c r="AM655" s="20"/>
      <c r="AN655" s="20"/>
      <c r="AO655" s="20"/>
      <c r="AP655" s="20"/>
      <c r="AQ655" s="20"/>
      <c r="AR655" s="20"/>
      <c r="AS655" s="20"/>
      <c r="AT655" s="20"/>
      <c r="AU655" s="20"/>
      <c r="AV655" s="20"/>
    </row>
    <row r="656" spans="1:48" ht="17.25" hidden="1" customHeight="1">
      <c r="A656" s="130"/>
      <c r="B656" s="131"/>
      <c r="C656" s="131"/>
      <c r="D656" s="131"/>
      <c r="E656" s="15"/>
      <c r="F656" s="131"/>
      <c r="G656" s="132"/>
      <c r="H656" s="133"/>
      <c r="I656" s="132"/>
      <c r="J656" s="133"/>
      <c r="K656" s="132"/>
      <c r="L656" s="131"/>
      <c r="M656" s="132"/>
      <c r="N656" s="134"/>
      <c r="O656" s="132"/>
      <c r="P656" s="134"/>
      <c r="Q656" s="132"/>
      <c r="R656" s="135"/>
      <c r="S656" s="132"/>
      <c r="T656" s="134"/>
      <c r="U656" s="131"/>
      <c r="V656" s="145"/>
      <c r="W656" s="131"/>
      <c r="X656" s="131"/>
      <c r="Y656" s="137"/>
      <c r="Z656" s="134"/>
      <c r="AA656" s="134"/>
      <c r="AB656" s="138"/>
      <c r="AC656" s="20"/>
      <c r="AD656" s="20"/>
      <c r="AE656" s="20"/>
      <c r="AF656" s="20"/>
      <c r="AG656" s="20"/>
      <c r="AH656" s="20"/>
      <c r="AI656" s="20"/>
      <c r="AJ656" s="20"/>
      <c r="AK656" s="20"/>
      <c r="AL656" s="20"/>
      <c r="AM656" s="20"/>
      <c r="AN656" s="20"/>
      <c r="AO656" s="20"/>
      <c r="AP656" s="20"/>
      <c r="AQ656" s="20"/>
      <c r="AR656" s="20"/>
      <c r="AS656" s="20"/>
      <c r="AT656" s="20"/>
      <c r="AU656" s="20"/>
      <c r="AV656" s="20"/>
    </row>
    <row r="657" spans="1:48" ht="17.25" hidden="1" customHeight="1">
      <c r="A657" s="130"/>
      <c r="B657" s="131"/>
      <c r="C657" s="131"/>
      <c r="D657" s="131"/>
      <c r="E657" s="15"/>
      <c r="F657" s="131"/>
      <c r="G657" s="132"/>
      <c r="H657" s="133"/>
      <c r="I657" s="132"/>
      <c r="J657" s="133"/>
      <c r="K657" s="132"/>
      <c r="L657" s="131"/>
      <c r="M657" s="132"/>
      <c r="N657" s="134"/>
      <c r="O657" s="132"/>
      <c r="P657" s="134"/>
      <c r="Q657" s="132"/>
      <c r="R657" s="135"/>
      <c r="S657" s="132"/>
      <c r="T657" s="134"/>
      <c r="U657" s="131"/>
      <c r="V657" s="161"/>
      <c r="W657" s="131"/>
      <c r="X657" s="131"/>
      <c r="Y657" s="137"/>
      <c r="Z657" s="134"/>
      <c r="AA657" s="134"/>
      <c r="AB657" s="138"/>
      <c r="AC657" s="20"/>
      <c r="AD657" s="20"/>
      <c r="AE657" s="20"/>
      <c r="AF657" s="20"/>
      <c r="AG657" s="20"/>
      <c r="AH657" s="20"/>
      <c r="AI657" s="20"/>
      <c r="AJ657" s="20"/>
      <c r="AK657" s="20"/>
      <c r="AL657" s="20"/>
      <c r="AM657" s="20"/>
      <c r="AN657" s="20"/>
      <c r="AO657" s="20"/>
      <c r="AP657" s="20"/>
      <c r="AQ657" s="20"/>
      <c r="AR657" s="20"/>
      <c r="AS657" s="20"/>
      <c r="AT657" s="20"/>
      <c r="AU657" s="20"/>
      <c r="AV657" s="20"/>
    </row>
    <row r="658" spans="1:48" ht="17.25" hidden="1" customHeight="1">
      <c r="A658" s="130"/>
      <c r="B658" s="131"/>
      <c r="C658" s="131"/>
      <c r="D658" s="131"/>
      <c r="E658" s="15"/>
      <c r="F658" s="131"/>
      <c r="G658" s="132"/>
      <c r="H658" s="133"/>
      <c r="I658" s="132"/>
      <c r="J658" s="131"/>
      <c r="K658" s="132"/>
      <c r="L658" s="131"/>
      <c r="M658" s="132"/>
      <c r="N658" s="134"/>
      <c r="O658" s="132"/>
      <c r="P658" s="134"/>
      <c r="Q658" s="132"/>
      <c r="R658" s="135"/>
      <c r="S658" s="132"/>
      <c r="T658" s="134"/>
      <c r="U658" s="131"/>
      <c r="V658" s="144"/>
      <c r="W658" s="131"/>
      <c r="X658" s="131"/>
      <c r="Y658" s="137"/>
      <c r="Z658" s="134"/>
      <c r="AA658" s="134"/>
      <c r="AB658" s="138"/>
      <c r="AC658" s="20"/>
      <c r="AD658" s="20"/>
      <c r="AE658" s="20"/>
      <c r="AF658" s="20"/>
      <c r="AG658" s="20"/>
      <c r="AH658" s="20"/>
      <c r="AI658" s="20"/>
      <c r="AJ658" s="20"/>
      <c r="AK658" s="20"/>
      <c r="AL658" s="20"/>
      <c r="AM658" s="20"/>
      <c r="AN658" s="20"/>
      <c r="AO658" s="20"/>
      <c r="AP658" s="20"/>
      <c r="AQ658" s="20"/>
      <c r="AR658" s="20"/>
      <c r="AS658" s="20"/>
      <c r="AT658" s="20"/>
      <c r="AU658" s="20"/>
      <c r="AV658" s="20"/>
    </row>
    <row r="659" spans="1:48" ht="17.25" hidden="1" customHeight="1">
      <c r="A659" s="130"/>
      <c r="B659" s="131"/>
      <c r="C659" s="131"/>
      <c r="D659" s="131"/>
      <c r="E659" s="15"/>
      <c r="F659" s="131"/>
      <c r="G659" s="132"/>
      <c r="H659" s="133"/>
      <c r="I659" s="132"/>
      <c r="J659" s="133"/>
      <c r="K659" s="132"/>
      <c r="L659" s="133"/>
      <c r="M659" s="132"/>
      <c r="N659" s="134"/>
      <c r="O659" s="132"/>
      <c r="P659" s="134"/>
      <c r="Q659" s="132"/>
      <c r="R659" s="135"/>
      <c r="S659" s="132"/>
      <c r="T659" s="134"/>
      <c r="U659" s="131"/>
      <c r="V659" s="144"/>
      <c r="W659" s="131"/>
      <c r="X659" s="131"/>
      <c r="Y659" s="137"/>
      <c r="Z659" s="134"/>
      <c r="AA659" s="134"/>
      <c r="AB659" s="138"/>
      <c r="AC659" s="20"/>
      <c r="AD659" s="20"/>
      <c r="AE659" s="20"/>
      <c r="AF659" s="20"/>
      <c r="AG659" s="20"/>
      <c r="AH659" s="20"/>
      <c r="AI659" s="20"/>
      <c r="AJ659" s="20"/>
      <c r="AK659" s="20"/>
      <c r="AL659" s="20"/>
      <c r="AM659" s="20"/>
      <c r="AN659" s="20"/>
      <c r="AO659" s="20"/>
      <c r="AP659" s="20"/>
      <c r="AQ659" s="20"/>
      <c r="AR659" s="20"/>
      <c r="AS659" s="20"/>
      <c r="AT659" s="20"/>
      <c r="AU659" s="20"/>
      <c r="AV659" s="20"/>
    </row>
    <row r="660" spans="1:48" ht="17.25" hidden="1" customHeight="1">
      <c r="A660" s="130"/>
      <c r="B660" s="131"/>
      <c r="C660" s="131"/>
      <c r="D660" s="131"/>
      <c r="E660" s="15"/>
      <c r="F660" s="131"/>
      <c r="G660" s="132"/>
      <c r="H660" s="133"/>
      <c r="I660" s="132"/>
      <c r="J660" s="133"/>
      <c r="K660" s="132"/>
      <c r="L660" s="133"/>
      <c r="M660" s="132"/>
      <c r="N660" s="134"/>
      <c r="O660" s="132"/>
      <c r="P660" s="134"/>
      <c r="Q660" s="132"/>
      <c r="R660" s="135"/>
      <c r="S660" s="132"/>
      <c r="T660" s="134"/>
      <c r="U660" s="131"/>
      <c r="V660" s="144"/>
      <c r="W660" s="131"/>
      <c r="X660" s="131"/>
      <c r="Y660" s="137"/>
      <c r="Z660" s="134"/>
      <c r="AA660" s="134"/>
      <c r="AB660" s="138"/>
      <c r="AC660" s="20"/>
      <c r="AD660" s="20"/>
      <c r="AE660" s="20"/>
      <c r="AF660" s="20"/>
      <c r="AG660" s="20"/>
      <c r="AH660" s="20"/>
      <c r="AI660" s="20"/>
      <c r="AJ660" s="20"/>
      <c r="AK660" s="20"/>
      <c r="AL660" s="20"/>
      <c r="AM660" s="20"/>
      <c r="AN660" s="20"/>
      <c r="AO660" s="20"/>
      <c r="AP660" s="20"/>
      <c r="AQ660" s="20"/>
      <c r="AR660" s="20"/>
      <c r="AS660" s="20"/>
      <c r="AT660" s="20"/>
      <c r="AU660" s="20"/>
      <c r="AV660" s="20"/>
    </row>
    <row r="661" spans="1:48" ht="17.25" hidden="1" customHeight="1">
      <c r="A661" s="130"/>
      <c r="B661" s="131"/>
      <c r="C661" s="131"/>
      <c r="D661" s="131"/>
      <c r="E661" s="15"/>
      <c r="F661" s="131"/>
      <c r="G661" s="132"/>
      <c r="H661" s="133"/>
      <c r="I661" s="132"/>
      <c r="J661" s="133"/>
      <c r="K661" s="132"/>
      <c r="L661" s="133"/>
      <c r="M661" s="132"/>
      <c r="N661" s="134"/>
      <c r="O661" s="132"/>
      <c r="P661" s="134"/>
      <c r="Q661" s="132"/>
      <c r="R661" s="135"/>
      <c r="S661" s="132"/>
      <c r="T661" s="134"/>
      <c r="U661" s="131"/>
      <c r="V661" s="144"/>
      <c r="W661" s="131"/>
      <c r="X661" s="131"/>
      <c r="Y661" s="137"/>
      <c r="Z661" s="134"/>
      <c r="AA661" s="134"/>
      <c r="AB661" s="138"/>
      <c r="AC661" s="20"/>
      <c r="AD661" s="20"/>
      <c r="AE661" s="20"/>
      <c r="AF661" s="20"/>
      <c r="AG661" s="20"/>
      <c r="AH661" s="20"/>
      <c r="AI661" s="20"/>
      <c r="AJ661" s="20"/>
      <c r="AK661" s="20"/>
      <c r="AL661" s="20"/>
      <c r="AM661" s="20"/>
      <c r="AN661" s="20"/>
      <c r="AO661" s="20"/>
      <c r="AP661" s="20"/>
      <c r="AQ661" s="20"/>
      <c r="AR661" s="20"/>
      <c r="AS661" s="20"/>
      <c r="AT661" s="20"/>
      <c r="AU661" s="20"/>
      <c r="AV661" s="20"/>
    </row>
    <row r="662" spans="1:48" ht="17.25" hidden="1" customHeight="1">
      <c r="A662" s="130"/>
      <c r="B662" s="131"/>
      <c r="C662" s="131"/>
      <c r="D662" s="131"/>
      <c r="E662" s="15"/>
      <c r="F662" s="131"/>
      <c r="G662" s="132"/>
      <c r="H662" s="133"/>
      <c r="I662" s="132"/>
      <c r="J662" s="133"/>
      <c r="K662" s="132"/>
      <c r="L662" s="133"/>
      <c r="M662" s="132"/>
      <c r="N662" s="134"/>
      <c r="O662" s="132"/>
      <c r="P662" s="134"/>
      <c r="Q662" s="132"/>
      <c r="R662" s="135"/>
      <c r="S662" s="132"/>
      <c r="T662" s="134"/>
      <c r="U662" s="131"/>
      <c r="V662" s="144"/>
      <c r="W662" s="131"/>
      <c r="X662" s="131"/>
      <c r="Y662" s="137"/>
      <c r="Z662" s="134"/>
      <c r="AA662" s="134"/>
      <c r="AB662" s="138"/>
      <c r="AC662" s="20"/>
      <c r="AD662" s="20"/>
      <c r="AE662" s="20"/>
      <c r="AF662" s="20"/>
      <c r="AG662" s="20"/>
      <c r="AH662" s="20"/>
      <c r="AI662" s="20"/>
      <c r="AJ662" s="20"/>
      <c r="AK662" s="20"/>
      <c r="AL662" s="20"/>
      <c r="AM662" s="20"/>
      <c r="AN662" s="20"/>
      <c r="AO662" s="20"/>
      <c r="AP662" s="20"/>
      <c r="AQ662" s="20"/>
      <c r="AR662" s="20"/>
      <c r="AS662" s="20"/>
      <c r="AT662" s="20"/>
      <c r="AU662" s="20"/>
      <c r="AV662" s="20"/>
    </row>
    <row r="663" spans="1:48" ht="17.25" hidden="1" customHeight="1">
      <c r="A663" s="130"/>
      <c r="B663" s="131"/>
      <c r="C663" s="131"/>
      <c r="D663" s="131"/>
      <c r="E663" s="15"/>
      <c r="F663" s="131"/>
      <c r="G663" s="132"/>
      <c r="H663" s="133"/>
      <c r="I663" s="132"/>
      <c r="J663" s="131"/>
      <c r="K663" s="132"/>
      <c r="L663" s="131"/>
      <c r="M663" s="132"/>
      <c r="N663" s="134"/>
      <c r="O663" s="132"/>
      <c r="P663" s="134"/>
      <c r="Q663" s="132"/>
      <c r="R663" s="135"/>
      <c r="S663" s="132"/>
      <c r="T663" s="134"/>
      <c r="U663" s="131"/>
      <c r="V663" s="144"/>
      <c r="W663" s="131"/>
      <c r="X663" s="131"/>
      <c r="Y663" s="137"/>
      <c r="Z663" s="134"/>
      <c r="AA663" s="134"/>
      <c r="AB663" s="138"/>
      <c r="AC663" s="20"/>
      <c r="AD663" s="20"/>
      <c r="AE663" s="20"/>
      <c r="AF663" s="20"/>
      <c r="AG663" s="20"/>
      <c r="AH663" s="20"/>
      <c r="AI663" s="20"/>
      <c r="AJ663" s="20"/>
      <c r="AK663" s="20"/>
      <c r="AL663" s="20"/>
      <c r="AM663" s="20"/>
      <c r="AN663" s="20"/>
      <c r="AO663" s="20"/>
      <c r="AP663" s="20"/>
      <c r="AQ663" s="20"/>
      <c r="AR663" s="20"/>
      <c r="AS663" s="20"/>
      <c r="AT663" s="20"/>
      <c r="AU663" s="20"/>
      <c r="AV663" s="20"/>
    </row>
    <row r="664" spans="1:48" ht="17.25" hidden="1" customHeight="1">
      <c r="A664" s="130"/>
      <c r="B664" s="131"/>
      <c r="C664" s="131"/>
      <c r="D664" s="131"/>
      <c r="E664" s="15"/>
      <c r="F664" s="131"/>
      <c r="G664" s="132"/>
      <c r="H664" s="133"/>
      <c r="I664" s="132"/>
      <c r="J664" s="133"/>
      <c r="K664" s="132"/>
      <c r="L664" s="133"/>
      <c r="M664" s="132"/>
      <c r="N664" s="134"/>
      <c r="O664" s="132"/>
      <c r="P664" s="134"/>
      <c r="Q664" s="132"/>
      <c r="R664" s="135"/>
      <c r="S664" s="132"/>
      <c r="T664" s="134"/>
      <c r="U664" s="131"/>
      <c r="V664" s="144"/>
      <c r="W664" s="131"/>
      <c r="X664" s="131"/>
      <c r="Y664" s="137"/>
      <c r="Z664" s="134"/>
      <c r="AA664" s="134"/>
      <c r="AB664" s="138"/>
      <c r="AC664" s="20"/>
      <c r="AD664" s="20"/>
      <c r="AE664" s="20"/>
      <c r="AF664" s="20"/>
      <c r="AG664" s="20"/>
      <c r="AH664" s="20"/>
      <c r="AI664" s="20"/>
      <c r="AJ664" s="20"/>
      <c r="AK664" s="20"/>
      <c r="AL664" s="20"/>
      <c r="AM664" s="20"/>
      <c r="AN664" s="20"/>
      <c r="AO664" s="20"/>
      <c r="AP664" s="20"/>
      <c r="AQ664" s="20"/>
      <c r="AR664" s="20"/>
      <c r="AS664" s="20"/>
      <c r="AT664" s="20"/>
      <c r="AU664" s="20"/>
      <c r="AV664" s="20"/>
    </row>
    <row r="665" spans="1:48" ht="17.25" hidden="1" customHeight="1">
      <c r="A665" s="130"/>
      <c r="B665" s="131"/>
      <c r="C665" s="131"/>
      <c r="D665" s="131"/>
      <c r="E665" s="15"/>
      <c r="F665" s="131"/>
      <c r="G665" s="132"/>
      <c r="H665" s="133"/>
      <c r="I665" s="132"/>
      <c r="J665" s="133"/>
      <c r="K665" s="132"/>
      <c r="L665" s="131"/>
      <c r="M665" s="132"/>
      <c r="N665" s="134"/>
      <c r="O665" s="132"/>
      <c r="P665" s="134"/>
      <c r="Q665" s="132"/>
      <c r="R665" s="135"/>
      <c r="S665" s="132"/>
      <c r="T665" s="134"/>
      <c r="U665" s="131"/>
      <c r="V665" s="147"/>
      <c r="W665" s="131"/>
      <c r="X665" s="131"/>
      <c r="Y665" s="137"/>
      <c r="Z665" s="134"/>
      <c r="AA665" s="134"/>
      <c r="AB665" s="138"/>
      <c r="AC665" s="20"/>
      <c r="AD665" s="20"/>
      <c r="AE665" s="20"/>
      <c r="AF665" s="20"/>
      <c r="AG665" s="20"/>
      <c r="AH665" s="20"/>
      <c r="AI665" s="20"/>
      <c r="AJ665" s="20"/>
      <c r="AK665" s="20"/>
      <c r="AL665" s="20"/>
      <c r="AM665" s="20"/>
      <c r="AN665" s="20"/>
      <c r="AO665" s="20"/>
      <c r="AP665" s="20"/>
      <c r="AQ665" s="20"/>
      <c r="AR665" s="20"/>
      <c r="AS665" s="20"/>
      <c r="AT665" s="20"/>
      <c r="AU665" s="20"/>
      <c r="AV665" s="20"/>
    </row>
    <row r="666" spans="1:48" ht="17.25" hidden="1" customHeight="1">
      <c r="A666" s="130"/>
      <c r="B666" s="131"/>
      <c r="C666" s="131"/>
      <c r="D666" s="131"/>
      <c r="E666" s="15"/>
      <c r="F666" s="131"/>
      <c r="G666" s="132"/>
      <c r="H666" s="133"/>
      <c r="I666" s="132"/>
      <c r="J666" s="133"/>
      <c r="K666" s="132"/>
      <c r="L666" s="131"/>
      <c r="M666" s="132"/>
      <c r="N666" s="134"/>
      <c r="O666" s="132"/>
      <c r="P666" s="134"/>
      <c r="Q666" s="132"/>
      <c r="R666" s="135"/>
      <c r="S666" s="132"/>
      <c r="T666" s="134"/>
      <c r="U666" s="131"/>
      <c r="V666" s="147"/>
      <c r="W666" s="131"/>
      <c r="X666" s="131"/>
      <c r="Y666" s="137"/>
      <c r="Z666" s="134"/>
      <c r="AA666" s="134"/>
      <c r="AB666" s="138"/>
      <c r="AC666" s="20"/>
      <c r="AD666" s="20"/>
      <c r="AE666" s="20"/>
      <c r="AF666" s="20"/>
      <c r="AG666" s="20"/>
      <c r="AH666" s="20"/>
      <c r="AI666" s="20"/>
      <c r="AJ666" s="20"/>
      <c r="AK666" s="20"/>
      <c r="AL666" s="20"/>
      <c r="AM666" s="20"/>
      <c r="AN666" s="20"/>
      <c r="AO666" s="20"/>
      <c r="AP666" s="20"/>
      <c r="AQ666" s="20"/>
      <c r="AR666" s="20"/>
      <c r="AS666" s="20"/>
      <c r="AT666" s="20"/>
      <c r="AU666" s="20"/>
      <c r="AV666" s="20"/>
    </row>
    <row r="667" spans="1:48" ht="17.25" hidden="1" customHeight="1">
      <c r="A667" s="130"/>
      <c r="B667" s="131"/>
      <c r="C667" s="131"/>
      <c r="D667" s="131"/>
      <c r="E667" s="15"/>
      <c r="F667" s="131"/>
      <c r="G667" s="132"/>
      <c r="H667" s="133"/>
      <c r="I667" s="132"/>
      <c r="J667" s="131"/>
      <c r="K667" s="132"/>
      <c r="L667" s="131"/>
      <c r="M667" s="132"/>
      <c r="N667" s="134"/>
      <c r="O667" s="132"/>
      <c r="P667" s="134"/>
      <c r="Q667" s="132"/>
      <c r="R667" s="135"/>
      <c r="S667" s="132"/>
      <c r="T667" s="134"/>
      <c r="U667" s="131"/>
      <c r="V667" s="144"/>
      <c r="W667" s="131"/>
      <c r="X667" s="131"/>
      <c r="Y667" s="137"/>
      <c r="Z667" s="134"/>
      <c r="AA667" s="134"/>
      <c r="AB667" s="138"/>
      <c r="AC667" s="20"/>
      <c r="AD667" s="20"/>
      <c r="AE667" s="20"/>
      <c r="AF667" s="20"/>
      <c r="AG667" s="20"/>
      <c r="AH667" s="20"/>
      <c r="AI667" s="20"/>
      <c r="AJ667" s="20"/>
      <c r="AK667" s="20"/>
      <c r="AL667" s="20"/>
      <c r="AM667" s="20"/>
      <c r="AN667" s="20"/>
      <c r="AO667" s="20"/>
      <c r="AP667" s="20"/>
      <c r="AQ667" s="20"/>
      <c r="AR667" s="20"/>
      <c r="AS667" s="20"/>
      <c r="AT667" s="20"/>
      <c r="AU667" s="20"/>
      <c r="AV667" s="20"/>
    </row>
    <row r="668" spans="1:48" ht="17.25" hidden="1" customHeight="1">
      <c r="A668" s="130"/>
      <c r="B668" s="131"/>
      <c r="C668" s="131"/>
      <c r="D668" s="131"/>
      <c r="E668" s="15"/>
      <c r="F668" s="131"/>
      <c r="G668" s="132"/>
      <c r="H668" s="133"/>
      <c r="I668" s="132"/>
      <c r="J668" s="133"/>
      <c r="K668" s="132"/>
      <c r="L668" s="133"/>
      <c r="M668" s="132"/>
      <c r="N668" s="134"/>
      <c r="O668" s="132"/>
      <c r="P668" s="134"/>
      <c r="Q668" s="132"/>
      <c r="R668" s="135"/>
      <c r="S668" s="132"/>
      <c r="T668" s="134"/>
      <c r="U668" s="131"/>
      <c r="V668" s="144"/>
      <c r="W668" s="131"/>
      <c r="X668" s="131"/>
      <c r="Y668" s="137"/>
      <c r="Z668" s="134"/>
      <c r="AA668" s="134"/>
      <c r="AB668" s="138"/>
      <c r="AC668" s="20"/>
      <c r="AD668" s="20"/>
      <c r="AE668" s="20"/>
      <c r="AF668" s="20"/>
      <c r="AG668" s="20"/>
      <c r="AH668" s="20"/>
      <c r="AI668" s="20"/>
      <c r="AJ668" s="20"/>
      <c r="AK668" s="20"/>
      <c r="AL668" s="20"/>
      <c r="AM668" s="20"/>
      <c r="AN668" s="20"/>
      <c r="AO668" s="20"/>
      <c r="AP668" s="20"/>
      <c r="AQ668" s="20"/>
      <c r="AR668" s="20"/>
      <c r="AS668" s="20"/>
      <c r="AT668" s="20"/>
      <c r="AU668" s="20"/>
      <c r="AV668" s="20"/>
    </row>
    <row r="669" spans="1:48" ht="17.25" hidden="1" customHeight="1">
      <c r="A669" s="130"/>
      <c r="B669" s="131"/>
      <c r="C669" s="131"/>
      <c r="D669" s="131"/>
      <c r="E669" s="15"/>
      <c r="F669" s="131"/>
      <c r="G669" s="132"/>
      <c r="H669" s="133"/>
      <c r="I669" s="132"/>
      <c r="J669" s="133"/>
      <c r="K669" s="132"/>
      <c r="L669" s="133"/>
      <c r="M669" s="132"/>
      <c r="N669" s="134"/>
      <c r="O669" s="132"/>
      <c r="P669" s="134"/>
      <c r="Q669" s="132"/>
      <c r="R669" s="135"/>
      <c r="S669" s="132"/>
      <c r="T669" s="134"/>
      <c r="U669" s="131"/>
      <c r="V669" s="144"/>
      <c r="W669" s="131"/>
      <c r="X669" s="131"/>
      <c r="Y669" s="137"/>
      <c r="Z669" s="134"/>
      <c r="AA669" s="134"/>
      <c r="AB669" s="138"/>
      <c r="AC669" s="20"/>
      <c r="AD669" s="20"/>
      <c r="AE669" s="20"/>
      <c r="AF669" s="20"/>
      <c r="AG669" s="20"/>
      <c r="AH669" s="20"/>
      <c r="AI669" s="20"/>
      <c r="AJ669" s="20"/>
      <c r="AK669" s="20"/>
      <c r="AL669" s="20"/>
      <c r="AM669" s="20"/>
      <c r="AN669" s="20"/>
      <c r="AO669" s="20"/>
      <c r="AP669" s="20"/>
      <c r="AQ669" s="20"/>
      <c r="AR669" s="20"/>
      <c r="AS669" s="20"/>
      <c r="AT669" s="20"/>
      <c r="AU669" s="20"/>
      <c r="AV669" s="20"/>
    </row>
    <row r="670" spans="1:48" ht="17.25" hidden="1" customHeight="1">
      <c r="A670" s="130"/>
      <c r="B670" s="131"/>
      <c r="C670" s="131"/>
      <c r="D670" s="131"/>
      <c r="E670" s="15"/>
      <c r="F670" s="131"/>
      <c r="G670" s="132"/>
      <c r="H670" s="133"/>
      <c r="I670" s="132"/>
      <c r="J670" s="133"/>
      <c r="K670" s="132"/>
      <c r="L670" s="133"/>
      <c r="M670" s="132"/>
      <c r="N670" s="134"/>
      <c r="O670" s="132"/>
      <c r="P670" s="134"/>
      <c r="Q670" s="132"/>
      <c r="R670" s="135"/>
      <c r="S670" s="132"/>
      <c r="T670" s="134"/>
      <c r="U670" s="131"/>
      <c r="V670" s="144"/>
      <c r="W670" s="131"/>
      <c r="X670" s="131"/>
      <c r="Y670" s="137"/>
      <c r="Z670" s="134"/>
      <c r="AA670" s="134"/>
      <c r="AB670" s="138"/>
      <c r="AC670" s="20"/>
      <c r="AD670" s="20"/>
      <c r="AE670" s="20"/>
      <c r="AF670" s="20"/>
      <c r="AG670" s="20"/>
      <c r="AH670" s="20"/>
      <c r="AI670" s="20"/>
      <c r="AJ670" s="20"/>
      <c r="AK670" s="20"/>
      <c r="AL670" s="20"/>
      <c r="AM670" s="20"/>
      <c r="AN670" s="20"/>
      <c r="AO670" s="20"/>
      <c r="AP670" s="20"/>
      <c r="AQ670" s="20"/>
      <c r="AR670" s="20"/>
      <c r="AS670" s="20"/>
      <c r="AT670" s="20"/>
      <c r="AU670" s="20"/>
      <c r="AV670" s="20"/>
    </row>
    <row r="671" spans="1:48" ht="17.25" hidden="1" customHeight="1">
      <c r="A671" s="130"/>
      <c r="B671" s="131"/>
      <c r="C671" s="131"/>
      <c r="D671" s="131"/>
      <c r="E671" s="15"/>
      <c r="F671" s="131"/>
      <c r="G671" s="132"/>
      <c r="H671" s="133"/>
      <c r="I671" s="132"/>
      <c r="J671" s="133"/>
      <c r="K671" s="132"/>
      <c r="L671" s="133"/>
      <c r="M671" s="132"/>
      <c r="N671" s="134"/>
      <c r="O671" s="132"/>
      <c r="P671" s="134"/>
      <c r="Q671" s="132"/>
      <c r="R671" s="135"/>
      <c r="S671" s="132"/>
      <c r="T671" s="134"/>
      <c r="U671" s="131"/>
      <c r="V671" s="144"/>
      <c r="W671" s="131"/>
      <c r="X671" s="131"/>
      <c r="Y671" s="137"/>
      <c r="Z671" s="134"/>
      <c r="AA671" s="134"/>
      <c r="AB671" s="138"/>
      <c r="AC671" s="20"/>
      <c r="AD671" s="20"/>
      <c r="AE671" s="20"/>
      <c r="AF671" s="20"/>
      <c r="AG671" s="20"/>
      <c r="AH671" s="20"/>
      <c r="AI671" s="20"/>
      <c r="AJ671" s="20"/>
      <c r="AK671" s="20"/>
      <c r="AL671" s="20"/>
      <c r="AM671" s="20"/>
      <c r="AN671" s="20"/>
      <c r="AO671" s="20"/>
      <c r="AP671" s="20"/>
      <c r="AQ671" s="20"/>
      <c r="AR671" s="20"/>
      <c r="AS671" s="20"/>
      <c r="AT671" s="20"/>
      <c r="AU671" s="20"/>
      <c r="AV671" s="20"/>
    </row>
    <row r="672" spans="1:48" ht="17.25" hidden="1" customHeight="1">
      <c r="A672" s="130"/>
      <c r="B672" s="131"/>
      <c r="C672" s="131"/>
      <c r="D672" s="131"/>
      <c r="E672" s="15"/>
      <c r="F672" s="131"/>
      <c r="G672" s="132"/>
      <c r="H672" s="133"/>
      <c r="I672" s="132"/>
      <c r="J672" s="131"/>
      <c r="K672" s="132"/>
      <c r="L672" s="131"/>
      <c r="M672" s="132"/>
      <c r="N672" s="134"/>
      <c r="O672" s="132"/>
      <c r="P672" s="134"/>
      <c r="Q672" s="132"/>
      <c r="R672" s="135"/>
      <c r="S672" s="132"/>
      <c r="T672" s="134"/>
      <c r="U672" s="131"/>
      <c r="V672" s="144"/>
      <c r="W672" s="131"/>
      <c r="X672" s="131"/>
      <c r="Y672" s="137"/>
      <c r="Z672" s="134"/>
      <c r="AA672" s="134"/>
      <c r="AB672" s="138"/>
      <c r="AC672" s="20"/>
      <c r="AD672" s="20"/>
      <c r="AE672" s="20"/>
      <c r="AF672" s="20"/>
      <c r="AG672" s="20"/>
      <c r="AH672" s="20"/>
      <c r="AI672" s="20"/>
      <c r="AJ672" s="20"/>
      <c r="AK672" s="20"/>
      <c r="AL672" s="20"/>
      <c r="AM672" s="20"/>
      <c r="AN672" s="20"/>
      <c r="AO672" s="20"/>
      <c r="AP672" s="20"/>
      <c r="AQ672" s="20"/>
      <c r="AR672" s="20"/>
      <c r="AS672" s="20"/>
      <c r="AT672" s="20"/>
      <c r="AU672" s="20"/>
      <c r="AV672" s="20"/>
    </row>
    <row r="673" spans="1:48" ht="17.25" hidden="1" customHeight="1">
      <c r="A673" s="130"/>
      <c r="B673" s="131"/>
      <c r="C673" s="131"/>
      <c r="D673" s="131"/>
      <c r="E673" s="15"/>
      <c r="F673" s="131"/>
      <c r="G673" s="132"/>
      <c r="H673" s="133"/>
      <c r="I673" s="132"/>
      <c r="J673" s="133"/>
      <c r="K673" s="132"/>
      <c r="L673" s="133"/>
      <c r="M673" s="132"/>
      <c r="N673" s="134"/>
      <c r="O673" s="132"/>
      <c r="P673" s="134"/>
      <c r="Q673" s="132"/>
      <c r="R673" s="135"/>
      <c r="S673" s="132"/>
      <c r="T673" s="134"/>
      <c r="U673" s="131"/>
      <c r="V673" s="144"/>
      <c r="W673" s="131"/>
      <c r="X673" s="131"/>
      <c r="Y673" s="137"/>
      <c r="Z673" s="134"/>
      <c r="AA673" s="134"/>
      <c r="AB673" s="138"/>
      <c r="AC673" s="20"/>
      <c r="AD673" s="20"/>
      <c r="AE673" s="20"/>
      <c r="AF673" s="20"/>
      <c r="AG673" s="20"/>
      <c r="AH673" s="20"/>
      <c r="AI673" s="20"/>
      <c r="AJ673" s="20"/>
      <c r="AK673" s="20"/>
      <c r="AL673" s="20"/>
      <c r="AM673" s="20"/>
      <c r="AN673" s="20"/>
      <c r="AO673" s="20"/>
      <c r="AP673" s="20"/>
      <c r="AQ673" s="20"/>
      <c r="AR673" s="20"/>
      <c r="AS673" s="20"/>
      <c r="AT673" s="20"/>
      <c r="AU673" s="20"/>
      <c r="AV673" s="20"/>
    </row>
    <row r="674" spans="1:48" ht="17.25" hidden="1" customHeight="1">
      <c r="A674" s="130"/>
      <c r="B674" s="131"/>
      <c r="C674" s="131"/>
      <c r="D674" s="131"/>
      <c r="E674" s="15"/>
      <c r="F674" s="131"/>
      <c r="G674" s="132"/>
      <c r="H674" s="133"/>
      <c r="I674" s="132"/>
      <c r="J674" s="133"/>
      <c r="K674" s="132"/>
      <c r="L674" s="131"/>
      <c r="M674" s="132"/>
      <c r="N674" s="134"/>
      <c r="O674" s="132"/>
      <c r="P674" s="134"/>
      <c r="Q674" s="132"/>
      <c r="R674" s="135"/>
      <c r="S674" s="132"/>
      <c r="T674" s="134"/>
      <c r="U674" s="131"/>
      <c r="V674" s="148"/>
      <c r="W674" s="131"/>
      <c r="X674" s="131"/>
      <c r="Y674" s="137"/>
      <c r="Z674" s="134"/>
      <c r="AA674" s="134"/>
      <c r="AB674" s="138"/>
      <c r="AC674" s="20"/>
      <c r="AD674" s="20"/>
      <c r="AE674" s="20"/>
      <c r="AF674" s="20"/>
      <c r="AG674" s="20"/>
      <c r="AH674" s="20"/>
      <c r="AI674" s="20"/>
      <c r="AJ674" s="20"/>
      <c r="AK674" s="20"/>
      <c r="AL674" s="20"/>
      <c r="AM674" s="20"/>
      <c r="AN674" s="20"/>
      <c r="AO674" s="20"/>
      <c r="AP674" s="20"/>
      <c r="AQ674" s="20"/>
      <c r="AR674" s="20"/>
      <c r="AS674" s="20"/>
      <c r="AT674" s="20"/>
      <c r="AU674" s="20"/>
      <c r="AV674" s="20"/>
    </row>
    <row r="675" spans="1:48" ht="17.25" hidden="1" customHeight="1">
      <c r="A675" s="130"/>
      <c r="B675" s="131"/>
      <c r="C675" s="131"/>
      <c r="D675" s="131"/>
      <c r="E675" s="15"/>
      <c r="F675" s="131"/>
      <c r="G675" s="132"/>
      <c r="H675" s="133"/>
      <c r="I675" s="132"/>
      <c r="J675" s="133"/>
      <c r="K675" s="132"/>
      <c r="L675" s="131"/>
      <c r="M675" s="132"/>
      <c r="N675" s="134"/>
      <c r="O675" s="132"/>
      <c r="P675" s="134"/>
      <c r="Q675" s="132"/>
      <c r="R675" s="135"/>
      <c r="S675" s="132"/>
      <c r="T675" s="134"/>
      <c r="U675" s="131"/>
      <c r="V675" s="148"/>
      <c r="W675" s="131"/>
      <c r="X675" s="131"/>
      <c r="Y675" s="137"/>
      <c r="Z675" s="134"/>
      <c r="AA675" s="134"/>
      <c r="AB675" s="138"/>
      <c r="AC675" s="20"/>
      <c r="AD675" s="20"/>
      <c r="AE675" s="20"/>
      <c r="AF675" s="20"/>
      <c r="AG675" s="20"/>
      <c r="AH675" s="20"/>
      <c r="AI675" s="20"/>
      <c r="AJ675" s="20"/>
      <c r="AK675" s="20"/>
      <c r="AL675" s="20"/>
      <c r="AM675" s="20"/>
      <c r="AN675" s="20"/>
      <c r="AO675" s="20"/>
      <c r="AP675" s="20"/>
      <c r="AQ675" s="20"/>
      <c r="AR675" s="20"/>
      <c r="AS675" s="20"/>
      <c r="AT675" s="20"/>
      <c r="AU675" s="20"/>
      <c r="AV675" s="20"/>
    </row>
    <row r="676" spans="1:48" ht="17.25" hidden="1" customHeight="1">
      <c r="A676" s="130"/>
      <c r="B676" s="131"/>
      <c r="C676" s="131"/>
      <c r="D676" s="131"/>
      <c r="E676" s="15"/>
      <c r="F676" s="131"/>
      <c r="G676" s="132"/>
      <c r="H676" s="133"/>
      <c r="I676" s="132"/>
      <c r="J676" s="131"/>
      <c r="K676" s="132"/>
      <c r="L676" s="131"/>
      <c r="M676" s="132"/>
      <c r="N676" s="134"/>
      <c r="O676" s="132"/>
      <c r="P676" s="134"/>
      <c r="Q676" s="132"/>
      <c r="R676" s="135"/>
      <c r="S676" s="132"/>
      <c r="T676" s="134"/>
      <c r="U676" s="131"/>
      <c r="V676" s="144"/>
      <c r="W676" s="131"/>
      <c r="X676" s="131"/>
      <c r="Y676" s="137"/>
      <c r="Z676" s="134"/>
      <c r="AA676" s="134"/>
      <c r="AB676" s="138"/>
      <c r="AC676" s="20"/>
      <c r="AD676" s="20"/>
      <c r="AE676" s="20"/>
      <c r="AF676" s="20"/>
      <c r="AG676" s="20"/>
      <c r="AH676" s="20"/>
      <c r="AI676" s="20"/>
      <c r="AJ676" s="20"/>
      <c r="AK676" s="20"/>
      <c r="AL676" s="20"/>
      <c r="AM676" s="20"/>
      <c r="AN676" s="20"/>
      <c r="AO676" s="20"/>
      <c r="AP676" s="20"/>
      <c r="AQ676" s="20"/>
      <c r="AR676" s="20"/>
      <c r="AS676" s="20"/>
      <c r="AT676" s="20"/>
      <c r="AU676" s="20"/>
      <c r="AV676" s="20"/>
    </row>
    <row r="677" spans="1:48" ht="17.25" hidden="1" customHeight="1">
      <c r="A677" s="130"/>
      <c r="B677" s="131"/>
      <c r="C677" s="131"/>
      <c r="D677" s="131"/>
      <c r="E677" s="15"/>
      <c r="F677" s="131"/>
      <c r="G677" s="132"/>
      <c r="H677" s="133"/>
      <c r="I677" s="132"/>
      <c r="J677" s="133"/>
      <c r="K677" s="132"/>
      <c r="L677" s="133"/>
      <c r="M677" s="132"/>
      <c r="N677" s="134"/>
      <c r="O677" s="132"/>
      <c r="P677" s="134"/>
      <c r="Q677" s="132"/>
      <c r="R677" s="135"/>
      <c r="S677" s="132"/>
      <c r="T677" s="134"/>
      <c r="U677" s="131"/>
      <c r="V677" s="144"/>
      <c r="W677" s="131"/>
      <c r="X677" s="131"/>
      <c r="Y677" s="137"/>
      <c r="Z677" s="134"/>
      <c r="AA677" s="134"/>
      <c r="AB677" s="138"/>
      <c r="AC677" s="20"/>
      <c r="AD677" s="20"/>
      <c r="AE677" s="20"/>
      <c r="AF677" s="20"/>
      <c r="AG677" s="20"/>
      <c r="AH677" s="20"/>
      <c r="AI677" s="20"/>
      <c r="AJ677" s="20"/>
      <c r="AK677" s="20"/>
      <c r="AL677" s="20"/>
      <c r="AM677" s="20"/>
      <c r="AN677" s="20"/>
      <c r="AO677" s="20"/>
      <c r="AP677" s="20"/>
      <c r="AQ677" s="20"/>
      <c r="AR677" s="20"/>
      <c r="AS677" s="20"/>
      <c r="AT677" s="20"/>
      <c r="AU677" s="20"/>
      <c r="AV677" s="20"/>
    </row>
    <row r="678" spans="1:48" ht="17.25" hidden="1" customHeight="1">
      <c r="A678" s="130"/>
      <c r="B678" s="131"/>
      <c r="C678" s="131"/>
      <c r="D678" s="131"/>
      <c r="E678" s="15"/>
      <c r="F678" s="131"/>
      <c r="G678" s="132"/>
      <c r="H678" s="133"/>
      <c r="I678" s="132"/>
      <c r="J678" s="133"/>
      <c r="K678" s="132"/>
      <c r="L678" s="133"/>
      <c r="M678" s="132"/>
      <c r="N678" s="134"/>
      <c r="O678" s="132"/>
      <c r="P678" s="134"/>
      <c r="Q678" s="132"/>
      <c r="R678" s="135"/>
      <c r="S678" s="132"/>
      <c r="T678" s="134"/>
      <c r="U678" s="131"/>
      <c r="V678" s="144"/>
      <c r="W678" s="131"/>
      <c r="X678" s="131"/>
      <c r="Y678" s="137"/>
      <c r="Z678" s="134"/>
      <c r="AA678" s="134"/>
      <c r="AB678" s="138"/>
      <c r="AC678" s="20"/>
      <c r="AD678" s="20"/>
      <c r="AE678" s="20"/>
      <c r="AF678" s="20"/>
      <c r="AG678" s="20"/>
      <c r="AH678" s="20"/>
      <c r="AI678" s="20"/>
      <c r="AJ678" s="20"/>
      <c r="AK678" s="20"/>
      <c r="AL678" s="20"/>
      <c r="AM678" s="20"/>
      <c r="AN678" s="20"/>
      <c r="AO678" s="20"/>
      <c r="AP678" s="20"/>
      <c r="AQ678" s="20"/>
      <c r="AR678" s="20"/>
      <c r="AS678" s="20"/>
      <c r="AT678" s="20"/>
      <c r="AU678" s="20"/>
      <c r="AV678" s="20"/>
    </row>
    <row r="679" spans="1:48" ht="17.25" hidden="1" customHeight="1">
      <c r="A679" s="130"/>
      <c r="B679" s="131"/>
      <c r="C679" s="131"/>
      <c r="D679" s="131"/>
      <c r="E679" s="15"/>
      <c r="F679" s="131"/>
      <c r="G679" s="132"/>
      <c r="H679" s="133"/>
      <c r="I679" s="132"/>
      <c r="J679" s="133"/>
      <c r="K679" s="132"/>
      <c r="L679" s="133"/>
      <c r="M679" s="132"/>
      <c r="N679" s="134"/>
      <c r="O679" s="132"/>
      <c r="P679" s="134"/>
      <c r="Q679" s="132"/>
      <c r="R679" s="135"/>
      <c r="S679" s="132"/>
      <c r="T679" s="134"/>
      <c r="U679" s="131"/>
      <c r="V679" s="144"/>
      <c r="W679" s="131"/>
      <c r="X679" s="131"/>
      <c r="Y679" s="137"/>
      <c r="Z679" s="134"/>
      <c r="AA679" s="134"/>
      <c r="AB679" s="138"/>
      <c r="AC679" s="20"/>
      <c r="AD679" s="20"/>
      <c r="AE679" s="20"/>
      <c r="AF679" s="20"/>
      <c r="AG679" s="20"/>
      <c r="AH679" s="20"/>
      <c r="AI679" s="20"/>
      <c r="AJ679" s="20"/>
      <c r="AK679" s="20"/>
      <c r="AL679" s="20"/>
      <c r="AM679" s="20"/>
      <c r="AN679" s="20"/>
      <c r="AO679" s="20"/>
      <c r="AP679" s="20"/>
      <c r="AQ679" s="20"/>
      <c r="AR679" s="20"/>
      <c r="AS679" s="20"/>
      <c r="AT679" s="20"/>
      <c r="AU679" s="20"/>
      <c r="AV679" s="20"/>
    </row>
    <row r="680" spans="1:48" ht="17.25" hidden="1" customHeight="1">
      <c r="A680" s="130"/>
      <c r="B680" s="131"/>
      <c r="C680" s="131"/>
      <c r="D680" s="131"/>
      <c r="E680" s="15"/>
      <c r="F680" s="131"/>
      <c r="G680" s="132"/>
      <c r="H680" s="133"/>
      <c r="I680" s="132"/>
      <c r="J680" s="133"/>
      <c r="K680" s="132"/>
      <c r="L680" s="133"/>
      <c r="M680" s="132"/>
      <c r="N680" s="134"/>
      <c r="O680" s="132"/>
      <c r="P680" s="134"/>
      <c r="Q680" s="132"/>
      <c r="R680" s="135"/>
      <c r="S680" s="132"/>
      <c r="T680" s="134"/>
      <c r="U680" s="131"/>
      <c r="V680" s="144"/>
      <c r="W680" s="131"/>
      <c r="X680" s="131"/>
      <c r="Y680" s="137"/>
      <c r="Z680" s="134"/>
      <c r="AA680" s="134"/>
      <c r="AB680" s="138"/>
      <c r="AC680" s="20"/>
      <c r="AD680" s="20"/>
      <c r="AE680" s="20"/>
      <c r="AF680" s="20"/>
      <c r="AG680" s="20"/>
      <c r="AH680" s="20"/>
      <c r="AI680" s="20"/>
      <c r="AJ680" s="20"/>
      <c r="AK680" s="20"/>
      <c r="AL680" s="20"/>
      <c r="AM680" s="20"/>
      <c r="AN680" s="20"/>
      <c r="AO680" s="20"/>
      <c r="AP680" s="20"/>
      <c r="AQ680" s="20"/>
      <c r="AR680" s="20"/>
      <c r="AS680" s="20"/>
      <c r="AT680" s="20"/>
      <c r="AU680" s="20"/>
      <c r="AV680" s="20"/>
    </row>
    <row r="681" spans="1:48" ht="17.25" hidden="1" customHeight="1">
      <c r="A681" s="130"/>
      <c r="B681" s="131"/>
      <c r="C681" s="131"/>
      <c r="D681" s="131"/>
      <c r="E681" s="15"/>
      <c r="F681" s="131"/>
      <c r="G681" s="132"/>
      <c r="H681" s="133"/>
      <c r="I681" s="132"/>
      <c r="J681" s="131"/>
      <c r="K681" s="132"/>
      <c r="L681" s="131"/>
      <c r="M681" s="132"/>
      <c r="N681" s="134"/>
      <c r="O681" s="132"/>
      <c r="P681" s="134"/>
      <c r="Q681" s="132"/>
      <c r="R681" s="135"/>
      <c r="S681" s="132"/>
      <c r="T681" s="134"/>
      <c r="U681" s="131"/>
      <c r="V681" s="144"/>
      <c r="W681" s="131"/>
      <c r="X681" s="131"/>
      <c r="Y681" s="137"/>
      <c r="Z681" s="134"/>
      <c r="AA681" s="134"/>
      <c r="AB681" s="138"/>
      <c r="AC681" s="20"/>
      <c r="AD681" s="20"/>
      <c r="AE681" s="20"/>
      <c r="AF681" s="20"/>
      <c r="AG681" s="20"/>
      <c r="AH681" s="20"/>
      <c r="AI681" s="20"/>
      <c r="AJ681" s="20"/>
      <c r="AK681" s="20"/>
      <c r="AL681" s="20"/>
      <c r="AM681" s="20"/>
      <c r="AN681" s="20"/>
      <c r="AO681" s="20"/>
      <c r="AP681" s="20"/>
      <c r="AQ681" s="20"/>
      <c r="AR681" s="20"/>
      <c r="AS681" s="20"/>
      <c r="AT681" s="20"/>
      <c r="AU681" s="20"/>
      <c r="AV681" s="20"/>
    </row>
    <row r="682" spans="1:48" ht="17.25" hidden="1" customHeight="1">
      <c r="A682" s="130"/>
      <c r="B682" s="131"/>
      <c r="C682" s="131"/>
      <c r="D682" s="131"/>
      <c r="E682" s="15"/>
      <c r="F682" s="131"/>
      <c r="G682" s="132"/>
      <c r="H682" s="133"/>
      <c r="I682" s="132"/>
      <c r="J682" s="133"/>
      <c r="K682" s="132"/>
      <c r="L682" s="133"/>
      <c r="M682" s="132"/>
      <c r="N682" s="134"/>
      <c r="O682" s="132"/>
      <c r="P682" s="134"/>
      <c r="Q682" s="132"/>
      <c r="R682" s="135"/>
      <c r="S682" s="132"/>
      <c r="T682" s="134"/>
      <c r="U682" s="131"/>
      <c r="V682" s="144"/>
      <c r="W682" s="131"/>
      <c r="X682" s="131"/>
      <c r="Y682" s="137"/>
      <c r="Z682" s="134"/>
      <c r="AA682" s="134"/>
      <c r="AB682" s="138"/>
      <c r="AC682" s="20"/>
      <c r="AD682" s="20"/>
      <c r="AE682" s="20"/>
      <c r="AF682" s="20"/>
      <c r="AG682" s="20"/>
      <c r="AH682" s="20"/>
      <c r="AI682" s="20"/>
      <c r="AJ682" s="20"/>
      <c r="AK682" s="20"/>
      <c r="AL682" s="20"/>
      <c r="AM682" s="20"/>
      <c r="AN682" s="20"/>
      <c r="AO682" s="20"/>
      <c r="AP682" s="20"/>
      <c r="AQ682" s="20"/>
      <c r="AR682" s="20"/>
      <c r="AS682" s="20"/>
      <c r="AT682" s="20"/>
      <c r="AU682" s="20"/>
      <c r="AV682" s="20"/>
    </row>
    <row r="683" spans="1:48" ht="17.25" hidden="1" customHeight="1">
      <c r="A683" s="130"/>
      <c r="B683" s="131"/>
      <c r="C683" s="131"/>
      <c r="D683" s="131"/>
      <c r="E683" s="15"/>
      <c r="F683" s="131"/>
      <c r="G683" s="132"/>
      <c r="H683" s="133"/>
      <c r="I683" s="132"/>
      <c r="J683" s="131"/>
      <c r="K683" s="132"/>
      <c r="L683" s="134"/>
      <c r="M683" s="132"/>
      <c r="N683" s="134"/>
      <c r="O683" s="132"/>
      <c r="P683" s="134"/>
      <c r="Q683" s="132"/>
      <c r="R683" s="135"/>
      <c r="S683" s="132"/>
      <c r="T683" s="134"/>
      <c r="U683" s="131"/>
      <c r="V683" s="144"/>
      <c r="W683" s="131"/>
      <c r="X683" s="131"/>
      <c r="Y683" s="137"/>
      <c r="Z683" s="134"/>
      <c r="AA683" s="134"/>
      <c r="AB683" s="138"/>
      <c r="AC683" s="20"/>
      <c r="AD683" s="20"/>
      <c r="AE683" s="20"/>
      <c r="AF683" s="20"/>
      <c r="AG683" s="20"/>
      <c r="AH683" s="20"/>
      <c r="AI683" s="20"/>
      <c r="AJ683" s="20"/>
      <c r="AK683" s="20"/>
      <c r="AL683" s="20"/>
      <c r="AM683" s="20"/>
      <c r="AN683" s="20"/>
      <c r="AO683" s="20"/>
      <c r="AP683" s="20"/>
      <c r="AQ683" s="20"/>
      <c r="AR683" s="20"/>
      <c r="AS683" s="20"/>
      <c r="AT683" s="20"/>
      <c r="AU683" s="20"/>
      <c r="AV683" s="20"/>
    </row>
    <row r="684" spans="1:48" ht="17.25" hidden="1" customHeight="1">
      <c r="A684" s="130"/>
      <c r="B684" s="131"/>
      <c r="C684" s="131"/>
      <c r="D684" s="131"/>
      <c r="E684" s="15"/>
      <c r="F684" s="131"/>
      <c r="G684" s="132"/>
      <c r="H684" s="133"/>
      <c r="I684" s="132"/>
      <c r="J684" s="131"/>
      <c r="K684" s="132"/>
      <c r="L684" s="134"/>
      <c r="M684" s="132"/>
      <c r="N684" s="134"/>
      <c r="O684" s="132"/>
      <c r="P684" s="134"/>
      <c r="Q684" s="132"/>
      <c r="R684" s="135"/>
      <c r="S684" s="132"/>
      <c r="T684" s="134"/>
      <c r="U684" s="131"/>
      <c r="V684" s="160"/>
      <c r="W684" s="131"/>
      <c r="X684" s="131"/>
      <c r="Y684" s="137"/>
      <c r="Z684" s="134"/>
      <c r="AA684" s="134"/>
      <c r="AB684" s="138"/>
      <c r="AC684" s="20"/>
      <c r="AD684" s="20"/>
      <c r="AE684" s="20"/>
      <c r="AF684" s="20"/>
      <c r="AG684" s="20"/>
      <c r="AH684" s="20"/>
      <c r="AI684" s="20"/>
      <c r="AJ684" s="20"/>
      <c r="AK684" s="20"/>
      <c r="AL684" s="20"/>
      <c r="AM684" s="20"/>
      <c r="AN684" s="20"/>
      <c r="AO684" s="20"/>
      <c r="AP684" s="20"/>
      <c r="AQ684" s="20"/>
      <c r="AR684" s="20"/>
      <c r="AS684" s="20"/>
      <c r="AT684" s="20"/>
      <c r="AU684" s="20"/>
      <c r="AV684" s="20"/>
    </row>
    <row r="685" spans="1:48" ht="17.25" hidden="1" customHeight="1">
      <c r="A685" s="130"/>
      <c r="B685" s="131"/>
      <c r="C685" s="131"/>
      <c r="D685" s="131"/>
      <c r="E685" s="15"/>
      <c r="F685" s="131"/>
      <c r="G685" s="132"/>
      <c r="H685" s="133"/>
      <c r="I685" s="132"/>
      <c r="J685" s="131"/>
      <c r="K685" s="132"/>
      <c r="L685" s="134"/>
      <c r="M685" s="132"/>
      <c r="N685" s="134"/>
      <c r="O685" s="132"/>
      <c r="P685" s="134"/>
      <c r="Q685" s="132"/>
      <c r="R685" s="135"/>
      <c r="S685" s="132"/>
      <c r="T685" s="134"/>
      <c r="U685" s="131"/>
      <c r="V685" s="144"/>
      <c r="W685" s="131"/>
      <c r="X685" s="131"/>
      <c r="Y685" s="137"/>
      <c r="Z685" s="134"/>
      <c r="AA685" s="134"/>
      <c r="AB685" s="138"/>
      <c r="AC685" s="20"/>
      <c r="AD685" s="20"/>
      <c r="AE685" s="20"/>
      <c r="AF685" s="20"/>
      <c r="AG685" s="20"/>
      <c r="AH685" s="20"/>
      <c r="AI685" s="20"/>
      <c r="AJ685" s="20"/>
      <c r="AK685" s="20"/>
      <c r="AL685" s="20"/>
      <c r="AM685" s="20"/>
      <c r="AN685" s="20"/>
      <c r="AO685" s="20"/>
      <c r="AP685" s="20"/>
      <c r="AQ685" s="20"/>
      <c r="AR685" s="20"/>
      <c r="AS685" s="20"/>
      <c r="AT685" s="20"/>
      <c r="AU685" s="20"/>
      <c r="AV685" s="20"/>
    </row>
    <row r="686" spans="1:48" ht="17.25" hidden="1" customHeight="1">
      <c r="A686" s="130"/>
      <c r="B686" s="131"/>
      <c r="C686" s="131"/>
      <c r="D686" s="131"/>
      <c r="E686" s="15"/>
      <c r="F686" s="131"/>
      <c r="G686" s="132"/>
      <c r="H686" s="133"/>
      <c r="I686" s="132"/>
      <c r="J686" s="133"/>
      <c r="K686" s="132"/>
      <c r="L686" s="138"/>
      <c r="M686" s="132"/>
      <c r="N686" s="134"/>
      <c r="O686" s="132"/>
      <c r="P686" s="134"/>
      <c r="Q686" s="132"/>
      <c r="R686" s="135"/>
      <c r="S686" s="132"/>
      <c r="T686" s="134"/>
      <c r="U686" s="131"/>
      <c r="V686" s="144"/>
      <c r="W686" s="131"/>
      <c r="X686" s="131"/>
      <c r="Y686" s="137"/>
      <c r="Z686" s="134"/>
      <c r="AA686" s="134"/>
      <c r="AB686" s="138"/>
      <c r="AC686" s="20"/>
      <c r="AD686" s="20"/>
      <c r="AE686" s="20"/>
      <c r="AF686" s="20"/>
      <c r="AG686" s="20"/>
      <c r="AH686" s="20"/>
      <c r="AI686" s="20"/>
      <c r="AJ686" s="20"/>
      <c r="AK686" s="20"/>
      <c r="AL686" s="20"/>
      <c r="AM686" s="20"/>
      <c r="AN686" s="20"/>
      <c r="AO686" s="20"/>
      <c r="AP686" s="20"/>
      <c r="AQ686" s="20"/>
      <c r="AR686" s="20"/>
      <c r="AS686" s="20"/>
      <c r="AT686" s="20"/>
      <c r="AU686" s="20"/>
      <c r="AV686" s="20"/>
    </row>
    <row r="687" spans="1:48" ht="17.25" hidden="1" customHeight="1">
      <c r="A687" s="130"/>
      <c r="B687" s="131"/>
      <c r="C687" s="131"/>
      <c r="D687" s="131"/>
      <c r="E687" s="15"/>
      <c r="F687" s="131"/>
      <c r="G687" s="132"/>
      <c r="H687" s="133"/>
      <c r="I687" s="132"/>
      <c r="J687" s="131"/>
      <c r="K687" s="132"/>
      <c r="L687" s="134"/>
      <c r="M687" s="132"/>
      <c r="N687" s="134"/>
      <c r="O687" s="132"/>
      <c r="P687" s="134"/>
      <c r="Q687" s="132"/>
      <c r="R687" s="135"/>
      <c r="S687" s="132"/>
      <c r="T687" s="134"/>
      <c r="U687" s="131"/>
      <c r="V687" s="144"/>
      <c r="W687" s="131"/>
      <c r="X687" s="131"/>
      <c r="Y687" s="137"/>
      <c r="Z687" s="134"/>
      <c r="AA687" s="134"/>
      <c r="AB687" s="138"/>
      <c r="AC687" s="20"/>
      <c r="AD687" s="20"/>
      <c r="AE687" s="20"/>
      <c r="AF687" s="20"/>
      <c r="AG687" s="20"/>
      <c r="AH687" s="20"/>
      <c r="AI687" s="20"/>
      <c r="AJ687" s="20"/>
      <c r="AK687" s="20"/>
      <c r="AL687" s="20"/>
      <c r="AM687" s="20"/>
      <c r="AN687" s="20"/>
      <c r="AO687" s="20"/>
      <c r="AP687" s="20"/>
      <c r="AQ687" s="20"/>
      <c r="AR687" s="20"/>
      <c r="AS687" s="20"/>
      <c r="AT687" s="20"/>
      <c r="AU687" s="20"/>
      <c r="AV687" s="20"/>
    </row>
    <row r="688" spans="1:48" ht="17.25" hidden="1" customHeight="1">
      <c r="A688" s="130"/>
      <c r="B688" s="131"/>
      <c r="C688" s="131"/>
      <c r="D688" s="131"/>
      <c r="E688" s="15"/>
      <c r="F688" s="131"/>
      <c r="G688" s="132"/>
      <c r="H688" s="133"/>
      <c r="I688" s="132"/>
      <c r="J688" s="133"/>
      <c r="K688" s="132"/>
      <c r="L688" s="138"/>
      <c r="M688" s="132"/>
      <c r="N688" s="134"/>
      <c r="O688" s="132"/>
      <c r="P688" s="134"/>
      <c r="Q688" s="132"/>
      <c r="R688" s="135"/>
      <c r="S688" s="132"/>
      <c r="T688" s="134"/>
      <c r="U688" s="131"/>
      <c r="V688" s="144"/>
      <c r="W688" s="131"/>
      <c r="X688" s="131"/>
      <c r="Y688" s="137"/>
      <c r="Z688" s="134"/>
      <c r="AA688" s="134"/>
      <c r="AB688" s="138"/>
      <c r="AC688" s="20"/>
      <c r="AD688" s="20"/>
      <c r="AE688" s="20"/>
      <c r="AF688" s="20"/>
      <c r="AG688" s="20"/>
      <c r="AH688" s="20"/>
      <c r="AI688" s="20"/>
      <c r="AJ688" s="20"/>
      <c r="AK688" s="20"/>
      <c r="AL688" s="20"/>
      <c r="AM688" s="20"/>
      <c r="AN688" s="20"/>
      <c r="AO688" s="20"/>
      <c r="AP688" s="20"/>
      <c r="AQ688" s="20"/>
      <c r="AR688" s="20"/>
      <c r="AS688" s="20"/>
      <c r="AT688" s="20"/>
      <c r="AU688" s="20"/>
      <c r="AV688" s="20"/>
    </row>
    <row r="689" spans="1:48" ht="17.25" hidden="1" customHeight="1">
      <c r="A689" s="130"/>
      <c r="B689" s="131"/>
      <c r="C689" s="131"/>
      <c r="D689" s="131"/>
      <c r="E689" s="15"/>
      <c r="F689" s="131"/>
      <c r="G689" s="132"/>
      <c r="H689" s="133"/>
      <c r="I689" s="132"/>
      <c r="J689" s="131"/>
      <c r="K689" s="132"/>
      <c r="L689" s="134"/>
      <c r="M689" s="132"/>
      <c r="N689" s="134"/>
      <c r="O689" s="132"/>
      <c r="P689" s="134"/>
      <c r="Q689" s="132"/>
      <c r="R689" s="135"/>
      <c r="S689" s="132"/>
      <c r="T689" s="134"/>
      <c r="U689" s="131"/>
      <c r="V689" s="144"/>
      <c r="W689" s="131"/>
      <c r="X689" s="131"/>
      <c r="Y689" s="137"/>
      <c r="Z689" s="134"/>
      <c r="AA689" s="134"/>
      <c r="AB689" s="138"/>
      <c r="AC689" s="20"/>
      <c r="AD689" s="20"/>
      <c r="AE689" s="20"/>
      <c r="AF689" s="20"/>
      <c r="AG689" s="20"/>
      <c r="AH689" s="20"/>
      <c r="AI689" s="20"/>
      <c r="AJ689" s="20"/>
      <c r="AK689" s="20"/>
      <c r="AL689" s="20"/>
      <c r="AM689" s="20"/>
      <c r="AN689" s="20"/>
      <c r="AO689" s="20"/>
      <c r="AP689" s="20"/>
      <c r="AQ689" s="20"/>
      <c r="AR689" s="20"/>
      <c r="AS689" s="20"/>
      <c r="AT689" s="20"/>
      <c r="AU689" s="20"/>
      <c r="AV689" s="20"/>
    </row>
    <row r="690" spans="1:48" ht="17.25" hidden="1" customHeight="1">
      <c r="A690" s="130"/>
      <c r="B690" s="131"/>
      <c r="C690" s="131"/>
      <c r="D690" s="131"/>
      <c r="E690" s="15"/>
      <c r="F690" s="131"/>
      <c r="G690" s="132"/>
      <c r="H690" s="133"/>
      <c r="I690" s="132"/>
      <c r="J690" s="131"/>
      <c r="K690" s="132"/>
      <c r="L690" s="134"/>
      <c r="M690" s="132"/>
      <c r="N690" s="134"/>
      <c r="O690" s="132"/>
      <c r="P690" s="134"/>
      <c r="Q690" s="132"/>
      <c r="R690" s="135"/>
      <c r="S690" s="132"/>
      <c r="T690" s="134"/>
      <c r="U690" s="131"/>
      <c r="V690" s="144"/>
      <c r="W690" s="131"/>
      <c r="X690" s="131"/>
      <c r="Y690" s="137"/>
      <c r="Z690" s="134"/>
      <c r="AA690" s="134"/>
      <c r="AB690" s="138"/>
      <c r="AC690" s="20"/>
      <c r="AD690" s="20"/>
      <c r="AE690" s="20"/>
      <c r="AF690" s="20"/>
      <c r="AG690" s="20"/>
      <c r="AH690" s="20"/>
      <c r="AI690" s="20"/>
      <c r="AJ690" s="20"/>
      <c r="AK690" s="20"/>
      <c r="AL690" s="20"/>
      <c r="AM690" s="20"/>
      <c r="AN690" s="20"/>
      <c r="AO690" s="20"/>
      <c r="AP690" s="20"/>
      <c r="AQ690" s="20"/>
      <c r="AR690" s="20"/>
      <c r="AS690" s="20"/>
      <c r="AT690" s="20"/>
      <c r="AU690" s="20"/>
      <c r="AV690" s="20"/>
    </row>
    <row r="691" spans="1:48" ht="17.25" hidden="1" customHeight="1">
      <c r="A691" s="130"/>
      <c r="B691" s="131"/>
      <c r="C691" s="131"/>
      <c r="D691" s="131"/>
      <c r="E691" s="15"/>
      <c r="F691" s="131"/>
      <c r="G691" s="132"/>
      <c r="H691" s="133"/>
      <c r="I691" s="132"/>
      <c r="J691" s="131"/>
      <c r="K691" s="132"/>
      <c r="L691" s="134"/>
      <c r="M691" s="132"/>
      <c r="N691" s="134"/>
      <c r="O691" s="132"/>
      <c r="P691" s="134"/>
      <c r="Q691" s="132"/>
      <c r="R691" s="135"/>
      <c r="S691" s="132"/>
      <c r="T691" s="134"/>
      <c r="U691" s="131"/>
      <c r="V691" s="144"/>
      <c r="W691" s="131"/>
      <c r="X691" s="131"/>
      <c r="Y691" s="137"/>
      <c r="Z691" s="134"/>
      <c r="AA691" s="134"/>
      <c r="AB691" s="138"/>
      <c r="AC691" s="20"/>
      <c r="AD691" s="20"/>
      <c r="AE691" s="20"/>
      <c r="AF691" s="20"/>
      <c r="AG691" s="20"/>
      <c r="AH691" s="20"/>
      <c r="AI691" s="20"/>
      <c r="AJ691" s="20"/>
      <c r="AK691" s="20"/>
      <c r="AL691" s="20"/>
      <c r="AM691" s="20"/>
      <c r="AN691" s="20"/>
      <c r="AO691" s="20"/>
      <c r="AP691" s="20"/>
      <c r="AQ691" s="20"/>
      <c r="AR691" s="20"/>
      <c r="AS691" s="20"/>
      <c r="AT691" s="20"/>
      <c r="AU691" s="20"/>
      <c r="AV691" s="20"/>
    </row>
    <row r="692" spans="1:48" ht="17.25" hidden="1" customHeight="1">
      <c r="A692" s="130"/>
      <c r="B692" s="131"/>
      <c r="C692" s="131"/>
      <c r="D692" s="131"/>
      <c r="E692" s="15"/>
      <c r="F692" s="131"/>
      <c r="G692" s="132"/>
      <c r="H692" s="133"/>
      <c r="I692" s="132"/>
      <c r="J692" s="133"/>
      <c r="K692" s="132"/>
      <c r="L692" s="134"/>
      <c r="M692" s="132"/>
      <c r="N692" s="134"/>
      <c r="O692" s="132"/>
      <c r="P692" s="134"/>
      <c r="Q692" s="132"/>
      <c r="R692" s="135"/>
      <c r="S692" s="132"/>
      <c r="T692" s="134"/>
      <c r="U692" s="131"/>
      <c r="V692" s="161"/>
      <c r="W692" s="131"/>
      <c r="X692" s="131"/>
      <c r="Y692" s="137"/>
      <c r="Z692" s="134"/>
      <c r="AA692" s="134"/>
      <c r="AB692" s="138"/>
      <c r="AC692" s="20"/>
      <c r="AD692" s="20"/>
      <c r="AE692" s="20"/>
      <c r="AF692" s="20"/>
      <c r="AG692" s="20"/>
      <c r="AH692" s="20"/>
      <c r="AI692" s="20"/>
      <c r="AJ692" s="20"/>
      <c r="AK692" s="20"/>
      <c r="AL692" s="20"/>
      <c r="AM692" s="20"/>
      <c r="AN692" s="20"/>
      <c r="AO692" s="20"/>
      <c r="AP692" s="20"/>
      <c r="AQ692" s="20"/>
      <c r="AR692" s="20"/>
      <c r="AS692" s="20"/>
      <c r="AT692" s="20"/>
      <c r="AU692" s="20"/>
      <c r="AV692" s="20"/>
    </row>
    <row r="693" spans="1:48" ht="17.25" hidden="1" customHeight="1">
      <c r="A693" s="130"/>
      <c r="B693" s="131"/>
      <c r="C693" s="131"/>
      <c r="D693" s="131"/>
      <c r="E693" s="15"/>
      <c r="F693" s="131"/>
      <c r="G693" s="132"/>
      <c r="H693" s="133"/>
      <c r="I693" s="132"/>
      <c r="J693" s="133"/>
      <c r="K693" s="132"/>
      <c r="L693" s="134"/>
      <c r="M693" s="132"/>
      <c r="N693" s="134"/>
      <c r="O693" s="132"/>
      <c r="P693" s="134"/>
      <c r="Q693" s="132"/>
      <c r="R693" s="135"/>
      <c r="S693" s="132"/>
      <c r="T693" s="134"/>
      <c r="U693" s="131"/>
      <c r="V693" s="144"/>
      <c r="W693" s="131"/>
      <c r="X693" s="131"/>
      <c r="Y693" s="137"/>
      <c r="Z693" s="134"/>
      <c r="AA693" s="134"/>
      <c r="AB693" s="138"/>
      <c r="AC693" s="20"/>
      <c r="AD693" s="20"/>
      <c r="AE693" s="20"/>
      <c r="AF693" s="20"/>
      <c r="AG693" s="20"/>
      <c r="AH693" s="20"/>
      <c r="AI693" s="20"/>
      <c r="AJ693" s="20"/>
      <c r="AK693" s="20"/>
      <c r="AL693" s="20"/>
      <c r="AM693" s="20"/>
      <c r="AN693" s="20"/>
      <c r="AO693" s="20"/>
      <c r="AP693" s="20"/>
      <c r="AQ693" s="20"/>
      <c r="AR693" s="20"/>
      <c r="AS693" s="20"/>
      <c r="AT693" s="20"/>
      <c r="AU693" s="20"/>
      <c r="AV693" s="20"/>
    </row>
    <row r="694" spans="1:48" ht="17.25" hidden="1" customHeight="1">
      <c r="A694" s="130"/>
      <c r="B694" s="131"/>
      <c r="C694" s="131"/>
      <c r="D694" s="131"/>
      <c r="E694" s="15"/>
      <c r="F694" s="131"/>
      <c r="G694" s="132"/>
      <c r="H694" s="133"/>
      <c r="I694" s="132"/>
      <c r="J694" s="131"/>
      <c r="K694" s="132"/>
      <c r="L694" s="134"/>
      <c r="M694" s="132"/>
      <c r="N694" s="134"/>
      <c r="O694" s="132"/>
      <c r="P694" s="134"/>
      <c r="Q694" s="132"/>
      <c r="R694" s="135"/>
      <c r="S694" s="132"/>
      <c r="T694" s="134"/>
      <c r="U694" s="131"/>
      <c r="V694" s="144"/>
      <c r="W694" s="131"/>
      <c r="X694" s="131"/>
      <c r="Y694" s="137"/>
      <c r="Z694" s="134"/>
      <c r="AA694" s="134"/>
      <c r="AB694" s="138"/>
      <c r="AC694" s="20"/>
      <c r="AD694" s="20"/>
      <c r="AE694" s="20"/>
      <c r="AF694" s="20"/>
      <c r="AG694" s="20"/>
      <c r="AH694" s="20"/>
      <c r="AI694" s="20"/>
      <c r="AJ694" s="20"/>
      <c r="AK694" s="20"/>
      <c r="AL694" s="20"/>
      <c r="AM694" s="20"/>
      <c r="AN694" s="20"/>
      <c r="AO694" s="20"/>
      <c r="AP694" s="20"/>
      <c r="AQ694" s="20"/>
      <c r="AR694" s="20"/>
      <c r="AS694" s="20"/>
      <c r="AT694" s="20"/>
      <c r="AU694" s="20"/>
      <c r="AV694" s="20"/>
    </row>
    <row r="695" spans="1:48" ht="17.25" hidden="1" customHeight="1">
      <c r="A695" s="130"/>
      <c r="B695" s="131"/>
      <c r="C695" s="131"/>
      <c r="D695" s="131"/>
      <c r="E695" s="15"/>
      <c r="F695" s="131"/>
      <c r="G695" s="132"/>
      <c r="H695" s="133"/>
      <c r="I695" s="132"/>
      <c r="J695" s="133"/>
      <c r="K695" s="132"/>
      <c r="L695" s="138"/>
      <c r="M695" s="132"/>
      <c r="N695" s="134"/>
      <c r="O695" s="132"/>
      <c r="P695" s="134"/>
      <c r="Q695" s="132"/>
      <c r="R695" s="135"/>
      <c r="S695" s="132"/>
      <c r="T695" s="134"/>
      <c r="U695" s="131"/>
      <c r="V695" s="144"/>
      <c r="W695" s="131"/>
      <c r="X695" s="131"/>
      <c r="Y695" s="137"/>
      <c r="Z695" s="134"/>
      <c r="AA695" s="134"/>
      <c r="AB695" s="138"/>
      <c r="AC695" s="20"/>
      <c r="AD695" s="20"/>
      <c r="AE695" s="20"/>
      <c r="AF695" s="20"/>
      <c r="AG695" s="20"/>
      <c r="AH695" s="20"/>
      <c r="AI695" s="20"/>
      <c r="AJ695" s="20"/>
      <c r="AK695" s="20"/>
      <c r="AL695" s="20"/>
      <c r="AM695" s="20"/>
      <c r="AN695" s="20"/>
      <c r="AO695" s="20"/>
      <c r="AP695" s="20"/>
      <c r="AQ695" s="20"/>
      <c r="AR695" s="20"/>
      <c r="AS695" s="20"/>
      <c r="AT695" s="20"/>
      <c r="AU695" s="20"/>
      <c r="AV695" s="20"/>
    </row>
    <row r="696" spans="1:48" ht="17.25" hidden="1" customHeight="1">
      <c r="A696" s="130"/>
      <c r="B696" s="131"/>
      <c r="C696" s="131"/>
      <c r="D696" s="131"/>
      <c r="E696" s="15"/>
      <c r="F696" s="131"/>
      <c r="G696" s="132"/>
      <c r="H696" s="133"/>
      <c r="I696" s="132"/>
      <c r="J696" s="133"/>
      <c r="K696" s="132"/>
      <c r="L696" s="138"/>
      <c r="M696" s="132"/>
      <c r="N696" s="134"/>
      <c r="O696" s="132"/>
      <c r="P696" s="134"/>
      <c r="Q696" s="132"/>
      <c r="R696" s="135"/>
      <c r="S696" s="132"/>
      <c r="T696" s="134"/>
      <c r="U696" s="131"/>
      <c r="V696" s="144"/>
      <c r="W696" s="131"/>
      <c r="X696" s="131"/>
      <c r="Y696" s="137"/>
      <c r="Z696" s="134"/>
      <c r="AA696" s="134"/>
      <c r="AB696" s="138"/>
      <c r="AC696" s="20"/>
      <c r="AD696" s="20"/>
      <c r="AE696" s="20"/>
      <c r="AF696" s="20"/>
      <c r="AG696" s="20"/>
      <c r="AH696" s="20"/>
      <c r="AI696" s="20"/>
      <c r="AJ696" s="20"/>
      <c r="AK696" s="20"/>
      <c r="AL696" s="20"/>
      <c r="AM696" s="20"/>
      <c r="AN696" s="20"/>
      <c r="AO696" s="20"/>
      <c r="AP696" s="20"/>
      <c r="AQ696" s="20"/>
      <c r="AR696" s="20"/>
      <c r="AS696" s="20"/>
      <c r="AT696" s="20"/>
      <c r="AU696" s="20"/>
      <c r="AV696" s="20"/>
    </row>
    <row r="697" spans="1:48" ht="17.25" hidden="1" customHeight="1">
      <c r="A697" s="130"/>
      <c r="B697" s="131"/>
      <c r="C697" s="131"/>
      <c r="D697" s="131"/>
      <c r="E697" s="15"/>
      <c r="F697" s="131"/>
      <c r="G697" s="132"/>
      <c r="H697" s="133"/>
      <c r="I697" s="132"/>
      <c r="J697" s="133"/>
      <c r="K697" s="132"/>
      <c r="L697" s="138"/>
      <c r="M697" s="132"/>
      <c r="N697" s="134"/>
      <c r="O697" s="132"/>
      <c r="P697" s="134"/>
      <c r="Q697" s="132"/>
      <c r="R697" s="135"/>
      <c r="S697" s="132"/>
      <c r="T697" s="134"/>
      <c r="U697" s="131"/>
      <c r="V697" s="144"/>
      <c r="W697" s="131"/>
      <c r="X697" s="131"/>
      <c r="Y697" s="137"/>
      <c r="Z697" s="134"/>
      <c r="AA697" s="134"/>
      <c r="AB697" s="138"/>
      <c r="AC697" s="20"/>
      <c r="AD697" s="20"/>
      <c r="AE697" s="20"/>
      <c r="AF697" s="20"/>
      <c r="AG697" s="20"/>
      <c r="AH697" s="20"/>
      <c r="AI697" s="20"/>
      <c r="AJ697" s="20"/>
      <c r="AK697" s="20"/>
      <c r="AL697" s="20"/>
      <c r="AM697" s="20"/>
      <c r="AN697" s="20"/>
      <c r="AO697" s="20"/>
      <c r="AP697" s="20"/>
      <c r="AQ697" s="20"/>
      <c r="AR697" s="20"/>
      <c r="AS697" s="20"/>
      <c r="AT697" s="20"/>
      <c r="AU697" s="20"/>
      <c r="AV697" s="20"/>
    </row>
    <row r="698" spans="1:48" ht="17.25" hidden="1" customHeight="1">
      <c r="A698" s="130"/>
      <c r="B698" s="131"/>
      <c r="C698" s="131"/>
      <c r="D698" s="131"/>
      <c r="E698" s="15"/>
      <c r="F698" s="131"/>
      <c r="G698" s="132"/>
      <c r="H698" s="133"/>
      <c r="I698" s="132"/>
      <c r="J698" s="133"/>
      <c r="K698" s="132"/>
      <c r="L698" s="138"/>
      <c r="M698" s="132"/>
      <c r="N698" s="134"/>
      <c r="O698" s="132"/>
      <c r="P698" s="134"/>
      <c r="Q698" s="132"/>
      <c r="R698" s="135"/>
      <c r="S698" s="132"/>
      <c r="T698" s="134"/>
      <c r="U698" s="131"/>
      <c r="V698" s="144"/>
      <c r="W698" s="131"/>
      <c r="X698" s="131"/>
      <c r="Y698" s="137"/>
      <c r="Z698" s="134"/>
      <c r="AA698" s="134"/>
      <c r="AB698" s="138"/>
      <c r="AC698" s="20"/>
      <c r="AD698" s="20"/>
      <c r="AE698" s="20"/>
      <c r="AF698" s="20"/>
      <c r="AG698" s="20"/>
      <c r="AH698" s="20"/>
      <c r="AI698" s="20"/>
      <c r="AJ698" s="20"/>
      <c r="AK698" s="20"/>
      <c r="AL698" s="20"/>
      <c r="AM698" s="20"/>
      <c r="AN698" s="20"/>
      <c r="AO698" s="20"/>
      <c r="AP698" s="20"/>
      <c r="AQ698" s="20"/>
      <c r="AR698" s="20"/>
      <c r="AS698" s="20"/>
      <c r="AT698" s="20"/>
      <c r="AU698" s="20"/>
      <c r="AV698" s="20"/>
    </row>
    <row r="699" spans="1:48" ht="17.25" hidden="1" customHeight="1">
      <c r="A699" s="130"/>
      <c r="B699" s="131"/>
      <c r="C699" s="131"/>
      <c r="D699" s="131"/>
      <c r="E699" s="15"/>
      <c r="F699" s="131"/>
      <c r="G699" s="132"/>
      <c r="H699" s="133"/>
      <c r="I699" s="132"/>
      <c r="J699" s="131"/>
      <c r="K699" s="132"/>
      <c r="L699" s="134"/>
      <c r="M699" s="132"/>
      <c r="N699" s="134"/>
      <c r="O699" s="132"/>
      <c r="P699" s="134"/>
      <c r="Q699" s="132"/>
      <c r="R699" s="135"/>
      <c r="S699" s="132"/>
      <c r="T699" s="134"/>
      <c r="U699" s="131"/>
      <c r="V699" s="144"/>
      <c r="W699" s="131"/>
      <c r="X699" s="131"/>
      <c r="Y699" s="137"/>
      <c r="Z699" s="134"/>
      <c r="AA699" s="134"/>
      <c r="AB699" s="138"/>
      <c r="AC699" s="20"/>
      <c r="AD699" s="20"/>
      <c r="AE699" s="20"/>
      <c r="AF699" s="20"/>
      <c r="AG699" s="20"/>
      <c r="AH699" s="20"/>
      <c r="AI699" s="20"/>
      <c r="AJ699" s="20"/>
      <c r="AK699" s="20"/>
      <c r="AL699" s="20"/>
      <c r="AM699" s="20"/>
      <c r="AN699" s="20"/>
      <c r="AO699" s="20"/>
      <c r="AP699" s="20"/>
      <c r="AQ699" s="20"/>
      <c r="AR699" s="20"/>
      <c r="AS699" s="20"/>
      <c r="AT699" s="20"/>
      <c r="AU699" s="20"/>
      <c r="AV699" s="20"/>
    </row>
    <row r="700" spans="1:48" ht="17.25" hidden="1" customHeight="1">
      <c r="A700" s="130"/>
      <c r="B700" s="131"/>
      <c r="C700" s="131"/>
      <c r="D700" s="131"/>
      <c r="E700" s="15"/>
      <c r="F700" s="131"/>
      <c r="G700" s="132"/>
      <c r="H700" s="133"/>
      <c r="I700" s="132"/>
      <c r="J700" s="133"/>
      <c r="K700" s="132"/>
      <c r="L700" s="138"/>
      <c r="M700" s="132"/>
      <c r="N700" s="134"/>
      <c r="O700" s="132"/>
      <c r="P700" s="134"/>
      <c r="Q700" s="132"/>
      <c r="R700" s="135"/>
      <c r="S700" s="132"/>
      <c r="T700" s="134"/>
      <c r="U700" s="131"/>
      <c r="V700" s="144"/>
      <c r="W700" s="131"/>
      <c r="X700" s="131"/>
      <c r="Y700" s="137"/>
      <c r="Z700" s="134"/>
      <c r="AA700" s="134"/>
      <c r="AB700" s="138"/>
      <c r="AC700" s="20"/>
      <c r="AD700" s="20"/>
      <c r="AE700" s="20"/>
      <c r="AF700" s="20"/>
      <c r="AG700" s="20"/>
      <c r="AH700" s="20"/>
      <c r="AI700" s="20"/>
      <c r="AJ700" s="20"/>
      <c r="AK700" s="20"/>
      <c r="AL700" s="20"/>
      <c r="AM700" s="20"/>
      <c r="AN700" s="20"/>
      <c r="AO700" s="20"/>
      <c r="AP700" s="20"/>
      <c r="AQ700" s="20"/>
      <c r="AR700" s="20"/>
      <c r="AS700" s="20"/>
      <c r="AT700" s="20"/>
      <c r="AU700" s="20"/>
      <c r="AV700" s="20"/>
    </row>
    <row r="701" spans="1:48" ht="17.25" hidden="1" customHeight="1">
      <c r="A701" s="130"/>
      <c r="B701" s="131"/>
      <c r="C701" s="131"/>
      <c r="D701" s="131"/>
      <c r="E701" s="15"/>
      <c r="F701" s="131"/>
      <c r="G701" s="132"/>
      <c r="H701" s="133"/>
      <c r="I701" s="132"/>
      <c r="J701" s="133"/>
      <c r="K701" s="132"/>
      <c r="L701" s="134"/>
      <c r="M701" s="132"/>
      <c r="N701" s="134"/>
      <c r="O701" s="132"/>
      <c r="P701" s="134"/>
      <c r="Q701" s="132"/>
      <c r="R701" s="135"/>
      <c r="S701" s="132"/>
      <c r="T701" s="134"/>
      <c r="U701" s="131"/>
      <c r="V701" s="145"/>
      <c r="W701" s="131"/>
      <c r="X701" s="131"/>
      <c r="Y701" s="137"/>
      <c r="Z701" s="134"/>
      <c r="AA701" s="134"/>
      <c r="AB701" s="138"/>
      <c r="AC701" s="20"/>
      <c r="AD701" s="20"/>
      <c r="AE701" s="20"/>
      <c r="AF701" s="20"/>
      <c r="AG701" s="20"/>
      <c r="AH701" s="20"/>
      <c r="AI701" s="20"/>
      <c r="AJ701" s="20"/>
      <c r="AK701" s="20"/>
      <c r="AL701" s="20"/>
      <c r="AM701" s="20"/>
      <c r="AN701" s="20"/>
      <c r="AO701" s="20"/>
      <c r="AP701" s="20"/>
      <c r="AQ701" s="20"/>
      <c r="AR701" s="20"/>
      <c r="AS701" s="20"/>
      <c r="AT701" s="20"/>
      <c r="AU701" s="20"/>
      <c r="AV701" s="20"/>
    </row>
    <row r="702" spans="1:48" ht="17.25" hidden="1" customHeight="1">
      <c r="A702" s="130"/>
      <c r="B702" s="131"/>
      <c r="C702" s="131"/>
      <c r="D702" s="131"/>
      <c r="E702" s="15"/>
      <c r="F702" s="131"/>
      <c r="G702" s="132"/>
      <c r="H702" s="133"/>
      <c r="I702" s="132"/>
      <c r="J702" s="133"/>
      <c r="K702" s="132"/>
      <c r="L702" s="134"/>
      <c r="M702" s="132"/>
      <c r="N702" s="134"/>
      <c r="O702" s="132"/>
      <c r="P702" s="134"/>
      <c r="Q702" s="132"/>
      <c r="R702" s="135"/>
      <c r="S702" s="132"/>
      <c r="T702" s="134"/>
      <c r="U702" s="131"/>
      <c r="V702" s="161"/>
      <c r="W702" s="131"/>
      <c r="X702" s="131"/>
      <c r="Y702" s="137"/>
      <c r="Z702" s="134"/>
      <c r="AA702" s="134"/>
      <c r="AB702" s="138"/>
      <c r="AC702" s="20"/>
      <c r="AD702" s="20"/>
      <c r="AE702" s="20"/>
      <c r="AF702" s="20"/>
      <c r="AG702" s="20"/>
      <c r="AH702" s="20"/>
      <c r="AI702" s="20"/>
      <c r="AJ702" s="20"/>
      <c r="AK702" s="20"/>
      <c r="AL702" s="20"/>
      <c r="AM702" s="20"/>
      <c r="AN702" s="20"/>
      <c r="AO702" s="20"/>
      <c r="AP702" s="20"/>
      <c r="AQ702" s="20"/>
      <c r="AR702" s="20"/>
      <c r="AS702" s="20"/>
      <c r="AT702" s="20"/>
      <c r="AU702" s="20"/>
      <c r="AV702" s="20"/>
    </row>
    <row r="703" spans="1:48" ht="17.25" hidden="1" customHeight="1">
      <c r="A703" s="130"/>
      <c r="B703" s="131"/>
      <c r="C703" s="131"/>
      <c r="D703" s="131"/>
      <c r="E703" s="15"/>
      <c r="F703" s="131"/>
      <c r="G703" s="132"/>
      <c r="H703" s="133"/>
      <c r="I703" s="132"/>
      <c r="J703" s="131"/>
      <c r="K703" s="132"/>
      <c r="L703" s="134"/>
      <c r="M703" s="132"/>
      <c r="N703" s="134"/>
      <c r="O703" s="132"/>
      <c r="P703" s="134"/>
      <c r="Q703" s="132"/>
      <c r="R703" s="135"/>
      <c r="S703" s="132"/>
      <c r="T703" s="134"/>
      <c r="U703" s="131"/>
      <c r="V703" s="144"/>
      <c r="W703" s="131"/>
      <c r="X703" s="131"/>
      <c r="Y703" s="137"/>
      <c r="Z703" s="134"/>
      <c r="AA703" s="134"/>
      <c r="AB703" s="138"/>
      <c r="AC703" s="20"/>
      <c r="AD703" s="20"/>
      <c r="AE703" s="20"/>
      <c r="AF703" s="20"/>
      <c r="AG703" s="20"/>
      <c r="AH703" s="20"/>
      <c r="AI703" s="20"/>
      <c r="AJ703" s="20"/>
      <c r="AK703" s="20"/>
      <c r="AL703" s="20"/>
      <c r="AM703" s="20"/>
      <c r="AN703" s="20"/>
      <c r="AO703" s="20"/>
      <c r="AP703" s="20"/>
      <c r="AQ703" s="20"/>
      <c r="AR703" s="20"/>
      <c r="AS703" s="20"/>
      <c r="AT703" s="20"/>
      <c r="AU703" s="20"/>
      <c r="AV703" s="20"/>
    </row>
    <row r="704" spans="1:48" ht="17.25" hidden="1" customHeight="1">
      <c r="A704" s="130"/>
      <c r="B704" s="131"/>
      <c r="C704" s="131"/>
      <c r="D704" s="131"/>
      <c r="E704" s="15"/>
      <c r="F704" s="131"/>
      <c r="G704" s="132"/>
      <c r="H704" s="133"/>
      <c r="I704" s="132"/>
      <c r="J704" s="133"/>
      <c r="K704" s="132"/>
      <c r="L704" s="138"/>
      <c r="M704" s="132"/>
      <c r="N704" s="134"/>
      <c r="O704" s="132"/>
      <c r="P704" s="134"/>
      <c r="Q704" s="132"/>
      <c r="R704" s="135"/>
      <c r="S704" s="132"/>
      <c r="T704" s="134"/>
      <c r="U704" s="131"/>
      <c r="V704" s="144"/>
      <c r="W704" s="131"/>
      <c r="X704" s="131"/>
      <c r="Y704" s="137"/>
      <c r="Z704" s="134"/>
      <c r="AA704" s="134"/>
      <c r="AB704" s="138"/>
      <c r="AC704" s="20"/>
      <c r="AD704" s="20"/>
      <c r="AE704" s="20"/>
      <c r="AF704" s="20"/>
      <c r="AG704" s="20"/>
      <c r="AH704" s="20"/>
      <c r="AI704" s="20"/>
      <c r="AJ704" s="20"/>
      <c r="AK704" s="20"/>
      <c r="AL704" s="20"/>
      <c r="AM704" s="20"/>
      <c r="AN704" s="20"/>
      <c r="AO704" s="20"/>
      <c r="AP704" s="20"/>
      <c r="AQ704" s="20"/>
      <c r="AR704" s="20"/>
      <c r="AS704" s="20"/>
      <c r="AT704" s="20"/>
      <c r="AU704" s="20"/>
      <c r="AV704" s="20"/>
    </row>
    <row r="705" spans="1:48" ht="17.25" hidden="1" customHeight="1">
      <c r="A705" s="130"/>
      <c r="B705" s="131"/>
      <c r="C705" s="131"/>
      <c r="D705" s="131"/>
      <c r="E705" s="15"/>
      <c r="F705" s="131"/>
      <c r="G705" s="132"/>
      <c r="H705" s="133"/>
      <c r="I705" s="132"/>
      <c r="J705" s="133"/>
      <c r="K705" s="132"/>
      <c r="L705" s="138"/>
      <c r="M705" s="132"/>
      <c r="N705" s="134"/>
      <c r="O705" s="132"/>
      <c r="P705" s="134"/>
      <c r="Q705" s="132"/>
      <c r="R705" s="135"/>
      <c r="S705" s="132"/>
      <c r="T705" s="134"/>
      <c r="U705" s="131"/>
      <c r="V705" s="144"/>
      <c r="W705" s="131"/>
      <c r="X705" s="131"/>
      <c r="Y705" s="137"/>
      <c r="Z705" s="134"/>
      <c r="AA705" s="134"/>
      <c r="AB705" s="138"/>
      <c r="AC705" s="20"/>
      <c r="AD705" s="20"/>
      <c r="AE705" s="20"/>
      <c r="AF705" s="20"/>
      <c r="AG705" s="20"/>
      <c r="AH705" s="20"/>
      <c r="AI705" s="20"/>
      <c r="AJ705" s="20"/>
      <c r="AK705" s="20"/>
      <c r="AL705" s="20"/>
      <c r="AM705" s="20"/>
      <c r="AN705" s="20"/>
      <c r="AO705" s="20"/>
      <c r="AP705" s="20"/>
      <c r="AQ705" s="20"/>
      <c r="AR705" s="20"/>
      <c r="AS705" s="20"/>
      <c r="AT705" s="20"/>
      <c r="AU705" s="20"/>
      <c r="AV705" s="20"/>
    </row>
    <row r="706" spans="1:48" ht="17.25" hidden="1" customHeight="1">
      <c r="A706" s="130"/>
      <c r="B706" s="131"/>
      <c r="C706" s="131"/>
      <c r="D706" s="131"/>
      <c r="E706" s="15"/>
      <c r="F706" s="131"/>
      <c r="G706" s="132"/>
      <c r="H706" s="133"/>
      <c r="I706" s="132"/>
      <c r="J706" s="133"/>
      <c r="K706" s="132"/>
      <c r="L706" s="138"/>
      <c r="M706" s="132"/>
      <c r="N706" s="134"/>
      <c r="O706" s="132"/>
      <c r="P706" s="134"/>
      <c r="Q706" s="132"/>
      <c r="R706" s="135"/>
      <c r="S706" s="132"/>
      <c r="T706" s="134"/>
      <c r="U706" s="131"/>
      <c r="V706" s="144"/>
      <c r="W706" s="131"/>
      <c r="X706" s="131"/>
      <c r="Y706" s="137"/>
      <c r="Z706" s="134"/>
      <c r="AA706" s="134"/>
      <c r="AB706" s="138"/>
      <c r="AC706" s="20"/>
      <c r="AD706" s="20"/>
      <c r="AE706" s="20"/>
      <c r="AF706" s="20"/>
      <c r="AG706" s="20"/>
      <c r="AH706" s="20"/>
      <c r="AI706" s="20"/>
      <c r="AJ706" s="20"/>
      <c r="AK706" s="20"/>
      <c r="AL706" s="20"/>
      <c r="AM706" s="20"/>
      <c r="AN706" s="20"/>
      <c r="AO706" s="20"/>
      <c r="AP706" s="20"/>
      <c r="AQ706" s="20"/>
      <c r="AR706" s="20"/>
      <c r="AS706" s="20"/>
      <c r="AT706" s="20"/>
      <c r="AU706" s="20"/>
      <c r="AV706" s="20"/>
    </row>
    <row r="707" spans="1:48" ht="17.25" hidden="1" customHeight="1">
      <c r="A707" s="130"/>
      <c r="B707" s="131"/>
      <c r="C707" s="131"/>
      <c r="D707" s="131"/>
      <c r="E707" s="15"/>
      <c r="F707" s="131"/>
      <c r="G707" s="132"/>
      <c r="H707" s="133"/>
      <c r="I707" s="132"/>
      <c r="J707" s="133"/>
      <c r="K707" s="132"/>
      <c r="L707" s="138"/>
      <c r="M707" s="132"/>
      <c r="N707" s="134"/>
      <c r="O707" s="132"/>
      <c r="P707" s="134"/>
      <c r="Q707" s="132"/>
      <c r="R707" s="135"/>
      <c r="S707" s="132"/>
      <c r="T707" s="134"/>
      <c r="U707" s="131"/>
      <c r="V707" s="144"/>
      <c r="W707" s="131"/>
      <c r="X707" s="131"/>
      <c r="Y707" s="137"/>
      <c r="Z707" s="134"/>
      <c r="AA707" s="134"/>
      <c r="AB707" s="138"/>
      <c r="AC707" s="20"/>
      <c r="AD707" s="20"/>
      <c r="AE707" s="20"/>
      <c r="AF707" s="20"/>
      <c r="AG707" s="20"/>
      <c r="AH707" s="20"/>
      <c r="AI707" s="20"/>
      <c r="AJ707" s="20"/>
      <c r="AK707" s="20"/>
      <c r="AL707" s="20"/>
      <c r="AM707" s="20"/>
      <c r="AN707" s="20"/>
      <c r="AO707" s="20"/>
      <c r="AP707" s="20"/>
      <c r="AQ707" s="20"/>
      <c r="AR707" s="20"/>
      <c r="AS707" s="20"/>
      <c r="AT707" s="20"/>
      <c r="AU707" s="20"/>
      <c r="AV707" s="20"/>
    </row>
    <row r="708" spans="1:48" ht="17.25" hidden="1" customHeight="1">
      <c r="A708" s="130"/>
      <c r="B708" s="131"/>
      <c r="C708" s="131"/>
      <c r="D708" s="131"/>
      <c r="E708" s="15"/>
      <c r="F708" s="131"/>
      <c r="G708" s="132"/>
      <c r="H708" s="133"/>
      <c r="I708" s="132"/>
      <c r="J708" s="131"/>
      <c r="K708" s="132"/>
      <c r="L708" s="134"/>
      <c r="M708" s="132"/>
      <c r="N708" s="134"/>
      <c r="O708" s="132"/>
      <c r="P708" s="134"/>
      <c r="Q708" s="132"/>
      <c r="R708" s="135"/>
      <c r="S708" s="132"/>
      <c r="T708" s="134"/>
      <c r="U708" s="131"/>
      <c r="V708" s="144"/>
      <c r="W708" s="131"/>
      <c r="X708" s="131"/>
      <c r="Y708" s="137"/>
      <c r="Z708" s="134"/>
      <c r="AA708" s="134"/>
      <c r="AB708" s="138"/>
      <c r="AC708" s="20"/>
      <c r="AD708" s="20"/>
      <c r="AE708" s="20"/>
      <c r="AF708" s="20"/>
      <c r="AG708" s="20"/>
      <c r="AH708" s="20"/>
      <c r="AI708" s="20"/>
      <c r="AJ708" s="20"/>
      <c r="AK708" s="20"/>
      <c r="AL708" s="20"/>
      <c r="AM708" s="20"/>
      <c r="AN708" s="20"/>
      <c r="AO708" s="20"/>
      <c r="AP708" s="20"/>
      <c r="AQ708" s="20"/>
      <c r="AR708" s="20"/>
      <c r="AS708" s="20"/>
      <c r="AT708" s="20"/>
      <c r="AU708" s="20"/>
      <c r="AV708" s="20"/>
    </row>
    <row r="709" spans="1:48" ht="17.25" hidden="1" customHeight="1">
      <c r="A709" s="130"/>
      <c r="B709" s="131"/>
      <c r="C709" s="131"/>
      <c r="D709" s="131"/>
      <c r="E709" s="15"/>
      <c r="F709" s="131"/>
      <c r="G709" s="132"/>
      <c r="H709" s="133"/>
      <c r="I709" s="132"/>
      <c r="J709" s="133"/>
      <c r="K709" s="132"/>
      <c r="L709" s="138"/>
      <c r="M709" s="132"/>
      <c r="N709" s="134"/>
      <c r="O709" s="132"/>
      <c r="P709" s="134"/>
      <c r="Q709" s="132"/>
      <c r="R709" s="135"/>
      <c r="S709" s="132"/>
      <c r="T709" s="134"/>
      <c r="U709" s="131"/>
      <c r="V709" s="144"/>
      <c r="W709" s="131"/>
      <c r="X709" s="131"/>
      <c r="Y709" s="137"/>
      <c r="Z709" s="134"/>
      <c r="AA709" s="134"/>
      <c r="AB709" s="138"/>
      <c r="AC709" s="20"/>
      <c r="AD709" s="20"/>
      <c r="AE709" s="20"/>
      <c r="AF709" s="20"/>
      <c r="AG709" s="20"/>
      <c r="AH709" s="20"/>
      <c r="AI709" s="20"/>
      <c r="AJ709" s="20"/>
      <c r="AK709" s="20"/>
      <c r="AL709" s="20"/>
      <c r="AM709" s="20"/>
      <c r="AN709" s="20"/>
      <c r="AO709" s="20"/>
      <c r="AP709" s="20"/>
      <c r="AQ709" s="20"/>
      <c r="AR709" s="20"/>
      <c r="AS709" s="20"/>
      <c r="AT709" s="20"/>
      <c r="AU709" s="20"/>
      <c r="AV709" s="20"/>
    </row>
    <row r="710" spans="1:48" ht="17.25" hidden="1" customHeight="1">
      <c r="A710" s="130"/>
      <c r="B710" s="131"/>
      <c r="C710" s="131"/>
      <c r="D710" s="131"/>
      <c r="E710" s="15"/>
      <c r="F710" s="131"/>
      <c r="G710" s="132"/>
      <c r="H710" s="133"/>
      <c r="I710" s="132"/>
      <c r="J710" s="133"/>
      <c r="K710" s="132"/>
      <c r="L710" s="134"/>
      <c r="M710" s="132"/>
      <c r="N710" s="134"/>
      <c r="O710" s="132"/>
      <c r="P710" s="134"/>
      <c r="Q710" s="132"/>
      <c r="R710" s="135"/>
      <c r="S710" s="132"/>
      <c r="T710" s="134"/>
      <c r="U710" s="131"/>
      <c r="V710" s="147"/>
      <c r="W710" s="131"/>
      <c r="X710" s="131"/>
      <c r="Y710" s="137"/>
      <c r="Z710" s="134"/>
      <c r="AA710" s="134"/>
      <c r="AB710" s="138"/>
      <c r="AC710" s="20"/>
      <c r="AD710" s="20"/>
      <c r="AE710" s="20"/>
      <c r="AF710" s="20"/>
      <c r="AG710" s="20"/>
      <c r="AH710" s="20"/>
      <c r="AI710" s="20"/>
      <c r="AJ710" s="20"/>
      <c r="AK710" s="20"/>
      <c r="AL710" s="20"/>
      <c r="AM710" s="20"/>
      <c r="AN710" s="20"/>
      <c r="AO710" s="20"/>
      <c r="AP710" s="20"/>
      <c r="AQ710" s="20"/>
      <c r="AR710" s="20"/>
      <c r="AS710" s="20"/>
      <c r="AT710" s="20"/>
      <c r="AU710" s="20"/>
      <c r="AV710" s="20"/>
    </row>
    <row r="711" spans="1:48" ht="17.25" hidden="1" customHeight="1">
      <c r="A711" s="130"/>
      <c r="B711" s="131"/>
      <c r="C711" s="131"/>
      <c r="D711" s="131"/>
      <c r="E711" s="15"/>
      <c r="F711" s="131"/>
      <c r="G711" s="132"/>
      <c r="H711" s="133"/>
      <c r="I711" s="132"/>
      <c r="J711" s="133"/>
      <c r="K711" s="132"/>
      <c r="L711" s="134"/>
      <c r="M711" s="132"/>
      <c r="N711" s="134"/>
      <c r="O711" s="132"/>
      <c r="P711" s="134"/>
      <c r="Q711" s="132"/>
      <c r="R711" s="135"/>
      <c r="S711" s="132"/>
      <c r="T711" s="134"/>
      <c r="U711" s="131"/>
      <c r="V711" s="147"/>
      <c r="W711" s="131"/>
      <c r="X711" s="131"/>
      <c r="Y711" s="137"/>
      <c r="Z711" s="134"/>
      <c r="AA711" s="134"/>
      <c r="AB711" s="138"/>
      <c r="AC711" s="20"/>
      <c r="AD711" s="20"/>
      <c r="AE711" s="20"/>
      <c r="AF711" s="20"/>
      <c r="AG711" s="20"/>
      <c r="AH711" s="20"/>
      <c r="AI711" s="20"/>
      <c r="AJ711" s="20"/>
      <c r="AK711" s="20"/>
      <c r="AL711" s="20"/>
      <c r="AM711" s="20"/>
      <c r="AN711" s="20"/>
      <c r="AO711" s="20"/>
      <c r="AP711" s="20"/>
      <c r="AQ711" s="20"/>
      <c r="AR711" s="20"/>
      <c r="AS711" s="20"/>
      <c r="AT711" s="20"/>
      <c r="AU711" s="20"/>
      <c r="AV711" s="20"/>
    </row>
    <row r="712" spans="1:48" ht="17.25" hidden="1" customHeight="1">
      <c r="A712" s="130"/>
      <c r="B712" s="131"/>
      <c r="C712" s="131"/>
      <c r="D712" s="131"/>
      <c r="E712" s="15"/>
      <c r="F712" s="131"/>
      <c r="G712" s="132"/>
      <c r="H712" s="133"/>
      <c r="I712" s="132"/>
      <c r="J712" s="131"/>
      <c r="K712" s="132"/>
      <c r="L712" s="134"/>
      <c r="M712" s="132"/>
      <c r="N712" s="134"/>
      <c r="O712" s="132"/>
      <c r="P712" s="134"/>
      <c r="Q712" s="132"/>
      <c r="R712" s="135"/>
      <c r="S712" s="132"/>
      <c r="T712" s="134"/>
      <c r="U712" s="131"/>
      <c r="V712" s="144"/>
      <c r="W712" s="131"/>
      <c r="X712" s="131"/>
      <c r="Y712" s="137"/>
      <c r="Z712" s="134"/>
      <c r="AA712" s="134"/>
      <c r="AB712" s="138"/>
      <c r="AC712" s="20"/>
      <c r="AD712" s="20"/>
      <c r="AE712" s="20"/>
      <c r="AF712" s="20"/>
      <c r="AG712" s="20"/>
      <c r="AH712" s="20"/>
      <c r="AI712" s="20"/>
      <c r="AJ712" s="20"/>
      <c r="AK712" s="20"/>
      <c r="AL712" s="20"/>
      <c r="AM712" s="20"/>
      <c r="AN712" s="20"/>
      <c r="AO712" s="20"/>
      <c r="AP712" s="20"/>
      <c r="AQ712" s="20"/>
      <c r="AR712" s="20"/>
      <c r="AS712" s="20"/>
      <c r="AT712" s="20"/>
      <c r="AU712" s="20"/>
      <c r="AV712" s="20"/>
    </row>
    <row r="713" spans="1:48" ht="17.25" hidden="1" customHeight="1">
      <c r="A713" s="130"/>
      <c r="B713" s="131"/>
      <c r="C713" s="131"/>
      <c r="D713" s="131"/>
      <c r="E713" s="15"/>
      <c r="F713" s="131"/>
      <c r="G713" s="132"/>
      <c r="H713" s="133"/>
      <c r="I713" s="132"/>
      <c r="J713" s="133"/>
      <c r="K713" s="132"/>
      <c r="L713" s="138"/>
      <c r="M713" s="132"/>
      <c r="N713" s="134"/>
      <c r="O713" s="132"/>
      <c r="P713" s="134"/>
      <c r="Q713" s="132"/>
      <c r="R713" s="135"/>
      <c r="S713" s="132"/>
      <c r="T713" s="134"/>
      <c r="U713" s="131"/>
      <c r="V713" s="144"/>
      <c r="W713" s="131"/>
      <c r="X713" s="131"/>
      <c r="Y713" s="137"/>
      <c r="Z713" s="134"/>
      <c r="AA713" s="134"/>
      <c r="AB713" s="138"/>
      <c r="AC713" s="20"/>
      <c r="AD713" s="20"/>
      <c r="AE713" s="20"/>
      <c r="AF713" s="20"/>
      <c r="AG713" s="20"/>
      <c r="AH713" s="20"/>
      <c r="AI713" s="20"/>
      <c r="AJ713" s="20"/>
      <c r="AK713" s="20"/>
      <c r="AL713" s="20"/>
      <c r="AM713" s="20"/>
      <c r="AN713" s="20"/>
      <c r="AO713" s="20"/>
      <c r="AP713" s="20"/>
      <c r="AQ713" s="20"/>
      <c r="AR713" s="20"/>
      <c r="AS713" s="20"/>
      <c r="AT713" s="20"/>
      <c r="AU713" s="20"/>
      <c r="AV713" s="20"/>
    </row>
    <row r="714" spans="1:48" ht="17.25" hidden="1" customHeight="1">
      <c r="A714" s="130"/>
      <c r="B714" s="131"/>
      <c r="C714" s="131"/>
      <c r="D714" s="131"/>
      <c r="E714" s="15"/>
      <c r="F714" s="131"/>
      <c r="G714" s="132"/>
      <c r="H714" s="133"/>
      <c r="I714" s="132"/>
      <c r="J714" s="133"/>
      <c r="K714" s="132"/>
      <c r="L714" s="138"/>
      <c r="M714" s="132"/>
      <c r="N714" s="134"/>
      <c r="O714" s="132"/>
      <c r="P714" s="134"/>
      <c r="Q714" s="132"/>
      <c r="R714" s="135"/>
      <c r="S714" s="132"/>
      <c r="T714" s="134"/>
      <c r="U714" s="131"/>
      <c r="V714" s="144"/>
      <c r="W714" s="131"/>
      <c r="X714" s="131"/>
      <c r="Y714" s="137"/>
      <c r="Z714" s="134"/>
      <c r="AA714" s="134"/>
      <c r="AB714" s="138"/>
      <c r="AC714" s="20"/>
      <c r="AD714" s="20"/>
      <c r="AE714" s="20"/>
      <c r="AF714" s="20"/>
      <c r="AG714" s="20"/>
      <c r="AH714" s="20"/>
      <c r="AI714" s="20"/>
      <c r="AJ714" s="20"/>
      <c r="AK714" s="20"/>
      <c r="AL714" s="20"/>
      <c r="AM714" s="20"/>
      <c r="AN714" s="20"/>
      <c r="AO714" s="20"/>
      <c r="AP714" s="20"/>
      <c r="AQ714" s="20"/>
      <c r="AR714" s="20"/>
      <c r="AS714" s="20"/>
      <c r="AT714" s="20"/>
      <c r="AU714" s="20"/>
      <c r="AV714" s="20"/>
    </row>
    <row r="715" spans="1:48" ht="17.25" hidden="1" customHeight="1">
      <c r="A715" s="130"/>
      <c r="B715" s="131"/>
      <c r="C715" s="131"/>
      <c r="D715" s="131"/>
      <c r="E715" s="15"/>
      <c r="F715" s="131"/>
      <c r="G715" s="132"/>
      <c r="H715" s="133"/>
      <c r="I715" s="132"/>
      <c r="J715" s="133"/>
      <c r="K715" s="132"/>
      <c r="L715" s="138"/>
      <c r="M715" s="132"/>
      <c r="N715" s="134"/>
      <c r="O715" s="132"/>
      <c r="P715" s="134"/>
      <c r="Q715" s="132"/>
      <c r="R715" s="135"/>
      <c r="S715" s="132"/>
      <c r="T715" s="134"/>
      <c r="U715" s="131"/>
      <c r="V715" s="144"/>
      <c r="W715" s="131"/>
      <c r="X715" s="131"/>
      <c r="Y715" s="137"/>
      <c r="Z715" s="134"/>
      <c r="AA715" s="134"/>
      <c r="AB715" s="138"/>
      <c r="AC715" s="20"/>
      <c r="AD715" s="20"/>
      <c r="AE715" s="20"/>
      <c r="AF715" s="20"/>
      <c r="AG715" s="20"/>
      <c r="AH715" s="20"/>
      <c r="AI715" s="20"/>
      <c r="AJ715" s="20"/>
      <c r="AK715" s="20"/>
      <c r="AL715" s="20"/>
      <c r="AM715" s="20"/>
      <c r="AN715" s="20"/>
      <c r="AO715" s="20"/>
      <c r="AP715" s="20"/>
      <c r="AQ715" s="20"/>
      <c r="AR715" s="20"/>
      <c r="AS715" s="20"/>
      <c r="AT715" s="20"/>
      <c r="AU715" s="20"/>
      <c r="AV715" s="20"/>
    </row>
    <row r="716" spans="1:48" ht="17.25" hidden="1" customHeight="1">
      <c r="A716" s="130"/>
      <c r="B716" s="131"/>
      <c r="C716" s="131"/>
      <c r="D716" s="131"/>
      <c r="E716" s="15"/>
      <c r="F716" s="131"/>
      <c r="G716" s="132"/>
      <c r="H716" s="133"/>
      <c r="I716" s="132"/>
      <c r="J716" s="133"/>
      <c r="K716" s="132"/>
      <c r="L716" s="138"/>
      <c r="M716" s="132"/>
      <c r="N716" s="134"/>
      <c r="O716" s="132"/>
      <c r="P716" s="134"/>
      <c r="Q716" s="132"/>
      <c r="R716" s="135"/>
      <c r="S716" s="132"/>
      <c r="T716" s="134"/>
      <c r="U716" s="131"/>
      <c r="V716" s="144"/>
      <c r="W716" s="131"/>
      <c r="X716" s="131"/>
      <c r="Y716" s="137"/>
      <c r="Z716" s="134"/>
      <c r="AA716" s="134"/>
      <c r="AB716" s="138"/>
      <c r="AC716" s="20"/>
      <c r="AD716" s="20"/>
      <c r="AE716" s="20"/>
      <c r="AF716" s="20"/>
      <c r="AG716" s="20"/>
      <c r="AH716" s="20"/>
      <c r="AI716" s="20"/>
      <c r="AJ716" s="20"/>
      <c r="AK716" s="20"/>
      <c r="AL716" s="20"/>
      <c r="AM716" s="20"/>
      <c r="AN716" s="20"/>
      <c r="AO716" s="20"/>
      <c r="AP716" s="20"/>
      <c r="AQ716" s="20"/>
      <c r="AR716" s="20"/>
      <c r="AS716" s="20"/>
      <c r="AT716" s="20"/>
      <c r="AU716" s="20"/>
      <c r="AV716" s="20"/>
    </row>
    <row r="717" spans="1:48" ht="17.25" hidden="1" customHeight="1">
      <c r="A717" s="130"/>
      <c r="B717" s="131"/>
      <c r="C717" s="131"/>
      <c r="D717" s="131"/>
      <c r="E717" s="15"/>
      <c r="F717" s="131"/>
      <c r="G717" s="132"/>
      <c r="H717" s="133"/>
      <c r="I717" s="132"/>
      <c r="J717" s="131"/>
      <c r="K717" s="132"/>
      <c r="L717" s="134"/>
      <c r="M717" s="132"/>
      <c r="N717" s="134"/>
      <c r="O717" s="132"/>
      <c r="P717" s="134"/>
      <c r="Q717" s="132"/>
      <c r="R717" s="135"/>
      <c r="S717" s="132"/>
      <c r="T717" s="134"/>
      <c r="U717" s="131"/>
      <c r="V717" s="144"/>
      <c r="W717" s="131"/>
      <c r="X717" s="131"/>
      <c r="Y717" s="137"/>
      <c r="Z717" s="134"/>
      <c r="AA717" s="134"/>
      <c r="AB717" s="138"/>
      <c r="AC717" s="20"/>
      <c r="AD717" s="20"/>
      <c r="AE717" s="20"/>
      <c r="AF717" s="20"/>
      <c r="AG717" s="20"/>
      <c r="AH717" s="20"/>
      <c r="AI717" s="20"/>
      <c r="AJ717" s="20"/>
      <c r="AK717" s="20"/>
      <c r="AL717" s="20"/>
      <c r="AM717" s="20"/>
      <c r="AN717" s="20"/>
      <c r="AO717" s="20"/>
      <c r="AP717" s="20"/>
      <c r="AQ717" s="20"/>
      <c r="AR717" s="20"/>
      <c r="AS717" s="20"/>
      <c r="AT717" s="20"/>
      <c r="AU717" s="20"/>
      <c r="AV717" s="20"/>
    </row>
    <row r="718" spans="1:48" ht="17.25" hidden="1" customHeight="1">
      <c r="A718" s="130"/>
      <c r="B718" s="131"/>
      <c r="C718" s="131"/>
      <c r="D718" s="131"/>
      <c r="E718" s="15"/>
      <c r="F718" s="131"/>
      <c r="G718" s="132"/>
      <c r="H718" s="133"/>
      <c r="I718" s="132"/>
      <c r="J718" s="133"/>
      <c r="K718" s="132"/>
      <c r="L718" s="138"/>
      <c r="M718" s="132"/>
      <c r="N718" s="134"/>
      <c r="O718" s="132"/>
      <c r="P718" s="134"/>
      <c r="Q718" s="132"/>
      <c r="R718" s="135"/>
      <c r="S718" s="132"/>
      <c r="T718" s="134"/>
      <c r="U718" s="131"/>
      <c r="V718" s="144"/>
      <c r="W718" s="131"/>
      <c r="X718" s="131"/>
      <c r="Y718" s="137"/>
      <c r="Z718" s="134"/>
      <c r="AA718" s="134"/>
      <c r="AB718" s="138"/>
      <c r="AC718" s="20"/>
      <c r="AD718" s="20"/>
      <c r="AE718" s="20"/>
      <c r="AF718" s="20"/>
      <c r="AG718" s="20"/>
      <c r="AH718" s="20"/>
      <c r="AI718" s="20"/>
      <c r="AJ718" s="20"/>
      <c r="AK718" s="20"/>
      <c r="AL718" s="20"/>
      <c r="AM718" s="20"/>
      <c r="AN718" s="20"/>
      <c r="AO718" s="20"/>
      <c r="AP718" s="20"/>
      <c r="AQ718" s="20"/>
      <c r="AR718" s="20"/>
      <c r="AS718" s="20"/>
      <c r="AT718" s="20"/>
      <c r="AU718" s="20"/>
      <c r="AV718" s="20"/>
    </row>
    <row r="719" spans="1:48" ht="17.25" hidden="1" customHeight="1">
      <c r="A719" s="130"/>
      <c r="B719" s="131"/>
      <c r="C719" s="131"/>
      <c r="D719" s="131"/>
      <c r="E719" s="15"/>
      <c r="F719" s="131"/>
      <c r="G719" s="132"/>
      <c r="H719" s="133"/>
      <c r="I719" s="132"/>
      <c r="J719" s="133"/>
      <c r="K719" s="132"/>
      <c r="L719" s="134"/>
      <c r="M719" s="132"/>
      <c r="N719" s="134"/>
      <c r="O719" s="132"/>
      <c r="P719" s="134"/>
      <c r="Q719" s="132"/>
      <c r="R719" s="135"/>
      <c r="S719" s="132"/>
      <c r="T719" s="134"/>
      <c r="U719" s="131"/>
      <c r="V719" s="148"/>
      <c r="W719" s="131"/>
      <c r="X719" s="131"/>
      <c r="Y719" s="137"/>
      <c r="Z719" s="134"/>
      <c r="AA719" s="134"/>
      <c r="AB719" s="138"/>
      <c r="AC719" s="20"/>
      <c r="AD719" s="20"/>
      <c r="AE719" s="20"/>
      <c r="AF719" s="20"/>
      <c r="AG719" s="20"/>
      <c r="AH719" s="20"/>
      <c r="AI719" s="20"/>
      <c r="AJ719" s="20"/>
      <c r="AK719" s="20"/>
      <c r="AL719" s="20"/>
      <c r="AM719" s="20"/>
      <c r="AN719" s="20"/>
      <c r="AO719" s="20"/>
      <c r="AP719" s="20"/>
      <c r="AQ719" s="20"/>
      <c r="AR719" s="20"/>
      <c r="AS719" s="20"/>
      <c r="AT719" s="20"/>
      <c r="AU719" s="20"/>
      <c r="AV719" s="20"/>
    </row>
    <row r="720" spans="1:48" ht="17.25" hidden="1" customHeight="1">
      <c r="A720" s="130"/>
      <c r="B720" s="131"/>
      <c r="C720" s="131"/>
      <c r="D720" s="131"/>
      <c r="E720" s="15"/>
      <c r="F720" s="131"/>
      <c r="G720" s="132"/>
      <c r="H720" s="133"/>
      <c r="I720" s="132"/>
      <c r="J720" s="133"/>
      <c r="K720" s="132"/>
      <c r="L720" s="134"/>
      <c r="M720" s="132"/>
      <c r="N720" s="134"/>
      <c r="O720" s="132"/>
      <c r="P720" s="134"/>
      <c r="Q720" s="132"/>
      <c r="R720" s="135"/>
      <c r="S720" s="132"/>
      <c r="T720" s="134"/>
      <c r="U720" s="131"/>
      <c r="V720" s="148"/>
      <c r="W720" s="131"/>
      <c r="X720" s="131"/>
      <c r="Y720" s="137"/>
      <c r="Z720" s="134"/>
      <c r="AA720" s="134"/>
      <c r="AB720" s="138"/>
      <c r="AC720" s="20"/>
      <c r="AD720" s="20"/>
      <c r="AE720" s="20"/>
      <c r="AF720" s="20"/>
      <c r="AG720" s="20"/>
      <c r="AH720" s="20"/>
      <c r="AI720" s="20"/>
      <c r="AJ720" s="20"/>
      <c r="AK720" s="20"/>
      <c r="AL720" s="20"/>
      <c r="AM720" s="20"/>
      <c r="AN720" s="20"/>
      <c r="AO720" s="20"/>
      <c r="AP720" s="20"/>
      <c r="AQ720" s="20"/>
      <c r="AR720" s="20"/>
      <c r="AS720" s="20"/>
      <c r="AT720" s="20"/>
      <c r="AU720" s="20"/>
      <c r="AV720" s="20"/>
    </row>
    <row r="721" spans="1:48" ht="17.25" hidden="1" customHeight="1">
      <c r="A721" s="130"/>
      <c r="B721" s="131"/>
      <c r="C721" s="131"/>
      <c r="D721" s="131"/>
      <c r="E721" s="15"/>
      <c r="F721" s="131"/>
      <c r="G721" s="132"/>
      <c r="H721" s="133"/>
      <c r="I721" s="132"/>
      <c r="J721" s="131"/>
      <c r="K721" s="132"/>
      <c r="L721" s="134"/>
      <c r="M721" s="132"/>
      <c r="N721" s="134"/>
      <c r="O721" s="132"/>
      <c r="P721" s="134"/>
      <c r="Q721" s="132"/>
      <c r="R721" s="135"/>
      <c r="S721" s="132"/>
      <c r="T721" s="134"/>
      <c r="U721" s="131"/>
      <c r="V721" s="144"/>
      <c r="W721" s="131"/>
      <c r="X721" s="131"/>
      <c r="Y721" s="137"/>
      <c r="Z721" s="134"/>
      <c r="AA721" s="134"/>
      <c r="AB721" s="138"/>
      <c r="AC721" s="20"/>
      <c r="AD721" s="20"/>
      <c r="AE721" s="20"/>
      <c r="AF721" s="20"/>
      <c r="AG721" s="20"/>
      <c r="AH721" s="20"/>
      <c r="AI721" s="20"/>
      <c r="AJ721" s="20"/>
      <c r="AK721" s="20"/>
      <c r="AL721" s="20"/>
      <c r="AM721" s="20"/>
      <c r="AN721" s="20"/>
      <c r="AO721" s="20"/>
      <c r="AP721" s="20"/>
      <c r="AQ721" s="20"/>
      <c r="AR721" s="20"/>
      <c r="AS721" s="20"/>
      <c r="AT721" s="20"/>
      <c r="AU721" s="20"/>
      <c r="AV721" s="20"/>
    </row>
    <row r="722" spans="1:48" ht="17.25" hidden="1" customHeight="1">
      <c r="A722" s="130"/>
      <c r="B722" s="131"/>
      <c r="C722" s="131"/>
      <c r="D722" s="131"/>
      <c r="E722" s="15"/>
      <c r="F722" s="131"/>
      <c r="G722" s="132"/>
      <c r="H722" s="133"/>
      <c r="I722" s="132"/>
      <c r="J722" s="133"/>
      <c r="K722" s="132"/>
      <c r="L722" s="138"/>
      <c r="M722" s="132"/>
      <c r="N722" s="134"/>
      <c r="O722" s="132"/>
      <c r="P722" s="134"/>
      <c r="Q722" s="132"/>
      <c r="R722" s="135"/>
      <c r="S722" s="132"/>
      <c r="T722" s="134"/>
      <c r="U722" s="131"/>
      <c r="V722" s="144"/>
      <c r="W722" s="131"/>
      <c r="X722" s="131"/>
      <c r="Y722" s="137"/>
      <c r="Z722" s="134"/>
      <c r="AA722" s="134"/>
      <c r="AB722" s="138"/>
      <c r="AC722" s="20"/>
      <c r="AD722" s="20"/>
      <c r="AE722" s="20"/>
      <c r="AF722" s="20"/>
      <c r="AG722" s="20"/>
      <c r="AH722" s="20"/>
      <c r="AI722" s="20"/>
      <c r="AJ722" s="20"/>
      <c r="AK722" s="20"/>
      <c r="AL722" s="20"/>
      <c r="AM722" s="20"/>
      <c r="AN722" s="20"/>
      <c r="AO722" s="20"/>
      <c r="AP722" s="20"/>
      <c r="AQ722" s="20"/>
      <c r="AR722" s="20"/>
      <c r="AS722" s="20"/>
      <c r="AT722" s="20"/>
      <c r="AU722" s="20"/>
      <c r="AV722" s="20"/>
    </row>
    <row r="723" spans="1:48" ht="17.25" hidden="1" customHeight="1">
      <c r="A723" s="130"/>
      <c r="B723" s="131"/>
      <c r="C723" s="131"/>
      <c r="D723" s="131"/>
      <c r="E723" s="15"/>
      <c r="F723" s="131"/>
      <c r="G723" s="132"/>
      <c r="H723" s="133"/>
      <c r="I723" s="132"/>
      <c r="J723" s="133"/>
      <c r="K723" s="132"/>
      <c r="L723" s="138"/>
      <c r="M723" s="132"/>
      <c r="N723" s="134"/>
      <c r="O723" s="132"/>
      <c r="P723" s="134"/>
      <c r="Q723" s="132"/>
      <c r="R723" s="135"/>
      <c r="S723" s="132"/>
      <c r="T723" s="134"/>
      <c r="U723" s="131"/>
      <c r="V723" s="144"/>
      <c r="W723" s="131"/>
      <c r="X723" s="131"/>
      <c r="Y723" s="137"/>
      <c r="Z723" s="134"/>
      <c r="AA723" s="134"/>
      <c r="AB723" s="138"/>
      <c r="AC723" s="20"/>
      <c r="AD723" s="20"/>
      <c r="AE723" s="20"/>
      <c r="AF723" s="20"/>
      <c r="AG723" s="20"/>
      <c r="AH723" s="20"/>
      <c r="AI723" s="20"/>
      <c r="AJ723" s="20"/>
      <c r="AK723" s="20"/>
      <c r="AL723" s="20"/>
      <c r="AM723" s="20"/>
      <c r="AN723" s="20"/>
      <c r="AO723" s="20"/>
      <c r="AP723" s="20"/>
      <c r="AQ723" s="20"/>
      <c r="AR723" s="20"/>
      <c r="AS723" s="20"/>
      <c r="AT723" s="20"/>
      <c r="AU723" s="20"/>
      <c r="AV723" s="20"/>
    </row>
    <row r="724" spans="1:48" ht="17.25" hidden="1" customHeight="1">
      <c r="A724" s="130"/>
      <c r="B724" s="131"/>
      <c r="C724" s="131"/>
      <c r="D724" s="131"/>
      <c r="E724" s="15"/>
      <c r="F724" s="131"/>
      <c r="G724" s="132"/>
      <c r="H724" s="133"/>
      <c r="I724" s="132"/>
      <c r="J724" s="133"/>
      <c r="K724" s="132"/>
      <c r="L724" s="138"/>
      <c r="M724" s="132"/>
      <c r="N724" s="134"/>
      <c r="O724" s="132"/>
      <c r="P724" s="134"/>
      <c r="Q724" s="132"/>
      <c r="R724" s="135"/>
      <c r="S724" s="132"/>
      <c r="T724" s="134"/>
      <c r="U724" s="131"/>
      <c r="V724" s="144"/>
      <c r="W724" s="131"/>
      <c r="X724" s="131"/>
      <c r="Y724" s="137"/>
      <c r="Z724" s="134"/>
      <c r="AA724" s="134"/>
      <c r="AB724" s="138"/>
      <c r="AC724" s="20"/>
      <c r="AD724" s="20"/>
      <c r="AE724" s="20"/>
      <c r="AF724" s="20"/>
      <c r="AG724" s="20"/>
      <c r="AH724" s="20"/>
      <c r="AI724" s="20"/>
      <c r="AJ724" s="20"/>
      <c r="AK724" s="20"/>
      <c r="AL724" s="20"/>
      <c r="AM724" s="20"/>
      <c r="AN724" s="20"/>
      <c r="AO724" s="20"/>
      <c r="AP724" s="20"/>
      <c r="AQ724" s="20"/>
      <c r="AR724" s="20"/>
      <c r="AS724" s="20"/>
      <c r="AT724" s="20"/>
      <c r="AU724" s="20"/>
      <c r="AV724" s="20"/>
    </row>
    <row r="725" spans="1:48" ht="17.25" hidden="1" customHeight="1">
      <c r="A725" s="130"/>
      <c r="B725" s="131"/>
      <c r="C725" s="131"/>
      <c r="D725" s="131"/>
      <c r="E725" s="15"/>
      <c r="F725" s="131"/>
      <c r="G725" s="132"/>
      <c r="H725" s="133"/>
      <c r="I725" s="132"/>
      <c r="J725" s="133"/>
      <c r="K725" s="132"/>
      <c r="L725" s="138"/>
      <c r="M725" s="132"/>
      <c r="N725" s="134"/>
      <c r="O725" s="132"/>
      <c r="P725" s="134"/>
      <c r="Q725" s="132"/>
      <c r="R725" s="135"/>
      <c r="S725" s="132"/>
      <c r="T725" s="134"/>
      <c r="U725" s="131"/>
      <c r="V725" s="144"/>
      <c r="W725" s="131"/>
      <c r="X725" s="131"/>
      <c r="Y725" s="137"/>
      <c r="Z725" s="134"/>
      <c r="AA725" s="134"/>
      <c r="AB725" s="138"/>
      <c r="AC725" s="20"/>
      <c r="AD725" s="20"/>
      <c r="AE725" s="20"/>
      <c r="AF725" s="20"/>
      <c r="AG725" s="20"/>
      <c r="AH725" s="20"/>
      <c r="AI725" s="20"/>
      <c r="AJ725" s="20"/>
      <c r="AK725" s="20"/>
      <c r="AL725" s="20"/>
      <c r="AM725" s="20"/>
      <c r="AN725" s="20"/>
      <c r="AO725" s="20"/>
      <c r="AP725" s="20"/>
      <c r="AQ725" s="20"/>
      <c r="AR725" s="20"/>
      <c r="AS725" s="20"/>
      <c r="AT725" s="20"/>
      <c r="AU725" s="20"/>
      <c r="AV725" s="20"/>
    </row>
    <row r="726" spans="1:48" ht="17.25" hidden="1" customHeight="1">
      <c r="A726" s="130"/>
      <c r="B726" s="131"/>
      <c r="C726" s="131"/>
      <c r="D726" s="131"/>
      <c r="E726" s="15"/>
      <c r="F726" s="131"/>
      <c r="G726" s="132"/>
      <c r="H726" s="133"/>
      <c r="I726" s="132"/>
      <c r="J726" s="131"/>
      <c r="K726" s="132"/>
      <c r="L726" s="134"/>
      <c r="M726" s="132"/>
      <c r="N726" s="134"/>
      <c r="O726" s="132"/>
      <c r="P726" s="134"/>
      <c r="Q726" s="132"/>
      <c r="R726" s="135"/>
      <c r="S726" s="132"/>
      <c r="T726" s="134"/>
      <c r="U726" s="131"/>
      <c r="V726" s="144"/>
      <c r="W726" s="131"/>
      <c r="X726" s="131"/>
      <c r="Y726" s="137"/>
      <c r="Z726" s="134"/>
      <c r="AA726" s="134"/>
      <c r="AB726" s="138"/>
      <c r="AC726" s="20"/>
      <c r="AD726" s="20"/>
      <c r="AE726" s="20"/>
      <c r="AF726" s="20"/>
      <c r="AG726" s="20"/>
      <c r="AH726" s="20"/>
      <c r="AI726" s="20"/>
      <c r="AJ726" s="20"/>
      <c r="AK726" s="20"/>
      <c r="AL726" s="20"/>
      <c r="AM726" s="20"/>
      <c r="AN726" s="20"/>
      <c r="AO726" s="20"/>
      <c r="AP726" s="20"/>
      <c r="AQ726" s="20"/>
      <c r="AR726" s="20"/>
      <c r="AS726" s="20"/>
      <c r="AT726" s="20"/>
      <c r="AU726" s="20"/>
      <c r="AV726" s="20"/>
    </row>
    <row r="727" spans="1:48" ht="17.25" hidden="1" customHeight="1">
      <c r="A727" s="130"/>
      <c r="B727" s="131"/>
      <c r="C727" s="131"/>
      <c r="D727" s="131"/>
      <c r="E727" s="15"/>
      <c r="F727" s="131"/>
      <c r="G727" s="132"/>
      <c r="H727" s="133"/>
      <c r="I727" s="132"/>
      <c r="J727" s="133"/>
      <c r="K727" s="132"/>
      <c r="L727" s="138"/>
      <c r="M727" s="132"/>
      <c r="N727" s="134"/>
      <c r="O727" s="132"/>
      <c r="P727" s="134"/>
      <c r="Q727" s="132"/>
      <c r="R727" s="135"/>
      <c r="S727" s="132"/>
      <c r="T727" s="134"/>
      <c r="U727" s="131"/>
      <c r="V727" s="144"/>
      <c r="W727" s="131"/>
      <c r="X727" s="131"/>
      <c r="Y727" s="137"/>
      <c r="Z727" s="134"/>
      <c r="AA727" s="134"/>
      <c r="AB727" s="138"/>
      <c r="AC727" s="20"/>
      <c r="AD727" s="20"/>
      <c r="AE727" s="20"/>
      <c r="AF727" s="20"/>
      <c r="AG727" s="20"/>
      <c r="AH727" s="20"/>
      <c r="AI727" s="20"/>
      <c r="AJ727" s="20"/>
      <c r="AK727" s="20"/>
      <c r="AL727" s="20"/>
      <c r="AM727" s="20"/>
      <c r="AN727" s="20"/>
      <c r="AO727" s="20"/>
      <c r="AP727" s="20"/>
      <c r="AQ727" s="20"/>
      <c r="AR727" s="20"/>
      <c r="AS727" s="20"/>
      <c r="AT727" s="20"/>
      <c r="AU727" s="20"/>
      <c r="AV727" s="20"/>
    </row>
    <row r="728" spans="1:48" ht="17.25" hidden="1" customHeight="1">
      <c r="A728" s="130"/>
      <c r="B728" s="131"/>
      <c r="C728" s="131"/>
      <c r="D728" s="131"/>
      <c r="E728" s="15"/>
      <c r="F728" s="131"/>
      <c r="G728" s="132"/>
      <c r="H728" s="133"/>
      <c r="I728" s="132"/>
      <c r="J728" s="133"/>
      <c r="K728" s="132"/>
      <c r="L728" s="131"/>
      <c r="M728" s="132"/>
      <c r="N728" s="134"/>
      <c r="O728" s="132"/>
      <c r="P728" s="134"/>
      <c r="Q728" s="132"/>
      <c r="R728" s="135"/>
      <c r="S728" s="132"/>
      <c r="T728" s="134"/>
      <c r="U728" s="131"/>
      <c r="V728" s="143"/>
      <c r="W728" s="131"/>
      <c r="X728" s="131"/>
      <c r="Y728" s="137"/>
      <c r="Z728" s="134"/>
      <c r="AA728" s="134"/>
      <c r="AB728" s="138"/>
      <c r="AC728" s="20"/>
      <c r="AD728" s="20"/>
      <c r="AE728" s="20"/>
      <c r="AF728" s="20"/>
      <c r="AG728" s="20"/>
      <c r="AH728" s="20"/>
      <c r="AI728" s="20"/>
      <c r="AJ728" s="20"/>
      <c r="AK728" s="20"/>
      <c r="AL728" s="20"/>
      <c r="AM728" s="20"/>
      <c r="AN728" s="20"/>
      <c r="AO728" s="20"/>
      <c r="AP728" s="20"/>
      <c r="AQ728" s="20"/>
      <c r="AR728" s="20"/>
      <c r="AS728" s="20"/>
      <c r="AT728" s="20"/>
      <c r="AU728" s="20"/>
      <c r="AV728" s="20"/>
    </row>
    <row r="729" spans="1:48" ht="17.25" hidden="1" customHeight="1">
      <c r="A729" s="130"/>
      <c r="B729" s="131"/>
      <c r="C729" s="131"/>
      <c r="D729" s="131"/>
      <c r="E729" s="15"/>
      <c r="F729" s="131"/>
      <c r="G729" s="132"/>
      <c r="H729" s="133"/>
      <c r="I729" s="132"/>
      <c r="J729" s="133"/>
      <c r="K729" s="132"/>
      <c r="L729" s="131"/>
      <c r="M729" s="132"/>
      <c r="N729" s="134"/>
      <c r="O729" s="132"/>
      <c r="P729" s="134"/>
      <c r="Q729" s="132"/>
      <c r="R729" s="135"/>
      <c r="S729" s="132"/>
      <c r="T729" s="134"/>
      <c r="U729" s="131"/>
      <c r="V729" s="144"/>
      <c r="W729" s="131"/>
      <c r="X729" s="131"/>
      <c r="Y729" s="137"/>
      <c r="Z729" s="134"/>
      <c r="AA729" s="134"/>
      <c r="AB729" s="138"/>
      <c r="AC729" s="20"/>
      <c r="AD729" s="20"/>
      <c r="AE729" s="20"/>
      <c r="AF729" s="20"/>
      <c r="AG729" s="20"/>
      <c r="AH729" s="20"/>
      <c r="AI729" s="20"/>
      <c r="AJ729" s="20"/>
      <c r="AK729" s="20"/>
      <c r="AL729" s="20"/>
      <c r="AM729" s="20"/>
      <c r="AN729" s="20"/>
      <c r="AO729" s="20"/>
      <c r="AP729" s="20"/>
      <c r="AQ729" s="20"/>
      <c r="AR729" s="20"/>
      <c r="AS729" s="20"/>
      <c r="AT729" s="20"/>
      <c r="AU729" s="20"/>
      <c r="AV729" s="20"/>
    </row>
    <row r="730" spans="1:48" ht="17.25" hidden="1" customHeight="1">
      <c r="A730" s="130"/>
      <c r="B730" s="131"/>
      <c r="C730" s="131"/>
      <c r="D730" s="131"/>
      <c r="E730" s="15"/>
      <c r="F730" s="131"/>
      <c r="G730" s="132"/>
      <c r="H730" s="133"/>
      <c r="I730" s="132"/>
      <c r="J730" s="133"/>
      <c r="K730" s="132"/>
      <c r="L730" s="131"/>
      <c r="M730" s="132"/>
      <c r="N730" s="134"/>
      <c r="O730" s="132"/>
      <c r="P730" s="134"/>
      <c r="Q730" s="132"/>
      <c r="R730" s="135"/>
      <c r="S730" s="132"/>
      <c r="T730" s="134"/>
      <c r="U730" s="131"/>
      <c r="V730" s="145"/>
      <c r="W730" s="131"/>
      <c r="X730" s="131"/>
      <c r="Y730" s="137"/>
      <c r="Z730" s="134"/>
      <c r="AA730" s="134"/>
      <c r="AB730" s="138"/>
      <c r="AC730" s="20"/>
      <c r="AD730" s="20"/>
      <c r="AE730" s="20"/>
      <c r="AF730" s="20"/>
      <c r="AG730" s="20"/>
      <c r="AH730" s="20"/>
      <c r="AI730" s="20"/>
      <c r="AJ730" s="20"/>
      <c r="AK730" s="20"/>
      <c r="AL730" s="20"/>
      <c r="AM730" s="20"/>
      <c r="AN730" s="20"/>
      <c r="AO730" s="20"/>
      <c r="AP730" s="20"/>
      <c r="AQ730" s="20"/>
      <c r="AR730" s="20"/>
      <c r="AS730" s="20"/>
      <c r="AT730" s="20"/>
      <c r="AU730" s="20"/>
      <c r="AV730" s="20"/>
    </row>
    <row r="731" spans="1:48" ht="17.25" hidden="1" customHeight="1">
      <c r="A731" s="130"/>
      <c r="B731" s="131"/>
      <c r="C731" s="131"/>
      <c r="D731" s="131"/>
      <c r="E731" s="15"/>
      <c r="F731" s="131"/>
      <c r="G731" s="132"/>
      <c r="H731" s="133"/>
      <c r="I731" s="132"/>
      <c r="J731" s="133"/>
      <c r="K731" s="132"/>
      <c r="L731" s="133"/>
      <c r="M731" s="132"/>
      <c r="N731" s="134"/>
      <c r="O731" s="132"/>
      <c r="P731" s="134"/>
      <c r="Q731" s="132"/>
      <c r="R731" s="135"/>
      <c r="S731" s="132"/>
      <c r="T731" s="134"/>
      <c r="U731" s="131"/>
      <c r="V731" s="145"/>
      <c r="W731" s="131"/>
      <c r="X731" s="131"/>
      <c r="Y731" s="137"/>
      <c r="Z731" s="134"/>
      <c r="AA731" s="134"/>
      <c r="AB731" s="138"/>
      <c r="AC731" s="20"/>
      <c r="AD731" s="20"/>
      <c r="AE731" s="20"/>
      <c r="AF731" s="20"/>
      <c r="AG731" s="20"/>
      <c r="AH731" s="20"/>
      <c r="AI731" s="20"/>
      <c r="AJ731" s="20"/>
      <c r="AK731" s="20"/>
      <c r="AL731" s="20"/>
      <c r="AM731" s="20"/>
      <c r="AN731" s="20"/>
      <c r="AO731" s="20"/>
      <c r="AP731" s="20"/>
      <c r="AQ731" s="20"/>
      <c r="AR731" s="20"/>
      <c r="AS731" s="20"/>
      <c r="AT731" s="20"/>
      <c r="AU731" s="20"/>
      <c r="AV731" s="20"/>
    </row>
    <row r="732" spans="1:48" ht="17.25" hidden="1" customHeight="1">
      <c r="A732" s="130"/>
      <c r="B732" s="131"/>
      <c r="C732" s="131"/>
      <c r="D732" s="131"/>
      <c r="E732" s="15"/>
      <c r="F732" s="131"/>
      <c r="G732" s="132"/>
      <c r="H732" s="133"/>
      <c r="I732" s="132"/>
      <c r="J732" s="133"/>
      <c r="K732" s="132"/>
      <c r="L732" s="131"/>
      <c r="M732" s="132"/>
      <c r="N732" s="134"/>
      <c r="O732" s="132"/>
      <c r="P732" s="134"/>
      <c r="Q732" s="132"/>
      <c r="R732" s="135"/>
      <c r="S732" s="132"/>
      <c r="T732" s="134"/>
      <c r="U732" s="131"/>
      <c r="V732" s="145"/>
      <c r="W732" s="131"/>
      <c r="X732" s="131"/>
      <c r="Y732" s="137"/>
      <c r="Z732" s="134"/>
      <c r="AA732" s="134"/>
      <c r="AB732" s="138"/>
      <c r="AC732" s="20"/>
      <c r="AD732" s="20"/>
      <c r="AE732" s="20"/>
      <c r="AF732" s="20"/>
      <c r="AG732" s="20"/>
      <c r="AH732" s="20"/>
      <c r="AI732" s="20"/>
      <c r="AJ732" s="20"/>
      <c r="AK732" s="20"/>
      <c r="AL732" s="20"/>
      <c r="AM732" s="20"/>
      <c r="AN732" s="20"/>
      <c r="AO732" s="20"/>
      <c r="AP732" s="20"/>
      <c r="AQ732" s="20"/>
      <c r="AR732" s="20"/>
      <c r="AS732" s="20"/>
      <c r="AT732" s="20"/>
      <c r="AU732" s="20"/>
      <c r="AV732" s="20"/>
    </row>
    <row r="733" spans="1:48" ht="17.25" hidden="1" customHeight="1">
      <c r="A733" s="130"/>
      <c r="B733" s="131"/>
      <c r="C733" s="131"/>
      <c r="D733" s="131"/>
      <c r="E733" s="15"/>
      <c r="F733" s="131"/>
      <c r="G733" s="132"/>
      <c r="H733" s="133"/>
      <c r="I733" s="132"/>
      <c r="J733" s="133"/>
      <c r="K733" s="132"/>
      <c r="L733" s="133"/>
      <c r="M733" s="132"/>
      <c r="N733" s="134"/>
      <c r="O733" s="132"/>
      <c r="P733" s="134"/>
      <c r="Q733" s="132"/>
      <c r="R733" s="135"/>
      <c r="S733" s="132"/>
      <c r="T733" s="134"/>
      <c r="U733" s="131"/>
      <c r="V733" s="145"/>
      <c r="W733" s="131"/>
      <c r="X733" s="131"/>
      <c r="Y733" s="137"/>
      <c r="Z733" s="134"/>
      <c r="AA733" s="134"/>
      <c r="AB733" s="138"/>
      <c r="AC733" s="20"/>
      <c r="AD733" s="20"/>
      <c r="AE733" s="20"/>
      <c r="AF733" s="20"/>
      <c r="AG733" s="20"/>
      <c r="AH733" s="20"/>
      <c r="AI733" s="20"/>
      <c r="AJ733" s="20"/>
      <c r="AK733" s="20"/>
      <c r="AL733" s="20"/>
      <c r="AM733" s="20"/>
      <c r="AN733" s="20"/>
      <c r="AO733" s="20"/>
      <c r="AP733" s="20"/>
      <c r="AQ733" s="20"/>
      <c r="AR733" s="20"/>
      <c r="AS733" s="20"/>
      <c r="AT733" s="20"/>
      <c r="AU733" s="20"/>
      <c r="AV733" s="20"/>
    </row>
    <row r="734" spans="1:48" ht="17.25" hidden="1" customHeight="1">
      <c r="A734" s="130"/>
      <c r="B734" s="131"/>
      <c r="C734" s="131"/>
      <c r="D734" s="131"/>
      <c r="E734" s="15"/>
      <c r="F734" s="131"/>
      <c r="G734" s="132"/>
      <c r="H734" s="133"/>
      <c r="I734" s="132"/>
      <c r="J734" s="133"/>
      <c r="K734" s="132"/>
      <c r="L734" s="131"/>
      <c r="M734" s="132"/>
      <c r="N734" s="134"/>
      <c r="O734" s="132"/>
      <c r="P734" s="134"/>
      <c r="Q734" s="132"/>
      <c r="R734" s="135"/>
      <c r="S734" s="132"/>
      <c r="T734" s="134"/>
      <c r="U734" s="131"/>
      <c r="V734" s="145"/>
      <c r="W734" s="131"/>
      <c r="X734" s="131"/>
      <c r="Y734" s="137"/>
      <c r="Z734" s="134"/>
      <c r="AA734" s="134"/>
      <c r="AB734" s="138"/>
      <c r="AC734" s="20"/>
      <c r="AD734" s="20"/>
      <c r="AE734" s="20"/>
      <c r="AF734" s="20"/>
      <c r="AG734" s="20"/>
      <c r="AH734" s="20"/>
      <c r="AI734" s="20"/>
      <c r="AJ734" s="20"/>
      <c r="AK734" s="20"/>
      <c r="AL734" s="20"/>
      <c r="AM734" s="20"/>
      <c r="AN734" s="20"/>
      <c r="AO734" s="20"/>
      <c r="AP734" s="20"/>
      <c r="AQ734" s="20"/>
      <c r="AR734" s="20"/>
      <c r="AS734" s="20"/>
      <c r="AT734" s="20"/>
      <c r="AU734" s="20"/>
      <c r="AV734" s="20"/>
    </row>
    <row r="735" spans="1:48" ht="17.25" hidden="1" customHeight="1">
      <c r="A735" s="130"/>
      <c r="B735" s="131"/>
      <c r="C735" s="131"/>
      <c r="D735" s="131"/>
      <c r="E735" s="15"/>
      <c r="F735" s="131"/>
      <c r="G735" s="132"/>
      <c r="H735" s="133"/>
      <c r="I735" s="132"/>
      <c r="J735" s="133"/>
      <c r="K735" s="132"/>
      <c r="L735" s="131"/>
      <c r="M735" s="132"/>
      <c r="N735" s="134"/>
      <c r="O735" s="132"/>
      <c r="P735" s="134"/>
      <c r="Q735" s="132"/>
      <c r="R735" s="135"/>
      <c r="S735" s="132"/>
      <c r="T735" s="134"/>
      <c r="U735" s="131"/>
      <c r="V735" s="145"/>
      <c r="W735" s="131"/>
      <c r="X735" s="131"/>
      <c r="Y735" s="137"/>
      <c r="Z735" s="134"/>
      <c r="AA735" s="134"/>
      <c r="AB735" s="138"/>
      <c r="AC735" s="20"/>
      <c r="AD735" s="20"/>
      <c r="AE735" s="20"/>
      <c r="AF735" s="20"/>
      <c r="AG735" s="20"/>
      <c r="AH735" s="20"/>
      <c r="AI735" s="20"/>
      <c r="AJ735" s="20"/>
      <c r="AK735" s="20"/>
      <c r="AL735" s="20"/>
      <c r="AM735" s="20"/>
      <c r="AN735" s="20"/>
      <c r="AO735" s="20"/>
      <c r="AP735" s="20"/>
      <c r="AQ735" s="20"/>
      <c r="AR735" s="20"/>
      <c r="AS735" s="20"/>
      <c r="AT735" s="20"/>
      <c r="AU735" s="20"/>
      <c r="AV735" s="20"/>
    </row>
    <row r="736" spans="1:48" ht="17.25" hidden="1" customHeight="1">
      <c r="A736" s="130"/>
      <c r="B736" s="131"/>
      <c r="C736" s="131"/>
      <c r="D736" s="131"/>
      <c r="E736" s="15"/>
      <c r="F736" s="131"/>
      <c r="G736" s="132"/>
      <c r="H736" s="133"/>
      <c r="I736" s="132"/>
      <c r="J736" s="133"/>
      <c r="K736" s="132"/>
      <c r="L736" s="131"/>
      <c r="M736" s="132"/>
      <c r="N736" s="134"/>
      <c r="O736" s="132"/>
      <c r="P736" s="134"/>
      <c r="Q736" s="132"/>
      <c r="R736" s="135"/>
      <c r="S736" s="132"/>
      <c r="T736" s="134"/>
      <c r="U736" s="131"/>
      <c r="V736" s="145"/>
      <c r="W736" s="131"/>
      <c r="X736" s="131"/>
      <c r="Y736" s="137"/>
      <c r="Z736" s="134"/>
      <c r="AA736" s="134"/>
      <c r="AB736" s="138"/>
      <c r="AC736" s="20"/>
      <c r="AD736" s="20"/>
      <c r="AE736" s="20"/>
      <c r="AF736" s="20"/>
      <c r="AG736" s="20"/>
      <c r="AH736" s="20"/>
      <c r="AI736" s="20"/>
      <c r="AJ736" s="20"/>
      <c r="AK736" s="20"/>
      <c r="AL736" s="20"/>
      <c r="AM736" s="20"/>
      <c r="AN736" s="20"/>
      <c r="AO736" s="20"/>
      <c r="AP736" s="20"/>
      <c r="AQ736" s="20"/>
      <c r="AR736" s="20"/>
      <c r="AS736" s="20"/>
      <c r="AT736" s="20"/>
      <c r="AU736" s="20"/>
      <c r="AV736" s="20"/>
    </row>
    <row r="737" spans="1:48" ht="17.25" hidden="1" customHeight="1">
      <c r="A737" s="130"/>
      <c r="B737" s="131"/>
      <c r="C737" s="131"/>
      <c r="D737" s="131"/>
      <c r="E737" s="15"/>
      <c r="F737" s="131"/>
      <c r="G737" s="132"/>
      <c r="H737" s="133"/>
      <c r="I737" s="132"/>
      <c r="J737" s="133"/>
      <c r="K737" s="132"/>
      <c r="L737" s="133"/>
      <c r="M737" s="132"/>
      <c r="N737" s="134"/>
      <c r="O737" s="132"/>
      <c r="P737" s="134"/>
      <c r="Q737" s="132"/>
      <c r="R737" s="135"/>
      <c r="S737" s="132"/>
      <c r="T737" s="134"/>
      <c r="U737" s="131"/>
      <c r="V737" s="155"/>
      <c r="W737" s="131"/>
      <c r="X737" s="131"/>
      <c r="Y737" s="137"/>
      <c r="Z737" s="134"/>
      <c r="AA737" s="134"/>
      <c r="AB737" s="138"/>
      <c r="AC737" s="20"/>
      <c r="AD737" s="20"/>
      <c r="AE737" s="20"/>
      <c r="AF737" s="20"/>
      <c r="AG737" s="20"/>
      <c r="AH737" s="20"/>
      <c r="AI737" s="20"/>
      <c r="AJ737" s="20"/>
      <c r="AK737" s="20"/>
      <c r="AL737" s="20"/>
      <c r="AM737" s="20"/>
      <c r="AN737" s="20"/>
      <c r="AO737" s="20"/>
      <c r="AP737" s="20"/>
      <c r="AQ737" s="20"/>
      <c r="AR737" s="20"/>
      <c r="AS737" s="20"/>
      <c r="AT737" s="20"/>
      <c r="AU737" s="20"/>
      <c r="AV737" s="20"/>
    </row>
    <row r="738" spans="1:48" ht="17.25" hidden="1" customHeight="1">
      <c r="A738" s="130"/>
      <c r="B738" s="131"/>
      <c r="C738" s="131"/>
      <c r="D738" s="131"/>
      <c r="E738" s="15"/>
      <c r="F738" s="131"/>
      <c r="G738" s="132"/>
      <c r="H738" s="133"/>
      <c r="I738" s="132"/>
      <c r="J738" s="133"/>
      <c r="K738" s="132"/>
      <c r="L738" s="133"/>
      <c r="M738" s="132"/>
      <c r="N738" s="134"/>
      <c r="O738" s="132"/>
      <c r="P738" s="134"/>
      <c r="Q738" s="132"/>
      <c r="R738" s="135"/>
      <c r="S738" s="132"/>
      <c r="T738" s="134"/>
      <c r="U738" s="131"/>
      <c r="V738" s="156"/>
      <c r="W738" s="131"/>
      <c r="X738" s="131"/>
      <c r="Y738" s="137"/>
      <c r="Z738" s="134"/>
      <c r="AA738" s="134"/>
      <c r="AB738" s="138"/>
      <c r="AC738" s="20"/>
      <c r="AD738" s="20"/>
      <c r="AE738" s="20"/>
      <c r="AF738" s="20"/>
      <c r="AG738" s="20"/>
      <c r="AH738" s="20"/>
      <c r="AI738" s="20"/>
      <c r="AJ738" s="20"/>
      <c r="AK738" s="20"/>
      <c r="AL738" s="20"/>
      <c r="AM738" s="20"/>
      <c r="AN738" s="20"/>
      <c r="AO738" s="20"/>
      <c r="AP738" s="20"/>
      <c r="AQ738" s="20"/>
      <c r="AR738" s="20"/>
      <c r="AS738" s="20"/>
      <c r="AT738" s="20"/>
      <c r="AU738" s="20"/>
      <c r="AV738" s="20"/>
    </row>
    <row r="739" spans="1:48" ht="17.25" hidden="1" customHeight="1">
      <c r="A739" s="130"/>
      <c r="B739" s="131"/>
      <c r="C739" s="131"/>
      <c r="D739" s="131"/>
      <c r="E739" s="15"/>
      <c r="F739" s="131"/>
      <c r="G739" s="132"/>
      <c r="H739" s="133"/>
      <c r="I739" s="132"/>
      <c r="J739" s="133"/>
      <c r="K739" s="132"/>
      <c r="L739" s="133"/>
      <c r="M739" s="132"/>
      <c r="N739" s="134"/>
      <c r="O739" s="132"/>
      <c r="P739" s="134"/>
      <c r="Q739" s="132"/>
      <c r="R739" s="135"/>
      <c r="S739" s="132"/>
      <c r="T739" s="134"/>
      <c r="U739" s="131"/>
      <c r="V739" s="148"/>
      <c r="W739" s="131"/>
      <c r="X739" s="131"/>
      <c r="Y739" s="137"/>
      <c r="Z739" s="134"/>
      <c r="AA739" s="134"/>
      <c r="AB739" s="138"/>
      <c r="AC739" s="20"/>
      <c r="AD739" s="20"/>
      <c r="AE739" s="20"/>
      <c r="AF739" s="20"/>
      <c r="AG739" s="20"/>
      <c r="AH739" s="20"/>
      <c r="AI739" s="20"/>
      <c r="AJ739" s="20"/>
      <c r="AK739" s="20"/>
      <c r="AL739" s="20"/>
      <c r="AM739" s="20"/>
      <c r="AN739" s="20"/>
      <c r="AO739" s="20"/>
      <c r="AP739" s="20"/>
      <c r="AQ739" s="20"/>
      <c r="AR739" s="20"/>
      <c r="AS739" s="20"/>
      <c r="AT739" s="20"/>
      <c r="AU739" s="20"/>
      <c r="AV739" s="20"/>
    </row>
    <row r="740" spans="1:48" ht="17.25" hidden="1" customHeight="1">
      <c r="A740" s="130"/>
      <c r="B740" s="131"/>
      <c r="C740" s="131"/>
      <c r="D740" s="131"/>
      <c r="E740" s="15"/>
      <c r="F740" s="131"/>
      <c r="G740" s="132"/>
      <c r="H740" s="133"/>
      <c r="I740" s="132"/>
      <c r="J740" s="133"/>
      <c r="K740" s="132"/>
      <c r="L740" s="133"/>
      <c r="M740" s="132"/>
      <c r="N740" s="134"/>
      <c r="O740" s="132"/>
      <c r="P740" s="134"/>
      <c r="Q740" s="132"/>
      <c r="R740" s="135"/>
      <c r="S740" s="132"/>
      <c r="T740" s="134"/>
      <c r="U740" s="131"/>
      <c r="V740" s="148"/>
      <c r="W740" s="131"/>
      <c r="X740" s="131"/>
      <c r="Y740" s="137"/>
      <c r="Z740" s="134"/>
      <c r="AA740" s="134"/>
      <c r="AB740" s="138"/>
      <c r="AC740" s="20"/>
      <c r="AD740" s="20"/>
      <c r="AE740" s="20"/>
      <c r="AF740" s="20"/>
      <c r="AG740" s="20"/>
      <c r="AH740" s="20"/>
      <c r="AI740" s="20"/>
      <c r="AJ740" s="20"/>
      <c r="AK740" s="20"/>
      <c r="AL740" s="20"/>
      <c r="AM740" s="20"/>
      <c r="AN740" s="20"/>
      <c r="AO740" s="20"/>
      <c r="AP740" s="20"/>
      <c r="AQ740" s="20"/>
      <c r="AR740" s="20"/>
      <c r="AS740" s="20"/>
      <c r="AT740" s="20"/>
      <c r="AU740" s="20"/>
      <c r="AV740" s="20"/>
    </row>
    <row r="741" spans="1:48" ht="17.25" hidden="1" customHeight="1">
      <c r="A741" s="130"/>
      <c r="B741" s="131"/>
      <c r="C741" s="131"/>
      <c r="D741" s="131"/>
      <c r="E741" s="15"/>
      <c r="F741" s="131"/>
      <c r="G741" s="132"/>
      <c r="H741" s="133"/>
      <c r="I741" s="132"/>
      <c r="J741" s="133"/>
      <c r="K741" s="132"/>
      <c r="L741" s="133"/>
      <c r="M741" s="132"/>
      <c r="N741" s="134"/>
      <c r="O741" s="132"/>
      <c r="P741" s="134"/>
      <c r="Q741" s="132"/>
      <c r="R741" s="135"/>
      <c r="S741" s="132"/>
      <c r="T741" s="134"/>
      <c r="U741" s="131"/>
      <c r="V741" s="148"/>
      <c r="W741" s="131"/>
      <c r="X741" s="131"/>
      <c r="Y741" s="137"/>
      <c r="Z741" s="134"/>
      <c r="AA741" s="134"/>
      <c r="AB741" s="138"/>
      <c r="AC741" s="20"/>
      <c r="AD741" s="20"/>
      <c r="AE741" s="20"/>
      <c r="AF741" s="20"/>
      <c r="AG741" s="20"/>
      <c r="AH741" s="20"/>
      <c r="AI741" s="20"/>
      <c r="AJ741" s="20"/>
      <c r="AK741" s="20"/>
      <c r="AL741" s="20"/>
      <c r="AM741" s="20"/>
      <c r="AN741" s="20"/>
      <c r="AO741" s="20"/>
      <c r="AP741" s="20"/>
      <c r="AQ741" s="20"/>
      <c r="AR741" s="20"/>
      <c r="AS741" s="20"/>
      <c r="AT741" s="20"/>
      <c r="AU741" s="20"/>
      <c r="AV741" s="20"/>
    </row>
    <row r="742" spans="1:48" ht="17.25" hidden="1" customHeight="1">
      <c r="A742" s="130"/>
      <c r="B742" s="131"/>
      <c r="C742" s="131"/>
      <c r="D742" s="131"/>
      <c r="E742" s="15"/>
      <c r="F742" s="131"/>
      <c r="G742" s="132"/>
      <c r="H742" s="133"/>
      <c r="I742" s="132"/>
      <c r="J742" s="133"/>
      <c r="K742" s="132"/>
      <c r="L742" s="133"/>
      <c r="M742" s="132"/>
      <c r="N742" s="134"/>
      <c r="O742" s="132"/>
      <c r="P742" s="134"/>
      <c r="Q742" s="132"/>
      <c r="R742" s="135"/>
      <c r="S742" s="132"/>
      <c r="T742" s="134"/>
      <c r="U742" s="131"/>
      <c r="V742" s="148"/>
      <c r="W742" s="131"/>
      <c r="X742" s="131"/>
      <c r="Y742" s="137"/>
      <c r="Z742" s="134"/>
      <c r="AA742" s="134"/>
      <c r="AB742" s="138"/>
      <c r="AC742" s="20"/>
      <c r="AD742" s="20"/>
      <c r="AE742" s="20"/>
      <c r="AF742" s="20"/>
      <c r="AG742" s="20"/>
      <c r="AH742" s="20"/>
      <c r="AI742" s="20"/>
      <c r="AJ742" s="20"/>
      <c r="AK742" s="20"/>
      <c r="AL742" s="20"/>
      <c r="AM742" s="20"/>
      <c r="AN742" s="20"/>
      <c r="AO742" s="20"/>
      <c r="AP742" s="20"/>
      <c r="AQ742" s="20"/>
      <c r="AR742" s="20"/>
      <c r="AS742" s="20"/>
      <c r="AT742" s="20"/>
      <c r="AU742" s="20"/>
      <c r="AV742" s="20"/>
    </row>
    <row r="743" spans="1:48" ht="17.25" hidden="1" customHeight="1">
      <c r="A743" s="130"/>
      <c r="B743" s="131"/>
      <c r="C743" s="131"/>
      <c r="D743" s="131"/>
      <c r="E743" s="15"/>
      <c r="F743" s="131"/>
      <c r="G743" s="132"/>
      <c r="H743" s="133"/>
      <c r="I743" s="132"/>
      <c r="J743" s="133"/>
      <c r="K743" s="132"/>
      <c r="L743" s="133"/>
      <c r="M743" s="132"/>
      <c r="N743" s="134"/>
      <c r="O743" s="132"/>
      <c r="P743" s="134"/>
      <c r="Q743" s="132"/>
      <c r="R743" s="135"/>
      <c r="S743" s="132"/>
      <c r="T743" s="134"/>
      <c r="U743" s="131"/>
      <c r="V743" s="148"/>
      <c r="W743" s="131"/>
      <c r="X743" s="131"/>
      <c r="Y743" s="137"/>
      <c r="Z743" s="134"/>
      <c r="AA743" s="134"/>
      <c r="AB743" s="138"/>
      <c r="AC743" s="20"/>
      <c r="AD743" s="20"/>
      <c r="AE743" s="20"/>
      <c r="AF743" s="20"/>
      <c r="AG743" s="20"/>
      <c r="AH743" s="20"/>
      <c r="AI743" s="20"/>
      <c r="AJ743" s="20"/>
      <c r="AK743" s="20"/>
      <c r="AL743" s="20"/>
      <c r="AM743" s="20"/>
      <c r="AN743" s="20"/>
      <c r="AO743" s="20"/>
      <c r="AP743" s="20"/>
      <c r="AQ743" s="20"/>
      <c r="AR743" s="20"/>
      <c r="AS743" s="20"/>
      <c r="AT743" s="20"/>
      <c r="AU743" s="20"/>
      <c r="AV743" s="20"/>
    </row>
    <row r="744" spans="1:48" ht="17.25" hidden="1" customHeight="1">
      <c r="A744" s="130"/>
      <c r="B744" s="131"/>
      <c r="C744" s="131"/>
      <c r="D744" s="131"/>
      <c r="E744" s="15"/>
      <c r="F744" s="131"/>
      <c r="G744" s="132"/>
      <c r="H744" s="133"/>
      <c r="I744" s="132"/>
      <c r="J744" s="133"/>
      <c r="K744" s="132"/>
      <c r="L744" s="133"/>
      <c r="M744" s="132"/>
      <c r="N744" s="134"/>
      <c r="O744" s="132"/>
      <c r="P744" s="134"/>
      <c r="Q744" s="132"/>
      <c r="R744" s="135"/>
      <c r="S744" s="132"/>
      <c r="T744" s="134"/>
      <c r="U744" s="131"/>
      <c r="V744" s="148"/>
      <c r="W744" s="131"/>
      <c r="X744" s="131"/>
      <c r="Y744" s="137"/>
      <c r="Z744" s="134"/>
      <c r="AA744" s="134"/>
      <c r="AB744" s="138"/>
      <c r="AC744" s="20"/>
      <c r="AD744" s="20"/>
      <c r="AE744" s="20"/>
      <c r="AF744" s="20"/>
      <c r="AG744" s="20"/>
      <c r="AH744" s="20"/>
      <c r="AI744" s="20"/>
      <c r="AJ744" s="20"/>
      <c r="AK744" s="20"/>
      <c r="AL744" s="20"/>
      <c r="AM744" s="20"/>
      <c r="AN744" s="20"/>
      <c r="AO744" s="20"/>
      <c r="AP744" s="20"/>
      <c r="AQ744" s="20"/>
      <c r="AR744" s="20"/>
      <c r="AS744" s="20"/>
      <c r="AT744" s="20"/>
      <c r="AU744" s="20"/>
      <c r="AV744" s="20"/>
    </row>
    <row r="745" spans="1:48" ht="17.25" hidden="1" customHeight="1">
      <c r="A745" s="130"/>
      <c r="B745" s="131"/>
      <c r="C745" s="131"/>
      <c r="D745" s="131"/>
      <c r="E745" s="15"/>
      <c r="F745" s="131"/>
      <c r="G745" s="132"/>
      <c r="H745" s="133"/>
      <c r="I745" s="132"/>
      <c r="J745" s="133"/>
      <c r="K745" s="132"/>
      <c r="L745" s="133"/>
      <c r="M745" s="132"/>
      <c r="N745" s="134"/>
      <c r="O745" s="132"/>
      <c r="P745" s="134"/>
      <c r="Q745" s="132"/>
      <c r="R745" s="135"/>
      <c r="S745" s="132"/>
      <c r="T745" s="134"/>
      <c r="U745" s="131"/>
      <c r="V745" s="148"/>
      <c r="W745" s="131"/>
      <c r="X745" s="131"/>
      <c r="Y745" s="137"/>
      <c r="Z745" s="134"/>
      <c r="AA745" s="134"/>
      <c r="AB745" s="138"/>
      <c r="AC745" s="20"/>
      <c r="AD745" s="20"/>
      <c r="AE745" s="20"/>
      <c r="AF745" s="20"/>
      <c r="AG745" s="20"/>
      <c r="AH745" s="20"/>
      <c r="AI745" s="20"/>
      <c r="AJ745" s="20"/>
      <c r="AK745" s="20"/>
      <c r="AL745" s="20"/>
      <c r="AM745" s="20"/>
      <c r="AN745" s="20"/>
      <c r="AO745" s="20"/>
      <c r="AP745" s="20"/>
      <c r="AQ745" s="20"/>
      <c r="AR745" s="20"/>
      <c r="AS745" s="20"/>
      <c r="AT745" s="20"/>
      <c r="AU745" s="20"/>
      <c r="AV745" s="20"/>
    </row>
    <row r="746" spans="1:48" ht="17.25" hidden="1" customHeight="1">
      <c r="A746" s="130"/>
      <c r="B746" s="131"/>
      <c r="C746" s="131"/>
      <c r="D746" s="131"/>
      <c r="E746" s="15"/>
      <c r="F746" s="131"/>
      <c r="G746" s="132"/>
      <c r="H746" s="133"/>
      <c r="I746" s="132"/>
      <c r="J746" s="133"/>
      <c r="K746" s="132"/>
      <c r="L746" s="133"/>
      <c r="M746" s="132"/>
      <c r="N746" s="134"/>
      <c r="O746" s="132"/>
      <c r="P746" s="134"/>
      <c r="Q746" s="132"/>
      <c r="R746" s="135"/>
      <c r="S746" s="132"/>
      <c r="T746" s="134"/>
      <c r="U746" s="131"/>
      <c r="V746" s="149"/>
      <c r="W746" s="131"/>
      <c r="X746" s="131"/>
      <c r="Y746" s="137"/>
      <c r="Z746" s="134"/>
      <c r="AA746" s="134"/>
      <c r="AB746" s="138"/>
      <c r="AC746" s="20"/>
      <c r="AD746" s="20"/>
      <c r="AE746" s="20"/>
      <c r="AF746" s="20"/>
      <c r="AG746" s="20"/>
      <c r="AH746" s="20"/>
      <c r="AI746" s="20"/>
      <c r="AJ746" s="20"/>
      <c r="AK746" s="20"/>
      <c r="AL746" s="20"/>
      <c r="AM746" s="20"/>
      <c r="AN746" s="20"/>
      <c r="AO746" s="20"/>
      <c r="AP746" s="20"/>
      <c r="AQ746" s="20"/>
      <c r="AR746" s="20"/>
      <c r="AS746" s="20"/>
      <c r="AT746" s="20"/>
      <c r="AU746" s="20"/>
      <c r="AV746" s="20"/>
    </row>
    <row r="747" spans="1:48" ht="17.25" hidden="1" customHeight="1">
      <c r="A747" s="130"/>
      <c r="B747" s="131"/>
      <c r="C747" s="131"/>
      <c r="D747" s="131"/>
      <c r="E747" s="15"/>
      <c r="F747" s="131"/>
      <c r="G747" s="132"/>
      <c r="H747" s="133"/>
      <c r="I747" s="132"/>
      <c r="J747" s="133"/>
      <c r="K747" s="132"/>
      <c r="L747" s="133"/>
      <c r="M747" s="132"/>
      <c r="N747" s="134"/>
      <c r="O747" s="132"/>
      <c r="P747" s="134"/>
      <c r="Q747" s="132"/>
      <c r="R747" s="135"/>
      <c r="S747" s="132"/>
      <c r="T747" s="134"/>
      <c r="U747" s="131"/>
      <c r="V747" s="150"/>
      <c r="W747" s="131"/>
      <c r="X747" s="131"/>
      <c r="Y747" s="137"/>
      <c r="Z747" s="134"/>
      <c r="AA747" s="134"/>
      <c r="AB747" s="138"/>
      <c r="AC747" s="20"/>
      <c r="AD747" s="20"/>
      <c r="AE747" s="20"/>
      <c r="AF747" s="20"/>
      <c r="AG747" s="20"/>
      <c r="AH747" s="20"/>
      <c r="AI747" s="20"/>
      <c r="AJ747" s="20"/>
      <c r="AK747" s="20"/>
      <c r="AL747" s="20"/>
      <c r="AM747" s="20"/>
      <c r="AN747" s="20"/>
      <c r="AO747" s="20"/>
      <c r="AP747" s="20"/>
      <c r="AQ747" s="20"/>
      <c r="AR747" s="20"/>
      <c r="AS747" s="20"/>
      <c r="AT747" s="20"/>
      <c r="AU747" s="20"/>
      <c r="AV747" s="20"/>
    </row>
    <row r="748" spans="1:48" ht="17.25" hidden="1" customHeight="1">
      <c r="A748" s="130"/>
      <c r="B748" s="131"/>
      <c r="C748" s="131"/>
      <c r="D748" s="131"/>
      <c r="E748" s="15"/>
      <c r="F748" s="131"/>
      <c r="G748" s="132"/>
      <c r="H748" s="133"/>
      <c r="I748" s="132"/>
      <c r="J748" s="133"/>
      <c r="K748" s="132"/>
      <c r="L748" s="133"/>
      <c r="M748" s="132"/>
      <c r="N748" s="134"/>
      <c r="O748" s="132"/>
      <c r="P748" s="134"/>
      <c r="Q748" s="132"/>
      <c r="R748" s="135"/>
      <c r="S748" s="132"/>
      <c r="T748" s="134"/>
      <c r="U748" s="131"/>
      <c r="V748" s="136"/>
      <c r="W748" s="131"/>
      <c r="X748" s="131"/>
      <c r="Y748" s="137"/>
      <c r="Z748" s="134"/>
      <c r="AA748" s="134"/>
      <c r="AB748" s="138"/>
      <c r="AC748" s="20"/>
      <c r="AD748" s="20"/>
      <c r="AE748" s="20"/>
      <c r="AF748" s="20"/>
      <c r="AG748" s="20"/>
      <c r="AH748" s="20"/>
      <c r="AI748" s="20"/>
      <c r="AJ748" s="20"/>
      <c r="AK748" s="20"/>
      <c r="AL748" s="20"/>
      <c r="AM748" s="20"/>
      <c r="AN748" s="20"/>
      <c r="AO748" s="20"/>
      <c r="AP748" s="20"/>
      <c r="AQ748" s="20"/>
      <c r="AR748" s="20"/>
      <c r="AS748" s="20"/>
      <c r="AT748" s="20"/>
      <c r="AU748" s="20"/>
      <c r="AV748" s="20"/>
    </row>
    <row r="749" spans="1:48" ht="17.25" hidden="1" customHeight="1">
      <c r="A749" s="130"/>
      <c r="B749" s="131"/>
      <c r="C749" s="131"/>
      <c r="D749" s="131"/>
      <c r="E749" s="15"/>
      <c r="F749" s="131"/>
      <c r="G749" s="132"/>
      <c r="H749" s="133"/>
      <c r="I749" s="132"/>
      <c r="J749" s="133"/>
      <c r="K749" s="132"/>
      <c r="L749" s="133"/>
      <c r="M749" s="132"/>
      <c r="N749" s="134"/>
      <c r="O749" s="132"/>
      <c r="P749" s="134"/>
      <c r="Q749" s="132"/>
      <c r="R749" s="135"/>
      <c r="S749" s="132"/>
      <c r="T749" s="134"/>
      <c r="U749" s="131"/>
      <c r="V749" s="136"/>
      <c r="W749" s="131"/>
      <c r="X749" s="131"/>
      <c r="Y749" s="137"/>
      <c r="Z749" s="134"/>
      <c r="AA749" s="134"/>
      <c r="AB749" s="138"/>
      <c r="AC749" s="20"/>
      <c r="AD749" s="20"/>
      <c r="AE749" s="20"/>
      <c r="AF749" s="20"/>
      <c r="AG749" s="20"/>
      <c r="AH749" s="20"/>
      <c r="AI749" s="20"/>
      <c r="AJ749" s="20"/>
      <c r="AK749" s="20"/>
      <c r="AL749" s="20"/>
      <c r="AM749" s="20"/>
      <c r="AN749" s="20"/>
      <c r="AO749" s="20"/>
      <c r="AP749" s="20"/>
      <c r="AQ749" s="20"/>
      <c r="AR749" s="20"/>
      <c r="AS749" s="20"/>
      <c r="AT749" s="20"/>
      <c r="AU749" s="20"/>
      <c r="AV749" s="20"/>
    </row>
    <row r="750" spans="1:48" ht="17.25" hidden="1" customHeight="1">
      <c r="A750" s="130"/>
      <c r="B750" s="131"/>
      <c r="C750" s="131"/>
      <c r="D750" s="131"/>
      <c r="E750" s="15"/>
      <c r="F750" s="131"/>
      <c r="G750" s="132"/>
      <c r="H750" s="133"/>
      <c r="I750" s="132"/>
      <c r="J750" s="133"/>
      <c r="K750" s="132"/>
      <c r="L750" s="133"/>
      <c r="M750" s="132"/>
      <c r="N750" s="134"/>
      <c r="O750" s="132"/>
      <c r="P750" s="134"/>
      <c r="Q750" s="132"/>
      <c r="R750" s="135"/>
      <c r="S750" s="132"/>
      <c r="T750" s="134"/>
      <c r="U750" s="131"/>
      <c r="V750" s="136"/>
      <c r="W750" s="131"/>
      <c r="X750" s="131"/>
      <c r="Y750" s="137"/>
      <c r="Z750" s="134"/>
      <c r="AA750" s="134"/>
      <c r="AB750" s="138"/>
      <c r="AC750" s="20"/>
      <c r="AD750" s="20"/>
      <c r="AE750" s="20"/>
      <c r="AF750" s="20"/>
      <c r="AG750" s="20"/>
      <c r="AH750" s="20"/>
      <c r="AI750" s="20"/>
      <c r="AJ750" s="20"/>
      <c r="AK750" s="20"/>
      <c r="AL750" s="20"/>
      <c r="AM750" s="20"/>
      <c r="AN750" s="20"/>
      <c r="AO750" s="20"/>
      <c r="AP750" s="20"/>
      <c r="AQ750" s="20"/>
      <c r="AR750" s="20"/>
      <c r="AS750" s="20"/>
      <c r="AT750" s="20"/>
      <c r="AU750" s="20"/>
      <c r="AV750" s="20"/>
    </row>
    <row r="751" spans="1:48" ht="17.25" hidden="1" customHeight="1">
      <c r="A751" s="130"/>
      <c r="B751" s="131"/>
      <c r="C751" s="131"/>
      <c r="D751" s="131"/>
      <c r="E751" s="15"/>
      <c r="F751" s="131"/>
      <c r="G751" s="132"/>
      <c r="H751" s="133"/>
      <c r="I751" s="132"/>
      <c r="J751" s="133"/>
      <c r="K751" s="132"/>
      <c r="L751" s="133"/>
      <c r="M751" s="132"/>
      <c r="N751" s="134"/>
      <c r="O751" s="132"/>
      <c r="P751" s="134"/>
      <c r="Q751" s="132"/>
      <c r="R751" s="135"/>
      <c r="S751" s="132"/>
      <c r="T751" s="134"/>
      <c r="U751" s="131"/>
      <c r="V751" s="136"/>
      <c r="W751" s="131"/>
      <c r="X751" s="131"/>
      <c r="Y751" s="137"/>
      <c r="Z751" s="134"/>
      <c r="AA751" s="134"/>
      <c r="AB751" s="138"/>
      <c r="AC751" s="20"/>
      <c r="AD751" s="20"/>
      <c r="AE751" s="20"/>
      <c r="AF751" s="20"/>
      <c r="AG751" s="20"/>
      <c r="AH751" s="20"/>
      <c r="AI751" s="20"/>
      <c r="AJ751" s="20"/>
      <c r="AK751" s="20"/>
      <c r="AL751" s="20"/>
      <c r="AM751" s="20"/>
      <c r="AN751" s="20"/>
      <c r="AO751" s="20"/>
      <c r="AP751" s="20"/>
      <c r="AQ751" s="20"/>
      <c r="AR751" s="20"/>
      <c r="AS751" s="20"/>
      <c r="AT751" s="20"/>
      <c r="AU751" s="20"/>
      <c r="AV751" s="20"/>
    </row>
    <row r="752" spans="1:48" ht="17.25" hidden="1" customHeight="1">
      <c r="A752" s="130"/>
      <c r="B752" s="131"/>
      <c r="C752" s="131"/>
      <c r="D752" s="131"/>
      <c r="E752" s="15"/>
      <c r="F752" s="131"/>
      <c r="G752" s="132"/>
      <c r="H752" s="133"/>
      <c r="I752" s="132"/>
      <c r="J752" s="133"/>
      <c r="K752" s="132"/>
      <c r="L752" s="133"/>
      <c r="M752" s="132"/>
      <c r="N752" s="134"/>
      <c r="O752" s="132"/>
      <c r="P752" s="134"/>
      <c r="Q752" s="132"/>
      <c r="R752" s="135"/>
      <c r="S752" s="132"/>
      <c r="T752" s="134"/>
      <c r="U752" s="131"/>
      <c r="V752" s="136"/>
      <c r="W752" s="131"/>
      <c r="X752" s="131"/>
      <c r="Y752" s="137"/>
      <c r="Z752" s="134"/>
      <c r="AA752" s="134"/>
      <c r="AB752" s="138"/>
      <c r="AC752" s="20"/>
      <c r="AD752" s="20"/>
      <c r="AE752" s="20"/>
      <c r="AF752" s="20"/>
      <c r="AG752" s="20"/>
      <c r="AH752" s="20"/>
      <c r="AI752" s="20"/>
      <c r="AJ752" s="20"/>
      <c r="AK752" s="20"/>
      <c r="AL752" s="20"/>
      <c r="AM752" s="20"/>
      <c r="AN752" s="20"/>
      <c r="AO752" s="20"/>
      <c r="AP752" s="20"/>
      <c r="AQ752" s="20"/>
      <c r="AR752" s="20"/>
      <c r="AS752" s="20"/>
      <c r="AT752" s="20"/>
      <c r="AU752" s="20"/>
      <c r="AV752" s="20"/>
    </row>
    <row r="753" spans="1:48" ht="17.25" hidden="1" customHeight="1">
      <c r="A753" s="130"/>
      <c r="B753" s="131"/>
      <c r="C753" s="131"/>
      <c r="D753" s="131"/>
      <c r="E753" s="15"/>
      <c r="F753" s="131"/>
      <c r="G753" s="132"/>
      <c r="H753" s="133"/>
      <c r="I753" s="132"/>
      <c r="J753" s="133"/>
      <c r="K753" s="132"/>
      <c r="L753" s="133"/>
      <c r="M753" s="132"/>
      <c r="N753" s="134"/>
      <c r="O753" s="132"/>
      <c r="P753" s="134"/>
      <c r="Q753" s="132"/>
      <c r="R753" s="135"/>
      <c r="S753" s="132"/>
      <c r="T753" s="134"/>
      <c r="U753" s="131"/>
      <c r="V753" s="136"/>
      <c r="W753" s="131"/>
      <c r="X753" s="131"/>
      <c r="Y753" s="137"/>
      <c r="Z753" s="134"/>
      <c r="AA753" s="134"/>
      <c r="AB753" s="138"/>
      <c r="AC753" s="20"/>
      <c r="AD753" s="20"/>
      <c r="AE753" s="20"/>
      <c r="AF753" s="20"/>
      <c r="AG753" s="20"/>
      <c r="AH753" s="20"/>
      <c r="AI753" s="20"/>
      <c r="AJ753" s="20"/>
      <c r="AK753" s="20"/>
      <c r="AL753" s="20"/>
      <c r="AM753" s="20"/>
      <c r="AN753" s="20"/>
      <c r="AO753" s="20"/>
      <c r="AP753" s="20"/>
      <c r="AQ753" s="20"/>
      <c r="AR753" s="20"/>
      <c r="AS753" s="20"/>
      <c r="AT753" s="20"/>
      <c r="AU753" s="20"/>
      <c r="AV753" s="20"/>
    </row>
    <row r="754" spans="1:48" ht="17.25" hidden="1" customHeight="1">
      <c r="A754" s="130"/>
      <c r="B754" s="131"/>
      <c r="C754" s="131"/>
      <c r="D754" s="131"/>
      <c r="E754" s="15"/>
      <c r="F754" s="131"/>
      <c r="G754" s="132"/>
      <c r="H754" s="133"/>
      <c r="I754" s="132"/>
      <c r="J754" s="133"/>
      <c r="K754" s="132"/>
      <c r="L754" s="133"/>
      <c r="M754" s="132"/>
      <c r="N754" s="134"/>
      <c r="O754" s="132"/>
      <c r="P754" s="134"/>
      <c r="Q754" s="132"/>
      <c r="R754" s="135"/>
      <c r="S754" s="132"/>
      <c r="T754" s="134"/>
      <c r="U754" s="131"/>
      <c r="V754" s="136"/>
      <c r="W754" s="131"/>
      <c r="X754" s="131"/>
      <c r="Y754" s="137"/>
      <c r="Z754" s="134"/>
      <c r="AA754" s="134"/>
      <c r="AB754" s="138"/>
      <c r="AC754" s="20"/>
      <c r="AD754" s="20"/>
      <c r="AE754" s="20"/>
      <c r="AF754" s="20"/>
      <c r="AG754" s="20"/>
      <c r="AH754" s="20"/>
      <c r="AI754" s="20"/>
      <c r="AJ754" s="20"/>
      <c r="AK754" s="20"/>
      <c r="AL754" s="20"/>
      <c r="AM754" s="20"/>
      <c r="AN754" s="20"/>
      <c r="AO754" s="20"/>
      <c r="AP754" s="20"/>
      <c r="AQ754" s="20"/>
      <c r="AR754" s="20"/>
      <c r="AS754" s="20"/>
      <c r="AT754" s="20"/>
      <c r="AU754" s="20"/>
      <c r="AV754" s="20"/>
    </row>
    <row r="755" spans="1:48" ht="17.25" hidden="1" customHeight="1">
      <c r="A755" s="130"/>
      <c r="B755" s="131"/>
      <c r="C755" s="131"/>
      <c r="D755" s="131"/>
      <c r="E755" s="15"/>
      <c r="F755" s="131"/>
      <c r="G755" s="132"/>
      <c r="H755" s="133"/>
      <c r="I755" s="132"/>
      <c r="J755" s="133"/>
      <c r="K755" s="132"/>
      <c r="L755" s="133"/>
      <c r="M755" s="132"/>
      <c r="N755" s="134"/>
      <c r="O755" s="132"/>
      <c r="P755" s="134"/>
      <c r="Q755" s="132"/>
      <c r="R755" s="135"/>
      <c r="S755" s="132"/>
      <c r="T755" s="134"/>
      <c r="U755" s="131"/>
      <c r="V755" s="139"/>
      <c r="W755" s="131"/>
      <c r="X755" s="131"/>
      <c r="Y755" s="137"/>
      <c r="Z755" s="134"/>
      <c r="AA755" s="134"/>
      <c r="AB755" s="138"/>
      <c r="AC755" s="20"/>
      <c r="AD755" s="20"/>
      <c r="AE755" s="20"/>
      <c r="AF755" s="20"/>
      <c r="AG755" s="20"/>
      <c r="AH755" s="20"/>
      <c r="AI755" s="20"/>
      <c r="AJ755" s="20"/>
      <c r="AK755" s="20"/>
      <c r="AL755" s="20"/>
      <c r="AM755" s="20"/>
      <c r="AN755" s="20"/>
      <c r="AO755" s="20"/>
      <c r="AP755" s="20"/>
      <c r="AQ755" s="20"/>
      <c r="AR755" s="20"/>
      <c r="AS755" s="20"/>
      <c r="AT755" s="20"/>
      <c r="AU755" s="20"/>
      <c r="AV755" s="20"/>
    </row>
    <row r="756" spans="1:48" ht="17.25" hidden="1" customHeight="1">
      <c r="A756" s="130"/>
      <c r="B756" s="131"/>
      <c r="C756" s="131"/>
      <c r="D756" s="131"/>
      <c r="E756" s="15"/>
      <c r="F756" s="131"/>
      <c r="G756" s="132"/>
      <c r="H756" s="133"/>
      <c r="I756" s="132"/>
      <c r="J756" s="133"/>
      <c r="K756" s="132"/>
      <c r="L756" s="133"/>
      <c r="M756" s="132"/>
      <c r="N756" s="134"/>
      <c r="O756" s="132"/>
      <c r="P756" s="134"/>
      <c r="Q756" s="132"/>
      <c r="R756" s="135"/>
      <c r="S756" s="132"/>
      <c r="T756" s="134"/>
      <c r="U756" s="131"/>
      <c r="V756" s="140"/>
      <c r="W756" s="131"/>
      <c r="X756" s="131"/>
      <c r="Y756" s="137"/>
      <c r="Z756" s="134"/>
      <c r="AA756" s="134"/>
      <c r="AB756" s="138"/>
      <c r="AC756" s="20"/>
      <c r="AD756" s="20"/>
      <c r="AE756" s="20"/>
      <c r="AF756" s="20"/>
      <c r="AG756" s="20"/>
      <c r="AH756" s="20"/>
      <c r="AI756" s="20"/>
      <c r="AJ756" s="20"/>
      <c r="AK756" s="20"/>
      <c r="AL756" s="20"/>
      <c r="AM756" s="20"/>
      <c r="AN756" s="20"/>
      <c r="AO756" s="20"/>
      <c r="AP756" s="20"/>
      <c r="AQ756" s="20"/>
      <c r="AR756" s="20"/>
      <c r="AS756" s="20"/>
      <c r="AT756" s="20"/>
      <c r="AU756" s="20"/>
      <c r="AV756" s="20"/>
    </row>
    <row r="757" spans="1:48" ht="17.25" hidden="1" customHeight="1">
      <c r="A757" s="130"/>
      <c r="B757" s="131"/>
      <c r="C757" s="131"/>
      <c r="D757" s="131"/>
      <c r="E757" s="15"/>
      <c r="F757" s="131"/>
      <c r="G757" s="132"/>
      <c r="H757" s="133"/>
      <c r="I757" s="132"/>
      <c r="J757" s="133"/>
      <c r="K757" s="132"/>
      <c r="L757" s="133"/>
      <c r="M757" s="132"/>
      <c r="N757" s="134"/>
      <c r="O757" s="132"/>
      <c r="P757" s="134"/>
      <c r="Q757" s="132"/>
      <c r="R757" s="135"/>
      <c r="S757" s="132"/>
      <c r="T757" s="134"/>
      <c r="U757" s="131"/>
      <c r="V757" s="140"/>
      <c r="W757" s="131"/>
      <c r="X757" s="131"/>
      <c r="Y757" s="137"/>
      <c r="Z757" s="134"/>
      <c r="AA757" s="134"/>
      <c r="AB757" s="138"/>
      <c r="AC757" s="20"/>
      <c r="AD757" s="20"/>
      <c r="AE757" s="20"/>
      <c r="AF757" s="20"/>
      <c r="AG757" s="20"/>
      <c r="AH757" s="20"/>
      <c r="AI757" s="20"/>
      <c r="AJ757" s="20"/>
      <c r="AK757" s="20"/>
      <c r="AL757" s="20"/>
      <c r="AM757" s="20"/>
      <c r="AN757" s="20"/>
      <c r="AO757" s="20"/>
      <c r="AP757" s="20"/>
      <c r="AQ757" s="20"/>
      <c r="AR757" s="20"/>
      <c r="AS757" s="20"/>
      <c r="AT757" s="20"/>
      <c r="AU757" s="20"/>
      <c r="AV757" s="20"/>
    </row>
    <row r="758" spans="1:48" ht="17.25" hidden="1" customHeight="1">
      <c r="A758" s="130"/>
      <c r="B758" s="131"/>
      <c r="C758" s="131"/>
      <c r="D758" s="131"/>
      <c r="E758" s="15"/>
      <c r="F758" s="131"/>
      <c r="G758" s="132"/>
      <c r="H758" s="133"/>
      <c r="I758" s="132"/>
      <c r="J758" s="133"/>
      <c r="K758" s="132"/>
      <c r="L758" s="133"/>
      <c r="M758" s="132"/>
      <c r="N758" s="134"/>
      <c r="O758" s="132"/>
      <c r="P758" s="134"/>
      <c r="Q758" s="132"/>
      <c r="R758" s="135"/>
      <c r="S758" s="132"/>
      <c r="T758" s="134"/>
      <c r="U758" s="131"/>
      <c r="V758" s="140"/>
      <c r="W758" s="131"/>
      <c r="X758" s="131"/>
      <c r="Y758" s="137"/>
      <c r="Z758" s="134"/>
      <c r="AA758" s="134"/>
      <c r="AB758" s="138"/>
      <c r="AC758" s="20"/>
      <c r="AD758" s="20"/>
      <c r="AE758" s="20"/>
      <c r="AF758" s="20"/>
      <c r="AG758" s="20"/>
      <c r="AH758" s="20"/>
      <c r="AI758" s="20"/>
      <c r="AJ758" s="20"/>
      <c r="AK758" s="20"/>
      <c r="AL758" s="20"/>
      <c r="AM758" s="20"/>
      <c r="AN758" s="20"/>
      <c r="AO758" s="20"/>
      <c r="AP758" s="20"/>
      <c r="AQ758" s="20"/>
      <c r="AR758" s="20"/>
      <c r="AS758" s="20"/>
      <c r="AT758" s="20"/>
      <c r="AU758" s="20"/>
      <c r="AV758" s="20"/>
    </row>
    <row r="759" spans="1:48" ht="17.25" hidden="1" customHeight="1">
      <c r="A759" s="130"/>
      <c r="B759" s="131"/>
      <c r="C759" s="131"/>
      <c r="D759" s="131"/>
      <c r="E759" s="15"/>
      <c r="F759" s="131"/>
      <c r="G759" s="132"/>
      <c r="H759" s="133"/>
      <c r="I759" s="132"/>
      <c r="J759" s="133"/>
      <c r="K759" s="132"/>
      <c r="L759" s="133"/>
      <c r="M759" s="132"/>
      <c r="N759" s="134"/>
      <c r="O759" s="132"/>
      <c r="P759" s="134"/>
      <c r="Q759" s="132"/>
      <c r="R759" s="135"/>
      <c r="S759" s="132"/>
      <c r="T759" s="134"/>
      <c r="U759" s="131"/>
      <c r="V759" s="140"/>
      <c r="W759" s="131"/>
      <c r="X759" s="131"/>
      <c r="Y759" s="137"/>
      <c r="Z759" s="134"/>
      <c r="AA759" s="134"/>
      <c r="AB759" s="138"/>
      <c r="AC759" s="20"/>
      <c r="AD759" s="20"/>
      <c r="AE759" s="20"/>
      <c r="AF759" s="20"/>
      <c r="AG759" s="20"/>
      <c r="AH759" s="20"/>
      <c r="AI759" s="20"/>
      <c r="AJ759" s="20"/>
      <c r="AK759" s="20"/>
      <c r="AL759" s="20"/>
      <c r="AM759" s="20"/>
      <c r="AN759" s="20"/>
      <c r="AO759" s="20"/>
      <c r="AP759" s="20"/>
      <c r="AQ759" s="20"/>
      <c r="AR759" s="20"/>
      <c r="AS759" s="20"/>
      <c r="AT759" s="20"/>
      <c r="AU759" s="20"/>
      <c r="AV759" s="20"/>
    </row>
    <row r="760" spans="1:48" ht="17.25" hidden="1" customHeight="1">
      <c r="A760" s="130"/>
      <c r="B760" s="131"/>
      <c r="C760" s="131"/>
      <c r="D760" s="131"/>
      <c r="E760" s="15"/>
      <c r="F760" s="131"/>
      <c r="G760" s="132"/>
      <c r="H760" s="133"/>
      <c r="I760" s="132"/>
      <c r="J760" s="133"/>
      <c r="K760" s="132"/>
      <c r="L760" s="133"/>
      <c r="M760" s="132"/>
      <c r="N760" s="134"/>
      <c r="O760" s="132"/>
      <c r="P760" s="134"/>
      <c r="Q760" s="132"/>
      <c r="R760" s="135"/>
      <c r="S760" s="132"/>
      <c r="T760" s="134"/>
      <c r="U760" s="131"/>
      <c r="V760" s="140"/>
      <c r="W760" s="131"/>
      <c r="X760" s="131"/>
      <c r="Y760" s="137"/>
      <c r="Z760" s="134"/>
      <c r="AA760" s="134"/>
      <c r="AB760" s="138"/>
      <c r="AC760" s="20"/>
      <c r="AD760" s="20"/>
      <c r="AE760" s="20"/>
      <c r="AF760" s="20"/>
      <c r="AG760" s="20"/>
      <c r="AH760" s="20"/>
      <c r="AI760" s="20"/>
      <c r="AJ760" s="20"/>
      <c r="AK760" s="20"/>
      <c r="AL760" s="20"/>
      <c r="AM760" s="20"/>
      <c r="AN760" s="20"/>
      <c r="AO760" s="20"/>
      <c r="AP760" s="20"/>
      <c r="AQ760" s="20"/>
      <c r="AR760" s="20"/>
      <c r="AS760" s="20"/>
      <c r="AT760" s="20"/>
      <c r="AU760" s="20"/>
      <c r="AV760" s="20"/>
    </row>
    <row r="761" spans="1:48" ht="17.25" hidden="1" customHeight="1">
      <c r="A761" s="130"/>
      <c r="B761" s="131"/>
      <c r="C761" s="131"/>
      <c r="D761" s="131"/>
      <c r="E761" s="15"/>
      <c r="F761" s="131"/>
      <c r="G761" s="132"/>
      <c r="H761" s="133"/>
      <c r="I761" s="132"/>
      <c r="J761" s="133"/>
      <c r="K761" s="132"/>
      <c r="L761" s="133"/>
      <c r="M761" s="132"/>
      <c r="N761" s="134"/>
      <c r="O761" s="132"/>
      <c r="P761" s="134"/>
      <c r="Q761" s="132"/>
      <c r="R761" s="135"/>
      <c r="S761" s="132"/>
      <c r="T761" s="134"/>
      <c r="U761" s="131"/>
      <c r="V761" s="140"/>
      <c r="W761" s="131"/>
      <c r="X761" s="131"/>
      <c r="Y761" s="137"/>
      <c r="Z761" s="134"/>
      <c r="AA761" s="134"/>
      <c r="AB761" s="138"/>
      <c r="AC761" s="20"/>
      <c r="AD761" s="20"/>
      <c r="AE761" s="20"/>
      <c r="AF761" s="20"/>
      <c r="AG761" s="20"/>
      <c r="AH761" s="20"/>
      <c r="AI761" s="20"/>
      <c r="AJ761" s="20"/>
      <c r="AK761" s="20"/>
      <c r="AL761" s="20"/>
      <c r="AM761" s="20"/>
      <c r="AN761" s="20"/>
      <c r="AO761" s="20"/>
      <c r="AP761" s="20"/>
      <c r="AQ761" s="20"/>
      <c r="AR761" s="20"/>
      <c r="AS761" s="20"/>
      <c r="AT761" s="20"/>
      <c r="AU761" s="20"/>
      <c r="AV761" s="20"/>
    </row>
    <row r="762" spans="1:48" ht="17.25" hidden="1" customHeight="1">
      <c r="A762" s="130"/>
      <c r="B762" s="131"/>
      <c r="C762" s="131"/>
      <c r="D762" s="131"/>
      <c r="E762" s="15"/>
      <c r="F762" s="131"/>
      <c r="G762" s="132"/>
      <c r="H762" s="133"/>
      <c r="I762" s="132"/>
      <c r="J762" s="133"/>
      <c r="K762" s="132"/>
      <c r="L762" s="133"/>
      <c r="M762" s="132"/>
      <c r="N762" s="134"/>
      <c r="O762" s="132"/>
      <c r="P762" s="134"/>
      <c r="Q762" s="132"/>
      <c r="R762" s="135"/>
      <c r="S762" s="132"/>
      <c r="T762" s="134"/>
      <c r="U762" s="131"/>
      <c r="V762" s="140"/>
      <c r="W762" s="131"/>
      <c r="X762" s="131"/>
      <c r="Y762" s="137"/>
      <c r="Z762" s="134"/>
      <c r="AA762" s="134"/>
      <c r="AB762" s="138"/>
      <c r="AC762" s="20"/>
      <c r="AD762" s="20"/>
      <c r="AE762" s="20"/>
      <c r="AF762" s="20"/>
      <c r="AG762" s="20"/>
      <c r="AH762" s="20"/>
      <c r="AI762" s="20"/>
      <c r="AJ762" s="20"/>
      <c r="AK762" s="20"/>
      <c r="AL762" s="20"/>
      <c r="AM762" s="20"/>
      <c r="AN762" s="20"/>
      <c r="AO762" s="20"/>
      <c r="AP762" s="20"/>
      <c r="AQ762" s="20"/>
      <c r="AR762" s="20"/>
      <c r="AS762" s="20"/>
      <c r="AT762" s="20"/>
      <c r="AU762" s="20"/>
      <c r="AV762" s="20"/>
    </row>
    <row r="763" spans="1:48" ht="17.25" hidden="1" customHeight="1">
      <c r="A763" s="130"/>
      <c r="B763" s="131"/>
      <c r="C763" s="131"/>
      <c r="D763" s="131"/>
      <c r="E763" s="15"/>
      <c r="F763" s="131"/>
      <c r="G763" s="132"/>
      <c r="H763" s="133"/>
      <c r="I763" s="132"/>
      <c r="J763" s="133"/>
      <c r="K763" s="132"/>
      <c r="L763" s="133"/>
      <c r="M763" s="132"/>
      <c r="N763" s="134"/>
      <c r="O763" s="132"/>
      <c r="P763" s="134"/>
      <c r="Q763" s="132"/>
      <c r="R763" s="135"/>
      <c r="S763" s="132"/>
      <c r="T763" s="134"/>
      <c r="U763" s="131"/>
      <c r="V763" s="140"/>
      <c r="W763" s="131"/>
      <c r="X763" s="131"/>
      <c r="Y763" s="137"/>
      <c r="Z763" s="134"/>
      <c r="AA763" s="134"/>
      <c r="AB763" s="138"/>
      <c r="AC763" s="20"/>
      <c r="AD763" s="20"/>
      <c r="AE763" s="20"/>
      <c r="AF763" s="20"/>
      <c r="AG763" s="20"/>
      <c r="AH763" s="20"/>
      <c r="AI763" s="20"/>
      <c r="AJ763" s="20"/>
      <c r="AK763" s="20"/>
      <c r="AL763" s="20"/>
      <c r="AM763" s="20"/>
      <c r="AN763" s="20"/>
      <c r="AO763" s="20"/>
      <c r="AP763" s="20"/>
      <c r="AQ763" s="20"/>
      <c r="AR763" s="20"/>
      <c r="AS763" s="20"/>
      <c r="AT763" s="20"/>
      <c r="AU763" s="20"/>
      <c r="AV763" s="20"/>
    </row>
    <row r="764" spans="1:48" ht="17.25" hidden="1" customHeight="1">
      <c r="A764" s="130"/>
      <c r="B764" s="131"/>
      <c r="C764" s="131"/>
      <c r="D764" s="131"/>
      <c r="E764" s="15"/>
      <c r="F764" s="131"/>
      <c r="G764" s="132"/>
      <c r="H764" s="133"/>
      <c r="I764" s="132"/>
      <c r="J764" s="133"/>
      <c r="K764" s="132"/>
      <c r="L764" s="133"/>
      <c r="M764" s="132"/>
      <c r="N764" s="134"/>
      <c r="O764" s="132"/>
      <c r="P764" s="134"/>
      <c r="Q764" s="132"/>
      <c r="R764" s="135"/>
      <c r="S764" s="132"/>
      <c r="T764" s="134"/>
      <c r="U764" s="131"/>
      <c r="V764" s="141"/>
      <c r="W764" s="131"/>
      <c r="X764" s="131"/>
      <c r="Y764" s="137"/>
      <c r="Z764" s="134"/>
      <c r="AA764" s="134"/>
      <c r="AB764" s="138"/>
      <c r="AC764" s="20"/>
      <c r="AD764" s="20"/>
      <c r="AE764" s="20"/>
      <c r="AF764" s="20"/>
      <c r="AG764" s="20"/>
      <c r="AH764" s="20"/>
      <c r="AI764" s="20"/>
      <c r="AJ764" s="20"/>
      <c r="AK764" s="20"/>
      <c r="AL764" s="20"/>
      <c r="AM764" s="20"/>
      <c r="AN764" s="20"/>
      <c r="AO764" s="20"/>
      <c r="AP764" s="20"/>
      <c r="AQ764" s="20"/>
      <c r="AR764" s="20"/>
      <c r="AS764" s="20"/>
      <c r="AT764" s="20"/>
      <c r="AU764" s="20"/>
      <c r="AV764" s="20"/>
    </row>
    <row r="765" spans="1:48" ht="17.25" hidden="1" customHeight="1">
      <c r="A765" s="130"/>
      <c r="B765" s="131"/>
      <c r="C765" s="131"/>
      <c r="D765" s="131"/>
      <c r="E765" s="15"/>
      <c r="F765" s="131"/>
      <c r="G765" s="132"/>
      <c r="H765" s="133"/>
      <c r="I765" s="132"/>
      <c r="J765" s="133"/>
      <c r="K765" s="132"/>
      <c r="L765" s="133"/>
      <c r="M765" s="132"/>
      <c r="N765" s="134"/>
      <c r="O765" s="132"/>
      <c r="P765" s="134"/>
      <c r="Q765" s="132"/>
      <c r="R765" s="135"/>
      <c r="S765" s="132"/>
      <c r="T765" s="134"/>
      <c r="U765" s="131"/>
      <c r="V765" s="142"/>
      <c r="W765" s="131"/>
      <c r="X765" s="131"/>
      <c r="Y765" s="137"/>
      <c r="Z765" s="134"/>
      <c r="AA765" s="134"/>
      <c r="AB765" s="138"/>
      <c r="AC765" s="20"/>
      <c r="AD765" s="20"/>
      <c r="AE765" s="20"/>
      <c r="AF765" s="20"/>
      <c r="AG765" s="20"/>
      <c r="AH765" s="20"/>
      <c r="AI765" s="20"/>
      <c r="AJ765" s="20"/>
      <c r="AK765" s="20"/>
      <c r="AL765" s="20"/>
      <c r="AM765" s="20"/>
      <c r="AN765" s="20"/>
      <c r="AO765" s="20"/>
      <c r="AP765" s="20"/>
      <c r="AQ765" s="20"/>
      <c r="AR765" s="20"/>
      <c r="AS765" s="20"/>
      <c r="AT765" s="20"/>
      <c r="AU765" s="20"/>
      <c r="AV765" s="20"/>
    </row>
    <row r="766" spans="1:48" ht="17.25" hidden="1" customHeight="1">
      <c r="A766" s="130"/>
      <c r="B766" s="131"/>
      <c r="C766" s="131"/>
      <c r="D766" s="131"/>
      <c r="E766" s="15"/>
      <c r="F766" s="131"/>
      <c r="G766" s="132"/>
      <c r="H766" s="133"/>
      <c r="I766" s="132"/>
      <c r="J766" s="133"/>
      <c r="K766" s="132"/>
      <c r="L766" s="133"/>
      <c r="M766" s="132"/>
      <c r="N766" s="134"/>
      <c r="O766" s="132"/>
      <c r="P766" s="134"/>
      <c r="Q766" s="132"/>
      <c r="R766" s="135"/>
      <c r="S766" s="132"/>
      <c r="T766" s="134"/>
      <c r="U766" s="131"/>
      <c r="V766" s="142"/>
      <c r="W766" s="131"/>
      <c r="X766" s="131"/>
      <c r="Y766" s="137"/>
      <c r="Z766" s="134"/>
      <c r="AA766" s="134"/>
      <c r="AB766" s="138"/>
      <c r="AC766" s="20"/>
      <c r="AD766" s="20"/>
      <c r="AE766" s="20"/>
      <c r="AF766" s="20"/>
      <c r="AG766" s="20"/>
      <c r="AH766" s="20"/>
      <c r="AI766" s="20"/>
      <c r="AJ766" s="20"/>
      <c r="AK766" s="20"/>
      <c r="AL766" s="20"/>
      <c r="AM766" s="20"/>
      <c r="AN766" s="20"/>
      <c r="AO766" s="20"/>
      <c r="AP766" s="20"/>
      <c r="AQ766" s="20"/>
      <c r="AR766" s="20"/>
      <c r="AS766" s="20"/>
      <c r="AT766" s="20"/>
      <c r="AU766" s="20"/>
      <c r="AV766" s="20"/>
    </row>
    <row r="767" spans="1:48" ht="17.25" hidden="1" customHeight="1">
      <c r="A767" s="130"/>
      <c r="B767" s="131"/>
      <c r="C767" s="131"/>
      <c r="D767" s="131"/>
      <c r="E767" s="15"/>
      <c r="F767" s="131"/>
      <c r="G767" s="132"/>
      <c r="H767" s="133"/>
      <c r="I767" s="132"/>
      <c r="J767" s="133"/>
      <c r="K767" s="132"/>
      <c r="L767" s="133"/>
      <c r="M767" s="132"/>
      <c r="N767" s="134"/>
      <c r="O767" s="132"/>
      <c r="P767" s="134"/>
      <c r="Q767" s="132"/>
      <c r="R767" s="135"/>
      <c r="S767" s="132"/>
      <c r="T767" s="134"/>
      <c r="U767" s="131"/>
      <c r="V767" s="142"/>
      <c r="W767" s="131"/>
      <c r="X767" s="131"/>
      <c r="Y767" s="137"/>
      <c r="Z767" s="134"/>
      <c r="AA767" s="134"/>
      <c r="AB767" s="138"/>
      <c r="AC767" s="20"/>
      <c r="AD767" s="20"/>
      <c r="AE767" s="20"/>
      <c r="AF767" s="20"/>
      <c r="AG767" s="20"/>
      <c r="AH767" s="20"/>
      <c r="AI767" s="20"/>
      <c r="AJ767" s="20"/>
      <c r="AK767" s="20"/>
      <c r="AL767" s="20"/>
      <c r="AM767" s="20"/>
      <c r="AN767" s="20"/>
      <c r="AO767" s="20"/>
      <c r="AP767" s="20"/>
      <c r="AQ767" s="20"/>
      <c r="AR767" s="20"/>
      <c r="AS767" s="20"/>
      <c r="AT767" s="20"/>
      <c r="AU767" s="20"/>
      <c r="AV767" s="20"/>
    </row>
    <row r="768" spans="1:48" ht="17.25" hidden="1" customHeight="1">
      <c r="A768" s="130"/>
      <c r="B768" s="131"/>
      <c r="C768" s="131"/>
      <c r="D768" s="131"/>
      <c r="E768" s="15"/>
      <c r="F768" s="131"/>
      <c r="G768" s="132"/>
      <c r="H768" s="133"/>
      <c r="I768" s="132"/>
      <c r="J768" s="133"/>
      <c r="K768" s="132"/>
      <c r="L768" s="133"/>
      <c r="M768" s="132"/>
      <c r="N768" s="134"/>
      <c r="O768" s="132"/>
      <c r="P768" s="134"/>
      <c r="Q768" s="132"/>
      <c r="R768" s="135"/>
      <c r="S768" s="132"/>
      <c r="T768" s="134"/>
      <c r="U768" s="131"/>
      <c r="V768" s="142"/>
      <c r="W768" s="131"/>
      <c r="X768" s="131"/>
      <c r="Y768" s="137"/>
      <c r="Z768" s="134"/>
      <c r="AA768" s="134"/>
      <c r="AB768" s="138"/>
      <c r="AC768" s="20"/>
      <c r="AD768" s="20"/>
      <c r="AE768" s="20"/>
      <c r="AF768" s="20"/>
      <c r="AG768" s="20"/>
      <c r="AH768" s="20"/>
      <c r="AI768" s="20"/>
      <c r="AJ768" s="20"/>
      <c r="AK768" s="20"/>
      <c r="AL768" s="20"/>
      <c r="AM768" s="20"/>
      <c r="AN768" s="20"/>
      <c r="AO768" s="20"/>
      <c r="AP768" s="20"/>
      <c r="AQ768" s="20"/>
      <c r="AR768" s="20"/>
      <c r="AS768" s="20"/>
      <c r="AT768" s="20"/>
      <c r="AU768" s="20"/>
      <c r="AV768" s="20"/>
    </row>
    <row r="769" spans="1:48" ht="17.25" hidden="1" customHeight="1">
      <c r="A769" s="130"/>
      <c r="B769" s="131"/>
      <c r="C769" s="131"/>
      <c r="D769" s="131"/>
      <c r="E769" s="15"/>
      <c r="F769" s="131"/>
      <c r="G769" s="132"/>
      <c r="H769" s="133"/>
      <c r="I769" s="132"/>
      <c r="J769" s="133"/>
      <c r="K769" s="132"/>
      <c r="L769" s="133"/>
      <c r="M769" s="132"/>
      <c r="N769" s="134"/>
      <c r="O769" s="132"/>
      <c r="P769" s="134"/>
      <c r="Q769" s="132"/>
      <c r="R769" s="135"/>
      <c r="S769" s="132"/>
      <c r="T769" s="134"/>
      <c r="U769" s="131"/>
      <c r="V769" s="142"/>
      <c r="W769" s="131"/>
      <c r="X769" s="131"/>
      <c r="Y769" s="137"/>
      <c r="Z769" s="134"/>
      <c r="AA769" s="134"/>
      <c r="AB769" s="138"/>
      <c r="AC769" s="20"/>
      <c r="AD769" s="20"/>
      <c r="AE769" s="20"/>
      <c r="AF769" s="20"/>
      <c r="AG769" s="20"/>
      <c r="AH769" s="20"/>
      <c r="AI769" s="20"/>
      <c r="AJ769" s="20"/>
      <c r="AK769" s="20"/>
      <c r="AL769" s="20"/>
      <c r="AM769" s="20"/>
      <c r="AN769" s="20"/>
      <c r="AO769" s="20"/>
      <c r="AP769" s="20"/>
      <c r="AQ769" s="20"/>
      <c r="AR769" s="20"/>
      <c r="AS769" s="20"/>
      <c r="AT769" s="20"/>
      <c r="AU769" s="20"/>
      <c r="AV769" s="20"/>
    </row>
    <row r="770" spans="1:48" ht="17.25" hidden="1" customHeight="1">
      <c r="A770" s="130"/>
      <c r="B770" s="131"/>
      <c r="C770" s="131"/>
      <c r="D770" s="131"/>
      <c r="E770" s="15"/>
      <c r="F770" s="131"/>
      <c r="G770" s="132"/>
      <c r="H770" s="133"/>
      <c r="I770" s="132"/>
      <c r="J770" s="133"/>
      <c r="K770" s="132"/>
      <c r="L770" s="133"/>
      <c r="M770" s="132"/>
      <c r="N770" s="134"/>
      <c r="O770" s="132"/>
      <c r="P770" s="134"/>
      <c r="Q770" s="132"/>
      <c r="R770" s="135"/>
      <c r="S770" s="132"/>
      <c r="T770" s="134"/>
      <c r="U770" s="131"/>
      <c r="V770" s="142"/>
      <c r="W770" s="131"/>
      <c r="X770" s="131"/>
      <c r="Y770" s="137"/>
      <c r="Z770" s="134"/>
      <c r="AA770" s="134"/>
      <c r="AB770" s="138"/>
      <c r="AC770" s="20"/>
      <c r="AD770" s="20"/>
      <c r="AE770" s="20"/>
      <c r="AF770" s="20"/>
      <c r="AG770" s="20"/>
      <c r="AH770" s="20"/>
      <c r="AI770" s="20"/>
      <c r="AJ770" s="20"/>
      <c r="AK770" s="20"/>
      <c r="AL770" s="20"/>
      <c r="AM770" s="20"/>
      <c r="AN770" s="20"/>
      <c r="AO770" s="20"/>
      <c r="AP770" s="20"/>
      <c r="AQ770" s="20"/>
      <c r="AR770" s="20"/>
      <c r="AS770" s="20"/>
      <c r="AT770" s="20"/>
      <c r="AU770" s="20"/>
      <c r="AV770" s="20"/>
    </row>
    <row r="771" spans="1:48" ht="17.25" hidden="1" customHeight="1">
      <c r="A771" s="130"/>
      <c r="B771" s="131"/>
      <c r="C771" s="131"/>
      <c r="D771" s="131"/>
      <c r="E771" s="15"/>
      <c r="F771" s="131"/>
      <c r="G771" s="132"/>
      <c r="H771" s="133"/>
      <c r="I771" s="132"/>
      <c r="J771" s="133"/>
      <c r="K771" s="132"/>
      <c r="L771" s="133"/>
      <c r="M771" s="132"/>
      <c r="N771" s="134"/>
      <c r="O771" s="132"/>
      <c r="P771" s="134"/>
      <c r="Q771" s="132"/>
      <c r="R771" s="135"/>
      <c r="S771" s="132"/>
      <c r="T771" s="134"/>
      <c r="U771" s="131"/>
      <c r="V771" s="142"/>
      <c r="W771" s="131"/>
      <c r="X771" s="131"/>
      <c r="Y771" s="137"/>
      <c r="Z771" s="134"/>
      <c r="AA771" s="134"/>
      <c r="AB771" s="138"/>
      <c r="AC771" s="20"/>
      <c r="AD771" s="20"/>
      <c r="AE771" s="20"/>
      <c r="AF771" s="20"/>
      <c r="AG771" s="20"/>
      <c r="AH771" s="20"/>
      <c r="AI771" s="20"/>
      <c r="AJ771" s="20"/>
      <c r="AK771" s="20"/>
      <c r="AL771" s="20"/>
      <c r="AM771" s="20"/>
      <c r="AN771" s="20"/>
      <c r="AO771" s="20"/>
      <c r="AP771" s="20"/>
      <c r="AQ771" s="20"/>
      <c r="AR771" s="20"/>
      <c r="AS771" s="20"/>
      <c r="AT771" s="20"/>
      <c r="AU771" s="20"/>
      <c r="AV771" s="20"/>
    </row>
    <row r="772" spans="1:48" ht="17.25" hidden="1" customHeight="1">
      <c r="A772" s="130"/>
      <c r="B772" s="131"/>
      <c r="C772" s="131"/>
      <c r="D772" s="131"/>
      <c r="E772" s="15"/>
      <c r="F772" s="131"/>
      <c r="G772" s="132"/>
      <c r="H772" s="133"/>
      <c r="I772" s="132"/>
      <c r="J772" s="133"/>
      <c r="K772" s="132"/>
      <c r="L772" s="133"/>
      <c r="M772" s="132"/>
      <c r="N772" s="134"/>
      <c r="O772" s="132"/>
      <c r="P772" s="134"/>
      <c r="Q772" s="132"/>
      <c r="R772" s="135"/>
      <c r="S772" s="132"/>
      <c r="T772" s="134"/>
      <c r="U772" s="131"/>
      <c r="V772" s="142"/>
      <c r="W772" s="131"/>
      <c r="X772" s="131"/>
      <c r="Y772" s="137"/>
      <c r="Z772" s="134"/>
      <c r="AA772" s="134"/>
      <c r="AB772" s="138"/>
      <c r="AC772" s="20"/>
      <c r="AD772" s="20"/>
      <c r="AE772" s="20"/>
      <c r="AF772" s="20"/>
      <c r="AG772" s="20"/>
      <c r="AH772" s="20"/>
      <c r="AI772" s="20"/>
      <c r="AJ772" s="20"/>
      <c r="AK772" s="20"/>
      <c r="AL772" s="20"/>
      <c r="AM772" s="20"/>
      <c r="AN772" s="20"/>
      <c r="AO772" s="20"/>
      <c r="AP772" s="20"/>
      <c r="AQ772" s="20"/>
      <c r="AR772" s="20"/>
      <c r="AS772" s="20"/>
      <c r="AT772" s="20"/>
      <c r="AU772" s="20"/>
      <c r="AV772" s="20"/>
    </row>
    <row r="773" spans="1:48" ht="17.25" hidden="1" customHeight="1">
      <c r="A773" s="130"/>
      <c r="B773" s="131"/>
      <c r="C773" s="131"/>
      <c r="D773" s="131"/>
      <c r="E773" s="15"/>
      <c r="F773" s="131"/>
      <c r="G773" s="132"/>
      <c r="H773" s="133"/>
      <c r="I773" s="132"/>
      <c r="J773" s="133"/>
      <c r="K773" s="132"/>
      <c r="L773" s="134"/>
      <c r="M773" s="132"/>
      <c r="N773" s="134"/>
      <c r="O773" s="132"/>
      <c r="P773" s="134"/>
      <c r="Q773" s="132"/>
      <c r="R773" s="135"/>
      <c r="S773" s="132"/>
      <c r="T773" s="134"/>
      <c r="U773" s="131"/>
      <c r="V773" s="143"/>
      <c r="W773" s="131"/>
      <c r="X773" s="131"/>
      <c r="Y773" s="137"/>
      <c r="Z773" s="134"/>
      <c r="AA773" s="134"/>
      <c r="AB773" s="138"/>
      <c r="AC773" s="20"/>
      <c r="AD773" s="20"/>
      <c r="AE773" s="20"/>
      <c r="AF773" s="20"/>
      <c r="AG773" s="20"/>
      <c r="AH773" s="20"/>
      <c r="AI773" s="20"/>
      <c r="AJ773" s="20"/>
      <c r="AK773" s="20"/>
      <c r="AL773" s="20"/>
      <c r="AM773" s="20"/>
      <c r="AN773" s="20"/>
      <c r="AO773" s="20"/>
      <c r="AP773" s="20"/>
      <c r="AQ773" s="20"/>
      <c r="AR773" s="20"/>
      <c r="AS773" s="20"/>
      <c r="AT773" s="20"/>
      <c r="AU773" s="20"/>
      <c r="AV773" s="20"/>
    </row>
    <row r="774" spans="1:48" ht="17.25" hidden="1" customHeight="1">
      <c r="A774" s="130"/>
      <c r="B774" s="131"/>
      <c r="C774" s="131"/>
      <c r="D774" s="131"/>
      <c r="E774" s="15"/>
      <c r="F774" s="131"/>
      <c r="G774" s="132"/>
      <c r="H774" s="133"/>
      <c r="I774" s="132"/>
      <c r="J774" s="133"/>
      <c r="K774" s="132"/>
      <c r="L774" s="134"/>
      <c r="M774" s="132"/>
      <c r="N774" s="134"/>
      <c r="O774" s="132"/>
      <c r="P774" s="134"/>
      <c r="Q774" s="132"/>
      <c r="R774" s="135"/>
      <c r="S774" s="132"/>
      <c r="T774" s="134"/>
      <c r="U774" s="131"/>
      <c r="V774" s="144"/>
      <c r="W774" s="131"/>
      <c r="X774" s="131"/>
      <c r="Y774" s="137"/>
      <c r="Z774" s="134"/>
      <c r="AA774" s="134"/>
      <c r="AB774" s="138"/>
      <c r="AC774" s="20"/>
      <c r="AD774" s="20"/>
      <c r="AE774" s="20"/>
      <c r="AF774" s="20"/>
      <c r="AG774" s="20"/>
      <c r="AH774" s="20"/>
      <c r="AI774" s="20"/>
      <c r="AJ774" s="20"/>
      <c r="AK774" s="20"/>
      <c r="AL774" s="20"/>
      <c r="AM774" s="20"/>
      <c r="AN774" s="20"/>
      <c r="AO774" s="20"/>
      <c r="AP774" s="20"/>
      <c r="AQ774" s="20"/>
      <c r="AR774" s="20"/>
      <c r="AS774" s="20"/>
      <c r="AT774" s="20"/>
      <c r="AU774" s="20"/>
      <c r="AV774" s="20"/>
    </row>
    <row r="775" spans="1:48" ht="17.25" hidden="1" customHeight="1">
      <c r="A775" s="130"/>
      <c r="B775" s="131"/>
      <c r="C775" s="131"/>
      <c r="D775" s="131"/>
      <c r="E775" s="15"/>
      <c r="F775" s="131"/>
      <c r="G775" s="132"/>
      <c r="H775" s="133"/>
      <c r="I775" s="132"/>
      <c r="J775" s="131"/>
      <c r="K775" s="132"/>
      <c r="L775" s="134"/>
      <c r="M775" s="132"/>
      <c r="N775" s="134"/>
      <c r="O775" s="132"/>
      <c r="P775" s="134"/>
      <c r="Q775" s="132"/>
      <c r="R775" s="135"/>
      <c r="S775" s="132"/>
      <c r="T775" s="134"/>
      <c r="U775" s="131"/>
      <c r="V775" s="144"/>
      <c r="W775" s="131"/>
      <c r="X775" s="131"/>
      <c r="Y775" s="137"/>
      <c r="Z775" s="134"/>
      <c r="AA775" s="134"/>
      <c r="AB775" s="138"/>
      <c r="AC775" s="20"/>
      <c r="AD775" s="20"/>
      <c r="AE775" s="20"/>
      <c r="AF775" s="20"/>
      <c r="AG775" s="20"/>
      <c r="AH775" s="20"/>
      <c r="AI775" s="20"/>
      <c r="AJ775" s="20"/>
      <c r="AK775" s="20"/>
      <c r="AL775" s="20"/>
      <c r="AM775" s="20"/>
      <c r="AN775" s="20"/>
      <c r="AO775" s="20"/>
      <c r="AP775" s="20"/>
      <c r="AQ775" s="20"/>
      <c r="AR775" s="20"/>
      <c r="AS775" s="20"/>
      <c r="AT775" s="20"/>
      <c r="AU775" s="20"/>
      <c r="AV775" s="20"/>
    </row>
    <row r="776" spans="1:48" ht="17.25" hidden="1" customHeight="1">
      <c r="A776" s="130"/>
      <c r="B776" s="131"/>
      <c r="C776" s="131"/>
      <c r="D776" s="131"/>
      <c r="E776" s="15"/>
      <c r="F776" s="131"/>
      <c r="G776" s="132"/>
      <c r="H776" s="133"/>
      <c r="I776" s="132"/>
      <c r="J776" s="133"/>
      <c r="K776" s="132"/>
      <c r="L776" s="138"/>
      <c r="M776" s="132"/>
      <c r="N776" s="134"/>
      <c r="O776" s="132"/>
      <c r="P776" s="134"/>
      <c r="Q776" s="132"/>
      <c r="R776" s="135"/>
      <c r="S776" s="132"/>
      <c r="T776" s="134"/>
      <c r="U776" s="131"/>
      <c r="V776" s="144"/>
      <c r="W776" s="131"/>
      <c r="X776" s="131"/>
      <c r="Y776" s="137"/>
      <c r="Z776" s="134"/>
      <c r="AA776" s="134"/>
      <c r="AB776" s="138"/>
      <c r="AC776" s="20"/>
      <c r="AD776" s="20"/>
      <c r="AE776" s="20"/>
      <c r="AF776" s="20"/>
      <c r="AG776" s="20"/>
      <c r="AH776" s="20"/>
      <c r="AI776" s="20"/>
      <c r="AJ776" s="20"/>
      <c r="AK776" s="20"/>
      <c r="AL776" s="20"/>
      <c r="AM776" s="20"/>
      <c r="AN776" s="20"/>
      <c r="AO776" s="20"/>
      <c r="AP776" s="20"/>
      <c r="AQ776" s="20"/>
      <c r="AR776" s="20"/>
      <c r="AS776" s="20"/>
      <c r="AT776" s="20"/>
      <c r="AU776" s="20"/>
      <c r="AV776" s="20"/>
    </row>
    <row r="777" spans="1:48" ht="17.25" hidden="1" customHeight="1">
      <c r="A777" s="130"/>
      <c r="B777" s="131"/>
      <c r="C777" s="131"/>
      <c r="D777" s="131"/>
      <c r="E777" s="15"/>
      <c r="F777" s="131"/>
      <c r="G777" s="132"/>
      <c r="H777" s="133"/>
      <c r="I777" s="132"/>
      <c r="J777" s="131"/>
      <c r="K777" s="132"/>
      <c r="L777" s="134"/>
      <c r="M777" s="132"/>
      <c r="N777" s="134"/>
      <c r="O777" s="132"/>
      <c r="P777" s="134"/>
      <c r="Q777" s="132"/>
      <c r="R777" s="135"/>
      <c r="S777" s="132"/>
      <c r="T777" s="134"/>
      <c r="U777" s="131"/>
      <c r="V777" s="144"/>
      <c r="W777" s="131"/>
      <c r="X777" s="131"/>
      <c r="Y777" s="137"/>
      <c r="Z777" s="134"/>
      <c r="AA777" s="134"/>
      <c r="AB777" s="138"/>
      <c r="AC777" s="20"/>
      <c r="AD777" s="20"/>
      <c r="AE777" s="20"/>
      <c r="AF777" s="20"/>
      <c r="AG777" s="20"/>
      <c r="AH777" s="20"/>
      <c r="AI777" s="20"/>
      <c r="AJ777" s="20"/>
      <c r="AK777" s="20"/>
      <c r="AL777" s="20"/>
      <c r="AM777" s="20"/>
      <c r="AN777" s="20"/>
      <c r="AO777" s="20"/>
      <c r="AP777" s="20"/>
      <c r="AQ777" s="20"/>
      <c r="AR777" s="20"/>
      <c r="AS777" s="20"/>
      <c r="AT777" s="20"/>
      <c r="AU777" s="20"/>
      <c r="AV777" s="20"/>
    </row>
    <row r="778" spans="1:48" ht="17.25" hidden="1" customHeight="1">
      <c r="A778" s="130"/>
      <c r="B778" s="131"/>
      <c r="C778" s="131"/>
      <c r="D778" s="131"/>
      <c r="E778" s="15"/>
      <c r="F778" s="131"/>
      <c r="G778" s="132"/>
      <c r="H778" s="133"/>
      <c r="I778" s="132"/>
      <c r="J778" s="133"/>
      <c r="K778" s="132"/>
      <c r="L778" s="138"/>
      <c r="M778" s="132"/>
      <c r="N778" s="134"/>
      <c r="O778" s="132"/>
      <c r="P778" s="134"/>
      <c r="Q778" s="132"/>
      <c r="R778" s="135"/>
      <c r="S778" s="132"/>
      <c r="T778" s="134"/>
      <c r="U778" s="131"/>
      <c r="V778" s="144"/>
      <c r="W778" s="131"/>
      <c r="X778" s="131"/>
      <c r="Y778" s="137"/>
      <c r="Z778" s="134"/>
      <c r="AA778" s="134"/>
      <c r="AB778" s="138"/>
      <c r="AC778" s="20"/>
      <c r="AD778" s="20"/>
      <c r="AE778" s="20"/>
      <c r="AF778" s="20"/>
      <c r="AG778" s="20"/>
      <c r="AH778" s="20"/>
      <c r="AI778" s="20"/>
      <c r="AJ778" s="20"/>
      <c r="AK778" s="20"/>
      <c r="AL778" s="20"/>
      <c r="AM778" s="20"/>
      <c r="AN778" s="20"/>
      <c r="AO778" s="20"/>
      <c r="AP778" s="20"/>
      <c r="AQ778" s="20"/>
      <c r="AR778" s="20"/>
      <c r="AS778" s="20"/>
      <c r="AT778" s="20"/>
      <c r="AU778" s="20"/>
      <c r="AV778" s="20"/>
    </row>
    <row r="779" spans="1:48" ht="17.25" hidden="1" customHeight="1">
      <c r="A779" s="130"/>
      <c r="B779" s="131"/>
      <c r="C779" s="131"/>
      <c r="D779" s="131"/>
      <c r="E779" s="15"/>
      <c r="F779" s="131"/>
      <c r="G779" s="132"/>
      <c r="H779" s="133"/>
      <c r="I779" s="132"/>
      <c r="J779" s="131"/>
      <c r="K779" s="132"/>
      <c r="L779" s="134"/>
      <c r="M779" s="132"/>
      <c r="N779" s="134"/>
      <c r="O779" s="132"/>
      <c r="P779" s="134"/>
      <c r="Q779" s="132"/>
      <c r="R779" s="135"/>
      <c r="S779" s="132"/>
      <c r="T779" s="134"/>
      <c r="U779" s="131"/>
      <c r="V779" s="144"/>
      <c r="W779" s="131"/>
      <c r="X779" s="131"/>
      <c r="Y779" s="137"/>
      <c r="Z779" s="134"/>
      <c r="AA779" s="134"/>
      <c r="AB779" s="138"/>
      <c r="AC779" s="20"/>
      <c r="AD779" s="20"/>
      <c r="AE779" s="20"/>
      <c r="AF779" s="20"/>
      <c r="AG779" s="20"/>
      <c r="AH779" s="20"/>
      <c r="AI779" s="20"/>
      <c r="AJ779" s="20"/>
      <c r="AK779" s="20"/>
      <c r="AL779" s="20"/>
      <c r="AM779" s="20"/>
      <c r="AN779" s="20"/>
      <c r="AO779" s="20"/>
      <c r="AP779" s="20"/>
      <c r="AQ779" s="20"/>
      <c r="AR779" s="20"/>
      <c r="AS779" s="20"/>
      <c r="AT779" s="20"/>
      <c r="AU779" s="20"/>
      <c r="AV779" s="20"/>
    </row>
    <row r="780" spans="1:48" ht="17.25" hidden="1" customHeight="1">
      <c r="A780" s="130"/>
      <c r="B780" s="131"/>
      <c r="C780" s="131"/>
      <c r="D780" s="131"/>
      <c r="E780" s="15"/>
      <c r="F780" s="131"/>
      <c r="G780" s="132"/>
      <c r="H780" s="133"/>
      <c r="I780" s="132"/>
      <c r="J780" s="131"/>
      <c r="K780" s="132"/>
      <c r="L780" s="134"/>
      <c r="M780" s="132"/>
      <c r="N780" s="134"/>
      <c r="O780" s="132"/>
      <c r="P780" s="134"/>
      <c r="Q780" s="132"/>
      <c r="R780" s="135"/>
      <c r="S780" s="132"/>
      <c r="T780" s="134"/>
      <c r="U780" s="131"/>
      <c r="V780" s="144"/>
      <c r="W780" s="131"/>
      <c r="X780" s="131"/>
      <c r="Y780" s="137"/>
      <c r="Z780" s="134"/>
      <c r="AA780" s="134"/>
      <c r="AB780" s="138"/>
      <c r="AC780" s="20"/>
      <c r="AD780" s="20"/>
      <c r="AE780" s="20"/>
      <c r="AF780" s="20"/>
      <c r="AG780" s="20"/>
      <c r="AH780" s="20"/>
      <c r="AI780" s="20"/>
      <c r="AJ780" s="20"/>
      <c r="AK780" s="20"/>
      <c r="AL780" s="20"/>
      <c r="AM780" s="20"/>
      <c r="AN780" s="20"/>
      <c r="AO780" s="20"/>
      <c r="AP780" s="20"/>
      <c r="AQ780" s="20"/>
      <c r="AR780" s="20"/>
      <c r="AS780" s="20"/>
      <c r="AT780" s="20"/>
      <c r="AU780" s="20"/>
      <c r="AV780" s="20"/>
    </row>
    <row r="781" spans="1:48" ht="17.25" hidden="1" customHeight="1">
      <c r="A781" s="130"/>
      <c r="B781" s="131"/>
      <c r="C781" s="131"/>
      <c r="D781" s="131"/>
      <c r="E781" s="15"/>
      <c r="F781" s="131"/>
      <c r="G781" s="132"/>
      <c r="H781" s="133"/>
      <c r="I781" s="132"/>
      <c r="J781" s="131"/>
      <c r="K781" s="132"/>
      <c r="L781" s="134"/>
      <c r="M781" s="132"/>
      <c r="N781" s="134"/>
      <c r="O781" s="132"/>
      <c r="P781" s="134"/>
      <c r="Q781" s="132"/>
      <c r="R781" s="135"/>
      <c r="S781" s="132"/>
      <c r="T781" s="134"/>
      <c r="U781" s="131"/>
      <c r="V781" s="144"/>
      <c r="W781" s="131"/>
      <c r="X781" s="131"/>
      <c r="Y781" s="137"/>
      <c r="Z781" s="134"/>
      <c r="AA781" s="134"/>
      <c r="AB781" s="138"/>
      <c r="AC781" s="20"/>
      <c r="AD781" s="20"/>
      <c r="AE781" s="20"/>
      <c r="AF781" s="20"/>
      <c r="AG781" s="20"/>
      <c r="AH781" s="20"/>
      <c r="AI781" s="20"/>
      <c r="AJ781" s="20"/>
      <c r="AK781" s="20"/>
      <c r="AL781" s="20"/>
      <c r="AM781" s="20"/>
      <c r="AN781" s="20"/>
      <c r="AO781" s="20"/>
      <c r="AP781" s="20"/>
      <c r="AQ781" s="20"/>
      <c r="AR781" s="20"/>
      <c r="AS781" s="20"/>
      <c r="AT781" s="20"/>
      <c r="AU781" s="20"/>
      <c r="AV781" s="20"/>
    </row>
    <row r="782" spans="1:48" ht="17.25" hidden="1" customHeight="1">
      <c r="A782" s="130"/>
      <c r="B782" s="131"/>
      <c r="C782" s="131"/>
      <c r="D782" s="131"/>
      <c r="E782" s="15"/>
      <c r="F782" s="131"/>
      <c r="G782" s="132"/>
      <c r="H782" s="133"/>
      <c r="I782" s="132"/>
      <c r="J782" s="133"/>
      <c r="K782" s="132"/>
      <c r="L782" s="133"/>
      <c r="M782" s="132"/>
      <c r="N782" s="134"/>
      <c r="O782" s="132"/>
      <c r="P782" s="134"/>
      <c r="Q782" s="132"/>
      <c r="R782" s="135"/>
      <c r="S782" s="132"/>
      <c r="T782" s="134"/>
      <c r="U782" s="131"/>
      <c r="V782" s="149"/>
      <c r="W782" s="131"/>
      <c r="X782" s="131"/>
      <c r="Y782" s="137"/>
      <c r="Z782" s="134"/>
      <c r="AA782" s="134"/>
      <c r="AB782" s="138"/>
      <c r="AC782" s="20"/>
      <c r="AD782" s="20"/>
      <c r="AE782" s="20"/>
      <c r="AF782" s="20"/>
      <c r="AG782" s="20"/>
      <c r="AH782" s="20"/>
      <c r="AI782" s="20"/>
      <c r="AJ782" s="20"/>
      <c r="AK782" s="20"/>
      <c r="AL782" s="20"/>
      <c r="AM782" s="20"/>
      <c r="AN782" s="20"/>
      <c r="AO782" s="20"/>
      <c r="AP782" s="20"/>
      <c r="AQ782" s="20"/>
      <c r="AR782" s="20"/>
      <c r="AS782" s="20"/>
      <c r="AT782" s="20"/>
      <c r="AU782" s="20"/>
      <c r="AV782" s="20"/>
    </row>
    <row r="783" spans="1:48" ht="17.25" hidden="1" customHeight="1">
      <c r="A783" s="130"/>
      <c r="B783" s="131"/>
      <c r="C783" s="131"/>
      <c r="D783" s="131"/>
      <c r="E783" s="15"/>
      <c r="F783" s="131"/>
      <c r="G783" s="132"/>
      <c r="H783" s="133"/>
      <c r="I783" s="132"/>
      <c r="J783" s="133"/>
      <c r="K783" s="132"/>
      <c r="L783" s="131"/>
      <c r="M783" s="132"/>
      <c r="N783" s="134"/>
      <c r="O783" s="132"/>
      <c r="P783" s="134"/>
      <c r="Q783" s="132"/>
      <c r="R783" s="135"/>
      <c r="S783" s="132"/>
      <c r="T783" s="134"/>
      <c r="U783" s="131"/>
      <c r="V783" s="145"/>
      <c r="W783" s="131"/>
      <c r="X783" s="131"/>
      <c r="Y783" s="137"/>
      <c r="Z783" s="134"/>
      <c r="AA783" s="134"/>
      <c r="AB783" s="138"/>
      <c r="AC783" s="20"/>
      <c r="AD783" s="20"/>
      <c r="AE783" s="20"/>
      <c r="AF783" s="20"/>
      <c r="AG783" s="20"/>
      <c r="AH783" s="20"/>
      <c r="AI783" s="20"/>
      <c r="AJ783" s="20"/>
      <c r="AK783" s="20"/>
      <c r="AL783" s="20"/>
      <c r="AM783" s="20"/>
      <c r="AN783" s="20"/>
      <c r="AO783" s="20"/>
      <c r="AP783" s="20"/>
      <c r="AQ783" s="20"/>
      <c r="AR783" s="20"/>
      <c r="AS783" s="20"/>
      <c r="AT783" s="20"/>
      <c r="AU783" s="20"/>
      <c r="AV783" s="20"/>
    </row>
    <row r="784" spans="1:48" ht="17.25" hidden="1" customHeight="1">
      <c r="A784" s="130"/>
      <c r="B784" s="131"/>
      <c r="C784" s="131"/>
      <c r="D784" s="131"/>
      <c r="E784" s="15"/>
      <c r="F784" s="131"/>
      <c r="G784" s="132"/>
      <c r="H784" s="133"/>
      <c r="I784" s="132"/>
      <c r="J784" s="131"/>
      <c r="K784" s="132"/>
      <c r="L784" s="131"/>
      <c r="M784" s="132"/>
      <c r="N784" s="134"/>
      <c r="O784" s="132"/>
      <c r="P784" s="134"/>
      <c r="Q784" s="132"/>
      <c r="R784" s="135"/>
      <c r="S784" s="132"/>
      <c r="T784" s="134"/>
      <c r="U784" s="131"/>
      <c r="V784" s="144"/>
      <c r="W784" s="131"/>
      <c r="X784" s="131"/>
      <c r="Y784" s="137"/>
      <c r="Z784" s="134"/>
      <c r="AA784" s="134"/>
      <c r="AB784" s="138"/>
      <c r="AC784" s="20"/>
      <c r="AD784" s="20"/>
      <c r="AE784" s="20"/>
      <c r="AF784" s="20"/>
      <c r="AG784" s="20"/>
      <c r="AH784" s="20"/>
      <c r="AI784" s="20"/>
      <c r="AJ784" s="20"/>
      <c r="AK784" s="20"/>
      <c r="AL784" s="20"/>
      <c r="AM784" s="20"/>
      <c r="AN784" s="20"/>
      <c r="AO784" s="20"/>
      <c r="AP784" s="20"/>
      <c r="AQ784" s="20"/>
      <c r="AR784" s="20"/>
      <c r="AS784" s="20"/>
      <c r="AT784" s="20"/>
      <c r="AU784" s="20"/>
      <c r="AV784" s="20"/>
    </row>
    <row r="785" spans="1:48" ht="17.25" hidden="1" customHeight="1">
      <c r="A785" s="130"/>
      <c r="B785" s="131"/>
      <c r="C785" s="131"/>
      <c r="D785" s="131"/>
      <c r="E785" s="15"/>
      <c r="F785" s="131"/>
      <c r="G785" s="132"/>
      <c r="H785" s="133"/>
      <c r="I785" s="132"/>
      <c r="J785" s="133"/>
      <c r="K785" s="132"/>
      <c r="L785" s="133"/>
      <c r="M785" s="132"/>
      <c r="N785" s="134"/>
      <c r="O785" s="132"/>
      <c r="P785" s="134"/>
      <c r="Q785" s="132"/>
      <c r="R785" s="135"/>
      <c r="S785" s="132"/>
      <c r="T785" s="134"/>
      <c r="U785" s="131"/>
      <c r="V785" s="144"/>
      <c r="W785" s="131"/>
      <c r="X785" s="131"/>
      <c r="Y785" s="137"/>
      <c r="Z785" s="134"/>
      <c r="AA785" s="134"/>
      <c r="AB785" s="138"/>
      <c r="AC785" s="20"/>
      <c r="AD785" s="20"/>
      <c r="AE785" s="20"/>
      <c r="AF785" s="20"/>
      <c r="AG785" s="20"/>
      <c r="AH785" s="20"/>
      <c r="AI785" s="20"/>
      <c r="AJ785" s="20"/>
      <c r="AK785" s="20"/>
      <c r="AL785" s="20"/>
      <c r="AM785" s="20"/>
      <c r="AN785" s="20"/>
      <c r="AO785" s="20"/>
      <c r="AP785" s="20"/>
      <c r="AQ785" s="20"/>
      <c r="AR785" s="20"/>
      <c r="AS785" s="20"/>
      <c r="AT785" s="20"/>
      <c r="AU785" s="20"/>
      <c r="AV785" s="20"/>
    </row>
    <row r="786" spans="1:48" ht="17.25" hidden="1" customHeight="1">
      <c r="A786" s="130"/>
      <c r="B786" s="131"/>
      <c r="C786" s="131"/>
      <c r="D786" s="131"/>
      <c r="E786" s="15"/>
      <c r="F786" s="131"/>
      <c r="G786" s="132"/>
      <c r="H786" s="133"/>
      <c r="I786" s="132"/>
      <c r="J786" s="133"/>
      <c r="K786" s="132"/>
      <c r="L786" s="133"/>
      <c r="M786" s="132"/>
      <c r="N786" s="134"/>
      <c r="O786" s="132"/>
      <c r="P786" s="134"/>
      <c r="Q786" s="132"/>
      <c r="R786" s="135"/>
      <c r="S786" s="132"/>
      <c r="T786" s="134"/>
      <c r="U786" s="131"/>
      <c r="V786" s="144"/>
      <c r="W786" s="131"/>
      <c r="X786" s="131"/>
      <c r="Y786" s="137"/>
      <c r="Z786" s="134"/>
      <c r="AA786" s="134"/>
      <c r="AB786" s="138"/>
      <c r="AC786" s="20"/>
      <c r="AD786" s="20"/>
      <c r="AE786" s="20"/>
      <c r="AF786" s="20"/>
      <c r="AG786" s="20"/>
      <c r="AH786" s="20"/>
      <c r="AI786" s="20"/>
      <c r="AJ786" s="20"/>
      <c r="AK786" s="20"/>
      <c r="AL786" s="20"/>
      <c r="AM786" s="20"/>
      <c r="AN786" s="20"/>
      <c r="AO786" s="20"/>
      <c r="AP786" s="20"/>
      <c r="AQ786" s="20"/>
      <c r="AR786" s="20"/>
      <c r="AS786" s="20"/>
      <c r="AT786" s="20"/>
      <c r="AU786" s="20"/>
      <c r="AV786" s="20"/>
    </row>
    <row r="787" spans="1:48" ht="17.25" hidden="1" customHeight="1">
      <c r="A787" s="130"/>
      <c r="B787" s="131"/>
      <c r="C787" s="131"/>
      <c r="D787" s="131"/>
      <c r="E787" s="15"/>
      <c r="F787" s="131"/>
      <c r="G787" s="132"/>
      <c r="H787" s="133"/>
      <c r="I787" s="132"/>
      <c r="J787" s="133"/>
      <c r="K787" s="132"/>
      <c r="L787" s="133"/>
      <c r="M787" s="132"/>
      <c r="N787" s="134"/>
      <c r="O787" s="132"/>
      <c r="P787" s="134"/>
      <c r="Q787" s="132"/>
      <c r="R787" s="135"/>
      <c r="S787" s="132"/>
      <c r="T787" s="134"/>
      <c r="U787" s="131"/>
      <c r="V787" s="144"/>
      <c r="W787" s="131"/>
      <c r="X787" s="131"/>
      <c r="Y787" s="137"/>
      <c r="Z787" s="134"/>
      <c r="AA787" s="134"/>
      <c r="AB787" s="138"/>
      <c r="AC787" s="20"/>
      <c r="AD787" s="20"/>
      <c r="AE787" s="20"/>
      <c r="AF787" s="20"/>
      <c r="AG787" s="20"/>
      <c r="AH787" s="20"/>
      <c r="AI787" s="20"/>
      <c r="AJ787" s="20"/>
      <c r="AK787" s="20"/>
      <c r="AL787" s="20"/>
      <c r="AM787" s="20"/>
      <c r="AN787" s="20"/>
      <c r="AO787" s="20"/>
      <c r="AP787" s="20"/>
      <c r="AQ787" s="20"/>
      <c r="AR787" s="20"/>
      <c r="AS787" s="20"/>
      <c r="AT787" s="20"/>
      <c r="AU787" s="20"/>
      <c r="AV787" s="20"/>
    </row>
    <row r="788" spans="1:48" ht="17.25" hidden="1" customHeight="1">
      <c r="A788" s="130"/>
      <c r="B788" s="131"/>
      <c r="C788" s="131"/>
      <c r="D788" s="131"/>
      <c r="E788" s="15"/>
      <c r="F788" s="131"/>
      <c r="G788" s="132"/>
      <c r="H788" s="133"/>
      <c r="I788" s="132"/>
      <c r="J788" s="133"/>
      <c r="K788" s="132"/>
      <c r="L788" s="133"/>
      <c r="M788" s="132"/>
      <c r="N788" s="134"/>
      <c r="O788" s="132"/>
      <c r="P788" s="134"/>
      <c r="Q788" s="132"/>
      <c r="R788" s="135"/>
      <c r="S788" s="132"/>
      <c r="T788" s="134"/>
      <c r="U788" s="131"/>
      <c r="V788" s="144"/>
      <c r="W788" s="131"/>
      <c r="X788" s="131"/>
      <c r="Y788" s="137"/>
      <c r="Z788" s="134"/>
      <c r="AA788" s="134"/>
      <c r="AB788" s="138"/>
      <c r="AC788" s="20"/>
      <c r="AD788" s="20"/>
      <c r="AE788" s="20"/>
      <c r="AF788" s="20"/>
      <c r="AG788" s="20"/>
      <c r="AH788" s="20"/>
      <c r="AI788" s="20"/>
      <c r="AJ788" s="20"/>
      <c r="AK788" s="20"/>
      <c r="AL788" s="20"/>
      <c r="AM788" s="20"/>
      <c r="AN788" s="20"/>
      <c r="AO788" s="20"/>
      <c r="AP788" s="20"/>
      <c r="AQ788" s="20"/>
      <c r="AR788" s="20"/>
      <c r="AS788" s="20"/>
      <c r="AT788" s="20"/>
      <c r="AU788" s="20"/>
      <c r="AV788" s="20"/>
    </row>
    <row r="789" spans="1:48" ht="17.25" hidden="1" customHeight="1">
      <c r="A789" s="130"/>
      <c r="B789" s="131"/>
      <c r="C789" s="131"/>
      <c r="D789" s="131"/>
      <c r="E789" s="15"/>
      <c r="F789" s="131"/>
      <c r="G789" s="132"/>
      <c r="H789" s="133"/>
      <c r="I789" s="132"/>
      <c r="J789" s="131"/>
      <c r="K789" s="132"/>
      <c r="L789" s="131"/>
      <c r="M789" s="132"/>
      <c r="N789" s="134"/>
      <c r="O789" s="132"/>
      <c r="P789" s="134"/>
      <c r="Q789" s="132"/>
      <c r="R789" s="135"/>
      <c r="S789" s="132"/>
      <c r="T789" s="134"/>
      <c r="U789" s="131"/>
      <c r="V789" s="144"/>
      <c r="W789" s="131"/>
      <c r="X789" s="131"/>
      <c r="Y789" s="137"/>
      <c r="Z789" s="134"/>
      <c r="AA789" s="134"/>
      <c r="AB789" s="138"/>
      <c r="AC789" s="20"/>
      <c r="AD789" s="20"/>
      <c r="AE789" s="20"/>
      <c r="AF789" s="20"/>
      <c r="AG789" s="20"/>
      <c r="AH789" s="20"/>
      <c r="AI789" s="20"/>
      <c r="AJ789" s="20"/>
      <c r="AK789" s="20"/>
      <c r="AL789" s="20"/>
      <c r="AM789" s="20"/>
      <c r="AN789" s="20"/>
      <c r="AO789" s="20"/>
      <c r="AP789" s="20"/>
      <c r="AQ789" s="20"/>
      <c r="AR789" s="20"/>
      <c r="AS789" s="20"/>
      <c r="AT789" s="20"/>
      <c r="AU789" s="20"/>
      <c r="AV789" s="20"/>
    </row>
    <row r="790" spans="1:48" ht="17.25" hidden="1" customHeight="1">
      <c r="A790" s="130"/>
      <c r="B790" s="131"/>
      <c r="C790" s="131"/>
      <c r="D790" s="131"/>
      <c r="E790" s="15"/>
      <c r="F790" s="131"/>
      <c r="G790" s="132"/>
      <c r="H790" s="133"/>
      <c r="I790" s="132"/>
      <c r="J790" s="133"/>
      <c r="K790" s="132"/>
      <c r="L790" s="133"/>
      <c r="M790" s="132"/>
      <c r="N790" s="134"/>
      <c r="O790" s="132"/>
      <c r="P790" s="134"/>
      <c r="Q790" s="132"/>
      <c r="R790" s="135"/>
      <c r="S790" s="132"/>
      <c r="T790" s="134"/>
      <c r="U790" s="131"/>
      <c r="V790" s="144"/>
      <c r="W790" s="131"/>
      <c r="X790" s="131"/>
      <c r="Y790" s="137"/>
      <c r="Z790" s="134"/>
      <c r="AA790" s="134"/>
      <c r="AB790" s="138"/>
      <c r="AC790" s="20"/>
      <c r="AD790" s="20"/>
      <c r="AE790" s="20"/>
      <c r="AF790" s="20"/>
      <c r="AG790" s="20"/>
      <c r="AH790" s="20"/>
      <c r="AI790" s="20"/>
      <c r="AJ790" s="20"/>
      <c r="AK790" s="20"/>
      <c r="AL790" s="20"/>
      <c r="AM790" s="20"/>
      <c r="AN790" s="20"/>
      <c r="AO790" s="20"/>
      <c r="AP790" s="20"/>
      <c r="AQ790" s="20"/>
      <c r="AR790" s="20"/>
      <c r="AS790" s="20"/>
      <c r="AT790" s="20"/>
      <c r="AU790" s="20"/>
      <c r="AV790" s="20"/>
    </row>
    <row r="791" spans="1:48" ht="17.25" hidden="1" customHeight="1">
      <c r="A791" s="130"/>
      <c r="B791" s="131"/>
      <c r="C791" s="131"/>
      <c r="D791" s="131"/>
      <c r="E791" s="15"/>
      <c r="F791" s="131"/>
      <c r="G791" s="132"/>
      <c r="H791" s="133"/>
      <c r="I791" s="132"/>
      <c r="J791" s="133"/>
      <c r="K791" s="132"/>
      <c r="L791" s="133"/>
      <c r="M791" s="132"/>
      <c r="N791" s="134"/>
      <c r="O791" s="132"/>
      <c r="P791" s="134"/>
      <c r="Q791" s="132"/>
      <c r="R791" s="135"/>
      <c r="S791" s="132"/>
      <c r="T791" s="134"/>
      <c r="U791" s="131"/>
      <c r="V791" s="151"/>
      <c r="W791" s="131"/>
      <c r="X791" s="131"/>
      <c r="Y791" s="137"/>
      <c r="Z791" s="134"/>
      <c r="AA791" s="134"/>
      <c r="AB791" s="138"/>
      <c r="AC791" s="20"/>
      <c r="AD791" s="20"/>
      <c r="AE791" s="20"/>
      <c r="AF791" s="20"/>
      <c r="AG791" s="20"/>
      <c r="AH791" s="20"/>
      <c r="AI791" s="20"/>
      <c r="AJ791" s="20"/>
      <c r="AK791" s="20"/>
      <c r="AL791" s="20"/>
      <c r="AM791" s="20"/>
      <c r="AN791" s="20"/>
      <c r="AO791" s="20"/>
      <c r="AP791" s="20"/>
      <c r="AQ791" s="20"/>
      <c r="AR791" s="20"/>
      <c r="AS791" s="20"/>
      <c r="AT791" s="20"/>
      <c r="AU791" s="20"/>
      <c r="AV791" s="20"/>
    </row>
    <row r="792" spans="1:48" ht="17.25" hidden="1" customHeight="1">
      <c r="A792" s="130"/>
      <c r="B792" s="131"/>
      <c r="C792" s="131"/>
      <c r="D792" s="131"/>
      <c r="E792" s="15"/>
      <c r="F792" s="131"/>
      <c r="G792" s="132"/>
      <c r="H792" s="133"/>
      <c r="I792" s="132"/>
      <c r="J792" s="133"/>
      <c r="K792" s="132"/>
      <c r="L792" s="131"/>
      <c r="M792" s="132"/>
      <c r="N792" s="134"/>
      <c r="O792" s="132"/>
      <c r="P792" s="134"/>
      <c r="Q792" s="132"/>
      <c r="R792" s="135"/>
      <c r="S792" s="132"/>
      <c r="T792" s="134"/>
      <c r="U792" s="131"/>
      <c r="V792" s="148"/>
      <c r="W792" s="131"/>
      <c r="X792" s="131"/>
      <c r="Y792" s="137"/>
      <c r="Z792" s="134"/>
      <c r="AA792" s="134"/>
      <c r="AB792" s="138"/>
      <c r="AC792" s="20"/>
      <c r="AD792" s="20"/>
      <c r="AE792" s="20"/>
      <c r="AF792" s="20"/>
      <c r="AG792" s="20"/>
      <c r="AH792" s="20"/>
      <c r="AI792" s="20"/>
      <c r="AJ792" s="20"/>
      <c r="AK792" s="20"/>
      <c r="AL792" s="20"/>
      <c r="AM792" s="20"/>
      <c r="AN792" s="20"/>
      <c r="AO792" s="20"/>
      <c r="AP792" s="20"/>
      <c r="AQ792" s="20"/>
      <c r="AR792" s="20"/>
      <c r="AS792" s="20"/>
      <c r="AT792" s="20"/>
      <c r="AU792" s="20"/>
      <c r="AV792" s="20"/>
    </row>
    <row r="793" spans="1:48" ht="17.25" hidden="1" customHeight="1">
      <c r="A793" s="130"/>
      <c r="B793" s="131"/>
      <c r="C793" s="131"/>
      <c r="D793" s="131"/>
      <c r="E793" s="15"/>
      <c r="F793" s="131"/>
      <c r="G793" s="132"/>
      <c r="H793" s="133"/>
      <c r="I793" s="132"/>
      <c r="J793" s="131"/>
      <c r="K793" s="132"/>
      <c r="L793" s="131"/>
      <c r="M793" s="132"/>
      <c r="N793" s="134"/>
      <c r="O793" s="132"/>
      <c r="P793" s="134"/>
      <c r="Q793" s="132"/>
      <c r="R793" s="135"/>
      <c r="S793" s="132"/>
      <c r="T793" s="134"/>
      <c r="U793" s="131"/>
      <c r="V793" s="144"/>
      <c r="W793" s="131"/>
      <c r="X793" s="131"/>
      <c r="Y793" s="137"/>
      <c r="Z793" s="134"/>
      <c r="AA793" s="134"/>
      <c r="AB793" s="138"/>
      <c r="AC793" s="20"/>
      <c r="AD793" s="20"/>
      <c r="AE793" s="20"/>
      <c r="AF793" s="20"/>
      <c r="AG793" s="20"/>
      <c r="AH793" s="20"/>
      <c r="AI793" s="20"/>
      <c r="AJ793" s="20"/>
      <c r="AK793" s="20"/>
      <c r="AL793" s="20"/>
      <c r="AM793" s="20"/>
      <c r="AN793" s="20"/>
      <c r="AO793" s="20"/>
      <c r="AP793" s="20"/>
      <c r="AQ793" s="20"/>
      <c r="AR793" s="20"/>
      <c r="AS793" s="20"/>
      <c r="AT793" s="20"/>
      <c r="AU793" s="20"/>
      <c r="AV793" s="20"/>
    </row>
    <row r="794" spans="1:48" ht="17.25" hidden="1" customHeight="1">
      <c r="A794" s="130"/>
      <c r="B794" s="131"/>
      <c r="C794" s="131"/>
      <c r="D794" s="131"/>
      <c r="E794" s="15"/>
      <c r="F794" s="131"/>
      <c r="G794" s="132"/>
      <c r="H794" s="133"/>
      <c r="I794" s="132"/>
      <c r="J794" s="133"/>
      <c r="K794" s="132"/>
      <c r="L794" s="133"/>
      <c r="M794" s="132"/>
      <c r="N794" s="134"/>
      <c r="O794" s="132"/>
      <c r="P794" s="134"/>
      <c r="Q794" s="132"/>
      <c r="R794" s="135"/>
      <c r="S794" s="132"/>
      <c r="T794" s="134"/>
      <c r="U794" s="131"/>
      <c r="V794" s="144"/>
      <c r="W794" s="131"/>
      <c r="X794" s="131"/>
      <c r="Y794" s="137"/>
      <c r="Z794" s="134"/>
      <c r="AA794" s="134"/>
      <c r="AB794" s="138"/>
      <c r="AC794" s="20"/>
      <c r="AD794" s="20"/>
      <c r="AE794" s="20"/>
      <c r="AF794" s="20"/>
      <c r="AG794" s="20"/>
      <c r="AH794" s="20"/>
      <c r="AI794" s="20"/>
      <c r="AJ794" s="20"/>
      <c r="AK794" s="20"/>
      <c r="AL794" s="20"/>
      <c r="AM794" s="20"/>
      <c r="AN794" s="20"/>
      <c r="AO794" s="20"/>
      <c r="AP794" s="20"/>
      <c r="AQ794" s="20"/>
      <c r="AR794" s="20"/>
      <c r="AS794" s="20"/>
      <c r="AT794" s="20"/>
      <c r="AU794" s="20"/>
      <c r="AV794" s="20"/>
    </row>
    <row r="795" spans="1:48" ht="17.25" hidden="1" customHeight="1">
      <c r="A795" s="130"/>
      <c r="B795" s="131"/>
      <c r="C795" s="131"/>
      <c r="D795" s="131"/>
      <c r="E795" s="15"/>
      <c r="F795" s="131"/>
      <c r="G795" s="132"/>
      <c r="H795" s="133"/>
      <c r="I795" s="132"/>
      <c r="J795" s="133"/>
      <c r="K795" s="132"/>
      <c r="L795" s="133"/>
      <c r="M795" s="132"/>
      <c r="N795" s="134"/>
      <c r="O795" s="132"/>
      <c r="P795" s="134"/>
      <c r="Q795" s="132"/>
      <c r="R795" s="135"/>
      <c r="S795" s="132"/>
      <c r="T795" s="134"/>
      <c r="U795" s="131"/>
      <c r="V795" s="144"/>
      <c r="W795" s="131"/>
      <c r="X795" s="131"/>
      <c r="Y795" s="137"/>
      <c r="Z795" s="134"/>
      <c r="AA795" s="134"/>
      <c r="AB795" s="138"/>
      <c r="AC795" s="20"/>
      <c r="AD795" s="20"/>
      <c r="AE795" s="20"/>
      <c r="AF795" s="20"/>
      <c r="AG795" s="20"/>
      <c r="AH795" s="20"/>
      <c r="AI795" s="20"/>
      <c r="AJ795" s="20"/>
      <c r="AK795" s="20"/>
      <c r="AL795" s="20"/>
      <c r="AM795" s="20"/>
      <c r="AN795" s="20"/>
      <c r="AO795" s="20"/>
      <c r="AP795" s="20"/>
      <c r="AQ795" s="20"/>
      <c r="AR795" s="20"/>
      <c r="AS795" s="20"/>
      <c r="AT795" s="20"/>
      <c r="AU795" s="20"/>
      <c r="AV795" s="20"/>
    </row>
    <row r="796" spans="1:48" ht="17.25" hidden="1" customHeight="1">
      <c r="A796" s="130"/>
      <c r="B796" s="131"/>
      <c r="C796" s="131"/>
      <c r="D796" s="131"/>
      <c r="E796" s="15"/>
      <c r="F796" s="131"/>
      <c r="G796" s="132"/>
      <c r="H796" s="133"/>
      <c r="I796" s="132"/>
      <c r="J796" s="133"/>
      <c r="K796" s="132"/>
      <c r="L796" s="133"/>
      <c r="M796" s="132"/>
      <c r="N796" s="134"/>
      <c r="O796" s="132"/>
      <c r="P796" s="134"/>
      <c r="Q796" s="132"/>
      <c r="R796" s="135"/>
      <c r="S796" s="132"/>
      <c r="T796" s="134"/>
      <c r="U796" s="131"/>
      <c r="V796" s="144"/>
      <c r="W796" s="131"/>
      <c r="X796" s="131"/>
      <c r="Y796" s="137"/>
      <c r="Z796" s="134"/>
      <c r="AA796" s="134"/>
      <c r="AB796" s="138"/>
      <c r="AC796" s="20"/>
      <c r="AD796" s="20"/>
      <c r="AE796" s="20"/>
      <c r="AF796" s="20"/>
      <c r="AG796" s="20"/>
      <c r="AH796" s="20"/>
      <c r="AI796" s="20"/>
      <c r="AJ796" s="20"/>
      <c r="AK796" s="20"/>
      <c r="AL796" s="20"/>
      <c r="AM796" s="20"/>
      <c r="AN796" s="20"/>
      <c r="AO796" s="20"/>
      <c r="AP796" s="20"/>
      <c r="AQ796" s="20"/>
      <c r="AR796" s="20"/>
      <c r="AS796" s="20"/>
      <c r="AT796" s="20"/>
      <c r="AU796" s="20"/>
      <c r="AV796" s="20"/>
    </row>
    <row r="797" spans="1:48" ht="17.25" hidden="1" customHeight="1">
      <c r="A797" s="130"/>
      <c r="B797" s="131"/>
      <c r="C797" s="131"/>
      <c r="D797" s="131"/>
      <c r="E797" s="15"/>
      <c r="F797" s="131"/>
      <c r="G797" s="132"/>
      <c r="H797" s="133"/>
      <c r="I797" s="132"/>
      <c r="J797" s="133"/>
      <c r="K797" s="132"/>
      <c r="L797" s="133"/>
      <c r="M797" s="132"/>
      <c r="N797" s="134"/>
      <c r="O797" s="132"/>
      <c r="P797" s="134"/>
      <c r="Q797" s="132"/>
      <c r="R797" s="135"/>
      <c r="S797" s="132"/>
      <c r="T797" s="134"/>
      <c r="U797" s="131"/>
      <c r="V797" s="144"/>
      <c r="W797" s="131"/>
      <c r="X797" s="131"/>
      <c r="Y797" s="137"/>
      <c r="Z797" s="134"/>
      <c r="AA797" s="134"/>
      <c r="AB797" s="138"/>
      <c r="AC797" s="20"/>
      <c r="AD797" s="20"/>
      <c r="AE797" s="20"/>
      <c r="AF797" s="20"/>
      <c r="AG797" s="20"/>
      <c r="AH797" s="20"/>
      <c r="AI797" s="20"/>
      <c r="AJ797" s="20"/>
      <c r="AK797" s="20"/>
      <c r="AL797" s="20"/>
      <c r="AM797" s="20"/>
      <c r="AN797" s="20"/>
      <c r="AO797" s="20"/>
      <c r="AP797" s="20"/>
      <c r="AQ797" s="20"/>
      <c r="AR797" s="20"/>
      <c r="AS797" s="20"/>
      <c r="AT797" s="20"/>
      <c r="AU797" s="20"/>
      <c r="AV797" s="20"/>
    </row>
    <row r="798" spans="1:48" ht="17.25" hidden="1" customHeight="1">
      <c r="A798" s="130"/>
      <c r="B798" s="131"/>
      <c r="C798" s="131"/>
      <c r="D798" s="131"/>
      <c r="E798" s="15"/>
      <c r="F798" s="131"/>
      <c r="G798" s="132"/>
      <c r="H798" s="133"/>
      <c r="I798" s="132"/>
      <c r="J798" s="131"/>
      <c r="K798" s="132"/>
      <c r="L798" s="131"/>
      <c r="M798" s="132"/>
      <c r="N798" s="134"/>
      <c r="O798" s="132"/>
      <c r="P798" s="134"/>
      <c r="Q798" s="132"/>
      <c r="R798" s="135"/>
      <c r="S798" s="132"/>
      <c r="T798" s="134"/>
      <c r="U798" s="131"/>
      <c r="V798" s="144"/>
      <c r="W798" s="131"/>
      <c r="X798" s="131"/>
      <c r="Y798" s="137"/>
      <c r="Z798" s="134"/>
      <c r="AA798" s="134"/>
      <c r="AB798" s="138"/>
      <c r="AC798" s="20"/>
      <c r="AD798" s="20"/>
      <c r="AE798" s="20"/>
      <c r="AF798" s="20"/>
      <c r="AG798" s="20"/>
      <c r="AH798" s="20"/>
      <c r="AI798" s="20"/>
      <c r="AJ798" s="20"/>
      <c r="AK798" s="20"/>
      <c r="AL798" s="20"/>
      <c r="AM798" s="20"/>
      <c r="AN798" s="20"/>
      <c r="AO798" s="20"/>
      <c r="AP798" s="20"/>
      <c r="AQ798" s="20"/>
      <c r="AR798" s="20"/>
      <c r="AS798" s="20"/>
      <c r="AT798" s="20"/>
      <c r="AU798" s="20"/>
      <c r="AV798" s="20"/>
    </row>
    <row r="799" spans="1:48" ht="17.25" hidden="1" customHeight="1">
      <c r="A799" s="130"/>
      <c r="B799" s="131"/>
      <c r="C799" s="131"/>
      <c r="D799" s="131"/>
      <c r="E799" s="15"/>
      <c r="F799" s="131"/>
      <c r="G799" s="132"/>
      <c r="H799" s="133"/>
      <c r="I799" s="132"/>
      <c r="J799" s="133"/>
      <c r="K799" s="132"/>
      <c r="L799" s="133"/>
      <c r="M799" s="132"/>
      <c r="N799" s="134"/>
      <c r="O799" s="132"/>
      <c r="P799" s="134"/>
      <c r="Q799" s="132"/>
      <c r="R799" s="135"/>
      <c r="S799" s="132"/>
      <c r="T799" s="134"/>
      <c r="U799" s="131"/>
      <c r="V799" s="144"/>
      <c r="W799" s="131"/>
      <c r="X799" s="131"/>
      <c r="Y799" s="137"/>
      <c r="Z799" s="134"/>
      <c r="AA799" s="134"/>
      <c r="AB799" s="138"/>
      <c r="AC799" s="20"/>
      <c r="AD799" s="20"/>
      <c r="AE799" s="20"/>
      <c r="AF799" s="20"/>
      <c r="AG799" s="20"/>
      <c r="AH799" s="20"/>
      <c r="AI799" s="20"/>
      <c r="AJ799" s="20"/>
      <c r="AK799" s="20"/>
      <c r="AL799" s="20"/>
      <c r="AM799" s="20"/>
      <c r="AN799" s="20"/>
      <c r="AO799" s="20"/>
      <c r="AP799" s="20"/>
      <c r="AQ799" s="20"/>
      <c r="AR799" s="20"/>
      <c r="AS799" s="20"/>
      <c r="AT799" s="20"/>
      <c r="AU799" s="20"/>
      <c r="AV799" s="20"/>
    </row>
    <row r="800" spans="1:48" ht="17.25" hidden="1" customHeight="1">
      <c r="A800" s="130"/>
      <c r="B800" s="131"/>
      <c r="C800" s="131"/>
      <c r="D800" s="131"/>
      <c r="E800" s="15"/>
      <c r="F800" s="131"/>
      <c r="G800" s="132"/>
      <c r="H800" s="133"/>
      <c r="I800" s="132"/>
      <c r="J800" s="133"/>
      <c r="K800" s="132"/>
      <c r="L800" s="133"/>
      <c r="M800" s="132"/>
      <c r="N800" s="134"/>
      <c r="O800" s="132"/>
      <c r="P800" s="134"/>
      <c r="Q800" s="132"/>
      <c r="R800" s="135"/>
      <c r="S800" s="132"/>
      <c r="T800" s="134"/>
      <c r="U800" s="131"/>
      <c r="V800" s="153"/>
      <c r="W800" s="131"/>
      <c r="X800" s="131"/>
      <c r="Y800" s="137"/>
      <c r="Z800" s="134"/>
      <c r="AA800" s="134"/>
      <c r="AB800" s="138"/>
      <c r="AC800" s="20"/>
      <c r="AD800" s="20"/>
      <c r="AE800" s="20"/>
      <c r="AF800" s="20"/>
      <c r="AG800" s="20"/>
      <c r="AH800" s="20"/>
      <c r="AI800" s="20"/>
      <c r="AJ800" s="20"/>
      <c r="AK800" s="20"/>
      <c r="AL800" s="20"/>
      <c r="AM800" s="20"/>
      <c r="AN800" s="20"/>
      <c r="AO800" s="20"/>
      <c r="AP800" s="20"/>
      <c r="AQ800" s="20"/>
      <c r="AR800" s="20"/>
      <c r="AS800" s="20"/>
      <c r="AT800" s="20"/>
      <c r="AU800" s="20"/>
      <c r="AV800" s="20"/>
    </row>
    <row r="801" spans="1:48" ht="17.25" hidden="1" customHeight="1">
      <c r="A801" s="130"/>
      <c r="B801" s="131"/>
      <c r="C801" s="131"/>
      <c r="D801" s="131"/>
      <c r="E801" s="15"/>
      <c r="F801" s="131"/>
      <c r="G801" s="132"/>
      <c r="H801" s="133"/>
      <c r="I801" s="132"/>
      <c r="J801" s="133"/>
      <c r="K801" s="132"/>
      <c r="L801" s="131"/>
      <c r="M801" s="132"/>
      <c r="N801" s="134"/>
      <c r="O801" s="132"/>
      <c r="P801" s="134"/>
      <c r="Q801" s="132"/>
      <c r="R801" s="135"/>
      <c r="S801" s="132"/>
      <c r="T801" s="134"/>
      <c r="U801" s="131"/>
      <c r="V801" s="140"/>
      <c r="W801" s="131"/>
      <c r="X801" s="131"/>
      <c r="Y801" s="137"/>
      <c r="Z801" s="134"/>
      <c r="AA801" s="134"/>
      <c r="AB801" s="138"/>
      <c r="AC801" s="20"/>
      <c r="AD801" s="20"/>
      <c r="AE801" s="20"/>
      <c r="AF801" s="20"/>
      <c r="AG801" s="20"/>
      <c r="AH801" s="20"/>
      <c r="AI801" s="20"/>
      <c r="AJ801" s="20"/>
      <c r="AK801" s="20"/>
      <c r="AL801" s="20"/>
      <c r="AM801" s="20"/>
      <c r="AN801" s="20"/>
      <c r="AO801" s="20"/>
      <c r="AP801" s="20"/>
      <c r="AQ801" s="20"/>
      <c r="AR801" s="20"/>
      <c r="AS801" s="20"/>
      <c r="AT801" s="20"/>
      <c r="AU801" s="20"/>
      <c r="AV801" s="20"/>
    </row>
    <row r="802" spans="1:48" ht="17.25" hidden="1" customHeight="1">
      <c r="A802" s="130"/>
      <c r="B802" s="131"/>
      <c r="C802" s="131"/>
      <c r="D802" s="131"/>
      <c r="E802" s="15"/>
      <c r="F802" s="131"/>
      <c r="G802" s="132"/>
      <c r="H802" s="133"/>
      <c r="I802" s="132"/>
      <c r="J802" s="131"/>
      <c r="K802" s="132"/>
      <c r="L802" s="131"/>
      <c r="M802" s="132"/>
      <c r="N802" s="134"/>
      <c r="O802" s="132"/>
      <c r="P802" s="134"/>
      <c r="Q802" s="132"/>
      <c r="R802" s="135"/>
      <c r="S802" s="132"/>
      <c r="T802" s="134"/>
      <c r="U802" s="131"/>
      <c r="V802" s="144"/>
      <c r="W802" s="131"/>
      <c r="X802" s="131"/>
      <c r="Y802" s="137"/>
      <c r="Z802" s="134"/>
      <c r="AA802" s="134"/>
      <c r="AB802" s="138"/>
      <c r="AC802" s="20"/>
      <c r="AD802" s="20"/>
      <c r="AE802" s="20"/>
      <c r="AF802" s="20"/>
      <c r="AG802" s="20"/>
      <c r="AH802" s="20"/>
      <c r="AI802" s="20"/>
      <c r="AJ802" s="20"/>
      <c r="AK802" s="20"/>
      <c r="AL802" s="20"/>
      <c r="AM802" s="20"/>
      <c r="AN802" s="20"/>
      <c r="AO802" s="20"/>
      <c r="AP802" s="20"/>
      <c r="AQ802" s="20"/>
      <c r="AR802" s="20"/>
      <c r="AS802" s="20"/>
      <c r="AT802" s="20"/>
      <c r="AU802" s="20"/>
      <c r="AV802" s="20"/>
    </row>
    <row r="803" spans="1:48" ht="17.25" hidden="1" customHeight="1">
      <c r="A803" s="130"/>
      <c r="B803" s="131"/>
      <c r="C803" s="131"/>
      <c r="D803" s="131"/>
      <c r="E803" s="15"/>
      <c r="F803" s="131"/>
      <c r="G803" s="132"/>
      <c r="H803" s="133"/>
      <c r="I803" s="132"/>
      <c r="J803" s="133"/>
      <c r="K803" s="132"/>
      <c r="L803" s="133"/>
      <c r="M803" s="132"/>
      <c r="N803" s="134"/>
      <c r="O803" s="132"/>
      <c r="P803" s="134"/>
      <c r="Q803" s="132"/>
      <c r="R803" s="135"/>
      <c r="S803" s="132"/>
      <c r="T803" s="134"/>
      <c r="U803" s="131"/>
      <c r="V803" s="144"/>
      <c r="W803" s="131"/>
      <c r="X803" s="131"/>
      <c r="Y803" s="137"/>
      <c r="Z803" s="134"/>
      <c r="AA803" s="134"/>
      <c r="AB803" s="138"/>
      <c r="AC803" s="20"/>
      <c r="AD803" s="20"/>
      <c r="AE803" s="20"/>
      <c r="AF803" s="20"/>
      <c r="AG803" s="20"/>
      <c r="AH803" s="20"/>
      <c r="AI803" s="20"/>
      <c r="AJ803" s="20"/>
      <c r="AK803" s="20"/>
      <c r="AL803" s="20"/>
      <c r="AM803" s="20"/>
      <c r="AN803" s="20"/>
      <c r="AO803" s="20"/>
      <c r="AP803" s="20"/>
      <c r="AQ803" s="20"/>
      <c r="AR803" s="20"/>
      <c r="AS803" s="20"/>
      <c r="AT803" s="20"/>
      <c r="AU803" s="20"/>
      <c r="AV803" s="20"/>
    </row>
    <row r="804" spans="1:48" ht="17.25" hidden="1" customHeight="1">
      <c r="A804" s="130"/>
      <c r="B804" s="131"/>
      <c r="C804" s="131"/>
      <c r="D804" s="131"/>
      <c r="E804" s="15"/>
      <c r="F804" s="131"/>
      <c r="G804" s="132"/>
      <c r="H804" s="133"/>
      <c r="I804" s="132"/>
      <c r="J804" s="133"/>
      <c r="K804" s="132"/>
      <c r="L804" s="133"/>
      <c r="M804" s="132"/>
      <c r="N804" s="134"/>
      <c r="O804" s="132"/>
      <c r="P804" s="134"/>
      <c r="Q804" s="132"/>
      <c r="R804" s="135"/>
      <c r="S804" s="132"/>
      <c r="T804" s="134"/>
      <c r="U804" s="131"/>
      <c r="V804" s="144"/>
      <c r="W804" s="131"/>
      <c r="X804" s="131"/>
      <c r="Y804" s="137"/>
      <c r="Z804" s="134"/>
      <c r="AA804" s="134"/>
      <c r="AB804" s="138"/>
      <c r="AC804" s="20"/>
      <c r="AD804" s="20"/>
      <c r="AE804" s="20"/>
      <c r="AF804" s="20"/>
      <c r="AG804" s="20"/>
      <c r="AH804" s="20"/>
      <c r="AI804" s="20"/>
      <c r="AJ804" s="20"/>
      <c r="AK804" s="20"/>
      <c r="AL804" s="20"/>
      <c r="AM804" s="20"/>
      <c r="AN804" s="20"/>
      <c r="AO804" s="20"/>
      <c r="AP804" s="20"/>
      <c r="AQ804" s="20"/>
      <c r="AR804" s="20"/>
      <c r="AS804" s="20"/>
      <c r="AT804" s="20"/>
      <c r="AU804" s="20"/>
      <c r="AV804" s="20"/>
    </row>
    <row r="805" spans="1:48" ht="17.25" hidden="1" customHeight="1">
      <c r="A805" s="130"/>
      <c r="B805" s="131"/>
      <c r="C805" s="131"/>
      <c r="D805" s="131"/>
      <c r="E805" s="15"/>
      <c r="F805" s="131"/>
      <c r="G805" s="132"/>
      <c r="H805" s="133"/>
      <c r="I805" s="132"/>
      <c r="J805" s="133"/>
      <c r="K805" s="132"/>
      <c r="L805" s="133"/>
      <c r="M805" s="132"/>
      <c r="N805" s="134"/>
      <c r="O805" s="132"/>
      <c r="P805" s="134"/>
      <c r="Q805" s="132"/>
      <c r="R805" s="135"/>
      <c r="S805" s="132"/>
      <c r="T805" s="134"/>
      <c r="U805" s="131"/>
      <c r="V805" s="144"/>
      <c r="W805" s="131"/>
      <c r="X805" s="131"/>
      <c r="Y805" s="137"/>
      <c r="Z805" s="134"/>
      <c r="AA805" s="134"/>
      <c r="AB805" s="138"/>
      <c r="AC805" s="20"/>
      <c r="AD805" s="20"/>
      <c r="AE805" s="20"/>
      <c r="AF805" s="20"/>
      <c r="AG805" s="20"/>
      <c r="AH805" s="20"/>
      <c r="AI805" s="20"/>
      <c r="AJ805" s="20"/>
      <c r="AK805" s="20"/>
      <c r="AL805" s="20"/>
      <c r="AM805" s="20"/>
      <c r="AN805" s="20"/>
      <c r="AO805" s="20"/>
      <c r="AP805" s="20"/>
      <c r="AQ805" s="20"/>
      <c r="AR805" s="20"/>
      <c r="AS805" s="20"/>
      <c r="AT805" s="20"/>
      <c r="AU805" s="20"/>
      <c r="AV805" s="20"/>
    </row>
    <row r="806" spans="1:48" ht="17.25" hidden="1" customHeight="1">
      <c r="A806" s="130"/>
      <c r="B806" s="131"/>
      <c r="C806" s="131"/>
      <c r="D806" s="131"/>
      <c r="E806" s="15"/>
      <c r="F806" s="131"/>
      <c r="G806" s="132"/>
      <c r="H806" s="133"/>
      <c r="I806" s="132"/>
      <c r="J806" s="133"/>
      <c r="K806" s="132"/>
      <c r="L806" s="133"/>
      <c r="M806" s="132"/>
      <c r="N806" s="134"/>
      <c r="O806" s="132"/>
      <c r="P806" s="134"/>
      <c r="Q806" s="132"/>
      <c r="R806" s="135"/>
      <c r="S806" s="132"/>
      <c r="T806" s="134"/>
      <c r="U806" s="131"/>
      <c r="V806" s="144"/>
      <c r="W806" s="131"/>
      <c r="X806" s="131"/>
      <c r="Y806" s="137"/>
      <c r="Z806" s="134"/>
      <c r="AA806" s="134"/>
      <c r="AB806" s="138"/>
      <c r="AC806" s="20"/>
      <c r="AD806" s="20"/>
      <c r="AE806" s="20"/>
      <c r="AF806" s="20"/>
      <c r="AG806" s="20"/>
      <c r="AH806" s="20"/>
      <c r="AI806" s="20"/>
      <c r="AJ806" s="20"/>
      <c r="AK806" s="20"/>
      <c r="AL806" s="20"/>
      <c r="AM806" s="20"/>
      <c r="AN806" s="20"/>
      <c r="AO806" s="20"/>
      <c r="AP806" s="20"/>
      <c r="AQ806" s="20"/>
      <c r="AR806" s="20"/>
      <c r="AS806" s="20"/>
      <c r="AT806" s="20"/>
      <c r="AU806" s="20"/>
      <c r="AV806" s="20"/>
    </row>
    <row r="807" spans="1:48" ht="17.25" hidden="1" customHeight="1">
      <c r="A807" s="130"/>
      <c r="B807" s="131"/>
      <c r="C807" s="131"/>
      <c r="D807" s="131"/>
      <c r="E807" s="15"/>
      <c r="F807" s="131"/>
      <c r="G807" s="132"/>
      <c r="H807" s="133"/>
      <c r="I807" s="132"/>
      <c r="J807" s="131"/>
      <c r="K807" s="132"/>
      <c r="L807" s="131"/>
      <c r="M807" s="132"/>
      <c r="N807" s="134"/>
      <c r="O807" s="132"/>
      <c r="P807" s="134"/>
      <c r="Q807" s="132"/>
      <c r="R807" s="135"/>
      <c r="S807" s="132"/>
      <c r="T807" s="134"/>
      <c r="U807" s="131"/>
      <c r="V807" s="144"/>
      <c r="W807" s="131"/>
      <c r="X807" s="131"/>
      <c r="Y807" s="137"/>
      <c r="Z807" s="134"/>
      <c r="AA807" s="134"/>
      <c r="AB807" s="138"/>
      <c r="AC807" s="20"/>
      <c r="AD807" s="20"/>
      <c r="AE807" s="20"/>
      <c r="AF807" s="20"/>
      <c r="AG807" s="20"/>
      <c r="AH807" s="20"/>
      <c r="AI807" s="20"/>
      <c r="AJ807" s="20"/>
      <c r="AK807" s="20"/>
      <c r="AL807" s="20"/>
      <c r="AM807" s="20"/>
      <c r="AN807" s="20"/>
      <c r="AO807" s="20"/>
      <c r="AP807" s="20"/>
      <c r="AQ807" s="20"/>
      <c r="AR807" s="20"/>
      <c r="AS807" s="20"/>
      <c r="AT807" s="20"/>
      <c r="AU807" s="20"/>
      <c r="AV807" s="20"/>
    </row>
    <row r="808" spans="1:48" ht="17.25" hidden="1" customHeight="1">
      <c r="A808" s="130"/>
      <c r="B808" s="131"/>
      <c r="C808" s="131"/>
      <c r="D808" s="131"/>
      <c r="E808" s="15"/>
      <c r="F808" s="131"/>
      <c r="G808" s="132"/>
      <c r="H808" s="133"/>
      <c r="I808" s="132"/>
      <c r="J808" s="133"/>
      <c r="K808" s="132"/>
      <c r="L808" s="133"/>
      <c r="M808" s="132"/>
      <c r="N808" s="134"/>
      <c r="O808" s="132"/>
      <c r="P808" s="134"/>
      <c r="Q808" s="132"/>
      <c r="R808" s="135"/>
      <c r="S808" s="132"/>
      <c r="T808" s="134"/>
      <c r="U808" s="131"/>
      <c r="V808" s="144"/>
      <c r="W808" s="131"/>
      <c r="X808" s="131"/>
      <c r="Y808" s="137"/>
      <c r="Z808" s="134"/>
      <c r="AA808" s="134"/>
      <c r="AB808" s="138"/>
      <c r="AC808" s="20"/>
      <c r="AD808" s="20"/>
      <c r="AE808" s="20"/>
      <c r="AF808" s="20"/>
      <c r="AG808" s="20"/>
      <c r="AH808" s="20"/>
      <c r="AI808" s="20"/>
      <c r="AJ808" s="20"/>
      <c r="AK808" s="20"/>
      <c r="AL808" s="20"/>
      <c r="AM808" s="20"/>
      <c r="AN808" s="20"/>
      <c r="AO808" s="20"/>
      <c r="AP808" s="20"/>
      <c r="AQ808" s="20"/>
      <c r="AR808" s="20"/>
      <c r="AS808" s="20"/>
      <c r="AT808" s="20"/>
      <c r="AU808" s="20"/>
      <c r="AV808" s="20"/>
    </row>
    <row r="809" spans="1:48" ht="17.25" hidden="1" customHeight="1">
      <c r="A809" s="130"/>
      <c r="B809" s="131"/>
      <c r="C809" s="131"/>
      <c r="D809" s="131"/>
      <c r="E809" s="15"/>
      <c r="F809" s="131"/>
      <c r="G809" s="132"/>
      <c r="H809" s="133"/>
      <c r="I809" s="132"/>
      <c r="J809" s="133"/>
      <c r="K809" s="132"/>
      <c r="L809" s="133"/>
      <c r="M809" s="132"/>
      <c r="N809" s="134"/>
      <c r="O809" s="132"/>
      <c r="P809" s="134"/>
      <c r="Q809" s="132"/>
      <c r="R809" s="135"/>
      <c r="S809" s="132"/>
      <c r="T809" s="134"/>
      <c r="U809" s="131"/>
      <c r="V809" s="162"/>
      <c r="W809" s="131"/>
      <c r="X809" s="131"/>
      <c r="Y809" s="137"/>
      <c r="Z809" s="134"/>
      <c r="AA809" s="134"/>
      <c r="AB809" s="138"/>
      <c r="AC809" s="20"/>
      <c r="AD809" s="20"/>
      <c r="AE809" s="20"/>
      <c r="AF809" s="20"/>
      <c r="AG809" s="20"/>
      <c r="AH809" s="20"/>
      <c r="AI809" s="20"/>
      <c r="AJ809" s="20"/>
      <c r="AK809" s="20"/>
      <c r="AL809" s="20"/>
      <c r="AM809" s="20"/>
      <c r="AN809" s="20"/>
      <c r="AO809" s="20"/>
      <c r="AP809" s="20"/>
      <c r="AQ809" s="20"/>
      <c r="AR809" s="20"/>
      <c r="AS809" s="20"/>
      <c r="AT809" s="20"/>
      <c r="AU809" s="20"/>
      <c r="AV809" s="20"/>
    </row>
    <row r="810" spans="1:48" ht="17.25" hidden="1" customHeight="1">
      <c r="A810" s="130"/>
      <c r="B810" s="131"/>
      <c r="C810" s="131"/>
      <c r="D810" s="131"/>
      <c r="E810" s="15"/>
      <c r="F810" s="131"/>
      <c r="G810" s="132"/>
      <c r="H810" s="133"/>
      <c r="I810" s="132"/>
      <c r="J810" s="133"/>
      <c r="K810" s="132"/>
      <c r="L810" s="131"/>
      <c r="M810" s="132"/>
      <c r="N810" s="134"/>
      <c r="O810" s="132"/>
      <c r="P810" s="134"/>
      <c r="Q810" s="132"/>
      <c r="R810" s="135"/>
      <c r="S810" s="132"/>
      <c r="T810" s="134"/>
      <c r="U810" s="131"/>
      <c r="V810" s="154"/>
      <c r="W810" s="131"/>
      <c r="X810" s="131"/>
      <c r="Y810" s="137"/>
      <c r="Z810" s="134"/>
      <c r="AA810" s="134"/>
      <c r="AB810" s="138"/>
      <c r="AC810" s="20"/>
      <c r="AD810" s="20"/>
      <c r="AE810" s="20"/>
      <c r="AF810" s="20"/>
      <c r="AG810" s="20"/>
      <c r="AH810" s="20"/>
      <c r="AI810" s="20"/>
      <c r="AJ810" s="20"/>
      <c r="AK810" s="20"/>
      <c r="AL810" s="20"/>
      <c r="AM810" s="20"/>
      <c r="AN810" s="20"/>
      <c r="AO810" s="20"/>
      <c r="AP810" s="20"/>
      <c r="AQ810" s="20"/>
      <c r="AR810" s="20"/>
      <c r="AS810" s="20"/>
      <c r="AT810" s="20"/>
      <c r="AU810" s="20"/>
      <c r="AV810" s="20"/>
    </row>
    <row r="811" spans="1:48" ht="17.25" hidden="1" customHeight="1">
      <c r="A811" s="130"/>
      <c r="B811" s="131"/>
      <c r="C811" s="131"/>
      <c r="D811" s="131"/>
      <c r="E811" s="15"/>
      <c r="F811" s="131"/>
      <c r="G811" s="132"/>
      <c r="H811" s="133"/>
      <c r="I811" s="132"/>
      <c r="J811" s="131"/>
      <c r="K811" s="132"/>
      <c r="L811" s="131"/>
      <c r="M811" s="132"/>
      <c r="N811" s="134"/>
      <c r="O811" s="132"/>
      <c r="P811" s="134"/>
      <c r="Q811" s="132"/>
      <c r="R811" s="135"/>
      <c r="S811" s="132"/>
      <c r="T811" s="134"/>
      <c r="U811" s="131"/>
      <c r="V811" s="144"/>
      <c r="W811" s="131"/>
      <c r="X811" s="131"/>
      <c r="Y811" s="137"/>
      <c r="Z811" s="134"/>
      <c r="AA811" s="134"/>
      <c r="AB811" s="138"/>
      <c r="AC811" s="20"/>
      <c r="AD811" s="20"/>
      <c r="AE811" s="20"/>
      <c r="AF811" s="20"/>
      <c r="AG811" s="20"/>
      <c r="AH811" s="20"/>
      <c r="AI811" s="20"/>
      <c r="AJ811" s="20"/>
      <c r="AK811" s="20"/>
      <c r="AL811" s="20"/>
      <c r="AM811" s="20"/>
      <c r="AN811" s="20"/>
      <c r="AO811" s="20"/>
      <c r="AP811" s="20"/>
      <c r="AQ811" s="20"/>
      <c r="AR811" s="20"/>
      <c r="AS811" s="20"/>
      <c r="AT811" s="20"/>
      <c r="AU811" s="20"/>
      <c r="AV811" s="20"/>
    </row>
    <row r="812" spans="1:48" ht="17.25" hidden="1" customHeight="1">
      <c r="A812" s="130"/>
      <c r="B812" s="131"/>
      <c r="C812" s="131"/>
      <c r="D812" s="131"/>
      <c r="E812" s="15"/>
      <c r="F812" s="131"/>
      <c r="G812" s="132"/>
      <c r="H812" s="133"/>
      <c r="I812" s="132"/>
      <c r="J812" s="133"/>
      <c r="K812" s="132"/>
      <c r="L812" s="133"/>
      <c r="M812" s="132"/>
      <c r="N812" s="134"/>
      <c r="O812" s="132"/>
      <c r="P812" s="134"/>
      <c r="Q812" s="132"/>
      <c r="R812" s="135"/>
      <c r="S812" s="132"/>
      <c r="T812" s="134"/>
      <c r="U812" s="131"/>
      <c r="V812" s="144"/>
      <c r="W812" s="131"/>
      <c r="X812" s="131"/>
      <c r="Y812" s="137"/>
      <c r="Z812" s="134"/>
      <c r="AA812" s="134"/>
      <c r="AB812" s="138"/>
      <c r="AC812" s="20"/>
      <c r="AD812" s="20"/>
      <c r="AE812" s="20"/>
      <c r="AF812" s="20"/>
      <c r="AG812" s="20"/>
      <c r="AH812" s="20"/>
      <c r="AI812" s="20"/>
      <c r="AJ812" s="20"/>
      <c r="AK812" s="20"/>
      <c r="AL812" s="20"/>
      <c r="AM812" s="20"/>
      <c r="AN812" s="20"/>
      <c r="AO812" s="20"/>
      <c r="AP812" s="20"/>
      <c r="AQ812" s="20"/>
      <c r="AR812" s="20"/>
      <c r="AS812" s="20"/>
      <c r="AT812" s="20"/>
      <c r="AU812" s="20"/>
      <c r="AV812" s="20"/>
    </row>
    <row r="813" spans="1:48" ht="17.25" hidden="1" customHeight="1">
      <c r="A813" s="130"/>
      <c r="B813" s="131"/>
      <c r="C813" s="131"/>
      <c r="D813" s="131"/>
      <c r="E813" s="15"/>
      <c r="F813" s="131"/>
      <c r="G813" s="132"/>
      <c r="H813" s="133"/>
      <c r="I813" s="132"/>
      <c r="J813" s="133"/>
      <c r="K813" s="132"/>
      <c r="L813" s="133"/>
      <c r="M813" s="132"/>
      <c r="N813" s="134"/>
      <c r="O813" s="132"/>
      <c r="P813" s="134"/>
      <c r="Q813" s="132"/>
      <c r="R813" s="135"/>
      <c r="S813" s="132"/>
      <c r="T813" s="134"/>
      <c r="U813" s="131"/>
      <c r="V813" s="144"/>
      <c r="W813" s="131"/>
      <c r="X813" s="131"/>
      <c r="Y813" s="137"/>
      <c r="Z813" s="134"/>
      <c r="AA813" s="134"/>
      <c r="AB813" s="138"/>
      <c r="AC813" s="20"/>
      <c r="AD813" s="20"/>
      <c r="AE813" s="20"/>
      <c r="AF813" s="20"/>
      <c r="AG813" s="20"/>
      <c r="AH813" s="20"/>
      <c r="AI813" s="20"/>
      <c r="AJ813" s="20"/>
      <c r="AK813" s="20"/>
      <c r="AL813" s="20"/>
      <c r="AM813" s="20"/>
      <c r="AN813" s="20"/>
      <c r="AO813" s="20"/>
      <c r="AP813" s="20"/>
      <c r="AQ813" s="20"/>
      <c r="AR813" s="20"/>
      <c r="AS813" s="20"/>
      <c r="AT813" s="20"/>
      <c r="AU813" s="20"/>
      <c r="AV813" s="20"/>
    </row>
    <row r="814" spans="1:48" ht="17.25" hidden="1" customHeight="1">
      <c r="A814" s="130"/>
      <c r="B814" s="131"/>
      <c r="C814" s="131"/>
      <c r="D814" s="131"/>
      <c r="E814" s="15"/>
      <c r="F814" s="131"/>
      <c r="G814" s="132"/>
      <c r="H814" s="133"/>
      <c r="I814" s="132"/>
      <c r="J814" s="133"/>
      <c r="K814" s="132"/>
      <c r="L814" s="133"/>
      <c r="M814" s="132"/>
      <c r="N814" s="134"/>
      <c r="O814" s="132"/>
      <c r="P814" s="134"/>
      <c r="Q814" s="132"/>
      <c r="R814" s="135"/>
      <c r="S814" s="132"/>
      <c r="T814" s="134"/>
      <c r="U814" s="131"/>
      <c r="V814" s="144"/>
      <c r="W814" s="131"/>
      <c r="X814" s="131"/>
      <c r="Y814" s="137"/>
      <c r="Z814" s="134"/>
      <c r="AA814" s="134"/>
      <c r="AB814" s="138"/>
      <c r="AC814" s="20"/>
      <c r="AD814" s="20"/>
      <c r="AE814" s="20"/>
      <c r="AF814" s="20"/>
      <c r="AG814" s="20"/>
      <c r="AH814" s="20"/>
      <c r="AI814" s="20"/>
      <c r="AJ814" s="20"/>
      <c r="AK814" s="20"/>
      <c r="AL814" s="20"/>
      <c r="AM814" s="20"/>
      <c r="AN814" s="20"/>
      <c r="AO814" s="20"/>
      <c r="AP814" s="20"/>
      <c r="AQ814" s="20"/>
      <c r="AR814" s="20"/>
      <c r="AS814" s="20"/>
      <c r="AT814" s="20"/>
      <c r="AU814" s="20"/>
      <c r="AV814" s="20"/>
    </row>
    <row r="815" spans="1:48" ht="17.25" hidden="1" customHeight="1">
      <c r="A815" s="130"/>
      <c r="B815" s="131"/>
      <c r="C815" s="131"/>
      <c r="D815" s="131"/>
      <c r="E815" s="15"/>
      <c r="F815" s="131"/>
      <c r="G815" s="132"/>
      <c r="H815" s="133"/>
      <c r="I815" s="132"/>
      <c r="J815" s="133"/>
      <c r="K815" s="132"/>
      <c r="L815" s="133"/>
      <c r="M815" s="132"/>
      <c r="N815" s="134"/>
      <c r="O815" s="132"/>
      <c r="P815" s="134"/>
      <c r="Q815" s="132"/>
      <c r="R815" s="135"/>
      <c r="S815" s="132"/>
      <c r="T815" s="134"/>
      <c r="U815" s="131"/>
      <c r="V815" s="144"/>
      <c r="W815" s="131"/>
      <c r="X815" s="131"/>
      <c r="Y815" s="137"/>
      <c r="Z815" s="134"/>
      <c r="AA815" s="134"/>
      <c r="AB815" s="138"/>
      <c r="AC815" s="20"/>
      <c r="AD815" s="20"/>
      <c r="AE815" s="20"/>
      <c r="AF815" s="20"/>
      <c r="AG815" s="20"/>
      <c r="AH815" s="20"/>
      <c r="AI815" s="20"/>
      <c r="AJ815" s="20"/>
      <c r="AK815" s="20"/>
      <c r="AL815" s="20"/>
      <c r="AM815" s="20"/>
      <c r="AN815" s="20"/>
      <c r="AO815" s="20"/>
      <c r="AP815" s="20"/>
      <c r="AQ815" s="20"/>
      <c r="AR815" s="20"/>
      <c r="AS815" s="20"/>
      <c r="AT815" s="20"/>
      <c r="AU815" s="20"/>
      <c r="AV815" s="20"/>
    </row>
    <row r="816" spans="1:48" ht="17.25" hidden="1" customHeight="1">
      <c r="A816" s="130"/>
      <c r="B816" s="131"/>
      <c r="C816" s="131"/>
      <c r="D816" s="131"/>
      <c r="E816" s="15"/>
      <c r="F816" s="131"/>
      <c r="G816" s="132"/>
      <c r="H816" s="133"/>
      <c r="I816" s="132"/>
      <c r="J816" s="131"/>
      <c r="K816" s="132"/>
      <c r="L816" s="131"/>
      <c r="M816" s="132"/>
      <c r="N816" s="134"/>
      <c r="O816" s="132"/>
      <c r="P816" s="134"/>
      <c r="Q816" s="132"/>
      <c r="R816" s="135"/>
      <c r="S816" s="132"/>
      <c r="T816" s="134"/>
      <c r="U816" s="131"/>
      <c r="V816" s="144"/>
      <c r="W816" s="131"/>
      <c r="X816" s="131"/>
      <c r="Y816" s="137"/>
      <c r="Z816" s="134"/>
      <c r="AA816" s="134"/>
      <c r="AB816" s="138"/>
      <c r="AC816" s="20"/>
      <c r="AD816" s="20"/>
      <c r="AE816" s="20"/>
      <c r="AF816" s="20"/>
      <c r="AG816" s="20"/>
      <c r="AH816" s="20"/>
      <c r="AI816" s="20"/>
      <c r="AJ816" s="20"/>
      <c r="AK816" s="20"/>
      <c r="AL816" s="20"/>
      <c r="AM816" s="20"/>
      <c r="AN816" s="20"/>
      <c r="AO816" s="20"/>
      <c r="AP816" s="20"/>
      <c r="AQ816" s="20"/>
      <c r="AR816" s="20"/>
      <c r="AS816" s="20"/>
      <c r="AT816" s="20"/>
      <c r="AU816" s="20"/>
      <c r="AV816" s="20"/>
    </row>
    <row r="817" spans="1:48" ht="17.25" hidden="1" customHeight="1">
      <c r="A817" s="130"/>
      <c r="B817" s="131"/>
      <c r="C817" s="131"/>
      <c r="D817" s="131"/>
      <c r="E817" s="15"/>
      <c r="F817" s="131"/>
      <c r="G817" s="132"/>
      <c r="H817" s="133"/>
      <c r="I817" s="132"/>
      <c r="J817" s="133"/>
      <c r="K817" s="132"/>
      <c r="L817" s="133"/>
      <c r="M817" s="132"/>
      <c r="N817" s="134"/>
      <c r="O817" s="132"/>
      <c r="P817" s="134"/>
      <c r="Q817" s="132"/>
      <c r="R817" s="135"/>
      <c r="S817" s="132"/>
      <c r="T817" s="134"/>
      <c r="U817" s="131"/>
      <c r="V817" s="144"/>
      <c r="W817" s="131"/>
      <c r="X817" s="131"/>
      <c r="Y817" s="137"/>
      <c r="Z817" s="134"/>
      <c r="AA817" s="134"/>
      <c r="AB817" s="138"/>
      <c r="AC817" s="20"/>
      <c r="AD817" s="20"/>
      <c r="AE817" s="20"/>
      <c r="AF817" s="20"/>
      <c r="AG817" s="20"/>
      <c r="AH817" s="20"/>
      <c r="AI817" s="20"/>
      <c r="AJ817" s="20"/>
      <c r="AK817" s="20"/>
      <c r="AL817" s="20"/>
      <c r="AM817" s="20"/>
      <c r="AN817" s="20"/>
      <c r="AO817" s="20"/>
      <c r="AP817" s="20"/>
      <c r="AQ817" s="20"/>
      <c r="AR817" s="20"/>
      <c r="AS817" s="20"/>
      <c r="AT817" s="20"/>
      <c r="AU817" s="20"/>
      <c r="AV817" s="20"/>
    </row>
    <row r="818" spans="1:48" ht="17.25" hidden="1" customHeight="1">
      <c r="A818" s="130"/>
      <c r="B818" s="131"/>
      <c r="C818" s="131"/>
      <c r="D818" s="131"/>
      <c r="E818" s="15"/>
      <c r="F818" s="131"/>
      <c r="G818" s="132"/>
      <c r="H818" s="133"/>
      <c r="I818" s="132"/>
      <c r="J818" s="133"/>
      <c r="K818" s="132"/>
      <c r="L818" s="131"/>
      <c r="M818" s="132"/>
      <c r="N818" s="134"/>
      <c r="O818" s="132"/>
      <c r="P818" s="134"/>
      <c r="Q818" s="132"/>
      <c r="R818" s="135"/>
      <c r="S818" s="132"/>
      <c r="T818" s="134"/>
      <c r="U818" s="131"/>
      <c r="V818" s="143"/>
      <c r="W818" s="131"/>
      <c r="X818" s="131"/>
      <c r="Y818" s="137"/>
      <c r="Z818" s="134"/>
      <c r="AA818" s="134"/>
      <c r="AB818" s="138"/>
      <c r="AC818" s="20"/>
      <c r="AD818" s="20"/>
      <c r="AE818" s="20"/>
      <c r="AF818" s="20"/>
      <c r="AG818" s="20"/>
      <c r="AH818" s="20"/>
      <c r="AI818" s="20"/>
      <c r="AJ818" s="20"/>
      <c r="AK818" s="20"/>
      <c r="AL818" s="20"/>
      <c r="AM818" s="20"/>
      <c r="AN818" s="20"/>
      <c r="AO818" s="20"/>
      <c r="AP818" s="20"/>
      <c r="AQ818" s="20"/>
      <c r="AR818" s="20"/>
      <c r="AS818" s="20"/>
      <c r="AT818" s="20"/>
      <c r="AU818" s="20"/>
      <c r="AV818" s="20"/>
    </row>
    <row r="819" spans="1:48" ht="17.25" hidden="1" customHeight="1">
      <c r="A819" s="130"/>
      <c r="B819" s="131"/>
      <c r="C819" s="131"/>
      <c r="D819" s="131"/>
      <c r="E819" s="15"/>
      <c r="F819" s="131"/>
      <c r="G819" s="132"/>
      <c r="H819" s="133"/>
      <c r="I819" s="132"/>
      <c r="J819" s="133"/>
      <c r="K819" s="132"/>
      <c r="L819" s="131"/>
      <c r="M819" s="132"/>
      <c r="N819" s="134"/>
      <c r="O819" s="132"/>
      <c r="P819" s="134"/>
      <c r="Q819" s="132"/>
      <c r="R819" s="135"/>
      <c r="S819" s="132"/>
      <c r="T819" s="134"/>
      <c r="U819" s="131"/>
      <c r="V819" s="144"/>
      <c r="W819" s="131"/>
      <c r="X819" s="131"/>
      <c r="Y819" s="137"/>
      <c r="Z819" s="134"/>
      <c r="AA819" s="134"/>
      <c r="AB819" s="138"/>
      <c r="AC819" s="20"/>
      <c r="AD819" s="20"/>
      <c r="AE819" s="20"/>
      <c r="AF819" s="20"/>
      <c r="AG819" s="20"/>
      <c r="AH819" s="20"/>
      <c r="AI819" s="20"/>
      <c r="AJ819" s="20"/>
      <c r="AK819" s="20"/>
      <c r="AL819" s="20"/>
      <c r="AM819" s="20"/>
      <c r="AN819" s="20"/>
      <c r="AO819" s="20"/>
      <c r="AP819" s="20"/>
      <c r="AQ819" s="20"/>
      <c r="AR819" s="20"/>
      <c r="AS819" s="20"/>
      <c r="AT819" s="20"/>
      <c r="AU819" s="20"/>
      <c r="AV819" s="20"/>
    </row>
    <row r="820" spans="1:48" ht="17.25" hidden="1" customHeight="1">
      <c r="A820" s="130"/>
      <c r="B820" s="131"/>
      <c r="C820" s="131"/>
      <c r="D820" s="131"/>
      <c r="E820" s="15"/>
      <c r="F820" s="131"/>
      <c r="G820" s="132"/>
      <c r="H820" s="133"/>
      <c r="I820" s="132"/>
      <c r="J820" s="133"/>
      <c r="K820" s="132"/>
      <c r="L820" s="131"/>
      <c r="M820" s="132"/>
      <c r="N820" s="134"/>
      <c r="O820" s="132"/>
      <c r="P820" s="134"/>
      <c r="Q820" s="132"/>
      <c r="R820" s="135"/>
      <c r="S820" s="132"/>
      <c r="T820" s="134"/>
      <c r="U820" s="131"/>
      <c r="V820" s="145"/>
      <c r="W820" s="131"/>
      <c r="X820" s="131"/>
      <c r="Y820" s="137"/>
      <c r="Z820" s="134"/>
      <c r="AA820" s="134"/>
      <c r="AB820" s="138"/>
      <c r="AC820" s="20"/>
      <c r="AD820" s="20"/>
      <c r="AE820" s="20"/>
      <c r="AF820" s="20"/>
      <c r="AG820" s="20"/>
      <c r="AH820" s="20"/>
      <c r="AI820" s="20"/>
      <c r="AJ820" s="20"/>
      <c r="AK820" s="20"/>
      <c r="AL820" s="20"/>
      <c r="AM820" s="20"/>
      <c r="AN820" s="20"/>
      <c r="AO820" s="20"/>
      <c r="AP820" s="20"/>
      <c r="AQ820" s="20"/>
      <c r="AR820" s="20"/>
      <c r="AS820" s="20"/>
      <c r="AT820" s="20"/>
      <c r="AU820" s="20"/>
      <c r="AV820" s="20"/>
    </row>
    <row r="821" spans="1:48" ht="17.25" hidden="1" customHeight="1">
      <c r="A821" s="130"/>
      <c r="B821" s="131"/>
      <c r="C821" s="131"/>
      <c r="D821" s="131"/>
      <c r="E821" s="15"/>
      <c r="F821" s="131"/>
      <c r="G821" s="132"/>
      <c r="H821" s="133"/>
      <c r="I821" s="132"/>
      <c r="J821" s="133"/>
      <c r="K821" s="132"/>
      <c r="L821" s="133"/>
      <c r="M821" s="132"/>
      <c r="N821" s="134"/>
      <c r="O821" s="132"/>
      <c r="P821" s="134"/>
      <c r="Q821" s="132"/>
      <c r="R821" s="135"/>
      <c r="S821" s="132"/>
      <c r="T821" s="134"/>
      <c r="U821" s="131"/>
      <c r="V821" s="145"/>
      <c r="W821" s="131"/>
      <c r="X821" s="131"/>
      <c r="Y821" s="137"/>
      <c r="Z821" s="134"/>
      <c r="AA821" s="134"/>
      <c r="AB821" s="138"/>
      <c r="AC821" s="20"/>
      <c r="AD821" s="20"/>
      <c r="AE821" s="20"/>
      <c r="AF821" s="20"/>
      <c r="AG821" s="20"/>
      <c r="AH821" s="20"/>
      <c r="AI821" s="20"/>
      <c r="AJ821" s="20"/>
      <c r="AK821" s="20"/>
      <c r="AL821" s="20"/>
      <c r="AM821" s="20"/>
      <c r="AN821" s="20"/>
      <c r="AO821" s="20"/>
      <c r="AP821" s="20"/>
      <c r="AQ821" s="20"/>
      <c r="AR821" s="20"/>
      <c r="AS821" s="20"/>
      <c r="AT821" s="20"/>
      <c r="AU821" s="20"/>
      <c r="AV821" s="20"/>
    </row>
    <row r="822" spans="1:48" ht="17.25" hidden="1" customHeight="1">
      <c r="A822" s="130"/>
      <c r="B822" s="131"/>
      <c r="C822" s="131"/>
      <c r="D822" s="131"/>
      <c r="E822" s="15"/>
      <c r="F822" s="131"/>
      <c r="G822" s="132"/>
      <c r="H822" s="133"/>
      <c r="I822" s="132"/>
      <c r="J822" s="133"/>
      <c r="K822" s="132"/>
      <c r="L822" s="131"/>
      <c r="M822" s="132"/>
      <c r="N822" s="134"/>
      <c r="O822" s="132"/>
      <c r="P822" s="134"/>
      <c r="Q822" s="132"/>
      <c r="R822" s="135"/>
      <c r="S822" s="132"/>
      <c r="T822" s="134"/>
      <c r="U822" s="131"/>
      <c r="V822" s="145"/>
      <c r="W822" s="131"/>
      <c r="X822" s="131"/>
      <c r="Y822" s="137"/>
      <c r="Z822" s="134"/>
      <c r="AA822" s="134"/>
      <c r="AB822" s="138"/>
      <c r="AC822" s="20"/>
      <c r="AD822" s="20"/>
      <c r="AE822" s="20"/>
      <c r="AF822" s="20"/>
      <c r="AG822" s="20"/>
      <c r="AH822" s="20"/>
      <c r="AI822" s="20"/>
      <c r="AJ822" s="20"/>
      <c r="AK822" s="20"/>
      <c r="AL822" s="20"/>
      <c r="AM822" s="20"/>
      <c r="AN822" s="20"/>
      <c r="AO822" s="20"/>
      <c r="AP822" s="20"/>
      <c r="AQ822" s="20"/>
      <c r="AR822" s="20"/>
      <c r="AS822" s="20"/>
      <c r="AT822" s="20"/>
      <c r="AU822" s="20"/>
      <c r="AV822" s="20"/>
    </row>
    <row r="823" spans="1:48" ht="17.25" hidden="1" customHeight="1">
      <c r="A823" s="130"/>
      <c r="B823" s="131"/>
      <c r="C823" s="131"/>
      <c r="D823" s="131"/>
      <c r="E823" s="15"/>
      <c r="F823" s="131"/>
      <c r="G823" s="132"/>
      <c r="H823" s="133"/>
      <c r="I823" s="132"/>
      <c r="J823" s="133"/>
      <c r="K823" s="132"/>
      <c r="L823" s="133"/>
      <c r="M823" s="132"/>
      <c r="N823" s="134"/>
      <c r="O823" s="132"/>
      <c r="P823" s="134"/>
      <c r="Q823" s="132"/>
      <c r="R823" s="135"/>
      <c r="S823" s="132"/>
      <c r="T823" s="134"/>
      <c r="U823" s="131"/>
      <c r="V823" s="145"/>
      <c r="W823" s="131"/>
      <c r="X823" s="131"/>
      <c r="Y823" s="137"/>
      <c r="Z823" s="134"/>
      <c r="AA823" s="134"/>
      <c r="AB823" s="138"/>
      <c r="AC823" s="20"/>
      <c r="AD823" s="20"/>
      <c r="AE823" s="20"/>
      <c r="AF823" s="20"/>
      <c r="AG823" s="20"/>
      <c r="AH823" s="20"/>
      <c r="AI823" s="20"/>
      <c r="AJ823" s="20"/>
      <c r="AK823" s="20"/>
      <c r="AL823" s="20"/>
      <c r="AM823" s="20"/>
      <c r="AN823" s="20"/>
      <c r="AO823" s="20"/>
      <c r="AP823" s="20"/>
      <c r="AQ823" s="20"/>
      <c r="AR823" s="20"/>
      <c r="AS823" s="20"/>
      <c r="AT823" s="20"/>
      <c r="AU823" s="20"/>
      <c r="AV823" s="20"/>
    </row>
    <row r="824" spans="1:48" ht="17.25" hidden="1" customHeight="1">
      <c r="A824" s="130"/>
      <c r="B824" s="131"/>
      <c r="C824" s="131"/>
      <c r="D824" s="131"/>
      <c r="E824" s="15"/>
      <c r="F824" s="131"/>
      <c r="G824" s="132"/>
      <c r="H824" s="133"/>
      <c r="I824" s="132"/>
      <c r="J824" s="133"/>
      <c r="K824" s="132"/>
      <c r="L824" s="131"/>
      <c r="M824" s="132"/>
      <c r="N824" s="134"/>
      <c r="O824" s="132"/>
      <c r="P824" s="134"/>
      <c r="Q824" s="132"/>
      <c r="R824" s="135"/>
      <c r="S824" s="132"/>
      <c r="T824" s="134"/>
      <c r="U824" s="131"/>
      <c r="V824" s="145"/>
      <c r="W824" s="131"/>
      <c r="X824" s="131"/>
      <c r="Y824" s="137"/>
      <c r="Z824" s="134"/>
      <c r="AA824" s="134"/>
      <c r="AB824" s="138"/>
      <c r="AC824" s="20"/>
      <c r="AD824" s="20"/>
      <c r="AE824" s="20"/>
      <c r="AF824" s="20"/>
      <c r="AG824" s="20"/>
      <c r="AH824" s="20"/>
      <c r="AI824" s="20"/>
      <c r="AJ824" s="20"/>
      <c r="AK824" s="20"/>
      <c r="AL824" s="20"/>
      <c r="AM824" s="20"/>
      <c r="AN824" s="20"/>
      <c r="AO824" s="20"/>
      <c r="AP824" s="20"/>
      <c r="AQ824" s="20"/>
      <c r="AR824" s="20"/>
      <c r="AS824" s="20"/>
      <c r="AT824" s="20"/>
      <c r="AU824" s="20"/>
      <c r="AV824" s="20"/>
    </row>
    <row r="825" spans="1:48" ht="17.25" hidden="1" customHeight="1">
      <c r="A825" s="130"/>
      <c r="B825" s="131"/>
      <c r="C825" s="131"/>
      <c r="D825" s="131"/>
      <c r="E825" s="15"/>
      <c r="F825" s="131"/>
      <c r="G825" s="132"/>
      <c r="H825" s="133"/>
      <c r="I825" s="132"/>
      <c r="J825" s="133"/>
      <c r="K825" s="132"/>
      <c r="L825" s="131"/>
      <c r="M825" s="132"/>
      <c r="N825" s="134"/>
      <c r="O825" s="132"/>
      <c r="P825" s="134"/>
      <c r="Q825" s="132"/>
      <c r="R825" s="135"/>
      <c r="S825" s="132"/>
      <c r="T825" s="134"/>
      <c r="U825" s="131"/>
      <c r="V825" s="145"/>
      <c r="W825" s="131"/>
      <c r="X825" s="131"/>
      <c r="Y825" s="137"/>
      <c r="Z825" s="134"/>
      <c r="AA825" s="134"/>
      <c r="AB825" s="138"/>
      <c r="AC825" s="20"/>
      <c r="AD825" s="20"/>
      <c r="AE825" s="20"/>
      <c r="AF825" s="20"/>
      <c r="AG825" s="20"/>
      <c r="AH825" s="20"/>
      <c r="AI825" s="20"/>
      <c r="AJ825" s="20"/>
      <c r="AK825" s="20"/>
      <c r="AL825" s="20"/>
      <c r="AM825" s="20"/>
      <c r="AN825" s="20"/>
      <c r="AO825" s="20"/>
      <c r="AP825" s="20"/>
      <c r="AQ825" s="20"/>
      <c r="AR825" s="20"/>
      <c r="AS825" s="20"/>
      <c r="AT825" s="20"/>
      <c r="AU825" s="20"/>
      <c r="AV825" s="20"/>
    </row>
    <row r="826" spans="1:48" ht="17.25" hidden="1" customHeight="1">
      <c r="A826" s="130"/>
      <c r="B826" s="131"/>
      <c r="C826" s="131"/>
      <c r="D826" s="131"/>
      <c r="E826" s="15"/>
      <c r="F826" s="131"/>
      <c r="G826" s="132"/>
      <c r="H826" s="133"/>
      <c r="I826" s="132"/>
      <c r="J826" s="133"/>
      <c r="K826" s="132"/>
      <c r="L826" s="131"/>
      <c r="M826" s="132"/>
      <c r="N826" s="134"/>
      <c r="O826" s="132"/>
      <c r="P826" s="134"/>
      <c r="Q826" s="132"/>
      <c r="R826" s="135"/>
      <c r="S826" s="132"/>
      <c r="T826" s="134"/>
      <c r="U826" s="131"/>
      <c r="V826" s="145"/>
      <c r="W826" s="131"/>
      <c r="X826" s="131"/>
      <c r="Y826" s="137"/>
      <c r="Z826" s="134"/>
      <c r="AA826" s="134"/>
      <c r="AB826" s="138"/>
      <c r="AC826" s="20"/>
      <c r="AD826" s="20"/>
      <c r="AE826" s="20"/>
      <c r="AF826" s="20"/>
      <c r="AG826" s="20"/>
      <c r="AH826" s="20"/>
      <c r="AI826" s="20"/>
      <c r="AJ826" s="20"/>
      <c r="AK826" s="20"/>
      <c r="AL826" s="20"/>
      <c r="AM826" s="20"/>
      <c r="AN826" s="20"/>
      <c r="AO826" s="20"/>
      <c r="AP826" s="20"/>
      <c r="AQ826" s="20"/>
      <c r="AR826" s="20"/>
      <c r="AS826" s="20"/>
      <c r="AT826" s="20"/>
      <c r="AU826" s="20"/>
      <c r="AV826" s="20"/>
    </row>
    <row r="827" spans="1:48" ht="17.25" hidden="1" customHeight="1">
      <c r="A827" s="130"/>
      <c r="B827" s="131"/>
      <c r="C827" s="131"/>
      <c r="D827" s="131"/>
      <c r="E827" s="15"/>
      <c r="F827" s="131"/>
      <c r="G827" s="132"/>
      <c r="H827" s="133"/>
      <c r="I827" s="132"/>
      <c r="J827" s="133"/>
      <c r="K827" s="132"/>
      <c r="L827" s="133"/>
      <c r="M827" s="132"/>
      <c r="N827" s="134"/>
      <c r="O827" s="132"/>
      <c r="P827" s="134"/>
      <c r="Q827" s="132"/>
      <c r="R827" s="135"/>
      <c r="S827" s="132"/>
      <c r="T827" s="134"/>
      <c r="U827" s="131"/>
      <c r="V827" s="146"/>
      <c r="W827" s="131"/>
      <c r="X827" s="131"/>
      <c r="Y827" s="137"/>
      <c r="Z827" s="134"/>
      <c r="AA827" s="134"/>
      <c r="AB827" s="138"/>
      <c r="AC827" s="20"/>
      <c r="AD827" s="20"/>
      <c r="AE827" s="20"/>
      <c r="AF827" s="20"/>
      <c r="AG827" s="20"/>
      <c r="AH827" s="20"/>
      <c r="AI827" s="20"/>
      <c r="AJ827" s="20"/>
      <c r="AK827" s="20"/>
      <c r="AL827" s="20"/>
      <c r="AM827" s="20"/>
      <c r="AN827" s="20"/>
      <c r="AO827" s="20"/>
      <c r="AP827" s="20"/>
      <c r="AQ827" s="20"/>
      <c r="AR827" s="20"/>
      <c r="AS827" s="20"/>
      <c r="AT827" s="20"/>
      <c r="AU827" s="20"/>
      <c r="AV827" s="20"/>
    </row>
    <row r="828" spans="1:48" ht="17.25" hidden="1" customHeight="1">
      <c r="A828" s="130"/>
      <c r="B828" s="131"/>
      <c r="C828" s="131"/>
      <c r="D828" s="131"/>
      <c r="E828" s="15"/>
      <c r="F828" s="131"/>
      <c r="G828" s="132"/>
      <c r="H828" s="133"/>
      <c r="I828" s="132"/>
      <c r="J828" s="133"/>
      <c r="K828" s="132"/>
      <c r="L828" s="133"/>
      <c r="M828" s="132"/>
      <c r="N828" s="134"/>
      <c r="O828" s="132"/>
      <c r="P828" s="134"/>
      <c r="Q828" s="132"/>
      <c r="R828" s="135"/>
      <c r="S828" s="132"/>
      <c r="T828" s="134"/>
      <c r="U828" s="131"/>
      <c r="V828" s="147"/>
      <c r="W828" s="131"/>
      <c r="X828" s="131"/>
      <c r="Y828" s="137"/>
      <c r="Z828" s="134"/>
      <c r="AA828" s="134"/>
      <c r="AB828" s="138"/>
      <c r="AC828" s="20"/>
      <c r="AD828" s="20"/>
      <c r="AE828" s="20"/>
      <c r="AF828" s="20"/>
      <c r="AG828" s="20"/>
      <c r="AH828" s="20"/>
      <c r="AI828" s="20"/>
      <c r="AJ828" s="20"/>
      <c r="AK828" s="20"/>
      <c r="AL828" s="20"/>
      <c r="AM828" s="20"/>
      <c r="AN828" s="20"/>
      <c r="AO828" s="20"/>
      <c r="AP828" s="20"/>
      <c r="AQ828" s="20"/>
      <c r="AR828" s="20"/>
      <c r="AS828" s="20"/>
      <c r="AT828" s="20"/>
      <c r="AU828" s="20"/>
      <c r="AV828" s="20"/>
    </row>
    <row r="829" spans="1:48" ht="17.25" hidden="1" customHeight="1">
      <c r="A829" s="130"/>
      <c r="B829" s="131"/>
      <c r="C829" s="131"/>
      <c r="D829" s="131"/>
      <c r="E829" s="15"/>
      <c r="F829" s="131"/>
      <c r="G829" s="132"/>
      <c r="H829" s="133"/>
      <c r="I829" s="132"/>
      <c r="J829" s="133"/>
      <c r="K829" s="132"/>
      <c r="L829" s="133"/>
      <c r="M829" s="132"/>
      <c r="N829" s="134"/>
      <c r="O829" s="132"/>
      <c r="P829" s="134"/>
      <c r="Q829" s="132"/>
      <c r="R829" s="135"/>
      <c r="S829" s="132"/>
      <c r="T829" s="134"/>
      <c r="U829" s="131"/>
      <c r="V829" s="148"/>
      <c r="W829" s="131"/>
      <c r="X829" s="131"/>
      <c r="Y829" s="137"/>
      <c r="Z829" s="134"/>
      <c r="AA829" s="134"/>
      <c r="AB829" s="138"/>
      <c r="AC829" s="20"/>
      <c r="AD829" s="20"/>
      <c r="AE829" s="20"/>
      <c r="AF829" s="20"/>
      <c r="AG829" s="20"/>
      <c r="AH829" s="20"/>
      <c r="AI829" s="20"/>
      <c r="AJ829" s="20"/>
      <c r="AK829" s="20"/>
      <c r="AL829" s="20"/>
      <c r="AM829" s="20"/>
      <c r="AN829" s="20"/>
      <c r="AO829" s="20"/>
      <c r="AP829" s="20"/>
      <c r="AQ829" s="20"/>
      <c r="AR829" s="20"/>
      <c r="AS829" s="20"/>
      <c r="AT829" s="20"/>
      <c r="AU829" s="20"/>
      <c r="AV829" s="20"/>
    </row>
    <row r="830" spans="1:48" ht="17.25" hidden="1" customHeight="1">
      <c r="A830" s="130"/>
      <c r="B830" s="131"/>
      <c r="C830" s="131"/>
      <c r="D830" s="131"/>
      <c r="E830" s="15"/>
      <c r="F830" s="131"/>
      <c r="G830" s="132"/>
      <c r="H830" s="133"/>
      <c r="I830" s="132"/>
      <c r="J830" s="133"/>
      <c r="K830" s="132"/>
      <c r="L830" s="133"/>
      <c r="M830" s="132"/>
      <c r="N830" s="134"/>
      <c r="O830" s="132"/>
      <c r="P830" s="134"/>
      <c r="Q830" s="132"/>
      <c r="R830" s="135"/>
      <c r="S830" s="132"/>
      <c r="T830" s="134"/>
      <c r="U830" s="131"/>
      <c r="V830" s="148"/>
      <c r="W830" s="131"/>
      <c r="X830" s="131"/>
      <c r="Y830" s="137"/>
      <c r="Z830" s="134"/>
      <c r="AA830" s="134"/>
      <c r="AB830" s="138"/>
      <c r="AC830" s="20"/>
      <c r="AD830" s="20"/>
      <c r="AE830" s="20"/>
      <c r="AF830" s="20"/>
      <c r="AG830" s="20"/>
      <c r="AH830" s="20"/>
      <c r="AI830" s="20"/>
      <c r="AJ830" s="20"/>
      <c r="AK830" s="20"/>
      <c r="AL830" s="20"/>
      <c r="AM830" s="20"/>
      <c r="AN830" s="20"/>
      <c r="AO830" s="20"/>
      <c r="AP830" s="20"/>
      <c r="AQ830" s="20"/>
      <c r="AR830" s="20"/>
      <c r="AS830" s="20"/>
      <c r="AT830" s="20"/>
      <c r="AU830" s="20"/>
      <c r="AV830" s="20"/>
    </row>
    <row r="831" spans="1:48" ht="17.25" hidden="1" customHeight="1">
      <c r="A831" s="130"/>
      <c r="B831" s="131"/>
      <c r="C831" s="131"/>
      <c r="D831" s="131"/>
      <c r="E831" s="15"/>
      <c r="F831" s="131"/>
      <c r="G831" s="132"/>
      <c r="H831" s="133"/>
      <c r="I831" s="132"/>
      <c r="J831" s="133"/>
      <c r="K831" s="132"/>
      <c r="L831" s="133"/>
      <c r="M831" s="132"/>
      <c r="N831" s="134"/>
      <c r="O831" s="132"/>
      <c r="P831" s="134"/>
      <c r="Q831" s="132"/>
      <c r="R831" s="135"/>
      <c r="S831" s="132"/>
      <c r="T831" s="134"/>
      <c r="U831" s="131"/>
      <c r="V831" s="148"/>
      <c r="W831" s="131"/>
      <c r="X831" s="131"/>
      <c r="Y831" s="137"/>
      <c r="Z831" s="134"/>
      <c r="AA831" s="134"/>
      <c r="AB831" s="138"/>
      <c r="AC831" s="20"/>
      <c r="AD831" s="20"/>
      <c r="AE831" s="20"/>
      <c r="AF831" s="20"/>
      <c r="AG831" s="20"/>
      <c r="AH831" s="20"/>
      <c r="AI831" s="20"/>
      <c r="AJ831" s="20"/>
      <c r="AK831" s="20"/>
      <c r="AL831" s="20"/>
      <c r="AM831" s="20"/>
      <c r="AN831" s="20"/>
      <c r="AO831" s="20"/>
      <c r="AP831" s="20"/>
      <c r="AQ831" s="20"/>
      <c r="AR831" s="20"/>
      <c r="AS831" s="20"/>
      <c r="AT831" s="20"/>
      <c r="AU831" s="20"/>
      <c r="AV831" s="20"/>
    </row>
    <row r="832" spans="1:48" ht="17.25" hidden="1" customHeight="1">
      <c r="A832" s="130"/>
      <c r="B832" s="131"/>
      <c r="C832" s="131"/>
      <c r="D832" s="131"/>
      <c r="E832" s="15"/>
      <c r="F832" s="131"/>
      <c r="G832" s="132"/>
      <c r="H832" s="133"/>
      <c r="I832" s="132"/>
      <c r="J832" s="133"/>
      <c r="K832" s="132"/>
      <c r="L832" s="133"/>
      <c r="M832" s="132"/>
      <c r="N832" s="134"/>
      <c r="O832" s="132"/>
      <c r="P832" s="134"/>
      <c r="Q832" s="132"/>
      <c r="R832" s="135"/>
      <c r="S832" s="132"/>
      <c r="T832" s="134"/>
      <c r="U832" s="131"/>
      <c r="V832" s="148"/>
      <c r="W832" s="131"/>
      <c r="X832" s="131"/>
      <c r="Y832" s="137"/>
      <c r="Z832" s="134"/>
      <c r="AA832" s="134"/>
      <c r="AB832" s="138"/>
      <c r="AC832" s="20"/>
      <c r="AD832" s="20"/>
      <c r="AE832" s="20"/>
      <c r="AF832" s="20"/>
      <c r="AG832" s="20"/>
      <c r="AH832" s="20"/>
      <c r="AI832" s="20"/>
      <c r="AJ832" s="20"/>
      <c r="AK832" s="20"/>
      <c r="AL832" s="20"/>
      <c r="AM832" s="20"/>
      <c r="AN832" s="20"/>
      <c r="AO832" s="20"/>
      <c r="AP832" s="20"/>
      <c r="AQ832" s="20"/>
      <c r="AR832" s="20"/>
      <c r="AS832" s="20"/>
      <c r="AT832" s="20"/>
      <c r="AU832" s="20"/>
      <c r="AV832" s="20"/>
    </row>
    <row r="833" spans="1:48" ht="17.25" hidden="1" customHeight="1">
      <c r="A833" s="130"/>
      <c r="B833" s="131"/>
      <c r="C833" s="131"/>
      <c r="D833" s="131"/>
      <c r="E833" s="15"/>
      <c r="F833" s="131"/>
      <c r="G833" s="132"/>
      <c r="H833" s="133"/>
      <c r="I833" s="132"/>
      <c r="J833" s="133"/>
      <c r="K833" s="132"/>
      <c r="L833" s="133"/>
      <c r="M833" s="132"/>
      <c r="N833" s="134"/>
      <c r="O833" s="132"/>
      <c r="P833" s="134"/>
      <c r="Q833" s="132"/>
      <c r="R833" s="135"/>
      <c r="S833" s="132"/>
      <c r="T833" s="134"/>
      <c r="U833" s="131"/>
      <c r="V833" s="148"/>
      <c r="W833" s="131"/>
      <c r="X833" s="131"/>
      <c r="Y833" s="137"/>
      <c r="Z833" s="134"/>
      <c r="AA833" s="134"/>
      <c r="AB833" s="138"/>
      <c r="AC833" s="20"/>
      <c r="AD833" s="20"/>
      <c r="AE833" s="20"/>
      <c r="AF833" s="20"/>
      <c r="AG833" s="20"/>
      <c r="AH833" s="20"/>
      <c r="AI833" s="20"/>
      <c r="AJ833" s="20"/>
      <c r="AK833" s="20"/>
      <c r="AL833" s="20"/>
      <c r="AM833" s="20"/>
      <c r="AN833" s="20"/>
      <c r="AO833" s="20"/>
      <c r="AP833" s="20"/>
      <c r="AQ833" s="20"/>
      <c r="AR833" s="20"/>
      <c r="AS833" s="20"/>
      <c r="AT833" s="20"/>
      <c r="AU833" s="20"/>
      <c r="AV833" s="20"/>
    </row>
    <row r="834" spans="1:48" ht="17.25" hidden="1" customHeight="1">
      <c r="A834" s="130"/>
      <c r="B834" s="131"/>
      <c r="C834" s="131"/>
      <c r="D834" s="131"/>
      <c r="E834" s="15"/>
      <c r="F834" s="131"/>
      <c r="G834" s="132"/>
      <c r="H834" s="133"/>
      <c r="I834" s="132"/>
      <c r="J834" s="133"/>
      <c r="K834" s="132"/>
      <c r="L834" s="133"/>
      <c r="M834" s="132"/>
      <c r="N834" s="134"/>
      <c r="O834" s="132"/>
      <c r="P834" s="134"/>
      <c r="Q834" s="132"/>
      <c r="R834" s="135"/>
      <c r="S834" s="132"/>
      <c r="T834" s="134"/>
      <c r="U834" s="131"/>
      <c r="V834" s="148"/>
      <c r="W834" s="131"/>
      <c r="X834" s="131"/>
      <c r="Y834" s="137"/>
      <c r="Z834" s="134"/>
      <c r="AA834" s="134"/>
      <c r="AB834" s="138"/>
      <c r="AC834" s="20"/>
      <c r="AD834" s="20"/>
      <c r="AE834" s="20"/>
      <c r="AF834" s="20"/>
      <c r="AG834" s="20"/>
      <c r="AH834" s="20"/>
      <c r="AI834" s="20"/>
      <c r="AJ834" s="20"/>
      <c r="AK834" s="20"/>
      <c r="AL834" s="20"/>
      <c r="AM834" s="20"/>
      <c r="AN834" s="20"/>
      <c r="AO834" s="20"/>
      <c r="AP834" s="20"/>
      <c r="AQ834" s="20"/>
      <c r="AR834" s="20"/>
      <c r="AS834" s="20"/>
      <c r="AT834" s="20"/>
      <c r="AU834" s="20"/>
      <c r="AV834" s="20"/>
    </row>
    <row r="835" spans="1:48" ht="17.25" hidden="1" customHeight="1">
      <c r="A835" s="130"/>
      <c r="B835" s="131"/>
      <c r="C835" s="131"/>
      <c r="D835" s="131"/>
      <c r="E835" s="15"/>
      <c r="F835" s="131"/>
      <c r="G835" s="132"/>
      <c r="H835" s="133"/>
      <c r="I835" s="132"/>
      <c r="J835" s="133"/>
      <c r="K835" s="132"/>
      <c r="L835" s="133"/>
      <c r="M835" s="132"/>
      <c r="N835" s="134"/>
      <c r="O835" s="132"/>
      <c r="P835" s="134"/>
      <c r="Q835" s="132"/>
      <c r="R835" s="135"/>
      <c r="S835" s="132"/>
      <c r="T835" s="134"/>
      <c r="U835" s="131"/>
      <c r="V835" s="148"/>
      <c r="W835" s="131"/>
      <c r="X835" s="131"/>
      <c r="Y835" s="137"/>
      <c r="Z835" s="134"/>
      <c r="AA835" s="134"/>
      <c r="AB835" s="138"/>
      <c r="AC835" s="20"/>
      <c r="AD835" s="20"/>
      <c r="AE835" s="20"/>
      <c r="AF835" s="20"/>
      <c r="AG835" s="20"/>
      <c r="AH835" s="20"/>
      <c r="AI835" s="20"/>
      <c r="AJ835" s="20"/>
      <c r="AK835" s="20"/>
      <c r="AL835" s="20"/>
      <c r="AM835" s="20"/>
      <c r="AN835" s="20"/>
      <c r="AO835" s="20"/>
      <c r="AP835" s="20"/>
      <c r="AQ835" s="20"/>
      <c r="AR835" s="20"/>
      <c r="AS835" s="20"/>
      <c r="AT835" s="20"/>
      <c r="AU835" s="20"/>
      <c r="AV835" s="20"/>
    </row>
    <row r="836" spans="1:48" ht="17.25" hidden="1" customHeight="1">
      <c r="A836" s="130"/>
      <c r="B836" s="131"/>
      <c r="C836" s="131"/>
      <c r="D836" s="131"/>
      <c r="E836" s="15"/>
      <c r="F836" s="131"/>
      <c r="G836" s="132"/>
      <c r="H836" s="133"/>
      <c r="I836" s="132"/>
      <c r="J836" s="133"/>
      <c r="K836" s="132"/>
      <c r="L836" s="133"/>
      <c r="M836" s="132"/>
      <c r="N836" s="134"/>
      <c r="O836" s="132"/>
      <c r="P836" s="134"/>
      <c r="Q836" s="132"/>
      <c r="R836" s="135"/>
      <c r="S836" s="132"/>
      <c r="T836" s="134"/>
      <c r="U836" s="131"/>
      <c r="V836" s="155"/>
      <c r="W836" s="131"/>
      <c r="X836" s="131"/>
      <c r="Y836" s="137"/>
      <c r="Z836" s="134"/>
      <c r="AA836" s="134"/>
      <c r="AB836" s="138"/>
      <c r="AC836" s="20"/>
      <c r="AD836" s="20"/>
      <c r="AE836" s="20"/>
      <c r="AF836" s="20"/>
      <c r="AG836" s="20"/>
      <c r="AH836" s="20"/>
      <c r="AI836" s="20"/>
      <c r="AJ836" s="20"/>
      <c r="AK836" s="20"/>
      <c r="AL836" s="20"/>
      <c r="AM836" s="20"/>
      <c r="AN836" s="20"/>
      <c r="AO836" s="20"/>
      <c r="AP836" s="20"/>
      <c r="AQ836" s="20"/>
      <c r="AR836" s="20"/>
      <c r="AS836" s="20"/>
      <c r="AT836" s="20"/>
      <c r="AU836" s="20"/>
      <c r="AV836" s="20"/>
    </row>
    <row r="837" spans="1:48" ht="17.25" hidden="1" customHeight="1">
      <c r="A837" s="130"/>
      <c r="B837" s="131"/>
      <c r="C837" s="131"/>
      <c r="D837" s="131"/>
      <c r="E837" s="15"/>
      <c r="F837" s="131"/>
      <c r="G837" s="132"/>
      <c r="H837" s="133"/>
      <c r="I837" s="132"/>
      <c r="J837" s="133"/>
      <c r="K837" s="132"/>
      <c r="L837" s="133"/>
      <c r="M837" s="132"/>
      <c r="N837" s="134"/>
      <c r="O837" s="132"/>
      <c r="P837" s="134"/>
      <c r="Q837" s="132"/>
      <c r="R837" s="135"/>
      <c r="S837" s="132"/>
      <c r="T837" s="134"/>
      <c r="U837" s="131"/>
      <c r="V837" s="148"/>
      <c r="W837" s="131"/>
      <c r="X837" s="131"/>
      <c r="Y837" s="137"/>
      <c r="Z837" s="134"/>
      <c r="AA837" s="134"/>
      <c r="AB837" s="138"/>
      <c r="AC837" s="20"/>
      <c r="AD837" s="20"/>
      <c r="AE837" s="20"/>
      <c r="AF837" s="20"/>
      <c r="AG837" s="20"/>
      <c r="AH837" s="20"/>
      <c r="AI837" s="20"/>
      <c r="AJ837" s="20"/>
      <c r="AK837" s="20"/>
      <c r="AL837" s="20"/>
      <c r="AM837" s="20"/>
      <c r="AN837" s="20"/>
      <c r="AO837" s="20"/>
      <c r="AP837" s="20"/>
      <c r="AQ837" s="20"/>
      <c r="AR837" s="20"/>
      <c r="AS837" s="20"/>
      <c r="AT837" s="20"/>
      <c r="AU837" s="20"/>
      <c r="AV837" s="20"/>
    </row>
    <row r="838" spans="1:48" ht="17.25" hidden="1" customHeight="1">
      <c r="A838" s="130"/>
      <c r="B838" s="131"/>
      <c r="C838" s="131"/>
      <c r="D838" s="131"/>
      <c r="E838" s="15"/>
      <c r="F838" s="131"/>
      <c r="G838" s="132"/>
      <c r="H838" s="133"/>
      <c r="I838" s="132"/>
      <c r="J838" s="133"/>
      <c r="K838" s="132"/>
      <c r="L838" s="133"/>
      <c r="M838" s="132"/>
      <c r="N838" s="134"/>
      <c r="O838" s="132"/>
      <c r="P838" s="134"/>
      <c r="Q838" s="132"/>
      <c r="R838" s="135"/>
      <c r="S838" s="132"/>
      <c r="T838" s="134"/>
      <c r="U838" s="131"/>
      <c r="V838" s="136"/>
      <c r="W838" s="131"/>
      <c r="X838" s="131"/>
      <c r="Y838" s="137"/>
      <c r="Z838" s="134"/>
      <c r="AA838" s="134"/>
      <c r="AB838" s="138"/>
      <c r="AC838" s="20"/>
      <c r="AD838" s="20"/>
      <c r="AE838" s="20"/>
      <c r="AF838" s="20"/>
      <c r="AG838" s="20"/>
      <c r="AH838" s="20"/>
      <c r="AI838" s="20"/>
      <c r="AJ838" s="20"/>
      <c r="AK838" s="20"/>
      <c r="AL838" s="20"/>
      <c r="AM838" s="20"/>
      <c r="AN838" s="20"/>
      <c r="AO838" s="20"/>
      <c r="AP838" s="20"/>
      <c r="AQ838" s="20"/>
      <c r="AR838" s="20"/>
      <c r="AS838" s="20"/>
      <c r="AT838" s="20"/>
      <c r="AU838" s="20"/>
      <c r="AV838" s="20"/>
    </row>
    <row r="839" spans="1:48" ht="17.25" hidden="1" customHeight="1">
      <c r="A839" s="130"/>
      <c r="B839" s="131"/>
      <c r="C839" s="131"/>
      <c r="D839" s="131"/>
      <c r="E839" s="15"/>
      <c r="F839" s="131"/>
      <c r="G839" s="132"/>
      <c r="H839" s="133"/>
      <c r="I839" s="132"/>
      <c r="J839" s="133"/>
      <c r="K839" s="132"/>
      <c r="L839" s="133"/>
      <c r="M839" s="132"/>
      <c r="N839" s="134"/>
      <c r="O839" s="132"/>
      <c r="P839" s="134"/>
      <c r="Q839" s="132"/>
      <c r="R839" s="135"/>
      <c r="S839" s="132"/>
      <c r="T839" s="134"/>
      <c r="U839" s="131"/>
      <c r="V839" s="136"/>
      <c r="W839" s="131"/>
      <c r="X839" s="131"/>
      <c r="Y839" s="137"/>
      <c r="Z839" s="134"/>
      <c r="AA839" s="134"/>
      <c r="AB839" s="138"/>
      <c r="AC839" s="20"/>
      <c r="AD839" s="20"/>
      <c r="AE839" s="20"/>
      <c r="AF839" s="20"/>
      <c r="AG839" s="20"/>
      <c r="AH839" s="20"/>
      <c r="AI839" s="20"/>
      <c r="AJ839" s="20"/>
      <c r="AK839" s="20"/>
      <c r="AL839" s="20"/>
      <c r="AM839" s="20"/>
      <c r="AN839" s="20"/>
      <c r="AO839" s="20"/>
      <c r="AP839" s="20"/>
      <c r="AQ839" s="20"/>
      <c r="AR839" s="20"/>
      <c r="AS839" s="20"/>
      <c r="AT839" s="20"/>
      <c r="AU839" s="20"/>
      <c r="AV839" s="20"/>
    </row>
    <row r="840" spans="1:48" ht="17.25" hidden="1" customHeight="1">
      <c r="A840" s="130"/>
      <c r="B840" s="131"/>
      <c r="C840" s="131"/>
      <c r="D840" s="131"/>
      <c r="E840" s="15"/>
      <c r="F840" s="131"/>
      <c r="G840" s="132"/>
      <c r="H840" s="133"/>
      <c r="I840" s="132"/>
      <c r="J840" s="133"/>
      <c r="K840" s="132"/>
      <c r="L840" s="133"/>
      <c r="M840" s="132"/>
      <c r="N840" s="134"/>
      <c r="O840" s="132"/>
      <c r="P840" s="134"/>
      <c r="Q840" s="132"/>
      <c r="R840" s="135"/>
      <c r="S840" s="132"/>
      <c r="T840" s="134"/>
      <c r="U840" s="131"/>
      <c r="V840" s="136"/>
      <c r="W840" s="131"/>
      <c r="X840" s="131"/>
      <c r="Y840" s="137"/>
      <c r="Z840" s="134"/>
      <c r="AA840" s="134"/>
      <c r="AB840" s="138"/>
      <c r="AC840" s="20"/>
      <c r="AD840" s="20"/>
      <c r="AE840" s="20"/>
      <c r="AF840" s="20"/>
      <c r="AG840" s="20"/>
      <c r="AH840" s="20"/>
      <c r="AI840" s="20"/>
      <c r="AJ840" s="20"/>
      <c r="AK840" s="20"/>
      <c r="AL840" s="20"/>
      <c r="AM840" s="20"/>
      <c r="AN840" s="20"/>
      <c r="AO840" s="20"/>
      <c r="AP840" s="20"/>
      <c r="AQ840" s="20"/>
      <c r="AR840" s="20"/>
      <c r="AS840" s="20"/>
      <c r="AT840" s="20"/>
      <c r="AU840" s="20"/>
      <c r="AV840" s="20"/>
    </row>
    <row r="841" spans="1:48" ht="17.25" hidden="1" customHeight="1">
      <c r="A841" s="130"/>
      <c r="B841" s="131"/>
      <c r="C841" s="131"/>
      <c r="D841" s="131"/>
      <c r="E841" s="15"/>
      <c r="F841" s="131"/>
      <c r="G841" s="132"/>
      <c r="H841" s="133"/>
      <c r="I841" s="132"/>
      <c r="J841" s="133"/>
      <c r="K841" s="132"/>
      <c r="L841" s="133"/>
      <c r="M841" s="132"/>
      <c r="N841" s="134"/>
      <c r="O841" s="132"/>
      <c r="P841" s="134"/>
      <c r="Q841" s="132"/>
      <c r="R841" s="135"/>
      <c r="S841" s="132"/>
      <c r="T841" s="134"/>
      <c r="U841" s="131"/>
      <c r="V841" s="136"/>
      <c r="W841" s="131"/>
      <c r="X841" s="131"/>
      <c r="Y841" s="137"/>
      <c r="Z841" s="134"/>
      <c r="AA841" s="134"/>
      <c r="AB841" s="138"/>
      <c r="AC841" s="20"/>
      <c r="AD841" s="20"/>
      <c r="AE841" s="20"/>
      <c r="AF841" s="20"/>
      <c r="AG841" s="20"/>
      <c r="AH841" s="20"/>
      <c r="AI841" s="20"/>
      <c r="AJ841" s="20"/>
      <c r="AK841" s="20"/>
      <c r="AL841" s="20"/>
      <c r="AM841" s="20"/>
      <c r="AN841" s="20"/>
      <c r="AO841" s="20"/>
      <c r="AP841" s="20"/>
      <c r="AQ841" s="20"/>
      <c r="AR841" s="20"/>
      <c r="AS841" s="20"/>
      <c r="AT841" s="20"/>
      <c r="AU841" s="20"/>
      <c r="AV841" s="20"/>
    </row>
    <row r="842" spans="1:48" ht="17.25" hidden="1" customHeight="1">
      <c r="A842" s="130"/>
      <c r="B842" s="131"/>
      <c r="C842" s="131"/>
      <c r="D842" s="131"/>
      <c r="E842" s="15"/>
      <c r="F842" s="131"/>
      <c r="G842" s="132"/>
      <c r="H842" s="133"/>
      <c r="I842" s="132"/>
      <c r="J842" s="133"/>
      <c r="K842" s="132"/>
      <c r="L842" s="133"/>
      <c r="M842" s="132"/>
      <c r="N842" s="134"/>
      <c r="O842" s="132"/>
      <c r="P842" s="134"/>
      <c r="Q842" s="132"/>
      <c r="R842" s="135"/>
      <c r="S842" s="132"/>
      <c r="T842" s="134"/>
      <c r="U842" s="131"/>
      <c r="V842" s="136"/>
      <c r="W842" s="131"/>
      <c r="X842" s="131"/>
      <c r="Y842" s="137"/>
      <c r="Z842" s="134"/>
      <c r="AA842" s="134"/>
      <c r="AB842" s="138"/>
      <c r="AC842" s="20"/>
      <c r="AD842" s="20"/>
      <c r="AE842" s="20"/>
      <c r="AF842" s="20"/>
      <c r="AG842" s="20"/>
      <c r="AH842" s="20"/>
      <c r="AI842" s="20"/>
      <c r="AJ842" s="20"/>
      <c r="AK842" s="20"/>
      <c r="AL842" s="20"/>
      <c r="AM842" s="20"/>
      <c r="AN842" s="20"/>
      <c r="AO842" s="20"/>
      <c r="AP842" s="20"/>
      <c r="AQ842" s="20"/>
      <c r="AR842" s="20"/>
      <c r="AS842" s="20"/>
      <c r="AT842" s="20"/>
      <c r="AU842" s="20"/>
      <c r="AV842" s="20"/>
    </row>
    <row r="843" spans="1:48" ht="17.25" hidden="1" customHeight="1">
      <c r="A843" s="130"/>
      <c r="B843" s="131"/>
      <c r="C843" s="131"/>
      <c r="D843" s="131"/>
      <c r="E843" s="15"/>
      <c r="F843" s="131"/>
      <c r="G843" s="132"/>
      <c r="H843" s="133"/>
      <c r="I843" s="132"/>
      <c r="J843" s="133"/>
      <c r="K843" s="132"/>
      <c r="L843" s="133"/>
      <c r="M843" s="132"/>
      <c r="N843" s="134"/>
      <c r="O843" s="132"/>
      <c r="P843" s="134"/>
      <c r="Q843" s="132"/>
      <c r="R843" s="135"/>
      <c r="S843" s="132"/>
      <c r="T843" s="134"/>
      <c r="U843" s="131"/>
      <c r="V843" s="136"/>
      <c r="W843" s="131"/>
      <c r="X843" s="131"/>
      <c r="Y843" s="137"/>
      <c r="Z843" s="134"/>
      <c r="AA843" s="134"/>
      <c r="AB843" s="138"/>
      <c r="AC843" s="20"/>
      <c r="AD843" s="20"/>
      <c r="AE843" s="20"/>
      <c r="AF843" s="20"/>
      <c r="AG843" s="20"/>
      <c r="AH843" s="20"/>
      <c r="AI843" s="20"/>
      <c r="AJ843" s="20"/>
      <c r="AK843" s="20"/>
      <c r="AL843" s="20"/>
      <c r="AM843" s="20"/>
      <c r="AN843" s="20"/>
      <c r="AO843" s="20"/>
      <c r="AP843" s="20"/>
      <c r="AQ843" s="20"/>
      <c r="AR843" s="20"/>
      <c r="AS843" s="20"/>
      <c r="AT843" s="20"/>
      <c r="AU843" s="20"/>
      <c r="AV843" s="20"/>
    </row>
    <row r="844" spans="1:48" ht="17.25" hidden="1" customHeight="1">
      <c r="A844" s="130"/>
      <c r="B844" s="131"/>
      <c r="C844" s="131"/>
      <c r="D844" s="131"/>
      <c r="E844" s="15"/>
      <c r="F844" s="131"/>
      <c r="G844" s="132"/>
      <c r="H844" s="133"/>
      <c r="I844" s="132"/>
      <c r="J844" s="133"/>
      <c r="K844" s="132"/>
      <c r="L844" s="133"/>
      <c r="M844" s="132"/>
      <c r="N844" s="134"/>
      <c r="O844" s="132"/>
      <c r="P844" s="134"/>
      <c r="Q844" s="132"/>
      <c r="R844" s="135"/>
      <c r="S844" s="132"/>
      <c r="T844" s="134"/>
      <c r="U844" s="131"/>
      <c r="V844" s="136"/>
      <c r="W844" s="131"/>
      <c r="X844" s="131"/>
      <c r="Y844" s="137"/>
      <c r="Z844" s="134"/>
      <c r="AA844" s="134"/>
      <c r="AB844" s="138"/>
      <c r="AC844" s="20"/>
      <c r="AD844" s="20"/>
      <c r="AE844" s="20"/>
      <c r="AF844" s="20"/>
      <c r="AG844" s="20"/>
      <c r="AH844" s="20"/>
      <c r="AI844" s="20"/>
      <c r="AJ844" s="20"/>
      <c r="AK844" s="20"/>
      <c r="AL844" s="20"/>
      <c r="AM844" s="20"/>
      <c r="AN844" s="20"/>
      <c r="AO844" s="20"/>
      <c r="AP844" s="20"/>
      <c r="AQ844" s="20"/>
      <c r="AR844" s="20"/>
      <c r="AS844" s="20"/>
      <c r="AT844" s="20"/>
      <c r="AU844" s="20"/>
      <c r="AV844" s="20"/>
    </row>
    <row r="845" spans="1:48" ht="17.25" hidden="1" customHeight="1">
      <c r="A845" s="130"/>
      <c r="B845" s="131"/>
      <c r="C845" s="131"/>
      <c r="D845" s="131"/>
      <c r="E845" s="15"/>
      <c r="F845" s="131"/>
      <c r="G845" s="132"/>
      <c r="H845" s="133"/>
      <c r="I845" s="132"/>
      <c r="J845" s="133"/>
      <c r="K845" s="132"/>
      <c r="L845" s="133"/>
      <c r="M845" s="132"/>
      <c r="N845" s="134"/>
      <c r="O845" s="132"/>
      <c r="P845" s="134"/>
      <c r="Q845" s="132"/>
      <c r="R845" s="135"/>
      <c r="S845" s="132"/>
      <c r="T845" s="134"/>
      <c r="U845" s="131"/>
      <c r="V845" s="149"/>
      <c r="W845" s="131"/>
      <c r="X845" s="131"/>
      <c r="Y845" s="137"/>
      <c r="Z845" s="134"/>
      <c r="AA845" s="134"/>
      <c r="AB845" s="138"/>
      <c r="AC845" s="20"/>
      <c r="AD845" s="20"/>
      <c r="AE845" s="20"/>
      <c r="AF845" s="20"/>
      <c r="AG845" s="20"/>
      <c r="AH845" s="20"/>
      <c r="AI845" s="20"/>
      <c r="AJ845" s="20"/>
      <c r="AK845" s="20"/>
      <c r="AL845" s="20"/>
      <c r="AM845" s="20"/>
      <c r="AN845" s="20"/>
      <c r="AO845" s="20"/>
      <c r="AP845" s="20"/>
      <c r="AQ845" s="20"/>
      <c r="AR845" s="20"/>
      <c r="AS845" s="20"/>
      <c r="AT845" s="20"/>
      <c r="AU845" s="20"/>
      <c r="AV845" s="20"/>
    </row>
    <row r="846" spans="1:48" ht="17.25" hidden="1" customHeight="1">
      <c r="A846" s="130"/>
      <c r="B846" s="131"/>
      <c r="C846" s="131"/>
      <c r="D846" s="131"/>
      <c r="E846" s="15"/>
      <c r="F846" s="131"/>
      <c r="G846" s="132"/>
      <c r="H846" s="133"/>
      <c r="I846" s="132"/>
      <c r="J846" s="133"/>
      <c r="K846" s="132"/>
      <c r="L846" s="133"/>
      <c r="M846" s="132"/>
      <c r="N846" s="134"/>
      <c r="O846" s="132"/>
      <c r="P846" s="134"/>
      <c r="Q846" s="132"/>
      <c r="R846" s="135"/>
      <c r="S846" s="132"/>
      <c r="T846" s="134"/>
      <c r="U846" s="131"/>
      <c r="V846" s="136"/>
      <c r="W846" s="131"/>
      <c r="X846" s="131"/>
      <c r="Y846" s="137"/>
      <c r="Z846" s="134"/>
      <c r="AA846" s="134"/>
      <c r="AB846" s="138"/>
      <c r="AC846" s="20"/>
      <c r="AD846" s="20"/>
      <c r="AE846" s="20"/>
      <c r="AF846" s="20"/>
      <c r="AG846" s="20"/>
      <c r="AH846" s="20"/>
      <c r="AI846" s="20"/>
      <c r="AJ846" s="20"/>
      <c r="AK846" s="20"/>
      <c r="AL846" s="20"/>
      <c r="AM846" s="20"/>
      <c r="AN846" s="20"/>
      <c r="AO846" s="20"/>
      <c r="AP846" s="20"/>
      <c r="AQ846" s="20"/>
      <c r="AR846" s="20"/>
      <c r="AS846" s="20"/>
      <c r="AT846" s="20"/>
      <c r="AU846" s="20"/>
      <c r="AV846" s="20"/>
    </row>
    <row r="847" spans="1:48" ht="17.25" hidden="1" customHeight="1">
      <c r="A847" s="130"/>
      <c r="B847" s="131"/>
      <c r="C847" s="131"/>
      <c r="D847" s="131"/>
      <c r="E847" s="15"/>
      <c r="F847" s="131"/>
      <c r="G847" s="132"/>
      <c r="H847" s="133"/>
      <c r="I847" s="132"/>
      <c r="J847" s="133"/>
      <c r="K847" s="132"/>
      <c r="L847" s="133"/>
      <c r="M847" s="132"/>
      <c r="N847" s="134"/>
      <c r="O847" s="132"/>
      <c r="P847" s="134"/>
      <c r="Q847" s="132"/>
      <c r="R847" s="135"/>
      <c r="S847" s="132"/>
      <c r="T847" s="134"/>
      <c r="U847" s="131"/>
      <c r="V847" s="140"/>
      <c r="W847" s="131"/>
      <c r="X847" s="131"/>
      <c r="Y847" s="137"/>
      <c r="Z847" s="134"/>
      <c r="AA847" s="134"/>
      <c r="AB847" s="138"/>
      <c r="AC847" s="20"/>
      <c r="AD847" s="20"/>
      <c r="AE847" s="20"/>
      <c r="AF847" s="20"/>
      <c r="AG847" s="20"/>
      <c r="AH847" s="20"/>
      <c r="AI847" s="20"/>
      <c r="AJ847" s="20"/>
      <c r="AK847" s="20"/>
      <c r="AL847" s="20"/>
      <c r="AM847" s="20"/>
      <c r="AN847" s="20"/>
      <c r="AO847" s="20"/>
      <c r="AP847" s="20"/>
      <c r="AQ847" s="20"/>
      <c r="AR847" s="20"/>
      <c r="AS847" s="20"/>
      <c r="AT847" s="20"/>
      <c r="AU847" s="20"/>
      <c r="AV847" s="20"/>
    </row>
    <row r="848" spans="1:48" ht="17.25" hidden="1" customHeight="1">
      <c r="A848" s="130"/>
      <c r="B848" s="131"/>
      <c r="C848" s="131"/>
      <c r="D848" s="131"/>
      <c r="E848" s="15"/>
      <c r="F848" s="131"/>
      <c r="G848" s="132"/>
      <c r="H848" s="133"/>
      <c r="I848" s="132"/>
      <c r="J848" s="133"/>
      <c r="K848" s="132"/>
      <c r="L848" s="133"/>
      <c r="M848" s="132"/>
      <c r="N848" s="134"/>
      <c r="O848" s="132"/>
      <c r="P848" s="134"/>
      <c r="Q848" s="132"/>
      <c r="R848" s="135"/>
      <c r="S848" s="132"/>
      <c r="T848" s="134"/>
      <c r="U848" s="131"/>
      <c r="V848" s="140"/>
      <c r="W848" s="131"/>
      <c r="X848" s="131"/>
      <c r="Y848" s="137"/>
      <c r="Z848" s="134"/>
      <c r="AA848" s="134"/>
      <c r="AB848" s="138"/>
      <c r="AC848" s="20"/>
      <c r="AD848" s="20"/>
      <c r="AE848" s="20"/>
      <c r="AF848" s="20"/>
      <c r="AG848" s="20"/>
      <c r="AH848" s="20"/>
      <c r="AI848" s="20"/>
      <c r="AJ848" s="20"/>
      <c r="AK848" s="20"/>
      <c r="AL848" s="20"/>
      <c r="AM848" s="20"/>
      <c r="AN848" s="20"/>
      <c r="AO848" s="20"/>
      <c r="AP848" s="20"/>
      <c r="AQ848" s="20"/>
      <c r="AR848" s="20"/>
      <c r="AS848" s="20"/>
      <c r="AT848" s="20"/>
      <c r="AU848" s="20"/>
      <c r="AV848" s="20"/>
    </row>
    <row r="849" spans="1:48" ht="17.25" hidden="1" customHeight="1">
      <c r="A849" s="130"/>
      <c r="B849" s="131"/>
      <c r="C849" s="131"/>
      <c r="D849" s="131"/>
      <c r="E849" s="15"/>
      <c r="F849" s="131"/>
      <c r="G849" s="132"/>
      <c r="H849" s="133"/>
      <c r="I849" s="132"/>
      <c r="J849" s="133"/>
      <c r="K849" s="132"/>
      <c r="L849" s="133"/>
      <c r="M849" s="132"/>
      <c r="N849" s="134"/>
      <c r="O849" s="132"/>
      <c r="P849" s="134"/>
      <c r="Q849" s="132"/>
      <c r="R849" s="135"/>
      <c r="S849" s="132"/>
      <c r="T849" s="134"/>
      <c r="U849" s="131"/>
      <c r="V849" s="140"/>
      <c r="W849" s="131"/>
      <c r="X849" s="131"/>
      <c r="Y849" s="137"/>
      <c r="Z849" s="134"/>
      <c r="AA849" s="134"/>
      <c r="AB849" s="138"/>
      <c r="AC849" s="20"/>
      <c r="AD849" s="20"/>
      <c r="AE849" s="20"/>
      <c r="AF849" s="20"/>
      <c r="AG849" s="20"/>
      <c r="AH849" s="20"/>
      <c r="AI849" s="20"/>
      <c r="AJ849" s="20"/>
      <c r="AK849" s="20"/>
      <c r="AL849" s="20"/>
      <c r="AM849" s="20"/>
      <c r="AN849" s="20"/>
      <c r="AO849" s="20"/>
      <c r="AP849" s="20"/>
      <c r="AQ849" s="20"/>
      <c r="AR849" s="20"/>
      <c r="AS849" s="20"/>
      <c r="AT849" s="20"/>
      <c r="AU849" s="20"/>
      <c r="AV849" s="20"/>
    </row>
    <row r="850" spans="1:48" ht="17.25" hidden="1" customHeight="1">
      <c r="A850" s="130"/>
      <c r="B850" s="131"/>
      <c r="C850" s="131"/>
      <c r="D850" s="131"/>
      <c r="E850" s="15"/>
      <c r="F850" s="131"/>
      <c r="G850" s="132"/>
      <c r="H850" s="133"/>
      <c r="I850" s="132"/>
      <c r="J850" s="133"/>
      <c r="K850" s="132"/>
      <c r="L850" s="133"/>
      <c r="M850" s="132"/>
      <c r="N850" s="134"/>
      <c r="O850" s="132"/>
      <c r="P850" s="134"/>
      <c r="Q850" s="132"/>
      <c r="R850" s="135"/>
      <c r="S850" s="132"/>
      <c r="T850" s="134"/>
      <c r="U850" s="131"/>
      <c r="V850" s="140"/>
      <c r="W850" s="131"/>
      <c r="X850" s="131"/>
      <c r="Y850" s="137"/>
      <c r="Z850" s="134"/>
      <c r="AA850" s="134"/>
      <c r="AB850" s="138"/>
      <c r="AC850" s="20"/>
      <c r="AD850" s="20"/>
      <c r="AE850" s="20"/>
      <c r="AF850" s="20"/>
      <c r="AG850" s="20"/>
      <c r="AH850" s="20"/>
      <c r="AI850" s="20"/>
      <c r="AJ850" s="20"/>
      <c r="AK850" s="20"/>
      <c r="AL850" s="20"/>
      <c r="AM850" s="20"/>
      <c r="AN850" s="20"/>
      <c r="AO850" s="20"/>
      <c r="AP850" s="20"/>
      <c r="AQ850" s="20"/>
      <c r="AR850" s="20"/>
      <c r="AS850" s="20"/>
      <c r="AT850" s="20"/>
      <c r="AU850" s="20"/>
      <c r="AV850" s="20"/>
    </row>
    <row r="851" spans="1:48" ht="17.25" hidden="1" customHeight="1">
      <c r="A851" s="130"/>
      <c r="B851" s="131"/>
      <c r="C851" s="131"/>
      <c r="D851" s="131"/>
      <c r="E851" s="15"/>
      <c r="F851" s="131"/>
      <c r="G851" s="132"/>
      <c r="H851" s="133"/>
      <c r="I851" s="132"/>
      <c r="J851" s="133"/>
      <c r="K851" s="132"/>
      <c r="L851" s="133"/>
      <c r="M851" s="132"/>
      <c r="N851" s="134"/>
      <c r="O851" s="132"/>
      <c r="P851" s="134"/>
      <c r="Q851" s="132"/>
      <c r="R851" s="135"/>
      <c r="S851" s="132"/>
      <c r="T851" s="134"/>
      <c r="U851" s="131"/>
      <c r="V851" s="140"/>
      <c r="W851" s="131"/>
      <c r="X851" s="131"/>
      <c r="Y851" s="137"/>
      <c r="Z851" s="134"/>
      <c r="AA851" s="134"/>
      <c r="AB851" s="138"/>
      <c r="AC851" s="20"/>
      <c r="AD851" s="20"/>
      <c r="AE851" s="20"/>
      <c r="AF851" s="20"/>
      <c r="AG851" s="20"/>
      <c r="AH851" s="20"/>
      <c r="AI851" s="20"/>
      <c r="AJ851" s="20"/>
      <c r="AK851" s="20"/>
      <c r="AL851" s="20"/>
      <c r="AM851" s="20"/>
      <c r="AN851" s="20"/>
      <c r="AO851" s="20"/>
      <c r="AP851" s="20"/>
      <c r="AQ851" s="20"/>
      <c r="AR851" s="20"/>
      <c r="AS851" s="20"/>
      <c r="AT851" s="20"/>
      <c r="AU851" s="20"/>
      <c r="AV851" s="20"/>
    </row>
    <row r="852" spans="1:48" ht="17.25" hidden="1" customHeight="1">
      <c r="A852" s="130"/>
      <c r="B852" s="131"/>
      <c r="C852" s="131"/>
      <c r="D852" s="131"/>
      <c r="E852" s="15"/>
      <c r="F852" s="131"/>
      <c r="G852" s="132"/>
      <c r="H852" s="133"/>
      <c r="I852" s="132"/>
      <c r="J852" s="133"/>
      <c r="K852" s="132"/>
      <c r="L852" s="133"/>
      <c r="M852" s="132"/>
      <c r="N852" s="134"/>
      <c r="O852" s="132"/>
      <c r="P852" s="134"/>
      <c r="Q852" s="132"/>
      <c r="R852" s="135"/>
      <c r="S852" s="132"/>
      <c r="T852" s="134"/>
      <c r="U852" s="131"/>
      <c r="V852" s="140"/>
      <c r="W852" s="131"/>
      <c r="X852" s="131"/>
      <c r="Y852" s="137"/>
      <c r="Z852" s="134"/>
      <c r="AA852" s="134"/>
      <c r="AB852" s="138"/>
      <c r="AC852" s="20"/>
      <c r="AD852" s="20"/>
      <c r="AE852" s="20"/>
      <c r="AF852" s="20"/>
      <c r="AG852" s="20"/>
      <c r="AH852" s="20"/>
      <c r="AI852" s="20"/>
      <c r="AJ852" s="20"/>
      <c r="AK852" s="20"/>
      <c r="AL852" s="20"/>
      <c r="AM852" s="20"/>
      <c r="AN852" s="20"/>
      <c r="AO852" s="20"/>
      <c r="AP852" s="20"/>
      <c r="AQ852" s="20"/>
      <c r="AR852" s="20"/>
      <c r="AS852" s="20"/>
      <c r="AT852" s="20"/>
      <c r="AU852" s="20"/>
      <c r="AV852" s="20"/>
    </row>
    <row r="853" spans="1:48" ht="17.25" hidden="1" customHeight="1">
      <c r="A853" s="130"/>
      <c r="B853" s="131"/>
      <c r="C853" s="131"/>
      <c r="D853" s="131"/>
      <c r="E853" s="15"/>
      <c r="F853" s="131"/>
      <c r="G853" s="132"/>
      <c r="H853" s="133"/>
      <c r="I853" s="132"/>
      <c r="J853" s="133"/>
      <c r="K853" s="132"/>
      <c r="L853" s="133"/>
      <c r="M853" s="132"/>
      <c r="N853" s="134"/>
      <c r="O853" s="132"/>
      <c r="P853" s="134"/>
      <c r="Q853" s="132"/>
      <c r="R853" s="135"/>
      <c r="S853" s="132"/>
      <c r="T853" s="134"/>
      <c r="U853" s="131"/>
      <c r="V853" s="140"/>
      <c r="W853" s="131"/>
      <c r="X853" s="131"/>
      <c r="Y853" s="137"/>
      <c r="Z853" s="134"/>
      <c r="AA853" s="134"/>
      <c r="AB853" s="138"/>
      <c r="AC853" s="20"/>
      <c r="AD853" s="20"/>
      <c r="AE853" s="20"/>
      <c r="AF853" s="20"/>
      <c r="AG853" s="20"/>
      <c r="AH853" s="20"/>
      <c r="AI853" s="20"/>
      <c r="AJ853" s="20"/>
      <c r="AK853" s="20"/>
      <c r="AL853" s="20"/>
      <c r="AM853" s="20"/>
      <c r="AN853" s="20"/>
      <c r="AO853" s="20"/>
      <c r="AP853" s="20"/>
      <c r="AQ853" s="20"/>
      <c r="AR853" s="20"/>
      <c r="AS853" s="20"/>
      <c r="AT853" s="20"/>
      <c r="AU853" s="20"/>
      <c r="AV853" s="20"/>
    </row>
    <row r="854" spans="1:48" ht="17.25" hidden="1" customHeight="1">
      <c r="A854" s="130"/>
      <c r="B854" s="131"/>
      <c r="C854" s="131"/>
      <c r="D854" s="131"/>
      <c r="E854" s="15"/>
      <c r="F854" s="131"/>
      <c r="G854" s="132"/>
      <c r="H854" s="133"/>
      <c r="I854" s="132"/>
      <c r="J854" s="133"/>
      <c r="K854" s="132"/>
      <c r="L854" s="133"/>
      <c r="M854" s="132"/>
      <c r="N854" s="134"/>
      <c r="O854" s="132"/>
      <c r="P854" s="134"/>
      <c r="Q854" s="132"/>
      <c r="R854" s="135"/>
      <c r="S854" s="132"/>
      <c r="T854" s="134"/>
      <c r="U854" s="131"/>
      <c r="V854" s="151"/>
      <c r="W854" s="131"/>
      <c r="X854" s="131"/>
      <c r="Y854" s="137"/>
      <c r="Z854" s="134"/>
      <c r="AA854" s="134"/>
      <c r="AB854" s="138"/>
      <c r="AC854" s="20"/>
      <c r="AD854" s="20"/>
      <c r="AE854" s="20"/>
      <c r="AF854" s="20"/>
      <c r="AG854" s="20"/>
      <c r="AH854" s="20"/>
      <c r="AI854" s="20"/>
      <c r="AJ854" s="20"/>
      <c r="AK854" s="20"/>
      <c r="AL854" s="20"/>
      <c r="AM854" s="20"/>
      <c r="AN854" s="20"/>
      <c r="AO854" s="20"/>
      <c r="AP854" s="20"/>
      <c r="AQ854" s="20"/>
      <c r="AR854" s="20"/>
      <c r="AS854" s="20"/>
      <c r="AT854" s="20"/>
      <c r="AU854" s="20"/>
      <c r="AV854" s="20"/>
    </row>
    <row r="855" spans="1:48" ht="17.25" hidden="1" customHeight="1">
      <c r="A855" s="130"/>
      <c r="B855" s="131"/>
      <c r="C855" s="131"/>
      <c r="D855" s="131"/>
      <c r="E855" s="15"/>
      <c r="F855" s="131"/>
      <c r="G855" s="132"/>
      <c r="H855" s="133"/>
      <c r="I855" s="132"/>
      <c r="J855" s="133"/>
      <c r="K855" s="132"/>
      <c r="L855" s="133"/>
      <c r="M855" s="132"/>
      <c r="N855" s="134"/>
      <c r="O855" s="132"/>
      <c r="P855" s="134"/>
      <c r="Q855" s="132"/>
      <c r="R855" s="135"/>
      <c r="S855" s="132"/>
      <c r="T855" s="134"/>
      <c r="U855" s="131"/>
      <c r="V855" s="152"/>
      <c r="W855" s="131"/>
      <c r="X855" s="131"/>
      <c r="Y855" s="137"/>
      <c r="Z855" s="134"/>
      <c r="AA855" s="134"/>
      <c r="AB855" s="138"/>
      <c r="AC855" s="20"/>
      <c r="AD855" s="20"/>
      <c r="AE855" s="20"/>
      <c r="AF855" s="20"/>
      <c r="AG855" s="20"/>
      <c r="AH855" s="20"/>
      <c r="AI855" s="20"/>
      <c r="AJ855" s="20"/>
      <c r="AK855" s="20"/>
      <c r="AL855" s="20"/>
      <c r="AM855" s="20"/>
      <c r="AN855" s="20"/>
      <c r="AO855" s="20"/>
      <c r="AP855" s="20"/>
      <c r="AQ855" s="20"/>
      <c r="AR855" s="20"/>
      <c r="AS855" s="20"/>
      <c r="AT855" s="20"/>
      <c r="AU855" s="20"/>
      <c r="AV855" s="20"/>
    </row>
    <row r="856" spans="1:48" ht="17.25" hidden="1" customHeight="1">
      <c r="A856" s="130"/>
      <c r="B856" s="131"/>
      <c r="C856" s="131"/>
      <c r="D856" s="131"/>
      <c r="E856" s="15"/>
      <c r="F856" s="131"/>
      <c r="G856" s="132"/>
      <c r="H856" s="133"/>
      <c r="I856" s="132"/>
      <c r="J856" s="133"/>
      <c r="K856" s="132"/>
      <c r="L856" s="133"/>
      <c r="M856" s="132"/>
      <c r="N856" s="134"/>
      <c r="O856" s="132"/>
      <c r="P856" s="134"/>
      <c r="Q856" s="132"/>
      <c r="R856" s="135"/>
      <c r="S856" s="132"/>
      <c r="T856" s="134"/>
      <c r="U856" s="131"/>
      <c r="V856" s="142"/>
      <c r="W856" s="131"/>
      <c r="X856" s="131"/>
      <c r="Y856" s="137"/>
      <c r="Z856" s="134"/>
      <c r="AA856" s="134"/>
      <c r="AB856" s="138"/>
      <c r="AC856" s="20"/>
      <c r="AD856" s="20"/>
      <c r="AE856" s="20"/>
      <c r="AF856" s="20"/>
      <c r="AG856" s="20"/>
      <c r="AH856" s="20"/>
      <c r="AI856" s="20"/>
      <c r="AJ856" s="20"/>
      <c r="AK856" s="20"/>
      <c r="AL856" s="20"/>
      <c r="AM856" s="20"/>
      <c r="AN856" s="20"/>
      <c r="AO856" s="20"/>
      <c r="AP856" s="20"/>
      <c r="AQ856" s="20"/>
      <c r="AR856" s="20"/>
      <c r="AS856" s="20"/>
      <c r="AT856" s="20"/>
      <c r="AU856" s="20"/>
      <c r="AV856" s="20"/>
    </row>
    <row r="857" spans="1:48" ht="17.25" hidden="1" customHeight="1">
      <c r="A857" s="130"/>
      <c r="B857" s="131"/>
      <c r="C857" s="131"/>
      <c r="D857" s="131"/>
      <c r="E857" s="15"/>
      <c r="F857" s="131"/>
      <c r="G857" s="132"/>
      <c r="H857" s="133"/>
      <c r="I857" s="132"/>
      <c r="J857" s="133"/>
      <c r="K857" s="132"/>
      <c r="L857" s="133"/>
      <c r="M857" s="132"/>
      <c r="N857" s="134"/>
      <c r="O857" s="132"/>
      <c r="P857" s="134"/>
      <c r="Q857" s="132"/>
      <c r="R857" s="135"/>
      <c r="S857" s="132"/>
      <c r="T857" s="134"/>
      <c r="U857" s="131"/>
      <c r="V857" s="142"/>
      <c r="W857" s="131"/>
      <c r="X857" s="131"/>
      <c r="Y857" s="137"/>
      <c r="Z857" s="134"/>
      <c r="AA857" s="134"/>
      <c r="AB857" s="138"/>
      <c r="AC857" s="20"/>
      <c r="AD857" s="20"/>
      <c r="AE857" s="20"/>
      <c r="AF857" s="20"/>
      <c r="AG857" s="20"/>
      <c r="AH857" s="20"/>
      <c r="AI857" s="20"/>
      <c r="AJ857" s="20"/>
      <c r="AK857" s="20"/>
      <c r="AL857" s="20"/>
      <c r="AM857" s="20"/>
      <c r="AN857" s="20"/>
      <c r="AO857" s="20"/>
      <c r="AP857" s="20"/>
      <c r="AQ857" s="20"/>
      <c r="AR857" s="20"/>
      <c r="AS857" s="20"/>
      <c r="AT857" s="20"/>
      <c r="AU857" s="20"/>
      <c r="AV857" s="20"/>
    </row>
    <row r="858" spans="1:48" ht="17.25" hidden="1" customHeight="1">
      <c r="A858" s="130"/>
      <c r="B858" s="131"/>
      <c r="C858" s="131"/>
      <c r="D858" s="131"/>
      <c r="E858" s="15"/>
      <c r="F858" s="131"/>
      <c r="G858" s="132"/>
      <c r="H858" s="133"/>
      <c r="I858" s="132"/>
      <c r="J858" s="133"/>
      <c r="K858" s="132"/>
      <c r="L858" s="133"/>
      <c r="M858" s="132"/>
      <c r="N858" s="134"/>
      <c r="O858" s="132"/>
      <c r="P858" s="134"/>
      <c r="Q858" s="132"/>
      <c r="R858" s="135"/>
      <c r="S858" s="132"/>
      <c r="T858" s="134"/>
      <c r="U858" s="131"/>
      <c r="V858" s="142"/>
      <c r="W858" s="131"/>
      <c r="X858" s="131"/>
      <c r="Y858" s="137"/>
      <c r="Z858" s="134"/>
      <c r="AA858" s="134"/>
      <c r="AB858" s="138"/>
      <c r="AC858" s="20"/>
      <c r="AD858" s="20"/>
      <c r="AE858" s="20"/>
      <c r="AF858" s="20"/>
      <c r="AG858" s="20"/>
      <c r="AH858" s="20"/>
      <c r="AI858" s="20"/>
      <c r="AJ858" s="20"/>
      <c r="AK858" s="20"/>
      <c r="AL858" s="20"/>
      <c r="AM858" s="20"/>
      <c r="AN858" s="20"/>
      <c r="AO858" s="20"/>
      <c r="AP858" s="20"/>
      <c r="AQ858" s="20"/>
      <c r="AR858" s="20"/>
      <c r="AS858" s="20"/>
      <c r="AT858" s="20"/>
      <c r="AU858" s="20"/>
      <c r="AV858" s="20"/>
    </row>
    <row r="859" spans="1:48" ht="17.25" hidden="1" customHeight="1">
      <c r="A859" s="130"/>
      <c r="B859" s="131"/>
      <c r="C859" s="131"/>
      <c r="D859" s="131"/>
      <c r="E859" s="15"/>
      <c r="F859" s="131"/>
      <c r="G859" s="132"/>
      <c r="H859" s="133"/>
      <c r="I859" s="132"/>
      <c r="J859" s="133"/>
      <c r="K859" s="132"/>
      <c r="L859" s="133"/>
      <c r="M859" s="132"/>
      <c r="N859" s="134"/>
      <c r="O859" s="132"/>
      <c r="P859" s="134"/>
      <c r="Q859" s="132"/>
      <c r="R859" s="135"/>
      <c r="S859" s="132"/>
      <c r="T859" s="134"/>
      <c r="U859" s="131"/>
      <c r="V859" s="142"/>
      <c r="W859" s="131"/>
      <c r="X859" s="131"/>
      <c r="Y859" s="137"/>
      <c r="Z859" s="134"/>
      <c r="AA859" s="134"/>
      <c r="AB859" s="138"/>
      <c r="AC859" s="20"/>
      <c r="AD859" s="20"/>
      <c r="AE859" s="20"/>
      <c r="AF859" s="20"/>
      <c r="AG859" s="20"/>
      <c r="AH859" s="20"/>
      <c r="AI859" s="20"/>
      <c r="AJ859" s="20"/>
      <c r="AK859" s="20"/>
      <c r="AL859" s="20"/>
      <c r="AM859" s="20"/>
      <c r="AN859" s="20"/>
      <c r="AO859" s="20"/>
      <c r="AP859" s="20"/>
      <c r="AQ859" s="20"/>
      <c r="AR859" s="20"/>
      <c r="AS859" s="20"/>
      <c r="AT859" s="20"/>
      <c r="AU859" s="20"/>
      <c r="AV859" s="20"/>
    </row>
    <row r="860" spans="1:48" ht="17.25" hidden="1" customHeight="1">
      <c r="A860" s="130"/>
      <c r="B860" s="131"/>
      <c r="C860" s="131"/>
      <c r="D860" s="131"/>
      <c r="E860" s="15"/>
      <c r="F860" s="131"/>
      <c r="G860" s="132"/>
      <c r="H860" s="133"/>
      <c r="I860" s="132"/>
      <c r="J860" s="133"/>
      <c r="K860" s="132"/>
      <c r="L860" s="133"/>
      <c r="M860" s="132"/>
      <c r="N860" s="134"/>
      <c r="O860" s="132"/>
      <c r="P860" s="134"/>
      <c r="Q860" s="132"/>
      <c r="R860" s="135"/>
      <c r="S860" s="132"/>
      <c r="T860" s="134"/>
      <c r="U860" s="131"/>
      <c r="V860" s="142"/>
      <c r="W860" s="131"/>
      <c r="X860" s="131"/>
      <c r="Y860" s="137"/>
      <c r="Z860" s="134"/>
      <c r="AA860" s="134"/>
      <c r="AB860" s="138"/>
      <c r="AC860" s="20"/>
      <c r="AD860" s="20"/>
      <c r="AE860" s="20"/>
      <c r="AF860" s="20"/>
      <c r="AG860" s="20"/>
      <c r="AH860" s="20"/>
      <c r="AI860" s="20"/>
      <c r="AJ860" s="20"/>
      <c r="AK860" s="20"/>
      <c r="AL860" s="20"/>
      <c r="AM860" s="20"/>
      <c r="AN860" s="20"/>
      <c r="AO860" s="20"/>
      <c r="AP860" s="20"/>
      <c r="AQ860" s="20"/>
      <c r="AR860" s="20"/>
      <c r="AS860" s="20"/>
      <c r="AT860" s="20"/>
      <c r="AU860" s="20"/>
      <c r="AV860" s="20"/>
    </row>
    <row r="861" spans="1:48" ht="17.25" hidden="1" customHeight="1">
      <c r="A861" s="130"/>
      <c r="B861" s="131"/>
      <c r="C861" s="131"/>
      <c r="D861" s="131"/>
      <c r="E861" s="15"/>
      <c r="F861" s="131"/>
      <c r="G861" s="132"/>
      <c r="H861" s="133"/>
      <c r="I861" s="132"/>
      <c r="J861" s="133"/>
      <c r="K861" s="132"/>
      <c r="L861" s="133"/>
      <c r="M861" s="132"/>
      <c r="N861" s="134"/>
      <c r="O861" s="132"/>
      <c r="P861" s="134"/>
      <c r="Q861" s="132"/>
      <c r="R861" s="135"/>
      <c r="S861" s="132"/>
      <c r="T861" s="134"/>
      <c r="U861" s="131"/>
      <c r="V861" s="142"/>
      <c r="W861" s="131"/>
      <c r="X861" s="131"/>
      <c r="Y861" s="137"/>
      <c r="Z861" s="134"/>
      <c r="AA861" s="134"/>
      <c r="AB861" s="138"/>
      <c r="AC861" s="20"/>
      <c r="AD861" s="20"/>
      <c r="AE861" s="20"/>
      <c r="AF861" s="20"/>
      <c r="AG861" s="20"/>
      <c r="AH861" s="20"/>
      <c r="AI861" s="20"/>
      <c r="AJ861" s="20"/>
      <c r="AK861" s="20"/>
      <c r="AL861" s="20"/>
      <c r="AM861" s="20"/>
      <c r="AN861" s="20"/>
      <c r="AO861" s="20"/>
      <c r="AP861" s="20"/>
      <c r="AQ861" s="20"/>
      <c r="AR861" s="20"/>
      <c r="AS861" s="20"/>
      <c r="AT861" s="20"/>
      <c r="AU861" s="20"/>
      <c r="AV861" s="20"/>
    </row>
    <row r="862" spans="1:48" ht="17.25" hidden="1" customHeight="1">
      <c r="A862" s="130"/>
      <c r="B862" s="131"/>
      <c r="C862" s="131"/>
      <c r="D862" s="131"/>
      <c r="E862" s="15"/>
      <c r="F862" s="131"/>
      <c r="G862" s="132"/>
      <c r="H862" s="133"/>
      <c r="I862" s="132"/>
      <c r="J862" s="133"/>
      <c r="K862" s="132"/>
      <c r="L862" s="133"/>
      <c r="M862" s="132"/>
      <c r="N862" s="134"/>
      <c r="O862" s="132"/>
      <c r="P862" s="134"/>
      <c r="Q862" s="132"/>
      <c r="R862" s="135"/>
      <c r="S862" s="132"/>
      <c r="T862" s="134"/>
      <c r="U862" s="131"/>
      <c r="V862" s="142"/>
      <c r="W862" s="131"/>
      <c r="X862" s="131"/>
      <c r="Y862" s="137"/>
      <c r="Z862" s="134"/>
      <c r="AA862" s="134"/>
      <c r="AB862" s="138"/>
      <c r="AC862" s="20"/>
      <c r="AD862" s="20"/>
      <c r="AE862" s="20"/>
      <c r="AF862" s="20"/>
      <c r="AG862" s="20"/>
      <c r="AH862" s="20"/>
      <c r="AI862" s="20"/>
      <c r="AJ862" s="20"/>
      <c r="AK862" s="20"/>
      <c r="AL862" s="20"/>
      <c r="AM862" s="20"/>
      <c r="AN862" s="20"/>
      <c r="AO862" s="20"/>
      <c r="AP862" s="20"/>
      <c r="AQ862" s="20"/>
      <c r="AR862" s="20"/>
      <c r="AS862" s="20"/>
      <c r="AT862" s="20"/>
      <c r="AU862" s="20"/>
      <c r="AV862" s="20"/>
    </row>
    <row r="863" spans="1:48" ht="17.25" hidden="1" customHeight="1">
      <c r="A863" s="15" t="s">
        <v>5758</v>
      </c>
      <c r="B863" s="124" t="s">
        <v>155</v>
      </c>
      <c r="C863" s="125" t="e">
        <v>#NAME?</v>
      </c>
      <c r="E863" s="126" t="s">
        <v>6228</v>
      </c>
      <c r="F863" s="124" t="str">
        <f t="shared" ref="F863:F926" si="11">_xlfn.CONCAT(A863,"_",B863)</f>
        <v>KR_office_small_pre1988_AtticRoof</v>
      </c>
      <c r="G863" s="124" t="s">
        <v>5186</v>
      </c>
      <c r="H863" s="126">
        <v>0.15</v>
      </c>
      <c r="I863" s="124" t="s">
        <v>5196</v>
      </c>
      <c r="J863" s="126">
        <v>0.03</v>
      </c>
      <c r="K863" s="124"/>
      <c r="L863" s="124"/>
      <c r="M863" s="124"/>
      <c r="N863" s="124"/>
      <c r="O863" s="124"/>
      <c r="P863" s="124"/>
      <c r="Q863" s="124"/>
      <c r="R863" s="124"/>
      <c r="S863" s="124"/>
      <c r="T863" s="124"/>
      <c r="U863" s="124" t="s">
        <v>5523</v>
      </c>
      <c r="V863" s="124"/>
      <c r="W863" s="124"/>
      <c r="X863" s="124"/>
      <c r="Y863" s="124"/>
      <c r="Z863" s="124" t="e">
        <v>#NAME?</v>
      </c>
      <c r="AA863" s="126">
        <v>0</v>
      </c>
      <c r="AB863" s="20"/>
      <c r="AC863" s="20"/>
      <c r="AD863" s="20"/>
      <c r="AE863" s="20"/>
      <c r="AF863" s="20"/>
      <c r="AG863" s="20"/>
      <c r="AH863" s="20"/>
      <c r="AI863" s="20"/>
      <c r="AJ863" s="20"/>
      <c r="AK863" s="20"/>
      <c r="AL863" s="20"/>
      <c r="AM863" s="20"/>
      <c r="AN863" s="20"/>
      <c r="AO863" s="20"/>
      <c r="AP863" s="20"/>
      <c r="AQ863" s="20"/>
      <c r="AR863" s="20"/>
      <c r="AS863" s="20"/>
      <c r="AT863" s="20"/>
      <c r="AU863" s="20"/>
    </row>
    <row r="864" spans="1:48" ht="17.25" hidden="1" customHeight="1">
      <c r="A864" s="15" t="s">
        <v>5759</v>
      </c>
      <c r="B864" s="124" t="s">
        <v>155</v>
      </c>
      <c r="C864" s="125" t="e">
        <v>#NAME?</v>
      </c>
      <c r="E864" s="126" t="s">
        <v>6228</v>
      </c>
      <c r="F864" s="124" t="str">
        <f t="shared" si="11"/>
        <v>KR_office_small_1988_2000_AtticRoof</v>
      </c>
      <c r="G864" s="124" t="s">
        <v>5211</v>
      </c>
      <c r="H864" s="126">
        <v>5.8000000000000003E-2</v>
      </c>
      <c r="I864" s="124" t="s">
        <v>5186</v>
      </c>
      <c r="J864" s="126">
        <v>0.15</v>
      </c>
      <c r="K864" s="124" t="s">
        <v>5196</v>
      </c>
      <c r="L864" s="124">
        <v>0.03</v>
      </c>
      <c r="M864" s="124"/>
      <c r="N864" s="124"/>
      <c r="O864" s="124"/>
      <c r="P864" s="124"/>
      <c r="Q864" s="124"/>
      <c r="R864" s="124"/>
      <c r="S864" s="124"/>
      <c r="T864" s="124"/>
      <c r="U864" s="124" t="s">
        <v>5523</v>
      </c>
      <c r="V864" s="124"/>
      <c r="W864" s="124"/>
      <c r="X864" s="124"/>
      <c r="Y864" s="124"/>
      <c r="Z864" s="124" t="e">
        <v>#NAME?</v>
      </c>
      <c r="AA864" s="126">
        <v>0</v>
      </c>
      <c r="AB864" s="20"/>
      <c r="AC864" s="20"/>
      <c r="AD864" s="20"/>
      <c r="AE864" s="20"/>
      <c r="AF864" s="20"/>
      <c r="AG864" s="20"/>
      <c r="AH864" s="20"/>
      <c r="AI864" s="20"/>
      <c r="AJ864" s="20"/>
      <c r="AK864" s="20"/>
      <c r="AL864" s="20"/>
      <c r="AM864" s="20"/>
      <c r="AN864" s="20"/>
      <c r="AO864" s="20"/>
      <c r="AP864" s="20"/>
      <c r="AQ864" s="20"/>
      <c r="AR864" s="20"/>
      <c r="AS864" s="20"/>
      <c r="AT864" s="20"/>
      <c r="AU864" s="20"/>
    </row>
    <row r="865" spans="1:47" ht="17.25" hidden="1" customHeight="1">
      <c r="A865" s="15" t="s">
        <v>5760</v>
      </c>
      <c r="B865" s="124" t="s">
        <v>155</v>
      </c>
      <c r="C865" s="125" t="e">
        <v>#NAME?</v>
      </c>
      <c r="E865" s="126" t="s">
        <v>6228</v>
      </c>
      <c r="F865" s="124" t="str">
        <f t="shared" si="11"/>
        <v>KR_office_small_2001_2010_AtticRoof</v>
      </c>
      <c r="G865" s="124" t="s">
        <v>5211</v>
      </c>
      <c r="H865" s="126">
        <v>5.8999999999999997E-2</v>
      </c>
      <c r="I865" s="124" t="s">
        <v>5186</v>
      </c>
      <c r="J865" s="126">
        <v>0.15</v>
      </c>
      <c r="K865" s="124" t="s">
        <v>5196</v>
      </c>
      <c r="L865" s="124">
        <v>0.03</v>
      </c>
      <c r="M865" s="124"/>
      <c r="N865" s="124"/>
      <c r="O865" s="124"/>
      <c r="P865" s="124"/>
      <c r="Q865" s="124"/>
      <c r="R865" s="124"/>
      <c r="S865" s="124"/>
      <c r="T865" s="124"/>
      <c r="U865" s="124" t="s">
        <v>5523</v>
      </c>
      <c r="V865" s="124"/>
      <c r="W865" s="124"/>
      <c r="X865" s="124"/>
      <c r="Y865" s="124"/>
      <c r="Z865" s="124" t="e">
        <v>#NAME?</v>
      </c>
      <c r="AA865" s="126">
        <v>0</v>
      </c>
      <c r="AB865" s="20"/>
      <c r="AC865" s="20"/>
      <c r="AD865" s="20"/>
      <c r="AE865" s="20"/>
      <c r="AF865" s="20"/>
      <c r="AG865" s="20"/>
      <c r="AH865" s="20"/>
      <c r="AI865" s="20"/>
      <c r="AJ865" s="20"/>
      <c r="AK865" s="20"/>
      <c r="AL865" s="20"/>
      <c r="AM865" s="20"/>
      <c r="AN865" s="20"/>
      <c r="AO865" s="20"/>
      <c r="AP865" s="20"/>
      <c r="AQ865" s="20"/>
      <c r="AR865" s="20"/>
      <c r="AS865" s="20"/>
      <c r="AT865" s="20"/>
      <c r="AU865" s="20"/>
    </row>
    <row r="866" spans="1:47" ht="17.25" hidden="1" customHeight="1">
      <c r="A866" s="15" t="s">
        <v>5761</v>
      </c>
      <c r="B866" s="124" t="s">
        <v>155</v>
      </c>
      <c r="C866" s="125" t="e">
        <v>#NAME?</v>
      </c>
      <c r="E866" s="126" t="s">
        <v>6228</v>
      </c>
      <c r="F866" s="124" t="str">
        <f t="shared" si="11"/>
        <v>KR_office_small_2011_2018_AtticRoof</v>
      </c>
      <c r="G866" s="124" t="s">
        <v>5211</v>
      </c>
      <c r="H866" s="126">
        <v>7.8E-2</v>
      </c>
      <c r="I866" s="124" t="s">
        <v>5186</v>
      </c>
      <c r="J866" s="126">
        <v>0.15</v>
      </c>
      <c r="K866" s="124" t="s">
        <v>5196</v>
      </c>
      <c r="L866" s="124">
        <v>0.03</v>
      </c>
      <c r="M866" s="124"/>
      <c r="N866" s="124"/>
      <c r="O866" s="124"/>
      <c r="P866" s="124"/>
      <c r="Q866" s="124"/>
      <c r="R866" s="124"/>
      <c r="S866" s="124"/>
      <c r="T866" s="124"/>
      <c r="U866" s="124" t="s">
        <v>5523</v>
      </c>
      <c r="V866" s="124"/>
      <c r="W866" s="124"/>
      <c r="X866" s="124"/>
      <c r="Y866" s="124"/>
      <c r="Z866" s="124" t="e">
        <v>#NAME?</v>
      </c>
      <c r="AA866" s="126">
        <v>0</v>
      </c>
      <c r="AB866" s="20"/>
      <c r="AC866" s="20"/>
      <c r="AD866" s="20"/>
      <c r="AE866" s="20"/>
      <c r="AF866" s="20"/>
      <c r="AG866" s="20"/>
      <c r="AH866" s="20"/>
      <c r="AI866" s="20"/>
      <c r="AJ866" s="20"/>
      <c r="AK866" s="20"/>
      <c r="AL866" s="20"/>
      <c r="AM866" s="20"/>
      <c r="AN866" s="20"/>
      <c r="AO866" s="20"/>
      <c r="AP866" s="20"/>
      <c r="AQ866" s="20"/>
      <c r="AR866" s="20"/>
      <c r="AS866" s="20"/>
      <c r="AT866" s="20"/>
      <c r="AU866" s="20"/>
    </row>
    <row r="867" spans="1:47" ht="17.25" hidden="1" customHeight="1">
      <c r="A867" s="15" t="s">
        <v>5762</v>
      </c>
      <c r="B867" s="124" t="s">
        <v>155</v>
      </c>
      <c r="C867" s="125" t="e">
        <v>#NAME?</v>
      </c>
      <c r="E867" s="126" t="s">
        <v>6228</v>
      </c>
      <c r="F867" s="124" t="str">
        <f t="shared" si="11"/>
        <v>KR_office_small_post2019_AtticRoof</v>
      </c>
      <c r="G867" s="124" t="s">
        <v>5211</v>
      </c>
      <c r="H867" s="126">
        <v>9.4E-2</v>
      </c>
      <c r="I867" s="124" t="s">
        <v>5186</v>
      </c>
      <c r="J867" s="126">
        <v>0.15</v>
      </c>
      <c r="K867" s="124" t="s">
        <v>5196</v>
      </c>
      <c r="L867" s="124">
        <v>0.03</v>
      </c>
      <c r="M867" s="124"/>
      <c r="N867" s="124"/>
      <c r="O867" s="124"/>
      <c r="P867" s="124"/>
      <c r="Q867" s="124"/>
      <c r="R867" s="124"/>
      <c r="S867" s="124"/>
      <c r="T867" s="124"/>
      <c r="U867" s="124" t="s">
        <v>5523</v>
      </c>
      <c r="V867" s="124"/>
      <c r="W867" s="124"/>
      <c r="X867" s="124"/>
      <c r="Y867" s="124"/>
      <c r="Z867" s="124" t="e">
        <v>#NAME?</v>
      </c>
      <c r="AA867" s="126">
        <v>0</v>
      </c>
      <c r="AB867" s="20"/>
      <c r="AC867" s="20"/>
      <c r="AD867" s="20"/>
      <c r="AE867" s="20"/>
      <c r="AF867" s="20"/>
      <c r="AG867" s="20"/>
      <c r="AH867" s="20"/>
      <c r="AI867" s="20"/>
      <c r="AJ867" s="20"/>
      <c r="AK867" s="20"/>
      <c r="AL867" s="20"/>
      <c r="AM867" s="20"/>
      <c r="AN867" s="20"/>
      <c r="AO867" s="20"/>
      <c r="AP867" s="20"/>
      <c r="AQ867" s="20"/>
      <c r="AR867" s="20"/>
      <c r="AS867" s="20"/>
      <c r="AT867" s="20"/>
      <c r="AU867" s="20"/>
    </row>
    <row r="868" spans="1:47" ht="17.25" hidden="1" customHeight="1">
      <c r="A868" s="15" t="s">
        <v>5763</v>
      </c>
      <c r="B868" s="124" t="s">
        <v>155</v>
      </c>
      <c r="C868" s="125" t="e">
        <v>#NAME?</v>
      </c>
      <c r="E868" s="126" t="s">
        <v>6228</v>
      </c>
      <c r="F868" s="124" t="str">
        <f t="shared" si="11"/>
        <v>KR_office_medium_pre1988_AtticRoof</v>
      </c>
      <c r="G868" s="124" t="s">
        <v>5186</v>
      </c>
      <c r="H868" s="126">
        <v>0.15</v>
      </c>
      <c r="I868" s="124" t="s">
        <v>5196</v>
      </c>
      <c r="J868" s="126">
        <v>0.03</v>
      </c>
      <c r="K868" s="124"/>
      <c r="L868" s="124"/>
      <c r="M868" s="124"/>
      <c r="N868" s="124"/>
      <c r="O868" s="124"/>
      <c r="P868" s="124"/>
      <c r="Q868" s="124"/>
      <c r="R868" s="124"/>
      <c r="S868" s="124"/>
      <c r="T868" s="124"/>
      <c r="U868" s="124" t="s">
        <v>5523</v>
      </c>
      <c r="V868" s="124"/>
      <c r="W868" s="124"/>
      <c r="X868" s="124"/>
      <c r="Y868" s="124"/>
      <c r="Z868" s="124" t="e">
        <v>#NAME?</v>
      </c>
      <c r="AA868" s="126">
        <v>0</v>
      </c>
      <c r="AB868" s="20"/>
      <c r="AC868" s="20"/>
      <c r="AD868" s="20"/>
      <c r="AE868" s="20"/>
      <c r="AF868" s="20"/>
      <c r="AG868" s="20"/>
      <c r="AH868" s="20"/>
      <c r="AI868" s="20"/>
      <c r="AJ868" s="20"/>
      <c r="AK868" s="20"/>
      <c r="AL868" s="20"/>
      <c r="AM868" s="20"/>
      <c r="AN868" s="20"/>
      <c r="AO868" s="20"/>
      <c r="AP868" s="20"/>
      <c r="AQ868" s="20"/>
      <c r="AR868" s="20"/>
      <c r="AS868" s="20"/>
      <c r="AT868" s="20"/>
      <c r="AU868" s="20"/>
    </row>
    <row r="869" spans="1:47" ht="17.25" hidden="1" customHeight="1">
      <c r="A869" s="15" t="s">
        <v>5764</v>
      </c>
      <c r="B869" s="124" t="s">
        <v>155</v>
      </c>
      <c r="C869" s="125" t="e">
        <v>#NAME?</v>
      </c>
      <c r="E869" s="126" t="s">
        <v>6228</v>
      </c>
      <c r="F869" s="124" t="str">
        <f t="shared" si="11"/>
        <v>KR_office_medium_1988_2000_AtticRoof</v>
      </c>
      <c r="G869" s="124" t="s">
        <v>5211</v>
      </c>
      <c r="H869" s="126">
        <v>5.8000000000000003E-2</v>
      </c>
      <c r="I869" s="124" t="s">
        <v>5186</v>
      </c>
      <c r="J869" s="126">
        <v>0.15</v>
      </c>
      <c r="K869" s="124" t="s">
        <v>5196</v>
      </c>
      <c r="L869" s="124">
        <v>0.03</v>
      </c>
      <c r="M869" s="124"/>
      <c r="N869" s="124"/>
      <c r="O869" s="124"/>
      <c r="P869" s="124"/>
      <c r="Q869" s="128"/>
      <c r="R869" s="124"/>
      <c r="S869" s="124"/>
      <c r="T869" s="124"/>
      <c r="U869" s="124" t="s">
        <v>5523</v>
      </c>
      <c r="V869" s="124"/>
      <c r="W869" s="124"/>
      <c r="X869" s="124"/>
      <c r="Y869" s="124"/>
      <c r="Z869" s="124" t="e">
        <v>#NAME?</v>
      </c>
      <c r="AA869" s="126">
        <v>0</v>
      </c>
      <c r="AB869" s="20"/>
      <c r="AC869" s="20"/>
      <c r="AD869" s="20"/>
      <c r="AE869" s="20"/>
      <c r="AF869" s="20"/>
      <c r="AG869" s="20"/>
      <c r="AH869" s="20"/>
      <c r="AI869" s="20"/>
      <c r="AJ869" s="20"/>
      <c r="AK869" s="20"/>
      <c r="AL869" s="20"/>
      <c r="AM869" s="20"/>
      <c r="AN869" s="20"/>
      <c r="AO869" s="20"/>
      <c r="AP869" s="20"/>
      <c r="AQ869" s="20"/>
      <c r="AR869" s="20"/>
      <c r="AS869" s="20"/>
      <c r="AT869" s="20"/>
      <c r="AU869" s="20"/>
    </row>
    <row r="870" spans="1:47" ht="17.25" hidden="1" customHeight="1">
      <c r="A870" s="15" t="s">
        <v>5765</v>
      </c>
      <c r="B870" s="124" t="s">
        <v>155</v>
      </c>
      <c r="C870" s="125" t="e">
        <v>#NAME?</v>
      </c>
      <c r="E870" s="126" t="s">
        <v>6228</v>
      </c>
      <c r="F870" s="124" t="str">
        <f t="shared" si="11"/>
        <v>KR_office_medium_2001_2010_AtticRoof</v>
      </c>
      <c r="G870" s="124" t="s">
        <v>5211</v>
      </c>
      <c r="H870" s="126">
        <v>5.8999999999999997E-2</v>
      </c>
      <c r="I870" s="124" t="s">
        <v>5186</v>
      </c>
      <c r="J870" s="126">
        <v>0.15</v>
      </c>
      <c r="K870" s="124" t="s">
        <v>5196</v>
      </c>
      <c r="L870" s="124">
        <v>0.03</v>
      </c>
      <c r="M870" s="124"/>
      <c r="N870" s="124"/>
      <c r="O870" s="124"/>
      <c r="P870" s="124"/>
      <c r="Q870" s="128"/>
      <c r="R870" s="124"/>
      <c r="S870" s="124"/>
      <c r="T870" s="124"/>
      <c r="U870" s="124" t="s">
        <v>5523</v>
      </c>
      <c r="V870" s="124"/>
      <c r="W870" s="124"/>
      <c r="X870" s="124"/>
      <c r="Y870" s="124"/>
      <c r="Z870" s="124" t="e">
        <v>#NAME?</v>
      </c>
      <c r="AA870" s="126">
        <v>0</v>
      </c>
      <c r="AB870" s="20"/>
      <c r="AC870" s="20"/>
      <c r="AD870" s="20"/>
      <c r="AE870" s="20"/>
      <c r="AF870" s="20"/>
      <c r="AG870" s="20"/>
      <c r="AH870" s="20"/>
      <c r="AI870" s="20"/>
      <c r="AJ870" s="20"/>
      <c r="AK870" s="20"/>
      <c r="AL870" s="20"/>
      <c r="AM870" s="20"/>
      <c r="AN870" s="20"/>
      <c r="AO870" s="20"/>
      <c r="AP870" s="20"/>
      <c r="AQ870" s="20"/>
      <c r="AR870" s="20"/>
      <c r="AS870" s="20"/>
      <c r="AT870" s="20"/>
      <c r="AU870" s="20"/>
    </row>
    <row r="871" spans="1:47" ht="17.25" hidden="1" customHeight="1">
      <c r="A871" s="15" t="s">
        <v>5766</v>
      </c>
      <c r="B871" s="124" t="s">
        <v>155</v>
      </c>
      <c r="C871" s="125" t="e">
        <v>#NAME?</v>
      </c>
      <c r="E871" s="126" t="s">
        <v>6228</v>
      </c>
      <c r="F871" s="124" t="str">
        <f t="shared" si="11"/>
        <v>KR_office_medium_2011_2018_AtticRoof</v>
      </c>
      <c r="G871" s="124" t="s">
        <v>5211</v>
      </c>
      <c r="H871" s="126">
        <v>7.8E-2</v>
      </c>
      <c r="I871" s="124" t="s">
        <v>5186</v>
      </c>
      <c r="J871" s="126">
        <v>0.15</v>
      </c>
      <c r="K871" s="124" t="s">
        <v>5196</v>
      </c>
      <c r="L871" s="124">
        <v>0.03</v>
      </c>
      <c r="M871" s="124"/>
      <c r="N871" s="124"/>
      <c r="O871" s="124"/>
      <c r="P871" s="124"/>
      <c r="Q871" s="128"/>
      <c r="R871" s="124"/>
      <c r="S871" s="124"/>
      <c r="T871" s="124"/>
      <c r="U871" s="124" t="s">
        <v>5523</v>
      </c>
      <c r="V871" s="124"/>
      <c r="W871" s="124"/>
      <c r="X871" s="124"/>
      <c r="Y871" s="124"/>
      <c r="Z871" s="124" t="e">
        <v>#NAME?</v>
      </c>
      <c r="AA871" s="126">
        <v>0</v>
      </c>
      <c r="AB871" s="129"/>
      <c r="AC871" s="129"/>
      <c r="AD871" s="129"/>
      <c r="AE871" s="129"/>
      <c r="AF871" s="129"/>
      <c r="AG871" s="129"/>
      <c r="AH871" s="129"/>
      <c r="AI871" s="129"/>
      <c r="AJ871" s="129"/>
      <c r="AK871" s="129"/>
      <c r="AL871" s="129"/>
      <c r="AM871" s="129"/>
      <c r="AN871" s="129"/>
      <c r="AO871" s="129"/>
      <c r="AP871" s="129"/>
      <c r="AQ871" s="129"/>
      <c r="AR871" s="129"/>
      <c r="AS871" s="129"/>
      <c r="AT871" s="129"/>
      <c r="AU871" s="129"/>
    </row>
    <row r="872" spans="1:47" ht="17.25" hidden="1" customHeight="1">
      <c r="A872" s="15" t="s">
        <v>5767</v>
      </c>
      <c r="B872" s="124" t="s">
        <v>155</v>
      </c>
      <c r="C872" s="125" t="e">
        <v>#NAME?</v>
      </c>
      <c r="E872" s="126" t="s">
        <v>6228</v>
      </c>
      <c r="F872" s="124" t="str">
        <f t="shared" si="11"/>
        <v>KR_office_medium_post2019_AtticRoof</v>
      </c>
      <c r="G872" s="124" t="s">
        <v>5211</v>
      </c>
      <c r="H872" s="126">
        <v>9.4E-2</v>
      </c>
      <c r="I872" s="124" t="s">
        <v>5186</v>
      </c>
      <c r="J872" s="126">
        <v>0.15</v>
      </c>
      <c r="K872" s="124" t="s">
        <v>5196</v>
      </c>
      <c r="L872" s="124">
        <v>0.03</v>
      </c>
      <c r="M872" s="128"/>
      <c r="N872" s="124"/>
      <c r="O872" s="128"/>
      <c r="P872" s="124"/>
      <c r="Q872" s="128"/>
      <c r="R872" s="124"/>
      <c r="S872" s="124"/>
      <c r="T872" s="124"/>
      <c r="U872" s="124" t="s">
        <v>5523</v>
      </c>
      <c r="V872" s="124"/>
      <c r="W872" s="124"/>
      <c r="X872" s="124"/>
      <c r="Y872" s="124"/>
      <c r="Z872" s="124" t="e">
        <v>#NAME?</v>
      </c>
      <c r="AA872" s="126">
        <v>0</v>
      </c>
      <c r="AB872" s="20"/>
      <c r="AC872" s="20"/>
      <c r="AD872" s="20"/>
      <c r="AE872" s="20"/>
      <c r="AF872" s="20"/>
      <c r="AG872" s="20"/>
      <c r="AH872" s="20"/>
      <c r="AI872" s="20"/>
      <c r="AJ872" s="20"/>
      <c r="AK872" s="20"/>
      <c r="AL872" s="20"/>
      <c r="AM872" s="20"/>
      <c r="AN872" s="20"/>
      <c r="AO872" s="20"/>
      <c r="AP872" s="20"/>
      <c r="AQ872" s="20"/>
      <c r="AR872" s="20"/>
      <c r="AS872" s="20"/>
      <c r="AT872" s="20"/>
      <c r="AU872" s="20"/>
    </row>
    <row r="873" spans="1:47" ht="17.25" hidden="1" customHeight="1">
      <c r="A873" s="15" t="s">
        <v>5768</v>
      </c>
      <c r="B873" s="124" t="s">
        <v>155</v>
      </c>
      <c r="C873" s="125" t="e">
        <v>#NAME?</v>
      </c>
      <c r="E873" s="126" t="s">
        <v>6228</v>
      </c>
      <c r="F873" s="124" t="str">
        <f t="shared" si="11"/>
        <v>KR_office_large_pre1988_AtticRoof</v>
      </c>
      <c r="G873" s="124" t="s">
        <v>5186</v>
      </c>
      <c r="H873" s="126">
        <v>0.15</v>
      </c>
      <c r="I873" s="124" t="s">
        <v>5196</v>
      </c>
      <c r="J873" s="126">
        <v>0.03</v>
      </c>
      <c r="K873" s="124"/>
      <c r="L873" s="124"/>
      <c r="M873" s="124"/>
      <c r="N873" s="124"/>
      <c r="O873" s="124"/>
      <c r="P873" s="124"/>
      <c r="Q873" s="124"/>
      <c r="R873" s="124"/>
      <c r="S873" s="124"/>
      <c r="T873" s="124"/>
      <c r="U873" s="124" t="s">
        <v>5523</v>
      </c>
      <c r="V873" s="124"/>
      <c r="W873" s="124"/>
      <c r="X873" s="124"/>
      <c r="Y873" s="124"/>
      <c r="Z873" s="124" t="e">
        <v>#NAME?</v>
      </c>
      <c r="AA873" s="126">
        <v>0</v>
      </c>
      <c r="AB873" s="20"/>
      <c r="AC873" s="20"/>
      <c r="AD873" s="20"/>
      <c r="AE873" s="20"/>
      <c r="AF873" s="20"/>
      <c r="AG873" s="20"/>
      <c r="AH873" s="20"/>
      <c r="AI873" s="20"/>
      <c r="AJ873" s="20"/>
      <c r="AK873" s="20"/>
      <c r="AL873" s="20"/>
      <c r="AM873" s="20"/>
      <c r="AN873" s="20"/>
      <c r="AO873" s="20"/>
      <c r="AP873" s="20"/>
      <c r="AQ873" s="20"/>
      <c r="AR873" s="20"/>
      <c r="AS873" s="20"/>
      <c r="AT873" s="20"/>
      <c r="AU873" s="20"/>
    </row>
    <row r="874" spans="1:47" ht="17.25" hidden="1" customHeight="1">
      <c r="A874" s="15" t="s">
        <v>5769</v>
      </c>
      <c r="B874" s="124" t="s">
        <v>155</v>
      </c>
      <c r="C874" s="125" t="e">
        <v>#NAME?</v>
      </c>
      <c r="E874" s="126" t="s">
        <v>6228</v>
      </c>
      <c r="F874" s="124" t="str">
        <f t="shared" si="11"/>
        <v>KR_office_large_1988_2000_AtticRoof</v>
      </c>
      <c r="G874" s="124" t="s">
        <v>5211</v>
      </c>
      <c r="H874" s="126">
        <v>5.8000000000000003E-2</v>
      </c>
      <c r="I874" s="124" t="s">
        <v>5186</v>
      </c>
      <c r="J874" s="126">
        <v>0.15</v>
      </c>
      <c r="K874" s="124" t="s">
        <v>5196</v>
      </c>
      <c r="L874" s="124">
        <v>0.03</v>
      </c>
      <c r="M874" s="124"/>
      <c r="N874" s="124"/>
      <c r="O874" s="124"/>
      <c r="P874" s="124"/>
      <c r="Q874" s="124"/>
      <c r="R874" s="124"/>
      <c r="S874" s="124"/>
      <c r="T874" s="124"/>
      <c r="U874" s="124" t="s">
        <v>5523</v>
      </c>
      <c r="V874" s="124"/>
      <c r="W874" s="124"/>
      <c r="X874" s="124"/>
      <c r="Y874" s="124"/>
      <c r="Z874" s="124" t="e">
        <v>#NAME?</v>
      </c>
      <c r="AA874" s="126">
        <v>0</v>
      </c>
      <c r="AB874" s="20"/>
      <c r="AC874" s="20"/>
      <c r="AD874" s="20"/>
      <c r="AE874" s="20"/>
      <c r="AF874" s="20"/>
      <c r="AG874" s="20"/>
      <c r="AH874" s="20"/>
      <c r="AI874" s="20"/>
      <c r="AJ874" s="20"/>
      <c r="AK874" s="20"/>
      <c r="AL874" s="20"/>
      <c r="AM874" s="20"/>
      <c r="AN874" s="20"/>
      <c r="AO874" s="20"/>
      <c r="AP874" s="20"/>
      <c r="AQ874" s="20"/>
      <c r="AR874" s="20"/>
      <c r="AS874" s="20"/>
      <c r="AT874" s="20"/>
      <c r="AU874" s="20"/>
    </row>
    <row r="875" spans="1:47" ht="17.25" hidden="1" customHeight="1">
      <c r="A875" s="15" t="s">
        <v>5770</v>
      </c>
      <c r="B875" s="124" t="s">
        <v>155</v>
      </c>
      <c r="C875" s="125" t="e">
        <v>#NAME?</v>
      </c>
      <c r="E875" s="126" t="s">
        <v>6228</v>
      </c>
      <c r="F875" s="124" t="str">
        <f t="shared" si="11"/>
        <v>KR_office_large_2001_2010_AtticRoof</v>
      </c>
      <c r="G875" s="124" t="s">
        <v>5211</v>
      </c>
      <c r="H875" s="126">
        <v>5.8999999999999997E-2</v>
      </c>
      <c r="I875" s="124" t="s">
        <v>5186</v>
      </c>
      <c r="J875" s="126">
        <v>0.15</v>
      </c>
      <c r="K875" s="124" t="s">
        <v>5196</v>
      </c>
      <c r="L875" s="124">
        <v>0.03</v>
      </c>
      <c r="M875" s="124"/>
      <c r="N875" s="124"/>
      <c r="O875" s="124"/>
      <c r="P875" s="124"/>
      <c r="Q875" s="124"/>
      <c r="R875" s="124"/>
      <c r="S875" s="124"/>
      <c r="T875" s="124"/>
      <c r="U875" s="124" t="s">
        <v>5523</v>
      </c>
      <c r="V875" s="124"/>
      <c r="W875" s="124"/>
      <c r="X875" s="124"/>
      <c r="Y875" s="124"/>
      <c r="Z875" s="124" t="e">
        <v>#NAME?</v>
      </c>
      <c r="AA875" s="126">
        <v>0</v>
      </c>
      <c r="AB875" s="20"/>
      <c r="AC875" s="20"/>
      <c r="AD875" s="20"/>
      <c r="AE875" s="20"/>
      <c r="AF875" s="20"/>
      <c r="AG875" s="20"/>
      <c r="AH875" s="20"/>
      <c r="AI875" s="20"/>
      <c r="AJ875" s="20"/>
      <c r="AK875" s="20"/>
      <c r="AL875" s="20"/>
      <c r="AM875" s="20"/>
      <c r="AN875" s="20"/>
      <c r="AO875" s="20"/>
      <c r="AP875" s="20"/>
      <c r="AQ875" s="20"/>
      <c r="AR875" s="20"/>
      <c r="AS875" s="20"/>
      <c r="AT875" s="20"/>
      <c r="AU875" s="20"/>
    </row>
    <row r="876" spans="1:47" ht="17.25" hidden="1" customHeight="1">
      <c r="A876" s="15" t="s">
        <v>5771</v>
      </c>
      <c r="B876" s="124" t="s">
        <v>155</v>
      </c>
      <c r="C876" s="125" t="e">
        <v>#NAME?</v>
      </c>
      <c r="E876" s="126" t="s">
        <v>6228</v>
      </c>
      <c r="F876" s="124" t="str">
        <f t="shared" si="11"/>
        <v>KR_office_large_2011_2018_AtticRoof</v>
      </c>
      <c r="G876" s="124" t="s">
        <v>5211</v>
      </c>
      <c r="H876" s="126">
        <v>7.8E-2</v>
      </c>
      <c r="I876" s="124" t="s">
        <v>5186</v>
      </c>
      <c r="J876" s="126">
        <v>0.15</v>
      </c>
      <c r="K876" s="124" t="s">
        <v>5196</v>
      </c>
      <c r="L876" s="124">
        <v>0.03</v>
      </c>
      <c r="M876" s="124"/>
      <c r="N876" s="124"/>
      <c r="O876" s="124"/>
      <c r="P876" s="124"/>
      <c r="Q876" s="124"/>
      <c r="R876" s="124"/>
      <c r="S876" s="124"/>
      <c r="T876" s="124"/>
      <c r="U876" s="124" t="s">
        <v>5523</v>
      </c>
      <c r="V876" s="124"/>
      <c r="W876" s="124"/>
      <c r="X876" s="124"/>
      <c r="Y876" s="124"/>
      <c r="Z876" s="124" t="e">
        <v>#NAME?</v>
      </c>
      <c r="AA876" s="126">
        <v>0</v>
      </c>
      <c r="AB876" s="20"/>
      <c r="AC876" s="20"/>
      <c r="AD876" s="20"/>
      <c r="AE876" s="20"/>
      <c r="AF876" s="20"/>
      <c r="AG876" s="20"/>
      <c r="AH876" s="20"/>
      <c r="AI876" s="20"/>
      <c r="AJ876" s="20"/>
      <c r="AK876" s="20"/>
      <c r="AL876" s="20"/>
      <c r="AM876" s="20"/>
      <c r="AN876" s="20"/>
      <c r="AO876" s="20"/>
      <c r="AP876" s="20"/>
      <c r="AQ876" s="20"/>
      <c r="AR876" s="20"/>
      <c r="AS876" s="20"/>
      <c r="AT876" s="20"/>
      <c r="AU876" s="20"/>
    </row>
    <row r="877" spans="1:47" ht="17.25" hidden="1" customHeight="1">
      <c r="A877" s="15" t="s">
        <v>5772</v>
      </c>
      <c r="B877" s="124" t="s">
        <v>155</v>
      </c>
      <c r="C877" s="125" t="e">
        <v>#NAME?</v>
      </c>
      <c r="E877" s="126" t="s">
        <v>6228</v>
      </c>
      <c r="F877" s="124" t="str">
        <f t="shared" si="11"/>
        <v>KR_office_large_post2019_AtticRoof</v>
      </c>
      <c r="G877" s="124" t="s">
        <v>5211</v>
      </c>
      <c r="H877" s="126">
        <v>9.4E-2</v>
      </c>
      <c r="I877" s="124" t="s">
        <v>5186</v>
      </c>
      <c r="J877" s="126">
        <v>0.15</v>
      </c>
      <c r="K877" s="124" t="s">
        <v>5196</v>
      </c>
      <c r="L877" s="124">
        <v>0.03</v>
      </c>
      <c r="M877" s="124"/>
      <c r="N877" s="124"/>
      <c r="O877" s="124"/>
      <c r="P877" s="124"/>
      <c r="Q877" s="124"/>
      <c r="R877" s="124"/>
      <c r="S877" s="124"/>
      <c r="T877" s="124"/>
      <c r="U877" s="124" t="s">
        <v>5523</v>
      </c>
      <c r="V877" s="124"/>
      <c r="W877" s="124"/>
      <c r="X877" s="124"/>
      <c r="Y877" s="124"/>
      <c r="Z877" s="124" t="e">
        <v>#NAME?</v>
      </c>
      <c r="AA877" s="126">
        <v>0</v>
      </c>
      <c r="AB877" s="20"/>
      <c r="AC877" s="20"/>
      <c r="AD877" s="20"/>
      <c r="AE877" s="20"/>
      <c r="AF877" s="20"/>
      <c r="AG877" s="20"/>
      <c r="AH877" s="20"/>
      <c r="AI877" s="20"/>
      <c r="AJ877" s="20"/>
      <c r="AK877" s="20"/>
      <c r="AL877" s="20"/>
      <c r="AM877" s="20"/>
      <c r="AN877" s="20"/>
      <c r="AO877" s="20"/>
      <c r="AP877" s="20"/>
      <c r="AQ877" s="20"/>
      <c r="AR877" s="20"/>
      <c r="AS877" s="20"/>
      <c r="AT877" s="20"/>
      <c r="AU877" s="20"/>
    </row>
    <row r="878" spans="1:47" ht="17.25" hidden="1" customHeight="1">
      <c r="A878" s="15" t="s">
        <v>5773</v>
      </c>
      <c r="B878" s="124" t="s">
        <v>155</v>
      </c>
      <c r="C878" s="125" t="e">
        <v>#NAME?</v>
      </c>
      <c r="E878" s="126" t="s">
        <v>6228</v>
      </c>
      <c r="F878" s="124" t="str">
        <f t="shared" si="11"/>
        <v>KR_retail_small_pre1988_AtticRoof</v>
      </c>
      <c r="G878" s="124" t="s">
        <v>5186</v>
      </c>
      <c r="H878" s="126">
        <v>0.15</v>
      </c>
      <c r="I878" s="124" t="s">
        <v>5196</v>
      </c>
      <c r="J878" s="126">
        <v>0.03</v>
      </c>
      <c r="K878" s="124"/>
      <c r="L878" s="124"/>
      <c r="M878" s="124"/>
      <c r="N878" s="124"/>
      <c r="O878" s="124"/>
      <c r="P878" s="124"/>
      <c r="Q878" s="124"/>
      <c r="R878" s="124"/>
      <c r="S878" s="124"/>
      <c r="T878" s="124"/>
      <c r="U878" s="124" t="s">
        <v>5523</v>
      </c>
      <c r="V878" s="124"/>
      <c r="W878" s="124"/>
      <c r="X878" s="124"/>
      <c r="Y878" s="124"/>
      <c r="Z878" s="124" t="e">
        <v>#NAME?</v>
      </c>
      <c r="AA878" s="126">
        <v>0</v>
      </c>
      <c r="AB878" s="129"/>
      <c r="AC878" s="129"/>
      <c r="AD878" s="129"/>
      <c r="AE878" s="129"/>
      <c r="AF878" s="129"/>
      <c r="AG878" s="129"/>
      <c r="AH878" s="129"/>
      <c r="AI878" s="129"/>
      <c r="AJ878" s="129"/>
      <c r="AK878" s="129"/>
      <c r="AL878" s="129"/>
      <c r="AM878" s="129"/>
      <c r="AN878" s="129"/>
      <c r="AO878" s="129"/>
      <c r="AP878" s="129"/>
      <c r="AQ878" s="129"/>
      <c r="AR878" s="129"/>
      <c r="AS878" s="129"/>
      <c r="AT878" s="129"/>
      <c r="AU878" s="129"/>
    </row>
    <row r="879" spans="1:47" ht="17.25" hidden="1" customHeight="1">
      <c r="A879" s="15" t="s">
        <v>5774</v>
      </c>
      <c r="B879" s="124" t="s">
        <v>155</v>
      </c>
      <c r="C879" s="125" t="e">
        <v>#NAME?</v>
      </c>
      <c r="E879" s="126" t="s">
        <v>6228</v>
      </c>
      <c r="F879" s="124" t="str">
        <f t="shared" si="11"/>
        <v>KR_retail_small_1988_2000_AtticRoof</v>
      </c>
      <c r="G879" s="124" t="s">
        <v>5211</v>
      </c>
      <c r="H879" s="126">
        <v>5.8000000000000003E-2</v>
      </c>
      <c r="I879" s="124" t="s">
        <v>5186</v>
      </c>
      <c r="J879" s="126">
        <v>0.15</v>
      </c>
      <c r="K879" s="124" t="s">
        <v>5196</v>
      </c>
      <c r="L879" s="124">
        <v>0.03</v>
      </c>
      <c r="M879" s="124"/>
      <c r="N879" s="124"/>
      <c r="O879" s="128"/>
      <c r="P879" s="124"/>
      <c r="Q879" s="128"/>
      <c r="R879" s="124"/>
      <c r="S879" s="124"/>
      <c r="T879" s="124"/>
      <c r="U879" s="124" t="s">
        <v>5523</v>
      </c>
      <c r="V879" s="124"/>
      <c r="W879" s="124"/>
      <c r="X879" s="124"/>
      <c r="Y879" s="124"/>
      <c r="Z879" s="124" t="e">
        <v>#NAME?</v>
      </c>
      <c r="AA879" s="126">
        <v>0</v>
      </c>
      <c r="AB879" s="20"/>
      <c r="AC879" s="20"/>
      <c r="AD879" s="20"/>
      <c r="AE879" s="20"/>
      <c r="AF879" s="20"/>
      <c r="AG879" s="20"/>
      <c r="AH879" s="20"/>
      <c r="AI879" s="20"/>
      <c r="AJ879" s="20"/>
      <c r="AK879" s="20"/>
      <c r="AL879" s="20"/>
      <c r="AM879" s="20"/>
      <c r="AN879" s="20"/>
      <c r="AO879" s="20"/>
      <c r="AP879" s="20"/>
      <c r="AQ879" s="20"/>
      <c r="AR879" s="20"/>
      <c r="AS879" s="20"/>
      <c r="AT879" s="20"/>
      <c r="AU879" s="20"/>
    </row>
    <row r="880" spans="1:47" ht="17.25" hidden="1" customHeight="1">
      <c r="A880" s="15" t="s">
        <v>5775</v>
      </c>
      <c r="B880" s="124" t="s">
        <v>155</v>
      </c>
      <c r="C880" s="125" t="e">
        <v>#NAME?</v>
      </c>
      <c r="E880" s="126" t="s">
        <v>6228</v>
      </c>
      <c r="F880" s="124" t="str">
        <f t="shared" si="11"/>
        <v>KR_retail_small_2001_2010_AtticRoof</v>
      </c>
      <c r="G880" s="124" t="s">
        <v>5211</v>
      </c>
      <c r="H880" s="126">
        <v>5.8999999999999997E-2</v>
      </c>
      <c r="I880" s="124" t="s">
        <v>5186</v>
      </c>
      <c r="J880" s="126">
        <v>0.15</v>
      </c>
      <c r="K880" s="128" t="s">
        <v>5196</v>
      </c>
      <c r="L880" s="124">
        <v>0.03</v>
      </c>
      <c r="M880" s="128"/>
      <c r="N880" s="124"/>
      <c r="O880" s="128"/>
      <c r="P880" s="124"/>
      <c r="Q880" s="128"/>
      <c r="R880" s="124"/>
      <c r="S880" s="124"/>
      <c r="T880" s="124"/>
      <c r="U880" s="124" t="s">
        <v>5523</v>
      </c>
      <c r="V880" s="124"/>
      <c r="W880" s="124"/>
      <c r="X880" s="124"/>
      <c r="Y880" s="124"/>
      <c r="Z880" s="124" t="e">
        <v>#NAME?</v>
      </c>
      <c r="AA880" s="126">
        <v>0</v>
      </c>
      <c r="AB880" s="20"/>
      <c r="AC880" s="20"/>
      <c r="AD880" s="20"/>
      <c r="AE880" s="20"/>
      <c r="AF880" s="20"/>
      <c r="AG880" s="20"/>
      <c r="AH880" s="20"/>
      <c r="AI880" s="20"/>
      <c r="AJ880" s="20"/>
      <c r="AK880" s="20"/>
      <c r="AL880" s="20"/>
      <c r="AM880" s="20"/>
      <c r="AN880" s="20"/>
      <c r="AO880" s="20"/>
      <c r="AP880" s="20"/>
      <c r="AQ880" s="20"/>
      <c r="AR880" s="20"/>
      <c r="AS880" s="20"/>
      <c r="AT880" s="20"/>
      <c r="AU880" s="20"/>
    </row>
    <row r="881" spans="1:47" ht="17.25" hidden="1" customHeight="1">
      <c r="A881" s="15" t="s">
        <v>5776</v>
      </c>
      <c r="B881" s="124" t="s">
        <v>155</v>
      </c>
      <c r="C881" s="125" t="e">
        <v>#NAME?</v>
      </c>
      <c r="E881" s="126" t="s">
        <v>6228</v>
      </c>
      <c r="F881" s="124" t="str">
        <f t="shared" si="11"/>
        <v>KR_retail_small_2011_2018_AtticRoof</v>
      </c>
      <c r="G881" s="124" t="s">
        <v>5211</v>
      </c>
      <c r="H881" s="126">
        <v>7.8E-2</v>
      </c>
      <c r="I881" s="124" t="s">
        <v>5186</v>
      </c>
      <c r="J881" s="126">
        <v>0.15</v>
      </c>
      <c r="K881" s="124" t="s">
        <v>5196</v>
      </c>
      <c r="L881" s="124">
        <v>0.03</v>
      </c>
      <c r="M881" s="128"/>
      <c r="N881" s="124"/>
      <c r="O881" s="128"/>
      <c r="P881" s="124"/>
      <c r="Q881" s="128"/>
      <c r="R881" s="124"/>
      <c r="S881" s="124"/>
      <c r="T881" s="124"/>
      <c r="U881" s="124" t="s">
        <v>5523</v>
      </c>
      <c r="V881" s="124"/>
      <c r="W881" s="124"/>
      <c r="X881" s="124"/>
      <c r="Y881" s="124"/>
      <c r="Z881" s="124" t="e">
        <v>#NAME?</v>
      </c>
      <c r="AA881" s="126">
        <v>0</v>
      </c>
      <c r="AB881" s="20"/>
      <c r="AC881" s="20"/>
      <c r="AD881" s="20"/>
      <c r="AE881" s="20"/>
      <c r="AF881" s="20"/>
      <c r="AG881" s="20"/>
      <c r="AH881" s="20"/>
      <c r="AI881" s="20"/>
      <c r="AJ881" s="20"/>
      <c r="AK881" s="20"/>
      <c r="AL881" s="20"/>
      <c r="AM881" s="20"/>
      <c r="AN881" s="20"/>
      <c r="AO881" s="20"/>
      <c r="AP881" s="20"/>
      <c r="AQ881" s="20"/>
      <c r="AR881" s="20"/>
      <c r="AS881" s="20"/>
      <c r="AT881" s="20"/>
      <c r="AU881" s="20"/>
    </row>
    <row r="882" spans="1:47" ht="17.25" hidden="1" customHeight="1">
      <c r="A882" s="15" t="s">
        <v>5777</v>
      </c>
      <c r="B882" s="124" t="s">
        <v>155</v>
      </c>
      <c r="C882" s="125" t="e">
        <v>#NAME?</v>
      </c>
      <c r="E882" s="126" t="s">
        <v>6228</v>
      </c>
      <c r="F882" s="124" t="str">
        <f t="shared" si="11"/>
        <v>KR_retail_small_post2019_AtticRoof</v>
      </c>
      <c r="G882" s="124" t="s">
        <v>5211</v>
      </c>
      <c r="H882" s="126">
        <v>9.4E-2</v>
      </c>
      <c r="I882" s="124" t="s">
        <v>5186</v>
      </c>
      <c r="J882" s="126">
        <v>0.15</v>
      </c>
      <c r="K882" s="124" t="s">
        <v>5196</v>
      </c>
      <c r="L882" s="124">
        <v>0.03</v>
      </c>
      <c r="M882" s="124"/>
      <c r="N882" s="124"/>
      <c r="O882" s="124"/>
      <c r="P882" s="124"/>
      <c r="Q882" s="124"/>
      <c r="R882" s="124"/>
      <c r="S882" s="124"/>
      <c r="T882" s="124"/>
      <c r="U882" s="124" t="s">
        <v>5523</v>
      </c>
      <c r="V882" s="124"/>
      <c r="W882" s="124"/>
      <c r="X882" s="124"/>
      <c r="Y882" s="124"/>
      <c r="Z882" s="124" t="e">
        <v>#NAME?</v>
      </c>
      <c r="AA882" s="126">
        <v>0</v>
      </c>
      <c r="AB882" s="20"/>
      <c r="AC882" s="20"/>
      <c r="AD882" s="20"/>
      <c r="AE882" s="20"/>
      <c r="AF882" s="20"/>
      <c r="AG882" s="20"/>
      <c r="AH882" s="20"/>
      <c r="AI882" s="20"/>
      <c r="AJ882" s="20"/>
      <c r="AK882" s="20"/>
      <c r="AL882" s="20"/>
      <c r="AM882" s="20"/>
      <c r="AN882" s="20"/>
      <c r="AO882" s="20"/>
      <c r="AP882" s="20"/>
      <c r="AQ882" s="20"/>
      <c r="AR882" s="20"/>
      <c r="AS882" s="20"/>
      <c r="AT882" s="20"/>
      <c r="AU882" s="20"/>
    </row>
    <row r="883" spans="1:47" ht="17.25" hidden="1" customHeight="1">
      <c r="A883" s="15" t="s">
        <v>5778</v>
      </c>
      <c r="B883" s="124" t="s">
        <v>155</v>
      </c>
      <c r="C883" s="125" t="e">
        <v>#NAME?</v>
      </c>
      <c r="E883" s="126" t="s">
        <v>6228</v>
      </c>
      <c r="F883" s="124" t="str">
        <f t="shared" si="11"/>
        <v>KR_retail_medium_pre1988_AtticRoof</v>
      </c>
      <c r="G883" s="124" t="s">
        <v>5186</v>
      </c>
      <c r="H883" s="126">
        <v>0.15</v>
      </c>
      <c r="I883" s="124" t="s">
        <v>5196</v>
      </c>
      <c r="J883" s="126">
        <v>0.03</v>
      </c>
      <c r="K883" s="124"/>
      <c r="L883" s="124"/>
      <c r="M883" s="124"/>
      <c r="N883" s="124"/>
      <c r="O883" s="124"/>
      <c r="P883" s="124"/>
      <c r="Q883" s="124"/>
      <c r="R883" s="124"/>
      <c r="S883" s="124"/>
      <c r="T883" s="124"/>
      <c r="U883" s="124" t="s">
        <v>5523</v>
      </c>
      <c r="V883" s="124"/>
      <c r="W883" s="124"/>
      <c r="X883" s="124"/>
      <c r="Y883" s="124"/>
      <c r="Z883" s="124" t="e">
        <v>#NAME?</v>
      </c>
      <c r="AA883" s="126">
        <v>0</v>
      </c>
      <c r="AB883" s="20"/>
      <c r="AC883" s="20"/>
      <c r="AD883" s="20"/>
      <c r="AE883" s="20"/>
      <c r="AF883" s="20"/>
      <c r="AG883" s="20"/>
      <c r="AH883" s="20"/>
      <c r="AI883" s="20"/>
      <c r="AJ883" s="20"/>
      <c r="AK883" s="20"/>
      <c r="AL883" s="20"/>
      <c r="AM883" s="20"/>
      <c r="AN883" s="20"/>
      <c r="AO883" s="20"/>
      <c r="AP883" s="20"/>
      <c r="AQ883" s="20"/>
      <c r="AR883" s="20"/>
      <c r="AS883" s="20"/>
      <c r="AT883" s="20"/>
      <c r="AU883" s="20"/>
    </row>
    <row r="884" spans="1:47" ht="17.25" hidden="1" customHeight="1">
      <c r="A884" s="15" t="s">
        <v>5779</v>
      </c>
      <c r="B884" s="124" t="s">
        <v>155</v>
      </c>
      <c r="C884" s="125" t="e">
        <v>#NAME?</v>
      </c>
      <c r="E884" s="126" t="s">
        <v>6228</v>
      </c>
      <c r="F884" s="124" t="str">
        <f t="shared" si="11"/>
        <v>KR_retail_medium_1988_2000_AtticRoof</v>
      </c>
      <c r="G884" s="124" t="s">
        <v>5211</v>
      </c>
      <c r="H884" s="126">
        <v>5.8000000000000003E-2</v>
      </c>
      <c r="I884" s="124" t="s">
        <v>5186</v>
      </c>
      <c r="J884" s="126">
        <v>0.15</v>
      </c>
      <c r="K884" s="124" t="s">
        <v>5196</v>
      </c>
      <c r="L884" s="124">
        <v>0.03</v>
      </c>
      <c r="M884" s="124"/>
      <c r="N884" s="124"/>
      <c r="O884" s="124"/>
      <c r="P884" s="124"/>
      <c r="Q884" s="128"/>
      <c r="R884" s="124"/>
      <c r="S884" s="124"/>
      <c r="T884" s="124"/>
      <c r="U884" s="124" t="s">
        <v>5523</v>
      </c>
      <c r="V884" s="124"/>
      <c r="W884" s="124"/>
      <c r="X884" s="124"/>
      <c r="Y884" s="124"/>
      <c r="Z884" s="124" t="e">
        <v>#NAME?</v>
      </c>
      <c r="AA884" s="126">
        <v>0</v>
      </c>
      <c r="AB884" s="20"/>
      <c r="AC884" s="20"/>
      <c r="AD884" s="20"/>
      <c r="AE884" s="20"/>
      <c r="AF884" s="20"/>
      <c r="AG884" s="20"/>
      <c r="AH884" s="20"/>
      <c r="AI884" s="20"/>
      <c r="AJ884" s="20"/>
      <c r="AK884" s="20"/>
      <c r="AL884" s="20"/>
      <c r="AM884" s="20"/>
      <c r="AN884" s="20"/>
      <c r="AO884" s="20"/>
      <c r="AP884" s="20"/>
      <c r="AQ884" s="20"/>
      <c r="AR884" s="20"/>
      <c r="AS884" s="20"/>
      <c r="AT884" s="20"/>
      <c r="AU884" s="20"/>
    </row>
    <row r="885" spans="1:47" ht="17.25" hidden="1" customHeight="1">
      <c r="A885" s="15" t="s">
        <v>5780</v>
      </c>
      <c r="B885" s="124" t="s">
        <v>155</v>
      </c>
      <c r="C885" s="125" t="e">
        <v>#NAME?</v>
      </c>
      <c r="E885" s="126" t="s">
        <v>6228</v>
      </c>
      <c r="F885" s="124" t="str">
        <f t="shared" si="11"/>
        <v>KR_retail_medium_2001_2010_AtticRoof</v>
      </c>
      <c r="G885" s="124" t="s">
        <v>5211</v>
      </c>
      <c r="H885" s="126">
        <v>5.8999999999999997E-2</v>
      </c>
      <c r="I885" s="124" t="s">
        <v>5186</v>
      </c>
      <c r="J885" s="126">
        <v>0.15</v>
      </c>
      <c r="K885" s="124" t="s">
        <v>5196</v>
      </c>
      <c r="L885" s="124">
        <v>0.03</v>
      </c>
      <c r="M885" s="124"/>
      <c r="N885" s="124"/>
      <c r="O885" s="124"/>
      <c r="P885" s="124"/>
      <c r="Q885" s="124"/>
      <c r="R885" s="124"/>
      <c r="S885" s="124"/>
      <c r="T885" s="124"/>
      <c r="U885" s="124" t="s">
        <v>5523</v>
      </c>
      <c r="V885" s="124"/>
      <c r="W885" s="124"/>
      <c r="X885" s="124"/>
      <c r="Y885" s="124"/>
      <c r="Z885" s="124" t="e">
        <v>#NAME?</v>
      </c>
      <c r="AA885" s="126">
        <v>0</v>
      </c>
      <c r="AB885" s="20"/>
      <c r="AC885" s="20"/>
      <c r="AD885" s="20"/>
      <c r="AE885" s="20"/>
      <c r="AF885" s="20"/>
      <c r="AG885" s="20"/>
      <c r="AH885" s="20"/>
      <c r="AI885" s="20"/>
      <c r="AJ885" s="20"/>
      <c r="AK885" s="20"/>
      <c r="AL885" s="20"/>
      <c r="AM885" s="20"/>
      <c r="AN885" s="20"/>
      <c r="AO885" s="20"/>
      <c r="AP885" s="20"/>
      <c r="AQ885" s="20"/>
      <c r="AR885" s="20"/>
      <c r="AS885" s="20"/>
      <c r="AT885" s="20"/>
      <c r="AU885" s="20"/>
    </row>
    <row r="886" spans="1:47" ht="17.25" hidden="1" customHeight="1">
      <c r="A886" s="15" t="s">
        <v>5781</v>
      </c>
      <c r="B886" s="124" t="s">
        <v>155</v>
      </c>
      <c r="C886" s="125" t="e">
        <v>#NAME?</v>
      </c>
      <c r="E886" s="126" t="s">
        <v>6228</v>
      </c>
      <c r="F886" s="124" t="str">
        <f t="shared" si="11"/>
        <v>KR_retail_medium_2011_2018_AtticRoof</v>
      </c>
      <c r="G886" s="124" t="s">
        <v>5211</v>
      </c>
      <c r="H886" s="126">
        <v>7.8E-2</v>
      </c>
      <c r="I886" s="124" t="s">
        <v>5186</v>
      </c>
      <c r="J886" s="126">
        <v>0.15</v>
      </c>
      <c r="K886" s="124" t="s">
        <v>5196</v>
      </c>
      <c r="L886" s="124">
        <v>0.03</v>
      </c>
      <c r="M886" s="124"/>
      <c r="N886" s="124"/>
      <c r="O886" s="124"/>
      <c r="P886" s="124"/>
      <c r="Q886" s="124"/>
      <c r="R886" s="124"/>
      <c r="S886" s="124"/>
      <c r="T886" s="124"/>
      <c r="U886" s="124" t="s">
        <v>5523</v>
      </c>
      <c r="V886" s="124"/>
      <c r="W886" s="124"/>
      <c r="X886" s="124"/>
      <c r="Y886" s="124"/>
      <c r="Z886" s="124" t="e">
        <v>#NAME?</v>
      </c>
      <c r="AA886" s="126">
        <v>0</v>
      </c>
      <c r="AB886" s="20"/>
      <c r="AC886" s="20"/>
      <c r="AD886" s="20"/>
      <c r="AE886" s="20"/>
      <c r="AF886" s="20"/>
      <c r="AG886" s="20"/>
      <c r="AH886" s="20"/>
      <c r="AI886" s="20"/>
      <c r="AJ886" s="20"/>
      <c r="AK886" s="20"/>
      <c r="AL886" s="20"/>
      <c r="AM886" s="20"/>
      <c r="AN886" s="20"/>
      <c r="AO886" s="20"/>
      <c r="AP886" s="20"/>
      <c r="AQ886" s="20"/>
      <c r="AR886" s="20"/>
      <c r="AS886" s="20"/>
      <c r="AT886" s="20"/>
      <c r="AU886" s="20"/>
    </row>
    <row r="887" spans="1:47" ht="17.25" hidden="1" customHeight="1">
      <c r="A887" s="15" t="s">
        <v>5782</v>
      </c>
      <c r="B887" s="124" t="s">
        <v>155</v>
      </c>
      <c r="C887" s="125" t="e">
        <v>#NAME?</v>
      </c>
      <c r="E887" s="126" t="s">
        <v>6228</v>
      </c>
      <c r="F887" s="124" t="str">
        <f t="shared" si="11"/>
        <v>KR_retail_medium_post2019_AtticRoof</v>
      </c>
      <c r="G887" s="124" t="s">
        <v>5211</v>
      </c>
      <c r="H887" s="126">
        <v>9.4E-2</v>
      </c>
      <c r="I887" s="124" t="s">
        <v>5186</v>
      </c>
      <c r="J887" s="126">
        <v>0.15</v>
      </c>
      <c r="K887" s="124" t="s">
        <v>5196</v>
      </c>
      <c r="L887" s="124">
        <v>0.03</v>
      </c>
      <c r="M887" s="124"/>
      <c r="N887" s="124"/>
      <c r="O887" s="124"/>
      <c r="P887" s="124"/>
      <c r="Q887" s="124"/>
      <c r="R887" s="124"/>
      <c r="S887" s="124"/>
      <c r="T887" s="124"/>
      <c r="U887" s="124" t="s">
        <v>5523</v>
      </c>
      <c r="V887" s="124"/>
      <c r="W887" s="124"/>
      <c r="X887" s="124"/>
      <c r="Y887" s="124"/>
      <c r="Z887" s="124" t="e">
        <v>#NAME?</v>
      </c>
      <c r="AA887" s="126">
        <v>0</v>
      </c>
      <c r="AB887" s="20"/>
      <c r="AC887" s="20"/>
      <c r="AD887" s="20"/>
      <c r="AE887" s="20"/>
      <c r="AF887" s="20"/>
      <c r="AG887" s="20"/>
      <c r="AH887" s="20"/>
      <c r="AI887" s="20"/>
      <c r="AJ887" s="20"/>
      <c r="AK887" s="20"/>
      <c r="AL887" s="20"/>
      <c r="AM887" s="20"/>
      <c r="AN887" s="20"/>
      <c r="AO887" s="20"/>
      <c r="AP887" s="20"/>
      <c r="AQ887" s="20"/>
      <c r="AR887" s="20"/>
      <c r="AS887" s="20"/>
      <c r="AT887" s="20"/>
      <c r="AU887" s="20"/>
    </row>
    <row r="888" spans="1:47" ht="17.25" hidden="1" customHeight="1">
      <c r="A888" s="15" t="s">
        <v>5783</v>
      </c>
      <c r="B888" s="124" t="s">
        <v>155</v>
      </c>
      <c r="C888" s="125" t="e">
        <v>#NAME?</v>
      </c>
      <c r="E888" s="126" t="s">
        <v>6228</v>
      </c>
      <c r="F888" s="124" t="str">
        <f t="shared" si="11"/>
        <v>KR_retail_large_pre1988_AtticRoof</v>
      </c>
      <c r="G888" s="124" t="s">
        <v>5186</v>
      </c>
      <c r="H888" s="126">
        <v>0.15</v>
      </c>
      <c r="I888" s="124" t="s">
        <v>5196</v>
      </c>
      <c r="J888" s="126">
        <v>0.03</v>
      </c>
      <c r="K888" s="124"/>
      <c r="L888" s="124"/>
      <c r="M888" s="124"/>
      <c r="N888" s="124"/>
      <c r="O888" s="124"/>
      <c r="P888" s="124"/>
      <c r="Q888" s="124"/>
      <c r="R888" s="124"/>
      <c r="S888" s="124"/>
      <c r="T888" s="124"/>
      <c r="U888" s="124" t="s">
        <v>5523</v>
      </c>
      <c r="V888" s="124"/>
      <c r="W888" s="124"/>
      <c r="X888" s="124"/>
      <c r="Y888" s="124"/>
      <c r="Z888" s="124" t="e">
        <v>#NAME?</v>
      </c>
      <c r="AA888" s="126">
        <v>0</v>
      </c>
      <c r="AB888" s="20"/>
      <c r="AC888" s="20"/>
      <c r="AD888" s="20"/>
      <c r="AE888" s="20"/>
      <c r="AF888" s="20"/>
      <c r="AG888" s="20"/>
      <c r="AH888" s="20"/>
      <c r="AI888" s="20"/>
      <c r="AJ888" s="20"/>
      <c r="AK888" s="20"/>
      <c r="AL888" s="20"/>
      <c r="AM888" s="20"/>
      <c r="AN888" s="20"/>
      <c r="AO888" s="20"/>
      <c r="AP888" s="20"/>
      <c r="AQ888" s="20"/>
      <c r="AR888" s="20"/>
      <c r="AS888" s="20"/>
      <c r="AT888" s="20"/>
      <c r="AU888" s="20"/>
    </row>
    <row r="889" spans="1:47" ht="17.25" hidden="1" customHeight="1">
      <c r="A889" s="15" t="s">
        <v>5784</v>
      </c>
      <c r="B889" s="124" t="s">
        <v>155</v>
      </c>
      <c r="C889" s="125" t="e">
        <v>#NAME?</v>
      </c>
      <c r="E889" s="126" t="s">
        <v>6228</v>
      </c>
      <c r="F889" s="124" t="str">
        <f t="shared" si="11"/>
        <v>KR_retail_large_1988_2000_AtticRoof</v>
      </c>
      <c r="G889" s="124" t="s">
        <v>5211</v>
      </c>
      <c r="H889" s="126">
        <v>5.8000000000000003E-2</v>
      </c>
      <c r="I889" s="124" t="s">
        <v>5186</v>
      </c>
      <c r="J889" s="126">
        <v>0.15</v>
      </c>
      <c r="K889" s="124" t="s">
        <v>5196</v>
      </c>
      <c r="L889" s="124">
        <v>0.03</v>
      </c>
      <c r="M889" s="124"/>
      <c r="N889" s="124"/>
      <c r="O889" s="124"/>
      <c r="P889" s="124"/>
      <c r="Q889" s="124"/>
      <c r="R889" s="124"/>
      <c r="S889" s="124"/>
      <c r="T889" s="124"/>
      <c r="U889" s="124" t="s">
        <v>5523</v>
      </c>
      <c r="V889" s="124"/>
      <c r="W889" s="124"/>
      <c r="X889" s="124"/>
      <c r="Y889" s="124"/>
      <c r="Z889" s="124" t="e">
        <v>#NAME?</v>
      </c>
      <c r="AA889" s="126">
        <v>0</v>
      </c>
      <c r="AB889" s="20"/>
      <c r="AC889" s="20"/>
      <c r="AD889" s="20"/>
      <c r="AE889" s="20"/>
      <c r="AF889" s="20"/>
      <c r="AG889" s="20"/>
      <c r="AH889" s="20"/>
      <c r="AI889" s="20"/>
      <c r="AJ889" s="20"/>
      <c r="AK889" s="20"/>
      <c r="AL889" s="20"/>
      <c r="AM889" s="20"/>
      <c r="AN889" s="20"/>
      <c r="AO889" s="20"/>
      <c r="AP889" s="20"/>
      <c r="AQ889" s="20"/>
      <c r="AR889" s="20"/>
      <c r="AS889" s="20"/>
      <c r="AT889" s="20"/>
      <c r="AU889" s="20"/>
    </row>
    <row r="890" spans="1:47" ht="17.25" hidden="1" customHeight="1">
      <c r="A890" s="15" t="s">
        <v>5785</v>
      </c>
      <c r="B890" s="124" t="s">
        <v>155</v>
      </c>
      <c r="C890" s="125" t="e">
        <v>#NAME?</v>
      </c>
      <c r="E890" s="126" t="s">
        <v>6228</v>
      </c>
      <c r="F890" s="124" t="str">
        <f t="shared" si="11"/>
        <v>KR_retail_large_2001_2010_AtticRoof</v>
      </c>
      <c r="G890" s="124" t="s">
        <v>5211</v>
      </c>
      <c r="H890" s="126">
        <v>5.8999999999999997E-2</v>
      </c>
      <c r="I890" s="124" t="s">
        <v>5186</v>
      </c>
      <c r="J890" s="126">
        <v>0.15</v>
      </c>
      <c r="K890" s="124" t="s">
        <v>5196</v>
      </c>
      <c r="L890" s="124">
        <v>0.03</v>
      </c>
      <c r="M890" s="124"/>
      <c r="N890" s="124"/>
      <c r="O890" s="124"/>
      <c r="P890" s="124"/>
      <c r="Q890" s="124"/>
      <c r="R890" s="124"/>
      <c r="S890" s="124"/>
      <c r="T890" s="124"/>
      <c r="U890" s="124" t="s">
        <v>5523</v>
      </c>
      <c r="V890" s="124"/>
      <c r="W890" s="124"/>
      <c r="X890" s="124"/>
      <c r="Y890" s="124"/>
      <c r="Z890" s="124" t="e">
        <v>#NAME?</v>
      </c>
      <c r="AA890" s="126">
        <v>0</v>
      </c>
      <c r="AB890" s="20"/>
      <c r="AC890" s="20"/>
      <c r="AD890" s="20"/>
      <c r="AE890" s="20"/>
      <c r="AF890" s="20"/>
      <c r="AG890" s="20"/>
      <c r="AH890" s="20"/>
      <c r="AI890" s="20"/>
      <c r="AJ890" s="20"/>
      <c r="AK890" s="20"/>
      <c r="AL890" s="20"/>
      <c r="AM890" s="20"/>
      <c r="AN890" s="20"/>
      <c r="AO890" s="20"/>
      <c r="AP890" s="20"/>
      <c r="AQ890" s="20"/>
      <c r="AR890" s="20"/>
      <c r="AS890" s="20"/>
      <c r="AT890" s="20"/>
      <c r="AU890" s="20"/>
    </row>
    <row r="891" spans="1:47" ht="17.25" hidden="1" customHeight="1">
      <c r="A891" s="15" t="s">
        <v>5786</v>
      </c>
      <c r="B891" s="124" t="s">
        <v>155</v>
      </c>
      <c r="C891" s="125" t="e">
        <v>#NAME?</v>
      </c>
      <c r="E891" s="126" t="s">
        <v>6228</v>
      </c>
      <c r="F891" s="124" t="str">
        <f t="shared" si="11"/>
        <v>KR_retail_large_2011_2018_AtticRoof</v>
      </c>
      <c r="G891" s="124" t="s">
        <v>5211</v>
      </c>
      <c r="H891" s="126">
        <v>7.8E-2</v>
      </c>
      <c r="I891" s="124" t="s">
        <v>5186</v>
      </c>
      <c r="J891" s="126">
        <v>0.15</v>
      </c>
      <c r="K891" s="124" t="s">
        <v>5196</v>
      </c>
      <c r="L891" s="124">
        <v>0.03</v>
      </c>
      <c r="M891" s="124"/>
      <c r="N891" s="124"/>
      <c r="O891" s="124"/>
      <c r="P891" s="124"/>
      <c r="Q891" s="124"/>
      <c r="R891" s="124"/>
      <c r="S891" s="124"/>
      <c r="T891" s="124"/>
      <c r="U891" s="124" t="s">
        <v>5523</v>
      </c>
      <c r="V891" s="124"/>
      <c r="W891" s="124"/>
      <c r="X891" s="124"/>
      <c r="Y891" s="124"/>
      <c r="Z891" s="124" t="e">
        <v>#NAME?</v>
      </c>
      <c r="AA891" s="126">
        <v>0</v>
      </c>
      <c r="AB891" s="20"/>
      <c r="AC891" s="20"/>
      <c r="AD891" s="20"/>
      <c r="AE891" s="20"/>
      <c r="AF891" s="20"/>
      <c r="AG891" s="20"/>
      <c r="AH891" s="20"/>
      <c r="AI891" s="20"/>
      <c r="AJ891" s="20"/>
      <c r="AK891" s="20"/>
      <c r="AL891" s="20"/>
      <c r="AM891" s="20"/>
      <c r="AN891" s="20"/>
      <c r="AO891" s="20"/>
      <c r="AP891" s="20"/>
      <c r="AQ891" s="20"/>
      <c r="AR891" s="20"/>
      <c r="AS891" s="20"/>
      <c r="AT891" s="20"/>
      <c r="AU891" s="20"/>
    </row>
    <row r="892" spans="1:47" ht="17.25" hidden="1" customHeight="1">
      <c r="A892" s="15" t="s">
        <v>5787</v>
      </c>
      <c r="B892" s="124" t="s">
        <v>155</v>
      </c>
      <c r="C892" s="125" t="e">
        <v>#NAME?</v>
      </c>
      <c r="E892" s="126" t="s">
        <v>6228</v>
      </c>
      <c r="F892" s="124" t="str">
        <f t="shared" si="11"/>
        <v>KR_retail_large_post2019_AtticRoof</v>
      </c>
      <c r="G892" s="124" t="s">
        <v>5211</v>
      </c>
      <c r="H892" s="126">
        <v>9.4E-2</v>
      </c>
      <c r="I892" s="124" t="s">
        <v>5186</v>
      </c>
      <c r="J892" s="126">
        <v>0.15</v>
      </c>
      <c r="K892" s="124" t="s">
        <v>5196</v>
      </c>
      <c r="L892" s="124">
        <v>0.03</v>
      </c>
      <c r="M892" s="124"/>
      <c r="N892" s="124"/>
      <c r="O892" s="124"/>
      <c r="P892" s="124"/>
      <c r="Q892" s="124"/>
      <c r="R892" s="124"/>
      <c r="S892" s="124"/>
      <c r="T892" s="124"/>
      <c r="U892" s="124" t="s">
        <v>5523</v>
      </c>
      <c r="V892" s="124"/>
      <c r="W892" s="124"/>
      <c r="X892" s="124"/>
      <c r="Y892" s="124"/>
      <c r="Z892" s="124" t="e">
        <v>#NAME?</v>
      </c>
      <c r="AA892" s="126">
        <v>0</v>
      </c>
      <c r="AB892" s="20"/>
      <c r="AC892" s="20"/>
      <c r="AD892" s="20"/>
      <c r="AE892" s="20"/>
      <c r="AF892" s="20"/>
      <c r="AG892" s="20"/>
      <c r="AH892" s="20"/>
      <c r="AI892" s="20"/>
      <c r="AJ892" s="20"/>
      <c r="AK892" s="20"/>
      <c r="AL892" s="20"/>
      <c r="AM892" s="20"/>
      <c r="AN892" s="20"/>
      <c r="AO892" s="20"/>
      <c r="AP892" s="20"/>
      <c r="AQ892" s="20"/>
      <c r="AR892" s="20"/>
      <c r="AS892" s="20"/>
      <c r="AT892" s="20"/>
      <c r="AU892" s="20"/>
    </row>
    <row r="893" spans="1:47" ht="17.25" hidden="1" customHeight="1">
      <c r="A893" s="15" t="s">
        <v>5788</v>
      </c>
      <c r="B893" s="124" t="s">
        <v>155</v>
      </c>
      <c r="C893" s="125" t="e">
        <v>#NAME?</v>
      </c>
      <c r="E893" s="126" t="s">
        <v>6228</v>
      </c>
      <c r="F893" s="124" t="str">
        <f t="shared" si="11"/>
        <v>KR_school_pre1988_AtticRoof</v>
      </c>
      <c r="G893" s="124" t="s">
        <v>5186</v>
      </c>
      <c r="H893" s="126">
        <v>0.15</v>
      </c>
      <c r="I893" s="124" t="s">
        <v>5196</v>
      </c>
      <c r="J893" s="126">
        <v>0.03</v>
      </c>
      <c r="K893" s="124"/>
      <c r="L893" s="124"/>
      <c r="M893" s="124"/>
      <c r="N893" s="124"/>
      <c r="O893" s="124"/>
      <c r="P893" s="124"/>
      <c r="Q893" s="124"/>
      <c r="R893" s="124"/>
      <c r="S893" s="124"/>
      <c r="T893" s="124"/>
      <c r="U893" s="124" t="s">
        <v>5523</v>
      </c>
      <c r="V893" s="124"/>
      <c r="W893" s="124"/>
      <c r="X893" s="124"/>
      <c r="Y893" s="124"/>
      <c r="Z893" s="124" t="e">
        <v>#NAME?</v>
      </c>
      <c r="AA893" s="126">
        <v>0</v>
      </c>
      <c r="AB893" s="20"/>
      <c r="AC893" s="20"/>
      <c r="AD893" s="20"/>
      <c r="AE893" s="20"/>
      <c r="AF893" s="20"/>
      <c r="AG893" s="20"/>
      <c r="AH893" s="20"/>
      <c r="AI893" s="20"/>
      <c r="AJ893" s="20"/>
      <c r="AK893" s="20"/>
      <c r="AL893" s="20"/>
      <c r="AM893" s="20"/>
      <c r="AN893" s="20"/>
      <c r="AO893" s="20"/>
      <c r="AP893" s="20"/>
      <c r="AQ893" s="20"/>
      <c r="AR893" s="20"/>
      <c r="AS893" s="20"/>
      <c r="AT893" s="20"/>
      <c r="AU893" s="20"/>
    </row>
    <row r="894" spans="1:47" ht="17.25" hidden="1" customHeight="1">
      <c r="A894" s="15" t="s">
        <v>5789</v>
      </c>
      <c r="B894" s="124" t="s">
        <v>155</v>
      </c>
      <c r="C894" s="125" t="e">
        <v>#NAME?</v>
      </c>
      <c r="E894" s="126" t="s">
        <v>6228</v>
      </c>
      <c r="F894" s="124" t="str">
        <f t="shared" si="11"/>
        <v>KR_school_1988_2000_AtticRoof</v>
      </c>
      <c r="G894" s="124" t="s">
        <v>5211</v>
      </c>
      <c r="H894" s="126">
        <v>5.8000000000000003E-2</v>
      </c>
      <c r="I894" s="124" t="s">
        <v>5186</v>
      </c>
      <c r="J894" s="126">
        <v>0.15</v>
      </c>
      <c r="K894" s="124" t="s">
        <v>5196</v>
      </c>
      <c r="L894" s="124">
        <v>0.03</v>
      </c>
      <c r="M894" s="124"/>
      <c r="N894" s="124"/>
      <c r="O894" s="124"/>
      <c r="P894" s="124"/>
      <c r="Q894" s="124"/>
      <c r="R894" s="124"/>
      <c r="S894" s="124"/>
      <c r="T894" s="124"/>
      <c r="U894" s="124" t="s">
        <v>5523</v>
      </c>
      <c r="V894" s="124"/>
      <c r="W894" s="124"/>
      <c r="X894" s="124"/>
      <c r="Y894" s="124"/>
      <c r="Z894" s="124" t="e">
        <v>#NAME?</v>
      </c>
      <c r="AA894" s="126">
        <v>0</v>
      </c>
      <c r="AB894" s="20"/>
      <c r="AC894" s="20"/>
      <c r="AD894" s="20"/>
      <c r="AE894" s="20"/>
      <c r="AF894" s="20"/>
      <c r="AG894" s="20"/>
      <c r="AH894" s="20"/>
      <c r="AI894" s="20"/>
      <c r="AJ894" s="20"/>
      <c r="AK894" s="20"/>
      <c r="AL894" s="20"/>
      <c r="AM894" s="20"/>
      <c r="AN894" s="20"/>
      <c r="AO894" s="20"/>
      <c r="AP894" s="20"/>
      <c r="AQ894" s="20"/>
      <c r="AR894" s="20"/>
      <c r="AS894" s="20"/>
      <c r="AT894" s="20"/>
      <c r="AU894" s="20"/>
    </row>
    <row r="895" spans="1:47" ht="17.25" hidden="1" customHeight="1">
      <c r="A895" s="15" t="s">
        <v>5790</v>
      </c>
      <c r="B895" s="124" t="s">
        <v>155</v>
      </c>
      <c r="C895" s="125" t="e">
        <v>#NAME?</v>
      </c>
      <c r="E895" s="126" t="s">
        <v>6228</v>
      </c>
      <c r="F895" s="124" t="str">
        <f t="shared" si="11"/>
        <v>KR_school_2001_2010_AtticRoof</v>
      </c>
      <c r="G895" s="124" t="s">
        <v>5211</v>
      </c>
      <c r="H895" s="126">
        <v>5.8999999999999997E-2</v>
      </c>
      <c r="I895" s="124" t="s">
        <v>5186</v>
      </c>
      <c r="J895" s="126">
        <v>0.15</v>
      </c>
      <c r="K895" s="124" t="s">
        <v>5196</v>
      </c>
      <c r="L895" s="124">
        <v>0.03</v>
      </c>
      <c r="M895" s="124"/>
      <c r="N895" s="124"/>
      <c r="O895" s="124"/>
      <c r="P895" s="124"/>
      <c r="Q895" s="124"/>
      <c r="R895" s="124"/>
      <c r="S895" s="124"/>
      <c r="T895" s="124"/>
      <c r="U895" s="124" t="s">
        <v>5523</v>
      </c>
      <c r="V895" s="124"/>
      <c r="W895" s="124"/>
      <c r="X895" s="124"/>
      <c r="Y895" s="124"/>
      <c r="Z895" s="124" t="e">
        <v>#NAME?</v>
      </c>
      <c r="AA895" s="126">
        <v>0</v>
      </c>
      <c r="AB895" s="20"/>
      <c r="AC895" s="20"/>
      <c r="AD895" s="20"/>
      <c r="AE895" s="20"/>
      <c r="AF895" s="20"/>
      <c r="AG895" s="20"/>
      <c r="AH895" s="20"/>
      <c r="AI895" s="20"/>
      <c r="AJ895" s="20"/>
      <c r="AK895" s="20"/>
      <c r="AL895" s="20"/>
      <c r="AM895" s="20"/>
      <c r="AN895" s="20"/>
      <c r="AO895" s="20"/>
      <c r="AP895" s="20"/>
      <c r="AQ895" s="20"/>
      <c r="AR895" s="20"/>
      <c r="AS895" s="20"/>
      <c r="AT895" s="20"/>
      <c r="AU895" s="20"/>
    </row>
    <row r="896" spans="1:47" ht="17.25" hidden="1" customHeight="1">
      <c r="A896" s="15" t="s">
        <v>5791</v>
      </c>
      <c r="B896" s="124" t="s">
        <v>155</v>
      </c>
      <c r="C896" s="125" t="e">
        <v>#NAME?</v>
      </c>
      <c r="E896" s="126" t="s">
        <v>6228</v>
      </c>
      <c r="F896" s="124" t="str">
        <f t="shared" si="11"/>
        <v>KR_school_2011_2018_AtticRoof</v>
      </c>
      <c r="G896" s="124" t="s">
        <v>5211</v>
      </c>
      <c r="H896" s="126">
        <v>7.8E-2</v>
      </c>
      <c r="I896" s="124" t="s">
        <v>5186</v>
      </c>
      <c r="J896" s="126">
        <v>0.15</v>
      </c>
      <c r="K896" s="124" t="s">
        <v>5196</v>
      </c>
      <c r="L896" s="124">
        <v>0.03</v>
      </c>
      <c r="M896" s="124"/>
      <c r="N896" s="124"/>
      <c r="O896" s="124"/>
      <c r="P896" s="124"/>
      <c r="Q896" s="124"/>
      <c r="R896" s="124"/>
      <c r="S896" s="124"/>
      <c r="T896" s="124"/>
      <c r="U896" s="124" t="s">
        <v>5523</v>
      </c>
      <c r="V896" s="124"/>
      <c r="W896" s="124"/>
      <c r="X896" s="124"/>
      <c r="Y896" s="124"/>
      <c r="Z896" s="124" t="e">
        <v>#NAME?</v>
      </c>
      <c r="AA896" s="126">
        <v>0</v>
      </c>
      <c r="AB896" s="20"/>
      <c r="AC896" s="20"/>
      <c r="AD896" s="20"/>
      <c r="AE896" s="20"/>
      <c r="AF896" s="20"/>
      <c r="AG896" s="20"/>
      <c r="AH896" s="20"/>
      <c r="AI896" s="20"/>
      <c r="AJ896" s="20"/>
      <c r="AK896" s="20"/>
      <c r="AL896" s="20"/>
      <c r="AM896" s="20"/>
      <c r="AN896" s="20"/>
      <c r="AO896" s="20"/>
      <c r="AP896" s="20"/>
      <c r="AQ896" s="20"/>
      <c r="AR896" s="20"/>
      <c r="AS896" s="20"/>
      <c r="AT896" s="20"/>
      <c r="AU896" s="20"/>
    </row>
    <row r="897" spans="1:47" ht="17.25" hidden="1" customHeight="1">
      <c r="A897" s="15" t="s">
        <v>5792</v>
      </c>
      <c r="B897" s="124" t="s">
        <v>155</v>
      </c>
      <c r="C897" s="125" t="e">
        <v>#NAME?</v>
      </c>
      <c r="E897" s="126" t="s">
        <v>6228</v>
      </c>
      <c r="F897" s="124" t="str">
        <f t="shared" si="11"/>
        <v>KR_school_post2019_AtticRoof</v>
      </c>
      <c r="G897" s="124" t="s">
        <v>5211</v>
      </c>
      <c r="H897" s="126">
        <v>9.4E-2</v>
      </c>
      <c r="I897" s="124" t="s">
        <v>5186</v>
      </c>
      <c r="J897" s="126">
        <v>0.15</v>
      </c>
      <c r="K897" s="124" t="s">
        <v>5196</v>
      </c>
      <c r="L897" s="124">
        <v>0.03</v>
      </c>
      <c r="M897" s="124"/>
      <c r="N897" s="124"/>
      <c r="O897" s="124"/>
      <c r="P897" s="124"/>
      <c r="Q897" s="124"/>
      <c r="R897" s="124"/>
      <c r="S897" s="124"/>
      <c r="T897" s="124"/>
      <c r="U897" s="124" t="s">
        <v>5523</v>
      </c>
      <c r="V897" s="124"/>
      <c r="W897" s="124"/>
      <c r="X897" s="124"/>
      <c r="Y897" s="124"/>
      <c r="Z897" s="124" t="e">
        <v>#NAME?</v>
      </c>
      <c r="AA897" s="126">
        <v>0</v>
      </c>
      <c r="AB897" s="20"/>
      <c r="AC897" s="20"/>
      <c r="AD897" s="20"/>
      <c r="AE897" s="20"/>
      <c r="AF897" s="20"/>
      <c r="AG897" s="20"/>
      <c r="AH897" s="20"/>
      <c r="AI897" s="20"/>
      <c r="AJ897" s="20"/>
      <c r="AK897" s="20"/>
      <c r="AL897" s="20"/>
      <c r="AM897" s="20"/>
      <c r="AN897" s="20"/>
      <c r="AO897" s="20"/>
      <c r="AP897" s="20"/>
      <c r="AQ897" s="20"/>
      <c r="AR897" s="20"/>
      <c r="AS897" s="20"/>
      <c r="AT897" s="20"/>
      <c r="AU897" s="20"/>
    </row>
    <row r="898" spans="1:47" ht="17.25" hidden="1" customHeight="1">
      <c r="A898" s="15" t="s">
        <v>5793</v>
      </c>
      <c r="B898" s="124" t="s">
        <v>155</v>
      </c>
      <c r="C898" s="125" t="e">
        <v>#NAME?</v>
      </c>
      <c r="E898" s="126" t="s">
        <v>6228</v>
      </c>
      <c r="F898" s="124" t="str">
        <f t="shared" si="11"/>
        <v>KR_hospital_pre1988_AtticRoof</v>
      </c>
      <c r="G898" s="124" t="s">
        <v>5186</v>
      </c>
      <c r="H898" s="126">
        <v>0.15</v>
      </c>
      <c r="I898" s="124" t="s">
        <v>5196</v>
      </c>
      <c r="J898" s="126">
        <v>0.03</v>
      </c>
      <c r="K898" s="124"/>
      <c r="L898" s="124"/>
      <c r="M898" s="124"/>
      <c r="N898" s="124"/>
      <c r="O898" s="124"/>
      <c r="P898" s="124"/>
      <c r="Q898" s="124"/>
      <c r="R898" s="124"/>
      <c r="S898" s="124"/>
      <c r="T898" s="124"/>
      <c r="U898" s="124" t="s">
        <v>5523</v>
      </c>
      <c r="V898" s="124"/>
      <c r="W898" s="124"/>
      <c r="X898" s="124"/>
      <c r="Y898" s="124"/>
      <c r="Z898" s="124" t="e">
        <v>#NAME?</v>
      </c>
      <c r="AA898" s="126">
        <v>0</v>
      </c>
      <c r="AB898" s="20"/>
      <c r="AC898" s="20"/>
      <c r="AD898" s="20"/>
      <c r="AE898" s="20"/>
      <c r="AF898" s="20"/>
      <c r="AG898" s="20"/>
      <c r="AH898" s="20"/>
      <c r="AI898" s="20"/>
      <c r="AJ898" s="20"/>
      <c r="AK898" s="20"/>
      <c r="AL898" s="20"/>
      <c r="AM898" s="20"/>
      <c r="AN898" s="20"/>
      <c r="AO898" s="20"/>
      <c r="AP898" s="20"/>
      <c r="AQ898" s="20"/>
      <c r="AR898" s="20"/>
      <c r="AS898" s="20"/>
      <c r="AT898" s="20"/>
      <c r="AU898" s="20"/>
    </row>
    <row r="899" spans="1:47" ht="17.25" hidden="1" customHeight="1">
      <c r="A899" s="15" t="s">
        <v>5794</v>
      </c>
      <c r="B899" s="124" t="s">
        <v>155</v>
      </c>
      <c r="C899" s="125" t="e">
        <v>#NAME?</v>
      </c>
      <c r="E899" s="126" t="s">
        <v>6228</v>
      </c>
      <c r="F899" s="124" t="str">
        <f t="shared" si="11"/>
        <v>KR_hospital_1988_2000_AtticRoof</v>
      </c>
      <c r="G899" s="124" t="s">
        <v>5211</v>
      </c>
      <c r="H899" s="126">
        <v>5.8000000000000003E-2</v>
      </c>
      <c r="I899" s="124" t="s">
        <v>5186</v>
      </c>
      <c r="J899" s="126">
        <v>0.15</v>
      </c>
      <c r="K899" s="124" t="s">
        <v>5196</v>
      </c>
      <c r="L899" s="124">
        <v>0.03</v>
      </c>
      <c r="M899" s="124"/>
      <c r="N899" s="124"/>
      <c r="O899" s="124"/>
      <c r="P899" s="124"/>
      <c r="Q899" s="124"/>
      <c r="R899" s="124"/>
      <c r="S899" s="124"/>
      <c r="T899" s="124"/>
      <c r="U899" s="124" t="s">
        <v>5523</v>
      </c>
      <c r="V899" s="124"/>
      <c r="W899" s="124"/>
      <c r="X899" s="124"/>
      <c r="Y899" s="124"/>
      <c r="Z899" s="124" t="e">
        <v>#NAME?</v>
      </c>
      <c r="AA899" s="126">
        <v>0</v>
      </c>
      <c r="AB899" s="20"/>
      <c r="AC899" s="20"/>
      <c r="AD899" s="20"/>
      <c r="AE899" s="20"/>
      <c r="AF899" s="20"/>
      <c r="AG899" s="20"/>
      <c r="AH899" s="20"/>
      <c r="AI899" s="20"/>
      <c r="AJ899" s="20"/>
      <c r="AK899" s="20"/>
      <c r="AL899" s="20"/>
      <c r="AM899" s="20"/>
      <c r="AN899" s="20"/>
      <c r="AO899" s="20"/>
      <c r="AP899" s="20"/>
      <c r="AQ899" s="20"/>
      <c r="AR899" s="20"/>
      <c r="AS899" s="20"/>
      <c r="AT899" s="20"/>
      <c r="AU899" s="20"/>
    </row>
    <row r="900" spans="1:47" ht="17.25" hidden="1" customHeight="1">
      <c r="A900" s="15" t="s">
        <v>5795</v>
      </c>
      <c r="B900" s="124" t="s">
        <v>155</v>
      </c>
      <c r="C900" s="125" t="e">
        <v>#NAME?</v>
      </c>
      <c r="E900" s="126" t="s">
        <v>6228</v>
      </c>
      <c r="F900" s="124" t="str">
        <f t="shared" si="11"/>
        <v>KR_hospital_2001_2010_AtticRoof</v>
      </c>
      <c r="G900" s="124" t="s">
        <v>5211</v>
      </c>
      <c r="H900" s="126">
        <v>5.8999999999999997E-2</v>
      </c>
      <c r="I900" s="124" t="s">
        <v>5186</v>
      </c>
      <c r="J900" s="126">
        <v>0.15</v>
      </c>
      <c r="K900" s="124" t="s">
        <v>5196</v>
      </c>
      <c r="L900" s="124">
        <v>0.03</v>
      </c>
      <c r="M900" s="124"/>
      <c r="N900" s="124"/>
      <c r="O900" s="124"/>
      <c r="P900" s="124"/>
      <c r="Q900" s="124"/>
      <c r="R900" s="124"/>
      <c r="S900" s="124"/>
      <c r="T900" s="124"/>
      <c r="U900" s="124" t="s">
        <v>5523</v>
      </c>
      <c r="V900" s="124"/>
      <c r="W900" s="124"/>
      <c r="X900" s="124"/>
      <c r="Y900" s="124"/>
      <c r="Z900" s="124" t="e">
        <v>#NAME?</v>
      </c>
      <c r="AA900" s="126">
        <v>0</v>
      </c>
      <c r="AB900" s="20"/>
      <c r="AC900" s="20"/>
      <c r="AD900" s="20"/>
      <c r="AE900" s="20"/>
      <c r="AF900" s="20"/>
      <c r="AG900" s="20"/>
      <c r="AH900" s="20"/>
      <c r="AI900" s="20"/>
      <c r="AJ900" s="20"/>
      <c r="AK900" s="20"/>
      <c r="AL900" s="20"/>
      <c r="AM900" s="20"/>
      <c r="AN900" s="20"/>
      <c r="AO900" s="20"/>
      <c r="AP900" s="20"/>
      <c r="AQ900" s="20"/>
      <c r="AR900" s="20"/>
      <c r="AS900" s="20"/>
      <c r="AT900" s="20"/>
      <c r="AU900" s="20"/>
    </row>
    <row r="901" spans="1:47" ht="17.25" hidden="1" customHeight="1">
      <c r="A901" s="15" t="s">
        <v>5796</v>
      </c>
      <c r="B901" s="124" t="s">
        <v>155</v>
      </c>
      <c r="C901" s="125" t="e">
        <v>#NAME?</v>
      </c>
      <c r="E901" s="126" t="s">
        <v>6228</v>
      </c>
      <c r="F901" s="124" t="str">
        <f t="shared" si="11"/>
        <v>KR_hospital_2011_2018_AtticRoof</v>
      </c>
      <c r="G901" s="124" t="s">
        <v>5211</v>
      </c>
      <c r="H901" s="126">
        <v>7.8E-2</v>
      </c>
      <c r="I901" s="124" t="s">
        <v>5186</v>
      </c>
      <c r="J901" s="126">
        <v>0.15</v>
      </c>
      <c r="K901" s="124" t="s">
        <v>5196</v>
      </c>
      <c r="L901" s="124">
        <v>0.03</v>
      </c>
      <c r="M901" s="124"/>
      <c r="N901" s="124"/>
      <c r="O901" s="124"/>
      <c r="P901" s="124"/>
      <c r="Q901" s="124"/>
      <c r="R901" s="124"/>
      <c r="S901" s="124"/>
      <c r="T901" s="124"/>
      <c r="U901" s="124" t="s">
        <v>5523</v>
      </c>
      <c r="V901" s="124"/>
      <c r="W901" s="124"/>
      <c r="X901" s="124"/>
      <c r="Y901" s="124"/>
      <c r="Z901" s="124" t="e">
        <v>#NAME?</v>
      </c>
      <c r="AA901" s="126">
        <v>0</v>
      </c>
      <c r="AB901" s="20"/>
      <c r="AC901" s="20"/>
      <c r="AD901" s="20"/>
      <c r="AE901" s="20"/>
      <c r="AF901" s="20"/>
      <c r="AG901" s="20"/>
      <c r="AH901" s="20"/>
      <c r="AI901" s="20"/>
      <c r="AJ901" s="20"/>
      <c r="AK901" s="20"/>
      <c r="AL901" s="20"/>
      <c r="AM901" s="20"/>
      <c r="AN901" s="20"/>
      <c r="AO901" s="20"/>
      <c r="AP901" s="20"/>
      <c r="AQ901" s="20"/>
      <c r="AR901" s="20"/>
      <c r="AS901" s="20"/>
      <c r="AT901" s="20"/>
      <c r="AU901" s="20"/>
    </row>
    <row r="902" spans="1:47" ht="17.25" hidden="1" customHeight="1">
      <c r="A902" s="15" t="s">
        <v>5797</v>
      </c>
      <c r="B902" s="124" t="s">
        <v>155</v>
      </c>
      <c r="C902" s="125" t="e">
        <v>#NAME?</v>
      </c>
      <c r="E902" s="126" t="s">
        <v>6228</v>
      </c>
      <c r="F902" s="124" t="str">
        <f t="shared" si="11"/>
        <v>KR_hospital_post2019_AtticRoof</v>
      </c>
      <c r="G902" s="124" t="s">
        <v>5211</v>
      </c>
      <c r="H902" s="126">
        <v>9.4E-2</v>
      </c>
      <c r="I902" s="124" t="s">
        <v>5186</v>
      </c>
      <c r="J902" s="126">
        <v>0.15</v>
      </c>
      <c r="K902" s="124" t="s">
        <v>5196</v>
      </c>
      <c r="L902" s="124">
        <v>0.03</v>
      </c>
      <c r="M902" s="124"/>
      <c r="N902" s="124"/>
      <c r="O902" s="124"/>
      <c r="P902" s="124"/>
      <c r="Q902" s="124"/>
      <c r="R902" s="124"/>
      <c r="S902" s="124"/>
      <c r="T902" s="124"/>
      <c r="U902" s="124" t="s">
        <v>5523</v>
      </c>
      <c r="V902" s="124"/>
      <c r="W902" s="124"/>
      <c r="X902" s="124"/>
      <c r="Y902" s="124"/>
      <c r="Z902" s="124" t="e">
        <v>#NAME?</v>
      </c>
      <c r="AA902" s="126">
        <v>0</v>
      </c>
      <c r="AB902" s="20"/>
      <c r="AC902" s="20"/>
      <c r="AD902" s="20"/>
      <c r="AE902" s="20"/>
      <c r="AF902" s="20"/>
      <c r="AG902" s="20"/>
      <c r="AH902" s="20"/>
      <c r="AI902" s="20"/>
      <c r="AJ902" s="20"/>
      <c r="AK902" s="20"/>
      <c r="AL902" s="20"/>
      <c r="AM902" s="20"/>
      <c r="AN902" s="20"/>
      <c r="AO902" s="20"/>
      <c r="AP902" s="20"/>
      <c r="AQ902" s="20"/>
      <c r="AR902" s="20"/>
      <c r="AS902" s="20"/>
      <c r="AT902" s="20"/>
      <c r="AU902" s="20"/>
    </row>
    <row r="903" spans="1:47" ht="17.25" hidden="1" customHeight="1">
      <c r="A903" s="15" t="s">
        <v>5813</v>
      </c>
      <c r="B903" s="124" t="s">
        <v>155</v>
      </c>
      <c r="C903" s="125" t="e">
        <v>#NAME?</v>
      </c>
      <c r="E903" s="126" t="s">
        <v>6228</v>
      </c>
      <c r="F903" s="124" t="str">
        <f t="shared" si="11"/>
        <v>KR_welfare_pre1988_AtticRoof</v>
      </c>
      <c r="G903" s="124" t="s">
        <v>5186</v>
      </c>
      <c r="H903" s="126">
        <v>0.15</v>
      </c>
      <c r="I903" s="124" t="s">
        <v>5196</v>
      </c>
      <c r="J903" s="126">
        <v>0.03</v>
      </c>
      <c r="K903" s="124"/>
      <c r="L903" s="124"/>
      <c r="M903" s="124"/>
      <c r="N903" s="124"/>
      <c r="O903" s="124"/>
      <c r="P903" s="124"/>
      <c r="Q903" s="124"/>
      <c r="R903" s="124"/>
      <c r="S903" s="124"/>
      <c r="T903" s="124"/>
      <c r="U903" s="124" t="s">
        <v>5523</v>
      </c>
      <c r="V903" s="124"/>
      <c r="W903" s="124"/>
      <c r="X903" s="124"/>
      <c r="Y903" s="124"/>
      <c r="Z903" s="124" t="e">
        <v>#NAME?</v>
      </c>
      <c r="AA903" s="126">
        <v>0</v>
      </c>
      <c r="AB903" s="20"/>
      <c r="AC903" s="20"/>
      <c r="AD903" s="20"/>
      <c r="AE903" s="20"/>
      <c r="AF903" s="20"/>
      <c r="AG903" s="20"/>
      <c r="AH903" s="20"/>
      <c r="AI903" s="20"/>
      <c r="AJ903" s="20"/>
      <c r="AK903" s="20"/>
      <c r="AL903" s="20"/>
      <c r="AM903" s="20"/>
      <c r="AN903" s="20"/>
      <c r="AO903" s="20"/>
      <c r="AP903" s="20"/>
      <c r="AQ903" s="20"/>
      <c r="AR903" s="20"/>
      <c r="AS903" s="20"/>
      <c r="AT903" s="20"/>
      <c r="AU903" s="20"/>
    </row>
    <row r="904" spans="1:47" ht="17.25" hidden="1" customHeight="1">
      <c r="A904" s="15" t="s">
        <v>5814</v>
      </c>
      <c r="B904" s="124" t="s">
        <v>155</v>
      </c>
      <c r="C904" s="125" t="e">
        <v>#NAME?</v>
      </c>
      <c r="E904" s="126" t="s">
        <v>6228</v>
      </c>
      <c r="F904" s="124" t="str">
        <f t="shared" si="11"/>
        <v>KR_welfare_1988_2000_AtticRoof</v>
      </c>
      <c r="G904" s="124" t="s">
        <v>5211</v>
      </c>
      <c r="H904" s="126">
        <v>5.8000000000000003E-2</v>
      </c>
      <c r="I904" s="124" t="s">
        <v>5186</v>
      </c>
      <c r="J904" s="126">
        <v>0.15</v>
      </c>
      <c r="K904" s="124" t="s">
        <v>5196</v>
      </c>
      <c r="L904" s="124">
        <v>0.03</v>
      </c>
      <c r="M904" s="124"/>
      <c r="N904" s="124"/>
      <c r="O904" s="124"/>
      <c r="P904" s="124"/>
      <c r="Q904" s="124"/>
      <c r="R904" s="124"/>
      <c r="S904" s="124"/>
      <c r="T904" s="124"/>
      <c r="U904" s="124" t="s">
        <v>5523</v>
      </c>
      <c r="V904" s="124"/>
      <c r="W904" s="124"/>
      <c r="X904" s="124"/>
      <c r="Y904" s="124"/>
      <c r="Z904" s="124" t="e">
        <v>#NAME?</v>
      </c>
      <c r="AA904" s="126">
        <v>0</v>
      </c>
      <c r="AB904" s="20"/>
      <c r="AC904" s="20"/>
      <c r="AD904" s="20"/>
      <c r="AE904" s="20"/>
      <c r="AF904" s="20"/>
      <c r="AG904" s="20"/>
      <c r="AH904" s="20"/>
      <c r="AI904" s="20"/>
      <c r="AJ904" s="20"/>
      <c r="AK904" s="20"/>
      <c r="AL904" s="20"/>
      <c r="AM904" s="20"/>
      <c r="AN904" s="20"/>
      <c r="AO904" s="20"/>
      <c r="AP904" s="20"/>
      <c r="AQ904" s="20"/>
      <c r="AR904" s="20"/>
      <c r="AS904" s="20"/>
      <c r="AT904" s="20"/>
      <c r="AU904" s="20"/>
    </row>
    <row r="905" spans="1:47" ht="17.25" hidden="1" customHeight="1">
      <c r="A905" s="15" t="s">
        <v>5815</v>
      </c>
      <c r="B905" s="124" t="s">
        <v>155</v>
      </c>
      <c r="C905" s="125" t="e">
        <v>#NAME?</v>
      </c>
      <c r="E905" s="126" t="s">
        <v>6228</v>
      </c>
      <c r="F905" s="124" t="str">
        <f t="shared" si="11"/>
        <v>KR_welfare_2001_2010_AtticRoof</v>
      </c>
      <c r="G905" s="124" t="s">
        <v>5211</v>
      </c>
      <c r="H905" s="126">
        <v>5.8999999999999997E-2</v>
      </c>
      <c r="I905" s="124" t="s">
        <v>5186</v>
      </c>
      <c r="J905" s="126">
        <v>0.15</v>
      </c>
      <c r="K905" s="124" t="s">
        <v>5196</v>
      </c>
      <c r="L905" s="124">
        <v>0.03</v>
      </c>
      <c r="M905" s="124"/>
      <c r="N905" s="124"/>
      <c r="O905" s="124"/>
      <c r="P905" s="124"/>
      <c r="Q905" s="124"/>
      <c r="R905" s="124"/>
      <c r="S905" s="124"/>
      <c r="T905" s="124"/>
      <c r="U905" s="124" t="s">
        <v>5523</v>
      </c>
      <c r="V905" s="124"/>
      <c r="W905" s="124"/>
      <c r="X905" s="124"/>
      <c r="Y905" s="124"/>
      <c r="Z905" s="124" t="e">
        <v>#NAME?</v>
      </c>
      <c r="AA905" s="126">
        <v>0</v>
      </c>
      <c r="AB905" s="20"/>
      <c r="AC905" s="20"/>
      <c r="AD905" s="20"/>
      <c r="AE905" s="20"/>
      <c r="AF905" s="20"/>
      <c r="AG905" s="20"/>
      <c r="AH905" s="20"/>
      <c r="AI905" s="20"/>
      <c r="AJ905" s="20"/>
      <c r="AK905" s="20"/>
      <c r="AL905" s="20"/>
      <c r="AM905" s="20"/>
      <c r="AN905" s="20"/>
      <c r="AO905" s="20"/>
      <c r="AP905" s="20"/>
      <c r="AQ905" s="20"/>
      <c r="AR905" s="20"/>
      <c r="AS905" s="20"/>
      <c r="AT905" s="20"/>
      <c r="AU905" s="20"/>
    </row>
    <row r="906" spans="1:47" ht="17.25" hidden="1" customHeight="1">
      <c r="A906" s="15" t="s">
        <v>5816</v>
      </c>
      <c r="B906" s="124" t="s">
        <v>155</v>
      </c>
      <c r="C906" s="125" t="e">
        <v>#NAME?</v>
      </c>
      <c r="E906" s="126" t="s">
        <v>6228</v>
      </c>
      <c r="F906" s="124" t="str">
        <f t="shared" si="11"/>
        <v>KR_welfare_2011_2018_AtticRoof</v>
      </c>
      <c r="G906" s="124" t="s">
        <v>5211</v>
      </c>
      <c r="H906" s="126">
        <v>7.8E-2</v>
      </c>
      <c r="I906" s="124" t="s">
        <v>5186</v>
      </c>
      <c r="J906" s="126">
        <v>0.15</v>
      </c>
      <c r="K906" s="124" t="s">
        <v>5196</v>
      </c>
      <c r="L906" s="124">
        <v>0.03</v>
      </c>
      <c r="M906" s="124"/>
      <c r="N906" s="124"/>
      <c r="O906" s="124"/>
      <c r="P906" s="124"/>
      <c r="Q906" s="124"/>
      <c r="R906" s="124"/>
      <c r="S906" s="124"/>
      <c r="T906" s="124"/>
      <c r="U906" s="124" t="s">
        <v>5523</v>
      </c>
      <c r="V906" s="124"/>
      <c r="W906" s="124"/>
      <c r="X906" s="124"/>
      <c r="Y906" s="124"/>
      <c r="Z906" s="124" t="e">
        <v>#NAME?</v>
      </c>
      <c r="AA906" s="126">
        <v>0</v>
      </c>
      <c r="AB906" s="20"/>
      <c r="AC906" s="20"/>
      <c r="AD906" s="20"/>
      <c r="AE906" s="20"/>
      <c r="AF906" s="20"/>
      <c r="AG906" s="20"/>
      <c r="AH906" s="20"/>
      <c r="AI906" s="20"/>
      <c r="AJ906" s="20"/>
      <c r="AK906" s="20"/>
      <c r="AL906" s="20"/>
      <c r="AM906" s="20"/>
      <c r="AN906" s="20"/>
      <c r="AO906" s="20"/>
      <c r="AP906" s="20"/>
      <c r="AQ906" s="20"/>
      <c r="AR906" s="20"/>
      <c r="AS906" s="20"/>
      <c r="AT906" s="20"/>
      <c r="AU906" s="20"/>
    </row>
    <row r="907" spans="1:47" ht="17.25" hidden="1" customHeight="1">
      <c r="A907" s="15" t="s">
        <v>5817</v>
      </c>
      <c r="B907" s="124" t="s">
        <v>155</v>
      </c>
      <c r="C907" s="125" t="e">
        <v>#NAME?</v>
      </c>
      <c r="E907" s="126" t="s">
        <v>6228</v>
      </c>
      <c r="F907" s="124" t="str">
        <f t="shared" si="11"/>
        <v>KR_welfare_post2019_AtticRoof</v>
      </c>
      <c r="G907" s="124" t="s">
        <v>5211</v>
      </c>
      <c r="H907" s="126">
        <v>9.4E-2</v>
      </c>
      <c r="I907" s="124" t="s">
        <v>5186</v>
      </c>
      <c r="J907" s="126">
        <v>0.15</v>
      </c>
      <c r="K907" s="124" t="s">
        <v>5196</v>
      </c>
      <c r="L907" s="124">
        <v>0.03</v>
      </c>
      <c r="M907" s="124"/>
      <c r="N907" s="124"/>
      <c r="O907" s="124"/>
      <c r="P907" s="124"/>
      <c r="Q907" s="124"/>
      <c r="R907" s="124"/>
      <c r="S907" s="124"/>
      <c r="T907" s="124"/>
      <c r="U907" s="124" t="s">
        <v>5523</v>
      </c>
      <c r="V907" s="124"/>
      <c r="W907" s="124"/>
      <c r="X907" s="124"/>
      <c r="Y907" s="124"/>
      <c r="Z907" s="124" t="e">
        <v>#NAME?</v>
      </c>
      <c r="AA907" s="126">
        <v>0</v>
      </c>
      <c r="AB907" s="20"/>
      <c r="AC907" s="20"/>
      <c r="AD907" s="20"/>
      <c r="AE907" s="20"/>
      <c r="AF907" s="20"/>
      <c r="AG907" s="20"/>
      <c r="AH907" s="20"/>
      <c r="AI907" s="20"/>
      <c r="AJ907" s="20"/>
      <c r="AK907" s="20"/>
      <c r="AL907" s="20"/>
      <c r="AM907" s="20"/>
      <c r="AN907" s="20"/>
      <c r="AO907" s="20"/>
      <c r="AP907" s="20"/>
      <c r="AQ907" s="20"/>
      <c r="AR907" s="20"/>
      <c r="AS907" s="20"/>
      <c r="AT907" s="20"/>
      <c r="AU907" s="20"/>
    </row>
    <row r="908" spans="1:47" ht="17.25" hidden="1" customHeight="1">
      <c r="A908" s="15" t="s">
        <v>5798</v>
      </c>
      <c r="B908" s="124" t="s">
        <v>155</v>
      </c>
      <c r="C908" s="125" t="e">
        <v>#NAME?</v>
      </c>
      <c r="E908" s="126" t="s">
        <v>6228</v>
      </c>
      <c r="F908" s="124" t="str">
        <f t="shared" si="11"/>
        <v>KR_culture_pre1988_AtticRoof</v>
      </c>
      <c r="G908" s="124" t="s">
        <v>5186</v>
      </c>
      <c r="H908" s="126">
        <v>0.15</v>
      </c>
      <c r="I908" s="124" t="s">
        <v>5196</v>
      </c>
      <c r="J908" s="126">
        <v>0.03</v>
      </c>
      <c r="K908" s="124"/>
      <c r="L908" s="124"/>
      <c r="M908" s="124"/>
      <c r="N908" s="124"/>
      <c r="O908" s="124"/>
      <c r="P908" s="124"/>
      <c r="Q908" s="124"/>
      <c r="R908" s="124"/>
      <c r="S908" s="124"/>
      <c r="T908" s="124"/>
      <c r="U908" s="124" t="s">
        <v>5523</v>
      </c>
      <c r="V908" s="124"/>
      <c r="W908" s="124"/>
      <c r="X908" s="124"/>
      <c r="Y908" s="124"/>
      <c r="Z908" s="124" t="e">
        <v>#NAME?</v>
      </c>
      <c r="AA908" s="126">
        <v>0</v>
      </c>
      <c r="AB908" s="20"/>
      <c r="AC908" s="20"/>
      <c r="AD908" s="20"/>
      <c r="AE908" s="20"/>
      <c r="AF908" s="20"/>
      <c r="AG908" s="20"/>
      <c r="AH908" s="20"/>
      <c r="AI908" s="20"/>
      <c r="AJ908" s="20"/>
      <c r="AK908" s="20"/>
      <c r="AL908" s="20"/>
      <c r="AM908" s="20"/>
      <c r="AN908" s="20"/>
      <c r="AO908" s="20"/>
      <c r="AP908" s="20"/>
      <c r="AQ908" s="20"/>
      <c r="AR908" s="20"/>
      <c r="AS908" s="20"/>
      <c r="AT908" s="20"/>
      <c r="AU908" s="20"/>
    </row>
    <row r="909" spans="1:47" ht="17.25" hidden="1" customHeight="1">
      <c r="A909" s="15" t="s">
        <v>5799</v>
      </c>
      <c r="B909" s="124" t="s">
        <v>155</v>
      </c>
      <c r="C909" s="125" t="e">
        <v>#NAME?</v>
      </c>
      <c r="E909" s="126" t="s">
        <v>6228</v>
      </c>
      <c r="F909" s="124" t="str">
        <f t="shared" si="11"/>
        <v>KR_culture_1988_2000_AtticRoof</v>
      </c>
      <c r="G909" s="124" t="s">
        <v>5211</v>
      </c>
      <c r="H909" s="126">
        <v>5.8000000000000003E-2</v>
      </c>
      <c r="I909" s="124" t="s">
        <v>5186</v>
      </c>
      <c r="J909" s="126">
        <v>0.15</v>
      </c>
      <c r="K909" s="124" t="s">
        <v>5196</v>
      </c>
      <c r="L909" s="124">
        <v>0.03</v>
      </c>
      <c r="M909" s="124"/>
      <c r="N909" s="124"/>
      <c r="O909" s="124"/>
      <c r="P909" s="124"/>
      <c r="Q909" s="124"/>
      <c r="R909" s="124"/>
      <c r="S909" s="124"/>
      <c r="T909" s="124"/>
      <c r="U909" s="124" t="s">
        <v>5523</v>
      </c>
      <c r="V909" s="124"/>
      <c r="W909" s="124"/>
      <c r="X909" s="124"/>
      <c r="Y909" s="124"/>
      <c r="Z909" s="124" t="e">
        <v>#NAME?</v>
      </c>
      <c r="AA909" s="126">
        <v>0</v>
      </c>
      <c r="AB909" s="20"/>
      <c r="AC909" s="20"/>
      <c r="AD909" s="20"/>
      <c r="AE909" s="20"/>
      <c r="AF909" s="20"/>
      <c r="AG909" s="20"/>
      <c r="AH909" s="20"/>
      <c r="AI909" s="20"/>
      <c r="AJ909" s="20"/>
      <c r="AK909" s="20"/>
      <c r="AL909" s="20"/>
      <c r="AM909" s="20"/>
      <c r="AN909" s="20"/>
      <c r="AO909" s="20"/>
      <c r="AP909" s="20"/>
      <c r="AQ909" s="20"/>
      <c r="AR909" s="20"/>
      <c r="AS909" s="20"/>
      <c r="AT909" s="20"/>
      <c r="AU909" s="20"/>
    </row>
    <row r="910" spans="1:47" ht="17.25" hidden="1" customHeight="1">
      <c r="A910" s="15" t="s">
        <v>5800</v>
      </c>
      <c r="B910" s="124" t="s">
        <v>155</v>
      </c>
      <c r="C910" s="125" t="e">
        <v>#NAME?</v>
      </c>
      <c r="E910" s="126" t="s">
        <v>6228</v>
      </c>
      <c r="F910" s="124" t="str">
        <f t="shared" si="11"/>
        <v>KR_culture_2001_2010_AtticRoof</v>
      </c>
      <c r="G910" s="124" t="s">
        <v>5211</v>
      </c>
      <c r="H910" s="126">
        <v>5.8999999999999997E-2</v>
      </c>
      <c r="I910" s="124" t="s">
        <v>5186</v>
      </c>
      <c r="J910" s="126">
        <v>0.15</v>
      </c>
      <c r="K910" s="124" t="s">
        <v>5196</v>
      </c>
      <c r="L910" s="124">
        <v>0.03</v>
      </c>
      <c r="M910" s="124"/>
      <c r="N910" s="124"/>
      <c r="O910" s="124"/>
      <c r="P910" s="124"/>
      <c r="Q910" s="124"/>
      <c r="R910" s="124"/>
      <c r="S910" s="124"/>
      <c r="T910" s="124"/>
      <c r="U910" s="124" t="s">
        <v>5523</v>
      </c>
      <c r="V910" s="124"/>
      <c r="W910" s="124"/>
      <c r="X910" s="124"/>
      <c r="Y910" s="124"/>
      <c r="Z910" s="124" t="e">
        <v>#NAME?</v>
      </c>
      <c r="AA910" s="126">
        <v>0</v>
      </c>
      <c r="AB910" s="20"/>
      <c r="AC910" s="20"/>
      <c r="AD910" s="20"/>
      <c r="AE910" s="20"/>
      <c r="AF910" s="20"/>
      <c r="AG910" s="20"/>
      <c r="AH910" s="20"/>
      <c r="AI910" s="20"/>
      <c r="AJ910" s="20"/>
      <c r="AK910" s="20"/>
      <c r="AL910" s="20"/>
      <c r="AM910" s="20"/>
      <c r="AN910" s="20"/>
      <c r="AO910" s="20"/>
      <c r="AP910" s="20"/>
      <c r="AQ910" s="20"/>
      <c r="AR910" s="20"/>
      <c r="AS910" s="20"/>
      <c r="AT910" s="20"/>
      <c r="AU910" s="20"/>
    </row>
    <row r="911" spans="1:47" ht="17.25" hidden="1" customHeight="1">
      <c r="A911" s="15" t="s">
        <v>5801</v>
      </c>
      <c r="B911" s="124" t="s">
        <v>155</v>
      </c>
      <c r="C911" s="125" t="e">
        <v>#NAME?</v>
      </c>
      <c r="E911" s="126" t="s">
        <v>6228</v>
      </c>
      <c r="F911" s="124" t="str">
        <f t="shared" si="11"/>
        <v>KR_culture_2011_2018_AtticRoof</v>
      </c>
      <c r="G911" s="124" t="s">
        <v>5211</v>
      </c>
      <c r="H911" s="126">
        <v>7.8E-2</v>
      </c>
      <c r="I911" s="124" t="s">
        <v>5186</v>
      </c>
      <c r="J911" s="126">
        <v>0.15</v>
      </c>
      <c r="K911" s="124" t="s">
        <v>5196</v>
      </c>
      <c r="L911" s="124">
        <v>0.03</v>
      </c>
      <c r="M911" s="124"/>
      <c r="N911" s="124"/>
      <c r="O911" s="124"/>
      <c r="P911" s="124"/>
      <c r="Q911" s="124"/>
      <c r="R911" s="124"/>
      <c r="S911" s="124"/>
      <c r="T911" s="124"/>
      <c r="U911" s="124" t="s">
        <v>5523</v>
      </c>
      <c r="V911" s="124"/>
      <c r="W911" s="124"/>
      <c r="X911" s="124"/>
      <c r="Y911" s="124"/>
      <c r="Z911" s="124" t="e">
        <v>#NAME?</v>
      </c>
      <c r="AA911" s="126">
        <v>0</v>
      </c>
      <c r="AB911" s="20"/>
      <c r="AC911" s="20"/>
      <c r="AD911" s="20"/>
      <c r="AE911" s="20"/>
      <c r="AF911" s="20"/>
      <c r="AG911" s="20"/>
      <c r="AH911" s="20"/>
      <c r="AI911" s="20"/>
      <c r="AJ911" s="20"/>
      <c r="AK911" s="20"/>
      <c r="AL911" s="20"/>
      <c r="AM911" s="20"/>
      <c r="AN911" s="20"/>
      <c r="AO911" s="20"/>
      <c r="AP911" s="20"/>
      <c r="AQ911" s="20"/>
      <c r="AR911" s="20"/>
      <c r="AS911" s="20"/>
      <c r="AT911" s="20"/>
      <c r="AU911" s="20"/>
    </row>
    <row r="912" spans="1:47" ht="17.25" hidden="1" customHeight="1">
      <c r="A912" s="15" t="s">
        <v>5802</v>
      </c>
      <c r="B912" s="124" t="s">
        <v>155</v>
      </c>
      <c r="C912" s="125" t="e">
        <v>#NAME?</v>
      </c>
      <c r="E912" s="126" t="s">
        <v>6228</v>
      </c>
      <c r="F912" s="124" t="str">
        <f t="shared" si="11"/>
        <v>KR_culture_post2019_AtticRoof</v>
      </c>
      <c r="G912" s="124" t="s">
        <v>5211</v>
      </c>
      <c r="H912" s="126">
        <v>9.4E-2</v>
      </c>
      <c r="I912" s="124" t="s">
        <v>5186</v>
      </c>
      <c r="J912" s="126">
        <v>0.15</v>
      </c>
      <c r="K912" s="124" t="s">
        <v>5196</v>
      </c>
      <c r="L912" s="124">
        <v>0.03</v>
      </c>
      <c r="M912" s="124"/>
      <c r="N912" s="124"/>
      <c r="O912" s="124"/>
      <c r="P912" s="124"/>
      <c r="Q912" s="124"/>
      <c r="R912" s="124"/>
      <c r="S912" s="124"/>
      <c r="T912" s="124"/>
      <c r="U912" s="124" t="s">
        <v>5523</v>
      </c>
      <c r="V912" s="124"/>
      <c r="W912" s="124"/>
      <c r="X912" s="124"/>
      <c r="Y912" s="124"/>
      <c r="Z912" s="124" t="e">
        <v>#NAME?</v>
      </c>
      <c r="AA912" s="126">
        <v>0</v>
      </c>
      <c r="AB912" s="20"/>
      <c r="AC912" s="20"/>
      <c r="AD912" s="20"/>
      <c r="AE912" s="20"/>
      <c r="AF912" s="20"/>
      <c r="AG912" s="20"/>
      <c r="AH912" s="20"/>
      <c r="AI912" s="20"/>
      <c r="AJ912" s="20"/>
      <c r="AK912" s="20"/>
      <c r="AL912" s="20"/>
      <c r="AM912" s="20"/>
      <c r="AN912" s="20"/>
      <c r="AO912" s="20"/>
      <c r="AP912" s="20"/>
      <c r="AQ912" s="20"/>
      <c r="AR912" s="20"/>
      <c r="AS912" s="20"/>
      <c r="AT912" s="20"/>
      <c r="AU912" s="20"/>
    </row>
    <row r="913" spans="1:47" ht="17.25" hidden="1" customHeight="1">
      <c r="A913" s="15" t="s">
        <v>5803</v>
      </c>
      <c r="B913" s="124" t="s">
        <v>155</v>
      </c>
      <c r="C913" s="125" t="e">
        <v>#NAME?</v>
      </c>
      <c r="E913" s="126" t="s">
        <v>6228</v>
      </c>
      <c r="F913" s="124" t="str">
        <f t="shared" si="11"/>
        <v>KR_religious_pre1988_AtticRoof</v>
      </c>
      <c r="G913" s="124" t="s">
        <v>5186</v>
      </c>
      <c r="H913" s="126">
        <v>0.15</v>
      </c>
      <c r="I913" s="124" t="s">
        <v>5196</v>
      </c>
      <c r="J913" s="126">
        <v>0.03</v>
      </c>
      <c r="K913" s="124"/>
      <c r="L913" s="124"/>
      <c r="M913" s="124"/>
      <c r="N913" s="124"/>
      <c r="O913" s="124"/>
      <c r="P913" s="124"/>
      <c r="Q913" s="124"/>
      <c r="R913" s="124"/>
      <c r="S913" s="124"/>
      <c r="T913" s="124"/>
      <c r="U913" s="124" t="s">
        <v>5523</v>
      </c>
      <c r="V913" s="124"/>
      <c r="W913" s="124"/>
      <c r="X913" s="124"/>
      <c r="Y913" s="124"/>
      <c r="Z913" s="124" t="e">
        <v>#NAME?</v>
      </c>
      <c r="AA913" s="126">
        <v>0</v>
      </c>
      <c r="AB913" s="20"/>
      <c r="AC913" s="20"/>
      <c r="AD913" s="20"/>
      <c r="AE913" s="20"/>
      <c r="AF913" s="20"/>
      <c r="AG913" s="20"/>
      <c r="AH913" s="20"/>
      <c r="AI913" s="20"/>
      <c r="AJ913" s="20"/>
      <c r="AK913" s="20"/>
      <c r="AL913" s="20"/>
      <c r="AM913" s="20"/>
      <c r="AN913" s="20"/>
      <c r="AO913" s="20"/>
      <c r="AP913" s="20"/>
      <c r="AQ913" s="20"/>
      <c r="AR913" s="20"/>
      <c r="AS913" s="20"/>
      <c r="AT913" s="20"/>
      <c r="AU913" s="20"/>
    </row>
    <row r="914" spans="1:47" ht="17.25" hidden="1" customHeight="1">
      <c r="A914" s="15" t="s">
        <v>5804</v>
      </c>
      <c r="B914" s="124" t="s">
        <v>155</v>
      </c>
      <c r="C914" s="125" t="e">
        <v>#NAME?</v>
      </c>
      <c r="E914" s="126" t="s">
        <v>6228</v>
      </c>
      <c r="F914" s="124" t="str">
        <f t="shared" si="11"/>
        <v>KR_religious_1988_2000_AtticRoof</v>
      </c>
      <c r="G914" s="124" t="s">
        <v>5211</v>
      </c>
      <c r="H914" s="126">
        <v>5.8000000000000003E-2</v>
      </c>
      <c r="I914" s="124" t="s">
        <v>5186</v>
      </c>
      <c r="J914" s="126">
        <v>0.15</v>
      </c>
      <c r="K914" s="124" t="s">
        <v>5196</v>
      </c>
      <c r="L914" s="124">
        <v>0.03</v>
      </c>
      <c r="M914" s="124"/>
      <c r="N914" s="124"/>
      <c r="O914" s="124"/>
      <c r="P914" s="124"/>
      <c r="Q914" s="124"/>
      <c r="R914" s="124"/>
      <c r="S914" s="124"/>
      <c r="T914" s="124"/>
      <c r="U914" s="124" t="s">
        <v>5523</v>
      </c>
      <c r="V914" s="124"/>
      <c r="W914" s="124"/>
      <c r="X914" s="124"/>
      <c r="Y914" s="124"/>
      <c r="Z914" s="124" t="e">
        <v>#NAME?</v>
      </c>
      <c r="AA914" s="126">
        <v>0</v>
      </c>
      <c r="AB914" s="20"/>
      <c r="AC914" s="20"/>
      <c r="AD914" s="20"/>
      <c r="AE914" s="20"/>
      <c r="AF914" s="20"/>
      <c r="AG914" s="20"/>
      <c r="AH914" s="20"/>
      <c r="AI914" s="20"/>
      <c r="AJ914" s="20"/>
      <c r="AK914" s="20"/>
      <c r="AL914" s="20"/>
      <c r="AM914" s="20"/>
      <c r="AN914" s="20"/>
      <c r="AO914" s="20"/>
      <c r="AP914" s="20"/>
      <c r="AQ914" s="20"/>
      <c r="AR914" s="20"/>
      <c r="AS914" s="20"/>
      <c r="AT914" s="20"/>
      <c r="AU914" s="20"/>
    </row>
    <row r="915" spans="1:47" ht="17.25" hidden="1" customHeight="1">
      <c r="A915" s="15" t="s">
        <v>5805</v>
      </c>
      <c r="B915" s="124" t="s">
        <v>155</v>
      </c>
      <c r="C915" s="125" t="e">
        <v>#NAME?</v>
      </c>
      <c r="E915" s="126" t="s">
        <v>6228</v>
      </c>
      <c r="F915" s="124" t="str">
        <f t="shared" si="11"/>
        <v>KR_religious_2001_2010_AtticRoof</v>
      </c>
      <c r="G915" s="124" t="s">
        <v>5211</v>
      </c>
      <c r="H915" s="126">
        <v>5.8999999999999997E-2</v>
      </c>
      <c r="I915" s="124" t="s">
        <v>5186</v>
      </c>
      <c r="J915" s="126">
        <v>0.15</v>
      </c>
      <c r="K915" s="124" t="s">
        <v>5196</v>
      </c>
      <c r="L915" s="124">
        <v>0.03</v>
      </c>
      <c r="M915" s="124"/>
      <c r="N915" s="124"/>
      <c r="O915" s="124"/>
      <c r="P915" s="124"/>
      <c r="Q915" s="124"/>
      <c r="R915" s="124"/>
      <c r="S915" s="124"/>
      <c r="T915" s="124"/>
      <c r="U915" s="124" t="s">
        <v>5523</v>
      </c>
      <c r="V915" s="124"/>
      <c r="W915" s="124"/>
      <c r="X915" s="124"/>
      <c r="Y915" s="124"/>
      <c r="Z915" s="124" t="e">
        <v>#NAME?</v>
      </c>
      <c r="AA915" s="126">
        <v>0</v>
      </c>
      <c r="AB915" s="20"/>
      <c r="AC915" s="20"/>
      <c r="AD915" s="20"/>
      <c r="AE915" s="20"/>
      <c r="AF915" s="20"/>
      <c r="AG915" s="20"/>
      <c r="AH915" s="20"/>
      <c r="AI915" s="20"/>
      <c r="AJ915" s="20"/>
      <c r="AK915" s="20"/>
      <c r="AL915" s="20"/>
      <c r="AM915" s="20"/>
      <c r="AN915" s="20"/>
      <c r="AO915" s="20"/>
      <c r="AP915" s="20"/>
      <c r="AQ915" s="20"/>
      <c r="AR915" s="20"/>
      <c r="AS915" s="20"/>
      <c r="AT915" s="20"/>
      <c r="AU915" s="20"/>
    </row>
    <row r="916" spans="1:47" ht="17.25" hidden="1" customHeight="1">
      <c r="A916" s="15" t="s">
        <v>5806</v>
      </c>
      <c r="B916" s="124" t="s">
        <v>155</v>
      </c>
      <c r="C916" s="125" t="e">
        <v>#NAME?</v>
      </c>
      <c r="E916" s="126" t="s">
        <v>6228</v>
      </c>
      <c r="F916" s="124" t="str">
        <f t="shared" si="11"/>
        <v>KR_religious_2011_2018_AtticRoof</v>
      </c>
      <c r="G916" s="124" t="s">
        <v>5211</v>
      </c>
      <c r="H916" s="126">
        <v>7.8E-2</v>
      </c>
      <c r="I916" s="124" t="s">
        <v>5186</v>
      </c>
      <c r="J916" s="126">
        <v>0.15</v>
      </c>
      <c r="K916" s="124" t="s">
        <v>5196</v>
      </c>
      <c r="L916" s="124">
        <v>0.03</v>
      </c>
      <c r="M916" s="124"/>
      <c r="N916" s="124"/>
      <c r="O916" s="124"/>
      <c r="P916" s="124"/>
      <c r="Q916" s="124"/>
      <c r="R916" s="124"/>
      <c r="S916" s="124"/>
      <c r="T916" s="124"/>
      <c r="U916" s="124" t="s">
        <v>5523</v>
      </c>
      <c r="V916" s="124"/>
      <c r="W916" s="124"/>
      <c r="X916" s="124"/>
      <c r="Y916" s="124"/>
      <c r="Z916" s="124" t="e">
        <v>#NAME?</v>
      </c>
      <c r="AA916" s="126">
        <v>0</v>
      </c>
      <c r="AB916" s="20"/>
      <c r="AC916" s="20"/>
      <c r="AD916" s="20"/>
      <c r="AE916" s="20"/>
      <c r="AF916" s="20"/>
      <c r="AG916" s="20"/>
      <c r="AH916" s="20"/>
      <c r="AI916" s="20"/>
      <c r="AJ916" s="20"/>
      <c r="AK916" s="20"/>
      <c r="AL916" s="20"/>
      <c r="AM916" s="20"/>
      <c r="AN916" s="20"/>
      <c r="AO916" s="20"/>
      <c r="AP916" s="20"/>
      <c r="AQ916" s="20"/>
      <c r="AR916" s="20"/>
      <c r="AS916" s="20"/>
      <c r="AT916" s="20"/>
      <c r="AU916" s="20"/>
    </row>
    <row r="917" spans="1:47" ht="17.25" hidden="1" customHeight="1">
      <c r="A917" s="15" t="s">
        <v>5807</v>
      </c>
      <c r="B917" s="124" t="s">
        <v>155</v>
      </c>
      <c r="C917" s="125" t="e">
        <v>#NAME?</v>
      </c>
      <c r="E917" s="126" t="s">
        <v>6228</v>
      </c>
      <c r="F917" s="124" t="str">
        <f t="shared" si="11"/>
        <v>KR_religious_post2019_AtticRoof</v>
      </c>
      <c r="G917" s="124" t="s">
        <v>5211</v>
      </c>
      <c r="H917" s="126">
        <v>9.4E-2</v>
      </c>
      <c r="I917" s="124" t="s">
        <v>5186</v>
      </c>
      <c r="J917" s="126">
        <v>0.15</v>
      </c>
      <c r="K917" s="124" t="s">
        <v>5196</v>
      </c>
      <c r="L917" s="124">
        <v>0.03</v>
      </c>
      <c r="M917" s="124"/>
      <c r="N917" s="124"/>
      <c r="O917" s="124"/>
      <c r="P917" s="124"/>
      <c r="Q917" s="124"/>
      <c r="R917" s="124"/>
      <c r="S917" s="124"/>
      <c r="T917" s="124"/>
      <c r="U917" s="124" t="s">
        <v>5523</v>
      </c>
      <c r="V917" s="124"/>
      <c r="W917" s="124"/>
      <c r="X917" s="124"/>
      <c r="Y917" s="124"/>
      <c r="Z917" s="124" t="e">
        <v>#NAME?</v>
      </c>
      <c r="AA917" s="126">
        <v>0</v>
      </c>
      <c r="AB917" s="20"/>
      <c r="AC917" s="20"/>
      <c r="AD917" s="20"/>
      <c r="AE917" s="20"/>
      <c r="AF917" s="20"/>
      <c r="AG917" s="20"/>
      <c r="AH917" s="20"/>
      <c r="AI917" s="20"/>
      <c r="AJ917" s="20"/>
      <c r="AK917" s="20"/>
      <c r="AL917" s="20"/>
      <c r="AM917" s="20"/>
      <c r="AN917" s="20"/>
      <c r="AO917" s="20"/>
      <c r="AP917" s="20"/>
      <c r="AQ917" s="20"/>
      <c r="AR917" s="20"/>
      <c r="AS917" s="20"/>
      <c r="AT917" s="20"/>
      <c r="AU917" s="20"/>
    </row>
    <row r="918" spans="1:47" ht="17.25" hidden="1" customHeight="1">
      <c r="A918" s="15" t="s">
        <v>5808</v>
      </c>
      <c r="B918" s="124" t="s">
        <v>155</v>
      </c>
      <c r="C918" s="125" t="e">
        <v>#NAME?</v>
      </c>
      <c r="E918" s="126" t="s">
        <v>6228</v>
      </c>
      <c r="F918" s="124" t="str">
        <f t="shared" si="11"/>
        <v>KR_factory_pre1988_AtticRoof</v>
      </c>
      <c r="G918" s="124" t="s">
        <v>5186</v>
      </c>
      <c r="H918" s="126">
        <v>0.15</v>
      </c>
      <c r="I918" s="124" t="s">
        <v>5196</v>
      </c>
      <c r="J918" s="126">
        <v>0.03</v>
      </c>
      <c r="K918" s="124"/>
      <c r="L918" s="124"/>
      <c r="M918" s="124"/>
      <c r="N918" s="124"/>
      <c r="O918" s="124"/>
      <c r="P918" s="124"/>
      <c r="Q918" s="124"/>
      <c r="R918" s="124"/>
      <c r="S918" s="124"/>
      <c r="T918" s="124"/>
      <c r="U918" s="124" t="s">
        <v>5523</v>
      </c>
      <c r="V918" s="124"/>
      <c r="W918" s="124"/>
      <c r="X918" s="124"/>
      <c r="Y918" s="124"/>
      <c r="Z918" s="124" t="e">
        <v>#NAME?</v>
      </c>
      <c r="AA918" s="126">
        <v>0</v>
      </c>
      <c r="AB918" s="20"/>
      <c r="AC918" s="20"/>
      <c r="AD918" s="20"/>
      <c r="AE918" s="20"/>
      <c r="AF918" s="20"/>
      <c r="AG918" s="20"/>
      <c r="AH918" s="20"/>
      <c r="AI918" s="20"/>
      <c r="AJ918" s="20"/>
      <c r="AK918" s="20"/>
      <c r="AL918" s="20"/>
      <c r="AM918" s="20"/>
      <c r="AN918" s="20"/>
      <c r="AO918" s="20"/>
      <c r="AP918" s="20"/>
      <c r="AQ918" s="20"/>
      <c r="AR918" s="20"/>
      <c r="AS918" s="20"/>
      <c r="AT918" s="20"/>
      <c r="AU918" s="20"/>
    </row>
    <row r="919" spans="1:47" ht="17.25" hidden="1" customHeight="1">
      <c r="A919" s="15" t="s">
        <v>5809</v>
      </c>
      <c r="B919" s="124" t="s">
        <v>155</v>
      </c>
      <c r="C919" s="125" t="e">
        <v>#NAME?</v>
      </c>
      <c r="E919" s="126" t="s">
        <v>6228</v>
      </c>
      <c r="F919" s="124" t="str">
        <f t="shared" si="11"/>
        <v>KR_factory_1988_2000_AtticRoof</v>
      </c>
      <c r="G919" s="124" t="s">
        <v>5211</v>
      </c>
      <c r="H919" s="126">
        <v>5.8000000000000003E-2</v>
      </c>
      <c r="I919" s="124" t="s">
        <v>5186</v>
      </c>
      <c r="J919" s="126">
        <v>0.15</v>
      </c>
      <c r="K919" s="124" t="s">
        <v>5196</v>
      </c>
      <c r="L919" s="124">
        <v>0.03</v>
      </c>
      <c r="M919" s="124"/>
      <c r="N919" s="124"/>
      <c r="O919" s="124"/>
      <c r="P919" s="124"/>
      <c r="Q919" s="124"/>
      <c r="R919" s="124"/>
      <c r="S919" s="124"/>
      <c r="T919" s="124"/>
      <c r="U919" s="124" t="s">
        <v>5523</v>
      </c>
      <c r="V919" s="124"/>
      <c r="W919" s="124"/>
      <c r="X919" s="124"/>
      <c r="Y919" s="124"/>
      <c r="Z919" s="124" t="e">
        <v>#NAME?</v>
      </c>
      <c r="AA919" s="126">
        <v>0</v>
      </c>
      <c r="AB919" s="20"/>
      <c r="AC919" s="20"/>
      <c r="AD919" s="20"/>
      <c r="AE919" s="20"/>
      <c r="AF919" s="20"/>
      <c r="AG919" s="20"/>
      <c r="AH919" s="20"/>
      <c r="AI919" s="20"/>
      <c r="AJ919" s="20"/>
      <c r="AK919" s="20"/>
      <c r="AL919" s="20"/>
      <c r="AM919" s="20"/>
      <c r="AN919" s="20"/>
      <c r="AO919" s="20"/>
      <c r="AP919" s="20"/>
      <c r="AQ919" s="20"/>
      <c r="AR919" s="20"/>
      <c r="AS919" s="20"/>
      <c r="AT919" s="20"/>
      <c r="AU919" s="20"/>
    </row>
    <row r="920" spans="1:47" ht="17.25" hidden="1" customHeight="1">
      <c r="A920" s="15" t="s">
        <v>5810</v>
      </c>
      <c r="B920" s="124" t="s">
        <v>155</v>
      </c>
      <c r="C920" s="125" t="e">
        <v>#NAME?</v>
      </c>
      <c r="E920" s="126" t="s">
        <v>6228</v>
      </c>
      <c r="F920" s="124" t="str">
        <f t="shared" si="11"/>
        <v>KR_factory_2001_2010_AtticRoof</v>
      </c>
      <c r="G920" s="124" t="s">
        <v>5211</v>
      </c>
      <c r="H920" s="126">
        <v>5.8999999999999997E-2</v>
      </c>
      <c r="I920" s="124" t="s">
        <v>5186</v>
      </c>
      <c r="J920" s="126">
        <v>0.15</v>
      </c>
      <c r="K920" s="124" t="s">
        <v>5196</v>
      </c>
      <c r="L920" s="124">
        <v>0.03</v>
      </c>
      <c r="M920" s="124"/>
      <c r="N920" s="124"/>
      <c r="O920" s="124"/>
      <c r="P920" s="124"/>
      <c r="Q920" s="124"/>
      <c r="R920" s="124"/>
      <c r="S920" s="124"/>
      <c r="T920" s="124"/>
      <c r="U920" s="124" t="s">
        <v>5523</v>
      </c>
      <c r="V920" s="124"/>
      <c r="W920" s="124"/>
      <c r="X920" s="124"/>
      <c r="Y920" s="124"/>
      <c r="Z920" s="124" t="e">
        <v>#NAME?</v>
      </c>
      <c r="AA920" s="126">
        <v>0</v>
      </c>
      <c r="AB920" s="20"/>
      <c r="AC920" s="20"/>
      <c r="AD920" s="20"/>
      <c r="AE920" s="20"/>
      <c r="AF920" s="20"/>
      <c r="AG920" s="20"/>
      <c r="AH920" s="20"/>
      <c r="AI920" s="20"/>
      <c r="AJ920" s="20"/>
      <c r="AK920" s="20"/>
      <c r="AL920" s="20"/>
      <c r="AM920" s="20"/>
      <c r="AN920" s="20"/>
      <c r="AO920" s="20"/>
      <c r="AP920" s="20"/>
      <c r="AQ920" s="20"/>
      <c r="AR920" s="20"/>
      <c r="AS920" s="20"/>
      <c r="AT920" s="20"/>
      <c r="AU920" s="20"/>
    </row>
    <row r="921" spans="1:47" ht="17.25" hidden="1" customHeight="1">
      <c r="A921" s="15" t="s">
        <v>5811</v>
      </c>
      <c r="B921" s="124" t="s">
        <v>155</v>
      </c>
      <c r="C921" s="125" t="e">
        <v>#NAME?</v>
      </c>
      <c r="E921" s="126" t="s">
        <v>6228</v>
      </c>
      <c r="F921" s="124" t="str">
        <f t="shared" si="11"/>
        <v>KR_factory_2011_2018_AtticRoof</v>
      </c>
      <c r="G921" s="124" t="s">
        <v>5211</v>
      </c>
      <c r="H921" s="126">
        <v>7.8E-2</v>
      </c>
      <c r="I921" s="124" t="s">
        <v>5186</v>
      </c>
      <c r="J921" s="126">
        <v>0.15</v>
      </c>
      <c r="K921" s="124" t="s">
        <v>5196</v>
      </c>
      <c r="L921" s="124">
        <v>0.03</v>
      </c>
      <c r="M921" s="124"/>
      <c r="N921" s="124"/>
      <c r="O921" s="124"/>
      <c r="P921" s="124"/>
      <c r="Q921" s="124"/>
      <c r="R921" s="124"/>
      <c r="S921" s="124"/>
      <c r="T921" s="124"/>
      <c r="U921" s="124" t="s">
        <v>5523</v>
      </c>
      <c r="V921" s="124"/>
      <c r="W921" s="124"/>
      <c r="X921" s="124"/>
      <c r="Y921" s="124"/>
      <c r="Z921" s="124" t="e">
        <v>#NAME?</v>
      </c>
      <c r="AA921" s="126">
        <v>0</v>
      </c>
      <c r="AB921" s="20"/>
      <c r="AC921" s="20"/>
      <c r="AD921" s="20"/>
      <c r="AE921" s="20"/>
      <c r="AF921" s="20"/>
      <c r="AG921" s="20"/>
      <c r="AH921" s="20"/>
      <c r="AI921" s="20"/>
      <c r="AJ921" s="20"/>
      <c r="AK921" s="20"/>
      <c r="AL921" s="20"/>
      <c r="AM921" s="20"/>
      <c r="AN921" s="20"/>
      <c r="AO921" s="20"/>
      <c r="AP921" s="20"/>
      <c r="AQ921" s="20"/>
      <c r="AR921" s="20"/>
      <c r="AS921" s="20"/>
      <c r="AT921" s="20"/>
      <c r="AU921" s="20"/>
    </row>
    <row r="922" spans="1:47" ht="17.25" hidden="1" customHeight="1">
      <c r="A922" s="15" t="s">
        <v>5812</v>
      </c>
      <c r="B922" s="124" t="s">
        <v>155</v>
      </c>
      <c r="C922" s="125" t="e">
        <v>#NAME?</v>
      </c>
      <c r="E922" s="126" t="s">
        <v>6228</v>
      </c>
      <c r="F922" s="124" t="str">
        <f t="shared" si="11"/>
        <v>KR_factory_post2019_AtticRoof</v>
      </c>
      <c r="G922" s="124" t="s">
        <v>5211</v>
      </c>
      <c r="H922" s="126">
        <v>9.4E-2</v>
      </c>
      <c r="I922" s="124" t="s">
        <v>5186</v>
      </c>
      <c r="J922" s="126">
        <v>0.15</v>
      </c>
      <c r="K922" s="124" t="s">
        <v>5196</v>
      </c>
      <c r="L922" s="124">
        <v>0.03</v>
      </c>
      <c r="M922" s="124"/>
      <c r="N922" s="124"/>
      <c r="O922" s="124"/>
      <c r="P922" s="124"/>
      <c r="Q922" s="124"/>
      <c r="R922" s="124"/>
      <c r="S922" s="124"/>
      <c r="T922" s="124"/>
      <c r="U922" s="124" t="s">
        <v>5523</v>
      </c>
      <c r="V922" s="124"/>
      <c r="W922" s="124"/>
      <c r="X922" s="124"/>
      <c r="Y922" s="124"/>
      <c r="Z922" s="124" t="e">
        <v>#NAME?</v>
      </c>
      <c r="AA922" s="126">
        <v>0</v>
      </c>
      <c r="AB922" s="20"/>
      <c r="AC922" s="20"/>
      <c r="AD922" s="20"/>
      <c r="AE922" s="20"/>
      <c r="AF922" s="20"/>
      <c r="AG922" s="20"/>
      <c r="AH922" s="20"/>
      <c r="AI922" s="20"/>
      <c r="AJ922" s="20"/>
      <c r="AK922" s="20"/>
      <c r="AL922" s="20"/>
      <c r="AM922" s="20"/>
      <c r="AN922" s="20"/>
      <c r="AO922" s="20"/>
      <c r="AP922" s="20"/>
      <c r="AQ922" s="20"/>
      <c r="AR922" s="20"/>
      <c r="AS922" s="20"/>
      <c r="AT922" s="20"/>
      <c r="AU922" s="20"/>
    </row>
    <row r="923" spans="1:47" ht="17.25" hidden="1" customHeight="1">
      <c r="A923" s="15" t="s">
        <v>6218</v>
      </c>
      <c r="B923" s="124" t="s">
        <v>155</v>
      </c>
      <c r="C923" s="125" t="e">
        <v>#NAME?</v>
      </c>
      <c r="E923" s="126" t="s">
        <v>6228</v>
      </c>
      <c r="F923" s="124" t="str">
        <f t="shared" si="11"/>
        <v>KR_warehouse_pre1988_AtticRoof</v>
      </c>
      <c r="G923" s="124" t="s">
        <v>5186</v>
      </c>
      <c r="H923" s="126">
        <v>0.15</v>
      </c>
      <c r="I923" s="124" t="s">
        <v>5196</v>
      </c>
      <c r="J923" s="126">
        <v>0.03</v>
      </c>
      <c r="K923" s="124"/>
      <c r="L923" s="124"/>
      <c r="M923" s="124"/>
      <c r="N923" s="124"/>
      <c r="O923" s="124"/>
      <c r="P923" s="124"/>
      <c r="Q923" s="124"/>
      <c r="R923" s="124"/>
      <c r="S923" s="124"/>
      <c r="T923" s="124"/>
      <c r="U923" s="124" t="s">
        <v>5523</v>
      </c>
      <c r="V923" s="124"/>
      <c r="W923" s="124"/>
      <c r="X923" s="124"/>
      <c r="Y923" s="124"/>
      <c r="Z923" s="124" t="e">
        <v>#NAME?</v>
      </c>
      <c r="AA923" s="126">
        <v>0</v>
      </c>
      <c r="AB923" s="20"/>
      <c r="AC923" s="20"/>
      <c r="AD923" s="20"/>
      <c r="AE923" s="20"/>
      <c r="AF923" s="20"/>
      <c r="AG923" s="20"/>
      <c r="AH923" s="20"/>
      <c r="AI923" s="20"/>
      <c r="AJ923" s="20"/>
      <c r="AK923" s="20"/>
      <c r="AL923" s="20"/>
      <c r="AM923" s="20"/>
      <c r="AN923" s="20"/>
      <c r="AO923" s="20"/>
      <c r="AP923" s="20"/>
      <c r="AQ923" s="20"/>
      <c r="AR923" s="20"/>
      <c r="AS923" s="20"/>
      <c r="AT923" s="20"/>
      <c r="AU923" s="20"/>
    </row>
    <row r="924" spans="1:47" ht="17.25" hidden="1" customHeight="1">
      <c r="A924" s="15" t="s">
        <v>6219</v>
      </c>
      <c r="B924" s="124" t="s">
        <v>155</v>
      </c>
      <c r="C924" s="125" t="e">
        <v>#NAME?</v>
      </c>
      <c r="E924" s="126" t="s">
        <v>6228</v>
      </c>
      <c r="F924" s="124" t="str">
        <f t="shared" si="11"/>
        <v>KR_warehouse_1988_2000_AtticRoof</v>
      </c>
      <c r="G924" s="124" t="s">
        <v>5211</v>
      </c>
      <c r="H924" s="126">
        <v>5.8000000000000003E-2</v>
      </c>
      <c r="I924" s="124" t="s">
        <v>5186</v>
      </c>
      <c r="J924" s="126">
        <v>0.15</v>
      </c>
      <c r="K924" s="124" t="s">
        <v>5196</v>
      </c>
      <c r="L924" s="124">
        <v>0.03</v>
      </c>
      <c r="M924" s="124"/>
      <c r="N924" s="124"/>
      <c r="O924" s="124"/>
      <c r="P924" s="124"/>
      <c r="Q924" s="124"/>
      <c r="R924" s="124"/>
      <c r="S924" s="124"/>
      <c r="T924" s="124"/>
      <c r="U924" s="124" t="s">
        <v>5523</v>
      </c>
      <c r="V924" s="124"/>
      <c r="W924" s="124"/>
      <c r="X924" s="124"/>
      <c r="Y924" s="124"/>
      <c r="Z924" s="124" t="e">
        <v>#NAME?</v>
      </c>
      <c r="AA924" s="126">
        <v>0</v>
      </c>
      <c r="AB924" s="20"/>
      <c r="AC924" s="20"/>
      <c r="AD924" s="20"/>
      <c r="AE924" s="20"/>
      <c r="AF924" s="20"/>
      <c r="AG924" s="20"/>
      <c r="AH924" s="20"/>
      <c r="AI924" s="20"/>
      <c r="AJ924" s="20"/>
      <c r="AK924" s="20"/>
      <c r="AL924" s="20"/>
      <c r="AM924" s="20"/>
      <c r="AN924" s="20"/>
      <c r="AO924" s="20"/>
      <c r="AP924" s="20"/>
      <c r="AQ924" s="20"/>
      <c r="AR924" s="20"/>
      <c r="AS924" s="20"/>
      <c r="AT924" s="20"/>
      <c r="AU924" s="20"/>
    </row>
    <row r="925" spans="1:47" ht="17.25" hidden="1" customHeight="1">
      <c r="A925" s="15" t="s">
        <v>6220</v>
      </c>
      <c r="B925" s="124" t="s">
        <v>155</v>
      </c>
      <c r="C925" s="125" t="e">
        <v>#NAME?</v>
      </c>
      <c r="E925" s="126" t="s">
        <v>6228</v>
      </c>
      <c r="F925" s="124" t="str">
        <f t="shared" si="11"/>
        <v>KR_warehouse_2001_2010_AtticRoof</v>
      </c>
      <c r="G925" s="124" t="s">
        <v>5211</v>
      </c>
      <c r="H925" s="126">
        <v>5.8999999999999997E-2</v>
      </c>
      <c r="I925" s="124" t="s">
        <v>5186</v>
      </c>
      <c r="J925" s="126">
        <v>0.15</v>
      </c>
      <c r="K925" s="124" t="s">
        <v>5196</v>
      </c>
      <c r="L925" s="124">
        <v>0.03</v>
      </c>
      <c r="M925" s="124"/>
      <c r="N925" s="124"/>
      <c r="O925" s="124"/>
      <c r="P925" s="124"/>
      <c r="Q925" s="124"/>
      <c r="R925" s="124"/>
      <c r="S925" s="124"/>
      <c r="T925" s="124"/>
      <c r="U925" s="124" t="s">
        <v>5523</v>
      </c>
      <c r="V925" s="124"/>
      <c r="W925" s="124"/>
      <c r="X925" s="124"/>
      <c r="Y925" s="124"/>
      <c r="Z925" s="124" t="e">
        <v>#NAME?</v>
      </c>
      <c r="AA925" s="126">
        <v>0</v>
      </c>
      <c r="AB925" s="20"/>
      <c r="AC925" s="20"/>
      <c r="AD925" s="20"/>
      <c r="AE925" s="20"/>
      <c r="AF925" s="20"/>
      <c r="AG925" s="20"/>
      <c r="AH925" s="20"/>
      <c r="AI925" s="20"/>
      <c r="AJ925" s="20"/>
      <c r="AK925" s="20"/>
      <c r="AL925" s="20"/>
      <c r="AM925" s="20"/>
      <c r="AN925" s="20"/>
      <c r="AO925" s="20"/>
      <c r="AP925" s="20"/>
      <c r="AQ925" s="20"/>
      <c r="AR925" s="20"/>
      <c r="AS925" s="20"/>
      <c r="AT925" s="20"/>
      <c r="AU925" s="20"/>
    </row>
    <row r="926" spans="1:47" ht="17.25" hidden="1" customHeight="1">
      <c r="A926" s="15" t="s">
        <v>6221</v>
      </c>
      <c r="B926" s="124" t="s">
        <v>155</v>
      </c>
      <c r="C926" s="125" t="e">
        <v>#NAME?</v>
      </c>
      <c r="E926" s="126" t="s">
        <v>6228</v>
      </c>
      <c r="F926" s="124" t="str">
        <f t="shared" si="11"/>
        <v>KR_warehouse_2011_2018_AtticRoof</v>
      </c>
      <c r="G926" s="124" t="s">
        <v>5211</v>
      </c>
      <c r="H926" s="126">
        <v>7.8E-2</v>
      </c>
      <c r="I926" s="124" t="s">
        <v>5186</v>
      </c>
      <c r="J926" s="126">
        <v>0.15</v>
      </c>
      <c r="K926" s="124" t="s">
        <v>5196</v>
      </c>
      <c r="L926" s="124">
        <v>0.03</v>
      </c>
      <c r="M926" s="124"/>
      <c r="N926" s="124"/>
      <c r="O926" s="124"/>
      <c r="P926" s="124"/>
      <c r="Q926" s="124"/>
      <c r="R926" s="124"/>
      <c r="S926" s="124"/>
      <c r="T926" s="124"/>
      <c r="U926" s="124" t="s">
        <v>5523</v>
      </c>
      <c r="V926" s="124"/>
      <c r="W926" s="124"/>
      <c r="X926" s="124"/>
      <c r="Y926" s="124"/>
      <c r="Z926" s="124" t="e">
        <v>#NAME?</v>
      </c>
      <c r="AA926" s="126">
        <v>0</v>
      </c>
      <c r="AB926" s="20"/>
      <c r="AC926" s="20"/>
      <c r="AD926" s="20"/>
      <c r="AE926" s="20"/>
      <c r="AF926" s="20"/>
      <c r="AG926" s="20"/>
      <c r="AH926" s="20"/>
      <c r="AI926" s="20"/>
      <c r="AJ926" s="20"/>
      <c r="AK926" s="20"/>
      <c r="AL926" s="20"/>
      <c r="AM926" s="20"/>
      <c r="AN926" s="20"/>
      <c r="AO926" s="20"/>
      <c r="AP926" s="20"/>
      <c r="AQ926" s="20"/>
      <c r="AR926" s="20"/>
      <c r="AS926" s="20"/>
      <c r="AT926" s="20"/>
      <c r="AU926" s="20"/>
    </row>
    <row r="927" spans="1:47" ht="17.25" hidden="1" customHeight="1">
      <c r="A927" s="15" t="s">
        <v>6222</v>
      </c>
      <c r="B927" s="124" t="s">
        <v>155</v>
      </c>
      <c r="C927" s="125" t="e">
        <v>#NAME?</v>
      </c>
      <c r="E927" s="126" t="s">
        <v>6228</v>
      </c>
      <c r="F927" s="124" t="str">
        <f t="shared" ref="F927:F942" si="12">_xlfn.CONCAT(A927,"_",B927)</f>
        <v>KR_warehouse_post2019_AtticRoof</v>
      </c>
      <c r="G927" s="124" t="s">
        <v>5211</v>
      </c>
      <c r="H927" s="126">
        <v>9.4E-2</v>
      </c>
      <c r="I927" s="124" t="s">
        <v>5186</v>
      </c>
      <c r="J927" s="126">
        <v>0.15</v>
      </c>
      <c r="K927" s="124" t="s">
        <v>5196</v>
      </c>
      <c r="L927" s="124">
        <v>0.03</v>
      </c>
      <c r="M927" s="124"/>
      <c r="N927" s="124"/>
      <c r="O927" s="124"/>
      <c r="P927" s="124"/>
      <c r="Q927" s="124"/>
      <c r="R927" s="124"/>
      <c r="S927" s="124"/>
      <c r="T927" s="124"/>
      <c r="U927" s="124" t="s">
        <v>5523</v>
      </c>
      <c r="V927" s="124"/>
      <c r="W927" s="124"/>
      <c r="X927" s="124"/>
      <c r="Y927" s="124"/>
      <c r="Z927" s="124" t="e">
        <v>#NAME?</v>
      </c>
      <c r="AA927" s="126">
        <v>0</v>
      </c>
      <c r="AB927" s="20"/>
      <c r="AC927" s="20"/>
      <c r="AD927" s="20"/>
      <c r="AE927" s="20"/>
      <c r="AF927" s="20"/>
      <c r="AG927" s="20"/>
      <c r="AH927" s="20"/>
      <c r="AI927" s="20"/>
      <c r="AJ927" s="20"/>
      <c r="AK927" s="20"/>
      <c r="AL927" s="20"/>
      <c r="AM927" s="20"/>
      <c r="AN927" s="20"/>
      <c r="AO927" s="20"/>
      <c r="AP927" s="20"/>
      <c r="AQ927" s="20"/>
      <c r="AR927" s="20"/>
      <c r="AS927" s="20"/>
      <c r="AT927" s="20"/>
      <c r="AU927" s="20"/>
    </row>
    <row r="928" spans="1:47" ht="17.25" hidden="1" customHeight="1">
      <c r="A928" s="15" t="s">
        <v>5818</v>
      </c>
      <c r="B928" s="124" t="s">
        <v>155</v>
      </c>
      <c r="C928" s="125" t="e">
        <v>#NAME?</v>
      </c>
      <c r="E928" s="126" t="s">
        <v>6228</v>
      </c>
      <c r="F928" s="124" t="str">
        <f t="shared" si="12"/>
        <v>KR_hotel_pre1988_AtticRoof</v>
      </c>
      <c r="G928" s="124" t="s">
        <v>5186</v>
      </c>
      <c r="H928" s="126">
        <v>0.15</v>
      </c>
      <c r="I928" s="124" t="s">
        <v>5196</v>
      </c>
      <c r="J928" s="126">
        <v>0.03</v>
      </c>
      <c r="K928" s="124"/>
      <c r="L928" s="124"/>
      <c r="M928" s="124"/>
      <c r="N928" s="124"/>
      <c r="O928" s="124"/>
      <c r="P928" s="124"/>
      <c r="Q928" s="124"/>
      <c r="R928" s="124"/>
      <c r="S928" s="124"/>
      <c r="T928" s="124"/>
      <c r="U928" s="124" t="s">
        <v>5523</v>
      </c>
      <c r="V928" s="124"/>
      <c r="W928" s="124"/>
      <c r="X928" s="124"/>
      <c r="Y928" s="124"/>
      <c r="Z928" s="124" t="e">
        <v>#NAME?</v>
      </c>
      <c r="AA928" s="126">
        <v>0</v>
      </c>
      <c r="AB928" s="20"/>
      <c r="AC928" s="20"/>
      <c r="AD928" s="20"/>
      <c r="AE928" s="20"/>
      <c r="AF928" s="20"/>
      <c r="AG928" s="20"/>
      <c r="AH928" s="20"/>
      <c r="AI928" s="20"/>
      <c r="AJ928" s="20"/>
      <c r="AK928" s="20"/>
      <c r="AL928" s="20"/>
      <c r="AM928" s="20"/>
      <c r="AN928" s="20"/>
      <c r="AO928" s="20"/>
      <c r="AP928" s="20"/>
      <c r="AQ928" s="20"/>
      <c r="AR928" s="20"/>
      <c r="AS928" s="20"/>
      <c r="AT928" s="20"/>
      <c r="AU928" s="20"/>
    </row>
    <row r="929" spans="1:47" ht="17.25" hidden="1" customHeight="1">
      <c r="A929" s="15" t="s">
        <v>5819</v>
      </c>
      <c r="B929" s="124" t="s">
        <v>155</v>
      </c>
      <c r="C929" s="125" t="e">
        <v>#NAME?</v>
      </c>
      <c r="E929" s="126" t="s">
        <v>6228</v>
      </c>
      <c r="F929" s="124" t="str">
        <f t="shared" si="12"/>
        <v>KR_hotel_1988_2000_AtticRoof</v>
      </c>
      <c r="G929" s="124" t="s">
        <v>5211</v>
      </c>
      <c r="H929" s="126">
        <v>5.8000000000000003E-2</v>
      </c>
      <c r="I929" s="124" t="s">
        <v>5186</v>
      </c>
      <c r="J929" s="126">
        <v>0.15</v>
      </c>
      <c r="K929" s="124" t="s">
        <v>5196</v>
      </c>
      <c r="L929" s="124">
        <v>0.03</v>
      </c>
      <c r="M929" s="124"/>
      <c r="N929" s="124"/>
      <c r="O929" s="124"/>
      <c r="P929" s="124"/>
      <c r="Q929" s="124"/>
      <c r="R929" s="124"/>
      <c r="S929" s="124"/>
      <c r="T929" s="124"/>
      <c r="U929" s="124" t="s">
        <v>5523</v>
      </c>
      <c r="V929" s="124"/>
      <c r="W929" s="124"/>
      <c r="X929" s="124"/>
      <c r="Y929" s="124"/>
      <c r="Z929" s="124" t="e">
        <v>#NAME?</v>
      </c>
      <c r="AA929" s="126">
        <v>0</v>
      </c>
      <c r="AB929" s="20"/>
      <c r="AC929" s="20"/>
      <c r="AD929" s="20"/>
      <c r="AE929" s="20"/>
      <c r="AF929" s="20"/>
      <c r="AG929" s="20"/>
      <c r="AH929" s="20"/>
      <c r="AI929" s="20"/>
      <c r="AJ929" s="20"/>
      <c r="AK929" s="20"/>
      <c r="AL929" s="20"/>
      <c r="AM929" s="20"/>
      <c r="AN929" s="20"/>
      <c r="AO929" s="20"/>
      <c r="AP929" s="20"/>
      <c r="AQ929" s="20"/>
      <c r="AR929" s="20"/>
      <c r="AS929" s="20"/>
      <c r="AT929" s="20"/>
      <c r="AU929" s="20"/>
    </row>
    <row r="930" spans="1:47" ht="17.25" hidden="1" customHeight="1">
      <c r="A930" s="15" t="s">
        <v>5820</v>
      </c>
      <c r="B930" s="124" t="s">
        <v>155</v>
      </c>
      <c r="C930" s="125" t="e">
        <v>#NAME?</v>
      </c>
      <c r="E930" s="126" t="s">
        <v>6228</v>
      </c>
      <c r="F930" s="124" t="str">
        <f t="shared" si="12"/>
        <v>KR_hotel_2001_2010_AtticRoof</v>
      </c>
      <c r="G930" s="124" t="s">
        <v>5211</v>
      </c>
      <c r="H930" s="126">
        <v>5.8999999999999997E-2</v>
      </c>
      <c r="I930" s="124" t="s">
        <v>5186</v>
      </c>
      <c r="J930" s="126">
        <v>0.15</v>
      </c>
      <c r="K930" s="124" t="s">
        <v>5196</v>
      </c>
      <c r="L930" s="124">
        <v>0.03</v>
      </c>
      <c r="M930" s="124"/>
      <c r="N930" s="124"/>
      <c r="O930" s="124"/>
      <c r="P930" s="124"/>
      <c r="Q930" s="124"/>
      <c r="R930" s="124"/>
      <c r="S930" s="124"/>
      <c r="T930" s="124"/>
      <c r="U930" s="124" t="s">
        <v>5523</v>
      </c>
      <c r="V930" s="124"/>
      <c r="W930" s="124"/>
      <c r="X930" s="124"/>
      <c r="Y930" s="124"/>
      <c r="Z930" s="124" t="e">
        <v>#NAME?</v>
      </c>
      <c r="AA930" s="126">
        <v>0</v>
      </c>
      <c r="AB930" s="20"/>
      <c r="AC930" s="20"/>
      <c r="AD930" s="20"/>
      <c r="AE930" s="20"/>
      <c r="AF930" s="20"/>
      <c r="AG930" s="20"/>
      <c r="AH930" s="20"/>
      <c r="AI930" s="20"/>
      <c r="AJ930" s="20"/>
      <c r="AK930" s="20"/>
      <c r="AL930" s="20"/>
      <c r="AM930" s="20"/>
      <c r="AN930" s="20"/>
      <c r="AO930" s="20"/>
      <c r="AP930" s="20"/>
      <c r="AQ930" s="20"/>
      <c r="AR930" s="20"/>
      <c r="AS930" s="20"/>
      <c r="AT930" s="20"/>
      <c r="AU930" s="20"/>
    </row>
    <row r="931" spans="1:47" ht="17.25" hidden="1" customHeight="1">
      <c r="A931" s="15" t="s">
        <v>5821</v>
      </c>
      <c r="B931" s="124" t="s">
        <v>155</v>
      </c>
      <c r="C931" s="125" t="e">
        <v>#NAME?</v>
      </c>
      <c r="E931" s="126" t="s">
        <v>6228</v>
      </c>
      <c r="F931" s="124" t="str">
        <f t="shared" si="12"/>
        <v>KR_hotel_2011_2018_AtticRoof</v>
      </c>
      <c r="G931" s="124" t="s">
        <v>5211</v>
      </c>
      <c r="H931" s="126">
        <v>7.8E-2</v>
      </c>
      <c r="I931" s="124" t="s">
        <v>5186</v>
      </c>
      <c r="J931" s="126">
        <v>0.15</v>
      </c>
      <c r="K931" s="124" t="s">
        <v>5196</v>
      </c>
      <c r="L931" s="124">
        <v>0.03</v>
      </c>
      <c r="M931" s="124"/>
      <c r="N931" s="124"/>
      <c r="O931" s="124"/>
      <c r="P931" s="124"/>
      <c r="Q931" s="124"/>
      <c r="R931" s="124"/>
      <c r="S931" s="124"/>
      <c r="T931" s="124"/>
      <c r="U931" s="124" t="s">
        <v>5523</v>
      </c>
      <c r="V931" s="124"/>
      <c r="W931" s="124"/>
      <c r="X931" s="124"/>
      <c r="Y931" s="124"/>
      <c r="Z931" s="124" t="e">
        <v>#NAME?</v>
      </c>
      <c r="AA931" s="126">
        <v>0</v>
      </c>
      <c r="AB931" s="20"/>
      <c r="AC931" s="20"/>
      <c r="AD931" s="20"/>
      <c r="AE931" s="20"/>
      <c r="AF931" s="20"/>
      <c r="AG931" s="20"/>
      <c r="AH931" s="20"/>
      <c r="AI931" s="20"/>
      <c r="AJ931" s="20"/>
      <c r="AK931" s="20"/>
      <c r="AL931" s="20"/>
      <c r="AM931" s="20"/>
      <c r="AN931" s="20"/>
      <c r="AO931" s="20"/>
      <c r="AP931" s="20"/>
      <c r="AQ931" s="20"/>
      <c r="AR931" s="20"/>
      <c r="AS931" s="20"/>
      <c r="AT931" s="20"/>
      <c r="AU931" s="20"/>
    </row>
    <row r="932" spans="1:47" ht="17.25" hidden="1" customHeight="1">
      <c r="A932" s="15" t="s">
        <v>5822</v>
      </c>
      <c r="B932" s="124" t="s">
        <v>155</v>
      </c>
      <c r="C932" s="125" t="e">
        <v>#NAME?</v>
      </c>
      <c r="E932" s="126" t="s">
        <v>6228</v>
      </c>
      <c r="F932" s="124" t="str">
        <f t="shared" si="12"/>
        <v>KR_hotel_post2019_AtticRoof</v>
      </c>
      <c r="G932" s="124" t="s">
        <v>5211</v>
      </c>
      <c r="H932" s="126">
        <v>9.4E-2</v>
      </c>
      <c r="I932" s="124" t="s">
        <v>5186</v>
      </c>
      <c r="J932" s="126">
        <v>0.15</v>
      </c>
      <c r="K932" s="124" t="s">
        <v>5196</v>
      </c>
      <c r="L932" s="124">
        <v>0.03</v>
      </c>
      <c r="M932" s="124"/>
      <c r="N932" s="124"/>
      <c r="O932" s="124"/>
      <c r="P932" s="124"/>
      <c r="Q932" s="124"/>
      <c r="R932" s="124"/>
      <c r="S932" s="124"/>
      <c r="T932" s="124"/>
      <c r="U932" s="124" t="s">
        <v>5523</v>
      </c>
      <c r="V932" s="124"/>
      <c r="W932" s="124"/>
      <c r="X932" s="124"/>
      <c r="Y932" s="124"/>
      <c r="Z932" s="124" t="e">
        <v>#NAME?</v>
      </c>
      <c r="AA932" s="126">
        <v>0</v>
      </c>
      <c r="AB932" s="20"/>
      <c r="AC932" s="20"/>
      <c r="AD932" s="20"/>
      <c r="AE932" s="20"/>
      <c r="AF932" s="20"/>
      <c r="AG932" s="20"/>
      <c r="AH932" s="20"/>
      <c r="AI932" s="20"/>
      <c r="AJ932" s="20"/>
      <c r="AK932" s="20"/>
      <c r="AL932" s="20"/>
      <c r="AM932" s="20"/>
      <c r="AN932" s="20"/>
      <c r="AO932" s="20"/>
      <c r="AP932" s="20"/>
      <c r="AQ932" s="20"/>
      <c r="AR932" s="20"/>
      <c r="AS932" s="20"/>
      <c r="AT932" s="20"/>
      <c r="AU932" s="20"/>
    </row>
    <row r="933" spans="1:47" ht="17.25" hidden="1" customHeight="1">
      <c r="A933" s="15" t="s">
        <v>5823</v>
      </c>
      <c r="B933" s="124" t="s">
        <v>155</v>
      </c>
      <c r="C933" s="125" t="e">
        <v>#NAME?</v>
      </c>
      <c r="E933" s="126" t="s">
        <v>6228</v>
      </c>
      <c r="F933" s="124" t="str">
        <f t="shared" si="12"/>
        <v>KR_data_pre1988_AtticRoof</v>
      </c>
      <c r="G933" s="124" t="s">
        <v>5186</v>
      </c>
      <c r="H933" s="126">
        <v>0.15</v>
      </c>
      <c r="I933" s="124" t="s">
        <v>5196</v>
      </c>
      <c r="J933" s="126">
        <v>0.03</v>
      </c>
      <c r="K933" s="124"/>
      <c r="L933" s="124"/>
      <c r="M933" s="124"/>
      <c r="N933" s="124"/>
      <c r="O933" s="124"/>
      <c r="P933" s="124"/>
      <c r="Q933" s="124"/>
      <c r="R933" s="124"/>
      <c r="S933" s="124"/>
      <c r="T933" s="124"/>
      <c r="U933" s="124" t="s">
        <v>5523</v>
      </c>
      <c r="V933" s="124"/>
      <c r="W933" s="124"/>
      <c r="X933" s="124"/>
      <c r="Y933" s="124"/>
      <c r="Z933" s="124" t="e">
        <v>#NAME?</v>
      </c>
      <c r="AA933" s="126">
        <v>0</v>
      </c>
      <c r="AB933" s="20"/>
      <c r="AC933" s="20"/>
      <c r="AD933" s="20"/>
      <c r="AE933" s="20"/>
      <c r="AF933" s="20"/>
      <c r="AG933" s="20"/>
      <c r="AH933" s="20"/>
      <c r="AI933" s="20"/>
      <c r="AJ933" s="20"/>
      <c r="AK933" s="20"/>
      <c r="AL933" s="20"/>
      <c r="AM933" s="20"/>
      <c r="AN933" s="20"/>
      <c r="AO933" s="20"/>
      <c r="AP933" s="20"/>
      <c r="AQ933" s="20"/>
      <c r="AR933" s="20"/>
      <c r="AS933" s="20"/>
      <c r="AT933" s="20"/>
      <c r="AU933" s="20"/>
    </row>
    <row r="934" spans="1:47" ht="17.25" hidden="1" customHeight="1">
      <c r="A934" s="15" t="s">
        <v>5824</v>
      </c>
      <c r="B934" s="124" t="s">
        <v>155</v>
      </c>
      <c r="C934" s="125" t="e">
        <v>#NAME?</v>
      </c>
      <c r="E934" s="126" t="s">
        <v>6228</v>
      </c>
      <c r="F934" s="124" t="str">
        <f t="shared" si="12"/>
        <v>KR_data_1988_2000_AtticRoof</v>
      </c>
      <c r="G934" s="124" t="s">
        <v>5211</v>
      </c>
      <c r="H934" s="126">
        <v>5.8000000000000003E-2</v>
      </c>
      <c r="I934" s="124" t="s">
        <v>5186</v>
      </c>
      <c r="J934" s="126">
        <v>0.15</v>
      </c>
      <c r="K934" s="124" t="s">
        <v>5196</v>
      </c>
      <c r="L934" s="124">
        <v>0.03</v>
      </c>
      <c r="M934" s="124"/>
      <c r="N934" s="124"/>
      <c r="O934" s="124"/>
      <c r="P934" s="124"/>
      <c r="Q934" s="124"/>
      <c r="R934" s="124"/>
      <c r="S934" s="124"/>
      <c r="T934" s="124"/>
      <c r="U934" s="124" t="s">
        <v>5523</v>
      </c>
      <c r="V934" s="124"/>
      <c r="W934" s="124"/>
      <c r="X934" s="124"/>
      <c r="Y934" s="124"/>
      <c r="Z934" s="124" t="e">
        <v>#NAME?</v>
      </c>
      <c r="AA934" s="126">
        <v>0</v>
      </c>
      <c r="AB934" s="20"/>
      <c r="AC934" s="20"/>
      <c r="AD934" s="20"/>
      <c r="AE934" s="20"/>
      <c r="AF934" s="20"/>
      <c r="AG934" s="20"/>
      <c r="AH934" s="20"/>
      <c r="AI934" s="20"/>
      <c r="AJ934" s="20"/>
      <c r="AK934" s="20"/>
      <c r="AL934" s="20"/>
      <c r="AM934" s="20"/>
      <c r="AN934" s="20"/>
      <c r="AO934" s="20"/>
      <c r="AP934" s="20"/>
      <c r="AQ934" s="20"/>
      <c r="AR934" s="20"/>
      <c r="AS934" s="20"/>
      <c r="AT934" s="20"/>
      <c r="AU934" s="20"/>
    </row>
    <row r="935" spans="1:47" ht="17.25" hidden="1" customHeight="1">
      <c r="A935" s="15" t="s">
        <v>5825</v>
      </c>
      <c r="B935" s="124" t="s">
        <v>155</v>
      </c>
      <c r="C935" s="125" t="e">
        <v>#NAME?</v>
      </c>
      <c r="E935" s="126" t="s">
        <v>6228</v>
      </c>
      <c r="F935" s="124" t="str">
        <f t="shared" si="12"/>
        <v>KR_data_2001_2010_AtticRoof</v>
      </c>
      <c r="G935" s="124" t="s">
        <v>5211</v>
      </c>
      <c r="H935" s="126">
        <v>5.8999999999999997E-2</v>
      </c>
      <c r="I935" s="124" t="s">
        <v>5186</v>
      </c>
      <c r="J935" s="126">
        <v>0.15</v>
      </c>
      <c r="K935" s="124" t="s">
        <v>5196</v>
      </c>
      <c r="L935" s="124">
        <v>0.03</v>
      </c>
      <c r="M935" s="124"/>
      <c r="N935" s="124"/>
      <c r="O935" s="124"/>
      <c r="P935" s="124"/>
      <c r="Q935" s="124"/>
      <c r="R935" s="124"/>
      <c r="S935" s="124"/>
      <c r="T935" s="124"/>
      <c r="U935" s="124" t="s">
        <v>5523</v>
      </c>
      <c r="V935" s="124"/>
      <c r="W935" s="124"/>
      <c r="X935" s="124"/>
      <c r="Y935" s="124"/>
      <c r="Z935" s="124" t="e">
        <v>#NAME?</v>
      </c>
      <c r="AA935" s="126">
        <v>0</v>
      </c>
      <c r="AB935" s="20"/>
      <c r="AC935" s="20"/>
      <c r="AD935" s="20"/>
      <c r="AE935" s="20"/>
      <c r="AF935" s="20"/>
      <c r="AG935" s="20"/>
      <c r="AH935" s="20"/>
      <c r="AI935" s="20"/>
      <c r="AJ935" s="20"/>
      <c r="AK935" s="20"/>
      <c r="AL935" s="20"/>
      <c r="AM935" s="20"/>
      <c r="AN935" s="20"/>
      <c r="AO935" s="20"/>
      <c r="AP935" s="20"/>
      <c r="AQ935" s="20"/>
      <c r="AR935" s="20"/>
      <c r="AS935" s="20"/>
      <c r="AT935" s="20"/>
      <c r="AU935" s="20"/>
    </row>
    <row r="936" spans="1:47" ht="17.25" hidden="1" customHeight="1">
      <c r="A936" s="15" t="s">
        <v>5826</v>
      </c>
      <c r="B936" s="124" t="s">
        <v>155</v>
      </c>
      <c r="C936" s="125" t="e">
        <v>#NAME?</v>
      </c>
      <c r="E936" s="126" t="s">
        <v>6228</v>
      </c>
      <c r="F936" s="124" t="str">
        <f t="shared" si="12"/>
        <v>KR_data_2011_2018_AtticRoof</v>
      </c>
      <c r="G936" s="124" t="s">
        <v>5211</v>
      </c>
      <c r="H936" s="126">
        <v>7.8E-2</v>
      </c>
      <c r="I936" s="124" t="s">
        <v>5186</v>
      </c>
      <c r="J936" s="126">
        <v>0.15</v>
      </c>
      <c r="K936" s="124" t="s">
        <v>5196</v>
      </c>
      <c r="L936" s="124">
        <v>0.03</v>
      </c>
      <c r="M936" s="124"/>
      <c r="N936" s="124"/>
      <c r="O936" s="124"/>
      <c r="P936" s="124"/>
      <c r="Q936" s="124"/>
      <c r="R936" s="124"/>
      <c r="S936" s="124"/>
      <c r="T936" s="124"/>
      <c r="U936" s="124" t="s">
        <v>5523</v>
      </c>
      <c r="V936" s="124"/>
      <c r="W936" s="124"/>
      <c r="X936" s="124"/>
      <c r="Y936" s="124"/>
      <c r="Z936" s="124" t="e">
        <v>#NAME?</v>
      </c>
      <c r="AA936" s="126">
        <v>0</v>
      </c>
      <c r="AB936" s="20"/>
      <c r="AC936" s="20"/>
      <c r="AD936" s="20"/>
      <c r="AE936" s="20"/>
      <c r="AF936" s="20"/>
      <c r="AG936" s="20"/>
      <c r="AH936" s="20"/>
      <c r="AI936" s="20"/>
      <c r="AJ936" s="20"/>
      <c r="AK936" s="20"/>
      <c r="AL936" s="20"/>
      <c r="AM936" s="20"/>
      <c r="AN936" s="20"/>
      <c r="AO936" s="20"/>
      <c r="AP936" s="20"/>
      <c r="AQ936" s="20"/>
      <c r="AR936" s="20"/>
      <c r="AS936" s="20"/>
      <c r="AT936" s="20"/>
      <c r="AU936" s="20"/>
    </row>
    <row r="937" spans="1:47" ht="17.25" hidden="1" customHeight="1">
      <c r="A937" s="15" t="s">
        <v>5827</v>
      </c>
      <c r="B937" s="124" t="s">
        <v>155</v>
      </c>
      <c r="C937" s="125" t="e">
        <v>#NAME?</v>
      </c>
      <c r="E937" s="126" t="s">
        <v>6228</v>
      </c>
      <c r="F937" s="124" t="str">
        <f t="shared" si="12"/>
        <v>KR_data_post2019_AtticRoof</v>
      </c>
      <c r="G937" s="124" t="s">
        <v>5211</v>
      </c>
      <c r="H937" s="126">
        <v>9.4E-2</v>
      </c>
      <c r="I937" s="124" t="s">
        <v>5186</v>
      </c>
      <c r="J937" s="126">
        <v>0.15</v>
      </c>
      <c r="K937" s="124" t="s">
        <v>5196</v>
      </c>
      <c r="L937" s="124">
        <v>0.03</v>
      </c>
      <c r="M937" s="124"/>
      <c r="N937" s="124"/>
      <c r="O937" s="124"/>
      <c r="P937" s="124"/>
      <c r="Q937" s="124"/>
      <c r="R937" s="124"/>
      <c r="S937" s="124"/>
      <c r="T937" s="124"/>
      <c r="U937" s="124" t="s">
        <v>5523</v>
      </c>
      <c r="V937" s="124"/>
      <c r="W937" s="124"/>
      <c r="X937" s="124"/>
      <c r="Y937" s="124"/>
      <c r="Z937" s="124" t="e">
        <v>#NAME?</v>
      </c>
      <c r="AA937" s="126">
        <v>0</v>
      </c>
      <c r="AB937" s="20"/>
      <c r="AC937" s="20"/>
      <c r="AD937" s="20"/>
      <c r="AE937" s="20"/>
      <c r="AF937" s="20"/>
      <c r="AG937" s="20"/>
      <c r="AH937" s="20"/>
      <c r="AI937" s="20"/>
      <c r="AJ937" s="20"/>
      <c r="AK937" s="20"/>
      <c r="AL937" s="20"/>
      <c r="AM937" s="20"/>
      <c r="AN937" s="20"/>
      <c r="AO937" s="20"/>
      <c r="AP937" s="20"/>
      <c r="AQ937" s="20"/>
      <c r="AR937" s="20"/>
      <c r="AS937" s="20"/>
      <c r="AT937" s="20"/>
      <c r="AU937" s="20"/>
    </row>
    <row r="938" spans="1:47" ht="17.25" hidden="1" customHeight="1">
      <c r="A938" s="15" t="s">
        <v>5828</v>
      </c>
      <c r="B938" s="124" t="s">
        <v>155</v>
      </c>
      <c r="C938" s="125" t="e">
        <v>#NAME?</v>
      </c>
      <c r="E938" s="126" t="s">
        <v>6228</v>
      </c>
      <c r="F938" s="124" t="str">
        <f t="shared" si="12"/>
        <v>KR_etc_pre1988_AtticRoof</v>
      </c>
      <c r="G938" s="124" t="s">
        <v>5186</v>
      </c>
      <c r="H938" s="126">
        <v>0.15</v>
      </c>
      <c r="I938" s="124" t="s">
        <v>5196</v>
      </c>
      <c r="J938" s="126">
        <v>0.03</v>
      </c>
      <c r="K938" s="124"/>
      <c r="L938" s="124"/>
      <c r="M938" s="124"/>
      <c r="N938" s="124"/>
      <c r="O938" s="124"/>
      <c r="P938" s="124"/>
      <c r="Q938" s="124"/>
      <c r="R938" s="124"/>
      <c r="S938" s="124"/>
      <c r="T938" s="124"/>
      <c r="U938" s="124" t="s">
        <v>5523</v>
      </c>
      <c r="V938" s="124"/>
      <c r="W938" s="124"/>
      <c r="X938" s="124"/>
      <c r="Y938" s="124"/>
      <c r="Z938" s="124" t="e">
        <v>#NAME?</v>
      </c>
      <c r="AA938" s="126">
        <v>0</v>
      </c>
      <c r="AB938" s="20"/>
      <c r="AC938" s="20"/>
      <c r="AD938" s="20"/>
      <c r="AE938" s="20"/>
      <c r="AF938" s="20"/>
      <c r="AG938" s="20"/>
      <c r="AH938" s="20"/>
      <c r="AI938" s="20"/>
      <c r="AJ938" s="20"/>
      <c r="AK938" s="20"/>
      <c r="AL938" s="20"/>
      <c r="AM938" s="20"/>
      <c r="AN938" s="20"/>
      <c r="AO938" s="20"/>
      <c r="AP938" s="20"/>
      <c r="AQ938" s="20"/>
      <c r="AR938" s="20"/>
      <c r="AS938" s="20"/>
      <c r="AT938" s="20"/>
      <c r="AU938" s="20"/>
    </row>
    <row r="939" spans="1:47" ht="17.25" hidden="1" customHeight="1">
      <c r="A939" s="15" t="s">
        <v>5829</v>
      </c>
      <c r="B939" s="124" t="s">
        <v>155</v>
      </c>
      <c r="C939" s="125" t="e">
        <v>#NAME?</v>
      </c>
      <c r="E939" s="126" t="s">
        <v>6228</v>
      </c>
      <c r="F939" s="124" t="str">
        <f t="shared" si="12"/>
        <v>KR_etc_1988_2000_AtticRoof</v>
      </c>
      <c r="G939" s="124" t="s">
        <v>5211</v>
      </c>
      <c r="H939" s="126">
        <v>5.8000000000000003E-2</v>
      </c>
      <c r="I939" s="124" t="s">
        <v>5186</v>
      </c>
      <c r="J939" s="126">
        <v>0.15</v>
      </c>
      <c r="K939" s="124" t="s">
        <v>5196</v>
      </c>
      <c r="L939" s="124">
        <v>0.03</v>
      </c>
      <c r="M939" s="124"/>
      <c r="N939" s="124"/>
      <c r="O939" s="124"/>
      <c r="P939" s="124"/>
      <c r="Q939" s="124"/>
      <c r="R939" s="124"/>
      <c r="S939" s="124"/>
      <c r="T939" s="124"/>
      <c r="U939" s="124" t="s">
        <v>5523</v>
      </c>
      <c r="V939" s="124"/>
      <c r="W939" s="124"/>
      <c r="X939" s="124"/>
      <c r="Y939" s="124"/>
      <c r="Z939" s="124" t="e">
        <v>#NAME?</v>
      </c>
      <c r="AA939" s="126">
        <v>0</v>
      </c>
      <c r="AB939" s="20"/>
      <c r="AC939" s="20"/>
      <c r="AD939" s="20"/>
      <c r="AE939" s="20"/>
      <c r="AF939" s="20"/>
      <c r="AG939" s="20"/>
      <c r="AH939" s="20"/>
      <c r="AI939" s="20"/>
      <c r="AJ939" s="20"/>
      <c r="AK939" s="20"/>
      <c r="AL939" s="20"/>
      <c r="AM939" s="20"/>
      <c r="AN939" s="20"/>
      <c r="AO939" s="20"/>
      <c r="AP939" s="20"/>
      <c r="AQ939" s="20"/>
      <c r="AR939" s="20"/>
      <c r="AS939" s="20"/>
      <c r="AT939" s="20"/>
      <c r="AU939" s="20"/>
    </row>
    <row r="940" spans="1:47" ht="17.25" hidden="1" customHeight="1">
      <c r="A940" s="15" t="s">
        <v>5830</v>
      </c>
      <c r="B940" s="124" t="s">
        <v>155</v>
      </c>
      <c r="C940" s="125" t="e">
        <v>#NAME?</v>
      </c>
      <c r="E940" s="126" t="s">
        <v>6228</v>
      </c>
      <c r="F940" s="124" t="str">
        <f t="shared" si="12"/>
        <v>KR_etc_2001_2010_AtticRoof</v>
      </c>
      <c r="G940" s="124" t="s">
        <v>5211</v>
      </c>
      <c r="H940" s="126">
        <v>5.8999999999999997E-2</v>
      </c>
      <c r="I940" s="124" t="s">
        <v>5186</v>
      </c>
      <c r="J940" s="126">
        <v>0.15</v>
      </c>
      <c r="K940" s="124" t="s">
        <v>5196</v>
      </c>
      <c r="L940" s="124">
        <v>0.03</v>
      </c>
      <c r="M940" s="124"/>
      <c r="N940" s="124"/>
      <c r="O940" s="124"/>
      <c r="P940" s="124"/>
      <c r="Q940" s="124"/>
      <c r="R940" s="124"/>
      <c r="S940" s="124"/>
      <c r="T940" s="124"/>
      <c r="U940" s="124" t="s">
        <v>5523</v>
      </c>
      <c r="V940" s="124"/>
      <c r="W940" s="124"/>
      <c r="X940" s="124"/>
      <c r="Y940" s="124"/>
      <c r="Z940" s="124" t="e">
        <v>#NAME?</v>
      </c>
      <c r="AA940" s="126">
        <v>0</v>
      </c>
      <c r="AB940" s="20"/>
      <c r="AC940" s="20"/>
      <c r="AD940" s="20"/>
      <c r="AE940" s="20"/>
      <c r="AF940" s="20"/>
      <c r="AG940" s="20"/>
      <c r="AH940" s="20"/>
      <c r="AI940" s="20"/>
      <c r="AJ940" s="20"/>
      <c r="AK940" s="20"/>
      <c r="AL940" s="20"/>
      <c r="AM940" s="20"/>
      <c r="AN940" s="20"/>
      <c r="AO940" s="20"/>
      <c r="AP940" s="20"/>
      <c r="AQ940" s="20"/>
      <c r="AR940" s="20"/>
      <c r="AS940" s="20"/>
      <c r="AT940" s="20"/>
      <c r="AU940" s="20"/>
    </row>
    <row r="941" spans="1:47" ht="17.25" hidden="1" customHeight="1">
      <c r="A941" s="15" t="s">
        <v>5831</v>
      </c>
      <c r="B941" s="124" t="s">
        <v>155</v>
      </c>
      <c r="C941" s="125" t="e">
        <v>#NAME?</v>
      </c>
      <c r="E941" s="126" t="s">
        <v>6228</v>
      </c>
      <c r="F941" s="124" t="str">
        <f t="shared" si="12"/>
        <v>KR_etc_2011_2018_AtticRoof</v>
      </c>
      <c r="G941" s="124" t="s">
        <v>5211</v>
      </c>
      <c r="H941" s="126">
        <v>7.8E-2</v>
      </c>
      <c r="I941" s="124" t="s">
        <v>5186</v>
      </c>
      <c r="J941" s="126">
        <v>0.15</v>
      </c>
      <c r="K941" s="124" t="s">
        <v>5196</v>
      </c>
      <c r="L941" s="124">
        <v>0.03</v>
      </c>
      <c r="M941" s="124"/>
      <c r="N941" s="124"/>
      <c r="O941" s="124"/>
      <c r="P941" s="124"/>
      <c r="Q941" s="124"/>
      <c r="R941" s="124"/>
      <c r="S941" s="124"/>
      <c r="T941" s="124"/>
      <c r="U941" s="124" t="s">
        <v>5523</v>
      </c>
      <c r="V941" s="124"/>
      <c r="W941" s="124"/>
      <c r="X941" s="124"/>
      <c r="Y941" s="124"/>
      <c r="Z941" s="124" t="e">
        <v>#NAME?</v>
      </c>
      <c r="AA941" s="126">
        <v>0</v>
      </c>
      <c r="AB941" s="20"/>
      <c r="AC941" s="20"/>
      <c r="AD941" s="20"/>
      <c r="AE941" s="20"/>
      <c r="AF941" s="20"/>
      <c r="AG941" s="20"/>
      <c r="AH941" s="20"/>
      <c r="AI941" s="20"/>
      <c r="AJ941" s="20"/>
      <c r="AK941" s="20"/>
      <c r="AL941" s="20"/>
      <c r="AM941" s="20"/>
      <c r="AN941" s="20"/>
      <c r="AO941" s="20"/>
      <c r="AP941" s="20"/>
      <c r="AQ941" s="20"/>
      <c r="AR941" s="20"/>
      <c r="AS941" s="20"/>
      <c r="AT941" s="20"/>
      <c r="AU941" s="20"/>
    </row>
    <row r="942" spans="1:47" ht="17.25" hidden="1" customHeight="1">
      <c r="A942" s="15" t="s">
        <v>5832</v>
      </c>
      <c r="B942" s="124" t="s">
        <v>155</v>
      </c>
      <c r="C942" s="125" t="e">
        <v>#NAME?</v>
      </c>
      <c r="E942" s="126" t="s">
        <v>6228</v>
      </c>
      <c r="F942" s="124" t="str">
        <f t="shared" si="12"/>
        <v>KR_etc_post2019_AtticRoof</v>
      </c>
      <c r="G942" s="124" t="s">
        <v>5211</v>
      </c>
      <c r="H942" s="126">
        <v>9.4E-2</v>
      </c>
      <c r="I942" s="124" t="s">
        <v>5186</v>
      </c>
      <c r="J942" s="126">
        <v>0.15</v>
      </c>
      <c r="K942" s="124" t="s">
        <v>5196</v>
      </c>
      <c r="L942" s="124">
        <v>0.03</v>
      </c>
      <c r="M942" s="124"/>
      <c r="N942" s="124"/>
      <c r="O942" s="124"/>
      <c r="P942" s="124"/>
      <c r="Q942" s="124"/>
      <c r="R942" s="124"/>
      <c r="S942" s="124"/>
      <c r="T942" s="124"/>
      <c r="U942" s="124" t="s">
        <v>5523</v>
      </c>
      <c r="V942" s="124"/>
      <c r="W942" s="124"/>
      <c r="X942" s="124"/>
      <c r="Y942" s="124"/>
      <c r="Z942" s="124" t="e">
        <v>#NAME?</v>
      </c>
      <c r="AA942" s="126">
        <v>0</v>
      </c>
      <c r="AB942" s="20"/>
      <c r="AC942" s="20"/>
      <c r="AD942" s="20"/>
      <c r="AE942" s="20"/>
      <c r="AF942" s="20"/>
      <c r="AG942" s="20"/>
      <c r="AH942" s="20"/>
      <c r="AI942" s="20"/>
      <c r="AJ942" s="20"/>
      <c r="AK942" s="20"/>
      <c r="AL942" s="20"/>
      <c r="AM942" s="20"/>
      <c r="AN942" s="20"/>
      <c r="AO942" s="20"/>
      <c r="AP942" s="20"/>
      <c r="AQ942" s="20"/>
      <c r="AR942" s="20"/>
      <c r="AS942" s="20"/>
      <c r="AT942" s="20"/>
      <c r="AU942" s="20"/>
    </row>
    <row r="943" spans="1:47" ht="17.25" customHeight="1">
      <c r="A943" s="15" t="s">
        <v>5748</v>
      </c>
      <c r="B943" s="124" t="s">
        <v>155</v>
      </c>
      <c r="C943" s="125" t="e">
        <v>#NAME?</v>
      </c>
      <c r="E943" s="126" t="s">
        <v>6228</v>
      </c>
      <c r="F943" s="124" t="str">
        <f>_xlfn.CONCAT(A943,"_",B943)</f>
        <v>KR_res_mf_low_pre1988_AtticRoof</v>
      </c>
      <c r="G943" s="124" t="s">
        <v>5186</v>
      </c>
      <c r="H943" s="126">
        <v>0.15</v>
      </c>
      <c r="I943" s="124" t="s">
        <v>5196</v>
      </c>
      <c r="J943" s="126">
        <v>0.03</v>
      </c>
      <c r="K943" s="124"/>
      <c r="L943" s="124"/>
      <c r="M943" s="124"/>
      <c r="N943" s="124"/>
      <c r="O943" s="124"/>
      <c r="P943" s="124"/>
      <c r="Q943" s="128"/>
      <c r="R943" s="124"/>
      <c r="S943" s="124"/>
      <c r="T943" s="124"/>
      <c r="U943" s="124" t="s">
        <v>5523</v>
      </c>
      <c r="V943" s="124"/>
      <c r="W943" s="124"/>
      <c r="X943" s="124"/>
      <c r="Y943" s="124"/>
      <c r="Z943" s="124" t="e">
        <v>#NAME?</v>
      </c>
      <c r="AA943" s="126">
        <v>0</v>
      </c>
      <c r="AB943" s="20"/>
      <c r="AC943" s="20"/>
      <c r="AD943" s="20"/>
      <c r="AE943" s="20"/>
      <c r="AF943" s="20"/>
      <c r="AG943" s="20"/>
      <c r="AH943" s="20"/>
      <c r="AI943" s="20"/>
      <c r="AJ943" s="20"/>
      <c r="AK943" s="20"/>
      <c r="AL943" s="20"/>
      <c r="AM943" s="20"/>
      <c r="AN943" s="20"/>
      <c r="AO943" s="20"/>
      <c r="AP943" s="20"/>
      <c r="AQ943" s="20"/>
      <c r="AR943" s="20"/>
      <c r="AS943" s="20"/>
      <c r="AT943" s="20"/>
      <c r="AU943" s="20"/>
    </row>
    <row r="944" spans="1:47" ht="17.25" customHeight="1">
      <c r="A944" s="15" t="s">
        <v>5749</v>
      </c>
      <c r="B944" s="124" t="s">
        <v>155</v>
      </c>
      <c r="C944" s="125" t="e">
        <v>#NAME?</v>
      </c>
      <c r="E944" s="126" t="s">
        <v>6228</v>
      </c>
      <c r="F944" s="124" t="str">
        <f t="shared" ref="F944:F952" si="13">_xlfn.CONCAT(A944,"_",B944)</f>
        <v>KR_res_mf_low_1988_2000_AtticRoof</v>
      </c>
      <c r="G944" s="124" t="s">
        <v>5211</v>
      </c>
      <c r="H944" s="126">
        <v>5.8000000000000003E-2</v>
      </c>
      <c r="I944" s="124" t="s">
        <v>5186</v>
      </c>
      <c r="J944" s="126">
        <v>0.15</v>
      </c>
      <c r="K944" s="124" t="s">
        <v>5196</v>
      </c>
      <c r="L944" s="124">
        <v>0.03</v>
      </c>
      <c r="M944" s="124"/>
      <c r="N944" s="124"/>
      <c r="O944" s="124"/>
      <c r="P944" s="124"/>
      <c r="Q944" s="128"/>
      <c r="R944" s="124"/>
      <c r="S944" s="124"/>
      <c r="T944" s="124"/>
      <c r="U944" s="124" t="s">
        <v>5523</v>
      </c>
      <c r="V944" s="124"/>
      <c r="W944" s="124"/>
      <c r="X944" s="124"/>
      <c r="Y944" s="124"/>
      <c r="Z944" s="124" t="e">
        <v>#NAME?</v>
      </c>
      <c r="AA944" s="126">
        <v>0</v>
      </c>
      <c r="AB944" s="20"/>
      <c r="AC944" s="20"/>
      <c r="AD944" s="20"/>
      <c r="AE944" s="20"/>
      <c r="AF944" s="20"/>
      <c r="AG944" s="20"/>
      <c r="AH944" s="20"/>
      <c r="AI944" s="20"/>
      <c r="AJ944" s="20"/>
      <c r="AK944" s="20"/>
      <c r="AL944" s="20"/>
      <c r="AM944" s="20"/>
      <c r="AN944" s="20"/>
      <c r="AO944" s="20"/>
      <c r="AP944" s="20"/>
      <c r="AQ944" s="20"/>
      <c r="AR944" s="20"/>
      <c r="AS944" s="20"/>
      <c r="AT944" s="20"/>
      <c r="AU944" s="20"/>
    </row>
    <row r="945" spans="1:48" ht="17.25" customHeight="1">
      <c r="A945" s="15" t="s">
        <v>5750</v>
      </c>
      <c r="B945" s="124" t="s">
        <v>155</v>
      </c>
      <c r="C945" s="125" t="e">
        <v>#NAME?</v>
      </c>
      <c r="E945" s="126" t="s">
        <v>6228</v>
      </c>
      <c r="F945" s="124" t="str">
        <f t="shared" si="13"/>
        <v>KR_res_mf_low_2001_2010_AtticRoof</v>
      </c>
      <c r="G945" s="124" t="s">
        <v>5211</v>
      </c>
      <c r="H945" s="126">
        <v>5.8999999999999997E-2</v>
      </c>
      <c r="I945" s="124" t="s">
        <v>5186</v>
      </c>
      <c r="J945" s="126">
        <v>0.15</v>
      </c>
      <c r="K945" s="124" t="s">
        <v>5196</v>
      </c>
      <c r="L945" s="124">
        <v>0.03</v>
      </c>
      <c r="M945" s="124"/>
      <c r="N945" s="124"/>
      <c r="O945" s="124"/>
      <c r="P945" s="124"/>
      <c r="Q945" s="124"/>
      <c r="R945" s="124"/>
      <c r="S945" s="124"/>
      <c r="T945" s="124"/>
      <c r="U945" s="124" t="s">
        <v>5523</v>
      </c>
      <c r="V945" s="124"/>
      <c r="W945" s="124"/>
      <c r="X945" s="124"/>
      <c r="Y945" s="124"/>
      <c r="Z945" s="124" t="e">
        <v>#NAME?</v>
      </c>
      <c r="AA945" s="126">
        <v>0</v>
      </c>
      <c r="AB945" s="20"/>
      <c r="AC945" s="20"/>
      <c r="AD945" s="20"/>
      <c r="AE945" s="20"/>
      <c r="AF945" s="20"/>
      <c r="AG945" s="20"/>
      <c r="AH945" s="20"/>
      <c r="AI945" s="20"/>
      <c r="AJ945" s="20"/>
      <c r="AK945" s="20"/>
      <c r="AL945" s="20"/>
      <c r="AM945" s="20"/>
      <c r="AN945" s="20"/>
      <c r="AO945" s="20"/>
      <c r="AP945" s="20"/>
      <c r="AQ945" s="20"/>
      <c r="AR945" s="20"/>
      <c r="AS945" s="20"/>
      <c r="AT945" s="20"/>
      <c r="AU945" s="20"/>
    </row>
    <row r="946" spans="1:48" ht="17.25" customHeight="1">
      <c r="A946" s="15" t="s">
        <v>5751</v>
      </c>
      <c r="B946" s="124" t="s">
        <v>155</v>
      </c>
      <c r="C946" s="125" t="e">
        <v>#NAME?</v>
      </c>
      <c r="E946" s="126" t="s">
        <v>6228</v>
      </c>
      <c r="F946" s="124" t="str">
        <f t="shared" si="13"/>
        <v>KR_res_mf_low_2011_2018_AtticRoof</v>
      </c>
      <c r="G946" s="124" t="s">
        <v>5211</v>
      </c>
      <c r="H946" s="126">
        <v>7.8E-2</v>
      </c>
      <c r="I946" s="124" t="s">
        <v>5186</v>
      </c>
      <c r="J946" s="126">
        <v>0.15</v>
      </c>
      <c r="K946" s="124" t="s">
        <v>5196</v>
      </c>
      <c r="L946" s="124">
        <v>0.03</v>
      </c>
      <c r="M946" s="128"/>
      <c r="N946" s="124"/>
      <c r="O946" s="128"/>
      <c r="P946" s="124"/>
      <c r="Q946" s="128"/>
      <c r="R946" s="124"/>
      <c r="S946" s="124"/>
      <c r="T946" s="124"/>
      <c r="U946" s="124" t="s">
        <v>5523</v>
      </c>
      <c r="V946" s="124"/>
      <c r="W946" s="124"/>
      <c r="X946" s="124"/>
      <c r="Y946" s="124"/>
      <c r="Z946" s="124" t="e">
        <v>#NAME?</v>
      </c>
      <c r="AA946" s="126">
        <v>0</v>
      </c>
      <c r="AB946" s="20"/>
      <c r="AC946" s="20"/>
      <c r="AD946" s="20"/>
      <c r="AE946" s="20"/>
      <c r="AF946" s="20"/>
      <c r="AG946" s="20"/>
      <c r="AH946" s="20"/>
      <c r="AI946" s="20"/>
      <c r="AJ946" s="20"/>
      <c r="AK946" s="20"/>
      <c r="AL946" s="20"/>
      <c r="AM946" s="20"/>
      <c r="AN946" s="20"/>
      <c r="AO946" s="20"/>
      <c r="AP946" s="20"/>
      <c r="AQ946" s="20"/>
      <c r="AR946" s="20"/>
      <c r="AS946" s="20"/>
      <c r="AT946" s="20"/>
      <c r="AU946" s="20"/>
    </row>
    <row r="947" spans="1:48" ht="17.25" customHeight="1">
      <c r="A947" s="15" t="s">
        <v>5752</v>
      </c>
      <c r="B947" s="124" t="s">
        <v>155</v>
      </c>
      <c r="C947" s="125" t="e">
        <v>#NAME?</v>
      </c>
      <c r="E947" s="126" t="s">
        <v>6228</v>
      </c>
      <c r="F947" s="124" t="str">
        <f t="shared" si="13"/>
        <v>KR_res_mf_low_post2019_AtticRoof</v>
      </c>
      <c r="G947" s="124" t="s">
        <v>5211</v>
      </c>
      <c r="H947" s="126">
        <v>9.4E-2</v>
      </c>
      <c r="I947" s="124" t="s">
        <v>5186</v>
      </c>
      <c r="J947" s="126">
        <v>0.15</v>
      </c>
      <c r="K947" s="124" t="s">
        <v>5196</v>
      </c>
      <c r="L947" s="124">
        <v>0.03</v>
      </c>
      <c r="M947" s="128"/>
      <c r="N947" s="124"/>
      <c r="O947" s="128"/>
      <c r="P947" s="124"/>
      <c r="Q947" s="128"/>
      <c r="R947" s="124"/>
      <c r="S947" s="124"/>
      <c r="T947" s="124"/>
      <c r="U947" s="124" t="s">
        <v>5523</v>
      </c>
      <c r="V947" s="124"/>
      <c r="W947" s="124"/>
      <c r="X947" s="124"/>
      <c r="Y947" s="124"/>
      <c r="Z947" s="124" t="e">
        <v>#NAME?</v>
      </c>
      <c r="AA947" s="126">
        <v>0</v>
      </c>
      <c r="AB947" s="20"/>
      <c r="AC947" s="20"/>
      <c r="AD947" s="20"/>
      <c r="AE947" s="20"/>
      <c r="AF947" s="20"/>
      <c r="AG947" s="20"/>
      <c r="AH947" s="20"/>
      <c r="AI947" s="20"/>
      <c r="AJ947" s="20"/>
      <c r="AK947" s="20"/>
      <c r="AL947" s="20"/>
      <c r="AM947" s="20"/>
      <c r="AN947" s="20"/>
      <c r="AO947" s="20"/>
      <c r="AP947" s="20"/>
      <c r="AQ947" s="20"/>
      <c r="AR947" s="20"/>
      <c r="AS947" s="20"/>
      <c r="AT947" s="20"/>
      <c r="AU947" s="20"/>
    </row>
    <row r="948" spans="1:48" ht="17.25" customHeight="1">
      <c r="A948" s="15" t="s">
        <v>5753</v>
      </c>
      <c r="B948" s="124" t="s">
        <v>155</v>
      </c>
      <c r="C948" s="125" t="e">
        <v>#NAME?</v>
      </c>
      <c r="E948" s="126" t="s">
        <v>6228</v>
      </c>
      <c r="F948" s="124" t="str">
        <f t="shared" si="13"/>
        <v>KR_res_mf_high_pre1988_AtticRoof</v>
      </c>
      <c r="G948" s="124" t="s">
        <v>5186</v>
      </c>
      <c r="H948" s="126">
        <v>0.15</v>
      </c>
      <c r="I948" s="124" t="s">
        <v>5196</v>
      </c>
      <c r="J948" s="126">
        <v>0.03</v>
      </c>
      <c r="K948" s="124"/>
      <c r="L948" s="124"/>
      <c r="M948" s="128"/>
      <c r="N948" s="124"/>
      <c r="O948" s="128"/>
      <c r="P948" s="124"/>
      <c r="Q948" s="128"/>
      <c r="R948" s="124"/>
      <c r="S948" s="124"/>
      <c r="T948" s="124"/>
      <c r="U948" s="124" t="s">
        <v>5523</v>
      </c>
      <c r="V948" s="124"/>
      <c r="W948" s="124"/>
      <c r="X948" s="124"/>
      <c r="Y948" s="124"/>
      <c r="Z948" s="124" t="e">
        <v>#NAME?</v>
      </c>
      <c r="AA948" s="126">
        <v>0</v>
      </c>
      <c r="AB948" s="20"/>
      <c r="AC948" s="20"/>
      <c r="AD948" s="20"/>
      <c r="AE948" s="20"/>
      <c r="AF948" s="20"/>
      <c r="AG948" s="20"/>
      <c r="AH948" s="20"/>
      <c r="AI948" s="20"/>
      <c r="AJ948" s="20"/>
      <c r="AK948" s="20"/>
      <c r="AL948" s="20"/>
      <c r="AM948" s="20"/>
      <c r="AN948" s="20"/>
      <c r="AO948" s="20"/>
      <c r="AP948" s="20"/>
      <c r="AQ948" s="20"/>
      <c r="AR948" s="20"/>
      <c r="AS948" s="20"/>
      <c r="AT948" s="20"/>
      <c r="AU948" s="20"/>
    </row>
    <row r="949" spans="1:48" ht="17.25" customHeight="1">
      <c r="A949" s="15" t="s">
        <v>5754</v>
      </c>
      <c r="B949" s="124" t="s">
        <v>155</v>
      </c>
      <c r="C949" s="125" t="e">
        <v>#NAME?</v>
      </c>
      <c r="E949" s="126" t="s">
        <v>6228</v>
      </c>
      <c r="F949" s="124" t="str">
        <f t="shared" si="13"/>
        <v>KR_res_mf_high_1988_2000_AtticRoof</v>
      </c>
      <c r="G949" s="124" t="s">
        <v>5211</v>
      </c>
      <c r="H949" s="126">
        <v>5.8000000000000003E-2</v>
      </c>
      <c r="I949" s="124" t="s">
        <v>5186</v>
      </c>
      <c r="J949" s="126">
        <v>0.15</v>
      </c>
      <c r="K949" s="124" t="s">
        <v>5196</v>
      </c>
      <c r="L949" s="124">
        <v>0.03</v>
      </c>
      <c r="M949" s="128"/>
      <c r="N949" s="124"/>
      <c r="O949" s="124"/>
      <c r="P949" s="124"/>
      <c r="Q949" s="128"/>
      <c r="R949" s="124"/>
      <c r="S949" s="124"/>
      <c r="T949" s="124"/>
      <c r="U949" s="124" t="s">
        <v>5523</v>
      </c>
      <c r="V949" s="124"/>
      <c r="W949" s="124"/>
      <c r="X949" s="124"/>
      <c r="Y949" s="124"/>
      <c r="Z949" s="124" t="e">
        <v>#NAME?</v>
      </c>
      <c r="AA949" s="126">
        <v>0</v>
      </c>
      <c r="AB949" s="20"/>
      <c r="AC949" s="20"/>
      <c r="AD949" s="20"/>
      <c r="AE949" s="20"/>
      <c r="AF949" s="20"/>
      <c r="AG949" s="20"/>
      <c r="AH949" s="20"/>
      <c r="AI949" s="20"/>
      <c r="AJ949" s="20"/>
      <c r="AK949" s="20"/>
      <c r="AL949" s="20"/>
      <c r="AM949" s="20"/>
      <c r="AN949" s="20"/>
      <c r="AO949" s="20"/>
      <c r="AP949" s="20"/>
      <c r="AQ949" s="20"/>
      <c r="AR949" s="20"/>
      <c r="AS949" s="20"/>
      <c r="AT949" s="20"/>
      <c r="AU949" s="20"/>
    </row>
    <row r="950" spans="1:48" ht="17.25" customHeight="1">
      <c r="A950" s="15" t="s">
        <v>5755</v>
      </c>
      <c r="B950" s="124" t="s">
        <v>155</v>
      </c>
      <c r="C950" s="125" t="e">
        <v>#NAME?</v>
      </c>
      <c r="E950" s="126" t="s">
        <v>6228</v>
      </c>
      <c r="F950" s="124" t="str">
        <f t="shared" si="13"/>
        <v>KR_res_mf_high_2001_2010_AtticRoof</v>
      </c>
      <c r="G950" s="124" t="s">
        <v>5211</v>
      </c>
      <c r="H950" s="126">
        <v>5.8999999999999997E-2</v>
      </c>
      <c r="I950" s="124" t="s">
        <v>5186</v>
      </c>
      <c r="J950" s="126">
        <v>0.15</v>
      </c>
      <c r="K950" s="124" t="s">
        <v>5196</v>
      </c>
      <c r="L950" s="124">
        <v>0.03</v>
      </c>
      <c r="M950" s="128"/>
      <c r="N950" s="124"/>
      <c r="O950" s="124"/>
      <c r="P950" s="124"/>
      <c r="Q950" s="128"/>
      <c r="R950" s="124"/>
      <c r="S950" s="124"/>
      <c r="T950" s="124"/>
      <c r="U950" s="124" t="s">
        <v>5523</v>
      </c>
      <c r="V950" s="124"/>
      <c r="W950" s="124"/>
      <c r="X950" s="124"/>
      <c r="Y950" s="124"/>
      <c r="Z950" s="124" t="e">
        <v>#NAME?</v>
      </c>
      <c r="AA950" s="126">
        <v>0</v>
      </c>
      <c r="AB950" s="20"/>
      <c r="AC950" s="20"/>
      <c r="AD950" s="20"/>
      <c r="AE950" s="20"/>
      <c r="AF950" s="20"/>
      <c r="AG950" s="20"/>
      <c r="AH950" s="20"/>
      <c r="AI950" s="20"/>
      <c r="AJ950" s="20"/>
      <c r="AK950" s="20"/>
      <c r="AL950" s="20"/>
      <c r="AM950" s="20"/>
      <c r="AN950" s="20"/>
      <c r="AO950" s="20"/>
      <c r="AP950" s="20"/>
      <c r="AQ950" s="20"/>
      <c r="AR950" s="20"/>
      <c r="AS950" s="20"/>
      <c r="AT950" s="20"/>
      <c r="AU950" s="20"/>
    </row>
    <row r="951" spans="1:48" ht="17.25" customHeight="1">
      <c r="A951" s="15" t="s">
        <v>5756</v>
      </c>
      <c r="B951" s="124" t="s">
        <v>155</v>
      </c>
      <c r="C951" s="125" t="e">
        <v>#NAME?</v>
      </c>
      <c r="E951" s="126" t="s">
        <v>6228</v>
      </c>
      <c r="F951" s="124" t="str">
        <f t="shared" si="13"/>
        <v>KR_res_mf_high_2011_2018_AtticRoof</v>
      </c>
      <c r="G951" s="124" t="s">
        <v>5211</v>
      </c>
      <c r="H951" s="126">
        <v>7.8E-2</v>
      </c>
      <c r="I951" s="124" t="s">
        <v>5186</v>
      </c>
      <c r="J951" s="126">
        <v>0.15</v>
      </c>
      <c r="K951" s="124" t="s">
        <v>5196</v>
      </c>
      <c r="L951" s="124">
        <v>0.03</v>
      </c>
      <c r="M951" s="124"/>
      <c r="N951" s="124"/>
      <c r="O951" s="124"/>
      <c r="P951" s="124"/>
      <c r="Q951" s="124"/>
      <c r="R951" s="124"/>
      <c r="S951" s="124"/>
      <c r="T951" s="124"/>
      <c r="U951" s="124" t="s">
        <v>5523</v>
      </c>
      <c r="V951" s="124"/>
      <c r="W951" s="124"/>
      <c r="X951" s="124"/>
      <c r="Y951" s="124"/>
      <c r="Z951" s="124" t="e">
        <v>#NAME?</v>
      </c>
      <c r="AA951" s="126">
        <v>0</v>
      </c>
      <c r="AB951" s="20"/>
      <c r="AC951" s="20"/>
      <c r="AD951" s="20"/>
      <c r="AE951" s="20"/>
      <c r="AF951" s="20"/>
      <c r="AG951" s="20"/>
      <c r="AH951" s="20"/>
      <c r="AI951" s="20"/>
      <c r="AJ951" s="20"/>
      <c r="AK951" s="20"/>
      <c r="AL951" s="20"/>
      <c r="AM951" s="20"/>
      <c r="AN951" s="20"/>
      <c r="AO951" s="20"/>
      <c r="AP951" s="20"/>
      <c r="AQ951" s="20"/>
      <c r="AR951" s="20"/>
      <c r="AS951" s="20"/>
      <c r="AT951" s="20"/>
      <c r="AU951" s="20"/>
    </row>
    <row r="952" spans="1:48" ht="17.25" customHeight="1">
      <c r="A952" s="15" t="s">
        <v>5757</v>
      </c>
      <c r="B952" s="124" t="s">
        <v>155</v>
      </c>
      <c r="C952" s="125" t="e">
        <v>#NAME?</v>
      </c>
      <c r="E952" s="126" t="s">
        <v>6228</v>
      </c>
      <c r="F952" s="124" t="str">
        <f t="shared" si="13"/>
        <v>KR_res_mf_high_post2019_AtticRoof</v>
      </c>
      <c r="G952" s="124" t="s">
        <v>5211</v>
      </c>
      <c r="H952" s="126">
        <v>9.4E-2</v>
      </c>
      <c r="I952" s="124" t="s">
        <v>5186</v>
      </c>
      <c r="J952" s="126">
        <v>0.15</v>
      </c>
      <c r="K952" s="124" t="s">
        <v>5196</v>
      </c>
      <c r="L952" s="124">
        <v>0.03</v>
      </c>
      <c r="M952" s="124"/>
      <c r="N952" s="124"/>
      <c r="O952" s="124"/>
      <c r="P952" s="124"/>
      <c r="Q952" s="124"/>
      <c r="R952" s="124"/>
      <c r="S952" s="124"/>
      <c r="T952" s="124"/>
      <c r="U952" s="124" t="s">
        <v>5523</v>
      </c>
      <c r="V952" s="124"/>
      <c r="W952" s="124"/>
      <c r="X952" s="124"/>
      <c r="Y952" s="124"/>
      <c r="Z952" s="124" t="e">
        <v>#NAME?</v>
      </c>
      <c r="AA952" s="126">
        <v>0</v>
      </c>
      <c r="AB952" s="20"/>
      <c r="AC952" s="20"/>
      <c r="AD952" s="20"/>
      <c r="AE952" s="20"/>
      <c r="AF952" s="20"/>
      <c r="AG952" s="20"/>
      <c r="AH952" s="20"/>
      <c r="AI952" s="20"/>
      <c r="AJ952" s="20"/>
      <c r="AK952" s="20"/>
      <c r="AL952" s="20"/>
      <c r="AM952" s="20"/>
      <c r="AN952" s="20"/>
      <c r="AO952" s="20"/>
      <c r="AP952" s="20"/>
      <c r="AQ952" s="20"/>
      <c r="AR952" s="20"/>
      <c r="AS952" s="20"/>
      <c r="AT952" s="20"/>
      <c r="AU952" s="20"/>
    </row>
    <row r="953" spans="1:48" ht="17.25" customHeight="1">
      <c r="G953" s="103"/>
      <c r="H953" s="20"/>
      <c r="I953" s="20"/>
      <c r="J953" s="20"/>
      <c r="K953" s="20"/>
      <c r="L953" s="20"/>
      <c r="M953" s="20"/>
      <c r="N953" s="20"/>
      <c r="O953" s="20"/>
      <c r="P953" s="20"/>
      <c r="Q953" s="20"/>
      <c r="R953" s="93"/>
      <c r="S953" s="20"/>
      <c r="T953" s="20"/>
      <c r="Y953" s="47"/>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row>
    <row r="954" spans="1:48" ht="17.25" customHeight="1">
      <c r="G954" s="103"/>
      <c r="H954" s="20"/>
      <c r="I954" s="20"/>
      <c r="J954" s="20"/>
      <c r="K954" s="20"/>
      <c r="L954" s="20"/>
      <c r="M954" s="20"/>
      <c r="N954" s="20"/>
      <c r="O954" s="20"/>
      <c r="P954" s="20"/>
      <c r="Q954" s="20"/>
      <c r="R954" s="93"/>
      <c r="S954" s="20"/>
      <c r="T954" s="20"/>
      <c r="Y954" s="47"/>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row>
    <row r="955" spans="1:48" ht="17.25" customHeight="1">
      <c r="G955" s="103"/>
      <c r="H955" s="20"/>
      <c r="I955" s="20"/>
      <c r="J955" s="20"/>
      <c r="K955" s="20"/>
      <c r="L955" s="20"/>
      <c r="M955" s="20"/>
      <c r="N955" s="20"/>
      <c r="O955" s="20"/>
      <c r="P955" s="20"/>
      <c r="Q955" s="20"/>
      <c r="R955" s="93"/>
      <c r="S955" s="20"/>
      <c r="T955" s="20"/>
      <c r="Y955" s="47"/>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row>
    <row r="956" spans="1:48" ht="17.25" customHeight="1">
      <c r="G956" s="103"/>
      <c r="H956" s="20"/>
      <c r="I956" s="20"/>
      <c r="J956" s="20"/>
      <c r="K956" s="20"/>
      <c r="L956" s="20"/>
      <c r="M956" s="20"/>
      <c r="N956" s="20"/>
      <c r="O956" s="20"/>
      <c r="P956" s="20"/>
      <c r="Q956" s="20"/>
      <c r="R956" s="93"/>
      <c r="S956" s="20"/>
      <c r="T956" s="20"/>
      <c r="Y956" s="47"/>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row>
    <row r="957" spans="1:48" ht="17.25" customHeight="1">
      <c r="G957" s="103"/>
      <c r="H957" s="20"/>
      <c r="I957" s="20"/>
      <c r="J957" s="20"/>
      <c r="K957" s="20"/>
      <c r="L957" s="20"/>
      <c r="M957" s="20"/>
      <c r="N957" s="20"/>
      <c r="O957" s="20"/>
      <c r="P957" s="20"/>
      <c r="Q957" s="20"/>
      <c r="R957" s="93"/>
      <c r="S957" s="20"/>
      <c r="T957" s="20"/>
      <c r="Y957" s="47"/>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row>
    <row r="958" spans="1:48" ht="17.25" customHeight="1">
      <c r="G958" s="103"/>
      <c r="H958" s="20"/>
      <c r="I958" s="20"/>
      <c r="J958" s="20"/>
      <c r="K958" s="20"/>
      <c r="L958" s="20"/>
      <c r="M958" s="20"/>
      <c r="N958" s="20"/>
      <c r="O958" s="20"/>
      <c r="P958" s="20"/>
      <c r="Q958" s="20"/>
      <c r="R958" s="93"/>
      <c r="S958" s="20"/>
      <c r="T958" s="20"/>
      <c r="Y958" s="47"/>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row>
    <row r="959" spans="1:48" ht="17.25" customHeight="1">
      <c r="G959" s="103"/>
      <c r="H959" s="20"/>
      <c r="I959" s="20"/>
      <c r="J959" s="20"/>
      <c r="K959" s="20"/>
      <c r="L959" s="20"/>
      <c r="M959" s="20"/>
      <c r="N959" s="20"/>
      <c r="O959" s="20"/>
      <c r="P959" s="20"/>
      <c r="Q959" s="20"/>
      <c r="R959" s="93"/>
      <c r="S959" s="20"/>
      <c r="T959" s="20"/>
      <c r="Y959" s="47"/>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row>
    <row r="960" spans="1:48" ht="17.25" customHeight="1">
      <c r="G960" s="103"/>
      <c r="H960" s="20"/>
      <c r="I960" s="20"/>
      <c r="J960" s="20"/>
      <c r="K960" s="20"/>
      <c r="L960" s="20"/>
      <c r="M960" s="20"/>
      <c r="N960" s="20"/>
      <c r="O960" s="20"/>
      <c r="P960" s="20"/>
      <c r="Q960" s="20"/>
      <c r="R960" s="93"/>
      <c r="S960" s="20"/>
      <c r="T960" s="20"/>
      <c r="Y960" s="47"/>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row>
    <row r="961" spans="7:48" ht="17.25" customHeight="1">
      <c r="G961" s="103"/>
      <c r="H961" s="20"/>
      <c r="I961" s="20"/>
      <c r="J961" s="20"/>
      <c r="K961" s="20"/>
      <c r="L961" s="20"/>
      <c r="M961" s="20"/>
      <c r="N961" s="20"/>
      <c r="O961" s="20"/>
      <c r="P961" s="20"/>
      <c r="Q961" s="20"/>
      <c r="R961" s="93"/>
      <c r="S961" s="20"/>
      <c r="T961" s="20"/>
      <c r="Y961" s="47"/>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row>
    <row r="962" spans="7:48" ht="17.25" customHeight="1">
      <c r="G962" s="103"/>
      <c r="H962" s="20"/>
      <c r="I962" s="20"/>
      <c r="J962" s="20"/>
      <c r="K962" s="20"/>
      <c r="L962" s="20"/>
      <c r="M962" s="20"/>
      <c r="N962" s="20"/>
      <c r="O962" s="20"/>
      <c r="P962" s="20"/>
      <c r="Q962" s="20"/>
      <c r="R962" s="93"/>
      <c r="S962" s="20"/>
      <c r="T962" s="20"/>
      <c r="Y962" s="47"/>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row>
    <row r="963" spans="7:48" ht="17.25" customHeight="1">
      <c r="G963" s="103"/>
      <c r="H963" s="20"/>
      <c r="I963" s="20"/>
      <c r="J963" s="20"/>
      <c r="K963" s="20"/>
      <c r="L963" s="20"/>
      <c r="M963" s="20"/>
      <c r="N963" s="20"/>
      <c r="O963" s="20"/>
      <c r="P963" s="20"/>
      <c r="Q963" s="20"/>
      <c r="R963" s="93"/>
      <c r="S963" s="20"/>
      <c r="T963" s="20"/>
      <c r="Y963" s="47"/>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row>
    <row r="964" spans="7:48" ht="17.25" customHeight="1">
      <c r="G964" s="103"/>
      <c r="H964" s="20"/>
      <c r="I964" s="20"/>
      <c r="J964" s="20"/>
      <c r="K964" s="20"/>
      <c r="L964" s="20"/>
      <c r="M964" s="20"/>
      <c r="N964" s="20"/>
      <c r="O964" s="20"/>
      <c r="P964" s="20"/>
      <c r="Q964" s="20"/>
      <c r="R964" s="93"/>
      <c r="S964" s="20"/>
      <c r="T964" s="20"/>
      <c r="Y964" s="47"/>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row>
    <row r="965" spans="7:48" ht="17.25" customHeight="1">
      <c r="G965" s="103"/>
      <c r="H965" s="20"/>
      <c r="I965" s="20"/>
      <c r="J965" s="20"/>
      <c r="K965" s="20"/>
      <c r="L965" s="20"/>
      <c r="M965" s="20"/>
      <c r="N965" s="20"/>
      <c r="O965" s="20"/>
      <c r="P965" s="20"/>
      <c r="Q965" s="20"/>
      <c r="R965" s="93"/>
      <c r="S965" s="20"/>
      <c r="T965" s="20"/>
      <c r="Y965" s="47"/>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row>
    <row r="966" spans="7:48" ht="17.25" customHeight="1">
      <c r="G966" s="103"/>
      <c r="H966" s="20"/>
      <c r="I966" s="20"/>
      <c r="J966" s="20"/>
      <c r="K966" s="20"/>
      <c r="L966" s="20"/>
      <c r="M966" s="20"/>
      <c r="N966" s="20"/>
      <c r="O966" s="20"/>
      <c r="P966" s="20"/>
      <c r="Q966" s="20"/>
      <c r="R966" s="93"/>
      <c r="S966" s="20"/>
      <c r="T966" s="20"/>
      <c r="Y966" s="47"/>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row>
    <row r="967" spans="7:48" ht="17.25" customHeight="1">
      <c r="G967" s="103"/>
      <c r="H967" s="20"/>
      <c r="I967" s="20"/>
      <c r="J967" s="20"/>
      <c r="K967" s="20"/>
      <c r="L967" s="20"/>
      <c r="M967" s="20"/>
      <c r="N967" s="20"/>
      <c r="O967" s="20"/>
      <c r="P967" s="20"/>
      <c r="Q967" s="20"/>
      <c r="R967" s="93"/>
      <c r="S967" s="20"/>
      <c r="T967" s="20"/>
      <c r="Y967" s="47"/>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row>
    <row r="968" spans="7:48" ht="17.25" customHeight="1">
      <c r="G968" s="103"/>
      <c r="H968" s="20"/>
      <c r="I968" s="20"/>
      <c r="J968" s="20"/>
      <c r="K968" s="20"/>
      <c r="L968" s="20"/>
      <c r="M968" s="20"/>
      <c r="N968" s="20"/>
      <c r="O968" s="20"/>
      <c r="P968" s="20"/>
      <c r="Q968" s="20"/>
      <c r="R968" s="93"/>
      <c r="S968" s="20"/>
      <c r="T968" s="20"/>
      <c r="Y968" s="47"/>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row>
    <row r="969" spans="7:48" ht="17.25" customHeight="1">
      <c r="G969" s="103"/>
      <c r="H969" s="20"/>
      <c r="I969" s="20"/>
      <c r="J969" s="20"/>
      <c r="K969" s="20"/>
      <c r="L969" s="20"/>
      <c r="M969" s="20"/>
      <c r="N969" s="20"/>
      <c r="O969" s="20"/>
      <c r="P969" s="20"/>
      <c r="Q969" s="20"/>
      <c r="R969" s="93"/>
      <c r="S969" s="20"/>
      <c r="T969" s="20"/>
      <c r="Y969" s="47"/>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row>
    <row r="970" spans="7:48" ht="17.25" customHeight="1">
      <c r="G970" s="103"/>
      <c r="H970" s="20"/>
      <c r="I970" s="20"/>
      <c r="J970" s="20"/>
      <c r="K970" s="20"/>
      <c r="L970" s="20"/>
      <c r="M970" s="20"/>
      <c r="N970" s="20"/>
      <c r="O970" s="20"/>
      <c r="P970" s="20"/>
      <c r="Q970" s="20"/>
      <c r="R970" s="93"/>
      <c r="S970" s="20"/>
      <c r="T970" s="20"/>
      <c r="Y970" s="47"/>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row>
    <row r="971" spans="7:48" ht="17.25" customHeight="1">
      <c r="G971" s="103"/>
      <c r="H971" s="20"/>
      <c r="I971" s="20"/>
      <c r="J971" s="20"/>
      <c r="K971" s="20"/>
      <c r="L971" s="20"/>
      <c r="M971" s="20"/>
      <c r="N971" s="20"/>
      <c r="O971" s="20"/>
      <c r="P971" s="20"/>
      <c r="Q971" s="20"/>
      <c r="R971" s="93"/>
      <c r="S971" s="20"/>
      <c r="T971" s="20"/>
      <c r="Y971" s="47"/>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row>
    <row r="972" spans="7:48" ht="17.25" customHeight="1">
      <c r="G972" s="103"/>
      <c r="H972" s="20"/>
      <c r="I972" s="20"/>
      <c r="J972" s="20"/>
      <c r="K972" s="20"/>
      <c r="L972" s="20"/>
      <c r="M972" s="20"/>
      <c r="N972" s="20"/>
      <c r="O972" s="20"/>
      <c r="P972" s="20"/>
      <c r="Q972" s="20"/>
      <c r="R972" s="93"/>
      <c r="S972" s="20"/>
      <c r="T972" s="20"/>
      <c r="Y972" s="47"/>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row>
    <row r="973" spans="7:48" ht="17.25" customHeight="1">
      <c r="G973" s="103"/>
      <c r="H973" s="20"/>
      <c r="I973" s="20"/>
      <c r="J973" s="20"/>
      <c r="K973" s="20"/>
      <c r="L973" s="20"/>
      <c r="M973" s="20"/>
      <c r="N973" s="20"/>
      <c r="O973" s="20"/>
      <c r="P973" s="20"/>
      <c r="Q973" s="20"/>
      <c r="R973" s="93"/>
      <c r="S973" s="20"/>
      <c r="T973" s="20"/>
      <c r="Y973" s="47"/>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row>
    <row r="974" spans="7:48" ht="17.25" customHeight="1">
      <c r="G974" s="103"/>
      <c r="H974" s="20"/>
      <c r="I974" s="20"/>
      <c r="J974" s="20"/>
      <c r="K974" s="20"/>
      <c r="L974" s="20"/>
      <c r="M974" s="20"/>
      <c r="N974" s="20"/>
      <c r="O974" s="20"/>
      <c r="P974" s="20"/>
      <c r="Q974" s="20"/>
      <c r="R974" s="93"/>
      <c r="S974" s="20"/>
      <c r="T974" s="20"/>
      <c r="Y974" s="47"/>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row>
    <row r="975" spans="7:48" ht="17.25" customHeight="1">
      <c r="G975" s="103"/>
      <c r="H975" s="20"/>
      <c r="I975" s="20"/>
      <c r="J975" s="20"/>
      <c r="K975" s="20"/>
      <c r="L975" s="20"/>
      <c r="M975" s="20"/>
      <c r="N975" s="20"/>
      <c r="O975" s="20"/>
      <c r="P975" s="20"/>
      <c r="Q975" s="20"/>
      <c r="R975" s="93"/>
      <c r="S975" s="20"/>
      <c r="T975" s="20"/>
      <c r="Y975" s="47"/>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row>
    <row r="976" spans="7:48" ht="17.25" customHeight="1">
      <c r="G976" s="103"/>
      <c r="H976" s="20"/>
      <c r="I976" s="20"/>
      <c r="J976" s="20"/>
      <c r="K976" s="20"/>
      <c r="L976" s="20"/>
      <c r="M976" s="20"/>
      <c r="N976" s="20"/>
      <c r="O976" s="20"/>
      <c r="P976" s="20"/>
      <c r="Q976" s="20"/>
      <c r="R976" s="93"/>
      <c r="S976" s="20"/>
      <c r="T976" s="20"/>
      <c r="Y976" s="47"/>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row>
    <row r="977" spans="7:48" ht="17.25" customHeight="1">
      <c r="G977" s="103"/>
      <c r="H977" s="20"/>
      <c r="I977" s="20"/>
      <c r="J977" s="20"/>
      <c r="K977" s="20"/>
      <c r="L977" s="20"/>
      <c r="M977" s="20"/>
      <c r="N977" s="20"/>
      <c r="O977" s="20"/>
      <c r="P977" s="20"/>
      <c r="Q977" s="20"/>
      <c r="R977" s="93"/>
      <c r="S977" s="20"/>
      <c r="T977" s="20"/>
      <c r="Y977" s="47"/>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row>
    <row r="978" spans="7:48" ht="17.25" customHeight="1">
      <c r="G978" s="103"/>
      <c r="H978" s="20"/>
      <c r="I978" s="20"/>
      <c r="J978" s="20"/>
      <c r="K978" s="20"/>
      <c r="L978" s="20"/>
      <c r="M978" s="20"/>
      <c r="N978" s="20"/>
      <c r="O978" s="20"/>
      <c r="P978" s="20"/>
      <c r="Q978" s="20"/>
      <c r="R978" s="93"/>
      <c r="S978" s="20"/>
      <c r="T978" s="20"/>
      <c r="Y978" s="47"/>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row>
    <row r="979" spans="7:48" ht="17.25" customHeight="1">
      <c r="G979" s="103"/>
      <c r="H979" s="20"/>
      <c r="I979" s="20"/>
      <c r="J979" s="20"/>
      <c r="K979" s="20"/>
      <c r="L979" s="20"/>
      <c r="M979" s="20"/>
      <c r="N979" s="20"/>
      <c r="O979" s="20"/>
      <c r="P979" s="20"/>
      <c r="Q979" s="20"/>
      <c r="R979" s="93"/>
      <c r="S979" s="20"/>
      <c r="T979" s="20"/>
      <c r="Y979" s="47"/>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row>
    <row r="980" spans="7:48" ht="17.25" customHeight="1">
      <c r="G980" s="103"/>
      <c r="H980" s="20"/>
      <c r="I980" s="20"/>
      <c r="J980" s="20"/>
      <c r="K980" s="20"/>
      <c r="L980" s="20"/>
      <c r="M980" s="20"/>
      <c r="N980" s="20"/>
      <c r="O980" s="20"/>
      <c r="P980" s="20"/>
      <c r="Q980" s="20"/>
      <c r="R980" s="93"/>
      <c r="S980" s="20"/>
      <c r="T980" s="20"/>
      <c r="Y980" s="47"/>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row>
    <row r="981" spans="7:48" ht="17.25" customHeight="1">
      <c r="G981" s="103"/>
      <c r="H981" s="20"/>
      <c r="I981" s="20"/>
      <c r="J981" s="20"/>
      <c r="K981" s="20"/>
      <c r="L981" s="20"/>
      <c r="M981" s="20"/>
      <c r="N981" s="20"/>
      <c r="O981" s="20"/>
      <c r="P981" s="20"/>
      <c r="Q981" s="20"/>
      <c r="R981" s="93"/>
      <c r="S981" s="20"/>
      <c r="T981" s="20"/>
      <c r="Y981" s="47"/>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row>
    <row r="982" spans="7:48" ht="17.25" customHeight="1">
      <c r="G982" s="103"/>
      <c r="H982" s="20"/>
      <c r="I982" s="20"/>
      <c r="J982" s="20"/>
      <c r="K982" s="20"/>
      <c r="L982" s="20"/>
      <c r="M982" s="20"/>
      <c r="N982" s="20"/>
      <c r="O982" s="20"/>
      <c r="P982" s="20"/>
      <c r="Q982" s="20"/>
      <c r="R982" s="93"/>
      <c r="S982" s="20"/>
      <c r="T982" s="20"/>
      <c r="Y982" s="47"/>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row>
    <row r="983" spans="7:48" ht="17.25" customHeight="1">
      <c r="G983" s="103"/>
      <c r="H983" s="20"/>
      <c r="I983" s="20"/>
      <c r="J983" s="20"/>
      <c r="K983" s="20"/>
      <c r="L983" s="20"/>
      <c r="M983" s="20"/>
      <c r="N983" s="20"/>
      <c r="O983" s="20"/>
      <c r="P983" s="20"/>
      <c r="Q983" s="20"/>
      <c r="R983" s="93"/>
      <c r="S983" s="20"/>
      <c r="T983" s="20"/>
      <c r="Y983" s="47"/>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row>
    <row r="984" spans="7:48" ht="17.25" customHeight="1">
      <c r="G984" s="103"/>
      <c r="H984" s="20"/>
      <c r="I984" s="20"/>
      <c r="J984" s="20"/>
      <c r="K984" s="20"/>
      <c r="L984" s="20"/>
      <c r="M984" s="20"/>
      <c r="N984" s="20"/>
      <c r="O984" s="20"/>
      <c r="P984" s="20"/>
      <c r="Q984" s="20"/>
      <c r="R984" s="93"/>
      <c r="S984" s="20"/>
      <c r="T984" s="20"/>
      <c r="Y984" s="47"/>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row>
    <row r="985" spans="7:48" ht="17.25" customHeight="1">
      <c r="G985" s="103"/>
      <c r="H985" s="20"/>
      <c r="I985" s="20"/>
      <c r="J985" s="20"/>
      <c r="K985" s="20"/>
      <c r="L985" s="20"/>
      <c r="M985" s="20"/>
      <c r="N985" s="20"/>
      <c r="O985" s="20"/>
      <c r="P985" s="20"/>
      <c r="Q985" s="20"/>
      <c r="R985" s="93"/>
      <c r="S985" s="20"/>
      <c r="T985" s="20"/>
      <c r="Y985" s="47"/>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row>
    <row r="986" spans="7:48" ht="17.25" customHeight="1">
      <c r="G986" s="103"/>
      <c r="H986" s="20"/>
      <c r="I986" s="20"/>
      <c r="J986" s="20"/>
      <c r="K986" s="20"/>
      <c r="L986" s="20"/>
      <c r="M986" s="20"/>
      <c r="N986" s="20"/>
      <c r="O986" s="20"/>
      <c r="P986" s="20"/>
      <c r="Q986" s="20"/>
      <c r="R986" s="93"/>
      <c r="S986" s="20"/>
      <c r="T986" s="20"/>
      <c r="Y986" s="47"/>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row>
    <row r="987" spans="7:48" ht="17.25" customHeight="1">
      <c r="G987" s="103"/>
      <c r="H987" s="20"/>
      <c r="I987" s="20"/>
      <c r="J987" s="20"/>
      <c r="K987" s="20"/>
      <c r="L987" s="20"/>
      <c r="M987" s="20"/>
      <c r="N987" s="20"/>
      <c r="O987" s="20"/>
      <c r="P987" s="20"/>
      <c r="Q987" s="20"/>
      <c r="R987" s="93"/>
      <c r="S987" s="20"/>
      <c r="T987" s="20"/>
      <c r="Y987" s="47"/>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row>
    <row r="988" spans="7:48" ht="17.25" customHeight="1">
      <c r="G988" s="103"/>
      <c r="H988" s="20"/>
      <c r="I988" s="20"/>
      <c r="J988" s="20"/>
      <c r="K988" s="20"/>
      <c r="L988" s="20"/>
      <c r="M988" s="20"/>
      <c r="N988" s="20"/>
      <c r="O988" s="20"/>
      <c r="P988" s="20"/>
      <c r="Q988" s="20"/>
      <c r="R988" s="93"/>
      <c r="S988" s="20"/>
      <c r="T988" s="20"/>
      <c r="Y988" s="47"/>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row>
    <row r="989" spans="7:48" ht="17.25" customHeight="1">
      <c r="G989" s="103"/>
      <c r="H989" s="20"/>
      <c r="I989" s="20"/>
      <c r="J989" s="20"/>
      <c r="K989" s="20"/>
      <c r="L989" s="20"/>
      <c r="M989" s="20"/>
      <c r="N989" s="20"/>
      <c r="O989" s="20"/>
      <c r="P989" s="20"/>
      <c r="Q989" s="20"/>
      <c r="R989" s="93"/>
      <c r="S989" s="20"/>
      <c r="T989" s="20"/>
      <c r="Y989" s="47"/>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row>
    <row r="990" spans="7:48" ht="17.25" customHeight="1">
      <c r="G990" s="103"/>
      <c r="H990" s="20"/>
      <c r="I990" s="20"/>
      <c r="J990" s="20"/>
      <c r="K990" s="20"/>
      <c r="L990" s="20"/>
      <c r="M990" s="20"/>
      <c r="N990" s="20"/>
      <c r="O990" s="20"/>
      <c r="P990" s="20"/>
      <c r="Q990" s="20"/>
      <c r="R990" s="93"/>
      <c r="S990" s="20"/>
      <c r="T990" s="20"/>
      <c r="Y990" s="47"/>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row>
    <row r="991" spans="7:48" ht="17.25" customHeight="1">
      <c r="G991" s="103"/>
      <c r="H991" s="20"/>
      <c r="I991" s="20"/>
      <c r="J991" s="20"/>
      <c r="K991" s="20"/>
      <c r="L991" s="20"/>
      <c r="M991" s="20"/>
      <c r="N991" s="20"/>
      <c r="O991" s="20"/>
      <c r="P991" s="20"/>
      <c r="Q991" s="20"/>
      <c r="R991" s="93"/>
      <c r="S991" s="20"/>
      <c r="T991" s="20"/>
      <c r="Y991" s="47"/>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row>
    <row r="992" spans="7:48" ht="17.25" customHeight="1">
      <c r="G992" s="103"/>
      <c r="H992" s="20"/>
      <c r="I992" s="20"/>
      <c r="J992" s="20"/>
      <c r="K992" s="20"/>
      <c r="L992" s="20"/>
      <c r="M992" s="20"/>
      <c r="N992" s="20"/>
      <c r="O992" s="20"/>
      <c r="P992" s="20"/>
      <c r="Q992" s="20"/>
      <c r="R992" s="93"/>
      <c r="S992" s="20"/>
      <c r="T992" s="20"/>
      <c r="Y992" s="47"/>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row>
    <row r="993" spans="7:48" ht="17.25" customHeight="1">
      <c r="G993" s="103"/>
      <c r="H993" s="20"/>
      <c r="I993" s="20"/>
      <c r="J993" s="20"/>
      <c r="K993" s="20"/>
      <c r="L993" s="20"/>
      <c r="M993" s="20"/>
      <c r="N993" s="20"/>
      <c r="O993" s="20"/>
      <c r="P993" s="20"/>
      <c r="Q993" s="20"/>
      <c r="R993" s="93"/>
      <c r="S993" s="20"/>
      <c r="T993" s="20"/>
      <c r="Y993" s="47"/>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row>
    <row r="994" spans="7:48" ht="17.25" customHeight="1">
      <c r="G994" s="103"/>
      <c r="H994" s="20"/>
      <c r="I994" s="20"/>
      <c r="J994" s="20"/>
      <c r="K994" s="20"/>
      <c r="L994" s="20"/>
      <c r="M994" s="20"/>
      <c r="N994" s="20"/>
      <c r="O994" s="20"/>
      <c r="P994" s="20"/>
      <c r="Q994" s="20"/>
      <c r="R994" s="93"/>
      <c r="S994" s="20"/>
      <c r="T994" s="20"/>
      <c r="Y994" s="47"/>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row>
    <row r="995" spans="7:48" ht="17.25" customHeight="1">
      <c r="G995" s="103"/>
      <c r="H995" s="20"/>
      <c r="I995" s="20"/>
      <c r="J995" s="20"/>
      <c r="K995" s="20"/>
      <c r="L995" s="20"/>
      <c r="M995" s="20"/>
      <c r="N995" s="20"/>
      <c r="O995" s="20"/>
      <c r="P995" s="20"/>
      <c r="Q995" s="20"/>
      <c r="R995" s="93"/>
      <c r="S995" s="20"/>
      <c r="T995" s="20"/>
      <c r="Y995" s="47"/>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row>
    <row r="996" spans="7:48" ht="17.25" customHeight="1">
      <c r="G996" s="103"/>
      <c r="H996" s="20"/>
      <c r="I996" s="20"/>
      <c r="J996" s="20"/>
      <c r="K996" s="20"/>
      <c r="L996" s="20"/>
      <c r="M996" s="20"/>
      <c r="N996" s="20"/>
      <c r="O996" s="20"/>
      <c r="P996" s="20"/>
      <c r="Q996" s="20"/>
      <c r="R996" s="93"/>
      <c r="S996" s="20"/>
      <c r="T996" s="20"/>
      <c r="Y996" s="47"/>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row>
    <row r="997" spans="7:48" ht="17.25" customHeight="1">
      <c r="G997" s="103"/>
      <c r="H997" s="20"/>
      <c r="I997" s="20"/>
      <c r="J997" s="20"/>
      <c r="K997" s="20"/>
      <c r="L997" s="20"/>
      <c r="M997" s="20"/>
      <c r="N997" s="20"/>
      <c r="O997" s="20"/>
      <c r="P997" s="20"/>
      <c r="Q997" s="20"/>
      <c r="R997" s="93"/>
      <c r="S997" s="20"/>
      <c r="T997" s="20"/>
      <c r="Y997" s="47"/>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row>
    <row r="998" spans="7:48" ht="17.25" customHeight="1">
      <c r="G998" s="103"/>
      <c r="H998" s="20"/>
      <c r="I998" s="20"/>
      <c r="J998" s="20"/>
      <c r="K998" s="20"/>
      <c r="L998" s="20"/>
      <c r="M998" s="20"/>
      <c r="N998" s="20"/>
      <c r="O998" s="20"/>
      <c r="P998" s="20"/>
      <c r="Q998" s="20"/>
      <c r="R998" s="93"/>
      <c r="S998" s="20"/>
      <c r="T998" s="20"/>
      <c r="Y998" s="47"/>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row>
    <row r="999" spans="7:48" ht="17.25" customHeight="1">
      <c r="G999" s="103"/>
      <c r="H999" s="20"/>
      <c r="I999" s="20"/>
      <c r="J999" s="20"/>
      <c r="K999" s="20"/>
      <c r="L999" s="20"/>
      <c r="M999" s="20"/>
      <c r="N999" s="20"/>
      <c r="O999" s="20"/>
      <c r="P999" s="20"/>
      <c r="Q999" s="20"/>
      <c r="R999" s="93"/>
      <c r="S999" s="20"/>
      <c r="T999" s="20"/>
      <c r="Y999" s="47"/>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row>
    <row r="1000" spans="7:48" ht="17.25" customHeight="1">
      <c r="G1000" s="103"/>
      <c r="H1000" s="20"/>
      <c r="I1000" s="20"/>
      <c r="J1000" s="20"/>
      <c r="K1000" s="20"/>
      <c r="L1000" s="20"/>
      <c r="M1000" s="20"/>
      <c r="N1000" s="20"/>
      <c r="O1000" s="20"/>
      <c r="P1000" s="20"/>
      <c r="Q1000" s="20"/>
      <c r="R1000" s="93"/>
      <c r="S1000" s="20"/>
      <c r="T1000" s="20"/>
      <c r="Y1000" s="47"/>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row>
  </sheetData>
  <autoFilter ref="A2:Y942" xr:uid="{00000000-0009-0000-0000-00001A000000}">
    <filterColumn colId="1">
      <filters>
        <filter val="FlatRoof"/>
      </filters>
    </filterColumn>
  </autoFilter>
  <mergeCells count="1">
    <mergeCell ref="G1:N1"/>
  </mergeCells>
  <conditionalFormatting sqref="A388:B389 B390:B391">
    <cfRule type="containsBlanks" dxfId="32" priority="8">
      <formula>LEN(TRIM(A388))=0</formula>
    </cfRule>
  </conditionalFormatting>
  <conditionalFormatting sqref="A392:B394">
    <cfRule type="containsBlanks" dxfId="31" priority="5">
      <formula>LEN(TRIM(A392))=0</formula>
    </cfRule>
  </conditionalFormatting>
  <conditionalFormatting sqref="B3:B158 Q9 Q18 Q21:Q22 Q30:Q31 Q33:Q34 S36 Q38:Q60 O39:O54 M40:M41 I43:I44 M43:M53 K48 I49 I51:I56 K54 M55:M56 O56 I58:I59 M58:M59 O59:O60 I61:I62 I64:I65 I70 I72:I83 K75 K78 K81 I85:I86 I90 I92:I103 K95 Q95:Q99 O97:O98 K98 K101 Q102:Q112 O104:O112 I105:I106 M105:M112 K108:K109 I110 I112:I123 K115 K118 K121 I125:I126 Q127:Q131 O128:O130 I130 I132:I143 Q134:Q144 K135 O135:O144 M137:M143 K138:K141 I145:I146 Q147:Q151 O148:O150 I150 I152:I163 Q154:Q158 K155 O155 M157:M158 O157:O158 K158 K161 I165:I166 I170 I172:I183 K175 K178 K181 I185:I186 I190 I192:I206 I210 I212:I223 K215 K218 K221 I225:I226 I230 I232:I243 K235 K238 K241 I245:I246 I250 I252:I263 K255 K258 K261 I265:I266 I270 I272:I283 K275 K278 K281 I285:I286 I292:I303 K295 K298 K301 I305:I306 I310:I321 K313 K316 K319 I323:I324 I328:I339 K331 K334 K337 I341:I342 I348:I359 K351 K354 K357 I361:I362 I368:I379 K371 K374 K377 I381:I382">
    <cfRule type="containsBlanks" dxfId="30" priority="32">
      <formula>LEN(TRIM(B3))=0</formula>
    </cfRule>
  </conditionalFormatting>
  <conditionalFormatting sqref="B6:B92">
    <cfRule type="containsBlanks" dxfId="29" priority="27">
      <formula>LEN(TRIM(B6))=0</formula>
    </cfRule>
  </conditionalFormatting>
  <conditionalFormatting sqref="B94:B114">
    <cfRule type="containsBlanks" dxfId="28" priority="28">
      <formula>LEN(TRIM(B94))=0</formula>
    </cfRule>
  </conditionalFormatting>
  <conditionalFormatting sqref="B115:B118">
    <cfRule type="containsBlanks" dxfId="27" priority="33">
      <formula>LEN(TRIM(B115))=0</formula>
    </cfRule>
  </conditionalFormatting>
  <conditionalFormatting sqref="B119:B124">
    <cfRule type="containsBlanks" dxfId="26" priority="29">
      <formula>LEN(TRIM(B119))=0</formula>
    </cfRule>
  </conditionalFormatting>
  <conditionalFormatting sqref="B126:B144">
    <cfRule type="containsBlanks" dxfId="25" priority="30">
      <formula>LEN(TRIM(B126))=0</formula>
    </cfRule>
  </conditionalFormatting>
  <conditionalFormatting sqref="B146:B158">
    <cfRule type="containsBlanks" dxfId="24" priority="31">
      <formula>LEN(TRIM(B146))=0</formula>
    </cfRule>
  </conditionalFormatting>
  <conditionalFormatting sqref="B388:B394">
    <cfRule type="containsBlanks" dxfId="23" priority="9">
      <formula>LEN(TRIM(B388))=0</formula>
    </cfRule>
  </conditionalFormatting>
  <conditionalFormatting sqref="B863:B952 Q943:Q944 O946:O948 M946:M950 Q946:Q950 I947:I952">
    <cfRule type="containsBlanks" dxfId="22" priority="4">
      <formula>LEN(TRIM(B863))=0</formula>
    </cfRule>
  </conditionalFormatting>
  <conditionalFormatting sqref="B863:B952">
    <cfRule type="containsBlanks" dxfId="21" priority="3">
      <formula>LEN(TRIM(B863))=0</formula>
    </cfRule>
  </conditionalFormatting>
  <conditionalFormatting sqref="E3:E406">
    <cfRule type="colorScale" priority="43">
      <colorScale>
        <cfvo type="min"/>
        <cfvo type="percentile" val="50"/>
        <cfvo type="max"/>
        <color rgb="FF57BB8A"/>
        <color rgb="FFFFD666"/>
        <color rgb="FFE67C73"/>
      </colorScale>
    </cfRule>
  </conditionalFormatting>
  <conditionalFormatting sqref="E863:E942">
    <cfRule type="colorScale" priority="16">
      <colorScale>
        <cfvo type="min"/>
        <cfvo type="percentile" val="50"/>
        <cfvo type="max"/>
        <color rgb="FF57BB8A"/>
        <color rgb="FFFFD666"/>
        <color rgb="FFE67C73"/>
      </colorScale>
    </cfRule>
  </conditionalFormatting>
  <conditionalFormatting sqref="E943:E952">
    <cfRule type="colorScale" priority="2">
      <colorScale>
        <cfvo type="min"/>
        <cfvo type="percentile" val="50"/>
        <cfvo type="max"/>
        <color rgb="FF57BB8A"/>
        <color rgb="FFFFD666"/>
        <color rgb="FFE67C73"/>
      </colorScale>
    </cfRule>
  </conditionalFormatting>
  <conditionalFormatting sqref="I863:I942 Q869:Q872 M872 O872 O879:O881 Q879:Q881 K880 M880:M881 Q884">
    <cfRule type="containsBlanks" dxfId="20" priority="18">
      <formula>LEN(TRIM(I863))=0</formula>
    </cfRule>
  </conditionalFormatting>
  <conditionalFormatting sqref="V3:V387">
    <cfRule type="colorScale" priority="42">
      <colorScale>
        <cfvo type="min"/>
        <cfvo type="max"/>
        <color rgb="FFFCFCFF"/>
        <color rgb="FF63BE7B"/>
      </colorScale>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Drop_downs!$A$3:$A$15</xm:f>
          </x14:formula1>
          <xm:sqref>B3:B158 B863:B952</xm:sqref>
        </x14:dataValidation>
        <x14:dataValidation type="list" allowBlank="1" showErrorMessage="1" xr:uid="{00000000-0002-0000-1A00-000001000000}">
          <x14:formula1>
            <xm:f>Materials!$A$3:$A$283</xm:f>
          </x14:formula1>
          <xm:sqref>S8 S10:S11 S17 S19:S20 S27 S36 K3:K48 M3:M60 O3:O60 Q3:Q60 O64:O67 Q67 M63:M69 O69 M71 O71 O74 M73:M76 O76 O79:O82 Q82 M78:M84 O84 M86 O86 M88:M89 O89 M91 O91 K50:K109 O93:O112 Q93:Q112 M93:M158 O119:O158 Q125:Q158 M161 M164 K111:K167 M175 M178 M181 K171:K182 K184 M184 K186:K197 K201:K212 K215 M215 K218 M218 K221 M221 K224 M224 K227 K231 K235 M235 K238 M238 K241 M241 K244 M244 M255 K246:K258 M258 K261 M261 K264 M264 K267 K270:K271 M275 M278 M281 M284 K275:K287 I3:I289 K291 K295 M295 K298 M298 K301 M301 K304 M304 K307 I291:I308 K313 M313 K316 M316 K319 M319 K322 M322 K325 I310:I326 K331 M331 K334 M334 K337 M337 K340 M340 K343 I328:I345 K347 K351 M351 K354 M354 K357 M357 K360 M360 K363 I347:I365 K367 K371 M371 K374 M374 K377 M377 K380 M380 K383 I367:I385 G3:G387 I387 K387 M863:M866 K863:K891 O864:O866 Q866 O868:O872 Q868:Q872 M868:M884 O875:O884 Q877:Q884 K893:K894 K896:K897 K908:K909 K914:K917 K943:K952 M943:M950 O943:O950 Q943:Q950 I863:I952 G863:G952 O952 M952</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sheetPr>
  <dimension ref="A1:V999"/>
  <sheetViews>
    <sheetView topLeftCell="A114" workbookViewId="0">
      <selection activeCell="B142" sqref="B142"/>
    </sheetView>
  </sheetViews>
  <sheetFormatPr baseColWidth="10" defaultColWidth="11.28515625" defaultRowHeight="15" customHeight="1"/>
  <cols>
    <col min="1" max="1" width="50.28515625" customWidth="1"/>
    <col min="2" max="2" width="59.28515625" customWidth="1"/>
    <col min="3" max="3" width="12.140625" customWidth="1"/>
    <col min="4" max="4" width="16.28515625" customWidth="1"/>
    <col min="5" max="5" width="21.28515625" customWidth="1"/>
    <col min="6" max="6" width="11.42578125" customWidth="1"/>
    <col min="7" max="7" width="15.5703125" customWidth="1"/>
    <col min="8" max="8" width="15.140625" customWidth="1"/>
    <col min="9" max="10" width="14.28515625" customWidth="1"/>
    <col min="11" max="11" width="11" customWidth="1"/>
    <col min="12" max="12" width="10.7109375" customWidth="1"/>
    <col min="13" max="15" width="13.28515625" customWidth="1"/>
    <col min="16" max="16" width="16.85546875" customWidth="1"/>
    <col min="17" max="17" width="16.7109375" customWidth="1"/>
    <col min="18" max="18" width="12.42578125" customWidth="1"/>
    <col min="19" max="19" width="14.85546875" customWidth="1"/>
    <col min="20" max="30" width="11.42578125" customWidth="1"/>
  </cols>
  <sheetData>
    <row r="1" spans="1:22" ht="17.25" customHeight="1"/>
    <row r="2" spans="1:22" ht="17.25" customHeight="1">
      <c r="A2" s="81" t="s">
        <v>5512</v>
      </c>
      <c r="B2" s="81" t="s">
        <v>4832</v>
      </c>
      <c r="C2" s="81" t="s">
        <v>164</v>
      </c>
      <c r="D2" s="81" t="s">
        <v>5535</v>
      </c>
      <c r="E2" s="81" t="s">
        <v>5536</v>
      </c>
      <c r="G2" s="61"/>
      <c r="H2" s="15"/>
      <c r="I2" s="163"/>
      <c r="J2" s="163"/>
    </row>
    <row r="3" spans="1:22" ht="17.25" customHeight="1">
      <c r="A3" s="96" t="s">
        <v>5537</v>
      </c>
      <c r="B3" s="98" t="s">
        <v>5538</v>
      </c>
      <c r="C3" s="15">
        <v>0.5</v>
      </c>
      <c r="D3" s="98" t="s">
        <v>5539</v>
      </c>
      <c r="E3" s="98" t="s">
        <v>5540</v>
      </c>
      <c r="G3" s="164"/>
      <c r="H3" s="164"/>
      <c r="I3" s="165"/>
      <c r="J3" s="165"/>
      <c r="K3" s="165"/>
      <c r="L3" s="164"/>
      <c r="V3" s="164"/>
    </row>
    <row r="4" spans="1:22" ht="17.25" customHeight="1">
      <c r="A4" s="98" t="s">
        <v>5541</v>
      </c>
      <c r="B4" s="98" t="s">
        <v>5542</v>
      </c>
      <c r="C4" s="15">
        <v>0.3</v>
      </c>
      <c r="D4" s="98" t="s">
        <v>5539</v>
      </c>
      <c r="E4" s="98" t="s">
        <v>5540</v>
      </c>
      <c r="G4" s="15"/>
      <c r="H4" s="166"/>
      <c r="I4" s="166"/>
      <c r="J4" s="15"/>
      <c r="K4" s="15"/>
      <c r="L4" s="166"/>
      <c r="M4" s="126"/>
      <c r="N4" s="126"/>
      <c r="O4" s="126"/>
      <c r="P4" s="126"/>
      <c r="Q4" s="126"/>
      <c r="R4" s="15"/>
      <c r="S4" s="15"/>
      <c r="T4" s="166"/>
    </row>
    <row r="5" spans="1:22" ht="17.25" customHeight="1">
      <c r="A5" s="98" t="s">
        <v>5543</v>
      </c>
      <c r="B5" s="98" t="s">
        <v>5544</v>
      </c>
      <c r="C5" s="15">
        <v>0.2</v>
      </c>
      <c r="D5" s="98" t="s">
        <v>5539</v>
      </c>
      <c r="E5" s="98" t="s">
        <v>5540</v>
      </c>
      <c r="G5" s="15"/>
      <c r="H5" s="166"/>
      <c r="I5" s="166"/>
      <c r="J5" s="15"/>
      <c r="K5" s="15"/>
      <c r="L5" s="166"/>
      <c r="M5" s="126"/>
      <c r="N5" s="126"/>
      <c r="O5" s="126"/>
      <c r="P5" s="126"/>
      <c r="Q5" s="126"/>
      <c r="R5" s="15"/>
      <c r="S5" s="15"/>
      <c r="T5" s="166"/>
    </row>
    <row r="6" spans="1:22" ht="17.25" customHeight="1">
      <c r="A6" s="98" t="s">
        <v>5545</v>
      </c>
      <c r="B6" s="98" t="s">
        <v>5546</v>
      </c>
      <c r="C6" s="15">
        <v>0.1</v>
      </c>
      <c r="D6" s="98" t="s">
        <v>5539</v>
      </c>
      <c r="E6" s="98" t="s">
        <v>5540</v>
      </c>
      <c r="G6" s="15"/>
      <c r="H6" s="166"/>
      <c r="I6" s="166"/>
      <c r="J6" s="15"/>
      <c r="K6" s="15"/>
      <c r="L6" s="167"/>
      <c r="M6" s="166"/>
      <c r="N6" s="166"/>
      <c r="O6" s="166"/>
      <c r="P6" s="166"/>
      <c r="Q6" s="166"/>
      <c r="R6" s="15"/>
      <c r="S6" s="15"/>
      <c r="T6" s="166"/>
    </row>
    <row r="7" spans="1:22" ht="17.25" customHeight="1">
      <c r="A7" s="98" t="s">
        <v>5547</v>
      </c>
      <c r="B7" s="98" t="s">
        <v>5548</v>
      </c>
      <c r="C7" s="15">
        <v>0.35</v>
      </c>
      <c r="D7" s="98" t="s">
        <v>5539</v>
      </c>
      <c r="E7" s="98" t="s">
        <v>5540</v>
      </c>
      <c r="G7" s="15"/>
      <c r="H7" s="166"/>
      <c r="I7" s="166"/>
      <c r="J7" s="15"/>
      <c r="K7" s="15"/>
      <c r="L7" s="167"/>
      <c r="M7" s="166"/>
      <c r="N7" s="166"/>
      <c r="O7" s="166"/>
      <c r="P7" s="166"/>
      <c r="Q7" s="166"/>
      <c r="R7" s="15"/>
      <c r="S7" s="15"/>
      <c r="T7" s="166"/>
    </row>
    <row r="8" spans="1:22" ht="17.25" customHeight="1">
      <c r="A8" s="98" t="s">
        <v>5549</v>
      </c>
      <c r="B8" s="98" t="s">
        <v>5550</v>
      </c>
      <c r="C8" s="15">
        <v>0.25</v>
      </c>
      <c r="D8" s="98" t="s">
        <v>5539</v>
      </c>
      <c r="E8" s="98" t="s">
        <v>5540</v>
      </c>
      <c r="G8" s="15"/>
      <c r="H8" s="166"/>
      <c r="I8" s="166"/>
      <c r="J8" s="15"/>
      <c r="K8" s="15"/>
      <c r="L8" s="167"/>
      <c r="M8" s="166"/>
      <c r="N8" s="166"/>
      <c r="O8" s="166"/>
      <c r="P8" s="166"/>
      <c r="Q8" s="166"/>
      <c r="R8" s="15"/>
      <c r="S8" s="15"/>
      <c r="T8" s="166"/>
    </row>
    <row r="9" spans="1:22" ht="17.25" customHeight="1">
      <c r="A9" s="98" t="s">
        <v>5551</v>
      </c>
      <c r="B9" s="98" t="s">
        <v>5552</v>
      </c>
      <c r="C9" s="15">
        <v>0.15</v>
      </c>
      <c r="D9" s="98" t="s">
        <v>5539</v>
      </c>
      <c r="E9" s="98" t="s">
        <v>5540</v>
      </c>
      <c r="G9" s="15"/>
      <c r="H9" s="166"/>
      <c r="I9" s="166"/>
      <c r="J9" s="15"/>
      <c r="K9" s="15"/>
      <c r="L9" s="167"/>
      <c r="M9" s="166"/>
      <c r="N9" s="166"/>
      <c r="O9" s="166"/>
      <c r="P9" s="166"/>
      <c r="Q9" s="166"/>
      <c r="R9" s="15"/>
      <c r="S9" s="15"/>
      <c r="T9" s="166"/>
    </row>
    <row r="10" spans="1:22" ht="17.25" customHeight="1">
      <c r="A10" s="98" t="s">
        <v>5553</v>
      </c>
      <c r="B10" s="98" t="s">
        <v>5554</v>
      </c>
      <c r="C10" s="15">
        <v>0.1</v>
      </c>
      <c r="D10" s="98" t="s">
        <v>5539</v>
      </c>
      <c r="E10" s="98" t="s">
        <v>5540</v>
      </c>
      <c r="G10" s="15"/>
      <c r="H10" s="166"/>
      <c r="I10" s="166"/>
      <c r="J10" s="15"/>
      <c r="K10" s="15"/>
      <c r="L10" s="167"/>
      <c r="M10" s="166"/>
      <c r="N10" s="166"/>
      <c r="O10" s="166"/>
      <c r="P10" s="166"/>
      <c r="Q10" s="166"/>
      <c r="R10" s="15"/>
      <c r="S10" s="15"/>
      <c r="T10" s="166"/>
    </row>
    <row r="11" spans="1:22" ht="17.25" customHeight="1">
      <c r="A11" s="98" t="s">
        <v>5555</v>
      </c>
      <c r="B11" s="98" t="s">
        <v>5556</v>
      </c>
      <c r="C11" s="15">
        <v>0.3</v>
      </c>
      <c r="D11" s="98" t="s">
        <v>5539</v>
      </c>
      <c r="E11" s="98" t="s">
        <v>5540</v>
      </c>
      <c r="G11" s="15"/>
      <c r="H11" s="166"/>
      <c r="I11" s="166"/>
      <c r="J11" s="15"/>
      <c r="K11" s="15"/>
      <c r="L11" s="167"/>
      <c r="M11" s="166"/>
      <c r="N11" s="166"/>
      <c r="O11" s="166"/>
      <c r="P11" s="166"/>
      <c r="Q11" s="166"/>
      <c r="R11" s="15"/>
      <c r="S11" s="15"/>
      <c r="T11" s="166"/>
    </row>
    <row r="12" spans="1:22" ht="17.25" customHeight="1">
      <c r="A12" s="98" t="s">
        <v>5557</v>
      </c>
      <c r="B12" s="98" t="s">
        <v>5558</v>
      </c>
      <c r="C12" s="15">
        <v>0.2</v>
      </c>
      <c r="D12" s="98" t="s">
        <v>5539</v>
      </c>
      <c r="E12" s="98" t="s">
        <v>5540</v>
      </c>
      <c r="G12" s="15"/>
      <c r="H12" s="166"/>
      <c r="I12" s="166"/>
      <c r="J12" s="15"/>
      <c r="K12" s="15"/>
      <c r="L12" s="167"/>
      <c r="M12" s="166"/>
      <c r="N12" s="166"/>
      <c r="O12" s="166"/>
      <c r="P12" s="166"/>
      <c r="Q12" s="166"/>
      <c r="R12" s="15"/>
      <c r="S12" s="15"/>
      <c r="T12" s="166"/>
    </row>
    <row r="13" spans="1:22" ht="17.25" customHeight="1">
      <c r="A13" s="98" t="s">
        <v>5559</v>
      </c>
      <c r="B13" s="98" t="s">
        <v>5560</v>
      </c>
      <c r="C13" s="15">
        <v>0.12</v>
      </c>
      <c r="D13" s="98" t="s">
        <v>5539</v>
      </c>
      <c r="E13" s="98" t="s">
        <v>5540</v>
      </c>
      <c r="G13" s="15"/>
      <c r="H13" s="166"/>
      <c r="I13" s="166"/>
      <c r="J13" s="15"/>
      <c r="K13" s="15"/>
      <c r="L13" s="167"/>
      <c r="M13" s="166"/>
      <c r="N13" s="166"/>
      <c r="O13" s="166"/>
      <c r="P13" s="166"/>
      <c r="Q13" s="166"/>
      <c r="R13" s="15"/>
      <c r="S13" s="15"/>
      <c r="T13" s="166"/>
    </row>
    <row r="14" spans="1:22" ht="17.25" customHeight="1">
      <c r="A14" s="98" t="s">
        <v>5561</v>
      </c>
      <c r="B14" s="98" t="s">
        <v>5562</v>
      </c>
      <c r="C14" s="15">
        <v>0.08</v>
      </c>
      <c r="D14" s="98" t="s">
        <v>5539</v>
      </c>
      <c r="E14" s="98" t="s">
        <v>5540</v>
      </c>
      <c r="G14" s="15"/>
      <c r="H14" s="166"/>
      <c r="I14" s="166"/>
      <c r="J14" s="15"/>
      <c r="K14" s="15"/>
      <c r="L14" s="167"/>
      <c r="M14" s="166"/>
      <c r="N14" s="166"/>
      <c r="O14" s="166"/>
      <c r="P14" s="166"/>
      <c r="Q14" s="166"/>
      <c r="R14" s="15"/>
      <c r="S14" s="15"/>
      <c r="T14" s="166"/>
    </row>
    <row r="15" spans="1:22" ht="17.25" customHeight="1">
      <c r="A15" s="98" t="s">
        <v>5563</v>
      </c>
      <c r="B15" s="98" t="s">
        <v>5564</v>
      </c>
      <c r="C15" s="15">
        <v>0.5</v>
      </c>
      <c r="D15" s="98" t="s">
        <v>5565</v>
      </c>
      <c r="E15" s="98" t="s">
        <v>5540</v>
      </c>
      <c r="G15" s="15"/>
      <c r="H15" s="166"/>
      <c r="I15" s="166"/>
      <c r="J15" s="15"/>
      <c r="K15" s="15"/>
      <c r="L15" s="167"/>
      <c r="M15" s="166"/>
      <c r="N15" s="166"/>
      <c r="O15" s="166"/>
      <c r="P15" s="166"/>
      <c r="Q15" s="166"/>
      <c r="R15" s="15"/>
      <c r="S15" s="15"/>
      <c r="T15" s="166"/>
    </row>
    <row r="16" spans="1:22" ht="17.25" customHeight="1">
      <c r="A16" s="98" t="s">
        <v>5566</v>
      </c>
      <c r="B16" s="98" t="s">
        <v>5567</v>
      </c>
      <c r="C16" s="15">
        <v>0.3</v>
      </c>
      <c r="D16" s="98" t="s">
        <v>5565</v>
      </c>
      <c r="E16" s="98" t="s">
        <v>5540</v>
      </c>
      <c r="G16" s="15"/>
      <c r="H16" s="166"/>
      <c r="I16" s="166"/>
      <c r="J16" s="15"/>
      <c r="K16" s="15"/>
      <c r="L16" s="167"/>
      <c r="M16" s="166"/>
      <c r="N16" s="166"/>
      <c r="O16" s="166"/>
      <c r="P16" s="166"/>
      <c r="Q16" s="166"/>
      <c r="R16" s="15"/>
      <c r="S16" s="15"/>
      <c r="T16" s="166"/>
    </row>
    <row r="17" spans="1:20" ht="17.25" customHeight="1">
      <c r="A17" s="98" t="s">
        <v>5568</v>
      </c>
      <c r="B17" s="98" t="s">
        <v>5569</v>
      </c>
      <c r="C17" s="15">
        <v>0.2</v>
      </c>
      <c r="D17" s="98" t="s">
        <v>5565</v>
      </c>
      <c r="E17" s="98" t="s">
        <v>5540</v>
      </c>
      <c r="G17" s="15"/>
      <c r="H17" s="166"/>
      <c r="I17" s="166"/>
      <c r="J17" s="15"/>
      <c r="K17" s="15"/>
      <c r="L17" s="167"/>
      <c r="M17" s="166"/>
      <c r="N17" s="166"/>
      <c r="O17" s="166"/>
      <c r="P17" s="166"/>
      <c r="Q17" s="166"/>
      <c r="R17" s="15"/>
      <c r="S17" s="15"/>
      <c r="T17" s="166"/>
    </row>
    <row r="18" spans="1:20" ht="17.25" customHeight="1">
      <c r="A18" s="98" t="s">
        <v>5570</v>
      </c>
      <c r="B18" s="98" t="s">
        <v>5571</v>
      </c>
      <c r="C18" s="15">
        <v>0.1</v>
      </c>
      <c r="D18" s="98" t="s">
        <v>5565</v>
      </c>
      <c r="E18" s="98" t="s">
        <v>5540</v>
      </c>
      <c r="G18" s="15"/>
      <c r="H18" s="166"/>
      <c r="I18" s="166"/>
      <c r="J18" s="15"/>
      <c r="K18" s="15"/>
      <c r="L18" s="167"/>
      <c r="M18" s="166"/>
      <c r="N18" s="166"/>
      <c r="O18" s="166"/>
      <c r="P18" s="166"/>
      <c r="Q18" s="166"/>
      <c r="R18" s="15"/>
      <c r="S18" s="15"/>
      <c r="T18" s="166"/>
    </row>
    <row r="19" spans="1:20" ht="17.25" customHeight="1">
      <c r="A19" s="98" t="s">
        <v>5572</v>
      </c>
      <c r="B19" s="98" t="s">
        <v>5573</v>
      </c>
      <c r="C19" s="15">
        <v>0.5</v>
      </c>
      <c r="D19" s="98" t="s">
        <v>5565</v>
      </c>
      <c r="E19" s="98" t="s">
        <v>5540</v>
      </c>
      <c r="G19" s="15"/>
      <c r="H19" s="166"/>
      <c r="I19" s="166"/>
      <c r="J19" s="15"/>
      <c r="K19" s="15"/>
      <c r="L19" s="167"/>
      <c r="M19" s="166"/>
      <c r="N19" s="166"/>
      <c r="O19" s="166"/>
      <c r="P19" s="166"/>
      <c r="Q19" s="166"/>
      <c r="R19" s="15"/>
      <c r="S19" s="15"/>
      <c r="T19" s="166"/>
    </row>
    <row r="20" spans="1:20" ht="17.25" customHeight="1">
      <c r="A20" s="98" t="s">
        <v>5574</v>
      </c>
      <c r="B20" s="98" t="s">
        <v>5575</v>
      </c>
      <c r="C20" s="15">
        <v>0.3</v>
      </c>
      <c r="D20" s="96" t="s">
        <v>5565</v>
      </c>
      <c r="E20" s="96" t="s">
        <v>5540</v>
      </c>
      <c r="G20" s="15"/>
      <c r="H20" s="166"/>
      <c r="I20" s="166"/>
      <c r="J20" s="15"/>
      <c r="K20" s="15"/>
      <c r="L20" s="167"/>
      <c r="M20" s="166"/>
      <c r="N20" s="166"/>
      <c r="O20" s="166"/>
      <c r="P20" s="166"/>
      <c r="Q20" s="166"/>
      <c r="R20" s="15"/>
      <c r="S20" s="15"/>
      <c r="T20" s="166"/>
    </row>
    <row r="21" spans="1:20" ht="17.25" customHeight="1">
      <c r="A21" s="98" t="s">
        <v>5576</v>
      </c>
      <c r="B21" s="98" t="s">
        <v>5577</v>
      </c>
      <c r="C21" s="15">
        <v>0.2</v>
      </c>
      <c r="D21" s="96" t="s">
        <v>5565</v>
      </c>
      <c r="E21" s="96" t="s">
        <v>5540</v>
      </c>
      <c r="G21" s="15"/>
      <c r="H21" s="166"/>
      <c r="I21" s="166"/>
      <c r="J21" s="15"/>
      <c r="K21" s="15"/>
      <c r="L21" s="167"/>
      <c r="M21" s="166"/>
      <c r="N21" s="166"/>
      <c r="O21" s="166"/>
      <c r="P21" s="166"/>
      <c r="Q21" s="166"/>
      <c r="R21" s="15"/>
      <c r="S21" s="15"/>
      <c r="T21" s="166"/>
    </row>
    <row r="22" spans="1:20" ht="17.25" customHeight="1">
      <c r="A22" s="98" t="s">
        <v>5578</v>
      </c>
      <c r="B22" s="98" t="s">
        <v>5579</v>
      </c>
      <c r="C22" s="15">
        <v>0.1</v>
      </c>
      <c r="D22" s="96" t="s">
        <v>5565</v>
      </c>
      <c r="E22" s="96" t="s">
        <v>5540</v>
      </c>
      <c r="G22" s="15"/>
      <c r="H22" s="166"/>
      <c r="I22" s="166"/>
      <c r="J22" s="15"/>
      <c r="K22" s="15"/>
      <c r="L22" s="167"/>
      <c r="M22" s="166"/>
      <c r="N22" s="166"/>
      <c r="O22" s="166"/>
      <c r="P22" s="166"/>
      <c r="Q22" s="166"/>
      <c r="R22" s="15"/>
      <c r="S22" s="15"/>
      <c r="T22" s="166"/>
    </row>
    <row r="23" spans="1:20" ht="17.25" customHeight="1">
      <c r="A23" s="98" t="s">
        <v>5580</v>
      </c>
      <c r="B23" s="98" t="s">
        <v>5581</v>
      </c>
      <c r="C23" s="15">
        <v>0.5</v>
      </c>
      <c r="D23" s="96" t="s">
        <v>5582</v>
      </c>
      <c r="E23" s="96" t="s">
        <v>5540</v>
      </c>
      <c r="G23" s="15"/>
      <c r="H23" s="166"/>
      <c r="I23" s="166"/>
      <c r="J23" s="15"/>
      <c r="K23" s="15"/>
      <c r="L23" s="167"/>
      <c r="M23" s="166"/>
      <c r="N23" s="166"/>
      <c r="O23" s="166"/>
      <c r="P23" s="166"/>
      <c r="Q23" s="166"/>
      <c r="R23" s="15"/>
      <c r="S23" s="15"/>
      <c r="T23" s="166"/>
    </row>
    <row r="24" spans="1:20" ht="17.25" customHeight="1">
      <c r="A24" s="98" t="s">
        <v>5583</v>
      </c>
      <c r="B24" s="98" t="s">
        <v>5584</v>
      </c>
      <c r="C24" s="15">
        <v>0.3</v>
      </c>
      <c r="D24" s="96" t="s">
        <v>5582</v>
      </c>
      <c r="E24" s="96" t="s">
        <v>5540</v>
      </c>
      <c r="G24" s="15"/>
      <c r="H24" s="166"/>
      <c r="I24" s="166"/>
      <c r="J24" s="15"/>
      <c r="K24" s="15"/>
      <c r="L24" s="167"/>
      <c r="M24" s="166"/>
      <c r="N24" s="166"/>
      <c r="O24" s="166"/>
      <c r="P24" s="166"/>
      <c r="Q24" s="166"/>
      <c r="R24" s="15"/>
      <c r="S24" s="15"/>
      <c r="T24" s="166"/>
    </row>
    <row r="25" spans="1:20" ht="17.25" customHeight="1">
      <c r="A25" s="98" t="s">
        <v>5585</v>
      </c>
      <c r="B25" s="98" t="s">
        <v>5586</v>
      </c>
      <c r="C25" s="15">
        <v>0.2</v>
      </c>
      <c r="D25" s="96" t="s">
        <v>5582</v>
      </c>
      <c r="E25" s="96" t="s">
        <v>5540</v>
      </c>
    </row>
    <row r="26" spans="1:20" ht="17.25" customHeight="1">
      <c r="A26" s="98" t="s">
        <v>5587</v>
      </c>
      <c r="B26" s="98" t="s">
        <v>5588</v>
      </c>
      <c r="C26" s="15">
        <v>0.1</v>
      </c>
      <c r="D26" s="96" t="s">
        <v>5582</v>
      </c>
      <c r="E26" s="96" t="s">
        <v>5540</v>
      </c>
      <c r="H26" s="61"/>
      <c r="L26" s="15"/>
    </row>
    <row r="27" spans="1:20" ht="17.25" customHeight="1">
      <c r="A27" s="98" t="s">
        <v>5589</v>
      </c>
      <c r="B27" s="98" t="s">
        <v>5590</v>
      </c>
      <c r="C27" s="15">
        <v>0.5</v>
      </c>
      <c r="D27" s="96" t="s">
        <v>5582</v>
      </c>
      <c r="E27" s="96" t="s">
        <v>5540</v>
      </c>
      <c r="H27" s="15"/>
      <c r="P27" s="15"/>
      <c r="Q27" s="15"/>
    </row>
    <row r="28" spans="1:20" ht="17.25" customHeight="1">
      <c r="A28" s="98" t="s">
        <v>5591</v>
      </c>
      <c r="B28" s="98" t="s">
        <v>5592</v>
      </c>
      <c r="C28" s="15">
        <v>0.3</v>
      </c>
      <c r="D28" s="96" t="s">
        <v>5582</v>
      </c>
      <c r="E28" s="96" t="s">
        <v>5540</v>
      </c>
      <c r="Q28" s="15"/>
    </row>
    <row r="29" spans="1:20" ht="17.25" customHeight="1">
      <c r="A29" s="98" t="s">
        <v>5593</v>
      </c>
      <c r="B29" s="98" t="s">
        <v>5594</v>
      </c>
      <c r="C29" s="15">
        <v>0.2</v>
      </c>
      <c r="D29" s="96" t="s">
        <v>5582</v>
      </c>
      <c r="E29" s="96" t="s">
        <v>5540</v>
      </c>
      <c r="G29" s="164"/>
      <c r="H29" s="164"/>
    </row>
    <row r="30" spans="1:20" ht="17.25" customHeight="1">
      <c r="A30" s="98" t="s">
        <v>5595</v>
      </c>
      <c r="B30" s="98" t="s">
        <v>5596</v>
      </c>
      <c r="C30" s="15">
        <v>0.1</v>
      </c>
      <c r="D30" s="96" t="s">
        <v>5582</v>
      </c>
      <c r="E30" s="96" t="s">
        <v>5540</v>
      </c>
      <c r="I30" s="164"/>
      <c r="J30" s="165"/>
      <c r="K30" s="164"/>
    </row>
    <row r="31" spans="1:20" ht="17.25" customHeight="1">
      <c r="A31" s="98" t="s">
        <v>5597</v>
      </c>
      <c r="B31" s="98" t="s">
        <v>5598</v>
      </c>
      <c r="C31" s="15">
        <v>0.35</v>
      </c>
      <c r="D31" s="96" t="s">
        <v>5582</v>
      </c>
      <c r="E31" s="96" t="s">
        <v>5540</v>
      </c>
      <c r="J31" s="166"/>
    </row>
    <row r="32" spans="1:20" ht="17.25" customHeight="1">
      <c r="A32" s="98" t="s">
        <v>5599</v>
      </c>
      <c r="B32" s="98" t="s">
        <v>5600</v>
      </c>
      <c r="C32" s="15">
        <v>0.25</v>
      </c>
      <c r="D32" s="96" t="s">
        <v>5582</v>
      </c>
      <c r="E32" s="96" t="s">
        <v>5540</v>
      </c>
      <c r="J32" s="166"/>
    </row>
    <row r="33" spans="1:12" ht="17.25" customHeight="1">
      <c r="A33" s="98" t="s">
        <v>5601</v>
      </c>
      <c r="B33" s="98" t="s">
        <v>5602</v>
      </c>
      <c r="C33" s="15">
        <v>0.15</v>
      </c>
      <c r="D33" s="96" t="s">
        <v>5582</v>
      </c>
      <c r="E33" s="96" t="s">
        <v>5540</v>
      </c>
      <c r="J33" s="166"/>
    </row>
    <row r="34" spans="1:12" ht="17.25" customHeight="1">
      <c r="A34" s="98" t="s">
        <v>5603</v>
      </c>
      <c r="B34" s="98" t="s">
        <v>5604</v>
      </c>
      <c r="C34" s="15">
        <v>0.1</v>
      </c>
      <c r="D34" s="96" t="s">
        <v>5582</v>
      </c>
      <c r="E34" s="96" t="s">
        <v>5540</v>
      </c>
      <c r="J34" s="166"/>
    </row>
    <row r="35" spans="1:12" ht="17.25" customHeight="1">
      <c r="A35" s="98" t="s">
        <v>5605</v>
      </c>
      <c r="B35" s="98" t="s">
        <v>5606</v>
      </c>
      <c r="C35" s="15">
        <v>0.35</v>
      </c>
      <c r="D35" s="96" t="s">
        <v>5582</v>
      </c>
      <c r="E35" s="96" t="s">
        <v>5540</v>
      </c>
      <c r="J35" s="166"/>
    </row>
    <row r="36" spans="1:12" ht="17.25" customHeight="1">
      <c r="A36" s="98" t="s">
        <v>5607</v>
      </c>
      <c r="B36" s="98" t="s">
        <v>5608</v>
      </c>
      <c r="C36" s="15">
        <v>0.25</v>
      </c>
      <c r="D36" s="96" t="s">
        <v>5582</v>
      </c>
      <c r="E36" s="96" t="s">
        <v>5540</v>
      </c>
      <c r="J36" s="166"/>
    </row>
    <row r="37" spans="1:12" ht="17.25" customHeight="1">
      <c r="A37" s="98" t="s">
        <v>5609</v>
      </c>
      <c r="B37" s="98" t="s">
        <v>5610</v>
      </c>
      <c r="C37" s="15">
        <v>0.15</v>
      </c>
      <c r="D37" s="96" t="s">
        <v>5582</v>
      </c>
      <c r="E37" s="96" t="s">
        <v>5540</v>
      </c>
      <c r="J37" s="166"/>
    </row>
    <row r="38" spans="1:12" ht="17.25" customHeight="1">
      <c r="A38" s="98" t="s">
        <v>5611</v>
      </c>
      <c r="B38" s="98" t="s">
        <v>5612</v>
      </c>
      <c r="C38" s="15">
        <v>0.1</v>
      </c>
      <c r="D38" s="96" t="s">
        <v>5582</v>
      </c>
      <c r="E38" s="96" t="s">
        <v>5540</v>
      </c>
      <c r="G38" s="164"/>
      <c r="H38" s="165"/>
      <c r="I38" s="165"/>
      <c r="J38" s="165"/>
      <c r="K38" s="165"/>
      <c r="L38" s="165"/>
    </row>
    <row r="39" spans="1:12" ht="17.25" customHeight="1">
      <c r="A39" s="98" t="s">
        <v>5613</v>
      </c>
      <c r="B39" s="98" t="s">
        <v>5614</v>
      </c>
      <c r="C39" s="15">
        <v>0.3</v>
      </c>
      <c r="D39" s="96" t="s">
        <v>5582</v>
      </c>
      <c r="E39" s="96" t="s">
        <v>5540</v>
      </c>
      <c r="H39" s="166"/>
      <c r="I39" s="166"/>
      <c r="J39" s="166"/>
      <c r="K39" s="166"/>
      <c r="L39" s="166"/>
    </row>
    <row r="40" spans="1:12" ht="17.25" customHeight="1">
      <c r="A40" s="98" t="s">
        <v>5615</v>
      </c>
      <c r="B40" s="98" t="s">
        <v>5616</v>
      </c>
      <c r="C40" s="15">
        <v>0.2</v>
      </c>
      <c r="D40" s="96" t="s">
        <v>5582</v>
      </c>
      <c r="E40" s="96" t="s">
        <v>5540</v>
      </c>
      <c r="H40" s="166"/>
      <c r="I40" s="166"/>
      <c r="J40" s="166"/>
      <c r="K40" s="166"/>
      <c r="L40" s="166"/>
    </row>
    <row r="41" spans="1:12" ht="17.25" customHeight="1">
      <c r="A41" s="98" t="s">
        <v>5617</v>
      </c>
      <c r="B41" s="98" t="s">
        <v>5618</v>
      </c>
      <c r="C41" s="15">
        <v>0.12</v>
      </c>
      <c r="D41" s="96" t="s">
        <v>5582</v>
      </c>
      <c r="E41" s="96" t="s">
        <v>5540</v>
      </c>
      <c r="H41" s="166"/>
      <c r="I41" s="166"/>
      <c r="J41" s="166"/>
      <c r="K41" s="166"/>
      <c r="L41" s="166"/>
    </row>
    <row r="42" spans="1:12" ht="17.25" customHeight="1">
      <c r="A42" s="98" t="s">
        <v>5619</v>
      </c>
      <c r="B42" s="98" t="s">
        <v>5620</v>
      </c>
      <c r="C42" s="15">
        <v>0.08</v>
      </c>
      <c r="D42" s="96" t="s">
        <v>5582</v>
      </c>
      <c r="E42" s="96" t="s">
        <v>5540</v>
      </c>
      <c r="H42" s="166"/>
      <c r="I42" s="166"/>
      <c r="J42" s="166"/>
      <c r="K42" s="166"/>
      <c r="L42" s="166"/>
    </row>
    <row r="43" spans="1:12" ht="17.25" customHeight="1">
      <c r="A43" s="98" t="s">
        <v>5621</v>
      </c>
      <c r="B43" s="98" t="s">
        <v>5622</v>
      </c>
      <c r="C43" s="15">
        <v>0.3</v>
      </c>
      <c r="D43" s="96" t="s">
        <v>5582</v>
      </c>
      <c r="E43" s="96" t="s">
        <v>5540</v>
      </c>
      <c r="G43" s="15"/>
      <c r="H43" s="166"/>
      <c r="I43" s="166"/>
      <c r="J43" s="166"/>
      <c r="K43" s="166"/>
      <c r="L43" s="166"/>
    </row>
    <row r="44" spans="1:12" ht="17.25" customHeight="1">
      <c r="A44" s="98" t="s">
        <v>5623</v>
      </c>
      <c r="B44" s="98" t="s">
        <v>5624</v>
      </c>
      <c r="C44" s="15">
        <v>0.2</v>
      </c>
      <c r="D44" s="96" t="s">
        <v>5582</v>
      </c>
      <c r="E44" s="96" t="s">
        <v>5540</v>
      </c>
      <c r="H44" s="166"/>
      <c r="I44" s="166"/>
      <c r="J44" s="166"/>
      <c r="K44" s="166"/>
      <c r="L44" s="166"/>
    </row>
    <row r="45" spans="1:12" ht="17.25" customHeight="1">
      <c r="A45" s="98" t="s">
        <v>5625</v>
      </c>
      <c r="B45" s="98" t="s">
        <v>5626</v>
      </c>
      <c r="C45" s="15">
        <v>0.12</v>
      </c>
      <c r="D45" s="96" t="s">
        <v>5582</v>
      </c>
      <c r="E45" s="96" t="s">
        <v>5540</v>
      </c>
      <c r="H45" s="166"/>
      <c r="I45" s="166"/>
      <c r="J45" s="166"/>
      <c r="K45" s="166"/>
      <c r="L45" s="166"/>
    </row>
    <row r="46" spans="1:12" ht="17.25" customHeight="1">
      <c r="A46" s="98" t="s">
        <v>5627</v>
      </c>
      <c r="B46" s="98" t="s">
        <v>5628</v>
      </c>
      <c r="C46" s="15">
        <v>0.08</v>
      </c>
      <c r="D46" s="96" t="s">
        <v>5582</v>
      </c>
      <c r="E46" s="96" t="s">
        <v>5540</v>
      </c>
      <c r="H46" s="166"/>
      <c r="I46" s="166"/>
      <c r="J46" s="166"/>
      <c r="K46" s="166"/>
      <c r="L46" s="166"/>
    </row>
    <row r="47" spans="1:12" ht="17.25" customHeight="1">
      <c r="A47" s="98" t="s">
        <v>5629</v>
      </c>
      <c r="B47" s="15" t="s">
        <v>5630</v>
      </c>
      <c r="C47" s="15">
        <v>0.40239999999999998</v>
      </c>
      <c r="D47" s="96" t="s">
        <v>5539</v>
      </c>
      <c r="E47" s="96" t="s">
        <v>5540</v>
      </c>
      <c r="H47" s="166"/>
      <c r="I47" s="166"/>
      <c r="J47" s="166"/>
      <c r="K47" s="166"/>
      <c r="L47" s="166"/>
    </row>
    <row r="48" spans="1:12" ht="17.25" customHeight="1">
      <c r="A48" s="98" t="s">
        <v>5631</v>
      </c>
      <c r="B48" s="15" t="s">
        <v>5632</v>
      </c>
      <c r="C48" s="15">
        <v>0.20119999999999999</v>
      </c>
      <c r="D48" s="15" t="s">
        <v>5539</v>
      </c>
      <c r="E48" s="96" t="s">
        <v>5540</v>
      </c>
      <c r="H48" s="166"/>
      <c r="I48" s="166"/>
      <c r="J48" s="166"/>
      <c r="K48" s="166"/>
      <c r="L48" s="166"/>
    </row>
    <row r="49" spans="1:12" ht="17.25" customHeight="1">
      <c r="A49" s="98" t="s">
        <v>5633</v>
      </c>
      <c r="B49" s="15" t="s">
        <v>5634</v>
      </c>
      <c r="C49" s="15">
        <v>0.10059999999999999</v>
      </c>
      <c r="D49" s="15" t="s">
        <v>5539</v>
      </c>
      <c r="E49" s="96" t="s">
        <v>5540</v>
      </c>
      <c r="H49" s="166"/>
      <c r="I49" s="166"/>
      <c r="J49" s="166"/>
      <c r="K49" s="166"/>
      <c r="L49" s="166"/>
    </row>
    <row r="50" spans="1:12" ht="17.25" customHeight="1">
      <c r="A50" s="98" t="s">
        <v>5635</v>
      </c>
      <c r="B50" s="15" t="s">
        <v>5636</v>
      </c>
      <c r="C50" s="15">
        <v>0.10059999999999999</v>
      </c>
      <c r="D50" s="15" t="s">
        <v>5539</v>
      </c>
      <c r="E50" s="96" t="s">
        <v>5540</v>
      </c>
      <c r="H50" s="166"/>
      <c r="I50" s="166"/>
      <c r="J50" s="166"/>
      <c r="K50" s="166"/>
      <c r="L50" s="166"/>
    </row>
    <row r="51" spans="1:12" ht="17.25" customHeight="1">
      <c r="A51" s="98" t="s">
        <v>5637</v>
      </c>
      <c r="B51" s="15" t="s">
        <v>5638</v>
      </c>
      <c r="C51" s="15">
        <v>0.40239999999999998</v>
      </c>
      <c r="D51" s="15" t="s">
        <v>5539</v>
      </c>
      <c r="E51" s="96" t="s">
        <v>5540</v>
      </c>
      <c r="H51" s="166"/>
      <c r="I51" s="166"/>
      <c r="J51" s="166"/>
      <c r="K51" s="166"/>
      <c r="L51" s="166"/>
    </row>
    <row r="52" spans="1:12" ht="17.25" customHeight="1">
      <c r="A52" s="98" t="s">
        <v>5639</v>
      </c>
      <c r="B52" s="15" t="s">
        <v>5640</v>
      </c>
      <c r="C52" s="15">
        <v>0.20119999999999999</v>
      </c>
      <c r="D52" s="15" t="s">
        <v>5539</v>
      </c>
      <c r="E52" s="96" t="s">
        <v>5540</v>
      </c>
      <c r="H52" s="166"/>
      <c r="I52" s="166"/>
      <c r="J52" s="166"/>
      <c r="K52" s="166"/>
      <c r="L52" s="166"/>
    </row>
    <row r="53" spans="1:12" ht="17.25" customHeight="1">
      <c r="A53" s="98" t="s">
        <v>5641</v>
      </c>
      <c r="B53" s="15" t="s">
        <v>5642</v>
      </c>
      <c r="C53" s="15">
        <v>0.10059999999999999</v>
      </c>
      <c r="D53" s="15" t="s">
        <v>5539</v>
      </c>
      <c r="E53" s="96" t="s">
        <v>5540</v>
      </c>
      <c r="H53" s="166"/>
      <c r="I53" s="166"/>
      <c r="J53" s="166"/>
      <c r="K53" s="166"/>
      <c r="L53" s="166"/>
    </row>
    <row r="54" spans="1:12" ht="17.25" customHeight="1">
      <c r="A54" s="98" t="s">
        <v>5643</v>
      </c>
      <c r="B54" s="15" t="s">
        <v>5644</v>
      </c>
      <c r="C54" s="15">
        <v>0.10059999999999999</v>
      </c>
      <c r="D54" s="15" t="s">
        <v>5539</v>
      </c>
      <c r="E54" s="96" t="s">
        <v>5540</v>
      </c>
      <c r="H54" s="166"/>
      <c r="I54" s="166"/>
      <c r="J54" s="166"/>
      <c r="K54" s="166"/>
      <c r="L54" s="166"/>
    </row>
    <row r="55" spans="1:12" ht="17.25" customHeight="1">
      <c r="A55" s="98" t="s">
        <v>5645</v>
      </c>
      <c r="B55" s="15" t="s">
        <v>5646</v>
      </c>
      <c r="C55" s="15">
        <v>0.40239999999999998</v>
      </c>
      <c r="D55" s="15" t="s">
        <v>5539</v>
      </c>
      <c r="E55" s="96" t="s">
        <v>5540</v>
      </c>
    </row>
    <row r="56" spans="1:12" ht="17.25" customHeight="1">
      <c r="A56" s="98" t="s">
        <v>5647</v>
      </c>
      <c r="B56" s="15" t="s">
        <v>5648</v>
      </c>
      <c r="C56" s="15">
        <v>0.20119999999999999</v>
      </c>
      <c r="D56" s="15" t="s">
        <v>5539</v>
      </c>
      <c r="E56" s="96" t="s">
        <v>5540</v>
      </c>
    </row>
    <row r="57" spans="1:12" ht="17.25" customHeight="1">
      <c r="A57" s="98" t="s">
        <v>5649</v>
      </c>
      <c r="B57" s="15" t="s">
        <v>5650</v>
      </c>
      <c r="C57" s="15">
        <v>0.10059999999999999</v>
      </c>
      <c r="D57" s="15" t="s">
        <v>5539</v>
      </c>
      <c r="E57" s="96" t="s">
        <v>5540</v>
      </c>
    </row>
    <row r="58" spans="1:12" ht="17.25" customHeight="1">
      <c r="A58" s="98" t="s">
        <v>5651</v>
      </c>
      <c r="B58" s="15" t="s">
        <v>5652</v>
      </c>
      <c r="C58" s="15">
        <v>0.10059999999999999</v>
      </c>
      <c r="D58" s="15" t="s">
        <v>5539</v>
      </c>
      <c r="E58" s="96" t="s">
        <v>5540</v>
      </c>
    </row>
    <row r="59" spans="1:12" ht="17.25" customHeight="1">
      <c r="A59" s="98" t="s">
        <v>5653</v>
      </c>
      <c r="B59" s="15" t="s">
        <v>5654</v>
      </c>
      <c r="C59" s="15">
        <v>0.40239999999999998</v>
      </c>
      <c r="D59" s="15" t="s">
        <v>5539</v>
      </c>
      <c r="E59" s="96" t="s">
        <v>5540</v>
      </c>
    </row>
    <row r="60" spans="1:12" ht="17.25" customHeight="1">
      <c r="A60" s="98" t="s">
        <v>5655</v>
      </c>
      <c r="B60" s="15" t="s">
        <v>5656</v>
      </c>
      <c r="C60" s="15">
        <v>0.20119999999999999</v>
      </c>
      <c r="D60" s="15" t="s">
        <v>5539</v>
      </c>
      <c r="E60" s="96" t="s">
        <v>5540</v>
      </c>
    </row>
    <row r="61" spans="1:12" ht="17.25" customHeight="1">
      <c r="A61" s="98" t="s">
        <v>5657</v>
      </c>
      <c r="B61" s="15" t="s">
        <v>5658</v>
      </c>
      <c r="C61" s="15">
        <v>0.10059999999999999</v>
      </c>
      <c r="D61" s="15" t="s">
        <v>5539</v>
      </c>
      <c r="E61" s="96" t="s">
        <v>5540</v>
      </c>
    </row>
    <row r="62" spans="1:12" ht="17.25" customHeight="1">
      <c r="A62" s="98" t="s">
        <v>5659</v>
      </c>
      <c r="B62" s="15" t="s">
        <v>5660</v>
      </c>
      <c r="C62" s="15">
        <v>0.10059999999999999</v>
      </c>
      <c r="D62" s="15" t="s">
        <v>5539</v>
      </c>
      <c r="E62" s="96" t="s">
        <v>5540</v>
      </c>
    </row>
    <row r="63" spans="1:12" ht="17.25" customHeight="1">
      <c r="A63" s="98" t="s">
        <v>5661</v>
      </c>
      <c r="B63" s="15" t="s">
        <v>5662</v>
      </c>
      <c r="C63" s="15">
        <v>0.40239999999999998</v>
      </c>
      <c r="D63" s="15" t="s">
        <v>5539</v>
      </c>
      <c r="E63" s="96" t="s">
        <v>5540</v>
      </c>
    </row>
    <row r="64" spans="1:12" ht="17.25" customHeight="1">
      <c r="A64" s="98" t="s">
        <v>5663</v>
      </c>
      <c r="B64" s="15" t="s">
        <v>5664</v>
      </c>
      <c r="C64" s="15">
        <v>0.20119999999999999</v>
      </c>
      <c r="D64" s="15" t="s">
        <v>5539</v>
      </c>
      <c r="E64" s="96" t="s">
        <v>5540</v>
      </c>
    </row>
    <row r="65" spans="1:5" ht="17.25" customHeight="1">
      <c r="A65" s="98" t="s">
        <v>5665</v>
      </c>
      <c r="B65" s="15" t="s">
        <v>5666</v>
      </c>
      <c r="C65" s="15">
        <v>0.10059999999999999</v>
      </c>
      <c r="D65" s="15" t="s">
        <v>5539</v>
      </c>
      <c r="E65" s="96" t="s">
        <v>5540</v>
      </c>
    </row>
    <row r="66" spans="1:5" ht="17.25" customHeight="1">
      <c r="A66" s="98" t="s">
        <v>5667</v>
      </c>
      <c r="B66" s="15" t="s">
        <v>5668</v>
      </c>
      <c r="C66" s="15">
        <v>0.10059999999999999</v>
      </c>
      <c r="D66" s="15" t="s">
        <v>5539</v>
      </c>
      <c r="E66" s="96" t="s">
        <v>5540</v>
      </c>
    </row>
    <row r="67" spans="1:5" ht="17.25" customHeight="1">
      <c r="A67" s="98" t="s">
        <v>5669</v>
      </c>
      <c r="B67" s="15" t="s">
        <v>5670</v>
      </c>
      <c r="C67" s="15">
        <v>0.40239999999999998</v>
      </c>
      <c r="D67" s="15" t="s">
        <v>5539</v>
      </c>
      <c r="E67" s="96" t="s">
        <v>5540</v>
      </c>
    </row>
    <row r="68" spans="1:5" ht="17.25" customHeight="1">
      <c r="A68" s="98" t="s">
        <v>5671</v>
      </c>
      <c r="B68" s="15" t="s">
        <v>5672</v>
      </c>
      <c r="C68" s="15">
        <v>0.20119999999999999</v>
      </c>
      <c r="D68" s="15" t="s">
        <v>5539</v>
      </c>
      <c r="E68" s="96" t="s">
        <v>5540</v>
      </c>
    </row>
    <row r="69" spans="1:5" ht="17.25" customHeight="1">
      <c r="A69" s="98" t="s">
        <v>5673</v>
      </c>
      <c r="B69" s="15" t="s">
        <v>5674</v>
      </c>
      <c r="C69" s="15">
        <v>0.10059999999999999</v>
      </c>
      <c r="D69" s="15" t="s">
        <v>5539</v>
      </c>
      <c r="E69" s="96" t="s">
        <v>5540</v>
      </c>
    </row>
    <row r="70" spans="1:5" ht="17.25" customHeight="1">
      <c r="A70" s="98" t="s">
        <v>5675</v>
      </c>
      <c r="B70" s="15" t="s">
        <v>5676</v>
      </c>
      <c r="C70" s="15">
        <v>0.10059999999999999</v>
      </c>
      <c r="D70" s="15" t="s">
        <v>5539</v>
      </c>
      <c r="E70" s="96" t="s">
        <v>5540</v>
      </c>
    </row>
    <row r="71" spans="1:5" ht="17.25" customHeight="1">
      <c r="A71" s="98" t="s">
        <v>5138</v>
      </c>
      <c r="B71" s="15" t="s">
        <v>5677</v>
      </c>
      <c r="C71" s="15">
        <v>0.40239999999999998</v>
      </c>
      <c r="D71" s="15" t="s">
        <v>5539</v>
      </c>
      <c r="E71" s="96" t="s">
        <v>5540</v>
      </c>
    </row>
    <row r="72" spans="1:5" ht="17.25" customHeight="1">
      <c r="A72" s="98" t="s">
        <v>5139</v>
      </c>
      <c r="B72" s="15" t="s">
        <v>5678</v>
      </c>
      <c r="C72" s="15">
        <v>0.20119999999999999</v>
      </c>
      <c r="D72" s="15" t="s">
        <v>5539</v>
      </c>
      <c r="E72" s="96" t="s">
        <v>5540</v>
      </c>
    </row>
    <row r="73" spans="1:5" ht="17.25" customHeight="1">
      <c r="A73" s="98" t="s">
        <v>5140</v>
      </c>
      <c r="B73" s="15" t="s">
        <v>5679</v>
      </c>
      <c r="C73" s="15">
        <v>0.10059999999999999</v>
      </c>
      <c r="D73" s="15" t="s">
        <v>5539</v>
      </c>
      <c r="E73" s="96" t="s">
        <v>5540</v>
      </c>
    </row>
    <row r="74" spans="1:5" ht="17.25" customHeight="1">
      <c r="A74" s="98" t="s">
        <v>5141</v>
      </c>
      <c r="B74" s="15" t="s">
        <v>5680</v>
      </c>
      <c r="C74" s="15">
        <v>5.0299999999999997E-2</v>
      </c>
      <c r="D74" s="15" t="s">
        <v>5539</v>
      </c>
      <c r="E74" s="96" t="s">
        <v>5540</v>
      </c>
    </row>
    <row r="75" spans="1:5" ht="17.25" customHeight="1">
      <c r="A75" s="98" t="s">
        <v>5681</v>
      </c>
      <c r="B75" s="15" t="s">
        <v>5682</v>
      </c>
      <c r="C75" s="15">
        <v>0.40239999999999998</v>
      </c>
      <c r="D75" s="15" t="s">
        <v>5539</v>
      </c>
      <c r="E75" s="96" t="s">
        <v>5540</v>
      </c>
    </row>
    <row r="76" spans="1:5" ht="17.25" customHeight="1">
      <c r="A76" s="98" t="s">
        <v>5683</v>
      </c>
      <c r="B76" s="15" t="s">
        <v>5684</v>
      </c>
      <c r="C76" s="15">
        <v>0.20119999999999999</v>
      </c>
      <c r="D76" s="15" t="s">
        <v>5539</v>
      </c>
      <c r="E76" s="96" t="s">
        <v>5540</v>
      </c>
    </row>
    <row r="77" spans="1:5" ht="17.25" customHeight="1">
      <c r="A77" s="98" t="s">
        <v>5685</v>
      </c>
      <c r="B77" s="15" t="s">
        <v>5686</v>
      </c>
      <c r="C77" s="15">
        <v>0.10059999999999999</v>
      </c>
      <c r="D77" s="15" t="s">
        <v>5539</v>
      </c>
      <c r="E77" s="96" t="s">
        <v>5540</v>
      </c>
    </row>
    <row r="78" spans="1:5" ht="17.25" customHeight="1">
      <c r="A78" s="98" t="s">
        <v>5687</v>
      </c>
      <c r="B78" s="15" t="s">
        <v>5688</v>
      </c>
      <c r="C78" s="15">
        <v>5.0299999999999997E-2</v>
      </c>
      <c r="D78" s="15" t="s">
        <v>5539</v>
      </c>
      <c r="E78" s="96" t="s">
        <v>5540</v>
      </c>
    </row>
    <row r="79" spans="1:5" ht="17.25" customHeight="1">
      <c r="A79" s="98" t="s">
        <v>5689</v>
      </c>
      <c r="B79" s="15" t="s">
        <v>5690</v>
      </c>
      <c r="C79" s="15">
        <v>0.40239999999999998</v>
      </c>
      <c r="D79" s="15" t="s">
        <v>5539</v>
      </c>
      <c r="E79" s="96" t="s">
        <v>5540</v>
      </c>
    </row>
    <row r="80" spans="1:5" ht="17.25" customHeight="1">
      <c r="A80" s="98" t="s">
        <v>5691</v>
      </c>
      <c r="B80" s="15" t="s">
        <v>5692</v>
      </c>
      <c r="C80" s="15">
        <v>0.20119999999999999</v>
      </c>
      <c r="D80" s="15" t="s">
        <v>5539</v>
      </c>
      <c r="E80" s="96" t="s">
        <v>5540</v>
      </c>
    </row>
    <row r="81" spans="1:5" ht="17.25" customHeight="1">
      <c r="A81" s="98" t="s">
        <v>5693</v>
      </c>
      <c r="B81" s="15" t="s">
        <v>5694</v>
      </c>
      <c r="C81" s="15">
        <v>0.10059999999999999</v>
      </c>
      <c r="D81" s="15" t="s">
        <v>5539</v>
      </c>
      <c r="E81" s="96" t="s">
        <v>5540</v>
      </c>
    </row>
    <row r="82" spans="1:5" ht="17.25" customHeight="1">
      <c r="A82" s="98" t="s">
        <v>5695</v>
      </c>
      <c r="B82" s="15" t="s">
        <v>5696</v>
      </c>
      <c r="C82" s="15">
        <v>0.10059999999999999</v>
      </c>
      <c r="D82" s="15" t="s">
        <v>5539</v>
      </c>
      <c r="E82" s="96" t="s">
        <v>5540</v>
      </c>
    </row>
    <row r="83" spans="1:5" ht="17.25" customHeight="1">
      <c r="A83" s="98" t="s">
        <v>5697</v>
      </c>
      <c r="B83" s="15" t="s">
        <v>5698</v>
      </c>
      <c r="C83" s="15">
        <v>0.40239999999999998</v>
      </c>
      <c r="D83" s="15" t="s">
        <v>5539</v>
      </c>
      <c r="E83" s="96" t="s">
        <v>5540</v>
      </c>
    </row>
    <row r="84" spans="1:5" ht="17.25" customHeight="1">
      <c r="A84" s="98" t="s">
        <v>5699</v>
      </c>
      <c r="B84" s="15" t="s">
        <v>5700</v>
      </c>
      <c r="C84" s="15">
        <v>0.20119999999999999</v>
      </c>
      <c r="D84" s="15" t="s">
        <v>5539</v>
      </c>
      <c r="E84" s="96" t="s">
        <v>5540</v>
      </c>
    </row>
    <row r="85" spans="1:5" ht="17.25" customHeight="1">
      <c r="A85" s="98" t="s">
        <v>5701</v>
      </c>
      <c r="B85" s="15" t="s">
        <v>5702</v>
      </c>
      <c r="C85" s="15">
        <v>0.10059999999999999</v>
      </c>
      <c r="D85" s="15" t="s">
        <v>5539</v>
      </c>
      <c r="E85" s="96" t="s">
        <v>5540</v>
      </c>
    </row>
    <row r="86" spans="1:5" ht="17.25" customHeight="1">
      <c r="A86" s="98" t="s">
        <v>5703</v>
      </c>
      <c r="B86" s="15" t="s">
        <v>5704</v>
      </c>
      <c r="C86" s="15">
        <v>5.0299999999999997E-2</v>
      </c>
      <c r="D86" s="15" t="s">
        <v>5539</v>
      </c>
      <c r="E86" s="96" t="s">
        <v>5540</v>
      </c>
    </row>
    <row r="87" spans="1:5" ht="17.25" customHeight="1">
      <c r="A87" s="98" t="s">
        <v>5705</v>
      </c>
      <c r="B87" s="15" t="s">
        <v>5706</v>
      </c>
      <c r="C87" s="15">
        <v>0.40239999999999998</v>
      </c>
      <c r="D87" s="15" t="s">
        <v>5539</v>
      </c>
      <c r="E87" s="96" t="s">
        <v>5540</v>
      </c>
    </row>
    <row r="88" spans="1:5" ht="17.25" customHeight="1">
      <c r="A88" s="98" t="s">
        <v>5707</v>
      </c>
      <c r="B88" s="15" t="s">
        <v>5708</v>
      </c>
      <c r="C88" s="15">
        <v>0.20119999999999999</v>
      </c>
      <c r="D88" s="15" t="s">
        <v>5539</v>
      </c>
      <c r="E88" s="96" t="s">
        <v>5540</v>
      </c>
    </row>
    <row r="89" spans="1:5" ht="17.25" customHeight="1">
      <c r="A89" s="98" t="s">
        <v>5709</v>
      </c>
      <c r="B89" s="15" t="s">
        <v>5710</v>
      </c>
      <c r="C89" s="15">
        <v>0.10059999999999999</v>
      </c>
      <c r="D89" s="15" t="s">
        <v>5539</v>
      </c>
      <c r="E89" s="96" t="s">
        <v>5540</v>
      </c>
    </row>
    <row r="90" spans="1:5" ht="17.25" customHeight="1">
      <c r="A90" s="98" t="s">
        <v>5711</v>
      </c>
      <c r="B90" s="15" t="s">
        <v>5712</v>
      </c>
      <c r="C90" s="15">
        <v>0.10059999999999999</v>
      </c>
      <c r="D90" s="15" t="s">
        <v>5539</v>
      </c>
      <c r="E90" s="96" t="s">
        <v>5540</v>
      </c>
    </row>
    <row r="91" spans="1:5" ht="17.25" customHeight="1">
      <c r="A91" s="98" t="s">
        <v>5135</v>
      </c>
      <c r="B91" s="15" t="s">
        <v>5713</v>
      </c>
      <c r="C91" s="15">
        <v>0.40239999999999998</v>
      </c>
      <c r="D91" s="15" t="s">
        <v>5539</v>
      </c>
      <c r="E91" s="96" t="s">
        <v>5540</v>
      </c>
    </row>
    <row r="92" spans="1:5" ht="17.25" customHeight="1">
      <c r="A92" s="98" t="s">
        <v>5136</v>
      </c>
      <c r="B92" s="15" t="s">
        <v>5714</v>
      </c>
      <c r="C92" s="15">
        <v>0.20119999999999999</v>
      </c>
      <c r="D92" s="15" t="s">
        <v>5539</v>
      </c>
      <c r="E92" s="96" t="s">
        <v>5540</v>
      </c>
    </row>
    <row r="93" spans="1:5" ht="17.25" customHeight="1">
      <c r="A93" s="98" t="s">
        <v>5137</v>
      </c>
      <c r="B93" s="15" t="s">
        <v>5715</v>
      </c>
      <c r="C93" s="15">
        <v>0.10059999999999999</v>
      </c>
      <c r="D93" s="15" t="s">
        <v>5539</v>
      </c>
      <c r="E93" s="96" t="s">
        <v>5540</v>
      </c>
    </row>
    <row r="94" spans="1:5" ht="17.25" customHeight="1">
      <c r="A94" s="98" t="s">
        <v>5716</v>
      </c>
      <c r="B94" s="15" t="s">
        <v>5717</v>
      </c>
      <c r="C94" s="15">
        <v>0.40239999999999998</v>
      </c>
      <c r="D94" s="15" t="s">
        <v>5539</v>
      </c>
      <c r="E94" s="96" t="s">
        <v>5540</v>
      </c>
    </row>
    <row r="95" spans="1:5" ht="17.25" customHeight="1">
      <c r="A95" s="98" t="s">
        <v>5718</v>
      </c>
      <c r="B95" s="15" t="s">
        <v>5719</v>
      </c>
      <c r="C95" s="15">
        <v>0.20119999999999999</v>
      </c>
      <c r="D95" s="15" t="s">
        <v>5539</v>
      </c>
      <c r="E95" s="96" t="s">
        <v>5540</v>
      </c>
    </row>
    <row r="96" spans="1:5" ht="17.25" customHeight="1">
      <c r="A96" s="98" t="s">
        <v>5720</v>
      </c>
      <c r="B96" s="15" t="s">
        <v>5721</v>
      </c>
      <c r="C96" s="15">
        <v>0.10059999999999999</v>
      </c>
      <c r="D96" s="15" t="s">
        <v>5539</v>
      </c>
      <c r="E96" s="96" t="s">
        <v>5540</v>
      </c>
    </row>
    <row r="97" spans="1:5" ht="17.25" customHeight="1">
      <c r="A97" s="98" t="s">
        <v>5722</v>
      </c>
      <c r="B97" s="15" t="s">
        <v>5723</v>
      </c>
      <c r="C97" s="15">
        <v>0.10059999999999999</v>
      </c>
      <c r="D97" s="15" t="s">
        <v>5539</v>
      </c>
      <c r="E97" s="96" t="s">
        <v>5540</v>
      </c>
    </row>
    <row r="98" spans="1:5" ht="17.25" customHeight="1">
      <c r="A98" s="98" t="s">
        <v>5724</v>
      </c>
      <c r="B98" s="15" t="s">
        <v>5725</v>
      </c>
      <c r="C98" s="15">
        <v>0.40239999999999998</v>
      </c>
      <c r="D98" s="15" t="s">
        <v>5539</v>
      </c>
      <c r="E98" s="96" t="s">
        <v>5540</v>
      </c>
    </row>
    <row r="99" spans="1:5" ht="17.25" customHeight="1">
      <c r="A99" s="98" t="s">
        <v>5726</v>
      </c>
      <c r="B99" s="15" t="s">
        <v>5727</v>
      </c>
      <c r="C99" s="15">
        <v>0.20119999999999999</v>
      </c>
      <c r="D99" s="15" t="s">
        <v>5539</v>
      </c>
      <c r="E99" s="96" t="s">
        <v>5540</v>
      </c>
    </row>
    <row r="100" spans="1:5" ht="17.25" customHeight="1">
      <c r="A100" s="98" t="s">
        <v>5728</v>
      </c>
      <c r="B100" s="15" t="s">
        <v>5729</v>
      </c>
      <c r="C100" s="15">
        <v>0.10059999999999999</v>
      </c>
      <c r="D100" s="15" t="s">
        <v>5539</v>
      </c>
      <c r="E100" s="96" t="s">
        <v>5540</v>
      </c>
    </row>
    <row r="101" spans="1:5" ht="17.25" customHeight="1">
      <c r="A101" s="98" t="s">
        <v>5730</v>
      </c>
      <c r="B101" s="15" t="s">
        <v>5731</v>
      </c>
      <c r="C101" s="15">
        <v>0.40239999999999998</v>
      </c>
      <c r="D101" s="15" t="s">
        <v>5539</v>
      </c>
      <c r="E101" s="96" t="s">
        <v>5540</v>
      </c>
    </row>
    <row r="102" spans="1:5" ht="17.25" customHeight="1">
      <c r="A102" s="98" t="s">
        <v>5732</v>
      </c>
      <c r="B102" s="15" t="s">
        <v>5733</v>
      </c>
      <c r="C102" s="15">
        <v>0.20119999999999999</v>
      </c>
      <c r="D102" s="15" t="s">
        <v>5539</v>
      </c>
      <c r="E102" s="96" t="s">
        <v>5540</v>
      </c>
    </row>
    <row r="103" spans="1:5" ht="17.25" customHeight="1">
      <c r="A103" s="98" t="s">
        <v>5734</v>
      </c>
      <c r="B103" s="15" t="s">
        <v>5735</v>
      </c>
      <c r="C103" s="15">
        <v>0.10059999999999999</v>
      </c>
      <c r="D103" s="15" t="s">
        <v>5539</v>
      </c>
      <c r="E103" s="96" t="s">
        <v>5540</v>
      </c>
    </row>
    <row r="104" spans="1:5" ht="17.25" customHeight="1">
      <c r="A104" s="98" t="s">
        <v>5736</v>
      </c>
      <c r="B104" s="15" t="s">
        <v>5737</v>
      </c>
      <c r="C104" s="15">
        <v>0.40239999999999998</v>
      </c>
      <c r="D104" s="15" t="s">
        <v>5539</v>
      </c>
      <c r="E104" s="96" t="s">
        <v>5540</v>
      </c>
    </row>
    <row r="105" spans="1:5" ht="17.25" customHeight="1">
      <c r="A105" s="98" t="s">
        <v>5738</v>
      </c>
      <c r="B105" s="15" t="s">
        <v>5739</v>
      </c>
      <c r="C105" s="15">
        <v>0.20119999999999999</v>
      </c>
      <c r="D105" s="15" t="s">
        <v>5539</v>
      </c>
      <c r="E105" s="96" t="s">
        <v>5540</v>
      </c>
    </row>
    <row r="106" spans="1:5" ht="17.25" customHeight="1">
      <c r="A106" s="98" t="s">
        <v>5740</v>
      </c>
      <c r="B106" s="15" t="s">
        <v>5741</v>
      </c>
      <c r="C106" s="15">
        <v>0.10059999999999999</v>
      </c>
      <c r="D106" s="15" t="s">
        <v>5539</v>
      </c>
      <c r="E106" s="96" t="s">
        <v>5540</v>
      </c>
    </row>
    <row r="107" spans="1:5" ht="17.25" customHeight="1"/>
    <row r="108" spans="1:5" ht="17.25" customHeight="1"/>
    <row r="109" spans="1:5" ht="17.25" customHeight="1"/>
    <row r="110" spans="1:5" ht="17.25" customHeight="1"/>
    <row r="111" spans="1:5" ht="17.25" customHeight="1"/>
    <row r="112" spans="1:5"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sheetData>
  <autoFilter ref="A2:E114" xr:uid="{00000000-0009-0000-0000-00001B000000}"/>
  <conditionalFormatting sqref="E3:E106 A47:A106">
    <cfRule type="containsBlanks" dxfId="19" priority="1">
      <formula>LEN(TRIM(A47))=0</formula>
    </cfRule>
  </conditionalFormatting>
  <dataValidations count="2">
    <dataValidation type="list" allowBlank="1" showErrorMessage="1" sqref="E3:E106" xr:uid="{00000000-0002-0000-1B00-000000000000}">
      <formula1>"AirChanges/Hour,Flow/ExteriorArea"</formula1>
    </dataValidation>
    <dataValidation type="list" allowBlank="1" showErrorMessage="1" sqref="D3:D47" xr:uid="{00000000-0002-0000-1B00-000001000000}">
      <formula1>"Main,Attic,Basement"</formula1>
    </dataValidation>
  </dataValidation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7"/>
  </sheetPr>
  <dimension ref="A1:P995"/>
  <sheetViews>
    <sheetView topLeftCell="A54" workbookViewId="0">
      <selection activeCell="C83" sqref="C83"/>
    </sheetView>
  </sheetViews>
  <sheetFormatPr baseColWidth="10" defaultColWidth="11.28515625" defaultRowHeight="15" customHeight="1"/>
  <cols>
    <col min="1" max="1" width="46" customWidth="1"/>
    <col min="2" max="2" width="18.5703125" customWidth="1"/>
    <col min="3" max="3" width="33.7109375" customWidth="1"/>
    <col min="4" max="4" width="26.42578125" customWidth="1"/>
    <col min="5" max="5" width="11.42578125" customWidth="1"/>
    <col min="6" max="7" width="26.7109375" customWidth="1"/>
    <col min="8" max="8" width="11.42578125" customWidth="1"/>
    <col min="9" max="9" width="25.7109375" customWidth="1"/>
    <col min="10" max="10" width="35.7109375" customWidth="1"/>
    <col min="11" max="11" width="53.85546875" customWidth="1"/>
    <col min="12" max="12" width="37.42578125" customWidth="1"/>
    <col min="13" max="26" width="11.42578125" customWidth="1"/>
  </cols>
  <sheetData>
    <row r="1" spans="1:16" ht="17.25" customHeight="1">
      <c r="B1" s="15"/>
    </row>
    <row r="2" spans="1:16" ht="17.25" customHeight="1">
      <c r="A2" s="81" t="s">
        <v>4832</v>
      </c>
      <c r="B2" s="81" t="s">
        <v>5742</v>
      </c>
      <c r="C2" s="81" t="s">
        <v>5531</v>
      </c>
      <c r="D2" s="81" t="s">
        <v>158</v>
      </c>
      <c r="E2" s="81" t="s">
        <v>154</v>
      </c>
      <c r="F2" s="81" t="s">
        <v>157</v>
      </c>
      <c r="G2" s="81" t="s">
        <v>162</v>
      </c>
      <c r="H2" s="81" t="s">
        <v>166</v>
      </c>
      <c r="I2" s="81" t="s">
        <v>160</v>
      </c>
      <c r="J2" s="83" t="s">
        <v>159</v>
      </c>
      <c r="K2" s="83" t="s">
        <v>161</v>
      </c>
      <c r="L2" s="83" t="s">
        <v>155</v>
      </c>
      <c r="M2" s="83" t="s">
        <v>156</v>
      </c>
    </row>
    <row r="3" spans="1:16" ht="17.25" customHeight="1">
      <c r="A3" s="124" t="s">
        <v>5743</v>
      </c>
      <c r="B3" s="126">
        <v>0.3</v>
      </c>
      <c r="C3" t="s">
        <v>6310</v>
      </c>
      <c r="D3" s="124" t="s">
        <v>6311</v>
      </c>
      <c r="E3" s="124" t="s">
        <v>6312</v>
      </c>
      <c r="F3" s="124" t="s">
        <v>6313</v>
      </c>
      <c r="G3" s="124" t="s">
        <v>6314</v>
      </c>
      <c r="H3" s="124" t="s">
        <v>6320</v>
      </c>
      <c r="I3" s="124" t="s">
        <v>6315</v>
      </c>
      <c r="J3" s="124" t="s">
        <v>6316</v>
      </c>
      <c r="K3" s="124" t="s">
        <v>6317</v>
      </c>
      <c r="L3" s="124" t="s">
        <v>6318</v>
      </c>
      <c r="M3" s="124" t="s">
        <v>6321</v>
      </c>
      <c r="O3" s="164"/>
      <c r="P3" s="164"/>
    </row>
    <row r="4" spans="1:16" ht="17.25" customHeight="1">
      <c r="A4" s="124" t="s">
        <v>5744</v>
      </c>
      <c r="B4" s="126">
        <v>0.3</v>
      </c>
      <c r="C4" t="s">
        <v>6310</v>
      </c>
      <c r="D4" s="124" t="s">
        <v>6311</v>
      </c>
      <c r="E4" s="124" t="s">
        <v>6356</v>
      </c>
      <c r="F4" s="124" t="s">
        <v>6370</v>
      </c>
      <c r="G4" s="124" t="s">
        <v>6314</v>
      </c>
      <c r="H4" s="124" t="s">
        <v>6320</v>
      </c>
      <c r="I4" s="124" t="s">
        <v>6565</v>
      </c>
      <c r="J4" s="124" t="s">
        <v>6316</v>
      </c>
      <c r="K4" s="124" t="s">
        <v>6317</v>
      </c>
      <c r="L4" s="124" t="s">
        <v>6459</v>
      </c>
      <c r="M4" s="124" t="s">
        <v>6321</v>
      </c>
    </row>
    <row r="5" spans="1:16" ht="17.25" customHeight="1">
      <c r="A5" s="124" t="s">
        <v>5745</v>
      </c>
      <c r="B5" s="126">
        <v>0.3</v>
      </c>
      <c r="C5" t="s">
        <v>6310</v>
      </c>
      <c r="D5" s="124" t="s">
        <v>6311</v>
      </c>
      <c r="E5" s="124" t="s">
        <v>6357</v>
      </c>
      <c r="F5" s="124" t="s">
        <v>6371</v>
      </c>
      <c r="G5" s="124" t="s">
        <v>6314</v>
      </c>
      <c r="H5" s="124" t="s">
        <v>6320</v>
      </c>
      <c r="I5" s="124" t="s">
        <v>6566</v>
      </c>
      <c r="J5" s="124" t="s">
        <v>6316</v>
      </c>
      <c r="K5" s="124" t="s">
        <v>6317</v>
      </c>
      <c r="L5" s="124" t="s">
        <v>6460</v>
      </c>
      <c r="M5" s="124" t="s">
        <v>6321</v>
      </c>
    </row>
    <row r="6" spans="1:16" ht="17.25" customHeight="1">
      <c r="A6" s="124" t="s">
        <v>5746</v>
      </c>
      <c r="B6" s="126">
        <v>0.3</v>
      </c>
      <c r="C6" t="s">
        <v>6310</v>
      </c>
      <c r="D6" s="124" t="s">
        <v>6311</v>
      </c>
      <c r="E6" s="124" t="s">
        <v>6358</v>
      </c>
      <c r="F6" s="124" t="s">
        <v>6372</v>
      </c>
      <c r="G6" s="124" t="s">
        <v>6314</v>
      </c>
      <c r="H6" s="124" t="s">
        <v>6320</v>
      </c>
      <c r="I6" s="124" t="s">
        <v>6319</v>
      </c>
      <c r="J6" s="124" t="s">
        <v>6316</v>
      </c>
      <c r="K6" s="124" t="s">
        <v>6317</v>
      </c>
      <c r="L6" s="124" t="s">
        <v>6461</v>
      </c>
      <c r="M6" s="124" t="s">
        <v>6321</v>
      </c>
    </row>
    <row r="7" spans="1:16" ht="17.25" customHeight="1">
      <c r="A7" s="124" t="s">
        <v>5747</v>
      </c>
      <c r="B7" s="126">
        <v>0.3</v>
      </c>
      <c r="C7" t="s">
        <v>6310</v>
      </c>
      <c r="D7" s="124" t="s">
        <v>6311</v>
      </c>
      <c r="E7" s="124" t="s">
        <v>6359</v>
      </c>
      <c r="F7" s="124" t="s">
        <v>6373</v>
      </c>
      <c r="G7" s="124" t="s">
        <v>6314</v>
      </c>
      <c r="H7" s="124" t="s">
        <v>6320</v>
      </c>
      <c r="I7" s="124" t="s">
        <v>6567</v>
      </c>
      <c r="J7" s="124" t="s">
        <v>6316</v>
      </c>
      <c r="K7" s="124" t="s">
        <v>6317</v>
      </c>
      <c r="L7" s="124" t="s">
        <v>6462</v>
      </c>
      <c r="M7" s="124" t="s">
        <v>6321</v>
      </c>
    </row>
    <row r="8" spans="1:16" ht="17.25" customHeight="1">
      <c r="A8" s="124" t="s">
        <v>5748</v>
      </c>
      <c r="B8" s="126">
        <v>0.3</v>
      </c>
      <c r="C8" t="s">
        <v>6322</v>
      </c>
      <c r="D8" s="124" t="s">
        <v>6339</v>
      </c>
      <c r="E8" s="124" t="s">
        <v>6360</v>
      </c>
      <c r="F8" s="124" t="s">
        <v>6374</v>
      </c>
      <c r="G8" s="124" t="s">
        <v>6548</v>
      </c>
      <c r="H8" s="124" t="s">
        <v>6320</v>
      </c>
      <c r="I8" s="124" t="s">
        <v>6568</v>
      </c>
      <c r="J8" s="124" t="s">
        <v>6653</v>
      </c>
      <c r="K8" s="124" t="s">
        <v>6669</v>
      </c>
      <c r="L8" s="124" t="s">
        <v>6463</v>
      </c>
      <c r="M8" s="124" t="s">
        <v>6321</v>
      </c>
    </row>
    <row r="9" spans="1:16" ht="17.25" customHeight="1">
      <c r="A9" s="124" t="s">
        <v>5749</v>
      </c>
      <c r="B9" s="126">
        <v>0.3</v>
      </c>
      <c r="C9" t="s">
        <v>6322</v>
      </c>
      <c r="D9" s="124" t="s">
        <v>6339</v>
      </c>
      <c r="E9" s="124" t="s">
        <v>6361</v>
      </c>
      <c r="F9" s="124" t="s">
        <v>6375</v>
      </c>
      <c r="G9" s="124" t="s">
        <v>6548</v>
      </c>
      <c r="H9" s="124" t="s">
        <v>6320</v>
      </c>
      <c r="I9" s="124" t="s">
        <v>6569</v>
      </c>
      <c r="J9" s="124" t="s">
        <v>6653</v>
      </c>
      <c r="K9" s="124" t="s">
        <v>6669</v>
      </c>
      <c r="L9" s="124" t="s">
        <v>6464</v>
      </c>
      <c r="M9" s="124" t="s">
        <v>6321</v>
      </c>
    </row>
    <row r="10" spans="1:16" ht="17.25" customHeight="1">
      <c r="A10" s="124" t="s">
        <v>5750</v>
      </c>
      <c r="B10" s="126">
        <v>0.3</v>
      </c>
      <c r="C10" t="s">
        <v>6322</v>
      </c>
      <c r="D10" s="124" t="s">
        <v>6339</v>
      </c>
      <c r="E10" s="124" t="s">
        <v>6362</v>
      </c>
      <c r="F10" s="124" t="s">
        <v>6376</v>
      </c>
      <c r="G10" s="124" t="s">
        <v>6548</v>
      </c>
      <c r="H10" s="124" t="s">
        <v>6320</v>
      </c>
      <c r="I10" s="124" t="s">
        <v>6570</v>
      </c>
      <c r="J10" s="124" t="s">
        <v>6653</v>
      </c>
      <c r="K10" s="124" t="s">
        <v>6669</v>
      </c>
      <c r="L10" s="124" t="s">
        <v>6465</v>
      </c>
      <c r="M10" s="124" t="s">
        <v>6321</v>
      </c>
    </row>
    <row r="11" spans="1:16" ht="17.25" customHeight="1">
      <c r="A11" s="124" t="s">
        <v>5751</v>
      </c>
      <c r="B11" s="126">
        <v>0.3</v>
      </c>
      <c r="C11" t="s">
        <v>6322</v>
      </c>
      <c r="D11" s="124" t="s">
        <v>6339</v>
      </c>
      <c r="E11" s="124" t="s">
        <v>6363</v>
      </c>
      <c r="F11" s="124" t="s">
        <v>6377</v>
      </c>
      <c r="G11" s="124" t="s">
        <v>6548</v>
      </c>
      <c r="H11" s="124" t="s">
        <v>6320</v>
      </c>
      <c r="I11" s="124" t="s">
        <v>6571</v>
      </c>
      <c r="J11" s="124" t="s">
        <v>6653</v>
      </c>
      <c r="K11" s="124" t="s">
        <v>6669</v>
      </c>
      <c r="L11" s="124" t="s">
        <v>6466</v>
      </c>
      <c r="M11" s="124" t="s">
        <v>6321</v>
      </c>
    </row>
    <row r="12" spans="1:16" ht="17.25" customHeight="1">
      <c r="A12" s="124" t="s">
        <v>5752</v>
      </c>
      <c r="B12" s="126">
        <v>0.3</v>
      </c>
      <c r="C12" t="s">
        <v>6322</v>
      </c>
      <c r="D12" s="124" t="s">
        <v>6339</v>
      </c>
      <c r="E12" s="124" t="s">
        <v>6364</v>
      </c>
      <c r="F12" s="124" t="s">
        <v>6378</v>
      </c>
      <c r="G12" s="124" t="s">
        <v>6548</v>
      </c>
      <c r="H12" s="124" t="s">
        <v>6320</v>
      </c>
      <c r="I12" s="124" t="s">
        <v>6572</v>
      </c>
      <c r="J12" s="124" t="s">
        <v>6653</v>
      </c>
      <c r="K12" s="124" t="s">
        <v>6669</v>
      </c>
      <c r="L12" s="124" t="s">
        <v>6467</v>
      </c>
      <c r="M12" s="124" t="s">
        <v>6321</v>
      </c>
    </row>
    <row r="13" spans="1:16" ht="17.25" customHeight="1">
      <c r="A13" s="124" t="s">
        <v>5753</v>
      </c>
      <c r="B13" s="126">
        <v>0.3</v>
      </c>
      <c r="C13" t="s">
        <v>6323</v>
      </c>
      <c r="D13" s="124" t="s">
        <v>6340</v>
      </c>
      <c r="E13" s="124" t="s">
        <v>6365</v>
      </c>
      <c r="F13" s="124" t="s">
        <v>6379</v>
      </c>
      <c r="G13" s="124" t="s">
        <v>6549</v>
      </c>
      <c r="H13" s="124" t="s">
        <v>6320</v>
      </c>
      <c r="I13" s="124" t="s">
        <v>6573</v>
      </c>
      <c r="J13" s="124" t="s">
        <v>6654</v>
      </c>
      <c r="K13" s="124" t="s">
        <v>6670</v>
      </c>
      <c r="L13" s="124" t="s">
        <v>6468</v>
      </c>
      <c r="M13" s="124" t="s">
        <v>6321</v>
      </c>
    </row>
    <row r="14" spans="1:16" ht="17.25" customHeight="1">
      <c r="A14" s="124" t="s">
        <v>5754</v>
      </c>
      <c r="B14" s="126">
        <v>0.3</v>
      </c>
      <c r="C14" t="s">
        <v>6323</v>
      </c>
      <c r="D14" s="124" t="s">
        <v>6340</v>
      </c>
      <c r="E14" s="124" t="s">
        <v>6366</v>
      </c>
      <c r="F14" s="124" t="s">
        <v>6380</v>
      </c>
      <c r="G14" s="124" t="s">
        <v>6549</v>
      </c>
      <c r="H14" s="124" t="s">
        <v>6320</v>
      </c>
      <c r="I14" s="124" t="s">
        <v>6574</v>
      </c>
      <c r="J14" s="124" t="s">
        <v>6654</v>
      </c>
      <c r="K14" s="124" t="s">
        <v>6670</v>
      </c>
      <c r="L14" s="124" t="s">
        <v>6469</v>
      </c>
      <c r="M14" s="124" t="s">
        <v>6321</v>
      </c>
    </row>
    <row r="15" spans="1:16" ht="17.25" customHeight="1">
      <c r="A15" s="124" t="s">
        <v>5755</v>
      </c>
      <c r="B15" s="126">
        <v>0.3</v>
      </c>
      <c r="C15" t="s">
        <v>6323</v>
      </c>
      <c r="D15" s="124" t="s">
        <v>6340</v>
      </c>
      <c r="E15" s="124" t="s">
        <v>6367</v>
      </c>
      <c r="F15" s="124" t="s">
        <v>6381</v>
      </c>
      <c r="G15" s="124" t="s">
        <v>6549</v>
      </c>
      <c r="H15" s="124" t="s">
        <v>6320</v>
      </c>
      <c r="I15" s="124" t="s">
        <v>6575</v>
      </c>
      <c r="J15" s="124" t="s">
        <v>6654</v>
      </c>
      <c r="K15" s="124" t="s">
        <v>6670</v>
      </c>
      <c r="L15" s="124" t="s">
        <v>6470</v>
      </c>
      <c r="M15" s="124" t="s">
        <v>6321</v>
      </c>
    </row>
    <row r="16" spans="1:16" ht="17.25" customHeight="1">
      <c r="A16" s="124" t="s">
        <v>5756</v>
      </c>
      <c r="B16" s="126">
        <v>0.3</v>
      </c>
      <c r="C16" t="s">
        <v>6323</v>
      </c>
      <c r="D16" s="124" t="s">
        <v>6340</v>
      </c>
      <c r="E16" s="124" t="s">
        <v>6368</v>
      </c>
      <c r="F16" s="124" t="s">
        <v>6382</v>
      </c>
      <c r="G16" s="124" t="s">
        <v>6549</v>
      </c>
      <c r="H16" s="124" t="s">
        <v>6320</v>
      </c>
      <c r="I16" s="124" t="s">
        <v>6576</v>
      </c>
      <c r="J16" s="124" t="s">
        <v>6654</v>
      </c>
      <c r="K16" s="124" t="s">
        <v>6670</v>
      </c>
      <c r="L16" s="124" t="s">
        <v>6471</v>
      </c>
      <c r="M16" s="124" t="s">
        <v>6321</v>
      </c>
    </row>
    <row r="17" spans="1:13" ht="17.25" customHeight="1">
      <c r="A17" s="124" t="s">
        <v>5757</v>
      </c>
      <c r="B17" s="126">
        <v>0.3</v>
      </c>
      <c r="C17" t="s">
        <v>6323</v>
      </c>
      <c r="D17" s="124" t="s">
        <v>6340</v>
      </c>
      <c r="E17" s="124" t="s">
        <v>6369</v>
      </c>
      <c r="F17" s="124" t="s">
        <v>6383</v>
      </c>
      <c r="G17" s="124" t="s">
        <v>6549</v>
      </c>
      <c r="H17" s="124" t="s">
        <v>6320</v>
      </c>
      <c r="I17" s="124" t="s">
        <v>6577</v>
      </c>
      <c r="J17" s="124" t="s">
        <v>6654</v>
      </c>
      <c r="K17" s="124" t="s">
        <v>6670</v>
      </c>
      <c r="L17" s="124" t="s">
        <v>6472</v>
      </c>
      <c r="M17" s="124" t="s">
        <v>6321</v>
      </c>
    </row>
    <row r="18" spans="1:13" ht="17.25" customHeight="1">
      <c r="A18" s="124" t="s">
        <v>5758</v>
      </c>
      <c r="B18" s="126">
        <v>0.45</v>
      </c>
      <c r="C18" t="s">
        <v>6324</v>
      </c>
      <c r="D18" s="124" t="s">
        <v>6341</v>
      </c>
      <c r="E18" s="124" t="s">
        <v>6230</v>
      </c>
      <c r="F18" s="124" t="s">
        <v>6384</v>
      </c>
      <c r="G18" s="124" t="s">
        <v>6550</v>
      </c>
      <c r="H18" s="124" t="s">
        <v>6320</v>
      </c>
      <c r="I18" s="124" t="s">
        <v>6578</v>
      </c>
      <c r="J18" s="124" t="s">
        <v>6655</v>
      </c>
      <c r="K18" s="124" t="s">
        <v>6671</v>
      </c>
      <c r="L18" s="124" t="s">
        <v>6473</v>
      </c>
      <c r="M18" s="124" t="s">
        <v>6321</v>
      </c>
    </row>
    <row r="19" spans="1:13" ht="17.25" customHeight="1">
      <c r="A19" s="124" t="s">
        <v>5759</v>
      </c>
      <c r="B19" s="126">
        <v>0.45</v>
      </c>
      <c r="C19" t="s">
        <v>6324</v>
      </c>
      <c r="D19" s="124" t="s">
        <v>6341</v>
      </c>
      <c r="E19" s="124" t="s">
        <v>6231</v>
      </c>
      <c r="F19" s="124" t="s">
        <v>6385</v>
      </c>
      <c r="G19" s="124" t="s">
        <v>6550</v>
      </c>
      <c r="H19" s="124" t="s">
        <v>6320</v>
      </c>
      <c r="I19" s="124" t="s">
        <v>6579</v>
      </c>
      <c r="J19" s="124" t="s">
        <v>6655</v>
      </c>
      <c r="K19" s="124" t="s">
        <v>6671</v>
      </c>
      <c r="L19" s="124" t="s">
        <v>6474</v>
      </c>
      <c r="M19" s="124" t="s">
        <v>6321</v>
      </c>
    </row>
    <row r="20" spans="1:13" ht="17.25" customHeight="1">
      <c r="A20" s="124" t="s">
        <v>5760</v>
      </c>
      <c r="B20" s="126">
        <v>0.45</v>
      </c>
      <c r="C20" t="s">
        <v>6324</v>
      </c>
      <c r="D20" s="124" t="s">
        <v>6341</v>
      </c>
      <c r="E20" s="124" t="s">
        <v>6232</v>
      </c>
      <c r="F20" s="124" t="s">
        <v>6386</v>
      </c>
      <c r="G20" s="124" t="s">
        <v>6550</v>
      </c>
      <c r="H20" s="124" t="s">
        <v>6320</v>
      </c>
      <c r="I20" s="124" t="s">
        <v>6580</v>
      </c>
      <c r="J20" s="124" t="s">
        <v>6655</v>
      </c>
      <c r="K20" s="124" t="s">
        <v>6671</v>
      </c>
      <c r="L20" s="124" t="s">
        <v>6475</v>
      </c>
      <c r="M20" s="124" t="s">
        <v>6321</v>
      </c>
    </row>
    <row r="21" spans="1:13" ht="17.25" customHeight="1">
      <c r="A21" s="124" t="s">
        <v>5761</v>
      </c>
      <c r="B21" s="126">
        <v>0.45</v>
      </c>
      <c r="C21" t="s">
        <v>6324</v>
      </c>
      <c r="D21" s="124" t="s">
        <v>6341</v>
      </c>
      <c r="E21" s="124" t="s">
        <v>6233</v>
      </c>
      <c r="F21" s="124" t="s">
        <v>6387</v>
      </c>
      <c r="G21" s="124" t="s">
        <v>6550</v>
      </c>
      <c r="H21" s="124" t="s">
        <v>6320</v>
      </c>
      <c r="I21" s="124" t="s">
        <v>6581</v>
      </c>
      <c r="J21" s="124" t="s">
        <v>6655</v>
      </c>
      <c r="K21" s="124" t="s">
        <v>6671</v>
      </c>
      <c r="L21" s="124" t="s">
        <v>6476</v>
      </c>
      <c r="M21" s="124" t="s">
        <v>6321</v>
      </c>
    </row>
    <row r="22" spans="1:13" ht="17.25" customHeight="1">
      <c r="A22" s="124" t="s">
        <v>5762</v>
      </c>
      <c r="B22" s="126">
        <v>0.45</v>
      </c>
      <c r="C22" t="s">
        <v>6324</v>
      </c>
      <c r="D22" s="124" t="s">
        <v>6341</v>
      </c>
      <c r="E22" s="124" t="s">
        <v>6234</v>
      </c>
      <c r="F22" s="124" t="s">
        <v>6388</v>
      </c>
      <c r="G22" s="124" t="s">
        <v>6550</v>
      </c>
      <c r="H22" s="124" t="s">
        <v>6320</v>
      </c>
      <c r="I22" s="124" t="s">
        <v>6582</v>
      </c>
      <c r="J22" s="124" t="s">
        <v>6655</v>
      </c>
      <c r="K22" s="124" t="s">
        <v>6671</v>
      </c>
      <c r="L22" s="124" t="s">
        <v>6477</v>
      </c>
      <c r="M22" s="124" t="s">
        <v>6321</v>
      </c>
    </row>
    <row r="23" spans="1:13" ht="17.25" customHeight="1">
      <c r="A23" s="124" t="s">
        <v>5763</v>
      </c>
      <c r="B23" s="126">
        <v>0.55000000000000004</v>
      </c>
      <c r="C23" t="s">
        <v>6325</v>
      </c>
      <c r="D23" s="124" t="s">
        <v>6342</v>
      </c>
      <c r="E23" s="124" t="s">
        <v>6235</v>
      </c>
      <c r="F23" s="124" t="s">
        <v>6389</v>
      </c>
      <c r="G23" s="124" t="s">
        <v>6551</v>
      </c>
      <c r="H23" s="124" t="s">
        <v>6320</v>
      </c>
      <c r="I23" s="124" t="s">
        <v>6583</v>
      </c>
      <c r="J23" s="124" t="s">
        <v>6656</v>
      </c>
      <c r="K23" s="124" t="s">
        <v>6672</v>
      </c>
      <c r="L23" s="124" t="s">
        <v>6478</v>
      </c>
      <c r="M23" s="124" t="s">
        <v>6321</v>
      </c>
    </row>
    <row r="24" spans="1:13" ht="17.25" customHeight="1">
      <c r="A24" s="124" t="s">
        <v>5764</v>
      </c>
      <c r="B24" s="126">
        <v>0.55000000000000004</v>
      </c>
      <c r="C24" t="s">
        <v>6325</v>
      </c>
      <c r="D24" s="124" t="s">
        <v>6342</v>
      </c>
      <c r="E24" s="124" t="s">
        <v>6236</v>
      </c>
      <c r="F24" s="124" t="s">
        <v>6390</v>
      </c>
      <c r="G24" s="124" t="s">
        <v>6551</v>
      </c>
      <c r="H24" s="124" t="s">
        <v>6320</v>
      </c>
      <c r="I24" s="124" t="s">
        <v>6584</v>
      </c>
      <c r="J24" s="124" t="s">
        <v>6656</v>
      </c>
      <c r="K24" s="124" t="s">
        <v>6672</v>
      </c>
      <c r="L24" s="124" t="s">
        <v>6479</v>
      </c>
      <c r="M24" s="124" t="s">
        <v>6321</v>
      </c>
    </row>
    <row r="25" spans="1:13" ht="17.25" customHeight="1">
      <c r="A25" s="124" t="s">
        <v>5765</v>
      </c>
      <c r="B25" s="126">
        <v>0.55000000000000004</v>
      </c>
      <c r="C25" t="s">
        <v>6325</v>
      </c>
      <c r="D25" s="124" t="s">
        <v>6342</v>
      </c>
      <c r="E25" s="124" t="s">
        <v>6237</v>
      </c>
      <c r="F25" s="124" t="s">
        <v>6391</v>
      </c>
      <c r="G25" s="124" t="s">
        <v>6551</v>
      </c>
      <c r="H25" s="124" t="s">
        <v>6320</v>
      </c>
      <c r="I25" s="124" t="s">
        <v>6585</v>
      </c>
      <c r="J25" s="124" t="s">
        <v>6656</v>
      </c>
      <c r="K25" s="124" t="s">
        <v>6672</v>
      </c>
      <c r="L25" s="124" t="s">
        <v>6480</v>
      </c>
      <c r="M25" s="124" t="s">
        <v>6321</v>
      </c>
    </row>
    <row r="26" spans="1:13" ht="17.25" customHeight="1">
      <c r="A26" s="124" t="s">
        <v>5766</v>
      </c>
      <c r="B26" s="126">
        <v>0.55000000000000004</v>
      </c>
      <c r="C26" t="s">
        <v>6325</v>
      </c>
      <c r="D26" s="124" t="s">
        <v>6342</v>
      </c>
      <c r="E26" s="124" t="s">
        <v>6238</v>
      </c>
      <c r="F26" s="124" t="s">
        <v>6392</v>
      </c>
      <c r="G26" s="124" t="s">
        <v>6551</v>
      </c>
      <c r="H26" s="124" t="s">
        <v>6320</v>
      </c>
      <c r="I26" s="124" t="s">
        <v>6586</v>
      </c>
      <c r="J26" s="124" t="s">
        <v>6656</v>
      </c>
      <c r="K26" s="124" t="s">
        <v>6672</v>
      </c>
      <c r="L26" s="124" t="s">
        <v>6481</v>
      </c>
      <c r="M26" s="124" t="s">
        <v>6321</v>
      </c>
    </row>
    <row r="27" spans="1:13" ht="17.25" customHeight="1">
      <c r="A27" s="124" t="s">
        <v>5767</v>
      </c>
      <c r="B27" s="126">
        <v>0.55000000000000004</v>
      </c>
      <c r="C27" t="s">
        <v>6325</v>
      </c>
      <c r="D27" s="124" t="s">
        <v>6342</v>
      </c>
      <c r="E27" s="124" t="s">
        <v>6239</v>
      </c>
      <c r="F27" s="124" t="s">
        <v>6393</v>
      </c>
      <c r="G27" s="124" t="s">
        <v>6551</v>
      </c>
      <c r="H27" s="124" t="s">
        <v>6320</v>
      </c>
      <c r="I27" s="124" t="s">
        <v>6587</v>
      </c>
      <c r="J27" s="124" t="s">
        <v>6656</v>
      </c>
      <c r="K27" s="124" t="s">
        <v>6672</v>
      </c>
      <c r="L27" s="124" t="s">
        <v>6482</v>
      </c>
      <c r="M27" s="124" t="s">
        <v>6321</v>
      </c>
    </row>
    <row r="28" spans="1:13" ht="17.25" customHeight="1">
      <c r="A28" s="124" t="s">
        <v>5768</v>
      </c>
      <c r="B28" s="126">
        <v>0.6</v>
      </c>
      <c r="C28" t="s">
        <v>6326</v>
      </c>
      <c r="D28" s="124" t="s">
        <v>6343</v>
      </c>
      <c r="E28" s="124" t="s">
        <v>6240</v>
      </c>
      <c r="F28" s="124" t="s">
        <v>6394</v>
      </c>
      <c r="G28" s="124" t="s">
        <v>6552</v>
      </c>
      <c r="H28" s="124" t="s">
        <v>6320</v>
      </c>
      <c r="I28" s="124" t="s">
        <v>6588</v>
      </c>
      <c r="J28" s="124" t="s">
        <v>6657</v>
      </c>
      <c r="K28" s="124" t="s">
        <v>6673</v>
      </c>
      <c r="L28" s="124" t="s">
        <v>6483</v>
      </c>
      <c r="M28" s="124" t="s">
        <v>6321</v>
      </c>
    </row>
    <row r="29" spans="1:13" ht="17.25" customHeight="1">
      <c r="A29" s="124" t="s">
        <v>5769</v>
      </c>
      <c r="B29" s="126">
        <v>0.6</v>
      </c>
      <c r="C29" t="s">
        <v>6326</v>
      </c>
      <c r="D29" s="124" t="s">
        <v>6343</v>
      </c>
      <c r="E29" s="124" t="s">
        <v>6241</v>
      </c>
      <c r="F29" s="124" t="s">
        <v>6395</v>
      </c>
      <c r="G29" s="124" t="s">
        <v>6552</v>
      </c>
      <c r="H29" s="124" t="s">
        <v>6320</v>
      </c>
      <c r="I29" s="124" t="s">
        <v>6589</v>
      </c>
      <c r="J29" s="124" t="s">
        <v>6657</v>
      </c>
      <c r="K29" s="124" t="s">
        <v>6673</v>
      </c>
      <c r="L29" s="124" t="s">
        <v>6484</v>
      </c>
      <c r="M29" s="124" t="s">
        <v>6321</v>
      </c>
    </row>
    <row r="30" spans="1:13" ht="17.25" customHeight="1">
      <c r="A30" s="124" t="s">
        <v>5770</v>
      </c>
      <c r="B30" s="126">
        <v>0.6</v>
      </c>
      <c r="C30" t="s">
        <v>6326</v>
      </c>
      <c r="D30" s="124" t="s">
        <v>6343</v>
      </c>
      <c r="E30" s="124" t="s">
        <v>6242</v>
      </c>
      <c r="F30" s="124" t="s">
        <v>6396</v>
      </c>
      <c r="G30" s="124" t="s">
        <v>6552</v>
      </c>
      <c r="H30" s="124" t="s">
        <v>6320</v>
      </c>
      <c r="I30" s="124" t="s">
        <v>6590</v>
      </c>
      <c r="J30" s="124" t="s">
        <v>6657</v>
      </c>
      <c r="K30" s="124" t="s">
        <v>6673</v>
      </c>
      <c r="L30" s="124" t="s">
        <v>6485</v>
      </c>
      <c r="M30" s="124" t="s">
        <v>6321</v>
      </c>
    </row>
    <row r="31" spans="1:13" ht="17.25" customHeight="1">
      <c r="A31" s="124" t="s">
        <v>5771</v>
      </c>
      <c r="B31" s="126">
        <v>0.6</v>
      </c>
      <c r="C31" t="s">
        <v>6326</v>
      </c>
      <c r="D31" s="124" t="s">
        <v>6343</v>
      </c>
      <c r="E31" s="124" t="s">
        <v>6243</v>
      </c>
      <c r="F31" s="124" t="s">
        <v>6397</v>
      </c>
      <c r="G31" s="124" t="s">
        <v>6552</v>
      </c>
      <c r="H31" s="124" t="s">
        <v>6320</v>
      </c>
      <c r="I31" s="124" t="s">
        <v>6591</v>
      </c>
      <c r="J31" s="124" t="s">
        <v>6657</v>
      </c>
      <c r="K31" s="124" t="s">
        <v>6673</v>
      </c>
      <c r="L31" s="124" t="s">
        <v>6486</v>
      </c>
      <c r="M31" s="124" t="s">
        <v>6321</v>
      </c>
    </row>
    <row r="32" spans="1:13" ht="17.25" customHeight="1">
      <c r="A32" s="124" t="s">
        <v>5772</v>
      </c>
      <c r="B32" s="126">
        <v>0.6</v>
      </c>
      <c r="C32" t="s">
        <v>6326</v>
      </c>
      <c r="D32" s="124" t="s">
        <v>6343</v>
      </c>
      <c r="E32" s="124" t="s">
        <v>6244</v>
      </c>
      <c r="F32" s="124" t="s">
        <v>6398</v>
      </c>
      <c r="G32" s="124" t="s">
        <v>6552</v>
      </c>
      <c r="H32" s="124" t="s">
        <v>6320</v>
      </c>
      <c r="I32" s="124" t="s">
        <v>6592</v>
      </c>
      <c r="J32" s="124" t="s">
        <v>6657</v>
      </c>
      <c r="K32" s="124" t="s">
        <v>6673</v>
      </c>
      <c r="L32" s="124" t="s">
        <v>6487</v>
      </c>
      <c r="M32" s="124" t="s">
        <v>6321</v>
      </c>
    </row>
    <row r="33" spans="1:13" ht="17.25" customHeight="1">
      <c r="A33" s="124" t="s">
        <v>5773</v>
      </c>
      <c r="B33" s="126">
        <v>0.4</v>
      </c>
      <c r="C33" t="s">
        <v>6327</v>
      </c>
      <c r="D33" s="124" t="s">
        <v>6344</v>
      </c>
      <c r="E33" s="124" t="s">
        <v>6245</v>
      </c>
      <c r="F33" s="124" t="s">
        <v>6399</v>
      </c>
      <c r="G33" s="124" t="s">
        <v>6553</v>
      </c>
      <c r="H33" s="124" t="s">
        <v>6320</v>
      </c>
      <c r="I33" s="124" t="s">
        <v>6593</v>
      </c>
      <c r="J33" s="124" t="s">
        <v>6658</v>
      </c>
      <c r="K33" s="124" t="s">
        <v>6674</v>
      </c>
      <c r="L33" s="124" t="s">
        <v>6488</v>
      </c>
      <c r="M33" s="124" t="s">
        <v>6321</v>
      </c>
    </row>
    <row r="34" spans="1:13" ht="17.25" customHeight="1">
      <c r="A34" s="124" t="s">
        <v>5774</v>
      </c>
      <c r="B34" s="126">
        <v>0.4</v>
      </c>
      <c r="C34" t="s">
        <v>6327</v>
      </c>
      <c r="D34" s="124" t="s">
        <v>6344</v>
      </c>
      <c r="E34" s="124" t="s">
        <v>6246</v>
      </c>
      <c r="F34" s="124" t="s">
        <v>6400</v>
      </c>
      <c r="G34" s="124" t="s">
        <v>6553</v>
      </c>
      <c r="H34" s="124" t="s">
        <v>6320</v>
      </c>
      <c r="I34" s="124" t="s">
        <v>6594</v>
      </c>
      <c r="J34" s="124" t="s">
        <v>6658</v>
      </c>
      <c r="K34" s="124" t="s">
        <v>6674</v>
      </c>
      <c r="L34" s="124" t="s">
        <v>6489</v>
      </c>
      <c r="M34" s="124" t="s">
        <v>6321</v>
      </c>
    </row>
    <row r="35" spans="1:13" ht="17.25" customHeight="1">
      <c r="A35" s="124" t="s">
        <v>5775</v>
      </c>
      <c r="B35" s="126">
        <v>0.4</v>
      </c>
      <c r="C35" t="s">
        <v>6327</v>
      </c>
      <c r="D35" s="124" t="s">
        <v>6344</v>
      </c>
      <c r="E35" s="124" t="s">
        <v>6247</v>
      </c>
      <c r="F35" s="124" t="s">
        <v>6401</v>
      </c>
      <c r="G35" s="124" t="s">
        <v>6553</v>
      </c>
      <c r="H35" s="124" t="s">
        <v>6320</v>
      </c>
      <c r="I35" s="124" t="s">
        <v>6595</v>
      </c>
      <c r="J35" s="124" t="s">
        <v>6658</v>
      </c>
      <c r="K35" s="124" t="s">
        <v>6674</v>
      </c>
      <c r="L35" s="124" t="s">
        <v>6490</v>
      </c>
      <c r="M35" s="124" t="s">
        <v>6321</v>
      </c>
    </row>
    <row r="36" spans="1:13" ht="17.25" customHeight="1">
      <c r="A36" s="124" t="s">
        <v>5776</v>
      </c>
      <c r="B36" s="126">
        <v>0.4</v>
      </c>
      <c r="C36" t="s">
        <v>6327</v>
      </c>
      <c r="D36" s="124" t="s">
        <v>6344</v>
      </c>
      <c r="E36" s="124" t="s">
        <v>6248</v>
      </c>
      <c r="F36" s="124" t="s">
        <v>6402</v>
      </c>
      <c r="G36" s="124" t="s">
        <v>6553</v>
      </c>
      <c r="H36" s="124" t="s">
        <v>6320</v>
      </c>
      <c r="I36" s="124" t="s">
        <v>6596</v>
      </c>
      <c r="J36" s="124" t="s">
        <v>6658</v>
      </c>
      <c r="K36" s="124" t="s">
        <v>6674</v>
      </c>
      <c r="L36" s="124" t="s">
        <v>6491</v>
      </c>
      <c r="M36" s="124" t="s">
        <v>6321</v>
      </c>
    </row>
    <row r="37" spans="1:13" ht="17.25" customHeight="1">
      <c r="A37" s="124" t="s">
        <v>5777</v>
      </c>
      <c r="B37" s="126">
        <v>0.4</v>
      </c>
      <c r="C37" t="s">
        <v>6327</v>
      </c>
      <c r="D37" s="124" t="s">
        <v>6344</v>
      </c>
      <c r="E37" s="124" t="s">
        <v>6249</v>
      </c>
      <c r="F37" s="124" t="s">
        <v>6403</v>
      </c>
      <c r="G37" s="124" t="s">
        <v>6553</v>
      </c>
      <c r="H37" s="124" t="s">
        <v>6320</v>
      </c>
      <c r="I37" s="124" t="s">
        <v>6597</v>
      </c>
      <c r="J37" s="124" t="s">
        <v>6658</v>
      </c>
      <c r="K37" s="124" t="s">
        <v>6674</v>
      </c>
      <c r="L37" s="124" t="s">
        <v>6492</v>
      </c>
      <c r="M37" s="124" t="s">
        <v>6321</v>
      </c>
    </row>
    <row r="38" spans="1:13" ht="17.25" customHeight="1">
      <c r="A38" s="124" t="s">
        <v>5778</v>
      </c>
      <c r="B38" s="126">
        <v>0.45</v>
      </c>
      <c r="C38" t="s">
        <v>6328</v>
      </c>
      <c r="D38" s="124" t="s">
        <v>6345</v>
      </c>
      <c r="E38" s="124" t="s">
        <v>6250</v>
      </c>
      <c r="F38" s="124" t="s">
        <v>6404</v>
      </c>
      <c r="G38" s="124" t="s">
        <v>6554</v>
      </c>
      <c r="H38" s="124" t="s">
        <v>6320</v>
      </c>
      <c r="I38" s="124" t="s">
        <v>6598</v>
      </c>
      <c r="J38" s="124" t="s">
        <v>6659</v>
      </c>
      <c r="K38" s="124" t="s">
        <v>6675</v>
      </c>
      <c r="L38" s="124" t="s">
        <v>6493</v>
      </c>
      <c r="M38" s="124" t="s">
        <v>6321</v>
      </c>
    </row>
    <row r="39" spans="1:13" ht="17.25" customHeight="1">
      <c r="A39" s="124" t="s">
        <v>5779</v>
      </c>
      <c r="B39" s="126">
        <v>0.45</v>
      </c>
      <c r="C39" t="s">
        <v>6328</v>
      </c>
      <c r="D39" s="124" t="s">
        <v>6345</v>
      </c>
      <c r="E39" s="124" t="s">
        <v>6251</v>
      </c>
      <c r="F39" s="124" t="s">
        <v>6405</v>
      </c>
      <c r="G39" s="124" t="s">
        <v>6554</v>
      </c>
      <c r="H39" s="124" t="s">
        <v>6320</v>
      </c>
      <c r="I39" s="124" t="s">
        <v>6599</v>
      </c>
      <c r="J39" s="124" t="s">
        <v>6659</v>
      </c>
      <c r="K39" s="124" t="s">
        <v>6675</v>
      </c>
      <c r="L39" s="124" t="s">
        <v>6494</v>
      </c>
      <c r="M39" s="124" t="s">
        <v>6321</v>
      </c>
    </row>
    <row r="40" spans="1:13" ht="17.25" customHeight="1">
      <c r="A40" s="124" t="s">
        <v>5780</v>
      </c>
      <c r="B40" s="126">
        <v>0.45</v>
      </c>
      <c r="C40" t="s">
        <v>6328</v>
      </c>
      <c r="D40" s="124" t="s">
        <v>6345</v>
      </c>
      <c r="E40" s="124" t="s">
        <v>6252</v>
      </c>
      <c r="F40" s="124" t="s">
        <v>6406</v>
      </c>
      <c r="G40" s="124" t="s">
        <v>6554</v>
      </c>
      <c r="H40" s="124" t="s">
        <v>6320</v>
      </c>
      <c r="I40" s="124" t="s">
        <v>6600</v>
      </c>
      <c r="J40" s="124" t="s">
        <v>6659</v>
      </c>
      <c r="K40" s="124" t="s">
        <v>6675</v>
      </c>
      <c r="L40" s="124" t="s">
        <v>6495</v>
      </c>
      <c r="M40" s="124" t="s">
        <v>6321</v>
      </c>
    </row>
    <row r="41" spans="1:13" ht="17.25" customHeight="1">
      <c r="A41" s="124" t="s">
        <v>5781</v>
      </c>
      <c r="B41" s="126">
        <v>0.45</v>
      </c>
      <c r="C41" t="s">
        <v>6328</v>
      </c>
      <c r="D41" s="124" t="s">
        <v>6345</v>
      </c>
      <c r="E41" s="124" t="s">
        <v>6253</v>
      </c>
      <c r="F41" s="124" t="s">
        <v>6407</v>
      </c>
      <c r="G41" s="124" t="s">
        <v>6554</v>
      </c>
      <c r="H41" s="124" t="s">
        <v>6320</v>
      </c>
      <c r="I41" s="124" t="s">
        <v>6601</v>
      </c>
      <c r="J41" s="124" t="s">
        <v>6659</v>
      </c>
      <c r="K41" s="124" t="s">
        <v>6675</v>
      </c>
      <c r="L41" s="124" t="s">
        <v>6496</v>
      </c>
      <c r="M41" s="124" t="s">
        <v>6321</v>
      </c>
    </row>
    <row r="42" spans="1:13" ht="17.25" customHeight="1">
      <c r="A42" s="124" t="s">
        <v>5782</v>
      </c>
      <c r="B42" s="126">
        <v>0.45</v>
      </c>
      <c r="C42" t="s">
        <v>6328</v>
      </c>
      <c r="D42" s="124" t="s">
        <v>6345</v>
      </c>
      <c r="E42" s="124" t="s">
        <v>6254</v>
      </c>
      <c r="F42" s="124" t="s">
        <v>6408</v>
      </c>
      <c r="G42" s="124" t="s">
        <v>6554</v>
      </c>
      <c r="H42" s="124" t="s">
        <v>6320</v>
      </c>
      <c r="I42" s="124" t="s">
        <v>6602</v>
      </c>
      <c r="J42" s="124" t="s">
        <v>6659</v>
      </c>
      <c r="K42" s="124" t="s">
        <v>6675</v>
      </c>
      <c r="L42" s="124" t="s">
        <v>6497</v>
      </c>
      <c r="M42" s="124" t="s">
        <v>6321</v>
      </c>
    </row>
    <row r="43" spans="1:13" ht="17.25" customHeight="1">
      <c r="A43" s="124" t="s">
        <v>5783</v>
      </c>
      <c r="B43" s="126">
        <v>0.45</v>
      </c>
      <c r="C43" t="s">
        <v>6329</v>
      </c>
      <c r="D43" s="124" t="s">
        <v>6346</v>
      </c>
      <c r="E43" s="124" t="s">
        <v>6255</v>
      </c>
      <c r="F43" s="124" t="s">
        <v>6409</v>
      </c>
      <c r="G43" s="124" t="s">
        <v>6555</v>
      </c>
      <c r="H43" s="124" t="s">
        <v>6320</v>
      </c>
      <c r="I43" s="124" t="s">
        <v>6603</v>
      </c>
      <c r="J43" s="124" t="s">
        <v>6660</v>
      </c>
      <c r="K43" s="124" t="s">
        <v>6676</v>
      </c>
      <c r="L43" s="124" t="s">
        <v>6498</v>
      </c>
      <c r="M43" s="124" t="s">
        <v>6321</v>
      </c>
    </row>
    <row r="44" spans="1:13" ht="17.25" customHeight="1">
      <c r="A44" s="124" t="s">
        <v>5784</v>
      </c>
      <c r="B44" s="126">
        <v>0.45</v>
      </c>
      <c r="C44" t="s">
        <v>6329</v>
      </c>
      <c r="D44" s="124" t="s">
        <v>6346</v>
      </c>
      <c r="E44" s="124" t="s">
        <v>6256</v>
      </c>
      <c r="F44" s="124" t="s">
        <v>6410</v>
      </c>
      <c r="G44" s="124" t="s">
        <v>6555</v>
      </c>
      <c r="H44" s="124" t="s">
        <v>6320</v>
      </c>
      <c r="I44" s="124" t="s">
        <v>6604</v>
      </c>
      <c r="J44" s="124" t="s">
        <v>6660</v>
      </c>
      <c r="K44" s="124" t="s">
        <v>6676</v>
      </c>
      <c r="L44" s="124" t="s">
        <v>6499</v>
      </c>
      <c r="M44" s="124" t="s">
        <v>6321</v>
      </c>
    </row>
    <row r="45" spans="1:13" ht="17.25" customHeight="1">
      <c r="A45" s="124" t="s">
        <v>5785</v>
      </c>
      <c r="B45" s="126">
        <v>0.45</v>
      </c>
      <c r="C45" t="s">
        <v>6329</v>
      </c>
      <c r="D45" s="124" t="s">
        <v>6346</v>
      </c>
      <c r="E45" s="124" t="s">
        <v>6257</v>
      </c>
      <c r="F45" s="124" t="s">
        <v>6411</v>
      </c>
      <c r="G45" s="124" t="s">
        <v>6555</v>
      </c>
      <c r="H45" s="124" t="s">
        <v>6320</v>
      </c>
      <c r="I45" s="124" t="s">
        <v>6605</v>
      </c>
      <c r="J45" s="124" t="s">
        <v>6660</v>
      </c>
      <c r="K45" s="124" t="s">
        <v>6676</v>
      </c>
      <c r="L45" s="124" t="s">
        <v>6500</v>
      </c>
      <c r="M45" s="124" t="s">
        <v>6321</v>
      </c>
    </row>
    <row r="46" spans="1:13" ht="17.25" customHeight="1">
      <c r="A46" s="124" t="s">
        <v>5786</v>
      </c>
      <c r="B46" s="126">
        <v>0.45</v>
      </c>
      <c r="C46" t="s">
        <v>6329</v>
      </c>
      <c r="D46" s="124" t="s">
        <v>6346</v>
      </c>
      <c r="E46" s="124" t="s">
        <v>6258</v>
      </c>
      <c r="F46" s="124" t="s">
        <v>6412</v>
      </c>
      <c r="G46" s="124" t="s">
        <v>6555</v>
      </c>
      <c r="H46" s="124" t="s">
        <v>6320</v>
      </c>
      <c r="I46" s="124" t="s">
        <v>6606</v>
      </c>
      <c r="J46" s="124" t="s">
        <v>6660</v>
      </c>
      <c r="K46" s="124" t="s">
        <v>6676</v>
      </c>
      <c r="L46" s="124" t="s">
        <v>6501</v>
      </c>
      <c r="M46" s="124" t="s">
        <v>6321</v>
      </c>
    </row>
    <row r="47" spans="1:13" ht="17.25" customHeight="1">
      <c r="A47" s="124" t="s">
        <v>5787</v>
      </c>
      <c r="B47" s="126">
        <v>0.45</v>
      </c>
      <c r="C47" t="s">
        <v>6329</v>
      </c>
      <c r="D47" s="124" t="s">
        <v>6346</v>
      </c>
      <c r="E47" s="124" t="s">
        <v>6259</v>
      </c>
      <c r="F47" s="124" t="s">
        <v>6413</v>
      </c>
      <c r="G47" s="124" t="s">
        <v>6555</v>
      </c>
      <c r="H47" s="124" t="s">
        <v>6320</v>
      </c>
      <c r="I47" s="124" t="s">
        <v>6607</v>
      </c>
      <c r="J47" s="124" t="s">
        <v>6660</v>
      </c>
      <c r="K47" s="124" t="s">
        <v>6676</v>
      </c>
      <c r="L47" s="124" t="s">
        <v>6502</v>
      </c>
      <c r="M47" s="124" t="s">
        <v>6321</v>
      </c>
    </row>
    <row r="48" spans="1:13" ht="17.25" customHeight="1">
      <c r="A48" s="124" t="s">
        <v>5788</v>
      </c>
      <c r="B48" s="126">
        <v>0.55000000000000004</v>
      </c>
      <c r="C48" t="s">
        <v>6330</v>
      </c>
      <c r="D48" s="124" t="s">
        <v>6347</v>
      </c>
      <c r="E48" s="124" t="s">
        <v>6260</v>
      </c>
      <c r="F48" s="124" t="s">
        <v>6414</v>
      </c>
      <c r="G48" s="124" t="s">
        <v>6556</v>
      </c>
      <c r="H48" s="124" t="s">
        <v>6320</v>
      </c>
      <c r="I48" s="124" t="s">
        <v>6608</v>
      </c>
      <c r="J48" s="124" t="s">
        <v>6661</v>
      </c>
      <c r="K48" s="124" t="s">
        <v>6677</v>
      </c>
      <c r="L48" s="124" t="s">
        <v>6503</v>
      </c>
      <c r="M48" s="124" t="s">
        <v>6321</v>
      </c>
    </row>
    <row r="49" spans="1:13" ht="17.25" customHeight="1">
      <c r="A49" s="124" t="s">
        <v>5789</v>
      </c>
      <c r="B49" s="126">
        <v>0.55000000000000004</v>
      </c>
      <c r="C49" t="s">
        <v>6330</v>
      </c>
      <c r="D49" s="124" t="s">
        <v>6347</v>
      </c>
      <c r="E49" s="124" t="s">
        <v>6261</v>
      </c>
      <c r="F49" s="124" t="s">
        <v>6415</v>
      </c>
      <c r="G49" s="124" t="s">
        <v>6556</v>
      </c>
      <c r="H49" s="124" t="s">
        <v>6320</v>
      </c>
      <c r="I49" s="124" t="s">
        <v>6609</v>
      </c>
      <c r="J49" s="124" t="s">
        <v>6661</v>
      </c>
      <c r="K49" s="124" t="s">
        <v>6677</v>
      </c>
      <c r="L49" s="124" t="s">
        <v>6504</v>
      </c>
      <c r="M49" s="124" t="s">
        <v>6321</v>
      </c>
    </row>
    <row r="50" spans="1:13" ht="17.25" customHeight="1">
      <c r="A50" s="124" t="s">
        <v>5790</v>
      </c>
      <c r="B50" s="126">
        <v>0.55000000000000004</v>
      </c>
      <c r="C50" t="s">
        <v>6330</v>
      </c>
      <c r="D50" s="124" t="s">
        <v>6347</v>
      </c>
      <c r="E50" s="124" t="s">
        <v>6262</v>
      </c>
      <c r="F50" s="124" t="s">
        <v>6416</v>
      </c>
      <c r="G50" s="124" t="s">
        <v>6556</v>
      </c>
      <c r="H50" s="124" t="s">
        <v>6320</v>
      </c>
      <c r="I50" s="124" t="s">
        <v>6610</v>
      </c>
      <c r="J50" s="124" t="s">
        <v>6661</v>
      </c>
      <c r="K50" s="124" t="s">
        <v>6677</v>
      </c>
      <c r="L50" s="124" t="s">
        <v>6505</v>
      </c>
      <c r="M50" s="124" t="s">
        <v>6321</v>
      </c>
    </row>
    <row r="51" spans="1:13" ht="17.25" customHeight="1">
      <c r="A51" s="124" t="s">
        <v>5791</v>
      </c>
      <c r="B51" s="126">
        <v>0.55000000000000004</v>
      </c>
      <c r="C51" t="s">
        <v>6330</v>
      </c>
      <c r="D51" s="124" t="s">
        <v>6347</v>
      </c>
      <c r="E51" s="124" t="s">
        <v>6263</v>
      </c>
      <c r="F51" s="124" t="s">
        <v>6417</v>
      </c>
      <c r="G51" s="124" t="s">
        <v>6556</v>
      </c>
      <c r="H51" s="124" t="s">
        <v>6320</v>
      </c>
      <c r="I51" s="124" t="s">
        <v>6611</v>
      </c>
      <c r="J51" s="124" t="s">
        <v>6661</v>
      </c>
      <c r="K51" s="124" t="s">
        <v>6677</v>
      </c>
      <c r="L51" s="124" t="s">
        <v>6506</v>
      </c>
      <c r="M51" s="124" t="s">
        <v>6321</v>
      </c>
    </row>
    <row r="52" spans="1:13" ht="17.25" customHeight="1">
      <c r="A52" s="124" t="s">
        <v>5792</v>
      </c>
      <c r="B52" s="126">
        <v>0.55000000000000004</v>
      </c>
      <c r="C52" t="s">
        <v>6330</v>
      </c>
      <c r="D52" s="124" t="s">
        <v>6347</v>
      </c>
      <c r="E52" s="124" t="s">
        <v>6264</v>
      </c>
      <c r="F52" s="124" t="s">
        <v>6418</v>
      </c>
      <c r="G52" s="124" t="s">
        <v>6556</v>
      </c>
      <c r="H52" s="124" t="s">
        <v>6320</v>
      </c>
      <c r="I52" s="124" t="s">
        <v>6612</v>
      </c>
      <c r="J52" s="124" t="s">
        <v>6661</v>
      </c>
      <c r="K52" s="124" t="s">
        <v>6677</v>
      </c>
      <c r="L52" s="124" t="s">
        <v>6507</v>
      </c>
      <c r="M52" s="124" t="s">
        <v>6321</v>
      </c>
    </row>
    <row r="53" spans="1:13" ht="17.25" customHeight="1">
      <c r="A53" s="124" t="s">
        <v>5793</v>
      </c>
      <c r="B53" s="126">
        <v>0.7</v>
      </c>
      <c r="C53" t="s">
        <v>6331</v>
      </c>
      <c r="D53" s="124" t="s">
        <v>6348</v>
      </c>
      <c r="E53" s="124" t="s">
        <v>6265</v>
      </c>
      <c r="F53" s="124" t="s">
        <v>6419</v>
      </c>
      <c r="G53" s="124" t="s">
        <v>6557</v>
      </c>
      <c r="H53" s="124" t="s">
        <v>6320</v>
      </c>
      <c r="I53" s="124" t="s">
        <v>6613</v>
      </c>
      <c r="J53" s="124" t="s">
        <v>6662</v>
      </c>
      <c r="K53" s="124" t="s">
        <v>6678</v>
      </c>
      <c r="L53" s="124" t="s">
        <v>6508</v>
      </c>
      <c r="M53" s="124" t="s">
        <v>6321</v>
      </c>
    </row>
    <row r="54" spans="1:13" ht="17.25" customHeight="1">
      <c r="A54" s="124" t="s">
        <v>5794</v>
      </c>
      <c r="B54" s="126">
        <v>0.7</v>
      </c>
      <c r="C54" t="s">
        <v>6331</v>
      </c>
      <c r="D54" s="124" t="s">
        <v>6348</v>
      </c>
      <c r="E54" s="124" t="s">
        <v>6266</v>
      </c>
      <c r="F54" s="124" t="s">
        <v>6420</v>
      </c>
      <c r="G54" s="124" t="s">
        <v>6557</v>
      </c>
      <c r="H54" s="124" t="s">
        <v>6320</v>
      </c>
      <c r="I54" s="124" t="s">
        <v>6614</v>
      </c>
      <c r="J54" s="124" t="s">
        <v>6662</v>
      </c>
      <c r="K54" s="124" t="s">
        <v>6678</v>
      </c>
      <c r="L54" s="124" t="s">
        <v>6509</v>
      </c>
      <c r="M54" s="124" t="s">
        <v>6321</v>
      </c>
    </row>
    <row r="55" spans="1:13" ht="17.25" customHeight="1">
      <c r="A55" s="124" t="s">
        <v>5795</v>
      </c>
      <c r="B55" s="126">
        <v>0.7</v>
      </c>
      <c r="C55" t="s">
        <v>6331</v>
      </c>
      <c r="D55" s="124" t="s">
        <v>6348</v>
      </c>
      <c r="E55" s="124" t="s">
        <v>6267</v>
      </c>
      <c r="F55" s="124" t="s">
        <v>6421</v>
      </c>
      <c r="G55" s="124" t="s">
        <v>6557</v>
      </c>
      <c r="H55" s="124" t="s">
        <v>6320</v>
      </c>
      <c r="I55" s="124" t="s">
        <v>6615</v>
      </c>
      <c r="J55" s="124" t="s">
        <v>6662</v>
      </c>
      <c r="K55" s="124" t="s">
        <v>6678</v>
      </c>
      <c r="L55" s="124" t="s">
        <v>6510</v>
      </c>
      <c r="M55" s="124" t="s">
        <v>6321</v>
      </c>
    </row>
    <row r="56" spans="1:13" ht="17.25" customHeight="1">
      <c r="A56" s="124" t="s">
        <v>5796</v>
      </c>
      <c r="B56" s="126">
        <v>0.7</v>
      </c>
      <c r="C56" t="s">
        <v>6331</v>
      </c>
      <c r="D56" s="124" t="s">
        <v>6348</v>
      </c>
      <c r="E56" s="124" t="s">
        <v>6268</v>
      </c>
      <c r="F56" s="124" t="s">
        <v>6422</v>
      </c>
      <c r="G56" s="124" t="s">
        <v>6557</v>
      </c>
      <c r="H56" s="124" t="s">
        <v>6320</v>
      </c>
      <c r="I56" s="124" t="s">
        <v>6616</v>
      </c>
      <c r="J56" s="124" t="s">
        <v>6662</v>
      </c>
      <c r="K56" s="124" t="s">
        <v>6678</v>
      </c>
      <c r="L56" s="124" t="s">
        <v>6511</v>
      </c>
      <c r="M56" s="124" t="s">
        <v>6321</v>
      </c>
    </row>
    <row r="57" spans="1:13" ht="17.25" customHeight="1">
      <c r="A57" s="124" t="s">
        <v>5797</v>
      </c>
      <c r="B57" s="126">
        <v>0.7</v>
      </c>
      <c r="C57" t="s">
        <v>6331</v>
      </c>
      <c r="D57" s="124" t="s">
        <v>6348</v>
      </c>
      <c r="E57" s="124" t="s">
        <v>6269</v>
      </c>
      <c r="F57" s="124" t="s">
        <v>6423</v>
      </c>
      <c r="G57" s="124" t="s">
        <v>6557</v>
      </c>
      <c r="H57" s="124" t="s">
        <v>6320</v>
      </c>
      <c r="I57" s="124" t="s">
        <v>6617</v>
      </c>
      <c r="J57" s="124" t="s">
        <v>6662</v>
      </c>
      <c r="K57" s="124" t="s">
        <v>6678</v>
      </c>
      <c r="L57" s="124" t="s">
        <v>6512</v>
      </c>
      <c r="M57" s="124" t="s">
        <v>6321</v>
      </c>
    </row>
    <row r="58" spans="1:13" ht="17.25" customHeight="1">
      <c r="A58" s="131" t="s">
        <v>5798</v>
      </c>
      <c r="B58" s="126">
        <v>0.3</v>
      </c>
      <c r="C58" t="s">
        <v>6332</v>
      </c>
      <c r="D58" s="131" t="s">
        <v>6349</v>
      </c>
      <c r="E58" s="131" t="s">
        <v>6275</v>
      </c>
      <c r="F58" s="131" t="s">
        <v>6424</v>
      </c>
      <c r="G58" s="131" t="s">
        <v>6558</v>
      </c>
      <c r="H58" s="124" t="s">
        <v>6320</v>
      </c>
      <c r="I58" s="131" t="s">
        <v>6618</v>
      </c>
      <c r="J58" s="131" t="s">
        <v>6663</v>
      </c>
      <c r="K58" s="131" t="s">
        <v>6679</v>
      </c>
      <c r="L58" s="124" t="s">
        <v>6513</v>
      </c>
      <c r="M58" s="124" t="s">
        <v>6321</v>
      </c>
    </row>
    <row r="59" spans="1:13" ht="17.25" customHeight="1">
      <c r="A59" s="131" t="s">
        <v>5799</v>
      </c>
      <c r="B59" s="126">
        <v>0.3</v>
      </c>
      <c r="C59" t="s">
        <v>6332</v>
      </c>
      <c r="D59" s="131" t="s">
        <v>6349</v>
      </c>
      <c r="E59" s="131" t="s">
        <v>6276</v>
      </c>
      <c r="F59" s="131" t="s">
        <v>6425</v>
      </c>
      <c r="G59" s="131" t="s">
        <v>6558</v>
      </c>
      <c r="H59" s="124" t="s">
        <v>6320</v>
      </c>
      <c r="I59" s="131" t="s">
        <v>6619</v>
      </c>
      <c r="J59" s="131" t="s">
        <v>6663</v>
      </c>
      <c r="K59" s="131" t="s">
        <v>6679</v>
      </c>
      <c r="L59" s="124" t="s">
        <v>6514</v>
      </c>
      <c r="M59" s="124" t="s">
        <v>6321</v>
      </c>
    </row>
    <row r="60" spans="1:13" ht="17.25" customHeight="1">
      <c r="A60" s="131" t="s">
        <v>5800</v>
      </c>
      <c r="B60" s="126">
        <v>0.3</v>
      </c>
      <c r="C60" t="s">
        <v>6332</v>
      </c>
      <c r="D60" s="131" t="s">
        <v>6349</v>
      </c>
      <c r="E60" s="131" t="s">
        <v>6277</v>
      </c>
      <c r="F60" s="131" t="s">
        <v>6426</v>
      </c>
      <c r="G60" s="131" t="s">
        <v>6558</v>
      </c>
      <c r="H60" s="124" t="s">
        <v>6320</v>
      </c>
      <c r="I60" s="131" t="s">
        <v>6620</v>
      </c>
      <c r="J60" s="131" t="s">
        <v>6663</v>
      </c>
      <c r="K60" s="131" t="s">
        <v>6679</v>
      </c>
      <c r="L60" s="124" t="s">
        <v>6515</v>
      </c>
      <c r="M60" s="124" t="s">
        <v>6321</v>
      </c>
    </row>
    <row r="61" spans="1:13" ht="17.25" customHeight="1">
      <c r="A61" s="131" t="s">
        <v>5801</v>
      </c>
      <c r="B61" s="126">
        <v>0.3</v>
      </c>
      <c r="C61" t="s">
        <v>6332</v>
      </c>
      <c r="D61" s="131" t="s">
        <v>6349</v>
      </c>
      <c r="E61" s="131" t="s">
        <v>6278</v>
      </c>
      <c r="F61" s="131" t="s">
        <v>6427</v>
      </c>
      <c r="G61" s="131" t="s">
        <v>6558</v>
      </c>
      <c r="H61" s="124" t="s">
        <v>6320</v>
      </c>
      <c r="I61" s="131" t="s">
        <v>6621</v>
      </c>
      <c r="J61" s="131" t="s">
        <v>6663</v>
      </c>
      <c r="K61" s="131" t="s">
        <v>6679</v>
      </c>
      <c r="L61" s="124" t="s">
        <v>6516</v>
      </c>
      <c r="M61" s="124" t="s">
        <v>6321</v>
      </c>
    </row>
    <row r="62" spans="1:13" ht="17.25" customHeight="1">
      <c r="A62" s="131" t="s">
        <v>5802</v>
      </c>
      <c r="B62" s="126">
        <v>0.3</v>
      </c>
      <c r="C62" t="s">
        <v>6332</v>
      </c>
      <c r="D62" s="131" t="s">
        <v>6349</v>
      </c>
      <c r="E62" s="131" t="s">
        <v>6279</v>
      </c>
      <c r="F62" s="131" t="s">
        <v>6428</v>
      </c>
      <c r="G62" s="131" t="s">
        <v>6558</v>
      </c>
      <c r="H62" s="124" t="s">
        <v>6320</v>
      </c>
      <c r="I62" s="131" t="s">
        <v>6622</v>
      </c>
      <c r="J62" s="131" t="s">
        <v>6663</v>
      </c>
      <c r="K62" s="131" t="s">
        <v>6679</v>
      </c>
      <c r="L62" s="124" t="s">
        <v>6517</v>
      </c>
      <c r="M62" s="124" t="s">
        <v>6321</v>
      </c>
    </row>
    <row r="63" spans="1:13" ht="17.25" customHeight="1">
      <c r="A63" s="124" t="s">
        <v>5803</v>
      </c>
      <c r="B63" s="126">
        <v>0.3</v>
      </c>
      <c r="C63" t="s">
        <v>6333</v>
      </c>
      <c r="D63" s="124" t="s">
        <v>6350</v>
      </c>
      <c r="E63" s="124" t="s">
        <v>6280</v>
      </c>
      <c r="F63" s="124" t="s">
        <v>6429</v>
      </c>
      <c r="G63" s="124" t="s">
        <v>6559</v>
      </c>
      <c r="H63" s="124" t="s">
        <v>6320</v>
      </c>
      <c r="I63" s="124" t="s">
        <v>6623</v>
      </c>
      <c r="J63" s="124" t="s">
        <v>6664</v>
      </c>
      <c r="K63" s="124" t="s">
        <v>6680</v>
      </c>
      <c r="L63" s="124" t="s">
        <v>6518</v>
      </c>
      <c r="M63" s="124" t="s">
        <v>6321</v>
      </c>
    </row>
    <row r="64" spans="1:13" ht="17.25" customHeight="1">
      <c r="A64" s="124" t="s">
        <v>5804</v>
      </c>
      <c r="B64" s="126">
        <v>0.3</v>
      </c>
      <c r="C64" t="s">
        <v>6333</v>
      </c>
      <c r="D64" s="124" t="s">
        <v>6350</v>
      </c>
      <c r="E64" s="124" t="s">
        <v>6281</v>
      </c>
      <c r="F64" s="124" t="s">
        <v>6430</v>
      </c>
      <c r="G64" s="124" t="s">
        <v>6559</v>
      </c>
      <c r="H64" s="124" t="s">
        <v>6320</v>
      </c>
      <c r="I64" s="124" t="s">
        <v>6624</v>
      </c>
      <c r="J64" s="124" t="s">
        <v>6664</v>
      </c>
      <c r="K64" s="124" t="s">
        <v>6680</v>
      </c>
      <c r="L64" s="124" t="s">
        <v>6519</v>
      </c>
      <c r="M64" s="124" t="s">
        <v>6321</v>
      </c>
    </row>
    <row r="65" spans="1:13" ht="17.25" customHeight="1">
      <c r="A65" s="124" t="s">
        <v>5805</v>
      </c>
      <c r="B65" s="126">
        <v>0.3</v>
      </c>
      <c r="C65" t="s">
        <v>6333</v>
      </c>
      <c r="D65" s="124" t="s">
        <v>6350</v>
      </c>
      <c r="E65" s="124" t="s">
        <v>6282</v>
      </c>
      <c r="F65" s="124" t="s">
        <v>6431</v>
      </c>
      <c r="G65" s="124" t="s">
        <v>6559</v>
      </c>
      <c r="H65" s="124" t="s">
        <v>6320</v>
      </c>
      <c r="I65" s="124" t="s">
        <v>6625</v>
      </c>
      <c r="J65" s="124" t="s">
        <v>6664</v>
      </c>
      <c r="K65" s="124" t="s">
        <v>6680</v>
      </c>
      <c r="L65" s="124" t="s">
        <v>6520</v>
      </c>
      <c r="M65" s="124" t="s">
        <v>6321</v>
      </c>
    </row>
    <row r="66" spans="1:13" ht="17.25" customHeight="1">
      <c r="A66" s="124" t="s">
        <v>5806</v>
      </c>
      <c r="B66" s="126">
        <v>0.3</v>
      </c>
      <c r="C66" t="s">
        <v>6333</v>
      </c>
      <c r="D66" s="124" t="s">
        <v>6350</v>
      </c>
      <c r="E66" s="124" t="s">
        <v>6283</v>
      </c>
      <c r="F66" s="124" t="s">
        <v>6432</v>
      </c>
      <c r="G66" s="124" t="s">
        <v>6559</v>
      </c>
      <c r="H66" s="124" t="s">
        <v>6320</v>
      </c>
      <c r="I66" s="124" t="s">
        <v>6626</v>
      </c>
      <c r="J66" s="124" t="s">
        <v>6664</v>
      </c>
      <c r="K66" s="124" t="s">
        <v>6680</v>
      </c>
      <c r="L66" s="124" t="s">
        <v>6521</v>
      </c>
      <c r="M66" s="124" t="s">
        <v>6321</v>
      </c>
    </row>
    <row r="67" spans="1:13" ht="17.25" customHeight="1">
      <c r="A67" s="124" t="s">
        <v>5807</v>
      </c>
      <c r="B67" s="126">
        <v>0.3</v>
      </c>
      <c r="C67" t="s">
        <v>6333</v>
      </c>
      <c r="D67" s="124" t="s">
        <v>6350</v>
      </c>
      <c r="E67" s="124" t="s">
        <v>6284</v>
      </c>
      <c r="F67" s="124" t="s">
        <v>6433</v>
      </c>
      <c r="G67" s="124" t="s">
        <v>6559</v>
      </c>
      <c r="H67" s="124" t="s">
        <v>6320</v>
      </c>
      <c r="I67" s="124" t="s">
        <v>6627</v>
      </c>
      <c r="J67" s="124" t="s">
        <v>6664</v>
      </c>
      <c r="K67" s="124" t="s">
        <v>6680</v>
      </c>
      <c r="L67" s="124" t="s">
        <v>6522</v>
      </c>
      <c r="M67" s="124" t="s">
        <v>6321</v>
      </c>
    </row>
    <row r="68" spans="1:13" ht="17.25" customHeight="1">
      <c r="A68" s="124" t="s">
        <v>5808</v>
      </c>
      <c r="B68" s="126">
        <v>0.3</v>
      </c>
      <c r="C68" t="s">
        <v>6334</v>
      </c>
      <c r="D68" s="124" t="s">
        <v>6351</v>
      </c>
      <c r="E68" s="124" t="s">
        <v>6285</v>
      </c>
      <c r="F68" s="124" t="s">
        <v>6434</v>
      </c>
      <c r="G68" s="124" t="s">
        <v>6560</v>
      </c>
      <c r="H68" s="124" t="s">
        <v>6320</v>
      </c>
      <c r="I68" s="124" t="s">
        <v>6628</v>
      </c>
      <c r="J68" s="124" t="s">
        <v>6628</v>
      </c>
      <c r="K68" s="124" t="s">
        <v>6628</v>
      </c>
      <c r="L68" s="124" t="s">
        <v>6523</v>
      </c>
      <c r="M68" s="124" t="s">
        <v>6321</v>
      </c>
    </row>
    <row r="69" spans="1:13" ht="17.25" customHeight="1">
      <c r="A69" s="124" t="s">
        <v>5809</v>
      </c>
      <c r="B69" s="126">
        <v>0.3</v>
      </c>
      <c r="C69" t="s">
        <v>6334</v>
      </c>
      <c r="D69" s="124" t="s">
        <v>6351</v>
      </c>
      <c r="E69" s="124" t="s">
        <v>6286</v>
      </c>
      <c r="F69" s="124" t="s">
        <v>6435</v>
      </c>
      <c r="G69" s="124" t="s">
        <v>6560</v>
      </c>
      <c r="H69" s="124" t="s">
        <v>6320</v>
      </c>
      <c r="I69" s="124" t="s">
        <v>6629</v>
      </c>
      <c r="J69" s="124" t="s">
        <v>6629</v>
      </c>
      <c r="K69" s="124" t="s">
        <v>6629</v>
      </c>
      <c r="L69" s="124" t="s">
        <v>6524</v>
      </c>
      <c r="M69" s="124" t="s">
        <v>6321</v>
      </c>
    </row>
    <row r="70" spans="1:13" ht="17.25" customHeight="1">
      <c r="A70" s="124" t="s">
        <v>5810</v>
      </c>
      <c r="B70" s="126">
        <v>0.3</v>
      </c>
      <c r="C70" t="s">
        <v>6334</v>
      </c>
      <c r="D70" s="124" t="s">
        <v>6351</v>
      </c>
      <c r="E70" s="124" t="s">
        <v>6287</v>
      </c>
      <c r="F70" s="124" t="s">
        <v>6436</v>
      </c>
      <c r="G70" s="124" t="s">
        <v>6560</v>
      </c>
      <c r="H70" s="124" t="s">
        <v>6320</v>
      </c>
      <c r="I70" s="124" t="s">
        <v>6630</v>
      </c>
      <c r="J70" s="124" t="s">
        <v>6630</v>
      </c>
      <c r="K70" s="124" t="s">
        <v>6630</v>
      </c>
      <c r="L70" s="124" t="s">
        <v>6525</v>
      </c>
      <c r="M70" s="124" t="s">
        <v>6321</v>
      </c>
    </row>
    <row r="71" spans="1:13" ht="17.25" customHeight="1">
      <c r="A71" s="124" t="s">
        <v>5811</v>
      </c>
      <c r="B71" s="126">
        <v>0.3</v>
      </c>
      <c r="C71" t="s">
        <v>6334</v>
      </c>
      <c r="D71" s="124" t="s">
        <v>6351</v>
      </c>
      <c r="E71" s="124" t="s">
        <v>6288</v>
      </c>
      <c r="F71" s="124" t="s">
        <v>6437</v>
      </c>
      <c r="G71" s="124" t="s">
        <v>6560</v>
      </c>
      <c r="H71" s="124" t="s">
        <v>6320</v>
      </c>
      <c r="I71" s="124" t="s">
        <v>6631</v>
      </c>
      <c r="J71" s="124" t="s">
        <v>6631</v>
      </c>
      <c r="K71" s="124" t="s">
        <v>6631</v>
      </c>
      <c r="L71" s="124" t="s">
        <v>6526</v>
      </c>
      <c r="M71" s="124" t="s">
        <v>6321</v>
      </c>
    </row>
    <row r="72" spans="1:13" ht="17.25" customHeight="1">
      <c r="A72" s="124" t="s">
        <v>5812</v>
      </c>
      <c r="B72" s="126">
        <v>0.3</v>
      </c>
      <c r="C72" t="s">
        <v>6334</v>
      </c>
      <c r="D72" s="124" t="s">
        <v>6351</v>
      </c>
      <c r="E72" s="124" t="s">
        <v>6289</v>
      </c>
      <c r="F72" s="124" t="s">
        <v>6438</v>
      </c>
      <c r="G72" s="124" t="s">
        <v>6560</v>
      </c>
      <c r="H72" s="124" t="s">
        <v>6320</v>
      </c>
      <c r="I72" s="124" t="s">
        <v>6632</v>
      </c>
      <c r="J72" s="124" t="s">
        <v>6632</v>
      </c>
      <c r="K72" s="124" t="s">
        <v>6632</v>
      </c>
      <c r="L72" s="124" t="s">
        <v>6527</v>
      </c>
      <c r="M72" s="124" t="s">
        <v>6321</v>
      </c>
    </row>
    <row r="73" spans="1:13" ht="17.25" customHeight="1">
      <c r="A73" s="124" t="s">
        <v>5813</v>
      </c>
      <c r="B73" s="126">
        <v>0.6</v>
      </c>
      <c r="C73" t="s">
        <v>6335</v>
      </c>
      <c r="D73" s="124" t="s">
        <v>6352</v>
      </c>
      <c r="E73" s="124" t="s">
        <v>6270</v>
      </c>
      <c r="F73" s="124" t="s">
        <v>6439</v>
      </c>
      <c r="G73" s="124" t="s">
        <v>6561</v>
      </c>
      <c r="H73" s="124" t="s">
        <v>6320</v>
      </c>
      <c r="I73" s="124" t="s">
        <v>6633</v>
      </c>
      <c r="J73" s="124" t="s">
        <v>6665</v>
      </c>
      <c r="K73" s="124" t="s">
        <v>6681</v>
      </c>
      <c r="L73" s="124" t="s">
        <v>6528</v>
      </c>
      <c r="M73" s="124" t="s">
        <v>6321</v>
      </c>
    </row>
    <row r="74" spans="1:13" ht="17.25" customHeight="1">
      <c r="A74" s="124" t="s">
        <v>5814</v>
      </c>
      <c r="B74" s="126">
        <v>0.6</v>
      </c>
      <c r="C74" t="s">
        <v>6335</v>
      </c>
      <c r="D74" s="124" t="s">
        <v>6352</v>
      </c>
      <c r="E74" s="124" t="s">
        <v>6271</v>
      </c>
      <c r="F74" s="124" t="s">
        <v>6440</v>
      </c>
      <c r="G74" s="124" t="s">
        <v>6561</v>
      </c>
      <c r="H74" s="124" t="s">
        <v>6320</v>
      </c>
      <c r="I74" s="124" t="s">
        <v>6634</v>
      </c>
      <c r="J74" s="124" t="s">
        <v>6665</v>
      </c>
      <c r="K74" s="124" t="s">
        <v>6681</v>
      </c>
      <c r="L74" s="124" t="s">
        <v>6529</v>
      </c>
      <c r="M74" s="124" t="s">
        <v>6321</v>
      </c>
    </row>
    <row r="75" spans="1:13" ht="17.25" customHeight="1">
      <c r="A75" s="124" t="s">
        <v>5815</v>
      </c>
      <c r="B75" s="126">
        <v>0.6</v>
      </c>
      <c r="C75" t="s">
        <v>6335</v>
      </c>
      <c r="D75" s="124" t="s">
        <v>6352</v>
      </c>
      <c r="E75" s="124" t="s">
        <v>6272</v>
      </c>
      <c r="F75" s="124" t="s">
        <v>6441</v>
      </c>
      <c r="G75" s="124" t="s">
        <v>6561</v>
      </c>
      <c r="H75" s="124" t="s">
        <v>6320</v>
      </c>
      <c r="I75" s="124" t="s">
        <v>6635</v>
      </c>
      <c r="J75" s="124" t="s">
        <v>6665</v>
      </c>
      <c r="K75" s="124" t="s">
        <v>6681</v>
      </c>
      <c r="L75" s="124" t="s">
        <v>6530</v>
      </c>
      <c r="M75" s="124" t="s">
        <v>6321</v>
      </c>
    </row>
    <row r="76" spans="1:13" ht="17.25" customHeight="1">
      <c r="A76" s="124" t="s">
        <v>5816</v>
      </c>
      <c r="B76" s="126">
        <v>0.6</v>
      </c>
      <c r="C76" t="s">
        <v>6335</v>
      </c>
      <c r="D76" s="124" t="s">
        <v>6352</v>
      </c>
      <c r="E76" s="124" t="s">
        <v>6273</v>
      </c>
      <c r="F76" s="124" t="s">
        <v>6442</v>
      </c>
      <c r="G76" s="124" t="s">
        <v>6561</v>
      </c>
      <c r="H76" s="124" t="s">
        <v>6320</v>
      </c>
      <c r="I76" s="124" t="s">
        <v>6636</v>
      </c>
      <c r="J76" s="124" t="s">
        <v>6665</v>
      </c>
      <c r="K76" s="124" t="s">
        <v>6681</v>
      </c>
      <c r="L76" s="124" t="s">
        <v>6531</v>
      </c>
      <c r="M76" s="124" t="s">
        <v>6321</v>
      </c>
    </row>
    <row r="77" spans="1:13" ht="17.25" customHeight="1">
      <c r="A77" s="124" t="s">
        <v>5817</v>
      </c>
      <c r="B77" s="126">
        <v>0.6</v>
      </c>
      <c r="C77" t="s">
        <v>6335</v>
      </c>
      <c r="D77" s="124" t="s">
        <v>6352</v>
      </c>
      <c r="E77" s="124" t="s">
        <v>6274</v>
      </c>
      <c r="F77" s="124" t="s">
        <v>6443</v>
      </c>
      <c r="G77" s="124" t="s">
        <v>6561</v>
      </c>
      <c r="H77" s="124" t="s">
        <v>6320</v>
      </c>
      <c r="I77" s="124" t="s">
        <v>6637</v>
      </c>
      <c r="J77" s="124" t="s">
        <v>6665</v>
      </c>
      <c r="K77" s="124" t="s">
        <v>6681</v>
      </c>
      <c r="L77" s="124" t="s">
        <v>6532</v>
      </c>
      <c r="M77" s="124" t="s">
        <v>6321</v>
      </c>
    </row>
    <row r="78" spans="1:13" ht="17.25" customHeight="1">
      <c r="A78" s="124" t="s">
        <v>5818</v>
      </c>
      <c r="B78" s="126">
        <v>0.5</v>
      </c>
      <c r="C78" t="s">
        <v>6336</v>
      </c>
      <c r="D78" s="124" t="s">
        <v>6353</v>
      </c>
      <c r="E78" s="124" t="s">
        <v>6295</v>
      </c>
      <c r="F78" s="124" t="s">
        <v>6444</v>
      </c>
      <c r="G78" s="124" t="s">
        <v>6562</v>
      </c>
      <c r="H78" s="124" t="s">
        <v>6320</v>
      </c>
      <c r="I78" s="124" t="s">
        <v>6638</v>
      </c>
      <c r="J78" s="124" t="s">
        <v>6666</v>
      </c>
      <c r="K78" s="124" t="s">
        <v>6682</v>
      </c>
      <c r="L78" s="124" t="s">
        <v>6533</v>
      </c>
      <c r="M78" s="124" t="s">
        <v>6321</v>
      </c>
    </row>
    <row r="79" spans="1:13" ht="17.25" customHeight="1">
      <c r="A79" s="124" t="s">
        <v>5819</v>
      </c>
      <c r="B79" s="126">
        <v>0.5</v>
      </c>
      <c r="C79" t="s">
        <v>6336</v>
      </c>
      <c r="D79" s="124" t="s">
        <v>6353</v>
      </c>
      <c r="E79" s="124" t="s">
        <v>6296</v>
      </c>
      <c r="F79" s="124" t="s">
        <v>6445</v>
      </c>
      <c r="G79" s="124" t="s">
        <v>6562</v>
      </c>
      <c r="H79" s="124" t="s">
        <v>6320</v>
      </c>
      <c r="I79" s="124" t="s">
        <v>6639</v>
      </c>
      <c r="J79" s="124" t="s">
        <v>6666</v>
      </c>
      <c r="K79" s="124" t="s">
        <v>6682</v>
      </c>
      <c r="L79" s="124" t="s">
        <v>6534</v>
      </c>
      <c r="M79" s="124" t="s">
        <v>6321</v>
      </c>
    </row>
    <row r="80" spans="1:13" ht="17.25" customHeight="1">
      <c r="A80" s="124" t="s">
        <v>5820</v>
      </c>
      <c r="B80" s="126">
        <v>0.5</v>
      </c>
      <c r="C80" t="s">
        <v>6336</v>
      </c>
      <c r="D80" s="124" t="s">
        <v>6353</v>
      </c>
      <c r="E80" s="124" t="s">
        <v>6297</v>
      </c>
      <c r="F80" s="124" t="s">
        <v>6446</v>
      </c>
      <c r="G80" s="124" t="s">
        <v>6562</v>
      </c>
      <c r="H80" s="124" t="s">
        <v>6320</v>
      </c>
      <c r="I80" s="124" t="s">
        <v>6640</v>
      </c>
      <c r="J80" s="124" t="s">
        <v>6666</v>
      </c>
      <c r="K80" s="124" t="s">
        <v>6682</v>
      </c>
      <c r="L80" s="124" t="s">
        <v>6535</v>
      </c>
      <c r="M80" s="124" t="s">
        <v>6321</v>
      </c>
    </row>
    <row r="81" spans="1:13" ht="17.25" customHeight="1">
      <c r="A81" s="124" t="s">
        <v>5821</v>
      </c>
      <c r="B81" s="126">
        <v>0.5</v>
      </c>
      <c r="C81" t="s">
        <v>6336</v>
      </c>
      <c r="D81" s="124" t="s">
        <v>6353</v>
      </c>
      <c r="E81" s="124" t="s">
        <v>6298</v>
      </c>
      <c r="F81" s="124" t="s">
        <v>6447</v>
      </c>
      <c r="G81" s="124" t="s">
        <v>6562</v>
      </c>
      <c r="H81" s="124" t="s">
        <v>6320</v>
      </c>
      <c r="I81" s="124" t="s">
        <v>6641</v>
      </c>
      <c r="J81" s="124" t="s">
        <v>6666</v>
      </c>
      <c r="K81" s="124" t="s">
        <v>6682</v>
      </c>
      <c r="L81" s="124" t="s">
        <v>6536</v>
      </c>
      <c r="M81" s="124" t="s">
        <v>6321</v>
      </c>
    </row>
    <row r="82" spans="1:13" ht="17.25" customHeight="1">
      <c r="A82" s="124" t="s">
        <v>5822</v>
      </c>
      <c r="B82" s="126">
        <v>0.5</v>
      </c>
      <c r="C82" t="s">
        <v>6336</v>
      </c>
      <c r="D82" s="124" t="s">
        <v>6353</v>
      </c>
      <c r="E82" s="124" t="s">
        <v>6299</v>
      </c>
      <c r="F82" s="124" t="s">
        <v>6448</v>
      </c>
      <c r="G82" s="124" t="s">
        <v>6562</v>
      </c>
      <c r="H82" s="124" t="s">
        <v>6320</v>
      </c>
      <c r="I82" s="124" t="s">
        <v>6642</v>
      </c>
      <c r="J82" s="124" t="s">
        <v>6666</v>
      </c>
      <c r="K82" s="124" t="s">
        <v>6682</v>
      </c>
      <c r="L82" s="124" t="s">
        <v>6537</v>
      </c>
      <c r="M82" s="124" t="s">
        <v>6321</v>
      </c>
    </row>
    <row r="83" spans="1:13" ht="17.25" customHeight="1">
      <c r="A83" s="124" t="s">
        <v>5823</v>
      </c>
      <c r="B83" s="126">
        <v>0.55000000000000004</v>
      </c>
      <c r="C83" t="s">
        <v>6337</v>
      </c>
      <c r="D83" s="124" t="s">
        <v>6354</v>
      </c>
      <c r="E83" s="124" t="s">
        <v>6300</v>
      </c>
      <c r="F83" s="124" t="s">
        <v>6449</v>
      </c>
      <c r="G83" s="124" t="s">
        <v>6563</v>
      </c>
      <c r="H83" s="124" t="s">
        <v>6320</v>
      </c>
      <c r="I83" s="124" t="s">
        <v>6643</v>
      </c>
      <c r="J83" s="124" t="s">
        <v>6667</v>
      </c>
      <c r="K83" s="124" t="s">
        <v>6683</v>
      </c>
      <c r="L83" s="124" t="s">
        <v>6538</v>
      </c>
      <c r="M83" s="124" t="s">
        <v>6321</v>
      </c>
    </row>
    <row r="84" spans="1:13" ht="17.25" customHeight="1">
      <c r="A84" s="124" t="s">
        <v>5824</v>
      </c>
      <c r="B84" s="126">
        <v>0.55000000000000004</v>
      </c>
      <c r="C84" t="s">
        <v>6337</v>
      </c>
      <c r="D84" s="124" t="s">
        <v>6354</v>
      </c>
      <c r="E84" s="124" t="s">
        <v>6301</v>
      </c>
      <c r="F84" s="124" t="s">
        <v>6450</v>
      </c>
      <c r="G84" s="124" t="s">
        <v>6563</v>
      </c>
      <c r="H84" s="124" t="s">
        <v>6320</v>
      </c>
      <c r="I84" s="124" t="s">
        <v>6644</v>
      </c>
      <c r="J84" s="124" t="s">
        <v>6667</v>
      </c>
      <c r="K84" s="124" t="s">
        <v>6683</v>
      </c>
      <c r="L84" s="124" t="s">
        <v>6539</v>
      </c>
      <c r="M84" s="124" t="s">
        <v>6321</v>
      </c>
    </row>
    <row r="85" spans="1:13" ht="17.25" customHeight="1">
      <c r="A85" s="124" t="s">
        <v>5825</v>
      </c>
      <c r="B85" s="126">
        <v>0.55000000000000004</v>
      </c>
      <c r="C85" t="s">
        <v>6337</v>
      </c>
      <c r="D85" s="124" t="s">
        <v>6354</v>
      </c>
      <c r="E85" s="124" t="s">
        <v>6302</v>
      </c>
      <c r="F85" s="124" t="s">
        <v>6451</v>
      </c>
      <c r="G85" s="124" t="s">
        <v>6563</v>
      </c>
      <c r="H85" s="124" t="s">
        <v>6320</v>
      </c>
      <c r="I85" s="124" t="s">
        <v>6645</v>
      </c>
      <c r="J85" s="124" t="s">
        <v>6667</v>
      </c>
      <c r="K85" s="124" t="s">
        <v>6683</v>
      </c>
      <c r="L85" s="124" t="s">
        <v>6540</v>
      </c>
      <c r="M85" s="124" t="s">
        <v>6321</v>
      </c>
    </row>
    <row r="86" spans="1:13" ht="17.25" customHeight="1">
      <c r="A86" s="124" t="s">
        <v>5826</v>
      </c>
      <c r="B86" s="126">
        <v>0.55000000000000004</v>
      </c>
      <c r="C86" t="s">
        <v>6337</v>
      </c>
      <c r="D86" s="124" t="s">
        <v>6354</v>
      </c>
      <c r="E86" s="124" t="s">
        <v>6303</v>
      </c>
      <c r="F86" s="124" t="s">
        <v>6452</v>
      </c>
      <c r="G86" s="124" t="s">
        <v>6563</v>
      </c>
      <c r="H86" s="124" t="s">
        <v>6320</v>
      </c>
      <c r="I86" s="124" t="s">
        <v>6646</v>
      </c>
      <c r="J86" s="124" t="s">
        <v>6667</v>
      </c>
      <c r="K86" s="124" t="s">
        <v>6683</v>
      </c>
      <c r="L86" s="124" t="s">
        <v>6541</v>
      </c>
      <c r="M86" s="124" t="s">
        <v>6321</v>
      </c>
    </row>
    <row r="87" spans="1:13" ht="17.25" customHeight="1">
      <c r="A87" s="124" t="s">
        <v>5827</v>
      </c>
      <c r="B87" s="126">
        <v>0.55000000000000004</v>
      </c>
      <c r="C87" t="s">
        <v>6337</v>
      </c>
      <c r="D87" s="124" t="s">
        <v>6354</v>
      </c>
      <c r="E87" s="124" t="s">
        <v>6304</v>
      </c>
      <c r="F87" s="124" t="s">
        <v>6453</v>
      </c>
      <c r="G87" s="124" t="s">
        <v>6563</v>
      </c>
      <c r="H87" s="124" t="s">
        <v>6320</v>
      </c>
      <c r="I87" s="124" t="s">
        <v>6647</v>
      </c>
      <c r="J87" s="124" t="s">
        <v>6667</v>
      </c>
      <c r="K87" s="124" t="s">
        <v>6683</v>
      </c>
      <c r="L87" s="124" t="s">
        <v>6542</v>
      </c>
      <c r="M87" s="124" t="s">
        <v>6321</v>
      </c>
    </row>
    <row r="88" spans="1:13" ht="17.25" customHeight="1">
      <c r="A88" s="124" t="s">
        <v>5828</v>
      </c>
      <c r="B88" s="126">
        <v>0</v>
      </c>
      <c r="C88" t="s">
        <v>6338</v>
      </c>
      <c r="D88" s="124" t="s">
        <v>6355</v>
      </c>
      <c r="E88" s="124" t="s">
        <v>6305</v>
      </c>
      <c r="F88" s="124" t="s">
        <v>6454</v>
      </c>
      <c r="G88" s="124" t="s">
        <v>6564</v>
      </c>
      <c r="H88" s="124" t="s">
        <v>6320</v>
      </c>
      <c r="I88" s="124" t="s">
        <v>6648</v>
      </c>
      <c r="J88" s="124" t="s">
        <v>6668</v>
      </c>
      <c r="K88" s="124" t="s">
        <v>6684</v>
      </c>
      <c r="L88" s="124" t="s">
        <v>6543</v>
      </c>
      <c r="M88" s="124" t="s">
        <v>6321</v>
      </c>
    </row>
    <row r="89" spans="1:13" ht="17.25" customHeight="1">
      <c r="A89" s="124" t="s">
        <v>5829</v>
      </c>
      <c r="B89" s="126">
        <v>0</v>
      </c>
      <c r="C89" t="s">
        <v>6338</v>
      </c>
      <c r="D89" s="124" t="s">
        <v>6355</v>
      </c>
      <c r="E89" s="124" t="s">
        <v>6306</v>
      </c>
      <c r="F89" s="124" t="s">
        <v>6455</v>
      </c>
      <c r="G89" s="124" t="s">
        <v>6564</v>
      </c>
      <c r="H89" s="124" t="s">
        <v>6320</v>
      </c>
      <c r="I89" s="124" t="s">
        <v>6649</v>
      </c>
      <c r="J89" s="124" t="s">
        <v>6668</v>
      </c>
      <c r="K89" s="124" t="s">
        <v>6684</v>
      </c>
      <c r="L89" s="124" t="s">
        <v>6544</v>
      </c>
      <c r="M89" s="124" t="s">
        <v>6321</v>
      </c>
    </row>
    <row r="90" spans="1:13" ht="17.25" customHeight="1">
      <c r="A90" s="124" t="s">
        <v>5830</v>
      </c>
      <c r="B90" s="126">
        <v>0</v>
      </c>
      <c r="C90" t="s">
        <v>6338</v>
      </c>
      <c r="D90" s="124" t="s">
        <v>6355</v>
      </c>
      <c r="E90" s="124" t="s">
        <v>6307</v>
      </c>
      <c r="F90" s="124" t="s">
        <v>6456</v>
      </c>
      <c r="G90" s="124" t="s">
        <v>6564</v>
      </c>
      <c r="H90" s="124" t="s">
        <v>6320</v>
      </c>
      <c r="I90" s="124" t="s">
        <v>6650</v>
      </c>
      <c r="J90" s="124" t="s">
        <v>6668</v>
      </c>
      <c r="K90" s="124" t="s">
        <v>6684</v>
      </c>
      <c r="L90" s="124" t="s">
        <v>6545</v>
      </c>
      <c r="M90" s="124" t="s">
        <v>6321</v>
      </c>
    </row>
    <row r="91" spans="1:13" ht="17.25" customHeight="1">
      <c r="A91" s="124" t="s">
        <v>5831</v>
      </c>
      <c r="B91" s="126">
        <v>0</v>
      </c>
      <c r="C91" t="s">
        <v>6338</v>
      </c>
      <c r="D91" s="124" t="s">
        <v>6355</v>
      </c>
      <c r="E91" s="124" t="s">
        <v>6308</v>
      </c>
      <c r="F91" s="124" t="s">
        <v>6457</v>
      </c>
      <c r="G91" s="124" t="s">
        <v>6564</v>
      </c>
      <c r="H91" s="124" t="s">
        <v>6320</v>
      </c>
      <c r="I91" s="124" t="s">
        <v>6651</v>
      </c>
      <c r="J91" s="124" t="s">
        <v>6668</v>
      </c>
      <c r="K91" s="124" t="s">
        <v>6684</v>
      </c>
      <c r="L91" s="124" t="s">
        <v>6546</v>
      </c>
      <c r="M91" s="124" t="s">
        <v>6321</v>
      </c>
    </row>
    <row r="92" spans="1:13" ht="17.25" customHeight="1">
      <c r="A92" s="124" t="s">
        <v>5832</v>
      </c>
      <c r="B92" s="126">
        <v>0</v>
      </c>
      <c r="C92" t="s">
        <v>6338</v>
      </c>
      <c r="D92" s="124" t="s">
        <v>6355</v>
      </c>
      <c r="E92" s="124" t="s">
        <v>6309</v>
      </c>
      <c r="F92" s="124" t="s">
        <v>6458</v>
      </c>
      <c r="G92" s="124" t="s">
        <v>6564</v>
      </c>
      <c r="H92" s="124" t="s">
        <v>6320</v>
      </c>
      <c r="I92" s="124" t="s">
        <v>6652</v>
      </c>
      <c r="J92" s="124" t="s">
        <v>6668</v>
      </c>
      <c r="K92" s="124" t="s">
        <v>6684</v>
      </c>
      <c r="L92" s="124" t="s">
        <v>6547</v>
      </c>
      <c r="M92" s="124" t="s">
        <v>6321</v>
      </c>
    </row>
    <row r="93" spans="1:13" ht="17.25" customHeight="1">
      <c r="B93" s="15">
        <v>0</v>
      </c>
      <c r="C93" s="45"/>
      <c r="D93" s="45"/>
      <c r="E93" s="15"/>
      <c r="F93" s="45"/>
      <c r="G93" s="45"/>
      <c r="H93" s="45"/>
      <c r="I93" s="124"/>
      <c r="J93" s="124"/>
      <c r="K93" s="45"/>
      <c r="L93" s="124"/>
      <c r="M93" s="124"/>
    </row>
    <row r="94" spans="1:13" ht="17.25" customHeight="1">
      <c r="B94" s="15">
        <v>0</v>
      </c>
      <c r="C94" s="45"/>
      <c r="D94" s="45"/>
      <c r="E94" s="15"/>
      <c r="F94" s="45"/>
      <c r="G94" s="45"/>
      <c r="H94" s="45"/>
      <c r="I94" s="124"/>
      <c r="J94" s="124"/>
      <c r="K94" s="45"/>
      <c r="L94" s="124"/>
      <c r="M94" s="124"/>
    </row>
    <row r="95" spans="1:13" ht="17.25" customHeight="1">
      <c r="B95" s="15">
        <v>0</v>
      </c>
      <c r="C95" s="45"/>
      <c r="D95" s="45"/>
      <c r="E95" s="15"/>
      <c r="F95" s="45"/>
      <c r="G95" s="45"/>
      <c r="H95" s="45"/>
      <c r="I95" s="124"/>
      <c r="J95" s="124"/>
      <c r="K95" s="45"/>
      <c r="L95" s="124"/>
      <c r="M95" s="124"/>
    </row>
    <row r="96" spans="1:13" ht="17.25" customHeight="1">
      <c r="B96" s="15">
        <v>0</v>
      </c>
      <c r="C96" s="45"/>
      <c r="D96" s="45"/>
      <c r="E96" s="15"/>
      <c r="F96" s="45"/>
      <c r="G96" s="45"/>
      <c r="H96" s="45"/>
      <c r="I96" s="124"/>
      <c r="J96" s="124"/>
      <c r="K96" s="45"/>
      <c r="L96" s="124"/>
      <c r="M96" s="124"/>
    </row>
    <row r="97" spans="2:13" ht="17.25" customHeight="1">
      <c r="B97" s="15">
        <v>0</v>
      </c>
      <c r="C97" s="45"/>
      <c r="D97" s="45"/>
      <c r="E97" s="15"/>
      <c r="F97" s="45"/>
      <c r="G97" s="45"/>
      <c r="H97" s="45"/>
      <c r="I97" s="124"/>
      <c r="J97" s="124"/>
      <c r="K97" s="45"/>
      <c r="L97" s="124"/>
      <c r="M97" s="124"/>
    </row>
    <row r="98" spans="2:13" ht="17.25" customHeight="1">
      <c r="B98" s="15">
        <v>0</v>
      </c>
      <c r="C98" s="45"/>
      <c r="D98" s="45"/>
      <c r="E98" s="15"/>
      <c r="F98" s="45"/>
      <c r="G98" s="45"/>
      <c r="H98" s="45"/>
      <c r="I98" s="124"/>
      <c r="J98" s="124"/>
      <c r="K98" s="45"/>
      <c r="L98" s="124"/>
      <c r="M98" s="124"/>
    </row>
    <row r="99" spans="2:13" ht="17.25" customHeight="1">
      <c r="B99" s="15">
        <v>0</v>
      </c>
      <c r="C99" s="45"/>
      <c r="D99" s="45"/>
      <c r="E99" s="15"/>
      <c r="F99" s="45"/>
      <c r="G99" s="45"/>
      <c r="H99" s="45"/>
      <c r="I99" s="124"/>
      <c r="J99" s="124"/>
      <c r="K99" s="45"/>
      <c r="L99" s="124"/>
      <c r="M99" s="124"/>
    </row>
    <row r="100" spans="2:13" ht="17.25" customHeight="1">
      <c r="B100" s="15">
        <v>0</v>
      </c>
      <c r="C100" s="45"/>
      <c r="D100" s="45"/>
      <c r="E100" s="15"/>
      <c r="F100" s="45"/>
      <c r="G100" s="45"/>
      <c r="H100" s="45"/>
      <c r="I100" s="124"/>
      <c r="J100" s="124"/>
      <c r="K100" s="45"/>
      <c r="L100" s="124"/>
      <c r="M100" s="124"/>
    </row>
    <row r="101" spans="2:13" ht="17.25" customHeight="1">
      <c r="B101" s="15">
        <v>0</v>
      </c>
      <c r="C101" s="45"/>
      <c r="D101" s="45"/>
      <c r="E101" s="15"/>
      <c r="F101" s="45"/>
      <c r="G101" s="45"/>
      <c r="H101" s="45"/>
      <c r="I101" s="124"/>
      <c r="J101" s="124"/>
      <c r="K101" s="45"/>
      <c r="L101" s="124"/>
      <c r="M101" s="124"/>
    </row>
    <row r="102" spans="2:13" ht="17.25" customHeight="1">
      <c r="B102" s="15">
        <v>0</v>
      </c>
      <c r="C102" s="45"/>
      <c r="D102" s="45"/>
      <c r="E102" s="15"/>
      <c r="F102" s="45"/>
      <c r="G102" s="45"/>
      <c r="H102" s="45"/>
      <c r="I102" s="124"/>
      <c r="J102" s="124"/>
      <c r="K102" s="45"/>
      <c r="L102" s="124"/>
      <c r="M102" s="124"/>
    </row>
    <row r="103" spans="2:13" ht="17.25" customHeight="1">
      <c r="B103" s="15">
        <v>0</v>
      </c>
      <c r="C103" s="45"/>
      <c r="D103" s="45"/>
      <c r="E103" s="15"/>
      <c r="F103" s="45"/>
      <c r="G103" s="45"/>
      <c r="H103" s="45"/>
      <c r="I103" s="124"/>
      <c r="J103" s="124"/>
      <c r="K103" s="45"/>
      <c r="L103" s="124"/>
      <c r="M103" s="124"/>
    </row>
    <row r="104" spans="2:13" ht="17.25" customHeight="1">
      <c r="B104" s="15">
        <v>0</v>
      </c>
      <c r="C104" s="45"/>
      <c r="D104" s="45"/>
      <c r="E104" s="15"/>
      <c r="F104" s="45"/>
      <c r="G104" s="45"/>
      <c r="H104" s="45"/>
      <c r="I104" s="124"/>
      <c r="J104" s="124"/>
      <c r="K104" s="45"/>
      <c r="L104" s="124"/>
      <c r="M104" s="124"/>
    </row>
    <row r="105" spans="2:13" ht="17.25" customHeight="1">
      <c r="B105" s="15">
        <v>0</v>
      </c>
      <c r="C105" s="45"/>
      <c r="D105" s="45"/>
      <c r="E105" s="15"/>
      <c r="F105" s="45"/>
      <c r="G105" s="45"/>
      <c r="H105" s="45"/>
      <c r="I105" s="124"/>
      <c r="J105" s="124"/>
      <c r="K105" s="45"/>
      <c r="L105" s="124"/>
      <c r="M105" s="124"/>
    </row>
    <row r="106" spans="2:13" ht="17.25" customHeight="1">
      <c r="B106" s="15">
        <v>0</v>
      </c>
      <c r="C106" s="45"/>
      <c r="D106" s="45"/>
      <c r="E106" s="15"/>
      <c r="F106" s="45"/>
      <c r="G106" s="45"/>
      <c r="H106" s="45"/>
      <c r="I106" s="124"/>
      <c r="J106" s="124"/>
      <c r="K106" s="45"/>
      <c r="L106" s="124"/>
      <c r="M106" s="124"/>
    </row>
    <row r="107" spans="2:13" ht="17.25" customHeight="1">
      <c r="B107" s="15">
        <v>0</v>
      </c>
      <c r="C107" s="45"/>
      <c r="D107" s="45"/>
      <c r="E107" s="15"/>
      <c r="F107" s="45"/>
      <c r="G107" s="45"/>
      <c r="H107" s="45"/>
      <c r="I107" s="124"/>
      <c r="J107" s="124"/>
      <c r="K107" s="45"/>
      <c r="L107" s="124"/>
      <c r="M107" s="124"/>
    </row>
    <row r="108" spans="2:13" ht="17.25" customHeight="1">
      <c r="B108" s="15">
        <v>0</v>
      </c>
      <c r="C108" s="45"/>
      <c r="D108" s="45"/>
      <c r="E108" s="15"/>
      <c r="F108" s="45"/>
      <c r="G108" s="45"/>
      <c r="H108" s="45"/>
      <c r="I108" s="124"/>
      <c r="J108" s="124"/>
      <c r="K108" s="45"/>
      <c r="L108" s="124"/>
      <c r="M108" s="124"/>
    </row>
    <row r="109" spans="2:13" ht="17.25" customHeight="1">
      <c r="B109" s="15">
        <v>0</v>
      </c>
      <c r="C109" s="45"/>
      <c r="D109" s="45"/>
      <c r="E109" s="15"/>
      <c r="F109" s="45"/>
      <c r="G109" s="45"/>
      <c r="H109" s="45"/>
      <c r="I109" s="124"/>
      <c r="J109" s="124"/>
      <c r="K109" s="45"/>
      <c r="L109" s="124"/>
      <c r="M109" s="124"/>
    </row>
    <row r="110" spans="2:13" ht="17.25" customHeight="1">
      <c r="B110" s="15">
        <v>0</v>
      </c>
      <c r="C110" s="45"/>
      <c r="D110" s="45"/>
      <c r="E110" s="15"/>
      <c r="F110" s="45"/>
      <c r="G110" s="45"/>
      <c r="H110" s="45"/>
      <c r="I110" s="124"/>
      <c r="J110" s="124"/>
      <c r="K110" s="45"/>
      <c r="L110" s="124"/>
      <c r="M110" s="124"/>
    </row>
    <row r="111" spans="2:13" ht="17.25" customHeight="1">
      <c r="B111" s="15">
        <v>0</v>
      </c>
      <c r="C111" s="45"/>
      <c r="D111" s="45"/>
      <c r="E111" s="15"/>
      <c r="F111" s="45"/>
      <c r="G111" s="45"/>
      <c r="H111" s="45"/>
      <c r="I111" s="124"/>
      <c r="J111" s="124"/>
      <c r="K111" s="45"/>
      <c r="L111" s="124"/>
      <c r="M111" s="124"/>
    </row>
    <row r="112" spans="2:13" ht="17.25" customHeight="1">
      <c r="B112" s="15">
        <v>0</v>
      </c>
      <c r="C112" s="45"/>
      <c r="D112" s="45"/>
      <c r="E112" s="15"/>
      <c r="F112" s="45"/>
      <c r="G112" s="45"/>
      <c r="H112" s="45"/>
      <c r="I112" s="124"/>
      <c r="J112" s="124"/>
      <c r="K112" s="45"/>
      <c r="L112" s="124"/>
      <c r="M112" s="124"/>
    </row>
    <row r="113" spans="2:13" ht="17.25" customHeight="1">
      <c r="B113" s="15">
        <v>0</v>
      </c>
      <c r="C113" s="45"/>
      <c r="D113" s="45"/>
      <c r="E113" s="15"/>
      <c r="F113" s="45"/>
      <c r="G113" s="45"/>
      <c r="H113" s="45"/>
      <c r="I113" s="124"/>
      <c r="J113" s="124"/>
      <c r="K113" s="45"/>
      <c r="L113" s="124"/>
      <c r="M113" s="124"/>
    </row>
    <row r="114" spans="2:13" ht="17.25" customHeight="1">
      <c r="B114" s="15">
        <v>0</v>
      </c>
      <c r="C114" s="45"/>
      <c r="D114" s="45"/>
      <c r="E114" s="15"/>
      <c r="F114" s="45"/>
      <c r="G114" s="45"/>
      <c r="H114" s="45"/>
      <c r="I114" s="124"/>
      <c r="J114" s="124"/>
      <c r="K114" s="45"/>
      <c r="L114" s="124"/>
      <c r="M114" s="124"/>
    </row>
    <row r="115" spans="2:13" ht="17.25" customHeight="1">
      <c r="B115" s="15">
        <v>0</v>
      </c>
      <c r="C115" s="45"/>
      <c r="D115" s="45"/>
      <c r="E115" s="15"/>
      <c r="F115" s="45"/>
      <c r="G115" s="45"/>
      <c r="H115" s="45"/>
      <c r="I115" s="124"/>
      <c r="J115" s="124"/>
      <c r="K115" s="45"/>
      <c r="L115" s="124"/>
      <c r="M115" s="124"/>
    </row>
    <row r="116" spans="2:13" ht="17.25" customHeight="1">
      <c r="B116" s="15">
        <v>0</v>
      </c>
      <c r="C116" s="45"/>
      <c r="D116" s="45"/>
      <c r="E116" s="15"/>
      <c r="F116" s="45"/>
      <c r="G116" s="45"/>
      <c r="H116" s="45"/>
      <c r="I116" s="124"/>
      <c r="J116" s="124"/>
      <c r="K116" s="45"/>
      <c r="L116" s="124"/>
      <c r="M116" s="124"/>
    </row>
    <row r="117" spans="2:13" ht="17.25" customHeight="1">
      <c r="B117" s="15">
        <v>0</v>
      </c>
      <c r="C117" s="45"/>
      <c r="D117" s="45"/>
      <c r="E117" s="15"/>
      <c r="F117" s="45"/>
      <c r="G117" s="45"/>
      <c r="H117" s="45"/>
      <c r="I117" s="124"/>
      <c r="J117" s="124"/>
      <c r="K117" s="45"/>
      <c r="L117" s="124"/>
      <c r="M117" s="124"/>
    </row>
    <row r="118" spans="2:13" ht="17.25" customHeight="1">
      <c r="B118" s="15">
        <v>0</v>
      </c>
      <c r="C118" s="45"/>
      <c r="D118" s="45"/>
      <c r="E118" s="15"/>
      <c r="F118" s="45"/>
      <c r="G118" s="45"/>
      <c r="H118" s="45"/>
      <c r="I118" s="124"/>
      <c r="J118" s="124"/>
      <c r="K118" s="45"/>
      <c r="L118" s="124"/>
      <c r="M118" s="124"/>
    </row>
    <row r="119" spans="2:13" ht="17.25" customHeight="1">
      <c r="B119" s="15">
        <v>0</v>
      </c>
      <c r="C119" s="45"/>
      <c r="D119" s="45"/>
      <c r="E119" s="15"/>
      <c r="F119" s="45"/>
      <c r="G119" s="45"/>
      <c r="H119" s="45"/>
      <c r="I119" s="124"/>
      <c r="J119" s="124"/>
      <c r="K119" s="45"/>
      <c r="L119" s="124"/>
      <c r="M119" s="124"/>
    </row>
    <row r="120" spans="2:13" ht="17.25" customHeight="1">
      <c r="B120" s="15">
        <v>0</v>
      </c>
      <c r="C120" s="45"/>
      <c r="D120" s="45"/>
      <c r="E120" s="15"/>
      <c r="F120" s="45"/>
      <c r="G120" s="45"/>
      <c r="H120" s="45"/>
      <c r="I120" s="124"/>
      <c r="J120" s="124"/>
      <c r="K120" s="45"/>
      <c r="L120" s="124"/>
      <c r="M120" s="124"/>
    </row>
    <row r="121" spans="2:13" ht="17.25" customHeight="1">
      <c r="B121" s="15">
        <v>0</v>
      </c>
      <c r="C121" s="45"/>
      <c r="D121" s="45"/>
      <c r="E121" s="15"/>
      <c r="F121" s="45"/>
      <c r="G121" s="45"/>
      <c r="H121" s="45"/>
      <c r="I121" s="124"/>
      <c r="J121" s="124"/>
      <c r="K121" s="45"/>
      <c r="L121" s="124"/>
      <c r="M121" s="124"/>
    </row>
    <row r="122" spans="2:13" ht="17.25" customHeight="1">
      <c r="B122" s="15">
        <v>0</v>
      </c>
      <c r="C122" s="45"/>
      <c r="D122" s="45"/>
      <c r="E122" s="15"/>
      <c r="F122" s="45"/>
      <c r="G122" s="45"/>
      <c r="H122" s="45"/>
      <c r="I122" s="124"/>
      <c r="J122" s="124"/>
      <c r="K122" s="45"/>
      <c r="L122" s="124"/>
      <c r="M122" s="124"/>
    </row>
    <row r="123" spans="2:13" ht="17.25" customHeight="1">
      <c r="B123" s="15">
        <v>0</v>
      </c>
      <c r="C123" s="45"/>
      <c r="D123" s="45"/>
      <c r="E123" s="15"/>
      <c r="F123" s="45"/>
      <c r="G123" s="45"/>
      <c r="H123" s="45"/>
      <c r="I123" s="124"/>
      <c r="J123" s="124"/>
      <c r="K123" s="45"/>
      <c r="L123" s="124"/>
      <c r="M123" s="124"/>
    </row>
    <row r="124" spans="2:13" ht="17.25" customHeight="1">
      <c r="B124" s="15">
        <v>0</v>
      </c>
      <c r="C124" s="45"/>
      <c r="D124" s="45"/>
      <c r="E124" s="15"/>
      <c r="F124" s="45"/>
      <c r="G124" s="45"/>
      <c r="H124" s="45"/>
      <c r="I124" s="124"/>
      <c r="J124" s="124"/>
      <c r="K124" s="45"/>
      <c r="L124" s="124"/>
      <c r="M124" s="124"/>
    </row>
    <row r="125" spans="2:13" ht="17.25" customHeight="1">
      <c r="B125" s="15">
        <v>0</v>
      </c>
      <c r="C125" s="45"/>
      <c r="D125" s="45"/>
      <c r="E125" s="15"/>
      <c r="F125" s="45"/>
      <c r="G125" s="45"/>
      <c r="H125" s="45"/>
      <c r="I125" s="124"/>
      <c r="J125" s="124"/>
      <c r="K125" s="45"/>
      <c r="L125" s="124"/>
      <c r="M125" s="124"/>
    </row>
    <row r="126" spans="2:13" ht="17.25" customHeight="1">
      <c r="B126" s="15">
        <v>0</v>
      </c>
      <c r="C126" s="45"/>
      <c r="D126" s="45"/>
      <c r="E126" s="15"/>
      <c r="F126" s="45"/>
      <c r="G126" s="45"/>
      <c r="H126" s="45"/>
      <c r="I126" s="124"/>
      <c r="J126" s="124"/>
      <c r="K126" s="45"/>
      <c r="L126" s="124"/>
      <c r="M126" s="124"/>
    </row>
    <row r="127" spans="2:13" ht="17.25" customHeight="1">
      <c r="B127" s="15">
        <v>0</v>
      </c>
      <c r="C127" s="45"/>
      <c r="D127" s="45"/>
      <c r="E127" s="15"/>
      <c r="F127" s="45"/>
      <c r="G127" s="45"/>
      <c r="H127" s="45"/>
      <c r="I127" s="124"/>
      <c r="J127" s="124"/>
      <c r="K127" s="45"/>
      <c r="L127" s="124"/>
      <c r="M127" s="124"/>
    </row>
    <row r="128" spans="2:13" ht="17.25" customHeight="1">
      <c r="B128" s="15">
        <v>0</v>
      </c>
      <c r="C128" s="45"/>
      <c r="D128" s="45"/>
      <c r="E128" s="15"/>
      <c r="F128" s="45"/>
      <c r="G128" s="45"/>
      <c r="H128" s="45"/>
      <c r="I128" s="124"/>
      <c r="J128" s="124"/>
      <c r="K128" s="45"/>
      <c r="L128" s="124"/>
      <c r="M128" s="124"/>
    </row>
    <row r="129" spans="2:13" ht="17.25" customHeight="1">
      <c r="B129" s="15">
        <v>0</v>
      </c>
      <c r="C129" s="45"/>
      <c r="D129" s="45"/>
      <c r="E129" s="15"/>
      <c r="F129" s="45"/>
      <c r="G129" s="45"/>
      <c r="H129" s="45"/>
      <c r="I129" s="124"/>
      <c r="J129" s="124"/>
      <c r="K129" s="45"/>
      <c r="L129" s="124"/>
      <c r="M129" s="124"/>
    </row>
    <row r="130" spans="2:13" ht="17.25" customHeight="1">
      <c r="B130" s="15">
        <v>0</v>
      </c>
      <c r="C130" s="45"/>
      <c r="D130" s="45"/>
      <c r="E130" s="15"/>
      <c r="F130" s="45"/>
      <c r="G130" s="45"/>
      <c r="H130" s="45"/>
      <c r="I130" s="124"/>
      <c r="J130" s="124"/>
      <c r="K130" s="45"/>
      <c r="L130" s="124"/>
      <c r="M130" s="124"/>
    </row>
    <row r="131" spans="2:13" ht="17.25" customHeight="1">
      <c r="B131" s="15">
        <v>0</v>
      </c>
      <c r="C131" s="45"/>
      <c r="D131" s="45"/>
      <c r="E131" s="15"/>
      <c r="F131" s="45"/>
      <c r="G131" s="45"/>
      <c r="H131" s="45"/>
      <c r="I131" s="124"/>
      <c r="J131" s="124"/>
      <c r="K131" s="45"/>
      <c r="L131" s="124"/>
      <c r="M131" s="124"/>
    </row>
    <row r="132" spans="2:13" ht="17.25" customHeight="1">
      <c r="B132" s="15">
        <v>0</v>
      </c>
      <c r="C132" s="45"/>
      <c r="D132" s="45"/>
      <c r="E132" s="15"/>
      <c r="F132" s="45"/>
      <c r="G132" s="45"/>
      <c r="H132" s="45"/>
      <c r="I132" s="124"/>
      <c r="J132" s="124"/>
      <c r="K132" s="45"/>
      <c r="L132" s="124"/>
      <c r="M132" s="124"/>
    </row>
    <row r="133" spans="2:13" ht="17.25" customHeight="1">
      <c r="B133" s="15">
        <v>0</v>
      </c>
      <c r="C133" s="45"/>
      <c r="D133" s="45"/>
      <c r="E133" s="15"/>
      <c r="F133" s="45"/>
      <c r="G133" s="45"/>
      <c r="H133" s="45"/>
      <c r="I133" s="124"/>
      <c r="J133" s="124"/>
      <c r="K133" s="45"/>
      <c r="L133" s="124"/>
      <c r="M133" s="124"/>
    </row>
    <row r="134" spans="2:13" ht="17.25" customHeight="1">
      <c r="B134" s="15">
        <v>0</v>
      </c>
      <c r="C134" s="45"/>
      <c r="D134" s="45"/>
      <c r="E134" s="15"/>
      <c r="F134" s="45"/>
      <c r="G134" s="45"/>
      <c r="H134" s="45"/>
      <c r="I134" s="124"/>
      <c r="J134" s="124"/>
      <c r="K134" s="45"/>
      <c r="L134" s="124"/>
      <c r="M134" s="124"/>
    </row>
    <row r="135" spans="2:13" ht="17.25" customHeight="1">
      <c r="B135" s="15">
        <v>0</v>
      </c>
      <c r="C135" s="45"/>
      <c r="D135" s="45"/>
      <c r="E135" s="15"/>
      <c r="F135" s="45"/>
      <c r="G135" s="45"/>
      <c r="H135" s="45"/>
      <c r="I135" s="124"/>
      <c r="J135" s="124"/>
      <c r="K135" s="45"/>
      <c r="L135" s="124"/>
      <c r="M135" s="124"/>
    </row>
    <row r="136" spans="2:13" ht="17.25" customHeight="1">
      <c r="B136" s="15">
        <v>0</v>
      </c>
      <c r="C136" s="45"/>
      <c r="D136" s="45"/>
      <c r="E136" s="15"/>
      <c r="F136" s="45"/>
      <c r="G136" s="45"/>
      <c r="H136" s="45"/>
      <c r="I136" s="124"/>
      <c r="J136" s="124"/>
      <c r="K136" s="45"/>
      <c r="L136" s="124"/>
      <c r="M136" s="124"/>
    </row>
    <row r="137" spans="2:13" ht="17.25" customHeight="1">
      <c r="B137" s="15">
        <v>0</v>
      </c>
      <c r="C137" s="45"/>
      <c r="D137" s="45"/>
      <c r="E137" s="15"/>
      <c r="F137" s="45"/>
      <c r="G137" s="45"/>
      <c r="H137" s="45"/>
      <c r="I137" s="124"/>
      <c r="J137" s="124"/>
      <c r="K137" s="45"/>
      <c r="L137" s="124"/>
      <c r="M137" s="124"/>
    </row>
    <row r="138" spans="2:13" ht="17.25" customHeight="1">
      <c r="B138" s="15">
        <v>0</v>
      </c>
      <c r="C138" s="45"/>
      <c r="D138" s="45"/>
      <c r="E138" s="15"/>
      <c r="F138" s="45"/>
      <c r="G138" s="45"/>
      <c r="H138" s="45"/>
      <c r="I138" s="124"/>
      <c r="J138" s="124"/>
      <c r="K138" s="45"/>
      <c r="L138" s="124"/>
      <c r="M138" s="124"/>
    </row>
    <row r="139" spans="2:13" ht="17.25" customHeight="1">
      <c r="B139" s="15">
        <v>0</v>
      </c>
      <c r="C139" s="45"/>
      <c r="D139" s="45"/>
      <c r="E139" s="15"/>
      <c r="F139" s="45"/>
      <c r="G139" s="45"/>
      <c r="H139" s="45"/>
      <c r="I139" s="124"/>
      <c r="J139" s="124"/>
      <c r="K139" s="45"/>
      <c r="L139" s="124"/>
      <c r="M139" s="124"/>
    </row>
    <row r="140" spans="2:13" ht="17.25" customHeight="1">
      <c r="B140" s="15">
        <v>0</v>
      </c>
      <c r="C140" s="45"/>
      <c r="D140" s="45"/>
      <c r="E140" s="15"/>
      <c r="F140" s="45"/>
      <c r="G140" s="45"/>
      <c r="H140" s="45"/>
      <c r="I140" s="124"/>
      <c r="J140" s="124"/>
      <c r="K140" s="45"/>
      <c r="L140" s="124"/>
      <c r="M140" s="124"/>
    </row>
    <row r="141" spans="2:13" ht="17.25" customHeight="1">
      <c r="B141" s="15">
        <v>0</v>
      </c>
      <c r="C141" s="45"/>
      <c r="D141" s="45"/>
      <c r="E141" s="15"/>
      <c r="F141" s="45"/>
      <c r="G141" s="45"/>
      <c r="H141" s="45"/>
      <c r="I141" s="124"/>
      <c r="J141" s="124"/>
      <c r="K141" s="45"/>
      <c r="L141" s="124"/>
      <c r="M141" s="124"/>
    </row>
    <row r="142" spans="2:13" ht="17.25" customHeight="1">
      <c r="B142" s="15">
        <v>0</v>
      </c>
      <c r="C142" s="45"/>
      <c r="D142" s="45"/>
      <c r="E142" s="15"/>
      <c r="F142" s="45"/>
      <c r="G142" s="45"/>
      <c r="H142" s="45"/>
      <c r="I142" s="124"/>
      <c r="J142" s="124"/>
      <c r="K142" s="45"/>
      <c r="L142" s="124"/>
      <c r="M142" s="124"/>
    </row>
    <row r="143" spans="2:13" ht="17.25" customHeight="1">
      <c r="B143" s="15">
        <v>0</v>
      </c>
      <c r="C143" s="45"/>
      <c r="D143" s="45"/>
      <c r="E143" s="15"/>
      <c r="F143" s="45"/>
      <c r="G143" s="45"/>
      <c r="H143" s="45"/>
      <c r="I143" s="124"/>
      <c r="J143" s="124"/>
      <c r="K143" s="45"/>
      <c r="L143" s="124"/>
      <c r="M143" s="124"/>
    </row>
    <row r="144" spans="2:13" ht="17.25" customHeight="1">
      <c r="B144" s="15">
        <v>0</v>
      </c>
      <c r="C144" s="45"/>
      <c r="D144" s="45"/>
      <c r="E144" s="15"/>
      <c r="F144" s="45"/>
      <c r="G144" s="45"/>
      <c r="H144" s="45"/>
      <c r="I144" s="124"/>
      <c r="J144" s="124"/>
      <c r="K144" s="45"/>
      <c r="L144" s="124"/>
      <c r="M144" s="124"/>
    </row>
    <row r="145" spans="2:13" ht="17.25" customHeight="1">
      <c r="B145" s="15">
        <v>0</v>
      </c>
      <c r="C145" s="45"/>
      <c r="D145" s="45"/>
      <c r="E145" s="15"/>
      <c r="F145" s="45"/>
      <c r="G145" s="45"/>
      <c r="H145" s="45"/>
      <c r="I145" s="124"/>
      <c r="J145" s="124"/>
      <c r="K145" s="45"/>
      <c r="L145" s="124"/>
      <c r="M145" s="124"/>
    </row>
    <row r="146" spans="2:13" ht="17.25" customHeight="1">
      <c r="B146" s="15">
        <v>0</v>
      </c>
      <c r="C146" s="45"/>
      <c r="D146" s="45"/>
      <c r="E146" s="15"/>
      <c r="F146" s="45"/>
      <c r="G146" s="45"/>
      <c r="H146" s="45"/>
      <c r="I146" s="124"/>
      <c r="J146" s="124"/>
      <c r="K146" s="45"/>
      <c r="L146" s="124"/>
      <c r="M146" s="124"/>
    </row>
    <row r="147" spans="2:13" ht="17.25" customHeight="1">
      <c r="B147" s="15">
        <v>0</v>
      </c>
      <c r="C147" s="45"/>
      <c r="D147" s="45"/>
      <c r="E147" s="15"/>
      <c r="F147" s="45"/>
      <c r="G147" s="45"/>
      <c r="H147" s="45"/>
      <c r="I147" s="124"/>
      <c r="J147" s="124"/>
      <c r="K147" s="45"/>
      <c r="L147" s="124"/>
      <c r="M147" s="124"/>
    </row>
    <row r="148" spans="2:13" ht="17.25" customHeight="1">
      <c r="B148" s="15">
        <v>0</v>
      </c>
      <c r="C148" s="45"/>
      <c r="D148" s="45"/>
      <c r="E148" s="15"/>
      <c r="F148" s="45"/>
      <c r="G148" s="45"/>
      <c r="H148" s="45"/>
      <c r="I148" s="124"/>
      <c r="J148" s="124"/>
      <c r="K148" s="45"/>
      <c r="L148" s="124"/>
      <c r="M148" s="124"/>
    </row>
    <row r="149" spans="2:13" ht="17.25" customHeight="1">
      <c r="B149" s="15">
        <v>0</v>
      </c>
      <c r="C149" s="45"/>
      <c r="D149" s="45"/>
      <c r="E149" s="15"/>
      <c r="F149" s="45"/>
      <c r="G149" s="45"/>
      <c r="H149" s="45"/>
      <c r="I149" s="124"/>
      <c r="J149" s="124"/>
      <c r="K149" s="45"/>
      <c r="L149" s="124"/>
      <c r="M149" s="124"/>
    </row>
    <row r="150" spans="2:13" ht="17.25" customHeight="1">
      <c r="B150" s="15">
        <v>0</v>
      </c>
      <c r="C150" s="45"/>
      <c r="D150" s="45"/>
      <c r="E150" s="15"/>
      <c r="F150" s="45"/>
      <c r="G150" s="45"/>
      <c r="H150" s="45"/>
      <c r="I150" s="124"/>
      <c r="J150" s="124"/>
      <c r="K150" s="45"/>
      <c r="L150" s="124"/>
      <c r="M150" s="124"/>
    </row>
    <row r="151" spans="2:13" ht="17.25" customHeight="1">
      <c r="B151" s="15">
        <v>0</v>
      </c>
      <c r="C151" s="45"/>
      <c r="D151" s="45"/>
      <c r="E151" s="15"/>
      <c r="F151" s="45"/>
      <c r="G151" s="45"/>
      <c r="H151" s="45"/>
      <c r="I151" s="124"/>
      <c r="J151" s="124"/>
      <c r="K151" s="45"/>
      <c r="L151" s="124"/>
      <c r="M151" s="124"/>
    </row>
    <row r="152" spans="2:13" ht="17.25" customHeight="1">
      <c r="B152" s="15">
        <v>0</v>
      </c>
      <c r="C152" s="45"/>
      <c r="D152" s="45"/>
      <c r="E152" s="15"/>
      <c r="F152" s="45"/>
      <c r="G152" s="45"/>
      <c r="H152" s="45"/>
      <c r="I152" s="124"/>
      <c r="J152" s="124"/>
      <c r="K152" s="45"/>
      <c r="L152" s="124"/>
      <c r="M152" s="124"/>
    </row>
    <row r="153" spans="2:13" ht="17.25" customHeight="1">
      <c r="B153" s="15">
        <v>0</v>
      </c>
      <c r="C153" s="45"/>
      <c r="D153" s="45"/>
      <c r="E153" s="15"/>
      <c r="F153" s="45"/>
      <c r="G153" s="45"/>
      <c r="H153" s="45"/>
      <c r="I153" s="124"/>
      <c r="J153" s="124"/>
      <c r="K153" s="45"/>
      <c r="L153" s="124"/>
      <c r="M153" s="124"/>
    </row>
    <row r="154" spans="2:13" ht="17.25" customHeight="1">
      <c r="B154" s="15">
        <v>0</v>
      </c>
      <c r="C154" s="45"/>
      <c r="D154" s="45"/>
      <c r="E154" s="15"/>
      <c r="F154" s="45"/>
      <c r="G154" s="45"/>
      <c r="H154" s="45"/>
      <c r="I154" s="124"/>
      <c r="J154" s="124"/>
      <c r="K154" s="45"/>
      <c r="L154" s="124"/>
      <c r="M154" s="124"/>
    </row>
    <row r="155" spans="2:13" ht="17.25" customHeight="1">
      <c r="B155" s="15">
        <v>0</v>
      </c>
      <c r="C155" s="45"/>
      <c r="D155" s="45"/>
      <c r="E155" s="15"/>
      <c r="F155" s="45"/>
      <c r="G155" s="45"/>
      <c r="H155" s="45"/>
      <c r="I155" s="124"/>
      <c r="J155" s="124"/>
      <c r="K155" s="45"/>
      <c r="L155" s="124"/>
      <c r="M155" s="124"/>
    </row>
    <row r="156" spans="2:13" ht="17.25" customHeight="1">
      <c r="B156" s="15">
        <v>0</v>
      </c>
      <c r="C156" s="45"/>
      <c r="D156" s="45"/>
      <c r="E156" s="15"/>
      <c r="F156" s="45"/>
      <c r="G156" s="45"/>
      <c r="H156" s="45"/>
      <c r="I156" s="124"/>
      <c r="J156" s="124"/>
      <c r="K156" s="45"/>
      <c r="L156" s="124"/>
      <c r="M156" s="124"/>
    </row>
    <row r="157" spans="2:13" ht="17.25" customHeight="1">
      <c r="B157" s="15">
        <v>0</v>
      </c>
      <c r="C157" s="45"/>
      <c r="D157" s="45"/>
      <c r="E157" s="15"/>
      <c r="F157" s="45"/>
      <c r="G157" s="45"/>
      <c r="H157" s="45"/>
      <c r="I157" s="124"/>
      <c r="J157" s="124"/>
      <c r="K157" s="45"/>
      <c r="L157" s="124"/>
      <c r="M157" s="124"/>
    </row>
    <row r="158" spans="2:13" ht="17.25" customHeight="1">
      <c r="B158" s="15">
        <v>0</v>
      </c>
      <c r="C158" s="45"/>
      <c r="D158" s="45"/>
      <c r="E158" s="15"/>
      <c r="F158" s="45"/>
      <c r="G158" s="45"/>
      <c r="H158" s="45"/>
      <c r="I158" s="124"/>
      <c r="J158" s="124"/>
      <c r="K158" s="45"/>
      <c r="L158" s="124"/>
      <c r="M158" s="124"/>
    </row>
    <row r="159" spans="2:13" ht="17.25" customHeight="1">
      <c r="B159" s="15">
        <v>0</v>
      </c>
      <c r="C159" s="45"/>
      <c r="D159" s="45"/>
      <c r="E159" s="15"/>
      <c r="F159" s="45"/>
      <c r="G159" s="45"/>
      <c r="H159" s="45"/>
      <c r="I159" s="124"/>
      <c r="J159" s="124"/>
      <c r="K159" s="45"/>
      <c r="L159" s="124"/>
      <c r="M159" s="124"/>
    </row>
    <row r="160" spans="2:13" ht="17.25" customHeight="1">
      <c r="B160" s="15">
        <v>0</v>
      </c>
      <c r="C160" s="45"/>
      <c r="D160" s="45"/>
      <c r="E160" s="15"/>
      <c r="F160" s="45"/>
      <c r="G160" s="45"/>
      <c r="H160" s="45"/>
      <c r="I160" s="124"/>
      <c r="J160" s="124"/>
      <c r="K160" s="45"/>
      <c r="L160" s="124"/>
      <c r="M160" s="124"/>
    </row>
    <row r="161" spans="2:13" ht="17.25" customHeight="1">
      <c r="B161" s="15">
        <v>0</v>
      </c>
      <c r="C161" s="45"/>
      <c r="D161" s="45"/>
      <c r="E161" s="15"/>
      <c r="F161" s="45"/>
      <c r="G161" s="45"/>
      <c r="H161" s="45"/>
      <c r="I161" s="124"/>
      <c r="J161" s="124"/>
      <c r="K161" s="45"/>
      <c r="L161" s="124"/>
      <c r="M161" s="124"/>
    </row>
    <row r="162" spans="2:13" ht="17.25" customHeight="1">
      <c r="B162" s="15">
        <v>0</v>
      </c>
      <c r="C162" s="45"/>
      <c r="D162" s="45"/>
      <c r="E162" s="15"/>
      <c r="F162" s="45"/>
      <c r="G162" s="45"/>
      <c r="H162" s="45"/>
      <c r="I162" s="124"/>
      <c r="J162" s="124"/>
      <c r="K162" s="45"/>
      <c r="L162" s="124"/>
      <c r="M162" s="124"/>
    </row>
    <row r="163" spans="2:13" ht="17.25" customHeight="1">
      <c r="B163" s="15">
        <v>0</v>
      </c>
      <c r="C163" s="45"/>
      <c r="D163" s="45"/>
      <c r="E163" s="15"/>
      <c r="F163" s="45"/>
      <c r="G163" s="45"/>
      <c r="H163" s="45"/>
      <c r="I163" s="124"/>
      <c r="J163" s="124"/>
      <c r="K163" s="45"/>
      <c r="L163" s="124"/>
      <c r="M163" s="124"/>
    </row>
    <row r="164" spans="2:13" ht="17.25" customHeight="1">
      <c r="B164" s="15">
        <v>0</v>
      </c>
      <c r="C164" s="45"/>
      <c r="D164" s="45"/>
      <c r="E164" s="15"/>
      <c r="F164" s="45"/>
      <c r="G164" s="45"/>
      <c r="H164" s="45"/>
      <c r="I164" s="124"/>
      <c r="J164" s="124"/>
      <c r="K164" s="45"/>
      <c r="L164" s="124"/>
      <c r="M164" s="124"/>
    </row>
    <row r="165" spans="2:13" ht="17.25" customHeight="1">
      <c r="B165" s="15">
        <v>0</v>
      </c>
      <c r="C165" s="45"/>
      <c r="D165" s="45"/>
      <c r="E165" s="15"/>
      <c r="F165" s="45"/>
      <c r="G165" s="45"/>
      <c r="H165" s="45"/>
      <c r="I165" s="124"/>
      <c r="J165" s="124"/>
      <c r="K165" s="45"/>
      <c r="L165" s="124"/>
      <c r="M165" s="124"/>
    </row>
    <row r="166" spans="2:13" ht="17.25" customHeight="1">
      <c r="B166" s="15">
        <v>0</v>
      </c>
      <c r="C166" s="45"/>
      <c r="D166" s="45"/>
      <c r="E166" s="15"/>
      <c r="F166" s="45"/>
      <c r="G166" s="45"/>
      <c r="H166" s="45"/>
      <c r="I166" s="124"/>
      <c r="J166" s="124"/>
      <c r="K166" s="45"/>
      <c r="L166" s="124"/>
      <c r="M166" s="124"/>
    </row>
    <row r="167" spans="2:13" ht="17.25" customHeight="1">
      <c r="B167" s="15">
        <v>0</v>
      </c>
      <c r="C167" s="45"/>
      <c r="D167" s="45"/>
      <c r="E167" s="15"/>
      <c r="F167" s="45"/>
      <c r="G167" s="45"/>
      <c r="H167" s="45"/>
      <c r="I167" s="124"/>
      <c r="J167" s="124"/>
      <c r="K167" s="45"/>
      <c r="L167" s="124"/>
      <c r="M167" s="124"/>
    </row>
    <row r="168" spans="2:13" ht="17.25" customHeight="1">
      <c r="B168" s="15">
        <v>0</v>
      </c>
      <c r="C168" s="45"/>
      <c r="D168" s="45"/>
      <c r="E168" s="15"/>
      <c r="F168" s="45"/>
      <c r="G168" s="45"/>
      <c r="H168" s="45"/>
      <c r="I168" s="124"/>
      <c r="J168" s="124"/>
      <c r="K168" s="45"/>
      <c r="L168" s="124"/>
      <c r="M168" s="124"/>
    </row>
    <row r="169" spans="2:13" ht="17.25" customHeight="1">
      <c r="B169" s="15">
        <v>0</v>
      </c>
      <c r="C169" s="45"/>
      <c r="D169" s="45"/>
      <c r="E169" s="15"/>
      <c r="F169" s="45"/>
      <c r="G169" s="45"/>
      <c r="H169" s="45"/>
      <c r="I169" s="124"/>
      <c r="J169" s="124"/>
      <c r="K169" s="45"/>
      <c r="L169" s="124"/>
      <c r="M169" s="124"/>
    </row>
    <row r="170" spans="2:13" ht="17.25" customHeight="1">
      <c r="B170" s="15">
        <v>0</v>
      </c>
      <c r="C170" s="45"/>
      <c r="D170" s="45"/>
      <c r="E170" s="15"/>
      <c r="F170" s="45"/>
      <c r="G170" s="45"/>
      <c r="H170" s="45"/>
      <c r="I170" s="124"/>
      <c r="J170" s="124"/>
      <c r="K170" s="45"/>
      <c r="L170" s="124"/>
      <c r="M170" s="124"/>
    </row>
    <row r="171" spans="2:13" ht="17.25" customHeight="1">
      <c r="B171" s="15">
        <v>0</v>
      </c>
      <c r="C171" s="45"/>
      <c r="D171" s="45"/>
      <c r="E171" s="15"/>
      <c r="F171" s="45"/>
      <c r="G171" s="45"/>
      <c r="H171" s="45"/>
      <c r="I171" s="124"/>
      <c r="J171" s="124"/>
      <c r="K171" s="45"/>
      <c r="L171" s="124"/>
      <c r="M171" s="124"/>
    </row>
    <row r="172" spans="2:13" ht="17.25" customHeight="1">
      <c r="B172" s="15">
        <v>0</v>
      </c>
      <c r="C172" s="45"/>
      <c r="D172" s="45"/>
      <c r="E172" s="15"/>
      <c r="F172" s="45"/>
      <c r="G172" s="45"/>
      <c r="H172" s="45"/>
      <c r="I172" s="124"/>
      <c r="J172" s="124"/>
      <c r="K172" s="45"/>
      <c r="L172" s="124"/>
      <c r="M172" s="124"/>
    </row>
    <row r="173" spans="2:13" ht="17.25" customHeight="1">
      <c r="B173" s="15">
        <v>0</v>
      </c>
      <c r="C173" s="45"/>
      <c r="D173" s="45"/>
      <c r="E173" s="15"/>
      <c r="F173" s="45"/>
      <c r="G173" s="45"/>
      <c r="H173" s="45"/>
      <c r="I173" s="124"/>
      <c r="J173" s="124"/>
      <c r="K173" s="45"/>
      <c r="L173" s="124"/>
      <c r="M173" s="124"/>
    </row>
    <row r="174" spans="2:13" ht="17.25" customHeight="1">
      <c r="B174" s="15">
        <v>0</v>
      </c>
      <c r="C174" s="45"/>
      <c r="D174" s="45"/>
      <c r="E174" s="15"/>
      <c r="F174" s="45"/>
      <c r="G174" s="45"/>
      <c r="H174" s="45"/>
      <c r="I174" s="124"/>
      <c r="J174" s="124"/>
      <c r="K174" s="45"/>
      <c r="L174" s="124"/>
      <c r="M174" s="124"/>
    </row>
    <row r="175" spans="2:13" ht="17.25" customHeight="1">
      <c r="B175" s="15">
        <v>0</v>
      </c>
      <c r="C175" s="45"/>
      <c r="D175" s="45"/>
      <c r="E175" s="15"/>
      <c r="F175" s="45"/>
      <c r="G175" s="45"/>
      <c r="H175" s="45"/>
      <c r="I175" s="124"/>
      <c r="J175" s="124"/>
      <c r="K175" s="45"/>
      <c r="L175" s="124"/>
      <c r="M175" s="124"/>
    </row>
    <row r="176" spans="2:13" ht="17.25" customHeight="1">
      <c r="B176" s="15">
        <v>0</v>
      </c>
      <c r="C176" s="45"/>
      <c r="D176" s="45"/>
      <c r="E176" s="15"/>
      <c r="F176" s="45"/>
      <c r="G176" s="45"/>
      <c r="H176" s="45"/>
      <c r="I176" s="124"/>
      <c r="J176" s="124"/>
      <c r="K176" s="45"/>
      <c r="L176" s="124"/>
      <c r="M176" s="124"/>
    </row>
    <row r="177" spans="2:13" ht="17.25" customHeight="1">
      <c r="B177" s="15">
        <v>0</v>
      </c>
      <c r="C177" s="45"/>
      <c r="D177" s="45"/>
      <c r="E177" s="15"/>
      <c r="F177" s="45"/>
      <c r="G177" s="45"/>
      <c r="H177" s="45"/>
      <c r="I177" s="124"/>
      <c r="J177" s="124"/>
      <c r="K177" s="45"/>
      <c r="L177" s="124"/>
      <c r="M177" s="124"/>
    </row>
    <row r="178" spans="2:13" ht="17.25" customHeight="1">
      <c r="B178" s="15">
        <v>0</v>
      </c>
      <c r="C178" s="45"/>
      <c r="D178" s="45"/>
      <c r="E178" s="15"/>
      <c r="F178" s="45"/>
      <c r="G178" s="45"/>
      <c r="H178" s="45"/>
      <c r="I178" s="124"/>
      <c r="J178" s="124"/>
      <c r="K178" s="45"/>
      <c r="L178" s="124"/>
      <c r="M178" s="124"/>
    </row>
    <row r="179" spans="2:13" ht="17.25" customHeight="1">
      <c r="B179" s="15">
        <v>0</v>
      </c>
      <c r="C179" s="45"/>
      <c r="D179" s="45"/>
      <c r="E179" s="15"/>
      <c r="F179" s="45"/>
      <c r="G179" s="45"/>
      <c r="H179" s="45"/>
      <c r="I179" s="124"/>
      <c r="J179" s="124"/>
      <c r="K179" s="45"/>
      <c r="L179" s="124"/>
      <c r="M179" s="124"/>
    </row>
    <row r="180" spans="2:13" ht="17.25" customHeight="1">
      <c r="B180" s="15">
        <v>0</v>
      </c>
      <c r="C180" s="45"/>
      <c r="D180" s="45"/>
      <c r="E180" s="15"/>
      <c r="F180" s="45"/>
      <c r="G180" s="45"/>
      <c r="H180" s="45"/>
      <c r="I180" s="124"/>
      <c r="J180" s="124"/>
      <c r="K180" s="45"/>
      <c r="L180" s="124"/>
      <c r="M180" s="124"/>
    </row>
    <row r="181" spans="2:13" ht="17.25" customHeight="1">
      <c r="B181" s="15">
        <v>0</v>
      </c>
      <c r="C181" s="45"/>
      <c r="D181" s="45"/>
      <c r="E181" s="15"/>
      <c r="F181" s="45"/>
      <c r="G181" s="45"/>
      <c r="H181" s="45"/>
      <c r="I181" s="124"/>
      <c r="J181" s="124"/>
      <c r="K181" s="45"/>
      <c r="L181" s="124"/>
      <c r="M181" s="124"/>
    </row>
    <row r="182" spans="2:13" ht="17.25" customHeight="1">
      <c r="B182" s="15">
        <v>0</v>
      </c>
      <c r="C182" s="45"/>
      <c r="D182" s="45"/>
      <c r="E182" s="15"/>
      <c r="F182" s="45"/>
      <c r="G182" s="45"/>
      <c r="H182" s="45"/>
      <c r="I182" s="124"/>
      <c r="J182" s="124"/>
      <c r="K182" s="45"/>
      <c r="L182" s="124"/>
      <c r="M182" s="124"/>
    </row>
    <row r="183" spans="2:13" ht="17.25" customHeight="1">
      <c r="B183" s="15">
        <v>0</v>
      </c>
      <c r="C183" s="45"/>
      <c r="D183" s="45"/>
      <c r="E183" s="15"/>
      <c r="F183" s="45"/>
      <c r="G183" s="45"/>
      <c r="H183" s="45"/>
      <c r="I183" s="124"/>
      <c r="J183" s="124"/>
      <c r="K183" s="45"/>
      <c r="L183" s="124"/>
      <c r="M183" s="124"/>
    </row>
    <row r="184" spans="2:13" ht="17.25" customHeight="1">
      <c r="B184" s="15">
        <v>0</v>
      </c>
      <c r="C184" s="45"/>
      <c r="D184" s="45"/>
      <c r="E184" s="15"/>
      <c r="F184" s="45"/>
      <c r="G184" s="45"/>
      <c r="H184" s="45"/>
      <c r="I184" s="124"/>
      <c r="J184" s="124"/>
      <c r="K184" s="45"/>
      <c r="L184" s="124"/>
      <c r="M184" s="124"/>
    </row>
    <row r="185" spans="2:13" ht="17.25" customHeight="1">
      <c r="B185" s="15">
        <v>0</v>
      </c>
      <c r="C185" s="45"/>
      <c r="D185" s="45"/>
      <c r="E185" s="15"/>
      <c r="F185" s="45"/>
      <c r="G185" s="45"/>
      <c r="H185" s="45"/>
      <c r="I185" s="124"/>
      <c r="J185" s="124"/>
      <c r="K185" s="45"/>
      <c r="L185" s="124"/>
      <c r="M185" s="124"/>
    </row>
    <row r="186" spans="2:13" ht="17.25" customHeight="1">
      <c r="B186" s="15">
        <v>0</v>
      </c>
      <c r="C186" s="45"/>
      <c r="D186" s="45"/>
      <c r="E186" s="15"/>
      <c r="F186" s="45"/>
      <c r="G186" s="45"/>
      <c r="H186" s="45"/>
      <c r="I186" s="124"/>
      <c r="J186" s="124"/>
      <c r="K186" s="45"/>
      <c r="L186" s="124"/>
      <c r="M186" s="124"/>
    </row>
    <row r="187" spans="2:13" ht="17.25" customHeight="1">
      <c r="B187" s="15">
        <v>0</v>
      </c>
      <c r="C187" s="45"/>
      <c r="D187" s="45"/>
      <c r="E187" s="15"/>
      <c r="F187" s="45"/>
      <c r="G187" s="45"/>
      <c r="H187" s="45"/>
      <c r="I187" s="124"/>
      <c r="J187" s="124"/>
      <c r="K187" s="45"/>
      <c r="L187" s="124"/>
      <c r="M187" s="124"/>
    </row>
    <row r="188" spans="2:13" ht="17.25" customHeight="1">
      <c r="B188" s="15">
        <v>0</v>
      </c>
      <c r="C188" s="45"/>
      <c r="D188" s="45"/>
      <c r="E188" s="15"/>
      <c r="F188" s="45"/>
      <c r="G188" s="45"/>
      <c r="H188" s="45"/>
      <c r="I188" s="124"/>
      <c r="J188" s="124"/>
      <c r="K188" s="45"/>
      <c r="L188" s="124"/>
      <c r="M188" s="124"/>
    </row>
    <row r="189" spans="2:13" ht="17.25" customHeight="1">
      <c r="B189" s="15">
        <v>0</v>
      </c>
      <c r="C189" s="45"/>
      <c r="D189" s="45"/>
      <c r="E189" s="15"/>
      <c r="F189" s="45"/>
      <c r="G189" s="45"/>
      <c r="H189" s="45"/>
      <c r="I189" s="124"/>
      <c r="J189" s="124"/>
      <c r="K189" s="45"/>
      <c r="L189" s="124"/>
      <c r="M189" s="124"/>
    </row>
    <row r="190" spans="2:13" ht="17.25" customHeight="1">
      <c r="B190" s="15">
        <v>0</v>
      </c>
      <c r="C190" s="45"/>
      <c r="D190" s="45"/>
      <c r="E190" s="15"/>
      <c r="F190" s="45"/>
      <c r="G190" s="45"/>
      <c r="H190" s="45"/>
      <c r="I190" s="124"/>
      <c r="J190" s="124"/>
      <c r="K190" s="45"/>
      <c r="L190" s="124"/>
      <c r="M190" s="124"/>
    </row>
    <row r="191" spans="2:13" ht="17.25" customHeight="1">
      <c r="B191" s="15">
        <v>0</v>
      </c>
      <c r="C191" s="45"/>
      <c r="D191" s="45"/>
      <c r="E191" s="15"/>
      <c r="F191" s="45"/>
      <c r="G191" s="45"/>
      <c r="H191" s="45"/>
      <c r="I191" s="124"/>
      <c r="J191" s="124"/>
      <c r="K191" s="45"/>
      <c r="L191" s="124"/>
      <c r="M191" s="124"/>
    </row>
    <row r="192" spans="2:13" ht="17.25" customHeight="1">
      <c r="B192" s="15">
        <v>0</v>
      </c>
      <c r="C192" s="45"/>
      <c r="D192" s="45"/>
      <c r="E192" s="15"/>
      <c r="F192" s="45"/>
      <c r="G192" s="45"/>
      <c r="H192" s="45"/>
      <c r="I192" s="124"/>
      <c r="J192" s="124"/>
      <c r="K192" s="45"/>
      <c r="L192" s="124"/>
      <c r="M192" s="124"/>
    </row>
    <row r="193" spans="2:13" ht="17.25" customHeight="1">
      <c r="B193" s="15">
        <v>0</v>
      </c>
      <c r="C193" s="45"/>
      <c r="D193" s="45"/>
      <c r="E193" s="15"/>
      <c r="F193" s="45"/>
      <c r="G193" s="45"/>
      <c r="H193" s="45"/>
      <c r="I193" s="124"/>
      <c r="J193" s="124"/>
      <c r="K193" s="45"/>
      <c r="L193" s="124"/>
      <c r="M193" s="124"/>
    </row>
    <row r="194" spans="2:13" ht="17.25" customHeight="1">
      <c r="B194" s="15">
        <v>0</v>
      </c>
      <c r="C194" s="45"/>
      <c r="D194" s="45"/>
      <c r="E194" s="15"/>
      <c r="F194" s="45"/>
      <c r="G194" s="45"/>
      <c r="H194" s="45"/>
      <c r="I194" s="124"/>
      <c r="J194" s="124"/>
      <c r="K194" s="45"/>
      <c r="L194" s="124"/>
      <c r="M194" s="124"/>
    </row>
    <row r="195" spans="2:13" ht="17.25" customHeight="1">
      <c r="B195" s="15">
        <v>0</v>
      </c>
      <c r="C195" s="45"/>
      <c r="D195" s="45"/>
      <c r="E195" s="15"/>
      <c r="F195" s="45"/>
      <c r="G195" s="45"/>
      <c r="H195" s="45"/>
      <c r="I195" s="124"/>
      <c r="J195" s="124"/>
      <c r="K195" s="45"/>
      <c r="L195" s="124"/>
      <c r="M195" s="124"/>
    </row>
    <row r="196" spans="2:13" ht="17.25" customHeight="1">
      <c r="B196" s="15">
        <v>0</v>
      </c>
      <c r="C196" s="45"/>
      <c r="D196" s="45"/>
      <c r="E196" s="15"/>
      <c r="F196" s="45"/>
      <c r="G196" s="45"/>
      <c r="H196" s="45"/>
      <c r="I196" s="124"/>
      <c r="J196" s="124"/>
      <c r="K196" s="45"/>
      <c r="L196" s="124"/>
      <c r="M196" s="124"/>
    </row>
    <row r="197" spans="2:13" ht="17.25" customHeight="1">
      <c r="B197" s="15">
        <v>0</v>
      </c>
      <c r="C197" s="45"/>
      <c r="D197" s="45"/>
      <c r="E197" s="15"/>
      <c r="F197" s="45"/>
      <c r="G197" s="45"/>
      <c r="H197" s="45"/>
      <c r="I197" s="124"/>
      <c r="J197" s="124"/>
      <c r="K197" s="45"/>
      <c r="L197" s="124"/>
      <c r="M197" s="124"/>
    </row>
    <row r="198" spans="2:13" ht="17.25" customHeight="1">
      <c r="B198" s="15">
        <v>0</v>
      </c>
      <c r="C198" s="45"/>
      <c r="D198" s="45"/>
      <c r="E198" s="15"/>
      <c r="F198" s="45"/>
      <c r="G198" s="45"/>
      <c r="H198" s="45"/>
      <c r="I198" s="124"/>
      <c r="J198" s="124"/>
      <c r="K198" s="45"/>
      <c r="L198" s="124"/>
      <c r="M198" s="124"/>
    </row>
    <row r="199" spans="2:13" ht="17.25" customHeight="1">
      <c r="B199" s="15">
        <v>0</v>
      </c>
      <c r="C199" s="45"/>
      <c r="D199" s="45"/>
      <c r="E199" s="15"/>
      <c r="F199" s="45"/>
      <c r="G199" s="45"/>
      <c r="H199" s="45"/>
      <c r="I199" s="124"/>
      <c r="J199" s="124"/>
      <c r="K199" s="45"/>
      <c r="L199" s="124"/>
      <c r="M199" s="124"/>
    </row>
    <row r="200" spans="2:13" ht="17.25" customHeight="1">
      <c r="B200" s="15">
        <v>0</v>
      </c>
      <c r="C200" s="45"/>
      <c r="D200" s="45"/>
      <c r="E200" s="15"/>
      <c r="F200" s="45"/>
      <c r="G200" s="45"/>
      <c r="H200" s="45"/>
      <c r="I200" s="124"/>
      <c r="J200" s="124"/>
      <c r="K200" s="45"/>
      <c r="L200" s="124"/>
      <c r="M200" s="124"/>
    </row>
    <row r="201" spans="2:13" ht="17.25" customHeight="1">
      <c r="B201" s="15">
        <v>0</v>
      </c>
      <c r="C201" s="45"/>
      <c r="D201" s="45"/>
      <c r="E201" s="15"/>
      <c r="F201" s="45"/>
      <c r="G201" s="45"/>
      <c r="H201" s="45"/>
      <c r="I201" s="124"/>
      <c r="J201" s="124"/>
      <c r="K201" s="45"/>
      <c r="L201" s="124"/>
      <c r="M201" s="124"/>
    </row>
    <row r="202" spans="2:13" ht="17.25" customHeight="1">
      <c r="B202" s="15">
        <v>0</v>
      </c>
      <c r="C202" s="45"/>
      <c r="D202" s="45"/>
      <c r="E202" s="15"/>
      <c r="F202" s="45"/>
      <c r="G202" s="45"/>
      <c r="H202" s="45"/>
      <c r="I202" s="124"/>
      <c r="J202" s="124"/>
      <c r="K202" s="45"/>
      <c r="L202" s="124"/>
      <c r="M202" s="124"/>
    </row>
    <row r="203" spans="2:13" ht="17.25" customHeight="1">
      <c r="B203" s="15">
        <v>0</v>
      </c>
      <c r="C203" s="45"/>
      <c r="D203" s="45"/>
      <c r="E203" s="15"/>
      <c r="F203" s="45"/>
      <c r="G203" s="45"/>
      <c r="H203" s="45"/>
      <c r="I203" s="124"/>
      <c r="J203" s="124"/>
      <c r="K203" s="45"/>
      <c r="L203" s="124"/>
      <c r="M203" s="124"/>
    </row>
    <row r="204" spans="2:13" ht="17.25" customHeight="1">
      <c r="B204" s="15">
        <v>0</v>
      </c>
      <c r="C204" s="45"/>
      <c r="D204" s="45"/>
      <c r="E204" s="15"/>
      <c r="F204" s="45"/>
      <c r="G204" s="45"/>
      <c r="H204" s="45"/>
      <c r="I204" s="124"/>
      <c r="J204" s="124"/>
      <c r="K204" s="45"/>
      <c r="L204" s="124"/>
      <c r="M204" s="124"/>
    </row>
    <row r="205" spans="2:13" ht="17.25" customHeight="1">
      <c r="B205" s="15">
        <v>0</v>
      </c>
      <c r="C205" s="45"/>
      <c r="D205" s="45"/>
      <c r="E205" s="15"/>
      <c r="F205" s="45"/>
      <c r="G205" s="45"/>
      <c r="H205" s="45"/>
      <c r="I205" s="124"/>
      <c r="J205" s="124"/>
      <c r="K205" s="45"/>
      <c r="L205" s="124"/>
      <c r="M205" s="124"/>
    </row>
    <row r="206" spans="2:13" ht="17.25" customHeight="1">
      <c r="B206" s="15">
        <v>0</v>
      </c>
      <c r="C206" s="45"/>
      <c r="D206" s="45"/>
      <c r="E206" s="15"/>
      <c r="F206" s="45"/>
      <c r="G206" s="45"/>
      <c r="H206" s="45"/>
      <c r="I206" s="124"/>
      <c r="J206" s="124"/>
      <c r="K206" s="45"/>
      <c r="L206" s="124"/>
      <c r="M206" s="124"/>
    </row>
    <row r="207" spans="2:13" ht="17.25" customHeight="1">
      <c r="B207" s="15">
        <v>0</v>
      </c>
      <c r="C207" s="45"/>
      <c r="D207" s="45"/>
      <c r="E207" s="15"/>
      <c r="F207" s="45"/>
      <c r="G207" s="45"/>
      <c r="H207" s="45"/>
      <c r="I207" s="124"/>
      <c r="J207" s="124"/>
      <c r="K207" s="45"/>
      <c r="L207" s="124"/>
      <c r="M207" s="124"/>
    </row>
    <row r="208" spans="2:13" ht="17.25" customHeight="1">
      <c r="B208" s="15">
        <v>0</v>
      </c>
      <c r="C208" s="45"/>
      <c r="D208" s="45"/>
      <c r="E208" s="15"/>
      <c r="F208" s="45"/>
      <c r="G208" s="45"/>
      <c r="H208" s="45"/>
      <c r="I208" s="124"/>
      <c r="J208" s="124"/>
      <c r="K208" s="45"/>
      <c r="L208" s="124"/>
      <c r="M208" s="124"/>
    </row>
    <row r="209" spans="2:13" ht="17.25" customHeight="1">
      <c r="B209" s="15">
        <v>0</v>
      </c>
      <c r="C209" s="45"/>
      <c r="D209" s="45"/>
      <c r="E209" s="15"/>
      <c r="F209" s="45"/>
      <c r="G209" s="45"/>
      <c r="H209" s="45"/>
      <c r="I209" s="124"/>
      <c r="J209" s="124"/>
      <c r="K209" s="45"/>
      <c r="L209" s="124"/>
      <c r="M209" s="124"/>
    </row>
    <row r="210" spans="2:13" ht="17.25" customHeight="1">
      <c r="B210" s="15">
        <v>0</v>
      </c>
      <c r="C210" s="45"/>
      <c r="D210" s="45"/>
      <c r="E210" s="15"/>
      <c r="F210" s="45"/>
      <c r="G210" s="45"/>
      <c r="H210" s="45"/>
      <c r="I210" s="124"/>
      <c r="J210" s="124"/>
      <c r="K210" s="45"/>
      <c r="L210" s="124"/>
      <c r="M210" s="124"/>
    </row>
    <row r="211" spans="2:13" ht="17.25" customHeight="1">
      <c r="B211" s="15">
        <v>0</v>
      </c>
      <c r="C211" s="45"/>
      <c r="D211" s="45"/>
      <c r="E211" s="15"/>
      <c r="F211" s="45"/>
      <c r="G211" s="45"/>
      <c r="H211" s="45"/>
      <c r="I211" s="124"/>
      <c r="J211" s="124"/>
      <c r="K211" s="45"/>
      <c r="L211" s="124"/>
      <c r="M211" s="124"/>
    </row>
    <row r="212" spans="2:13" ht="17.25" customHeight="1">
      <c r="B212" s="15">
        <v>0</v>
      </c>
      <c r="C212" s="45"/>
      <c r="D212" s="45"/>
      <c r="E212" s="15"/>
      <c r="F212" s="45"/>
      <c r="G212" s="45"/>
      <c r="H212" s="45"/>
      <c r="I212" s="124"/>
      <c r="J212" s="124"/>
      <c r="K212" s="45"/>
      <c r="L212" s="124"/>
      <c r="M212" s="124"/>
    </row>
    <row r="213" spans="2:13" ht="17.25" customHeight="1">
      <c r="B213" s="15">
        <v>0</v>
      </c>
      <c r="C213" s="45"/>
      <c r="D213" s="45"/>
      <c r="E213" s="15"/>
      <c r="F213" s="45"/>
      <c r="G213" s="45"/>
      <c r="H213" s="45"/>
      <c r="I213" s="124"/>
      <c r="J213" s="124"/>
      <c r="K213" s="45"/>
      <c r="L213" s="124"/>
      <c r="M213" s="124"/>
    </row>
    <row r="214" spans="2:13" ht="17.25" customHeight="1">
      <c r="B214" s="15">
        <v>0</v>
      </c>
      <c r="C214" s="45"/>
      <c r="D214" s="45"/>
      <c r="E214" s="15"/>
      <c r="F214" s="45"/>
      <c r="G214" s="45"/>
      <c r="H214" s="45"/>
      <c r="I214" s="124"/>
      <c r="J214" s="124"/>
      <c r="K214" s="45"/>
      <c r="L214" s="124"/>
      <c r="M214" s="124"/>
    </row>
    <row r="215" spans="2:13" ht="17.25" customHeight="1">
      <c r="B215" s="15">
        <v>0</v>
      </c>
      <c r="C215" s="45"/>
      <c r="D215" s="45"/>
      <c r="E215" s="15"/>
      <c r="F215" s="45"/>
      <c r="G215" s="45"/>
      <c r="H215" s="45"/>
      <c r="I215" s="124"/>
      <c r="J215" s="124"/>
      <c r="K215" s="45"/>
      <c r="L215" s="124"/>
      <c r="M215" s="124"/>
    </row>
    <row r="216" spans="2:13" ht="17.25" customHeight="1">
      <c r="B216" s="15">
        <v>0</v>
      </c>
      <c r="C216" s="45"/>
      <c r="D216" s="45"/>
      <c r="E216" s="15"/>
      <c r="F216" s="45"/>
      <c r="G216" s="45"/>
      <c r="H216" s="45"/>
      <c r="I216" s="124"/>
      <c r="J216" s="124"/>
      <c r="K216" s="45"/>
      <c r="L216" s="124"/>
      <c r="M216" s="124"/>
    </row>
    <row r="217" spans="2:13" ht="17.25" customHeight="1">
      <c r="B217" s="15">
        <v>0</v>
      </c>
      <c r="C217" s="45"/>
      <c r="D217" s="45"/>
      <c r="E217" s="15"/>
      <c r="F217" s="45"/>
      <c r="G217" s="45"/>
      <c r="H217" s="45"/>
      <c r="I217" s="124"/>
      <c r="J217" s="124"/>
      <c r="K217" s="45"/>
      <c r="L217" s="124"/>
      <c r="M217" s="124"/>
    </row>
    <row r="218" spans="2:13" ht="17.25" customHeight="1">
      <c r="B218" s="15">
        <v>0</v>
      </c>
      <c r="C218" s="45"/>
      <c r="D218" s="45"/>
      <c r="E218" s="15"/>
      <c r="F218" s="45"/>
      <c r="G218" s="45"/>
      <c r="H218" s="45"/>
      <c r="I218" s="124"/>
      <c r="J218" s="124"/>
      <c r="K218" s="45"/>
      <c r="L218" s="124"/>
      <c r="M218" s="124"/>
    </row>
    <row r="219" spans="2:13" ht="17.25" customHeight="1">
      <c r="B219" s="15">
        <v>0</v>
      </c>
      <c r="C219" s="45"/>
      <c r="D219" s="45"/>
      <c r="E219" s="15"/>
      <c r="F219" s="45"/>
      <c r="G219" s="45"/>
      <c r="H219" s="45"/>
      <c r="I219" s="124"/>
      <c r="J219" s="124"/>
      <c r="K219" s="45"/>
      <c r="L219" s="124"/>
      <c r="M219" s="124"/>
    </row>
    <row r="220" spans="2:13" ht="17.25" customHeight="1">
      <c r="B220" s="15">
        <v>0</v>
      </c>
      <c r="C220" s="45"/>
      <c r="D220" s="45"/>
      <c r="E220" s="15"/>
      <c r="F220" s="45"/>
      <c r="G220" s="45"/>
      <c r="H220" s="45"/>
      <c r="I220" s="124"/>
      <c r="J220" s="124"/>
      <c r="K220" s="45"/>
      <c r="L220" s="124"/>
      <c r="M220" s="124"/>
    </row>
    <row r="221" spans="2:13" ht="17.25" customHeight="1">
      <c r="B221" s="15">
        <v>0</v>
      </c>
      <c r="C221" s="45"/>
      <c r="D221" s="45"/>
      <c r="E221" s="15"/>
      <c r="F221" s="45"/>
      <c r="G221" s="45"/>
      <c r="H221" s="45"/>
      <c r="I221" s="124"/>
      <c r="J221" s="124"/>
      <c r="K221" s="45"/>
      <c r="L221" s="124"/>
      <c r="M221" s="124"/>
    </row>
    <row r="222" spans="2:13" ht="17.25" customHeight="1">
      <c r="B222" s="15">
        <v>0</v>
      </c>
      <c r="C222" s="45"/>
      <c r="D222" s="45"/>
      <c r="E222" s="15"/>
      <c r="F222" s="45"/>
      <c r="G222" s="45"/>
      <c r="H222" s="45"/>
      <c r="I222" s="124"/>
      <c r="J222" s="124"/>
      <c r="K222" s="45"/>
      <c r="L222" s="124"/>
      <c r="M222" s="124"/>
    </row>
    <row r="223" spans="2:13" ht="17.25" customHeight="1">
      <c r="B223" s="15">
        <v>0</v>
      </c>
      <c r="C223" s="45"/>
      <c r="D223" s="45"/>
      <c r="E223" s="15"/>
      <c r="F223" s="45"/>
      <c r="G223" s="45"/>
      <c r="H223" s="45"/>
      <c r="I223" s="124"/>
      <c r="J223" s="124"/>
      <c r="K223" s="45"/>
      <c r="L223" s="124"/>
      <c r="M223" s="124"/>
    </row>
    <row r="224" spans="2:13" ht="17.25" customHeight="1">
      <c r="B224" s="15">
        <v>0</v>
      </c>
      <c r="C224" s="45"/>
      <c r="D224" s="45"/>
      <c r="E224" s="15"/>
      <c r="F224" s="45"/>
      <c r="G224" s="45"/>
      <c r="H224" s="45"/>
      <c r="I224" s="124"/>
      <c r="J224" s="124"/>
      <c r="K224" s="45"/>
      <c r="L224" s="124"/>
      <c r="M224" s="124"/>
    </row>
    <row r="225" spans="2:13" ht="17.25" customHeight="1">
      <c r="B225" s="15">
        <v>0</v>
      </c>
      <c r="C225" s="45"/>
      <c r="D225" s="45"/>
      <c r="E225" s="15"/>
      <c r="F225" s="45"/>
      <c r="G225" s="45"/>
      <c r="H225" s="45"/>
      <c r="I225" s="124"/>
      <c r="J225" s="124"/>
      <c r="K225" s="45"/>
      <c r="L225" s="124"/>
      <c r="M225" s="124"/>
    </row>
    <row r="226" spans="2:13" ht="17.25" customHeight="1">
      <c r="B226" s="15">
        <v>0</v>
      </c>
      <c r="C226" s="45"/>
      <c r="D226" s="45"/>
      <c r="E226" s="15"/>
      <c r="F226" s="45"/>
      <c r="G226" s="45"/>
      <c r="H226" s="45"/>
      <c r="I226" s="124"/>
      <c r="J226" s="124"/>
      <c r="K226" s="45"/>
      <c r="L226" s="124"/>
      <c r="M226" s="124"/>
    </row>
    <row r="227" spans="2:13" ht="17.25" customHeight="1">
      <c r="B227" s="15">
        <v>0</v>
      </c>
      <c r="C227" s="45"/>
      <c r="D227" s="45"/>
      <c r="E227" s="15"/>
      <c r="F227" s="45"/>
      <c r="G227" s="45"/>
      <c r="H227" s="45"/>
      <c r="I227" s="124"/>
      <c r="J227" s="124"/>
      <c r="K227" s="45"/>
      <c r="L227" s="124"/>
      <c r="M227" s="124"/>
    </row>
    <row r="228" spans="2:13" ht="17.25" customHeight="1">
      <c r="B228" s="15">
        <v>0</v>
      </c>
      <c r="C228" s="45"/>
      <c r="D228" s="45"/>
      <c r="E228" s="15"/>
      <c r="F228" s="45"/>
      <c r="G228" s="45"/>
      <c r="H228" s="45"/>
      <c r="I228" s="124"/>
      <c r="J228" s="124"/>
      <c r="K228" s="45"/>
      <c r="L228" s="124"/>
      <c r="M228" s="124"/>
    </row>
    <row r="229" spans="2:13" ht="17.25" customHeight="1">
      <c r="B229" s="15">
        <v>0</v>
      </c>
      <c r="C229" s="45"/>
      <c r="D229" s="45"/>
      <c r="E229" s="15"/>
      <c r="F229" s="45"/>
      <c r="G229" s="45"/>
      <c r="H229" s="45"/>
      <c r="I229" s="124"/>
      <c r="J229" s="124"/>
      <c r="K229" s="45"/>
      <c r="L229" s="124"/>
      <c r="M229" s="124"/>
    </row>
    <row r="230" spans="2:13" ht="17.25" customHeight="1">
      <c r="B230" s="15">
        <v>0</v>
      </c>
      <c r="C230" s="45"/>
      <c r="D230" s="45"/>
      <c r="E230" s="15"/>
      <c r="F230" s="45"/>
      <c r="G230" s="45"/>
      <c r="H230" s="45"/>
      <c r="I230" s="124"/>
      <c r="J230" s="124"/>
      <c r="K230" s="45"/>
      <c r="L230" s="124"/>
      <c r="M230" s="124"/>
    </row>
    <row r="231" spans="2:13" ht="17.25" customHeight="1">
      <c r="B231" s="15">
        <v>0</v>
      </c>
      <c r="C231" s="45"/>
      <c r="D231" s="45"/>
      <c r="E231" s="15"/>
      <c r="F231" s="45"/>
      <c r="G231" s="45"/>
      <c r="H231" s="45"/>
      <c r="I231" s="124"/>
      <c r="J231" s="124"/>
      <c r="K231" s="45"/>
      <c r="L231" s="124"/>
      <c r="M231" s="124"/>
    </row>
    <row r="232" spans="2:13" ht="17.25" customHeight="1">
      <c r="B232" s="15">
        <v>0</v>
      </c>
      <c r="C232" s="45"/>
      <c r="D232" s="45"/>
      <c r="E232" s="15"/>
      <c r="F232" s="45"/>
      <c r="G232" s="45"/>
      <c r="H232" s="45"/>
      <c r="I232" s="124"/>
      <c r="J232" s="124"/>
      <c r="K232" s="45"/>
      <c r="L232" s="124"/>
      <c r="M232" s="124"/>
    </row>
    <row r="233" spans="2:13" ht="17.25" customHeight="1">
      <c r="B233" s="15">
        <v>0</v>
      </c>
      <c r="C233" s="45"/>
      <c r="D233" s="45"/>
      <c r="E233" s="15"/>
      <c r="F233" s="45"/>
      <c r="G233" s="45"/>
      <c r="H233" s="45"/>
      <c r="I233" s="124"/>
      <c r="J233" s="124"/>
      <c r="K233" s="45"/>
      <c r="L233" s="124"/>
      <c r="M233" s="124"/>
    </row>
    <row r="234" spans="2:13" ht="17.25" customHeight="1">
      <c r="B234" s="15">
        <v>0</v>
      </c>
      <c r="C234" s="45"/>
      <c r="D234" s="45"/>
      <c r="E234" s="15"/>
      <c r="F234" s="45"/>
      <c r="G234" s="45"/>
      <c r="H234" s="45"/>
      <c r="I234" s="124"/>
      <c r="J234" s="124"/>
      <c r="K234" s="45"/>
      <c r="L234" s="124"/>
      <c r="M234" s="124"/>
    </row>
    <row r="235" spans="2:13" ht="17.25" customHeight="1">
      <c r="B235" s="15">
        <v>0</v>
      </c>
      <c r="C235" s="45"/>
      <c r="D235" s="45"/>
      <c r="E235" s="15"/>
      <c r="F235" s="45"/>
      <c r="G235" s="45"/>
      <c r="H235" s="45"/>
      <c r="I235" s="124"/>
      <c r="J235" s="124"/>
      <c r="K235" s="45"/>
      <c r="L235" s="124"/>
      <c r="M235" s="124"/>
    </row>
    <row r="236" spans="2:13" ht="17.25" customHeight="1">
      <c r="B236" s="15">
        <v>0</v>
      </c>
      <c r="C236" s="45"/>
      <c r="D236" s="45"/>
      <c r="E236" s="15"/>
      <c r="F236" s="45"/>
      <c r="G236" s="45"/>
      <c r="H236" s="45"/>
      <c r="I236" s="124"/>
      <c r="J236" s="124"/>
      <c r="K236" s="45"/>
      <c r="L236" s="124"/>
      <c r="M236" s="124"/>
    </row>
    <row r="237" spans="2:13" ht="17.25" customHeight="1">
      <c r="B237" s="15">
        <v>0</v>
      </c>
      <c r="C237" s="45"/>
      <c r="D237" s="45"/>
      <c r="E237" s="15"/>
      <c r="F237" s="45"/>
      <c r="G237" s="45"/>
      <c r="H237" s="45"/>
      <c r="I237" s="124"/>
      <c r="J237" s="124"/>
      <c r="K237" s="45"/>
      <c r="L237" s="124"/>
      <c r="M237" s="124"/>
    </row>
    <row r="238" spans="2:13" ht="17.25" customHeight="1">
      <c r="B238" s="15">
        <v>0</v>
      </c>
      <c r="C238" s="45"/>
      <c r="D238" s="45"/>
      <c r="E238" s="15"/>
      <c r="F238" s="45"/>
      <c r="G238" s="45"/>
      <c r="H238" s="45"/>
      <c r="I238" s="124"/>
      <c r="J238" s="124"/>
      <c r="K238" s="45"/>
      <c r="L238" s="124"/>
      <c r="M238" s="124"/>
    </row>
    <row r="239" spans="2:13" ht="17.25" customHeight="1">
      <c r="B239" s="15">
        <v>0</v>
      </c>
      <c r="C239" s="45"/>
      <c r="D239" s="45"/>
      <c r="E239" s="15"/>
      <c r="F239" s="45"/>
      <c r="G239" s="45"/>
      <c r="H239" s="45"/>
      <c r="I239" s="124"/>
      <c r="J239" s="124"/>
      <c r="K239" s="45"/>
      <c r="L239" s="124"/>
      <c r="M239" s="124"/>
    </row>
    <row r="240" spans="2:13" ht="17.25" customHeight="1">
      <c r="B240" s="15">
        <v>0</v>
      </c>
      <c r="C240" s="45"/>
      <c r="D240" s="45"/>
      <c r="E240" s="15"/>
      <c r="F240" s="45"/>
      <c r="G240" s="45"/>
      <c r="H240" s="45"/>
      <c r="I240" s="124"/>
      <c r="J240" s="124"/>
      <c r="K240" s="45"/>
      <c r="L240" s="124"/>
      <c r="M240" s="124"/>
    </row>
    <row r="241" spans="2:13" ht="17.25" customHeight="1">
      <c r="B241" s="15">
        <v>0</v>
      </c>
      <c r="C241" s="45"/>
      <c r="D241" s="45"/>
      <c r="E241" s="15"/>
      <c r="F241" s="45"/>
      <c r="G241" s="45"/>
      <c r="H241" s="45"/>
      <c r="I241" s="124"/>
      <c r="J241" s="124"/>
      <c r="K241" s="45"/>
      <c r="L241" s="124"/>
      <c r="M241" s="124"/>
    </row>
    <row r="242" spans="2:13" ht="17.25" customHeight="1">
      <c r="B242" s="15">
        <v>0</v>
      </c>
      <c r="C242" s="45"/>
      <c r="D242" s="45"/>
      <c r="E242" s="15"/>
      <c r="F242" s="45"/>
      <c r="G242" s="45"/>
      <c r="H242" s="45"/>
      <c r="I242" s="124"/>
      <c r="J242" s="124"/>
      <c r="K242" s="45"/>
      <c r="L242" s="124"/>
      <c r="M242" s="124"/>
    </row>
    <row r="243" spans="2:13" ht="17.25" customHeight="1">
      <c r="B243" s="15">
        <v>0</v>
      </c>
      <c r="C243" s="45"/>
      <c r="D243" s="45"/>
      <c r="E243" s="15"/>
      <c r="F243" s="45"/>
      <c r="G243" s="45"/>
      <c r="H243" s="45"/>
      <c r="I243" s="124"/>
      <c r="J243" s="124"/>
      <c r="K243" s="45"/>
      <c r="L243" s="124"/>
      <c r="M243" s="124"/>
    </row>
    <row r="244" spans="2:13" ht="17.25" customHeight="1">
      <c r="B244" s="15">
        <v>0</v>
      </c>
      <c r="C244" s="45"/>
      <c r="D244" s="45"/>
      <c r="E244" s="15"/>
      <c r="F244" s="45"/>
      <c r="G244" s="45"/>
      <c r="H244" s="45"/>
      <c r="I244" s="124"/>
      <c r="J244" s="124"/>
      <c r="K244" s="45"/>
      <c r="L244" s="124"/>
      <c r="M244" s="124"/>
    </row>
    <row r="245" spans="2:13" ht="17.25" customHeight="1">
      <c r="B245" s="15">
        <v>0</v>
      </c>
      <c r="C245" s="45"/>
      <c r="D245" s="45"/>
      <c r="E245" s="15"/>
      <c r="F245" s="45"/>
      <c r="G245" s="45"/>
      <c r="H245" s="45"/>
      <c r="I245" s="124"/>
      <c r="J245" s="124"/>
      <c r="K245" s="45"/>
      <c r="L245" s="124"/>
      <c r="M245" s="124"/>
    </row>
    <row r="246" spans="2:13" ht="17.25" customHeight="1">
      <c r="B246" s="15">
        <v>0</v>
      </c>
      <c r="C246" s="45"/>
      <c r="D246" s="45"/>
      <c r="E246" s="15"/>
      <c r="F246" s="45"/>
      <c r="G246" s="45"/>
      <c r="H246" s="45"/>
      <c r="I246" s="124"/>
      <c r="J246" s="124"/>
      <c r="K246" s="45"/>
      <c r="L246" s="124"/>
      <c r="M246" s="124"/>
    </row>
    <row r="247" spans="2:13" ht="17.25" customHeight="1">
      <c r="B247" s="15">
        <v>0</v>
      </c>
      <c r="C247" s="45"/>
      <c r="D247" s="45"/>
      <c r="E247" s="15"/>
      <c r="F247" s="45"/>
      <c r="G247" s="45"/>
      <c r="H247" s="45"/>
      <c r="I247" s="124"/>
      <c r="J247" s="124"/>
      <c r="K247" s="45"/>
      <c r="L247" s="124"/>
      <c r="M247" s="124"/>
    </row>
    <row r="248" spans="2:13" ht="17.25" customHeight="1">
      <c r="B248" s="15">
        <v>0</v>
      </c>
      <c r="C248" s="45"/>
      <c r="D248" s="45"/>
      <c r="E248" s="15"/>
      <c r="F248" s="45"/>
      <c r="G248" s="45"/>
      <c r="H248" s="45"/>
      <c r="I248" s="124"/>
      <c r="J248" s="124"/>
      <c r="K248" s="45"/>
      <c r="L248" s="124"/>
      <c r="M248" s="124"/>
    </row>
    <row r="249" spans="2:13" ht="17.25" customHeight="1">
      <c r="B249" s="15">
        <v>0</v>
      </c>
      <c r="C249" s="45"/>
      <c r="D249" s="45"/>
      <c r="E249" s="15"/>
      <c r="F249" s="45"/>
      <c r="G249" s="45"/>
      <c r="H249" s="45"/>
      <c r="I249" s="124"/>
      <c r="J249" s="124"/>
      <c r="K249" s="45"/>
      <c r="L249" s="124"/>
      <c r="M249" s="124"/>
    </row>
    <row r="250" spans="2:13" ht="17.25" customHeight="1">
      <c r="B250" s="15">
        <v>0</v>
      </c>
      <c r="C250" s="45"/>
      <c r="D250" s="45"/>
      <c r="E250" s="15"/>
      <c r="F250" s="45"/>
      <c r="G250" s="45"/>
      <c r="H250" s="45"/>
      <c r="I250" s="124"/>
      <c r="J250" s="124"/>
      <c r="K250" s="45"/>
      <c r="L250" s="124"/>
      <c r="M250" s="124"/>
    </row>
    <row r="251" spans="2:13" ht="17.25" customHeight="1">
      <c r="B251" s="15">
        <v>0</v>
      </c>
      <c r="C251" s="45"/>
      <c r="D251" s="45"/>
      <c r="E251" s="15"/>
      <c r="F251" s="45"/>
      <c r="G251" s="45"/>
      <c r="H251" s="45"/>
      <c r="I251" s="124"/>
      <c r="J251" s="124"/>
      <c r="K251" s="45"/>
      <c r="L251" s="124"/>
      <c r="M251" s="124"/>
    </row>
    <row r="252" spans="2:13" ht="17.25" customHeight="1">
      <c r="B252" s="15">
        <v>0</v>
      </c>
      <c r="C252" s="45"/>
      <c r="D252" s="45"/>
      <c r="E252" s="15"/>
      <c r="F252" s="45"/>
      <c r="G252" s="45"/>
      <c r="H252" s="45"/>
      <c r="I252" s="124"/>
      <c r="J252" s="124"/>
      <c r="K252" s="45"/>
      <c r="L252" s="124"/>
      <c r="M252" s="124"/>
    </row>
    <row r="253" spans="2:13" ht="17.25" customHeight="1">
      <c r="B253" s="15">
        <v>0</v>
      </c>
      <c r="C253" s="45"/>
      <c r="D253" s="45"/>
      <c r="E253" s="15"/>
      <c r="F253" s="45"/>
      <c r="G253" s="45"/>
      <c r="H253" s="45"/>
      <c r="I253" s="124"/>
      <c r="J253" s="124"/>
      <c r="K253" s="45"/>
      <c r="L253" s="124"/>
      <c r="M253" s="124"/>
    </row>
    <row r="254" spans="2:13" ht="17.25" customHeight="1">
      <c r="B254" s="15">
        <v>0</v>
      </c>
      <c r="C254" s="45"/>
      <c r="D254" s="45"/>
      <c r="E254" s="15"/>
      <c r="F254" s="45"/>
      <c r="G254" s="45"/>
      <c r="H254" s="45"/>
      <c r="I254" s="124"/>
      <c r="J254" s="124"/>
      <c r="K254" s="45"/>
      <c r="L254" s="124"/>
      <c r="M254" s="124"/>
    </row>
    <row r="255" spans="2:13" ht="17.25" customHeight="1">
      <c r="B255" s="15">
        <v>0</v>
      </c>
      <c r="C255" s="45"/>
      <c r="D255" s="45"/>
      <c r="E255" s="15"/>
      <c r="F255" s="45"/>
      <c r="G255" s="45"/>
      <c r="H255" s="45"/>
      <c r="I255" s="124"/>
      <c r="J255" s="124"/>
      <c r="K255" s="45"/>
      <c r="L255" s="124"/>
      <c r="M255" s="124"/>
    </row>
    <row r="256" spans="2:13" ht="17.25" customHeight="1">
      <c r="B256" s="15">
        <v>0</v>
      </c>
      <c r="C256" s="45"/>
      <c r="D256" s="45"/>
      <c r="E256" s="15"/>
      <c r="F256" s="45"/>
      <c r="G256" s="45"/>
      <c r="H256" s="45"/>
      <c r="I256" s="124"/>
      <c r="J256" s="124"/>
      <c r="K256" s="45"/>
      <c r="L256" s="124"/>
      <c r="M256" s="124"/>
    </row>
    <row r="257" spans="2:13" ht="17.25" customHeight="1">
      <c r="B257" s="15">
        <v>0</v>
      </c>
      <c r="C257" s="45"/>
      <c r="D257" s="45"/>
      <c r="E257" s="15"/>
      <c r="F257" s="45"/>
      <c r="G257" s="45"/>
      <c r="H257" s="45"/>
      <c r="I257" s="124"/>
      <c r="J257" s="124"/>
      <c r="K257" s="45"/>
      <c r="L257" s="124"/>
      <c r="M257" s="124"/>
    </row>
    <row r="258" spans="2:13" ht="17.25" customHeight="1">
      <c r="B258" s="15">
        <v>0</v>
      </c>
      <c r="C258" s="45"/>
      <c r="D258" s="45"/>
      <c r="E258" s="15"/>
      <c r="F258" s="45"/>
      <c r="G258" s="45"/>
      <c r="H258" s="45"/>
      <c r="I258" s="124"/>
      <c r="J258" s="124"/>
      <c r="K258" s="45"/>
      <c r="L258" s="124"/>
      <c r="M258" s="124"/>
    </row>
    <row r="259" spans="2:13" ht="17.25" customHeight="1">
      <c r="B259" s="15">
        <v>0</v>
      </c>
      <c r="C259" s="45"/>
      <c r="D259" s="45"/>
      <c r="E259" s="15"/>
      <c r="F259" s="45"/>
      <c r="G259" s="45"/>
      <c r="H259" s="45"/>
      <c r="I259" s="124"/>
      <c r="J259" s="124"/>
      <c r="K259" s="45"/>
      <c r="L259" s="124"/>
      <c r="M259" s="124"/>
    </row>
    <row r="260" spans="2:13" ht="17.25" customHeight="1">
      <c r="B260" s="15">
        <v>0</v>
      </c>
      <c r="C260" s="45"/>
      <c r="D260" s="45"/>
      <c r="E260" s="15"/>
      <c r="F260" s="45"/>
      <c r="G260" s="45"/>
      <c r="H260" s="45"/>
      <c r="I260" s="124"/>
      <c r="J260" s="124"/>
      <c r="K260" s="45"/>
      <c r="L260" s="124"/>
      <c r="M260" s="124"/>
    </row>
    <row r="261" spans="2:13" ht="17.25" customHeight="1">
      <c r="B261" s="15">
        <v>0</v>
      </c>
      <c r="C261" s="45"/>
      <c r="D261" s="45"/>
      <c r="E261" s="15"/>
      <c r="F261" s="45"/>
      <c r="G261" s="45"/>
      <c r="H261" s="45"/>
      <c r="I261" s="124"/>
      <c r="J261" s="124"/>
      <c r="K261" s="45"/>
      <c r="L261" s="124"/>
      <c r="M261" s="124"/>
    </row>
    <row r="262" spans="2:13" ht="17.25" customHeight="1">
      <c r="B262" s="15">
        <v>0</v>
      </c>
      <c r="C262" s="45"/>
      <c r="D262" s="45"/>
      <c r="E262" s="15"/>
      <c r="F262" s="45"/>
      <c r="G262" s="45"/>
      <c r="H262" s="45"/>
      <c r="I262" s="124"/>
      <c r="J262" s="124"/>
      <c r="K262" s="45"/>
      <c r="L262" s="124"/>
      <c r="M262" s="124"/>
    </row>
    <row r="263" spans="2:13" ht="17.25" customHeight="1">
      <c r="B263" s="15">
        <v>0</v>
      </c>
      <c r="C263" s="45"/>
      <c r="D263" s="45"/>
      <c r="E263" s="15"/>
      <c r="F263" s="45"/>
      <c r="G263" s="45"/>
      <c r="H263" s="45"/>
      <c r="I263" s="124"/>
      <c r="J263" s="124"/>
      <c r="K263" s="45"/>
      <c r="L263" s="124"/>
      <c r="M263" s="124"/>
    </row>
    <row r="264" spans="2:13" ht="17.25" customHeight="1">
      <c r="B264" s="15">
        <v>0</v>
      </c>
      <c r="C264" s="45"/>
      <c r="D264" s="45"/>
      <c r="E264" s="15"/>
      <c r="F264" s="45"/>
      <c r="G264" s="45"/>
      <c r="H264" s="45"/>
      <c r="I264" s="124"/>
      <c r="J264" s="124"/>
      <c r="K264" s="45"/>
      <c r="L264" s="124"/>
      <c r="M264" s="124"/>
    </row>
    <row r="265" spans="2:13" ht="17.25" customHeight="1">
      <c r="B265" s="15">
        <v>0</v>
      </c>
      <c r="C265" s="45"/>
      <c r="D265" s="45"/>
      <c r="E265" s="15"/>
      <c r="F265" s="45"/>
      <c r="G265" s="45"/>
      <c r="H265" s="45"/>
      <c r="I265" s="124"/>
      <c r="J265" s="124"/>
      <c r="K265" s="45"/>
      <c r="L265" s="124"/>
      <c r="M265" s="124"/>
    </row>
    <row r="266" spans="2:13" ht="17.25" customHeight="1">
      <c r="B266" s="15">
        <v>0</v>
      </c>
      <c r="C266" s="45"/>
      <c r="D266" s="45"/>
      <c r="E266" s="15"/>
      <c r="F266" s="45"/>
      <c r="G266" s="45"/>
      <c r="H266" s="45"/>
      <c r="I266" s="124"/>
      <c r="J266" s="124"/>
      <c r="K266" s="45"/>
      <c r="L266" s="124"/>
      <c r="M266" s="124"/>
    </row>
    <row r="267" spans="2:13" ht="17.25" customHeight="1">
      <c r="B267" s="15">
        <v>0</v>
      </c>
      <c r="C267" s="45"/>
      <c r="D267" s="45"/>
      <c r="E267" s="15"/>
      <c r="F267" s="45"/>
      <c r="G267" s="45"/>
      <c r="H267" s="45"/>
      <c r="I267" s="124"/>
      <c r="J267" s="124"/>
      <c r="K267" s="45"/>
      <c r="L267" s="124"/>
      <c r="M267" s="124"/>
    </row>
    <row r="268" spans="2:13" ht="17.25" customHeight="1">
      <c r="B268" s="15">
        <v>0</v>
      </c>
      <c r="C268" s="45"/>
      <c r="D268" s="45"/>
      <c r="E268" s="15"/>
      <c r="F268" s="45"/>
      <c r="G268" s="45"/>
      <c r="H268" s="45"/>
      <c r="I268" s="124"/>
      <c r="J268" s="124"/>
      <c r="K268" s="45"/>
      <c r="L268" s="124"/>
      <c r="M268" s="124"/>
    </row>
    <row r="269" spans="2:13" ht="17.25" customHeight="1">
      <c r="B269" s="15">
        <v>0</v>
      </c>
      <c r="C269" s="45"/>
      <c r="D269" s="45"/>
      <c r="E269" s="15"/>
      <c r="F269" s="45"/>
      <c r="G269" s="45"/>
      <c r="H269" s="45"/>
      <c r="I269" s="124"/>
      <c r="J269" s="124"/>
      <c r="K269" s="45"/>
      <c r="L269" s="124"/>
      <c r="M269" s="124"/>
    </row>
    <row r="270" spans="2:13" ht="17.25" customHeight="1">
      <c r="B270" s="15">
        <v>0</v>
      </c>
      <c r="C270" s="45"/>
      <c r="D270" s="45"/>
      <c r="E270" s="15"/>
      <c r="F270" s="45"/>
      <c r="G270" s="45"/>
      <c r="H270" s="45"/>
      <c r="I270" s="124"/>
      <c r="J270" s="124"/>
      <c r="K270" s="45"/>
      <c r="L270" s="124"/>
      <c r="M270" s="124"/>
    </row>
    <row r="271" spans="2:13" ht="17.25" customHeight="1">
      <c r="B271" s="15">
        <v>0</v>
      </c>
      <c r="C271" s="45"/>
      <c r="D271" s="45"/>
      <c r="E271" s="15"/>
      <c r="F271" s="45"/>
      <c r="G271" s="45"/>
      <c r="H271" s="45"/>
      <c r="I271" s="124"/>
      <c r="J271" s="124"/>
      <c r="K271" s="45"/>
      <c r="L271" s="124"/>
      <c r="M271" s="124"/>
    </row>
    <row r="272" spans="2:13" ht="17.25" customHeight="1">
      <c r="B272" s="15">
        <v>0</v>
      </c>
      <c r="C272" s="45"/>
      <c r="D272" s="45"/>
      <c r="E272" s="15"/>
      <c r="F272" s="45"/>
      <c r="G272" s="45"/>
      <c r="H272" s="45"/>
      <c r="I272" s="124"/>
      <c r="J272" s="124"/>
      <c r="K272" s="45"/>
      <c r="L272" s="124"/>
      <c r="M272" s="124"/>
    </row>
    <row r="273" spans="2:13" ht="17.25" customHeight="1">
      <c r="B273" s="15">
        <v>0</v>
      </c>
      <c r="C273" s="45"/>
      <c r="D273" s="45"/>
      <c r="E273" s="15"/>
      <c r="F273" s="45"/>
      <c r="G273" s="45"/>
      <c r="H273" s="45"/>
      <c r="I273" s="124"/>
      <c r="J273" s="124"/>
      <c r="K273" s="45"/>
      <c r="L273" s="124"/>
      <c r="M273" s="124"/>
    </row>
    <row r="274" spans="2:13" ht="17.25" customHeight="1">
      <c r="B274" s="15">
        <v>0</v>
      </c>
      <c r="C274" s="45"/>
      <c r="D274" s="45"/>
      <c r="E274" s="15"/>
      <c r="F274" s="45"/>
      <c r="G274" s="45"/>
      <c r="H274" s="45"/>
      <c r="I274" s="124"/>
      <c r="J274" s="124"/>
      <c r="K274" s="45"/>
      <c r="L274" s="124"/>
      <c r="M274" s="124"/>
    </row>
    <row r="275" spans="2:13" ht="17.25" customHeight="1">
      <c r="B275" s="15">
        <v>0</v>
      </c>
      <c r="C275" s="45"/>
      <c r="D275" s="45"/>
      <c r="E275" s="15"/>
      <c r="F275" s="45"/>
      <c r="G275" s="45"/>
      <c r="H275" s="45"/>
      <c r="I275" s="124"/>
      <c r="J275" s="124"/>
      <c r="K275" s="45"/>
      <c r="L275" s="124"/>
      <c r="M275" s="124"/>
    </row>
    <row r="276" spans="2:13" ht="17.25" customHeight="1">
      <c r="B276" s="15">
        <v>0</v>
      </c>
      <c r="C276" s="45"/>
      <c r="D276" s="45"/>
      <c r="E276" s="15"/>
      <c r="F276" s="45"/>
      <c r="G276" s="45"/>
      <c r="H276" s="45"/>
      <c r="I276" s="124"/>
      <c r="J276" s="124"/>
      <c r="K276" s="45"/>
      <c r="L276" s="124"/>
      <c r="M276" s="124"/>
    </row>
    <row r="277" spans="2:13" ht="17.25" customHeight="1">
      <c r="B277" s="15">
        <v>0</v>
      </c>
      <c r="C277" s="45"/>
      <c r="D277" s="45"/>
      <c r="E277" s="15"/>
      <c r="F277" s="45"/>
      <c r="G277" s="45"/>
      <c r="H277" s="45"/>
      <c r="I277" s="124"/>
      <c r="J277" s="124"/>
      <c r="K277" s="45"/>
      <c r="L277" s="124"/>
      <c r="M277" s="124"/>
    </row>
    <row r="278" spans="2:13" ht="17.25" customHeight="1">
      <c r="B278" s="15">
        <v>0</v>
      </c>
      <c r="C278" s="45"/>
      <c r="D278" s="45"/>
      <c r="E278" s="15"/>
      <c r="F278" s="45"/>
      <c r="G278" s="45"/>
      <c r="H278" s="45"/>
      <c r="I278" s="124"/>
      <c r="J278" s="124"/>
      <c r="K278" s="45"/>
      <c r="L278" s="124"/>
      <c r="M278" s="124"/>
    </row>
    <row r="279" spans="2:13" ht="17.25" customHeight="1">
      <c r="B279" s="15">
        <v>0</v>
      </c>
      <c r="C279" s="45"/>
      <c r="D279" s="45"/>
      <c r="E279" s="15"/>
      <c r="F279" s="45"/>
      <c r="G279" s="45"/>
      <c r="H279" s="45"/>
      <c r="I279" s="124"/>
      <c r="J279" s="124"/>
      <c r="K279" s="45"/>
      <c r="L279" s="124"/>
      <c r="M279" s="124"/>
    </row>
    <row r="280" spans="2:13" ht="17.25" customHeight="1">
      <c r="B280" s="15">
        <v>0</v>
      </c>
      <c r="C280" s="45"/>
      <c r="D280" s="45"/>
      <c r="E280" s="15"/>
      <c r="F280" s="45"/>
      <c r="G280" s="45"/>
      <c r="H280" s="45"/>
      <c r="I280" s="124"/>
      <c r="J280" s="124"/>
      <c r="K280" s="45"/>
      <c r="L280" s="124"/>
      <c r="M280" s="124"/>
    </row>
    <row r="281" spans="2:13" ht="17.25" customHeight="1">
      <c r="B281" s="15">
        <v>0</v>
      </c>
      <c r="C281" s="45"/>
      <c r="D281" s="45"/>
      <c r="E281" s="15"/>
      <c r="F281" s="45"/>
      <c r="G281" s="45"/>
      <c r="H281" s="45"/>
      <c r="I281" s="124"/>
      <c r="J281" s="124"/>
      <c r="K281" s="45"/>
      <c r="L281" s="124"/>
      <c r="M281" s="124"/>
    </row>
    <row r="282" spans="2:13" ht="17.25" customHeight="1">
      <c r="B282" s="15">
        <v>0</v>
      </c>
      <c r="C282" s="45"/>
      <c r="D282" s="45"/>
      <c r="E282" s="15"/>
      <c r="F282" s="45"/>
      <c r="G282" s="45"/>
      <c r="H282" s="45"/>
      <c r="I282" s="124"/>
      <c r="J282" s="124"/>
      <c r="K282" s="45"/>
      <c r="L282" s="124"/>
      <c r="M282" s="124"/>
    </row>
    <row r="283" spans="2:13" ht="17.25" customHeight="1">
      <c r="B283" s="15">
        <v>0</v>
      </c>
      <c r="C283" s="45"/>
      <c r="D283" s="45"/>
      <c r="E283" s="15"/>
      <c r="F283" s="45"/>
      <c r="G283" s="45"/>
      <c r="H283" s="45"/>
      <c r="I283" s="124"/>
      <c r="J283" s="124"/>
      <c r="K283" s="45"/>
      <c r="L283" s="124"/>
      <c r="M283" s="124"/>
    </row>
    <row r="284" spans="2:13" ht="17.25" customHeight="1">
      <c r="B284" s="15">
        <v>0</v>
      </c>
      <c r="C284" s="45"/>
      <c r="D284" s="45"/>
      <c r="E284" s="15"/>
      <c r="F284" s="45"/>
      <c r="G284" s="45"/>
      <c r="H284" s="45"/>
      <c r="I284" s="124"/>
      <c r="J284" s="124"/>
      <c r="K284" s="45"/>
      <c r="L284" s="124"/>
      <c r="M284" s="124"/>
    </row>
    <row r="285" spans="2:13" ht="17.25" customHeight="1">
      <c r="B285" s="15">
        <v>0</v>
      </c>
      <c r="C285" s="45"/>
      <c r="D285" s="45"/>
      <c r="E285" s="15"/>
      <c r="F285" s="45"/>
      <c r="G285" s="45"/>
      <c r="H285" s="45"/>
      <c r="I285" s="124"/>
      <c r="J285" s="124"/>
      <c r="K285" s="45"/>
      <c r="L285" s="124"/>
      <c r="M285" s="124"/>
    </row>
    <row r="286" spans="2:13" ht="17.25" customHeight="1">
      <c r="B286" s="15">
        <v>0</v>
      </c>
      <c r="C286" s="45"/>
      <c r="D286" s="45"/>
      <c r="E286" s="15"/>
      <c r="F286" s="45"/>
      <c r="G286" s="45"/>
      <c r="H286" s="45"/>
      <c r="I286" s="124"/>
      <c r="J286" s="124"/>
      <c r="K286" s="45"/>
      <c r="L286" s="124"/>
      <c r="M286" s="124"/>
    </row>
    <row r="287" spans="2:13" ht="17.25" customHeight="1">
      <c r="B287" s="15">
        <v>0</v>
      </c>
      <c r="C287" s="45"/>
      <c r="D287" s="45"/>
      <c r="E287" s="15"/>
      <c r="F287" s="45"/>
      <c r="G287" s="45"/>
      <c r="H287" s="45"/>
      <c r="I287" s="124"/>
      <c r="J287" s="124"/>
      <c r="K287" s="45"/>
      <c r="L287" s="124"/>
      <c r="M287" s="124"/>
    </row>
    <row r="288" spans="2:13" ht="17.25" customHeight="1">
      <c r="B288" s="15">
        <v>0</v>
      </c>
      <c r="C288" s="45"/>
      <c r="D288" s="45"/>
      <c r="E288" s="15"/>
      <c r="F288" s="45"/>
      <c r="G288" s="45"/>
      <c r="H288" s="45"/>
      <c r="I288" s="124"/>
      <c r="J288" s="124"/>
      <c r="K288" s="45"/>
      <c r="L288" s="124"/>
      <c r="M288" s="124"/>
    </row>
    <row r="289" spans="2:13" ht="17.25" customHeight="1">
      <c r="B289" s="15">
        <v>0</v>
      </c>
      <c r="C289" s="45"/>
      <c r="D289" s="45"/>
      <c r="E289" s="15"/>
      <c r="F289" s="45"/>
      <c r="G289" s="45"/>
      <c r="H289" s="45"/>
      <c r="I289" s="124"/>
      <c r="J289" s="124"/>
      <c r="K289" s="45"/>
      <c r="L289" s="124"/>
      <c r="M289" s="124"/>
    </row>
    <row r="290" spans="2:13" ht="17.25" customHeight="1">
      <c r="B290" s="15">
        <v>0</v>
      </c>
      <c r="C290" s="45"/>
      <c r="D290" s="45"/>
      <c r="E290" s="15"/>
      <c r="F290" s="45"/>
      <c r="G290" s="45"/>
      <c r="H290" s="45"/>
      <c r="I290" s="124"/>
      <c r="J290" s="124"/>
      <c r="K290" s="45"/>
      <c r="L290" s="124"/>
      <c r="M290" s="124"/>
    </row>
    <row r="291" spans="2:13" ht="17.25" customHeight="1">
      <c r="B291" s="15">
        <v>0</v>
      </c>
      <c r="C291" s="45"/>
      <c r="D291" s="45"/>
      <c r="E291" s="15"/>
      <c r="F291" s="45"/>
      <c r="G291" s="45"/>
      <c r="H291" s="45"/>
      <c r="I291" s="124"/>
      <c r="J291" s="124"/>
      <c r="K291" s="45"/>
      <c r="L291" s="124"/>
      <c r="M291" s="124"/>
    </row>
    <row r="292" spans="2:13" ht="17.25" customHeight="1">
      <c r="B292" s="15">
        <v>0</v>
      </c>
      <c r="C292" s="45"/>
      <c r="D292" s="45"/>
      <c r="E292" s="15"/>
      <c r="F292" s="45"/>
      <c r="G292" s="45"/>
      <c r="H292" s="45"/>
      <c r="I292" s="124"/>
      <c r="J292" s="124"/>
      <c r="K292" s="45"/>
      <c r="L292" s="124"/>
      <c r="M292" s="124"/>
    </row>
    <row r="293" spans="2:13" ht="17.25" customHeight="1">
      <c r="B293" s="15">
        <v>0</v>
      </c>
      <c r="C293" s="45"/>
      <c r="D293" s="45"/>
      <c r="E293" s="15"/>
      <c r="F293" s="45"/>
      <c r="G293" s="45"/>
      <c r="H293" s="45"/>
      <c r="I293" s="124"/>
      <c r="J293" s="124"/>
      <c r="K293" s="45"/>
      <c r="L293" s="124"/>
      <c r="M293" s="124"/>
    </row>
    <row r="294" spans="2:13" ht="17.25" customHeight="1">
      <c r="B294" s="15">
        <v>0</v>
      </c>
      <c r="C294" s="45"/>
      <c r="D294" s="45"/>
      <c r="E294" s="15"/>
      <c r="F294" s="45"/>
      <c r="G294" s="45"/>
      <c r="H294" s="45"/>
      <c r="I294" s="124"/>
      <c r="J294" s="124"/>
      <c r="K294" s="45"/>
      <c r="L294" s="124"/>
      <c r="M294" s="124"/>
    </row>
    <row r="295" spans="2:13" ht="17.25" customHeight="1">
      <c r="B295" s="15">
        <v>0</v>
      </c>
      <c r="C295" s="45"/>
      <c r="D295" s="45"/>
      <c r="E295" s="15"/>
      <c r="F295" s="45"/>
      <c r="G295" s="45"/>
      <c r="H295" s="45"/>
      <c r="I295" s="124"/>
      <c r="J295" s="124"/>
      <c r="K295" s="45"/>
      <c r="L295" s="124"/>
      <c r="M295" s="124"/>
    </row>
    <row r="296" spans="2:13" ht="17.25" customHeight="1">
      <c r="B296" s="15">
        <v>0</v>
      </c>
      <c r="C296" s="45"/>
      <c r="D296" s="45"/>
      <c r="E296" s="15"/>
      <c r="F296" s="45"/>
      <c r="G296" s="45"/>
      <c r="H296" s="45"/>
      <c r="I296" s="124"/>
      <c r="J296" s="124"/>
      <c r="K296" s="45"/>
      <c r="L296" s="124"/>
      <c r="M296" s="124"/>
    </row>
    <row r="297" spans="2:13" ht="17.25" customHeight="1">
      <c r="B297" s="15">
        <v>0</v>
      </c>
      <c r="C297" s="45"/>
      <c r="D297" s="45"/>
      <c r="E297" s="15"/>
      <c r="F297" s="45"/>
      <c r="G297" s="45"/>
      <c r="H297" s="45"/>
      <c r="I297" s="124"/>
      <c r="J297" s="124"/>
      <c r="K297" s="45"/>
      <c r="L297" s="124"/>
      <c r="M297" s="124"/>
    </row>
    <row r="298" spans="2:13" ht="17.25" customHeight="1">
      <c r="B298" s="15">
        <v>0</v>
      </c>
      <c r="C298" s="45"/>
      <c r="D298" s="45"/>
      <c r="E298" s="15"/>
      <c r="F298" s="45"/>
      <c r="G298" s="45"/>
      <c r="H298" s="45"/>
      <c r="I298" s="124"/>
      <c r="J298" s="124"/>
      <c r="K298" s="45"/>
      <c r="L298" s="124"/>
      <c r="M298" s="124"/>
    </row>
    <row r="299" spans="2:13" ht="17.25" customHeight="1">
      <c r="B299" s="15">
        <v>0</v>
      </c>
      <c r="C299" s="45"/>
      <c r="D299" s="45"/>
      <c r="E299" s="15"/>
      <c r="F299" s="45"/>
      <c r="G299" s="45"/>
      <c r="H299" s="45"/>
      <c r="I299" s="124"/>
      <c r="J299" s="124"/>
      <c r="K299" s="45"/>
      <c r="L299" s="124"/>
      <c r="M299" s="124"/>
    </row>
    <row r="300" spans="2:13" ht="17.25" customHeight="1">
      <c r="B300" s="15">
        <v>0</v>
      </c>
      <c r="C300" s="45"/>
      <c r="D300" s="45"/>
      <c r="E300" s="15"/>
      <c r="F300" s="45"/>
      <c r="G300" s="45"/>
      <c r="H300" s="45"/>
      <c r="I300" s="124"/>
      <c r="J300" s="124"/>
      <c r="K300" s="45"/>
      <c r="L300" s="124"/>
      <c r="M300" s="124"/>
    </row>
    <row r="301" spans="2:13" ht="17.25" customHeight="1">
      <c r="B301" s="15">
        <v>0</v>
      </c>
      <c r="C301" s="45"/>
      <c r="D301" s="45"/>
      <c r="E301" s="15"/>
      <c r="F301" s="45"/>
      <c r="G301" s="45"/>
      <c r="H301" s="45"/>
      <c r="I301" s="124"/>
      <c r="J301" s="124"/>
      <c r="K301" s="45"/>
      <c r="L301" s="124"/>
      <c r="M301" s="124"/>
    </row>
    <row r="302" spans="2:13" ht="17.25" customHeight="1">
      <c r="B302" s="15">
        <v>0</v>
      </c>
      <c r="C302" s="45"/>
      <c r="D302" s="45"/>
      <c r="E302" s="15"/>
      <c r="F302" s="45"/>
      <c r="G302" s="45"/>
      <c r="H302" s="45"/>
      <c r="I302" s="124"/>
      <c r="J302" s="124"/>
      <c r="K302" s="45"/>
      <c r="L302" s="124"/>
      <c r="M302" s="124"/>
    </row>
    <row r="303" spans="2:13" ht="17.25" customHeight="1">
      <c r="B303" s="15">
        <v>0</v>
      </c>
      <c r="C303" s="45"/>
      <c r="D303" s="45"/>
      <c r="E303" s="15"/>
      <c r="F303" s="45"/>
      <c r="G303" s="45"/>
      <c r="H303" s="45"/>
      <c r="I303" s="124"/>
      <c r="J303" s="124"/>
      <c r="K303" s="45"/>
      <c r="L303" s="124"/>
      <c r="M303" s="124"/>
    </row>
    <row r="304" spans="2:13" ht="17.25" customHeight="1">
      <c r="B304" s="15">
        <v>0</v>
      </c>
      <c r="C304" s="45"/>
      <c r="D304" s="45"/>
      <c r="E304" s="15"/>
      <c r="F304" s="45"/>
      <c r="G304" s="45"/>
      <c r="H304" s="45"/>
      <c r="I304" s="124"/>
      <c r="J304" s="124"/>
      <c r="K304" s="45"/>
      <c r="L304" s="124"/>
      <c r="M304" s="124"/>
    </row>
    <row r="305" spans="2:13" ht="17.25" customHeight="1">
      <c r="B305" s="15">
        <v>0</v>
      </c>
      <c r="C305" s="45"/>
      <c r="D305" s="45"/>
      <c r="E305" s="15"/>
      <c r="F305" s="45"/>
      <c r="G305" s="45"/>
      <c r="H305" s="45"/>
      <c r="I305" s="124"/>
      <c r="J305" s="124"/>
      <c r="K305" s="45"/>
      <c r="L305" s="124"/>
      <c r="M305" s="124"/>
    </row>
    <row r="306" spans="2:13" ht="17.25" customHeight="1">
      <c r="B306" s="15">
        <v>0</v>
      </c>
      <c r="C306" s="45"/>
      <c r="D306" s="45"/>
      <c r="E306" s="15"/>
      <c r="F306" s="45"/>
      <c r="G306" s="45"/>
      <c r="H306" s="45"/>
      <c r="I306" s="124"/>
      <c r="J306" s="124"/>
      <c r="K306" s="45"/>
      <c r="L306" s="124"/>
      <c r="M306" s="124"/>
    </row>
    <row r="307" spans="2:13" ht="17.25" customHeight="1">
      <c r="B307" s="15">
        <v>0</v>
      </c>
      <c r="C307" s="45"/>
      <c r="D307" s="45"/>
      <c r="E307" s="15"/>
      <c r="F307" s="45"/>
      <c r="G307" s="45"/>
      <c r="H307" s="45"/>
      <c r="I307" s="124"/>
      <c r="J307" s="124"/>
      <c r="K307" s="45"/>
      <c r="L307" s="124"/>
      <c r="M307" s="124"/>
    </row>
    <row r="308" spans="2:13" ht="17.25" customHeight="1">
      <c r="B308" s="15">
        <v>0</v>
      </c>
      <c r="C308" s="45"/>
      <c r="D308" s="45"/>
      <c r="E308" s="15"/>
      <c r="F308" s="45"/>
      <c r="G308" s="45"/>
      <c r="H308" s="45"/>
      <c r="I308" s="124"/>
      <c r="J308" s="124"/>
      <c r="K308" s="45"/>
      <c r="L308" s="124"/>
      <c r="M308" s="124"/>
    </row>
    <row r="309" spans="2:13" ht="17.25" customHeight="1">
      <c r="B309" s="15">
        <v>0</v>
      </c>
      <c r="C309" s="45"/>
      <c r="D309" s="45"/>
      <c r="E309" s="15"/>
      <c r="F309" s="45"/>
      <c r="G309" s="45"/>
      <c r="H309" s="45"/>
      <c r="I309" s="124"/>
      <c r="J309" s="124"/>
      <c r="K309" s="45"/>
      <c r="L309" s="124"/>
      <c r="M309" s="124"/>
    </row>
    <row r="310" spans="2:13" ht="17.25" customHeight="1">
      <c r="B310" s="15">
        <v>0</v>
      </c>
      <c r="C310" s="45"/>
      <c r="D310" s="45"/>
      <c r="E310" s="15"/>
      <c r="F310" s="45"/>
      <c r="G310" s="45"/>
      <c r="H310" s="45"/>
      <c r="I310" s="124"/>
      <c r="J310" s="124"/>
      <c r="K310" s="45"/>
      <c r="L310" s="124"/>
      <c r="M310" s="124"/>
    </row>
    <row r="311" spans="2:13" ht="17.25" customHeight="1">
      <c r="B311" s="15">
        <v>0</v>
      </c>
      <c r="C311" s="45"/>
      <c r="D311" s="45"/>
      <c r="E311" s="15"/>
      <c r="F311" s="45"/>
      <c r="G311" s="45"/>
      <c r="H311" s="45"/>
      <c r="I311" s="124"/>
      <c r="J311" s="124"/>
      <c r="K311" s="45"/>
      <c r="L311" s="124"/>
      <c r="M311" s="124"/>
    </row>
    <row r="312" spans="2:13" ht="17.25" customHeight="1">
      <c r="B312" s="15">
        <v>0</v>
      </c>
      <c r="C312" s="45"/>
      <c r="D312" s="45"/>
      <c r="E312" s="15"/>
      <c r="F312" s="45"/>
      <c r="G312" s="45"/>
      <c r="H312" s="45"/>
      <c r="I312" s="124"/>
      <c r="J312" s="124"/>
      <c r="K312" s="45"/>
      <c r="L312" s="124"/>
      <c r="M312" s="124"/>
    </row>
    <row r="313" spans="2:13" ht="17.25" customHeight="1">
      <c r="B313" s="15">
        <v>0</v>
      </c>
      <c r="C313" s="45"/>
      <c r="D313" s="45"/>
      <c r="E313" s="15"/>
      <c r="F313" s="45"/>
      <c r="G313" s="45"/>
      <c r="H313" s="45"/>
      <c r="I313" s="124"/>
      <c r="J313" s="124"/>
      <c r="K313" s="45"/>
      <c r="L313" s="124"/>
      <c r="M313" s="124"/>
    </row>
    <row r="314" spans="2:13" ht="17.25" customHeight="1">
      <c r="B314" s="15">
        <v>0</v>
      </c>
      <c r="C314" s="45"/>
      <c r="D314" s="45"/>
      <c r="E314" s="15"/>
      <c r="F314" s="45"/>
      <c r="G314" s="45"/>
      <c r="H314" s="45"/>
      <c r="I314" s="124"/>
      <c r="J314" s="124"/>
      <c r="K314" s="45"/>
      <c r="L314" s="124"/>
      <c r="M314" s="124"/>
    </row>
    <row r="315" spans="2:13" ht="17.25" customHeight="1">
      <c r="B315" s="15">
        <v>0</v>
      </c>
      <c r="C315" s="45"/>
      <c r="D315" s="45"/>
      <c r="E315" s="15"/>
      <c r="F315" s="45"/>
      <c r="G315" s="45"/>
      <c r="H315" s="45"/>
      <c r="I315" s="124"/>
      <c r="J315" s="124"/>
      <c r="K315" s="45"/>
      <c r="L315" s="124"/>
      <c r="M315" s="124"/>
    </row>
    <row r="316" spans="2:13" ht="17.25" customHeight="1">
      <c r="B316" s="15">
        <v>0</v>
      </c>
      <c r="C316" s="45"/>
      <c r="D316" s="45"/>
      <c r="E316" s="15"/>
      <c r="F316" s="45"/>
      <c r="G316" s="45"/>
      <c r="H316" s="45"/>
      <c r="I316" s="124"/>
      <c r="J316" s="124"/>
      <c r="K316" s="45"/>
      <c r="L316" s="124"/>
      <c r="M316" s="124"/>
    </row>
    <row r="317" spans="2:13" ht="17.25" customHeight="1">
      <c r="B317" s="15">
        <v>0</v>
      </c>
      <c r="C317" s="45"/>
      <c r="D317" s="45"/>
      <c r="E317" s="15"/>
      <c r="F317" s="45"/>
      <c r="G317" s="45"/>
      <c r="H317" s="45"/>
      <c r="I317" s="124"/>
      <c r="J317" s="124"/>
      <c r="K317" s="45"/>
      <c r="L317" s="124"/>
      <c r="M317" s="124"/>
    </row>
    <row r="318" spans="2:13" ht="17.25" customHeight="1">
      <c r="B318" s="15">
        <v>0</v>
      </c>
      <c r="C318" s="45"/>
      <c r="D318" s="45"/>
      <c r="E318" s="15"/>
      <c r="F318" s="45"/>
      <c r="G318" s="45"/>
      <c r="H318" s="45"/>
      <c r="I318" s="124"/>
      <c r="J318" s="124"/>
      <c r="K318" s="45"/>
      <c r="L318" s="124"/>
      <c r="M318" s="124"/>
    </row>
    <row r="319" spans="2:13" ht="17.25" customHeight="1">
      <c r="B319" s="15">
        <v>0</v>
      </c>
      <c r="C319" s="45"/>
      <c r="D319" s="45"/>
      <c r="E319" s="15"/>
      <c r="F319" s="45"/>
      <c r="G319" s="45"/>
      <c r="H319" s="45"/>
      <c r="I319" s="124"/>
      <c r="J319" s="124"/>
      <c r="K319" s="45"/>
      <c r="L319" s="124"/>
      <c r="M319" s="124"/>
    </row>
    <row r="320" spans="2:13" ht="17.25" customHeight="1">
      <c r="B320" s="15">
        <v>0</v>
      </c>
      <c r="C320" s="45"/>
      <c r="D320" s="45"/>
      <c r="E320" s="15"/>
      <c r="F320" s="45"/>
      <c r="G320" s="45"/>
      <c r="H320" s="45"/>
      <c r="I320" s="124"/>
      <c r="J320" s="124"/>
      <c r="K320" s="45"/>
      <c r="L320" s="124"/>
      <c r="M320" s="124"/>
    </row>
    <row r="321" spans="2:13" ht="17.25" customHeight="1">
      <c r="B321" s="15">
        <v>0</v>
      </c>
      <c r="C321" s="45"/>
      <c r="D321" s="45"/>
      <c r="E321" s="15"/>
      <c r="F321" s="45"/>
      <c r="G321" s="45"/>
      <c r="H321" s="45"/>
      <c r="I321" s="124"/>
      <c r="J321" s="124"/>
      <c r="K321" s="45"/>
      <c r="L321" s="124"/>
      <c r="M321" s="124"/>
    </row>
    <row r="322" spans="2:13" ht="17.25" customHeight="1">
      <c r="B322" s="15">
        <v>0</v>
      </c>
      <c r="C322" s="45"/>
      <c r="D322" s="45"/>
      <c r="E322" s="15"/>
      <c r="F322" s="45"/>
      <c r="G322" s="45"/>
      <c r="H322" s="45"/>
      <c r="I322" s="124"/>
      <c r="J322" s="124"/>
      <c r="K322" s="45"/>
      <c r="L322" s="124"/>
      <c r="M322" s="124"/>
    </row>
    <row r="323" spans="2:13" ht="17.25" customHeight="1">
      <c r="B323" s="15">
        <v>0</v>
      </c>
      <c r="C323" s="45"/>
      <c r="D323" s="45"/>
      <c r="E323" s="15"/>
      <c r="F323" s="45"/>
      <c r="G323" s="45"/>
      <c r="H323" s="45"/>
      <c r="I323" s="124"/>
      <c r="J323" s="124"/>
      <c r="K323" s="45"/>
      <c r="L323" s="124"/>
      <c r="M323" s="124"/>
    </row>
    <row r="324" spans="2:13" ht="17.25" customHeight="1">
      <c r="B324" s="15">
        <v>0</v>
      </c>
      <c r="C324" s="45"/>
      <c r="D324" s="45"/>
      <c r="E324" s="15"/>
      <c r="F324" s="45"/>
      <c r="G324" s="45"/>
      <c r="H324" s="45"/>
      <c r="I324" s="124"/>
      <c r="J324" s="124"/>
      <c r="K324" s="45"/>
      <c r="L324" s="124"/>
      <c r="M324" s="124"/>
    </row>
    <row r="325" spans="2:13" ht="17.25" customHeight="1">
      <c r="B325" s="15">
        <v>0</v>
      </c>
      <c r="C325" s="45"/>
      <c r="D325" s="45"/>
      <c r="E325" s="15"/>
      <c r="F325" s="45"/>
      <c r="G325" s="45"/>
      <c r="H325" s="45"/>
      <c r="I325" s="124"/>
      <c r="J325" s="124"/>
      <c r="K325" s="45"/>
      <c r="L325" s="124"/>
      <c r="M325" s="124"/>
    </row>
    <row r="326" spans="2:13" ht="17.25" customHeight="1">
      <c r="B326" s="15">
        <v>0</v>
      </c>
      <c r="C326" s="45"/>
      <c r="D326" s="45"/>
      <c r="E326" s="15"/>
      <c r="F326" s="45"/>
      <c r="G326" s="45"/>
      <c r="H326" s="45"/>
      <c r="I326" s="124"/>
      <c r="J326" s="124"/>
      <c r="K326" s="45"/>
      <c r="L326" s="124"/>
      <c r="M326" s="124"/>
    </row>
    <row r="327" spans="2:13" ht="17.25" customHeight="1">
      <c r="B327" s="15">
        <v>0</v>
      </c>
      <c r="C327" s="45"/>
      <c r="D327" s="45"/>
      <c r="E327" s="15"/>
      <c r="F327" s="45"/>
      <c r="G327" s="45"/>
      <c r="H327" s="45"/>
      <c r="I327" s="124"/>
      <c r="J327" s="124"/>
      <c r="K327" s="45"/>
      <c r="L327" s="124"/>
      <c r="M327" s="124"/>
    </row>
    <row r="328" spans="2:13" ht="17.25" customHeight="1">
      <c r="B328" s="15">
        <v>0</v>
      </c>
      <c r="C328" s="45"/>
      <c r="D328" s="45"/>
      <c r="E328" s="15"/>
      <c r="F328" s="45"/>
      <c r="G328" s="45"/>
      <c r="H328" s="45"/>
      <c r="I328" s="124"/>
      <c r="J328" s="124"/>
      <c r="K328" s="45"/>
      <c r="L328" s="124"/>
      <c r="M328" s="124"/>
    </row>
    <row r="329" spans="2:13" ht="17.25" customHeight="1">
      <c r="B329" s="15">
        <v>0</v>
      </c>
      <c r="C329" s="45"/>
      <c r="D329" s="45"/>
      <c r="E329" s="15"/>
      <c r="F329" s="45"/>
      <c r="G329" s="45"/>
      <c r="H329" s="45"/>
      <c r="I329" s="124"/>
      <c r="J329" s="124"/>
      <c r="K329" s="45"/>
      <c r="L329" s="124"/>
      <c r="M329" s="124"/>
    </row>
    <row r="330" spans="2:13" ht="17.25" customHeight="1">
      <c r="B330" s="15">
        <v>0</v>
      </c>
      <c r="C330" s="45"/>
      <c r="D330" s="45"/>
      <c r="E330" s="15"/>
      <c r="F330" s="45"/>
      <c r="G330" s="45"/>
      <c r="H330" s="45"/>
      <c r="I330" s="124"/>
      <c r="J330" s="124"/>
      <c r="K330" s="45"/>
      <c r="L330" s="124"/>
      <c r="M330" s="124"/>
    </row>
    <row r="331" spans="2:13" ht="17.25" customHeight="1">
      <c r="B331" s="15">
        <v>0</v>
      </c>
      <c r="C331" s="45"/>
      <c r="D331" s="45"/>
      <c r="E331" s="15"/>
      <c r="F331" s="45"/>
      <c r="G331" s="45"/>
      <c r="H331" s="45"/>
      <c r="I331" s="124"/>
      <c r="J331" s="124"/>
      <c r="K331" s="45"/>
      <c r="L331" s="124"/>
      <c r="M331" s="124"/>
    </row>
    <row r="332" spans="2:13" ht="17.25" customHeight="1">
      <c r="B332" s="15">
        <v>0</v>
      </c>
      <c r="C332" s="45"/>
      <c r="D332" s="45"/>
      <c r="E332" s="15"/>
      <c r="F332" s="45"/>
      <c r="G332" s="45"/>
      <c r="H332" s="45"/>
      <c r="I332" s="124"/>
      <c r="J332" s="124"/>
      <c r="K332" s="45"/>
      <c r="L332" s="124"/>
      <c r="M332" s="124"/>
    </row>
    <row r="333" spans="2:13" ht="17.25" customHeight="1">
      <c r="B333" s="15">
        <v>0</v>
      </c>
      <c r="C333" s="45"/>
      <c r="D333" s="45"/>
      <c r="E333" s="15"/>
      <c r="F333" s="45"/>
      <c r="G333" s="45"/>
      <c r="H333" s="45"/>
      <c r="I333" s="124"/>
      <c r="J333" s="124"/>
      <c r="K333" s="45"/>
      <c r="L333" s="124"/>
      <c r="M333" s="124"/>
    </row>
    <row r="334" spans="2:13" ht="17.25" customHeight="1">
      <c r="B334" s="15">
        <v>0</v>
      </c>
      <c r="C334" s="45"/>
      <c r="D334" s="45"/>
      <c r="E334" s="15"/>
      <c r="F334" s="45"/>
      <c r="G334" s="45"/>
      <c r="H334" s="45"/>
      <c r="I334" s="124"/>
      <c r="J334" s="124"/>
      <c r="K334" s="45"/>
      <c r="L334" s="124"/>
      <c r="M334" s="124"/>
    </row>
    <row r="335" spans="2:13" ht="17.25" customHeight="1">
      <c r="B335" s="15">
        <v>0</v>
      </c>
      <c r="C335" s="45"/>
      <c r="D335" s="45"/>
      <c r="E335" s="15"/>
      <c r="F335" s="45"/>
      <c r="G335" s="45"/>
      <c r="H335" s="45"/>
      <c r="I335" s="124"/>
      <c r="J335" s="124"/>
      <c r="K335" s="45"/>
      <c r="L335" s="124"/>
      <c r="M335" s="124"/>
    </row>
    <row r="336" spans="2:13" ht="17.25" customHeight="1">
      <c r="B336" s="15">
        <v>0</v>
      </c>
      <c r="C336" s="45"/>
      <c r="D336" s="45"/>
      <c r="E336" s="15"/>
      <c r="F336" s="45"/>
      <c r="G336" s="45"/>
      <c r="H336" s="45"/>
      <c r="I336" s="124"/>
      <c r="J336" s="124"/>
      <c r="K336" s="45"/>
      <c r="L336" s="124"/>
      <c r="M336" s="124"/>
    </row>
    <row r="337" spans="2:13" ht="17.25" customHeight="1">
      <c r="B337" s="15">
        <v>0</v>
      </c>
      <c r="C337" s="45"/>
      <c r="D337" s="45"/>
      <c r="E337" s="15"/>
      <c r="F337" s="45"/>
      <c r="G337" s="45"/>
      <c r="H337" s="45"/>
      <c r="I337" s="124"/>
      <c r="J337" s="124"/>
      <c r="K337" s="45"/>
      <c r="L337" s="124"/>
      <c r="M337" s="124"/>
    </row>
    <row r="338" spans="2:13" ht="17.25" customHeight="1">
      <c r="B338" s="15">
        <v>0</v>
      </c>
      <c r="C338" s="45"/>
      <c r="D338" s="45"/>
      <c r="E338" s="15"/>
      <c r="F338" s="45"/>
      <c r="G338" s="45"/>
      <c r="H338" s="45"/>
      <c r="I338" s="124"/>
      <c r="J338" s="124"/>
      <c r="K338" s="45"/>
      <c r="L338" s="124"/>
      <c r="M338" s="124"/>
    </row>
    <row r="339" spans="2:13" ht="17.25" customHeight="1">
      <c r="B339" s="15">
        <v>0</v>
      </c>
      <c r="C339" s="45"/>
      <c r="D339" s="45"/>
      <c r="E339" s="15"/>
      <c r="F339" s="45"/>
      <c r="G339" s="45"/>
      <c r="H339" s="45"/>
      <c r="I339" s="124"/>
      <c r="J339" s="124"/>
      <c r="K339" s="45"/>
      <c r="L339" s="124"/>
      <c r="M339" s="124"/>
    </row>
    <row r="340" spans="2:13" ht="17.25" customHeight="1">
      <c r="B340" s="15">
        <v>0</v>
      </c>
      <c r="C340" s="45"/>
      <c r="D340" s="45"/>
      <c r="E340" s="15"/>
      <c r="F340" s="45"/>
      <c r="G340" s="45"/>
      <c r="H340" s="45"/>
      <c r="I340" s="124"/>
      <c r="J340" s="124"/>
      <c r="K340" s="45"/>
      <c r="L340" s="124"/>
      <c r="M340" s="124"/>
    </row>
    <row r="341" spans="2:13" ht="17.25" customHeight="1">
      <c r="B341" s="15">
        <v>0</v>
      </c>
      <c r="C341" s="45"/>
      <c r="D341" s="45"/>
      <c r="E341" s="15"/>
      <c r="F341" s="45"/>
      <c r="G341" s="45"/>
      <c r="H341" s="45"/>
      <c r="I341" s="124"/>
      <c r="J341" s="124"/>
      <c r="K341" s="45"/>
      <c r="L341" s="124"/>
      <c r="M341" s="124"/>
    </row>
    <row r="342" spans="2:13" ht="17.25" customHeight="1">
      <c r="B342" s="15">
        <v>0</v>
      </c>
      <c r="C342" s="45"/>
      <c r="D342" s="45"/>
      <c r="E342" s="15"/>
      <c r="F342" s="45"/>
      <c r="G342" s="45"/>
      <c r="H342" s="45"/>
      <c r="I342" s="124"/>
      <c r="J342" s="124"/>
      <c r="K342" s="45"/>
      <c r="L342" s="124"/>
      <c r="M342" s="124"/>
    </row>
    <row r="343" spans="2:13" ht="17.25" customHeight="1">
      <c r="B343" s="15">
        <v>0</v>
      </c>
      <c r="C343" s="45"/>
      <c r="D343" s="45"/>
      <c r="E343" s="15"/>
      <c r="F343" s="45"/>
      <c r="G343" s="45"/>
      <c r="H343" s="45"/>
      <c r="I343" s="124"/>
      <c r="J343" s="124"/>
      <c r="K343" s="45"/>
      <c r="L343" s="124"/>
      <c r="M343" s="124"/>
    </row>
    <row r="344" spans="2:13" ht="17.25" customHeight="1">
      <c r="B344" s="15">
        <v>0</v>
      </c>
      <c r="C344" s="45"/>
      <c r="D344" s="45"/>
      <c r="E344" s="15"/>
      <c r="F344" s="45"/>
      <c r="G344" s="45"/>
      <c r="H344" s="45"/>
      <c r="I344" s="124"/>
      <c r="J344" s="124"/>
      <c r="K344" s="45"/>
      <c r="L344" s="124"/>
      <c r="M344" s="124"/>
    </row>
    <row r="345" spans="2:13" ht="17.25" customHeight="1">
      <c r="B345" s="15">
        <v>0</v>
      </c>
      <c r="C345" s="45"/>
      <c r="D345" s="45"/>
      <c r="E345" s="15"/>
      <c r="F345" s="45"/>
      <c r="G345" s="45"/>
      <c r="H345" s="45"/>
      <c r="I345" s="124"/>
      <c r="J345" s="124"/>
      <c r="K345" s="45"/>
      <c r="L345" s="124"/>
      <c r="M345" s="124"/>
    </row>
    <row r="346" spans="2:13" ht="17.25" customHeight="1">
      <c r="B346" s="15">
        <v>0</v>
      </c>
      <c r="C346" s="45"/>
      <c r="D346" s="45"/>
      <c r="E346" s="15"/>
      <c r="F346" s="45"/>
      <c r="G346" s="45"/>
      <c r="H346" s="45"/>
      <c r="I346" s="124"/>
      <c r="J346" s="124"/>
      <c r="K346" s="45"/>
      <c r="L346" s="124"/>
      <c r="M346" s="124"/>
    </row>
    <row r="347" spans="2:13" ht="17.25" customHeight="1">
      <c r="B347" s="15">
        <v>0</v>
      </c>
      <c r="C347" s="45"/>
      <c r="D347" s="45"/>
      <c r="E347" s="15"/>
      <c r="F347" s="45"/>
      <c r="G347" s="45"/>
      <c r="H347" s="45"/>
      <c r="I347" s="124"/>
      <c r="J347" s="124"/>
      <c r="K347" s="45"/>
      <c r="L347" s="124"/>
      <c r="M347" s="124"/>
    </row>
    <row r="348" spans="2:13" ht="17.25" customHeight="1">
      <c r="B348" s="15">
        <v>0</v>
      </c>
      <c r="C348" s="45"/>
      <c r="D348" s="45"/>
      <c r="E348" s="15"/>
      <c r="F348" s="45"/>
      <c r="G348" s="45"/>
      <c r="H348" s="45"/>
      <c r="I348" s="124"/>
      <c r="J348" s="124"/>
      <c r="K348" s="45"/>
      <c r="L348" s="124"/>
      <c r="M348" s="124"/>
    </row>
    <row r="349" spans="2:13" ht="17.25" customHeight="1">
      <c r="B349" s="15">
        <v>0</v>
      </c>
      <c r="C349" s="45"/>
      <c r="D349" s="45"/>
      <c r="E349" s="15"/>
      <c r="F349" s="45"/>
      <c r="G349" s="45"/>
      <c r="H349" s="45"/>
      <c r="I349" s="124"/>
      <c r="J349" s="124"/>
      <c r="K349" s="45"/>
      <c r="L349" s="124"/>
      <c r="M349" s="124"/>
    </row>
    <row r="350" spans="2:13" ht="17.25" customHeight="1">
      <c r="B350" s="15">
        <v>0</v>
      </c>
      <c r="C350" s="45"/>
      <c r="D350" s="45"/>
      <c r="E350" s="15"/>
      <c r="F350" s="45"/>
      <c r="G350" s="45"/>
      <c r="H350" s="45"/>
      <c r="I350" s="124"/>
      <c r="J350" s="124"/>
      <c r="K350" s="45"/>
      <c r="L350" s="124"/>
      <c r="M350" s="124"/>
    </row>
    <row r="351" spans="2:13" ht="17.25" customHeight="1">
      <c r="B351" s="15">
        <v>0</v>
      </c>
      <c r="C351" s="45"/>
      <c r="D351" s="45"/>
      <c r="E351" s="15"/>
      <c r="F351" s="45"/>
      <c r="G351" s="45"/>
      <c r="H351" s="45"/>
      <c r="I351" s="124"/>
      <c r="J351" s="124"/>
      <c r="K351" s="45"/>
      <c r="L351" s="124"/>
      <c r="M351" s="124"/>
    </row>
    <row r="352" spans="2:13" ht="17.25" customHeight="1">
      <c r="B352" s="15">
        <v>0</v>
      </c>
      <c r="C352" s="45"/>
      <c r="D352" s="45"/>
      <c r="E352" s="15"/>
      <c r="F352" s="45"/>
      <c r="G352" s="45"/>
      <c r="H352" s="45"/>
      <c r="I352" s="124"/>
      <c r="J352" s="124"/>
      <c r="K352" s="45"/>
      <c r="L352" s="124"/>
      <c r="M352" s="124"/>
    </row>
    <row r="353" spans="2:13" ht="17.25" customHeight="1">
      <c r="B353" s="15">
        <v>0</v>
      </c>
      <c r="C353" s="45"/>
      <c r="D353" s="45"/>
      <c r="E353" s="15"/>
      <c r="F353" s="45"/>
      <c r="G353" s="45"/>
      <c r="H353" s="45"/>
      <c r="I353" s="124"/>
      <c r="J353" s="124"/>
      <c r="K353" s="45"/>
      <c r="L353" s="124"/>
      <c r="M353" s="124"/>
    </row>
    <row r="354" spans="2:13" ht="17.25" customHeight="1">
      <c r="B354" s="15">
        <v>0</v>
      </c>
      <c r="C354" s="45"/>
      <c r="D354" s="45"/>
      <c r="E354" s="15"/>
      <c r="F354" s="45"/>
      <c r="G354" s="45"/>
      <c r="H354" s="45"/>
      <c r="I354" s="124"/>
      <c r="J354" s="124"/>
      <c r="K354" s="45"/>
      <c r="L354" s="124"/>
      <c r="M354" s="124"/>
    </row>
    <row r="355" spans="2:13" ht="17.25" customHeight="1">
      <c r="B355" s="15">
        <v>0</v>
      </c>
      <c r="C355" s="45"/>
      <c r="D355" s="45"/>
      <c r="E355" s="15"/>
      <c r="F355" s="45"/>
      <c r="G355" s="45"/>
      <c r="H355" s="45"/>
      <c r="I355" s="124"/>
      <c r="J355" s="124"/>
      <c r="K355" s="45"/>
      <c r="L355" s="124"/>
      <c r="M355" s="124"/>
    </row>
    <row r="356" spans="2:13" ht="17.25" customHeight="1">
      <c r="B356" s="15">
        <v>0</v>
      </c>
      <c r="C356" s="45"/>
      <c r="D356" s="45"/>
      <c r="E356" s="15"/>
      <c r="F356" s="45"/>
      <c r="G356" s="45"/>
      <c r="H356" s="45"/>
      <c r="I356" s="124"/>
      <c r="J356" s="124"/>
      <c r="K356" s="45"/>
      <c r="L356" s="124"/>
      <c r="M356" s="124"/>
    </row>
    <row r="357" spans="2:13" ht="17.25" customHeight="1">
      <c r="B357" s="15">
        <v>0</v>
      </c>
      <c r="C357" s="45"/>
      <c r="D357" s="45"/>
      <c r="E357" s="15"/>
      <c r="F357" s="45"/>
      <c r="G357" s="45"/>
      <c r="H357" s="45"/>
      <c r="I357" s="124"/>
      <c r="J357" s="124"/>
      <c r="K357" s="45"/>
      <c r="L357" s="124"/>
      <c r="M357" s="124"/>
    </row>
    <row r="358" spans="2:13" ht="17.25" customHeight="1">
      <c r="B358" s="15">
        <v>0</v>
      </c>
      <c r="C358" s="45"/>
      <c r="D358" s="45"/>
      <c r="E358" s="15"/>
      <c r="F358" s="45"/>
      <c r="G358" s="45"/>
      <c r="H358" s="45"/>
      <c r="I358" s="124"/>
      <c r="J358" s="124"/>
      <c r="K358" s="45"/>
      <c r="L358" s="124"/>
      <c r="M358" s="124"/>
    </row>
    <row r="359" spans="2:13" ht="17.25" customHeight="1">
      <c r="B359" s="15">
        <v>0</v>
      </c>
      <c r="C359" s="45"/>
      <c r="D359" s="45"/>
      <c r="E359" s="15"/>
      <c r="F359" s="45"/>
      <c r="G359" s="45"/>
      <c r="H359" s="45"/>
      <c r="I359" s="124"/>
      <c r="J359" s="124"/>
      <c r="K359" s="45"/>
      <c r="L359" s="124"/>
      <c r="M359" s="124"/>
    </row>
    <row r="360" spans="2:13" ht="17.25" customHeight="1">
      <c r="B360" s="15">
        <v>0</v>
      </c>
      <c r="C360" s="45"/>
      <c r="D360" s="45"/>
      <c r="E360" s="15"/>
      <c r="F360" s="45"/>
      <c r="G360" s="45"/>
      <c r="H360" s="45"/>
      <c r="I360" s="124"/>
      <c r="J360" s="124"/>
      <c r="K360" s="45"/>
      <c r="L360" s="124"/>
      <c r="M360" s="124"/>
    </row>
    <row r="361" spans="2:13" ht="17.25" customHeight="1">
      <c r="B361" s="15">
        <v>0</v>
      </c>
      <c r="C361" s="45"/>
      <c r="D361" s="45"/>
      <c r="E361" s="15"/>
      <c r="F361" s="45"/>
      <c r="G361" s="45"/>
      <c r="H361" s="45"/>
      <c r="I361" s="124"/>
      <c r="J361" s="124"/>
      <c r="K361" s="45"/>
      <c r="L361" s="124"/>
      <c r="M361" s="124"/>
    </row>
    <row r="362" spans="2:13" ht="17.25" customHeight="1">
      <c r="B362" s="15">
        <v>0</v>
      </c>
      <c r="C362" s="45"/>
      <c r="D362" s="45"/>
      <c r="E362" s="15"/>
      <c r="F362" s="45"/>
      <c r="G362" s="45"/>
      <c r="H362" s="45"/>
      <c r="I362" s="124"/>
      <c r="J362" s="124"/>
      <c r="K362" s="45"/>
      <c r="L362" s="124"/>
      <c r="M362" s="124"/>
    </row>
    <row r="363" spans="2:13" ht="17.25" customHeight="1">
      <c r="B363" s="15">
        <v>0</v>
      </c>
      <c r="C363" s="45"/>
      <c r="D363" s="45"/>
      <c r="E363" s="15"/>
      <c r="F363" s="45"/>
      <c r="G363" s="45"/>
      <c r="H363" s="45"/>
      <c r="I363" s="124"/>
      <c r="J363" s="124"/>
      <c r="K363" s="45"/>
      <c r="L363" s="124"/>
      <c r="M363" s="124"/>
    </row>
    <row r="364" spans="2:13" ht="17.25" customHeight="1">
      <c r="B364" s="15">
        <v>0</v>
      </c>
      <c r="C364" s="45"/>
      <c r="D364" s="45"/>
      <c r="E364" s="15"/>
      <c r="F364" s="45"/>
      <c r="G364" s="45"/>
      <c r="H364" s="45"/>
      <c r="I364" s="124"/>
      <c r="J364" s="124"/>
      <c r="K364" s="45"/>
      <c r="L364" s="124"/>
      <c r="M364" s="124"/>
    </row>
    <row r="365" spans="2:13" ht="17.25" customHeight="1">
      <c r="B365" s="15">
        <v>0</v>
      </c>
      <c r="C365" s="45"/>
      <c r="D365" s="45"/>
      <c r="E365" s="15"/>
      <c r="F365" s="45"/>
      <c r="G365" s="45"/>
      <c r="H365" s="45"/>
      <c r="I365" s="124"/>
      <c r="J365" s="124"/>
      <c r="K365" s="45"/>
      <c r="L365" s="124"/>
      <c r="M365" s="124"/>
    </row>
    <row r="366" spans="2:13" ht="17.25" customHeight="1">
      <c r="B366" s="15">
        <v>0</v>
      </c>
      <c r="C366" s="45"/>
      <c r="D366" s="45"/>
      <c r="E366" s="15"/>
      <c r="F366" s="45"/>
      <c r="G366" s="45"/>
      <c r="H366" s="45"/>
      <c r="I366" s="124"/>
      <c r="J366" s="124"/>
      <c r="K366" s="45"/>
      <c r="L366" s="124"/>
      <c r="M366" s="124"/>
    </row>
    <row r="367" spans="2:13" ht="17.25" customHeight="1">
      <c r="B367" s="15">
        <v>0</v>
      </c>
      <c r="C367" s="45"/>
      <c r="D367" s="45"/>
      <c r="E367" s="15"/>
      <c r="F367" s="45"/>
      <c r="G367" s="45"/>
      <c r="H367" s="45"/>
      <c r="I367" s="124"/>
      <c r="J367" s="124"/>
      <c r="K367" s="45"/>
      <c r="L367" s="124"/>
      <c r="M367" s="124"/>
    </row>
    <row r="368" spans="2:13" ht="17.25" customHeight="1">
      <c r="B368" s="15">
        <v>0</v>
      </c>
      <c r="C368" s="45"/>
      <c r="D368" s="45"/>
      <c r="E368" s="15"/>
      <c r="F368" s="45"/>
      <c r="G368" s="45"/>
      <c r="H368" s="45"/>
      <c r="I368" s="124"/>
      <c r="J368" s="124"/>
      <c r="K368" s="45"/>
      <c r="L368" s="124"/>
      <c r="M368" s="124"/>
    </row>
    <row r="369" spans="2:13" ht="17.25" customHeight="1">
      <c r="B369" s="15">
        <v>0</v>
      </c>
      <c r="C369" s="45"/>
      <c r="D369" s="45"/>
      <c r="E369" s="15"/>
      <c r="F369" s="45"/>
      <c r="G369" s="45"/>
      <c r="H369" s="45"/>
      <c r="I369" s="124"/>
      <c r="J369" s="124"/>
      <c r="K369" s="45"/>
      <c r="L369" s="124"/>
      <c r="M369" s="124"/>
    </row>
    <row r="370" spans="2:13" ht="17.25" customHeight="1">
      <c r="B370" s="15">
        <v>0</v>
      </c>
      <c r="C370" s="45"/>
      <c r="D370" s="45"/>
      <c r="E370" s="15"/>
      <c r="F370" s="45"/>
      <c r="G370" s="45"/>
      <c r="H370" s="45"/>
      <c r="I370" s="124"/>
      <c r="J370" s="124"/>
      <c r="K370" s="45"/>
      <c r="L370" s="124"/>
      <c r="M370" s="124"/>
    </row>
    <row r="371" spans="2:13" ht="17.25" customHeight="1">
      <c r="B371" s="15">
        <v>0</v>
      </c>
      <c r="C371" s="45"/>
      <c r="D371" s="45"/>
      <c r="E371" s="15"/>
      <c r="F371" s="45"/>
      <c r="G371" s="45"/>
      <c r="H371" s="45"/>
      <c r="I371" s="124"/>
      <c r="J371" s="124"/>
      <c r="K371" s="45"/>
      <c r="L371" s="124"/>
      <c r="M371" s="124"/>
    </row>
    <row r="372" spans="2:13" ht="17.25" customHeight="1">
      <c r="B372" s="15">
        <v>0</v>
      </c>
      <c r="C372" s="45"/>
      <c r="D372" s="45"/>
      <c r="E372" s="15"/>
      <c r="F372" s="45"/>
      <c r="G372" s="45"/>
      <c r="H372" s="45"/>
      <c r="I372" s="124"/>
      <c r="J372" s="124"/>
      <c r="K372" s="45"/>
      <c r="L372" s="124"/>
      <c r="M372" s="124"/>
    </row>
    <row r="373" spans="2:13" ht="17.25" customHeight="1">
      <c r="B373" s="15">
        <v>0</v>
      </c>
      <c r="C373" s="45"/>
      <c r="D373" s="45"/>
      <c r="E373" s="15"/>
      <c r="F373" s="45"/>
      <c r="G373" s="45"/>
      <c r="H373" s="45"/>
      <c r="I373" s="124"/>
      <c r="J373" s="124"/>
      <c r="K373" s="45"/>
      <c r="L373" s="124"/>
      <c r="M373" s="124"/>
    </row>
    <row r="374" spans="2:13" ht="17.25" customHeight="1">
      <c r="B374" s="15">
        <v>0</v>
      </c>
      <c r="C374" s="45"/>
      <c r="D374" s="45"/>
      <c r="E374" s="15"/>
      <c r="F374" s="45"/>
      <c r="G374" s="45"/>
      <c r="H374" s="45"/>
      <c r="I374" s="124"/>
      <c r="J374" s="124"/>
      <c r="K374" s="45"/>
      <c r="L374" s="124"/>
      <c r="M374" s="124"/>
    </row>
    <row r="375" spans="2:13" ht="17.25" customHeight="1">
      <c r="B375" s="15">
        <v>0</v>
      </c>
      <c r="C375" s="45"/>
      <c r="D375" s="45"/>
      <c r="E375" s="15"/>
      <c r="F375" s="45"/>
      <c r="G375" s="45"/>
      <c r="H375" s="45"/>
      <c r="I375" s="124"/>
      <c r="J375" s="124"/>
      <c r="K375" s="45"/>
      <c r="L375" s="124"/>
      <c r="M375" s="124"/>
    </row>
    <row r="376" spans="2:13" ht="17.25" customHeight="1">
      <c r="B376" s="15">
        <v>0</v>
      </c>
      <c r="C376" s="45"/>
      <c r="D376" s="45"/>
      <c r="E376" s="15"/>
      <c r="F376" s="45"/>
      <c r="G376" s="45"/>
      <c r="H376" s="45"/>
      <c r="I376" s="124"/>
      <c r="J376" s="124"/>
      <c r="K376" s="45"/>
      <c r="L376" s="124"/>
      <c r="M376" s="124"/>
    </row>
    <row r="377" spans="2:13" ht="17.25" customHeight="1">
      <c r="B377" s="15">
        <v>0</v>
      </c>
      <c r="C377" s="45"/>
      <c r="D377" s="45"/>
      <c r="E377" s="15"/>
      <c r="F377" s="45"/>
      <c r="G377" s="45"/>
      <c r="H377" s="45"/>
      <c r="I377" s="124"/>
      <c r="J377" s="124"/>
      <c r="K377" s="45"/>
      <c r="L377" s="124"/>
      <c r="M377" s="124"/>
    </row>
    <row r="378" spans="2:13" ht="17.25" customHeight="1">
      <c r="B378" s="15">
        <v>0</v>
      </c>
      <c r="C378" s="45"/>
      <c r="D378" s="45"/>
      <c r="E378" s="15"/>
      <c r="F378" s="45"/>
      <c r="G378" s="45"/>
      <c r="H378" s="45"/>
      <c r="I378" s="124"/>
      <c r="J378" s="124"/>
      <c r="K378" s="45"/>
      <c r="L378" s="124"/>
      <c r="M378" s="124"/>
    </row>
    <row r="379" spans="2:13" ht="17.25" customHeight="1">
      <c r="B379" s="15">
        <v>0</v>
      </c>
      <c r="C379" s="45"/>
      <c r="D379" s="45"/>
      <c r="E379" s="15"/>
      <c r="F379" s="45"/>
      <c r="G379" s="45"/>
      <c r="H379" s="45"/>
      <c r="I379" s="124"/>
      <c r="J379" s="124"/>
      <c r="K379" s="45"/>
      <c r="L379" s="124"/>
      <c r="M379" s="124"/>
    </row>
    <row r="380" spans="2:13" ht="17.25" customHeight="1">
      <c r="B380" s="15">
        <v>0</v>
      </c>
      <c r="C380" s="45"/>
      <c r="D380" s="45"/>
      <c r="E380" s="15"/>
      <c r="F380" s="45"/>
      <c r="G380" s="45"/>
      <c r="H380" s="45"/>
      <c r="I380" s="124"/>
      <c r="J380" s="124"/>
      <c r="K380" s="45"/>
      <c r="L380" s="124"/>
      <c r="M380" s="124"/>
    </row>
    <row r="381" spans="2:13" ht="17.25" customHeight="1">
      <c r="B381" s="15">
        <v>0</v>
      </c>
      <c r="C381" s="45"/>
      <c r="D381" s="45"/>
      <c r="E381" s="15"/>
      <c r="F381" s="45"/>
      <c r="G381" s="45"/>
      <c r="H381" s="45"/>
      <c r="I381" s="124"/>
      <c r="J381" s="124"/>
      <c r="K381" s="45"/>
      <c r="L381" s="124"/>
      <c r="M381" s="124"/>
    </row>
    <row r="382" spans="2:13" ht="17.25" customHeight="1">
      <c r="B382" s="15">
        <v>0</v>
      </c>
      <c r="C382" s="45"/>
      <c r="D382" s="45"/>
      <c r="E382" s="15"/>
      <c r="F382" s="45"/>
      <c r="G382" s="45"/>
      <c r="H382" s="45"/>
      <c r="I382" s="124"/>
      <c r="J382" s="124"/>
      <c r="K382" s="45"/>
      <c r="L382" s="124"/>
      <c r="M382" s="124"/>
    </row>
    <row r="383" spans="2:13" ht="17.25" customHeight="1">
      <c r="B383" s="15">
        <v>0</v>
      </c>
      <c r="C383" s="45"/>
      <c r="D383" s="45"/>
      <c r="E383" s="15"/>
      <c r="F383" s="45"/>
      <c r="G383" s="45"/>
      <c r="H383" s="45"/>
      <c r="I383" s="124"/>
      <c r="J383" s="124"/>
      <c r="K383" s="45"/>
      <c r="L383" s="124"/>
      <c r="M383" s="124"/>
    </row>
    <row r="384" spans="2:13" ht="17.25" customHeight="1">
      <c r="B384" s="15">
        <v>0</v>
      </c>
      <c r="C384" s="45"/>
      <c r="D384" s="45"/>
      <c r="E384" s="15"/>
      <c r="F384" s="45"/>
      <c r="G384" s="45"/>
      <c r="H384" s="45"/>
      <c r="I384" s="124"/>
      <c r="J384" s="124"/>
      <c r="K384" s="45"/>
      <c r="L384" s="124"/>
      <c r="M384" s="124"/>
    </row>
    <row r="385" spans="2:13" ht="17.25" customHeight="1">
      <c r="B385" s="15">
        <v>0</v>
      </c>
      <c r="C385" s="45"/>
      <c r="D385" s="45"/>
      <c r="E385" s="15"/>
      <c r="F385" s="45"/>
      <c r="G385" s="45"/>
      <c r="H385" s="45"/>
      <c r="I385" s="124"/>
      <c r="J385" s="124"/>
      <c r="K385" s="45"/>
      <c r="L385" s="124"/>
      <c r="M385" s="124"/>
    </row>
    <row r="386" spans="2:13" ht="17.25" customHeight="1">
      <c r="B386" s="15">
        <v>0</v>
      </c>
      <c r="C386" s="45"/>
      <c r="D386" s="45"/>
      <c r="E386" s="15"/>
      <c r="F386" s="45"/>
      <c r="G386" s="45"/>
      <c r="H386" s="45"/>
      <c r="I386" s="124"/>
      <c r="J386" s="124"/>
      <c r="K386" s="45"/>
      <c r="L386" s="124"/>
      <c r="M386" s="124"/>
    </row>
    <row r="387" spans="2:13" ht="17.25" customHeight="1">
      <c r="B387" s="15">
        <v>0</v>
      </c>
      <c r="C387" s="45"/>
      <c r="D387" s="45"/>
      <c r="E387" s="15"/>
      <c r="F387" s="45"/>
      <c r="G387" s="45"/>
      <c r="H387" s="45"/>
      <c r="I387" s="124"/>
      <c r="J387" s="124"/>
      <c r="K387" s="45"/>
      <c r="L387" s="124"/>
      <c r="M387" s="124"/>
    </row>
    <row r="388" spans="2:13" ht="17.25" customHeight="1">
      <c r="B388" s="15">
        <v>0</v>
      </c>
      <c r="C388" s="45"/>
      <c r="D388" s="45"/>
      <c r="E388" s="15"/>
      <c r="F388" s="45"/>
      <c r="G388" s="45"/>
      <c r="H388" s="45"/>
      <c r="I388" s="124"/>
      <c r="J388" s="124"/>
      <c r="K388" s="45"/>
      <c r="L388" s="124"/>
      <c r="M388" s="124"/>
    </row>
    <row r="389" spans="2:13" ht="17.25" customHeight="1">
      <c r="B389" s="15">
        <v>0</v>
      </c>
      <c r="C389" s="45"/>
      <c r="D389" s="45"/>
      <c r="E389" s="15"/>
      <c r="F389" s="45"/>
      <c r="G389" s="45"/>
      <c r="H389" s="45"/>
      <c r="I389" s="124"/>
      <c r="J389" s="124"/>
      <c r="K389" s="45"/>
      <c r="L389" s="124"/>
      <c r="M389" s="124"/>
    </row>
    <row r="390" spans="2:13" ht="17.25" customHeight="1">
      <c r="B390" s="15">
        <v>0</v>
      </c>
      <c r="C390" s="45"/>
      <c r="D390" s="45"/>
      <c r="E390" s="15"/>
      <c r="F390" s="45"/>
      <c r="G390" s="45"/>
      <c r="H390" s="45"/>
      <c r="I390" s="124"/>
      <c r="J390" s="124"/>
      <c r="K390" s="45"/>
      <c r="L390" s="124"/>
      <c r="M390" s="124"/>
    </row>
    <row r="391" spans="2:13" ht="17.25" customHeight="1">
      <c r="B391" s="15">
        <v>0</v>
      </c>
      <c r="C391" s="45"/>
      <c r="D391" s="45"/>
      <c r="E391" s="15"/>
      <c r="F391" s="45"/>
      <c r="G391" s="45"/>
      <c r="H391" s="45"/>
      <c r="I391" s="124"/>
      <c r="J391" s="124"/>
      <c r="K391" s="45"/>
      <c r="L391" s="124"/>
      <c r="M391" s="124"/>
    </row>
    <row r="392" spans="2:13" ht="17.25" customHeight="1">
      <c r="B392" s="15">
        <v>0</v>
      </c>
      <c r="C392" s="45"/>
      <c r="D392" s="45"/>
      <c r="E392" s="15"/>
      <c r="F392" s="45"/>
      <c r="G392" s="45"/>
      <c r="H392" s="45"/>
      <c r="I392" s="124"/>
      <c r="J392" s="124"/>
      <c r="K392" s="45"/>
      <c r="L392" s="124"/>
      <c r="M392" s="124"/>
    </row>
    <row r="393" spans="2:13" ht="17.25" customHeight="1">
      <c r="B393" s="15">
        <v>0</v>
      </c>
      <c r="C393" s="45"/>
      <c r="D393" s="45"/>
      <c r="E393" s="15"/>
      <c r="F393" s="45"/>
      <c r="G393" s="45"/>
      <c r="H393" s="45"/>
      <c r="I393" s="124"/>
      <c r="J393" s="124"/>
      <c r="K393" s="45"/>
      <c r="L393" s="124"/>
      <c r="M393" s="124"/>
    </row>
    <row r="394" spans="2:13" ht="17.25" customHeight="1">
      <c r="B394" s="15">
        <v>0</v>
      </c>
      <c r="C394" s="45"/>
      <c r="D394" s="45"/>
      <c r="E394" s="15"/>
      <c r="F394" s="45"/>
      <c r="G394" s="45"/>
      <c r="H394" s="45"/>
      <c r="I394" s="124"/>
      <c r="J394" s="124"/>
      <c r="K394" s="45"/>
      <c r="L394" s="124"/>
      <c r="M394" s="124"/>
    </row>
    <row r="395" spans="2:13" ht="17.25" customHeight="1">
      <c r="B395" s="15">
        <v>0</v>
      </c>
      <c r="C395" s="45"/>
      <c r="D395" s="45"/>
      <c r="E395" s="15"/>
      <c r="F395" s="45"/>
      <c r="G395" s="45"/>
      <c r="H395" s="45"/>
      <c r="I395" s="124"/>
      <c r="J395" s="124"/>
      <c r="K395" s="45"/>
      <c r="L395" s="124"/>
      <c r="M395" s="124"/>
    </row>
    <row r="396" spans="2:13" ht="17.25" customHeight="1">
      <c r="B396" s="15">
        <v>0</v>
      </c>
      <c r="C396" s="45"/>
      <c r="D396" s="45"/>
      <c r="E396" s="15"/>
      <c r="F396" s="45"/>
      <c r="G396" s="45"/>
      <c r="H396" s="45"/>
      <c r="I396" s="124"/>
      <c r="J396" s="124"/>
      <c r="K396" s="45"/>
      <c r="L396" s="124"/>
      <c r="M396" s="124"/>
    </row>
    <row r="397" spans="2:13" ht="17.25" customHeight="1">
      <c r="B397" s="15">
        <v>0</v>
      </c>
      <c r="C397" s="45"/>
      <c r="D397" s="45"/>
      <c r="E397" s="15"/>
      <c r="F397" s="45"/>
      <c r="G397" s="45"/>
      <c r="H397" s="45"/>
      <c r="I397" s="124"/>
      <c r="J397" s="124"/>
      <c r="K397" s="45"/>
      <c r="L397" s="124"/>
      <c r="M397" s="124"/>
    </row>
    <row r="398" spans="2:13" ht="17.25" customHeight="1">
      <c r="B398" s="15">
        <v>0</v>
      </c>
      <c r="C398" s="45"/>
      <c r="D398" s="45"/>
      <c r="E398" s="15"/>
      <c r="F398" s="45"/>
      <c r="G398" s="45"/>
      <c r="H398" s="45"/>
      <c r="I398" s="124"/>
      <c r="J398" s="124"/>
      <c r="K398" s="45"/>
      <c r="L398" s="124"/>
      <c r="M398" s="124"/>
    </row>
    <row r="399" spans="2:13" ht="17.25" customHeight="1">
      <c r="B399" s="15">
        <v>0</v>
      </c>
      <c r="C399" s="45"/>
      <c r="D399" s="45"/>
      <c r="E399" s="15"/>
      <c r="F399" s="45"/>
      <c r="G399" s="45"/>
      <c r="H399" s="45"/>
      <c r="I399" s="124"/>
      <c r="J399" s="124"/>
      <c r="K399" s="45"/>
      <c r="L399" s="124"/>
      <c r="M399" s="124"/>
    </row>
    <row r="400" spans="2:13" ht="17.25" customHeight="1">
      <c r="B400" s="15">
        <v>0</v>
      </c>
      <c r="C400" s="45"/>
      <c r="D400" s="45"/>
      <c r="E400" s="15"/>
      <c r="F400" s="45"/>
      <c r="G400" s="45"/>
      <c r="H400" s="45"/>
      <c r="I400" s="124"/>
      <c r="J400" s="124"/>
      <c r="K400" s="45"/>
      <c r="L400" s="124"/>
      <c r="M400" s="124"/>
    </row>
    <row r="401" spans="2:13" ht="17.25" customHeight="1">
      <c r="B401" s="15">
        <v>0</v>
      </c>
      <c r="C401" s="45"/>
      <c r="D401" s="45"/>
      <c r="E401" s="15"/>
      <c r="F401" s="45"/>
      <c r="G401" s="45"/>
      <c r="H401" s="45"/>
      <c r="I401" s="124"/>
      <c r="J401" s="124"/>
      <c r="K401" s="45"/>
      <c r="L401" s="124"/>
      <c r="M401" s="124"/>
    </row>
    <row r="402" spans="2:13" ht="17.25" customHeight="1">
      <c r="B402" s="15">
        <v>0</v>
      </c>
      <c r="C402" s="45"/>
      <c r="D402" s="45"/>
      <c r="E402" s="15"/>
      <c r="F402" s="45"/>
      <c r="G402" s="45"/>
      <c r="H402" s="45"/>
      <c r="I402" s="124"/>
      <c r="J402" s="124"/>
      <c r="K402" s="45"/>
      <c r="L402" s="124"/>
      <c r="M402" s="124"/>
    </row>
    <row r="403" spans="2:13" ht="17.25" customHeight="1">
      <c r="B403" s="15">
        <v>0</v>
      </c>
      <c r="C403" s="45"/>
      <c r="D403" s="45"/>
      <c r="E403" s="15"/>
      <c r="F403" s="45"/>
      <c r="G403" s="45"/>
      <c r="H403" s="45"/>
      <c r="I403" s="124"/>
      <c r="J403" s="124"/>
      <c r="K403" s="45"/>
      <c r="L403" s="124"/>
      <c r="M403" s="124"/>
    </row>
    <row r="404" spans="2:13" ht="17.25" customHeight="1">
      <c r="B404" s="15">
        <v>0</v>
      </c>
      <c r="C404" s="45"/>
      <c r="D404" s="45"/>
      <c r="E404" s="15"/>
      <c r="F404" s="45"/>
      <c r="G404" s="45"/>
      <c r="H404" s="45"/>
      <c r="I404" s="124"/>
      <c r="J404" s="124"/>
      <c r="K404" s="45"/>
      <c r="L404" s="124"/>
      <c r="M404" s="124"/>
    </row>
    <row r="405" spans="2:13" ht="17.25" customHeight="1">
      <c r="B405" s="15">
        <v>0</v>
      </c>
      <c r="C405" s="45"/>
      <c r="D405" s="45"/>
      <c r="E405" s="15"/>
      <c r="F405" s="45"/>
      <c r="G405" s="45"/>
      <c r="H405" s="45"/>
      <c r="I405" s="124"/>
      <c r="J405" s="124"/>
      <c r="K405" s="45"/>
      <c r="L405" s="124"/>
      <c r="M405" s="124"/>
    </row>
    <row r="406" spans="2:13" ht="17.25" customHeight="1">
      <c r="B406" s="15">
        <v>0</v>
      </c>
      <c r="C406" s="45"/>
      <c r="D406" s="45"/>
      <c r="E406" s="15"/>
      <c r="F406" s="45"/>
      <c r="G406" s="45"/>
      <c r="H406" s="45"/>
      <c r="I406" s="124"/>
      <c r="J406" s="124"/>
      <c r="K406" s="45"/>
      <c r="L406" s="124"/>
      <c r="M406" s="124"/>
    </row>
    <row r="407" spans="2:13" ht="17.25" customHeight="1">
      <c r="B407" s="15">
        <v>0</v>
      </c>
      <c r="C407" s="45"/>
      <c r="D407" s="45"/>
      <c r="E407" s="15"/>
      <c r="F407" s="45"/>
      <c r="G407" s="45"/>
      <c r="H407" s="45"/>
      <c r="I407" s="124"/>
      <c r="J407" s="124"/>
      <c r="K407" s="45"/>
      <c r="L407" s="124"/>
      <c r="M407" s="124"/>
    </row>
    <row r="408" spans="2:13" ht="17.25" customHeight="1">
      <c r="B408" s="15">
        <v>0</v>
      </c>
      <c r="C408" s="45"/>
      <c r="D408" s="45"/>
      <c r="E408" s="15"/>
      <c r="F408" s="45"/>
      <c r="G408" s="45"/>
      <c r="H408" s="45"/>
      <c r="I408" s="124"/>
      <c r="J408" s="124"/>
      <c r="K408" s="45"/>
      <c r="L408" s="124"/>
      <c r="M408" s="124"/>
    </row>
    <row r="409" spans="2:13" ht="17.25" customHeight="1">
      <c r="B409" s="15">
        <v>0</v>
      </c>
      <c r="C409" s="45"/>
      <c r="D409" s="45"/>
      <c r="E409" s="15"/>
      <c r="F409" s="45"/>
      <c r="G409" s="45"/>
      <c r="H409" s="45"/>
      <c r="I409" s="124"/>
      <c r="J409" s="124"/>
      <c r="K409" s="45"/>
      <c r="L409" s="124"/>
      <c r="M409" s="124"/>
    </row>
    <row r="410" spans="2:13" ht="17.25" customHeight="1">
      <c r="B410" s="15">
        <v>0</v>
      </c>
      <c r="C410" s="45"/>
      <c r="D410" s="45"/>
      <c r="E410" s="15"/>
      <c r="F410" s="45"/>
      <c r="G410" s="45"/>
      <c r="H410" s="45"/>
      <c r="I410" s="124"/>
      <c r="J410" s="124"/>
      <c r="K410" s="45"/>
      <c r="L410" s="124"/>
      <c r="M410" s="124"/>
    </row>
    <row r="411" spans="2:13" ht="17.25" customHeight="1">
      <c r="B411" s="15">
        <v>0</v>
      </c>
      <c r="C411" s="45"/>
      <c r="D411" s="45"/>
      <c r="E411" s="15"/>
      <c r="F411" s="45"/>
      <c r="G411" s="45"/>
      <c r="H411" s="45"/>
      <c r="I411" s="124"/>
      <c r="J411" s="124"/>
      <c r="K411" s="45"/>
      <c r="L411" s="124"/>
      <c r="M411" s="124"/>
    </row>
    <row r="412" spans="2:13" ht="17.25" customHeight="1">
      <c r="B412" s="15">
        <v>0</v>
      </c>
      <c r="C412" s="45"/>
      <c r="D412" s="45"/>
      <c r="E412" s="15"/>
      <c r="F412" s="45"/>
      <c r="G412" s="45"/>
      <c r="H412" s="45"/>
      <c r="I412" s="124"/>
      <c r="J412" s="124"/>
      <c r="K412" s="45"/>
      <c r="L412" s="124"/>
      <c r="M412" s="124"/>
    </row>
    <row r="413" spans="2:13" ht="17.25" customHeight="1">
      <c r="B413" s="15">
        <v>0</v>
      </c>
      <c r="C413" s="45"/>
      <c r="D413" s="45"/>
      <c r="E413" s="15"/>
      <c r="F413" s="45"/>
      <c r="G413" s="45"/>
      <c r="H413" s="45"/>
      <c r="I413" s="124"/>
      <c r="J413" s="124"/>
      <c r="K413" s="45"/>
      <c r="L413" s="124"/>
      <c r="M413" s="124"/>
    </row>
    <row r="414" spans="2:13" ht="17.25" customHeight="1">
      <c r="B414" s="15">
        <v>0</v>
      </c>
      <c r="C414" s="45"/>
      <c r="D414" s="45"/>
      <c r="E414" s="15"/>
      <c r="F414" s="45"/>
      <c r="G414" s="45"/>
      <c r="H414" s="45"/>
      <c r="I414" s="124"/>
      <c r="J414" s="124"/>
      <c r="K414" s="45"/>
      <c r="L414" s="124"/>
      <c r="M414" s="124"/>
    </row>
    <row r="415" spans="2:13" ht="17.25" customHeight="1">
      <c r="B415" s="15">
        <v>0</v>
      </c>
      <c r="C415" s="45"/>
      <c r="D415" s="45"/>
      <c r="E415" s="15"/>
      <c r="F415" s="45"/>
      <c r="G415" s="45"/>
      <c r="H415" s="45"/>
      <c r="I415" s="124"/>
      <c r="J415" s="124"/>
      <c r="K415" s="45"/>
      <c r="L415" s="124"/>
      <c r="M415" s="124"/>
    </row>
    <row r="416" spans="2:13" ht="17.25" customHeight="1">
      <c r="B416" s="15">
        <v>0</v>
      </c>
      <c r="C416" s="45"/>
      <c r="D416" s="45"/>
      <c r="E416" s="15"/>
      <c r="F416" s="45"/>
      <c r="G416" s="45"/>
      <c r="H416" s="45"/>
      <c r="I416" s="124"/>
      <c r="J416" s="124"/>
      <c r="K416" s="45"/>
      <c r="L416" s="124"/>
      <c r="M416" s="124"/>
    </row>
    <row r="417" spans="2:13" ht="17.25" customHeight="1">
      <c r="B417" s="15">
        <v>0</v>
      </c>
      <c r="C417" s="45"/>
      <c r="D417" s="45"/>
      <c r="E417" s="15"/>
      <c r="F417" s="45"/>
      <c r="G417" s="45"/>
      <c r="H417" s="45"/>
      <c r="I417" s="124"/>
      <c r="J417" s="124"/>
      <c r="K417" s="45"/>
      <c r="L417" s="124"/>
      <c r="M417" s="124"/>
    </row>
    <row r="418" spans="2:13" ht="17.25" customHeight="1">
      <c r="B418" s="15">
        <v>0</v>
      </c>
      <c r="C418" s="45"/>
      <c r="D418" s="45"/>
      <c r="E418" s="15"/>
      <c r="F418" s="45"/>
      <c r="G418" s="45"/>
      <c r="H418" s="45"/>
      <c r="I418" s="124"/>
      <c r="J418" s="124"/>
      <c r="K418" s="45"/>
      <c r="L418" s="124"/>
      <c r="M418" s="124"/>
    </row>
    <row r="419" spans="2:13" ht="17.25" customHeight="1">
      <c r="B419" s="15">
        <v>0</v>
      </c>
      <c r="C419" s="45"/>
      <c r="D419" s="45"/>
      <c r="E419" s="15"/>
      <c r="F419" s="45"/>
      <c r="G419" s="45"/>
      <c r="H419" s="45"/>
      <c r="I419" s="124"/>
      <c r="J419" s="124"/>
      <c r="K419" s="45"/>
      <c r="L419" s="124"/>
      <c r="M419" s="124"/>
    </row>
    <row r="420" spans="2:13" ht="17.25" customHeight="1">
      <c r="B420" s="15">
        <v>0</v>
      </c>
      <c r="C420" s="45"/>
      <c r="D420" s="45"/>
      <c r="E420" s="15"/>
      <c r="F420" s="45"/>
      <c r="G420" s="45"/>
      <c r="H420" s="45"/>
      <c r="I420" s="124"/>
      <c r="J420" s="124"/>
      <c r="K420" s="45"/>
      <c r="L420" s="124"/>
      <c r="M420" s="124"/>
    </row>
    <row r="421" spans="2:13" ht="17.25" customHeight="1">
      <c r="B421" s="15">
        <v>0</v>
      </c>
      <c r="C421" s="45"/>
      <c r="D421" s="45"/>
      <c r="E421" s="15"/>
      <c r="F421" s="45"/>
      <c r="G421" s="45"/>
      <c r="H421" s="45"/>
      <c r="I421" s="124"/>
      <c r="J421" s="124"/>
      <c r="K421" s="45"/>
      <c r="L421" s="124"/>
      <c r="M421" s="124"/>
    </row>
    <row r="422" spans="2:13" ht="17.25" customHeight="1">
      <c r="B422" s="15">
        <v>0</v>
      </c>
      <c r="C422" s="45"/>
      <c r="D422" s="45"/>
      <c r="E422" s="15"/>
      <c r="F422" s="45"/>
      <c r="G422" s="45"/>
      <c r="H422" s="45"/>
      <c r="I422" s="124"/>
      <c r="J422" s="124"/>
      <c r="K422" s="45"/>
      <c r="L422" s="124"/>
      <c r="M422" s="124"/>
    </row>
    <row r="423" spans="2:13" ht="17.25" customHeight="1">
      <c r="B423" s="15">
        <v>0</v>
      </c>
      <c r="C423" s="45"/>
      <c r="D423" s="45"/>
      <c r="E423" s="15"/>
      <c r="F423" s="45"/>
      <c r="G423" s="45"/>
      <c r="H423" s="45"/>
      <c r="I423" s="124"/>
      <c r="J423" s="124"/>
      <c r="K423" s="45"/>
      <c r="L423" s="124"/>
      <c r="M423" s="124"/>
    </row>
    <row r="424" spans="2:13" ht="17.25" customHeight="1">
      <c r="B424" s="15">
        <v>0</v>
      </c>
      <c r="C424" s="45"/>
      <c r="D424" s="45"/>
      <c r="E424" s="15"/>
      <c r="F424" s="45"/>
      <c r="G424" s="45"/>
      <c r="H424" s="45"/>
      <c r="I424" s="124"/>
      <c r="J424" s="124"/>
      <c r="K424" s="45"/>
      <c r="L424" s="124"/>
      <c r="M424" s="124"/>
    </row>
    <row r="425" spans="2:13" ht="17.25" customHeight="1">
      <c r="B425" s="15">
        <v>0</v>
      </c>
      <c r="C425" s="45"/>
      <c r="D425" s="45"/>
      <c r="E425" s="15"/>
      <c r="F425" s="45"/>
      <c r="G425" s="45"/>
      <c r="H425" s="45"/>
      <c r="I425" s="124"/>
      <c r="J425" s="124"/>
      <c r="K425" s="45"/>
      <c r="L425" s="124"/>
      <c r="M425" s="124"/>
    </row>
    <row r="426" spans="2:13" ht="17.25" customHeight="1">
      <c r="B426" s="15">
        <v>0</v>
      </c>
      <c r="C426" s="45"/>
      <c r="D426" s="45"/>
      <c r="E426" s="15"/>
      <c r="F426" s="45"/>
      <c r="G426" s="45"/>
      <c r="H426" s="45"/>
      <c r="I426" s="124"/>
      <c r="J426" s="124"/>
      <c r="K426" s="45"/>
      <c r="L426" s="124"/>
      <c r="M426" s="124"/>
    </row>
    <row r="427" spans="2:13" ht="17.25" customHeight="1">
      <c r="B427" s="15">
        <v>0</v>
      </c>
      <c r="C427" s="45"/>
      <c r="D427" s="45"/>
      <c r="E427" s="15"/>
      <c r="F427" s="45"/>
      <c r="G427" s="45"/>
      <c r="H427" s="45"/>
      <c r="I427" s="124"/>
      <c r="J427" s="124"/>
      <c r="K427" s="45"/>
      <c r="L427" s="124"/>
      <c r="M427" s="124"/>
    </row>
    <row r="428" spans="2:13" ht="17.25" customHeight="1">
      <c r="B428" s="15">
        <v>0</v>
      </c>
      <c r="C428" s="45"/>
      <c r="D428" s="45"/>
      <c r="E428" s="15"/>
      <c r="F428" s="45"/>
      <c r="G428" s="45"/>
      <c r="H428" s="45"/>
      <c r="I428" s="124"/>
      <c r="J428" s="124"/>
      <c r="K428" s="45"/>
      <c r="L428" s="124"/>
      <c r="M428" s="124"/>
    </row>
    <row r="429" spans="2:13" ht="17.25" customHeight="1">
      <c r="B429" s="15">
        <v>0</v>
      </c>
      <c r="C429" s="45"/>
      <c r="D429" s="45"/>
      <c r="E429" s="15"/>
      <c r="F429" s="45"/>
      <c r="G429" s="45"/>
      <c r="H429" s="45"/>
      <c r="I429" s="124"/>
      <c r="J429" s="124"/>
      <c r="K429" s="45"/>
      <c r="L429" s="124"/>
      <c r="M429" s="124"/>
    </row>
    <row r="430" spans="2:13" ht="17.25" customHeight="1">
      <c r="B430" s="15">
        <v>0</v>
      </c>
      <c r="C430" s="45"/>
      <c r="D430" s="45"/>
      <c r="E430" s="15"/>
      <c r="F430" s="45"/>
      <c r="G430" s="45"/>
      <c r="H430" s="45"/>
      <c r="I430" s="124"/>
      <c r="J430" s="124"/>
      <c r="K430" s="45"/>
      <c r="L430" s="124"/>
      <c r="M430" s="124"/>
    </row>
    <row r="431" spans="2:13" ht="17.25" customHeight="1">
      <c r="B431" s="15">
        <v>0</v>
      </c>
      <c r="C431" s="45"/>
      <c r="D431" s="45"/>
      <c r="E431" s="15"/>
      <c r="F431" s="45"/>
      <c r="G431" s="45"/>
      <c r="H431" s="45"/>
      <c r="I431" s="124"/>
      <c r="J431" s="124"/>
      <c r="K431" s="45"/>
      <c r="L431" s="124"/>
      <c r="M431" s="124"/>
    </row>
    <row r="432" spans="2:13" ht="17.25" customHeight="1">
      <c r="B432" s="15">
        <v>0</v>
      </c>
      <c r="C432" s="45"/>
      <c r="D432" s="45"/>
      <c r="E432" s="15"/>
      <c r="F432" s="45"/>
      <c r="G432" s="45"/>
      <c r="H432" s="45"/>
      <c r="I432" s="124"/>
      <c r="J432" s="124"/>
      <c r="K432" s="45"/>
      <c r="L432" s="124"/>
      <c r="M432" s="124"/>
    </row>
    <row r="433" spans="2:13" ht="17.25" customHeight="1">
      <c r="B433" s="15">
        <v>0</v>
      </c>
      <c r="C433" s="45"/>
      <c r="D433" s="45"/>
      <c r="E433" s="15"/>
      <c r="F433" s="45"/>
      <c r="G433" s="45"/>
      <c r="H433" s="45"/>
      <c r="I433" s="124"/>
      <c r="J433" s="124"/>
      <c r="K433" s="45"/>
      <c r="L433" s="124"/>
      <c r="M433" s="124"/>
    </row>
    <row r="434" spans="2:13" ht="17.25" customHeight="1">
      <c r="B434" s="15">
        <v>0</v>
      </c>
      <c r="C434" s="45"/>
      <c r="D434" s="45"/>
      <c r="E434" s="15"/>
      <c r="F434" s="45"/>
      <c r="G434" s="45"/>
      <c r="H434" s="45"/>
      <c r="I434" s="124"/>
      <c r="J434" s="124"/>
      <c r="K434" s="45"/>
      <c r="L434" s="124"/>
      <c r="M434" s="124"/>
    </row>
    <row r="435" spans="2:13" ht="17.25" customHeight="1">
      <c r="B435" s="15">
        <v>0</v>
      </c>
      <c r="C435" s="45"/>
      <c r="D435" s="45"/>
      <c r="E435" s="15"/>
      <c r="F435" s="45"/>
      <c r="G435" s="45"/>
      <c r="H435" s="45"/>
      <c r="I435" s="124"/>
      <c r="J435" s="124"/>
      <c r="K435" s="45"/>
      <c r="L435" s="124"/>
      <c r="M435" s="124"/>
    </row>
    <row r="436" spans="2:13" ht="17.25" customHeight="1">
      <c r="B436" s="15">
        <v>0</v>
      </c>
      <c r="C436" s="45"/>
      <c r="D436" s="45"/>
      <c r="E436" s="15"/>
      <c r="F436" s="45"/>
      <c r="G436" s="45"/>
      <c r="H436" s="45"/>
      <c r="I436" s="124"/>
      <c r="J436" s="124"/>
      <c r="K436" s="45"/>
      <c r="L436" s="124"/>
      <c r="M436" s="124"/>
    </row>
    <row r="437" spans="2:13" ht="17.25" customHeight="1">
      <c r="B437" s="15">
        <v>0</v>
      </c>
      <c r="C437" s="45"/>
      <c r="D437" s="45"/>
      <c r="E437" s="15"/>
      <c r="F437" s="45"/>
      <c r="G437" s="45"/>
      <c r="H437" s="45"/>
      <c r="I437" s="124"/>
      <c r="J437" s="124"/>
      <c r="K437" s="45"/>
      <c r="L437" s="124"/>
      <c r="M437" s="124"/>
    </row>
    <row r="438" spans="2:13" ht="17.25" customHeight="1">
      <c r="B438" s="15">
        <v>0</v>
      </c>
      <c r="C438" s="45"/>
      <c r="D438" s="45"/>
      <c r="E438" s="15"/>
      <c r="F438" s="45"/>
      <c r="G438" s="45"/>
      <c r="H438" s="45"/>
      <c r="I438" s="124"/>
      <c r="J438" s="124"/>
      <c r="K438" s="45"/>
      <c r="L438" s="124"/>
      <c r="M438" s="124"/>
    </row>
    <row r="439" spans="2:13" ht="17.25" customHeight="1">
      <c r="B439" s="15">
        <v>0</v>
      </c>
      <c r="C439" s="45"/>
      <c r="D439" s="45"/>
      <c r="E439" s="15"/>
      <c r="F439" s="45"/>
      <c r="G439" s="45"/>
      <c r="H439" s="45"/>
      <c r="I439" s="124"/>
      <c r="J439" s="124"/>
      <c r="K439" s="45"/>
      <c r="L439" s="124"/>
      <c r="M439" s="124"/>
    </row>
    <row r="440" spans="2:13" ht="17.25" customHeight="1">
      <c r="B440" s="15">
        <v>0</v>
      </c>
      <c r="C440" s="45"/>
      <c r="D440" s="45"/>
      <c r="E440" s="15"/>
      <c r="F440" s="45"/>
      <c r="G440" s="45"/>
      <c r="H440" s="45"/>
      <c r="I440" s="124"/>
      <c r="J440" s="124"/>
      <c r="K440" s="45"/>
      <c r="L440" s="124"/>
      <c r="M440" s="124"/>
    </row>
    <row r="441" spans="2:13" ht="17.25" customHeight="1">
      <c r="B441" s="15">
        <v>0</v>
      </c>
      <c r="C441" s="45"/>
      <c r="D441" s="45"/>
      <c r="E441" s="15"/>
      <c r="F441" s="45"/>
      <c r="G441" s="45"/>
      <c r="H441" s="45"/>
      <c r="I441" s="124"/>
      <c r="J441" s="124"/>
      <c r="K441" s="45"/>
      <c r="L441" s="124"/>
      <c r="M441" s="124"/>
    </row>
    <row r="442" spans="2:13" ht="17.25" customHeight="1">
      <c r="B442" s="15">
        <v>0</v>
      </c>
      <c r="C442" s="45"/>
      <c r="D442" s="45"/>
      <c r="E442" s="15"/>
      <c r="F442" s="45"/>
      <c r="G442" s="45"/>
      <c r="H442" s="45"/>
      <c r="I442" s="124"/>
      <c r="J442" s="124"/>
      <c r="K442" s="45"/>
      <c r="L442" s="124"/>
      <c r="M442" s="124"/>
    </row>
    <row r="443" spans="2:13" ht="17.25" customHeight="1">
      <c r="B443" s="15">
        <v>0</v>
      </c>
      <c r="C443" s="45"/>
      <c r="D443" s="45"/>
      <c r="E443" s="15"/>
      <c r="F443" s="45"/>
      <c r="G443" s="45"/>
      <c r="H443" s="45"/>
      <c r="I443" s="124"/>
      <c r="J443" s="124"/>
      <c r="K443" s="45"/>
      <c r="L443" s="124"/>
      <c r="M443" s="124"/>
    </row>
    <row r="444" spans="2:13" ht="17.25" customHeight="1">
      <c r="B444" s="15">
        <v>0</v>
      </c>
      <c r="C444" s="45"/>
      <c r="D444" s="45"/>
      <c r="E444" s="15"/>
      <c r="F444" s="45"/>
      <c r="G444" s="45"/>
      <c r="H444" s="45"/>
      <c r="I444" s="124"/>
      <c r="J444" s="124"/>
      <c r="K444" s="45"/>
      <c r="L444" s="124"/>
      <c r="M444" s="124"/>
    </row>
    <row r="445" spans="2:13" ht="17.25" customHeight="1">
      <c r="B445" s="15">
        <v>0</v>
      </c>
      <c r="C445" s="45"/>
      <c r="D445" s="45"/>
      <c r="E445" s="15"/>
      <c r="F445" s="45"/>
      <c r="G445" s="45"/>
      <c r="H445" s="45"/>
      <c r="I445" s="124"/>
      <c r="J445" s="124"/>
      <c r="K445" s="45"/>
      <c r="L445" s="124"/>
      <c r="M445" s="124"/>
    </row>
    <row r="446" spans="2:13" ht="17.25" customHeight="1">
      <c r="B446" s="15">
        <v>0</v>
      </c>
      <c r="C446" s="45"/>
      <c r="D446" s="45"/>
      <c r="E446" s="15"/>
      <c r="F446" s="45"/>
      <c r="G446" s="45"/>
      <c r="H446" s="45"/>
      <c r="I446" s="124"/>
      <c r="J446" s="124"/>
      <c r="K446" s="45"/>
      <c r="L446" s="124"/>
      <c r="M446" s="124"/>
    </row>
    <row r="447" spans="2:13" ht="17.25" customHeight="1">
      <c r="B447" s="15">
        <v>0</v>
      </c>
      <c r="C447" s="45"/>
      <c r="D447" s="45"/>
      <c r="E447" s="15"/>
      <c r="F447" s="45"/>
      <c r="G447" s="45"/>
      <c r="H447" s="45"/>
      <c r="I447" s="124"/>
      <c r="J447" s="124"/>
      <c r="K447" s="45"/>
      <c r="L447" s="124"/>
      <c r="M447" s="124"/>
    </row>
    <row r="448" spans="2:13" ht="17.25" customHeight="1">
      <c r="B448" s="15">
        <v>0</v>
      </c>
      <c r="C448" s="45"/>
      <c r="D448" s="45"/>
      <c r="E448" s="15"/>
      <c r="F448" s="45"/>
      <c r="G448" s="45"/>
      <c r="H448" s="45"/>
      <c r="I448" s="124"/>
      <c r="J448" s="124"/>
      <c r="K448" s="45"/>
      <c r="L448" s="124"/>
      <c r="M448" s="124"/>
    </row>
    <row r="449" spans="2:13" ht="17.25" customHeight="1">
      <c r="B449" s="15">
        <v>0</v>
      </c>
      <c r="C449" s="45"/>
      <c r="D449" s="45"/>
      <c r="E449" s="15"/>
      <c r="F449" s="45"/>
      <c r="G449" s="45"/>
      <c r="H449" s="45"/>
      <c r="I449" s="124"/>
      <c r="J449" s="124"/>
      <c r="K449" s="45"/>
      <c r="L449" s="124"/>
      <c r="M449" s="124"/>
    </row>
    <row r="450" spans="2:13" ht="17.25" customHeight="1">
      <c r="B450" s="15">
        <v>0</v>
      </c>
      <c r="C450" s="45"/>
      <c r="D450" s="45"/>
      <c r="E450" s="15"/>
      <c r="F450" s="45"/>
      <c r="G450" s="45"/>
      <c r="H450" s="45"/>
      <c r="I450" s="124"/>
      <c r="J450" s="124"/>
      <c r="K450" s="45"/>
      <c r="L450" s="124"/>
      <c r="M450" s="124"/>
    </row>
    <row r="451" spans="2:13" ht="17.25" customHeight="1">
      <c r="B451" s="15">
        <v>0</v>
      </c>
      <c r="C451" s="45"/>
      <c r="D451" s="45"/>
      <c r="E451" s="15"/>
      <c r="F451" s="45"/>
      <c r="G451" s="45"/>
      <c r="H451" s="45"/>
      <c r="I451" s="124"/>
      <c r="J451" s="124"/>
      <c r="K451" s="45"/>
      <c r="L451" s="124"/>
      <c r="M451" s="124"/>
    </row>
    <row r="452" spans="2:13" ht="17.25" customHeight="1">
      <c r="B452" s="15">
        <v>0</v>
      </c>
      <c r="C452" s="45"/>
      <c r="D452" s="45"/>
      <c r="E452" s="15"/>
      <c r="F452" s="45"/>
      <c r="G452" s="45"/>
      <c r="H452" s="45"/>
      <c r="I452" s="124"/>
      <c r="J452" s="124"/>
      <c r="K452" s="45"/>
      <c r="L452" s="124"/>
      <c r="M452" s="124"/>
    </row>
    <row r="453" spans="2:13" ht="17.25" customHeight="1">
      <c r="B453" s="15">
        <v>0</v>
      </c>
      <c r="C453" s="45"/>
      <c r="D453" s="45"/>
      <c r="E453" s="15"/>
      <c r="F453" s="45"/>
      <c r="G453" s="45"/>
      <c r="H453" s="45"/>
      <c r="I453" s="124"/>
      <c r="J453" s="124"/>
      <c r="K453" s="45"/>
      <c r="L453" s="124"/>
      <c r="M453" s="124"/>
    </row>
    <row r="454" spans="2:13" ht="17.25" customHeight="1">
      <c r="B454" s="15">
        <v>0</v>
      </c>
      <c r="C454" s="45"/>
      <c r="D454" s="45"/>
      <c r="E454" s="15"/>
      <c r="F454" s="45"/>
      <c r="G454" s="45"/>
      <c r="H454" s="45"/>
      <c r="I454" s="124"/>
      <c r="J454" s="124"/>
      <c r="K454" s="45"/>
      <c r="L454" s="124"/>
      <c r="M454" s="124"/>
    </row>
    <row r="455" spans="2:13" ht="17.25" customHeight="1">
      <c r="B455" s="15">
        <v>0</v>
      </c>
      <c r="C455" s="45"/>
      <c r="D455" s="45"/>
      <c r="E455" s="15"/>
      <c r="F455" s="45"/>
      <c r="G455" s="45"/>
      <c r="H455" s="45"/>
      <c r="I455" s="124"/>
      <c r="J455" s="124"/>
      <c r="K455" s="45"/>
      <c r="L455" s="124"/>
      <c r="M455" s="124"/>
    </row>
    <row r="456" spans="2:13" ht="17.25" customHeight="1">
      <c r="B456" s="15">
        <v>0</v>
      </c>
      <c r="C456" s="45"/>
      <c r="D456" s="45"/>
      <c r="E456" s="15"/>
      <c r="F456" s="45"/>
      <c r="G456" s="45"/>
      <c r="H456" s="45"/>
      <c r="I456" s="124"/>
      <c r="J456" s="124"/>
      <c r="K456" s="45"/>
      <c r="L456" s="124"/>
      <c r="M456" s="124"/>
    </row>
    <row r="457" spans="2:13" ht="17.25" customHeight="1">
      <c r="B457" s="15">
        <v>0</v>
      </c>
      <c r="C457" s="45"/>
      <c r="D457" s="45"/>
      <c r="E457" s="15"/>
      <c r="F457" s="45"/>
      <c r="G457" s="45"/>
      <c r="H457" s="45"/>
      <c r="I457" s="124"/>
      <c r="J457" s="124"/>
      <c r="K457" s="45"/>
      <c r="L457" s="124"/>
      <c r="M457" s="124"/>
    </row>
    <row r="458" spans="2:13" ht="17.25" customHeight="1">
      <c r="B458" s="15">
        <v>0</v>
      </c>
      <c r="C458" s="45"/>
      <c r="D458" s="45"/>
      <c r="E458" s="15"/>
      <c r="F458" s="45"/>
      <c r="G458" s="45"/>
      <c r="H458" s="45"/>
      <c r="I458" s="124"/>
      <c r="J458" s="124"/>
      <c r="K458" s="45"/>
      <c r="L458" s="124"/>
      <c r="M458" s="124"/>
    </row>
    <row r="459" spans="2:13" ht="17.25" customHeight="1">
      <c r="B459" s="15">
        <v>0</v>
      </c>
      <c r="C459" s="45"/>
      <c r="D459" s="45"/>
      <c r="E459" s="15"/>
      <c r="F459" s="45"/>
      <c r="G459" s="45"/>
      <c r="H459" s="45"/>
      <c r="I459" s="124"/>
      <c r="J459" s="124"/>
      <c r="K459" s="45"/>
      <c r="L459" s="124"/>
      <c r="M459" s="124"/>
    </row>
    <row r="460" spans="2:13" ht="17.25" customHeight="1">
      <c r="B460" s="15">
        <v>0</v>
      </c>
      <c r="C460" s="45"/>
      <c r="D460" s="45"/>
      <c r="E460" s="15"/>
      <c r="F460" s="45"/>
      <c r="G460" s="45"/>
      <c r="H460" s="45"/>
      <c r="I460" s="124"/>
      <c r="J460" s="124"/>
      <c r="K460" s="45"/>
      <c r="L460" s="124"/>
      <c r="M460" s="124"/>
    </row>
    <row r="461" spans="2:13" ht="17.25" customHeight="1">
      <c r="B461" s="15">
        <v>0</v>
      </c>
      <c r="C461" s="45"/>
      <c r="D461" s="45"/>
      <c r="E461" s="15"/>
      <c r="F461" s="45"/>
      <c r="G461" s="45"/>
      <c r="H461" s="45"/>
      <c r="I461" s="124"/>
      <c r="J461" s="124"/>
      <c r="K461" s="45"/>
      <c r="L461" s="124"/>
      <c r="M461" s="124"/>
    </row>
    <row r="462" spans="2:13" ht="17.25" customHeight="1">
      <c r="B462" s="15">
        <v>0</v>
      </c>
      <c r="C462" s="45"/>
      <c r="D462" s="45"/>
      <c r="E462" s="15"/>
      <c r="F462" s="45"/>
      <c r="G462" s="45"/>
      <c r="H462" s="45"/>
      <c r="I462" s="124"/>
      <c r="J462" s="124"/>
      <c r="K462" s="45"/>
      <c r="L462" s="124"/>
      <c r="M462" s="124"/>
    </row>
    <row r="463" spans="2:13" ht="17.25" customHeight="1">
      <c r="B463" s="15">
        <v>0</v>
      </c>
      <c r="C463" s="45"/>
      <c r="D463" s="45"/>
      <c r="E463" s="15"/>
      <c r="F463" s="45"/>
      <c r="G463" s="45"/>
      <c r="H463" s="45"/>
      <c r="I463" s="124"/>
      <c r="J463" s="124"/>
      <c r="K463" s="45"/>
      <c r="L463" s="124"/>
      <c r="M463" s="124"/>
    </row>
    <row r="464" spans="2:13" ht="17.25" customHeight="1">
      <c r="B464" s="15">
        <v>0</v>
      </c>
      <c r="C464" s="45"/>
      <c r="D464" s="45"/>
      <c r="E464" s="15"/>
      <c r="F464" s="45"/>
      <c r="G464" s="45"/>
      <c r="H464" s="45"/>
      <c r="I464" s="124"/>
      <c r="J464" s="124"/>
      <c r="K464" s="45"/>
      <c r="L464" s="124"/>
      <c r="M464" s="124"/>
    </row>
    <row r="465" spans="2:13" ht="17.25" customHeight="1">
      <c r="B465" s="15">
        <v>0</v>
      </c>
      <c r="C465" s="45"/>
      <c r="D465" s="45"/>
      <c r="E465" s="15"/>
      <c r="F465" s="45"/>
      <c r="G465" s="45"/>
      <c r="H465" s="45"/>
      <c r="I465" s="124"/>
      <c r="J465" s="124"/>
      <c r="K465" s="45"/>
      <c r="L465" s="124"/>
      <c r="M465" s="124"/>
    </row>
    <row r="466" spans="2:13" ht="17.25" customHeight="1">
      <c r="B466" s="15">
        <v>0</v>
      </c>
      <c r="C466" s="45"/>
      <c r="D466" s="45"/>
      <c r="E466" s="15"/>
      <c r="F466" s="45"/>
      <c r="G466" s="45"/>
      <c r="H466" s="45"/>
      <c r="I466" s="124"/>
      <c r="J466" s="124"/>
      <c r="K466" s="45"/>
      <c r="L466" s="124"/>
      <c r="M466" s="124"/>
    </row>
    <row r="467" spans="2:13" ht="17.25" customHeight="1">
      <c r="B467" s="15">
        <v>0</v>
      </c>
      <c r="C467" s="45"/>
      <c r="D467" s="45"/>
      <c r="E467" s="15"/>
      <c r="F467" s="45"/>
      <c r="G467" s="45"/>
      <c r="H467" s="45"/>
      <c r="I467" s="124"/>
      <c r="J467" s="124"/>
      <c r="K467" s="45"/>
      <c r="L467" s="124"/>
      <c r="M467" s="124"/>
    </row>
    <row r="468" spans="2:13" ht="17.25" customHeight="1">
      <c r="B468" s="15">
        <v>0</v>
      </c>
      <c r="C468" s="45"/>
      <c r="D468" s="45"/>
      <c r="E468" s="15"/>
      <c r="F468" s="45"/>
      <c r="G468" s="45"/>
      <c r="H468" s="45"/>
      <c r="I468" s="124"/>
      <c r="J468" s="124"/>
      <c r="K468" s="45"/>
      <c r="L468" s="124"/>
      <c r="M468" s="124"/>
    </row>
    <row r="469" spans="2:13" ht="17.25" customHeight="1">
      <c r="B469" s="15">
        <v>0</v>
      </c>
      <c r="C469" s="45"/>
      <c r="D469" s="45"/>
      <c r="E469" s="15"/>
      <c r="F469" s="45"/>
      <c r="G469" s="45"/>
      <c r="H469" s="45"/>
      <c r="I469" s="124"/>
      <c r="J469" s="124"/>
      <c r="K469" s="45"/>
      <c r="L469" s="124"/>
      <c r="M469" s="124"/>
    </row>
    <row r="470" spans="2:13" ht="17.25" customHeight="1">
      <c r="B470" s="15">
        <v>0</v>
      </c>
      <c r="C470" s="45"/>
      <c r="D470" s="45"/>
      <c r="E470" s="15"/>
      <c r="F470" s="45"/>
      <c r="G470" s="45"/>
      <c r="H470" s="45"/>
      <c r="I470" s="124"/>
      <c r="J470" s="124"/>
      <c r="K470" s="45"/>
      <c r="L470" s="124"/>
      <c r="M470" s="124"/>
    </row>
    <row r="471" spans="2:13" ht="17.25" customHeight="1">
      <c r="B471" s="15">
        <v>0</v>
      </c>
      <c r="C471" s="45"/>
      <c r="D471" s="45"/>
      <c r="E471" s="15"/>
      <c r="F471" s="45"/>
      <c r="G471" s="45"/>
      <c r="H471" s="45"/>
      <c r="I471" s="124"/>
      <c r="J471" s="124"/>
      <c r="K471" s="45"/>
      <c r="L471" s="124"/>
      <c r="M471" s="124"/>
    </row>
    <row r="472" spans="2:13" ht="17.25" customHeight="1">
      <c r="B472" s="15">
        <v>0</v>
      </c>
      <c r="C472" s="45"/>
      <c r="D472" s="45"/>
      <c r="E472" s="15"/>
      <c r="F472" s="45"/>
      <c r="G472" s="45"/>
      <c r="H472" s="45"/>
      <c r="I472" s="124"/>
      <c r="J472" s="124"/>
      <c r="K472" s="45"/>
      <c r="L472" s="124"/>
      <c r="M472" s="124"/>
    </row>
    <row r="473" spans="2:13" ht="17.25" customHeight="1">
      <c r="B473" s="15">
        <v>0</v>
      </c>
      <c r="C473" s="45"/>
      <c r="D473" s="45"/>
      <c r="E473" s="15"/>
      <c r="F473" s="45"/>
      <c r="G473" s="45"/>
      <c r="H473" s="45"/>
      <c r="I473" s="124"/>
      <c r="J473" s="124"/>
      <c r="K473" s="45"/>
      <c r="L473" s="124"/>
      <c r="M473" s="124"/>
    </row>
    <row r="474" spans="2:13" ht="17.25" customHeight="1">
      <c r="B474" s="15">
        <v>0</v>
      </c>
      <c r="C474" s="45"/>
      <c r="D474" s="45"/>
      <c r="E474" s="15"/>
      <c r="F474" s="45"/>
      <c r="G474" s="45"/>
      <c r="H474" s="45"/>
      <c r="I474" s="124"/>
      <c r="J474" s="124"/>
      <c r="K474" s="45"/>
      <c r="L474" s="124"/>
      <c r="M474" s="124"/>
    </row>
    <row r="475" spans="2:13" ht="17.25" customHeight="1">
      <c r="B475" s="15">
        <v>0</v>
      </c>
      <c r="C475" s="45"/>
      <c r="D475" s="45"/>
      <c r="E475" s="15"/>
      <c r="F475" s="45"/>
      <c r="G475" s="45"/>
      <c r="H475" s="45"/>
      <c r="I475" s="124"/>
      <c r="J475" s="124"/>
      <c r="K475" s="45"/>
      <c r="L475" s="124"/>
      <c r="M475" s="124"/>
    </row>
    <row r="476" spans="2:13" ht="17.25" customHeight="1">
      <c r="B476" s="15">
        <v>0</v>
      </c>
      <c r="C476" s="45"/>
      <c r="D476" s="45"/>
      <c r="E476" s="15"/>
      <c r="F476" s="45"/>
      <c r="G476" s="45"/>
      <c r="H476" s="45"/>
      <c r="I476" s="124"/>
      <c r="J476" s="124"/>
      <c r="K476" s="45"/>
      <c r="L476" s="124"/>
      <c r="M476" s="124"/>
    </row>
    <row r="477" spans="2:13" ht="17.25" customHeight="1">
      <c r="B477" s="15">
        <v>0</v>
      </c>
      <c r="C477" s="45"/>
      <c r="D477" s="45"/>
      <c r="E477" s="15"/>
      <c r="F477" s="45"/>
      <c r="G477" s="45"/>
      <c r="H477" s="45"/>
      <c r="I477" s="124"/>
      <c r="J477" s="124"/>
      <c r="K477" s="45"/>
      <c r="L477" s="124"/>
      <c r="M477" s="124"/>
    </row>
    <row r="478" spans="2:13" ht="17.25" customHeight="1">
      <c r="B478" s="15">
        <v>0</v>
      </c>
      <c r="C478" s="45"/>
      <c r="D478" s="45"/>
      <c r="E478" s="15"/>
      <c r="F478" s="45"/>
      <c r="G478" s="45"/>
      <c r="H478" s="45"/>
      <c r="I478" s="124"/>
      <c r="J478" s="124"/>
      <c r="K478" s="45"/>
      <c r="L478" s="124"/>
      <c r="M478" s="124"/>
    </row>
    <row r="479" spans="2:13" ht="17.25" customHeight="1">
      <c r="B479" s="15">
        <v>0</v>
      </c>
      <c r="C479" s="45"/>
      <c r="D479" s="45"/>
      <c r="E479" s="15"/>
      <c r="F479" s="45"/>
      <c r="G479" s="45"/>
      <c r="H479" s="45"/>
      <c r="I479" s="124"/>
      <c r="J479" s="124"/>
      <c r="K479" s="45"/>
      <c r="L479" s="124"/>
      <c r="M479" s="124"/>
    </row>
    <row r="480" spans="2:13" ht="17.25" customHeight="1">
      <c r="B480" s="15">
        <v>0</v>
      </c>
      <c r="C480" s="45"/>
      <c r="D480" s="45"/>
      <c r="E480" s="15"/>
      <c r="F480" s="45"/>
      <c r="G480" s="45"/>
      <c r="H480" s="45"/>
      <c r="I480" s="124"/>
      <c r="J480" s="124"/>
      <c r="K480" s="45"/>
      <c r="L480" s="124"/>
      <c r="M480" s="124"/>
    </row>
    <row r="481" spans="2:13" ht="17.25" customHeight="1">
      <c r="B481" s="15">
        <v>0</v>
      </c>
      <c r="C481" s="45"/>
      <c r="D481" s="45"/>
      <c r="E481" s="15"/>
      <c r="F481" s="45"/>
      <c r="G481" s="45"/>
      <c r="H481" s="45"/>
      <c r="I481" s="124"/>
      <c r="J481" s="124"/>
      <c r="K481" s="45"/>
      <c r="L481" s="124"/>
      <c r="M481" s="124"/>
    </row>
    <row r="482" spans="2:13" ht="17.25" customHeight="1">
      <c r="B482" s="15">
        <v>0</v>
      </c>
      <c r="C482" s="45"/>
      <c r="D482" s="45"/>
      <c r="E482" s="15"/>
      <c r="F482" s="45"/>
      <c r="G482" s="45"/>
      <c r="H482" s="45"/>
      <c r="I482" s="124"/>
      <c r="J482" s="124"/>
      <c r="K482" s="45"/>
      <c r="L482" s="124"/>
      <c r="M482" s="124"/>
    </row>
    <row r="483" spans="2:13" ht="17.25" customHeight="1">
      <c r="B483" s="15">
        <v>0</v>
      </c>
      <c r="C483" s="45"/>
      <c r="D483" s="45"/>
      <c r="E483" s="15"/>
      <c r="F483" s="45"/>
      <c r="G483" s="45"/>
      <c r="H483" s="45"/>
      <c r="I483" s="124"/>
      <c r="J483" s="124"/>
      <c r="K483" s="45"/>
      <c r="L483" s="124"/>
      <c r="M483" s="124"/>
    </row>
    <row r="484" spans="2:13" ht="17.25" customHeight="1">
      <c r="B484" s="15">
        <v>0</v>
      </c>
      <c r="C484" s="45"/>
      <c r="D484" s="45"/>
      <c r="E484" s="15"/>
      <c r="F484" s="45"/>
      <c r="G484" s="45"/>
      <c r="H484" s="45"/>
      <c r="I484" s="124"/>
      <c r="J484" s="124"/>
      <c r="K484" s="45"/>
      <c r="L484" s="124"/>
      <c r="M484" s="124"/>
    </row>
    <row r="485" spans="2:13" ht="17.25" customHeight="1">
      <c r="B485" s="15">
        <v>0</v>
      </c>
      <c r="C485" s="45"/>
      <c r="D485" s="45"/>
      <c r="E485" s="15"/>
      <c r="F485" s="45"/>
      <c r="G485" s="45"/>
      <c r="H485" s="45"/>
      <c r="I485" s="124"/>
      <c r="J485" s="124"/>
      <c r="K485" s="45"/>
      <c r="L485" s="124"/>
      <c r="M485" s="124"/>
    </row>
    <row r="486" spans="2:13" ht="17.25" customHeight="1">
      <c r="B486" s="15">
        <v>0</v>
      </c>
      <c r="C486" s="45"/>
      <c r="D486" s="45"/>
      <c r="E486" s="15"/>
      <c r="F486" s="45"/>
      <c r="G486" s="45"/>
      <c r="H486" s="45"/>
      <c r="I486" s="124"/>
      <c r="J486" s="124"/>
      <c r="K486" s="45"/>
      <c r="L486" s="124"/>
      <c r="M486" s="124"/>
    </row>
    <row r="487" spans="2:13" ht="17.25" customHeight="1">
      <c r="B487" s="15">
        <v>0</v>
      </c>
      <c r="C487" s="45"/>
      <c r="D487" s="45"/>
      <c r="E487" s="15"/>
      <c r="F487" s="45"/>
      <c r="G487" s="45"/>
      <c r="H487" s="45"/>
      <c r="I487" s="124"/>
      <c r="J487" s="124"/>
      <c r="K487" s="45"/>
      <c r="L487" s="124"/>
      <c r="M487" s="124"/>
    </row>
    <row r="488" spans="2:13" ht="17.25" customHeight="1">
      <c r="B488" s="15">
        <v>0</v>
      </c>
      <c r="C488" s="45"/>
      <c r="D488" s="45"/>
      <c r="E488" s="15"/>
      <c r="F488" s="45"/>
      <c r="G488" s="45"/>
      <c r="H488" s="45"/>
      <c r="I488" s="124"/>
      <c r="J488" s="124"/>
      <c r="K488" s="45"/>
      <c r="L488" s="124"/>
      <c r="M488" s="124"/>
    </row>
    <row r="489" spans="2:13" ht="17.25" customHeight="1">
      <c r="B489" s="15">
        <v>0</v>
      </c>
      <c r="C489" s="45"/>
      <c r="D489" s="45"/>
      <c r="E489" s="15"/>
      <c r="F489" s="45"/>
      <c r="G489" s="45"/>
      <c r="H489" s="45"/>
      <c r="I489" s="124"/>
      <c r="J489" s="124"/>
      <c r="K489" s="45"/>
      <c r="L489" s="124"/>
      <c r="M489" s="124"/>
    </row>
    <row r="490" spans="2:13" ht="17.25" customHeight="1">
      <c r="B490" s="15">
        <v>0</v>
      </c>
      <c r="C490" s="45"/>
      <c r="D490" s="45"/>
      <c r="E490" s="15"/>
      <c r="F490" s="45"/>
      <c r="G490" s="45"/>
      <c r="H490" s="45"/>
      <c r="I490" s="124"/>
      <c r="J490" s="124"/>
      <c r="K490" s="45"/>
      <c r="L490" s="124"/>
      <c r="M490" s="124"/>
    </row>
    <row r="491" spans="2:13" ht="17.25" customHeight="1">
      <c r="B491" s="15">
        <v>0</v>
      </c>
      <c r="C491" s="45"/>
      <c r="D491" s="45"/>
      <c r="E491" s="15"/>
      <c r="F491" s="45"/>
      <c r="G491" s="45"/>
      <c r="H491" s="45"/>
      <c r="I491" s="124"/>
      <c r="J491" s="124"/>
      <c r="K491" s="45"/>
      <c r="L491" s="124"/>
      <c r="M491" s="124"/>
    </row>
    <row r="492" spans="2:13" ht="17.25" customHeight="1">
      <c r="B492" s="15">
        <v>0</v>
      </c>
      <c r="C492" s="45"/>
      <c r="D492" s="45"/>
      <c r="E492" s="15"/>
      <c r="F492" s="45"/>
      <c r="G492" s="45"/>
      <c r="H492" s="45"/>
      <c r="I492" s="124"/>
      <c r="J492" s="124"/>
      <c r="K492" s="45"/>
      <c r="L492" s="124"/>
      <c r="M492" s="124"/>
    </row>
    <row r="493" spans="2:13" ht="17.25" customHeight="1">
      <c r="B493" s="15">
        <v>0</v>
      </c>
      <c r="C493" s="45"/>
      <c r="D493" s="45"/>
      <c r="E493" s="15"/>
      <c r="F493" s="45"/>
      <c r="G493" s="45"/>
      <c r="H493" s="45"/>
      <c r="I493" s="124"/>
      <c r="J493" s="124"/>
      <c r="K493" s="45"/>
      <c r="L493" s="124"/>
      <c r="M493" s="124"/>
    </row>
    <row r="494" spans="2:13" ht="17.25" customHeight="1">
      <c r="B494" s="15">
        <v>0</v>
      </c>
      <c r="C494" s="45"/>
      <c r="D494" s="45"/>
      <c r="E494" s="15"/>
      <c r="F494" s="45"/>
      <c r="G494" s="45"/>
      <c r="H494" s="45"/>
      <c r="I494" s="124"/>
      <c r="J494" s="124"/>
      <c r="K494" s="45"/>
      <c r="L494" s="124"/>
      <c r="M494" s="124"/>
    </row>
    <row r="495" spans="2:13" ht="17.25" customHeight="1">
      <c r="B495" s="15">
        <v>0</v>
      </c>
      <c r="C495" s="45"/>
      <c r="D495" s="45"/>
      <c r="E495" s="15"/>
      <c r="F495" s="45"/>
      <c r="G495" s="45"/>
      <c r="H495" s="45"/>
      <c r="I495" s="124"/>
      <c r="J495" s="124"/>
      <c r="K495" s="45"/>
      <c r="L495" s="124"/>
      <c r="M495" s="124"/>
    </row>
    <row r="496" spans="2:13" ht="17.25" customHeight="1">
      <c r="B496" s="15">
        <v>0</v>
      </c>
      <c r="C496" s="45"/>
      <c r="D496" s="45"/>
      <c r="E496" s="15"/>
      <c r="F496" s="45"/>
      <c r="G496" s="45"/>
      <c r="H496" s="45"/>
      <c r="I496" s="124"/>
      <c r="J496" s="124"/>
      <c r="K496" s="45"/>
      <c r="L496" s="124"/>
      <c r="M496" s="124"/>
    </row>
    <row r="497" spans="2:13" ht="17.25" customHeight="1">
      <c r="B497" s="15">
        <v>0</v>
      </c>
      <c r="C497" s="45"/>
      <c r="D497" s="45"/>
      <c r="E497" s="15"/>
      <c r="F497" s="45"/>
      <c r="G497" s="45"/>
      <c r="H497" s="45"/>
      <c r="I497" s="124"/>
      <c r="J497" s="124"/>
      <c r="K497" s="45"/>
      <c r="L497" s="124"/>
      <c r="M497" s="124"/>
    </row>
    <row r="498" spans="2:13" ht="17.25" customHeight="1">
      <c r="B498" s="15">
        <v>0</v>
      </c>
      <c r="C498" s="45"/>
      <c r="D498" s="45"/>
      <c r="E498" s="15"/>
      <c r="F498" s="45"/>
      <c r="G498" s="45"/>
      <c r="H498" s="45"/>
      <c r="I498" s="124"/>
      <c r="J498" s="124"/>
      <c r="K498" s="45"/>
      <c r="L498" s="124"/>
      <c r="M498" s="124"/>
    </row>
    <row r="499" spans="2:13" ht="17.25" customHeight="1">
      <c r="B499" s="15">
        <v>0</v>
      </c>
      <c r="C499" s="45"/>
      <c r="D499" s="45"/>
      <c r="E499" s="15"/>
      <c r="F499" s="45"/>
      <c r="G499" s="45"/>
      <c r="H499" s="45"/>
      <c r="I499" s="124"/>
      <c r="J499" s="124"/>
      <c r="K499" s="45"/>
      <c r="L499" s="124"/>
      <c r="M499" s="124"/>
    </row>
    <row r="500" spans="2:13" ht="17.25" customHeight="1">
      <c r="B500" s="15">
        <v>0</v>
      </c>
      <c r="C500" s="45"/>
      <c r="D500" s="45"/>
      <c r="E500" s="15"/>
      <c r="F500" s="45"/>
      <c r="G500" s="45"/>
      <c r="H500" s="45"/>
      <c r="I500" s="124"/>
      <c r="J500" s="124"/>
      <c r="K500" s="45"/>
      <c r="L500" s="124"/>
      <c r="M500" s="124"/>
    </row>
    <row r="501" spans="2:13" ht="17.25" customHeight="1">
      <c r="B501" s="15">
        <v>0</v>
      </c>
      <c r="C501" s="45"/>
      <c r="D501" s="45"/>
      <c r="E501" s="15"/>
      <c r="F501" s="45"/>
      <c r="G501" s="45"/>
      <c r="H501" s="45"/>
      <c r="I501" s="124"/>
      <c r="J501" s="124"/>
      <c r="K501" s="45"/>
      <c r="L501" s="124"/>
      <c r="M501" s="124"/>
    </row>
    <row r="502" spans="2:13" ht="17.25" customHeight="1">
      <c r="B502" s="15">
        <v>0</v>
      </c>
      <c r="C502" s="45"/>
      <c r="D502" s="45"/>
      <c r="E502" s="15"/>
      <c r="F502" s="45"/>
      <c r="G502" s="45"/>
      <c r="H502" s="45"/>
      <c r="I502" s="124"/>
      <c r="J502" s="124"/>
      <c r="K502" s="45"/>
      <c r="L502" s="124"/>
      <c r="M502" s="124"/>
    </row>
    <row r="503" spans="2:13" ht="17.25" customHeight="1">
      <c r="B503" s="15">
        <v>0</v>
      </c>
      <c r="C503" s="45"/>
      <c r="D503" s="45"/>
      <c r="E503" s="15"/>
      <c r="F503" s="45"/>
      <c r="G503" s="45"/>
      <c r="H503" s="45"/>
      <c r="I503" s="124"/>
      <c r="J503" s="124"/>
      <c r="K503" s="45"/>
      <c r="L503" s="124"/>
      <c r="M503" s="124"/>
    </row>
    <row r="504" spans="2:13" ht="17.25" customHeight="1">
      <c r="B504" s="15">
        <v>0</v>
      </c>
      <c r="C504" s="45"/>
      <c r="D504" s="45"/>
      <c r="E504" s="15"/>
      <c r="F504" s="45"/>
      <c r="G504" s="45"/>
      <c r="H504" s="45"/>
      <c r="I504" s="124"/>
      <c r="J504" s="124"/>
      <c r="K504" s="45"/>
      <c r="L504" s="124"/>
      <c r="M504" s="124"/>
    </row>
    <row r="505" spans="2:13" ht="17.25" customHeight="1">
      <c r="B505" s="15">
        <v>0</v>
      </c>
      <c r="C505" s="45"/>
      <c r="D505" s="45"/>
      <c r="E505" s="15"/>
      <c r="F505" s="45"/>
      <c r="G505" s="45"/>
      <c r="H505" s="45"/>
      <c r="I505" s="124"/>
      <c r="J505" s="124"/>
      <c r="K505" s="45"/>
      <c r="L505" s="124"/>
      <c r="M505" s="124"/>
    </row>
    <row r="506" spans="2:13" ht="17.25" customHeight="1">
      <c r="B506" s="15">
        <v>0</v>
      </c>
      <c r="C506" s="45"/>
      <c r="D506" s="45"/>
      <c r="E506" s="15"/>
      <c r="F506" s="45"/>
      <c r="G506" s="45"/>
      <c r="H506" s="45"/>
      <c r="I506" s="124"/>
      <c r="J506" s="124"/>
      <c r="K506" s="45"/>
      <c r="L506" s="124"/>
      <c r="M506" s="124"/>
    </row>
    <row r="507" spans="2:13" ht="17.25" customHeight="1">
      <c r="B507" s="15">
        <v>0</v>
      </c>
      <c r="C507" s="45"/>
      <c r="D507" s="45"/>
      <c r="E507" s="15"/>
      <c r="F507" s="45"/>
      <c r="G507" s="45"/>
      <c r="H507" s="45"/>
      <c r="I507" s="124"/>
      <c r="J507" s="124"/>
      <c r="K507" s="45"/>
      <c r="L507" s="124"/>
      <c r="M507" s="124"/>
    </row>
    <row r="508" spans="2:13" ht="17.25" customHeight="1">
      <c r="B508" s="15">
        <v>0</v>
      </c>
      <c r="C508" s="45"/>
      <c r="D508" s="45"/>
      <c r="E508" s="15"/>
      <c r="F508" s="45"/>
      <c r="G508" s="45"/>
      <c r="H508" s="45"/>
      <c r="I508" s="124"/>
      <c r="J508" s="124"/>
      <c r="K508" s="45"/>
      <c r="L508" s="124"/>
      <c r="M508" s="124"/>
    </row>
    <row r="509" spans="2:13" ht="17.25" customHeight="1">
      <c r="B509" s="15">
        <v>0</v>
      </c>
      <c r="C509" s="45"/>
      <c r="D509" s="45"/>
      <c r="E509" s="15"/>
      <c r="F509" s="45"/>
      <c r="G509" s="45"/>
      <c r="H509" s="45"/>
      <c r="I509" s="124"/>
      <c r="J509" s="124"/>
      <c r="K509" s="45"/>
      <c r="L509" s="124"/>
      <c r="M509" s="124"/>
    </row>
    <row r="510" spans="2:13" ht="17.25" customHeight="1">
      <c r="B510" s="15">
        <v>0</v>
      </c>
      <c r="C510" s="45"/>
      <c r="D510" s="45"/>
      <c r="E510" s="15"/>
      <c r="F510" s="45"/>
      <c r="G510" s="45"/>
      <c r="H510" s="45"/>
      <c r="I510" s="124"/>
      <c r="J510" s="124"/>
      <c r="K510" s="45"/>
      <c r="L510" s="124"/>
      <c r="M510" s="124"/>
    </row>
    <row r="511" spans="2:13" ht="17.25" customHeight="1">
      <c r="B511" s="15">
        <v>0</v>
      </c>
      <c r="C511" s="45"/>
      <c r="D511" s="45"/>
      <c r="E511" s="15"/>
      <c r="F511" s="45"/>
      <c r="G511" s="45"/>
      <c r="H511" s="45"/>
      <c r="I511" s="124"/>
      <c r="J511" s="124"/>
      <c r="K511" s="45"/>
      <c r="L511" s="124"/>
      <c r="M511" s="124"/>
    </row>
    <row r="512" spans="2:13" ht="17.25" customHeight="1">
      <c r="B512" s="15">
        <v>0</v>
      </c>
      <c r="C512" s="45"/>
      <c r="D512" s="45"/>
      <c r="E512" s="15"/>
      <c r="F512" s="45"/>
      <c r="G512" s="45"/>
      <c r="H512" s="45"/>
      <c r="I512" s="124"/>
      <c r="J512" s="124"/>
      <c r="K512" s="45"/>
      <c r="L512" s="124"/>
      <c r="M512" s="124"/>
    </row>
    <row r="513" spans="2:13" ht="17.25" customHeight="1">
      <c r="B513" s="15">
        <v>0</v>
      </c>
      <c r="C513" s="45"/>
      <c r="D513" s="45"/>
      <c r="E513" s="15"/>
      <c r="F513" s="45"/>
      <c r="G513" s="45"/>
      <c r="H513" s="45"/>
      <c r="I513" s="124"/>
      <c r="J513" s="124"/>
      <c r="K513" s="45"/>
      <c r="L513" s="124"/>
      <c r="M513" s="124"/>
    </row>
    <row r="514" spans="2:13" ht="17.25" customHeight="1">
      <c r="B514" s="15">
        <v>0</v>
      </c>
      <c r="C514" s="45"/>
      <c r="D514" s="45"/>
      <c r="E514" s="15"/>
      <c r="F514" s="45"/>
      <c r="G514" s="45"/>
      <c r="H514" s="45"/>
      <c r="I514" s="124"/>
      <c r="J514" s="124"/>
      <c r="K514" s="45"/>
      <c r="L514" s="124"/>
      <c r="M514" s="124"/>
    </row>
    <row r="515" spans="2:13" ht="17.25" customHeight="1">
      <c r="B515" s="15">
        <v>0</v>
      </c>
      <c r="C515" s="45"/>
      <c r="D515" s="45"/>
      <c r="E515" s="15"/>
      <c r="F515" s="45"/>
      <c r="G515" s="45"/>
      <c r="H515" s="45"/>
      <c r="I515" s="124"/>
      <c r="J515" s="124"/>
      <c r="K515" s="45"/>
      <c r="L515" s="124"/>
      <c r="M515" s="124"/>
    </row>
    <row r="516" spans="2:13" ht="17.25" customHeight="1">
      <c r="B516" s="15">
        <v>0</v>
      </c>
      <c r="C516" s="45"/>
      <c r="D516" s="45"/>
      <c r="E516" s="15"/>
      <c r="F516" s="45"/>
      <c r="G516" s="45"/>
      <c r="H516" s="45"/>
      <c r="I516" s="124"/>
      <c r="J516" s="124"/>
      <c r="K516" s="45"/>
      <c r="L516" s="124"/>
      <c r="M516" s="124"/>
    </row>
    <row r="517" spans="2:13" ht="17.25" customHeight="1">
      <c r="B517" s="15">
        <v>0</v>
      </c>
      <c r="C517" s="45"/>
      <c r="D517" s="45"/>
      <c r="E517" s="15"/>
      <c r="F517" s="45"/>
      <c r="G517" s="45"/>
      <c r="H517" s="45"/>
      <c r="I517" s="124"/>
      <c r="J517" s="124"/>
      <c r="K517" s="45"/>
      <c r="L517" s="124"/>
      <c r="M517" s="124"/>
    </row>
    <row r="518" spans="2:13" ht="17.25" customHeight="1">
      <c r="B518" s="15">
        <v>0</v>
      </c>
      <c r="C518" s="45"/>
      <c r="D518" s="45"/>
      <c r="E518" s="15"/>
      <c r="F518" s="45"/>
      <c r="G518" s="45"/>
      <c r="H518" s="45"/>
      <c r="I518" s="124"/>
      <c r="J518" s="124"/>
      <c r="K518" s="45"/>
      <c r="L518" s="124"/>
      <c r="M518" s="124"/>
    </row>
    <row r="519" spans="2:13" ht="17.25" customHeight="1">
      <c r="B519" s="15">
        <v>0</v>
      </c>
      <c r="C519" s="45"/>
      <c r="D519" s="45"/>
      <c r="E519" s="15"/>
      <c r="F519" s="45"/>
      <c r="G519" s="45"/>
      <c r="H519" s="45"/>
      <c r="I519" s="124"/>
      <c r="J519" s="124"/>
      <c r="K519" s="45"/>
      <c r="L519" s="124"/>
      <c r="M519" s="124"/>
    </row>
    <row r="520" spans="2:13" ht="17.25" customHeight="1">
      <c r="B520" s="15">
        <v>0</v>
      </c>
      <c r="C520" s="45"/>
      <c r="D520" s="45"/>
      <c r="E520" s="15"/>
      <c r="F520" s="45"/>
      <c r="G520" s="45"/>
      <c r="H520" s="45"/>
      <c r="I520" s="124"/>
      <c r="J520" s="124"/>
      <c r="K520" s="45"/>
      <c r="L520" s="124"/>
      <c r="M520" s="124"/>
    </row>
    <row r="521" spans="2:13" ht="17.25" customHeight="1">
      <c r="B521" s="15">
        <v>0</v>
      </c>
      <c r="C521" s="45"/>
      <c r="D521" s="45"/>
      <c r="E521" s="15"/>
      <c r="F521" s="45"/>
      <c r="G521" s="45"/>
      <c r="H521" s="45"/>
      <c r="I521" s="124"/>
      <c r="J521" s="124"/>
      <c r="K521" s="45"/>
      <c r="L521" s="124"/>
      <c r="M521" s="124"/>
    </row>
    <row r="522" spans="2:13" ht="17.25" customHeight="1">
      <c r="B522" s="15">
        <v>0</v>
      </c>
      <c r="C522" s="45"/>
      <c r="D522" s="45"/>
      <c r="E522" s="15"/>
      <c r="F522" s="45"/>
      <c r="G522" s="45"/>
      <c r="H522" s="45"/>
      <c r="I522" s="124"/>
      <c r="J522" s="124"/>
      <c r="K522" s="45"/>
      <c r="L522" s="124"/>
      <c r="M522" s="124"/>
    </row>
    <row r="523" spans="2:13" ht="17.25" customHeight="1">
      <c r="B523" s="15">
        <v>0</v>
      </c>
      <c r="C523" s="45"/>
      <c r="D523" s="45"/>
      <c r="E523" s="15"/>
      <c r="F523" s="45"/>
      <c r="G523" s="45"/>
      <c r="H523" s="45"/>
      <c r="I523" s="124"/>
      <c r="J523" s="124"/>
      <c r="K523" s="45"/>
      <c r="L523" s="124"/>
      <c r="M523" s="124"/>
    </row>
    <row r="524" spans="2:13" ht="17.25" customHeight="1">
      <c r="B524" s="15">
        <v>0</v>
      </c>
      <c r="C524" s="45"/>
      <c r="D524" s="45"/>
      <c r="E524" s="15"/>
      <c r="F524" s="45"/>
      <c r="G524" s="45"/>
      <c r="H524" s="45"/>
      <c r="I524" s="124"/>
      <c r="J524" s="124"/>
      <c r="K524" s="45"/>
      <c r="L524" s="124"/>
      <c r="M524" s="124"/>
    </row>
    <row r="525" spans="2:13" ht="17.25" customHeight="1">
      <c r="B525" s="15">
        <v>0</v>
      </c>
      <c r="C525" s="45"/>
      <c r="D525" s="45"/>
      <c r="E525" s="15"/>
      <c r="F525" s="45"/>
      <c r="G525" s="45"/>
      <c r="H525" s="45"/>
      <c r="I525" s="124"/>
      <c r="J525" s="124"/>
      <c r="K525" s="45"/>
      <c r="L525" s="124"/>
      <c r="M525" s="124"/>
    </row>
    <row r="526" spans="2:13" ht="17.25" customHeight="1">
      <c r="B526" s="15">
        <v>0</v>
      </c>
      <c r="C526" s="45"/>
      <c r="D526" s="45"/>
      <c r="E526" s="15"/>
      <c r="F526" s="45"/>
      <c r="G526" s="45"/>
      <c r="H526" s="45"/>
      <c r="I526" s="124"/>
      <c r="J526" s="124"/>
      <c r="K526" s="45"/>
      <c r="L526" s="124"/>
      <c r="M526" s="124"/>
    </row>
    <row r="527" spans="2:13" ht="17.25" customHeight="1">
      <c r="B527" s="15">
        <v>0</v>
      </c>
      <c r="C527" s="45"/>
      <c r="D527" s="45"/>
      <c r="E527" s="15"/>
      <c r="F527" s="45"/>
      <c r="G527" s="45"/>
      <c r="H527" s="45"/>
      <c r="I527" s="124"/>
      <c r="J527" s="124"/>
      <c r="K527" s="45"/>
      <c r="L527" s="124"/>
      <c r="M527" s="124"/>
    </row>
    <row r="528" spans="2:13" ht="17.25" customHeight="1">
      <c r="B528" s="15">
        <v>0</v>
      </c>
      <c r="C528" s="45"/>
      <c r="D528" s="45"/>
      <c r="E528" s="15"/>
      <c r="F528" s="45"/>
      <c r="G528" s="45"/>
      <c r="H528" s="45"/>
      <c r="I528" s="124"/>
      <c r="J528" s="124"/>
      <c r="K528" s="45"/>
      <c r="L528" s="124"/>
      <c r="M528" s="124"/>
    </row>
    <row r="529" spans="2:13" ht="17.25" customHeight="1">
      <c r="B529" s="15">
        <v>0</v>
      </c>
      <c r="C529" s="45"/>
      <c r="D529" s="45"/>
      <c r="E529" s="15"/>
      <c r="F529" s="45"/>
      <c r="G529" s="45"/>
      <c r="H529" s="45"/>
      <c r="I529" s="124"/>
      <c r="J529" s="124"/>
      <c r="K529" s="45"/>
      <c r="L529" s="124"/>
      <c r="M529" s="124"/>
    </row>
    <row r="530" spans="2:13" ht="17.25" customHeight="1">
      <c r="B530" s="15">
        <v>0</v>
      </c>
      <c r="C530" s="45"/>
      <c r="D530" s="45"/>
      <c r="E530" s="15"/>
      <c r="F530" s="45"/>
      <c r="G530" s="45"/>
      <c r="H530" s="45"/>
      <c r="I530" s="124"/>
      <c r="J530" s="124"/>
      <c r="K530" s="45"/>
      <c r="L530" s="124"/>
      <c r="M530" s="124"/>
    </row>
    <row r="531" spans="2:13" ht="17.25" customHeight="1">
      <c r="B531" s="15">
        <v>0</v>
      </c>
      <c r="C531" s="45"/>
      <c r="D531" s="45"/>
      <c r="E531" s="15"/>
      <c r="F531" s="45"/>
      <c r="G531" s="45"/>
      <c r="H531" s="45"/>
      <c r="I531" s="124"/>
      <c r="J531" s="124"/>
      <c r="K531" s="45"/>
      <c r="L531" s="124"/>
      <c r="M531" s="124"/>
    </row>
    <row r="532" spans="2:13" ht="17.25" customHeight="1">
      <c r="B532" s="15">
        <v>0</v>
      </c>
      <c r="C532" s="45"/>
      <c r="D532" s="45"/>
      <c r="E532" s="15"/>
      <c r="F532" s="45"/>
      <c r="G532" s="45"/>
      <c r="H532" s="45"/>
      <c r="I532" s="124"/>
      <c r="J532" s="124"/>
      <c r="K532" s="45"/>
      <c r="L532" s="124"/>
      <c r="M532" s="124"/>
    </row>
    <row r="533" spans="2:13" ht="17.25" customHeight="1">
      <c r="B533" s="15">
        <v>0</v>
      </c>
      <c r="C533" s="45"/>
      <c r="D533" s="45"/>
      <c r="E533" s="15"/>
      <c r="F533" s="45"/>
      <c r="G533" s="45"/>
      <c r="H533" s="45"/>
      <c r="I533" s="124"/>
      <c r="J533" s="124"/>
      <c r="K533" s="45"/>
      <c r="L533" s="124"/>
      <c r="M533" s="124"/>
    </row>
    <row r="534" spans="2:13" ht="17.25" customHeight="1">
      <c r="B534" s="15">
        <v>0</v>
      </c>
      <c r="C534" s="45"/>
      <c r="D534" s="45"/>
      <c r="E534" s="15"/>
      <c r="F534" s="45"/>
      <c r="G534" s="45"/>
      <c r="H534" s="45"/>
      <c r="I534" s="124"/>
      <c r="J534" s="124"/>
      <c r="K534" s="45"/>
      <c r="L534" s="124"/>
      <c r="M534" s="124"/>
    </row>
    <row r="535" spans="2:13" ht="17.25" customHeight="1">
      <c r="B535" s="15">
        <v>0</v>
      </c>
      <c r="C535" s="45"/>
      <c r="D535" s="45"/>
      <c r="E535" s="15"/>
      <c r="F535" s="45"/>
      <c r="G535" s="45"/>
      <c r="H535" s="45"/>
      <c r="I535" s="124"/>
      <c r="J535" s="124"/>
      <c r="K535" s="45"/>
      <c r="L535" s="124"/>
      <c r="M535" s="124"/>
    </row>
    <row r="536" spans="2:13" ht="17.25" customHeight="1">
      <c r="B536" s="15">
        <v>0</v>
      </c>
      <c r="C536" s="45"/>
      <c r="D536" s="45"/>
      <c r="E536" s="15"/>
      <c r="F536" s="45"/>
      <c r="G536" s="45"/>
      <c r="H536" s="45"/>
      <c r="I536" s="124"/>
      <c r="J536" s="124"/>
      <c r="K536" s="45"/>
      <c r="L536" s="124"/>
      <c r="M536" s="124"/>
    </row>
    <row r="537" spans="2:13" ht="17.25" customHeight="1">
      <c r="B537" s="15">
        <v>0</v>
      </c>
      <c r="C537" s="45"/>
      <c r="D537" s="45"/>
      <c r="E537" s="15"/>
      <c r="F537" s="45"/>
      <c r="G537" s="45"/>
      <c r="H537" s="45"/>
      <c r="I537" s="124"/>
      <c r="J537" s="124"/>
      <c r="K537" s="45"/>
      <c r="L537" s="124"/>
      <c r="M537" s="124"/>
    </row>
    <row r="538" spans="2:13" ht="17.25" customHeight="1">
      <c r="B538" s="15">
        <v>0</v>
      </c>
      <c r="C538" s="45"/>
      <c r="D538" s="45"/>
      <c r="E538" s="15"/>
      <c r="F538" s="45"/>
      <c r="G538" s="45"/>
      <c r="H538" s="45"/>
      <c r="I538" s="124"/>
      <c r="J538" s="124"/>
      <c r="K538" s="45"/>
      <c r="L538" s="124"/>
      <c r="M538" s="124"/>
    </row>
    <row r="539" spans="2:13" ht="17.25" customHeight="1">
      <c r="B539" s="15">
        <v>0</v>
      </c>
      <c r="C539" s="45"/>
      <c r="D539" s="45"/>
      <c r="E539" s="15"/>
      <c r="F539" s="45"/>
      <c r="G539" s="45"/>
      <c r="H539" s="45"/>
      <c r="I539" s="124"/>
      <c r="J539" s="124"/>
      <c r="K539" s="45"/>
      <c r="L539" s="124"/>
      <c r="M539" s="124"/>
    </row>
    <row r="540" spans="2:13" ht="17.25" customHeight="1">
      <c r="B540" s="15">
        <v>0</v>
      </c>
      <c r="C540" s="45"/>
      <c r="D540" s="45"/>
      <c r="E540" s="15"/>
      <c r="F540" s="45"/>
      <c r="G540" s="45"/>
      <c r="H540" s="45"/>
      <c r="I540" s="124"/>
      <c r="J540" s="124"/>
      <c r="K540" s="45"/>
      <c r="L540" s="124"/>
      <c r="M540" s="124"/>
    </row>
    <row r="541" spans="2:13" ht="17.25" customHeight="1">
      <c r="B541" s="15">
        <v>0</v>
      </c>
      <c r="C541" s="45"/>
      <c r="D541" s="45"/>
      <c r="E541" s="15"/>
      <c r="F541" s="45"/>
      <c r="G541" s="45"/>
      <c r="H541" s="45"/>
      <c r="I541" s="124"/>
      <c r="J541" s="124"/>
      <c r="K541" s="45"/>
      <c r="L541" s="124"/>
      <c r="M541" s="124"/>
    </row>
    <row r="542" spans="2:13" ht="17.25" customHeight="1">
      <c r="B542" s="15">
        <v>0</v>
      </c>
      <c r="C542" s="45"/>
      <c r="D542" s="45"/>
      <c r="E542" s="15"/>
      <c r="F542" s="45"/>
      <c r="G542" s="45"/>
      <c r="H542" s="45"/>
      <c r="I542" s="124"/>
      <c r="J542" s="124"/>
      <c r="K542" s="45"/>
      <c r="L542" s="124"/>
      <c r="M542" s="124"/>
    </row>
    <row r="543" spans="2:13" ht="17.25" customHeight="1">
      <c r="B543" s="15">
        <v>0</v>
      </c>
      <c r="C543" s="45"/>
      <c r="D543" s="45"/>
      <c r="E543" s="15"/>
      <c r="F543" s="45"/>
      <c r="G543" s="45"/>
      <c r="H543" s="45"/>
      <c r="I543" s="124"/>
      <c r="J543" s="124"/>
      <c r="K543" s="45"/>
      <c r="L543" s="124"/>
      <c r="M543" s="124"/>
    </row>
    <row r="544" spans="2:13" ht="17.25" customHeight="1">
      <c r="B544" s="15">
        <v>0</v>
      </c>
      <c r="C544" s="45"/>
      <c r="D544" s="45"/>
      <c r="E544" s="15"/>
      <c r="F544" s="45"/>
      <c r="G544" s="45"/>
      <c r="H544" s="45"/>
      <c r="I544" s="124"/>
      <c r="J544" s="124"/>
      <c r="K544" s="45"/>
      <c r="L544" s="124"/>
      <c r="M544" s="124"/>
    </row>
    <row r="545" spans="2:13" ht="17.25" customHeight="1">
      <c r="B545" s="15">
        <v>0</v>
      </c>
      <c r="C545" s="45"/>
      <c r="D545" s="45"/>
      <c r="E545" s="15"/>
      <c r="F545" s="45"/>
      <c r="G545" s="45"/>
      <c r="H545" s="45"/>
      <c r="I545" s="124"/>
      <c r="J545" s="124"/>
      <c r="K545" s="45"/>
      <c r="L545" s="124"/>
      <c r="M545" s="124"/>
    </row>
    <row r="546" spans="2:13" ht="17.25" customHeight="1">
      <c r="B546" s="15">
        <v>0</v>
      </c>
      <c r="C546" s="45"/>
      <c r="D546" s="45"/>
      <c r="E546" s="15"/>
      <c r="F546" s="45"/>
      <c r="G546" s="45"/>
      <c r="H546" s="45"/>
      <c r="I546" s="124"/>
      <c r="J546" s="124"/>
      <c r="K546" s="45"/>
      <c r="L546" s="124"/>
      <c r="M546" s="124"/>
    </row>
    <row r="547" spans="2:13" ht="17.25" customHeight="1">
      <c r="B547" s="15">
        <v>0</v>
      </c>
      <c r="C547" s="45"/>
      <c r="D547" s="45"/>
      <c r="E547" s="15"/>
      <c r="F547" s="45"/>
      <c r="G547" s="45"/>
      <c r="H547" s="45"/>
      <c r="I547" s="124"/>
      <c r="J547" s="124"/>
      <c r="K547" s="45"/>
      <c r="L547" s="124"/>
      <c r="M547" s="124"/>
    </row>
    <row r="548" spans="2:13" ht="17.25" customHeight="1">
      <c r="B548" s="15">
        <v>0</v>
      </c>
      <c r="C548" s="45"/>
      <c r="D548" s="45"/>
      <c r="E548" s="15"/>
      <c r="F548" s="45"/>
      <c r="G548" s="45"/>
      <c r="H548" s="45"/>
      <c r="I548" s="124"/>
      <c r="J548" s="124"/>
      <c r="K548" s="45"/>
      <c r="L548" s="124"/>
      <c r="M548" s="124"/>
    </row>
    <row r="549" spans="2:13" ht="17.25" customHeight="1">
      <c r="B549" s="15">
        <v>0</v>
      </c>
      <c r="C549" s="45"/>
      <c r="D549" s="45"/>
      <c r="E549" s="15"/>
      <c r="F549" s="45"/>
      <c r="G549" s="45"/>
      <c r="H549" s="45"/>
      <c r="I549" s="124"/>
      <c r="J549" s="124"/>
      <c r="K549" s="45"/>
      <c r="L549" s="124"/>
      <c r="M549" s="124"/>
    </row>
    <row r="550" spans="2:13" ht="17.25" customHeight="1">
      <c r="B550" s="15">
        <v>0</v>
      </c>
      <c r="C550" s="45"/>
      <c r="D550" s="45"/>
      <c r="E550" s="15"/>
      <c r="F550" s="45"/>
      <c r="G550" s="45"/>
      <c r="H550" s="45"/>
      <c r="I550" s="124"/>
      <c r="J550" s="124"/>
      <c r="K550" s="45"/>
      <c r="L550" s="124"/>
      <c r="M550" s="124"/>
    </row>
    <row r="551" spans="2:13" ht="17.25" customHeight="1">
      <c r="B551" s="15">
        <v>0</v>
      </c>
      <c r="C551" s="45"/>
      <c r="D551" s="45"/>
      <c r="E551" s="15"/>
      <c r="F551" s="45"/>
      <c r="G551" s="45"/>
      <c r="H551" s="45"/>
      <c r="I551" s="124"/>
      <c r="J551" s="124"/>
      <c r="K551" s="45"/>
      <c r="L551" s="124"/>
      <c r="M551" s="124"/>
    </row>
    <row r="552" spans="2:13" ht="17.25" customHeight="1">
      <c r="B552" s="15">
        <v>0</v>
      </c>
      <c r="C552" s="45"/>
      <c r="D552" s="45"/>
      <c r="E552" s="15"/>
      <c r="F552" s="45"/>
      <c r="G552" s="45"/>
      <c r="H552" s="45"/>
      <c r="I552" s="124"/>
      <c r="J552" s="124"/>
      <c r="K552" s="45"/>
      <c r="L552" s="124"/>
      <c r="M552" s="124"/>
    </row>
    <row r="553" spans="2:13" ht="17.25" customHeight="1">
      <c r="B553" s="15">
        <v>0</v>
      </c>
      <c r="C553" s="45"/>
      <c r="D553" s="45"/>
      <c r="E553" s="15"/>
      <c r="F553" s="45"/>
      <c r="G553" s="45"/>
      <c r="H553" s="45"/>
      <c r="I553" s="124"/>
      <c r="J553" s="124"/>
      <c r="K553" s="45"/>
      <c r="L553" s="124"/>
      <c r="M553" s="124"/>
    </row>
    <row r="554" spans="2:13" ht="17.25" customHeight="1">
      <c r="B554" s="15">
        <v>0</v>
      </c>
      <c r="C554" s="45"/>
      <c r="D554" s="45"/>
      <c r="E554" s="15"/>
      <c r="F554" s="45"/>
      <c r="G554" s="45"/>
      <c r="H554" s="45"/>
      <c r="I554" s="124"/>
      <c r="J554" s="124"/>
      <c r="K554" s="45"/>
      <c r="L554" s="124"/>
      <c r="M554" s="124"/>
    </row>
    <row r="555" spans="2:13" ht="17.25" customHeight="1">
      <c r="B555" s="15">
        <v>0</v>
      </c>
      <c r="C555" s="45"/>
      <c r="D555" s="45"/>
      <c r="E555" s="15"/>
      <c r="F555" s="45"/>
      <c r="G555" s="45"/>
      <c r="H555" s="45"/>
      <c r="I555" s="124"/>
      <c r="J555" s="124"/>
      <c r="K555" s="45"/>
      <c r="L555" s="124"/>
      <c r="M555" s="124"/>
    </row>
    <row r="556" spans="2:13" ht="17.25" customHeight="1">
      <c r="B556" s="15">
        <v>0</v>
      </c>
      <c r="C556" s="45"/>
      <c r="D556" s="45"/>
      <c r="E556" s="15"/>
      <c r="F556" s="45"/>
      <c r="G556" s="45"/>
      <c r="H556" s="45"/>
      <c r="I556" s="124"/>
      <c r="J556" s="124"/>
      <c r="K556" s="45"/>
      <c r="L556" s="124"/>
      <c r="M556" s="124"/>
    </row>
    <row r="557" spans="2:13" ht="17.25" customHeight="1">
      <c r="B557" s="15">
        <v>0</v>
      </c>
      <c r="C557" s="45"/>
      <c r="D557" s="45"/>
      <c r="E557" s="15"/>
      <c r="F557" s="45"/>
      <c r="G557" s="45"/>
      <c r="H557" s="45"/>
      <c r="I557" s="124"/>
      <c r="J557" s="124"/>
      <c r="K557" s="45"/>
      <c r="L557" s="124"/>
      <c r="M557" s="124"/>
    </row>
    <row r="558" spans="2:13" ht="17.25" customHeight="1">
      <c r="B558" s="15">
        <v>0</v>
      </c>
      <c r="C558" s="45"/>
      <c r="D558" s="45"/>
      <c r="E558" s="15"/>
      <c r="F558" s="45"/>
      <c r="G558" s="45"/>
      <c r="H558" s="45"/>
      <c r="I558" s="124"/>
      <c r="J558" s="124"/>
      <c r="K558" s="45"/>
      <c r="L558" s="124"/>
      <c r="M558" s="124"/>
    </row>
    <row r="559" spans="2:13" ht="17.25" customHeight="1">
      <c r="B559" s="15">
        <v>0</v>
      </c>
      <c r="C559" s="45"/>
      <c r="D559" s="45"/>
      <c r="E559" s="15"/>
      <c r="F559" s="45"/>
      <c r="G559" s="45"/>
      <c r="H559" s="45"/>
      <c r="I559" s="124"/>
      <c r="J559" s="124"/>
      <c r="K559" s="45"/>
      <c r="L559" s="124"/>
      <c r="M559" s="124"/>
    </row>
    <row r="560" spans="2:13" ht="17.25" customHeight="1">
      <c r="B560" s="15">
        <v>0</v>
      </c>
      <c r="C560" s="45"/>
      <c r="D560" s="45"/>
      <c r="E560" s="15"/>
      <c r="F560" s="45"/>
      <c r="G560" s="45"/>
      <c r="H560" s="45"/>
      <c r="I560" s="124"/>
      <c r="J560" s="124"/>
      <c r="K560" s="45"/>
      <c r="L560" s="124"/>
      <c r="M560" s="124"/>
    </row>
    <row r="561" spans="2:13" ht="17.25" customHeight="1">
      <c r="B561" s="15">
        <v>0</v>
      </c>
      <c r="C561" s="45"/>
      <c r="D561" s="45"/>
      <c r="E561" s="15"/>
      <c r="F561" s="45"/>
      <c r="G561" s="45"/>
      <c r="H561" s="45"/>
      <c r="I561" s="124"/>
      <c r="J561" s="124"/>
      <c r="K561" s="45"/>
      <c r="L561" s="124"/>
      <c r="M561" s="124"/>
    </row>
    <row r="562" spans="2:13" ht="17.25" customHeight="1">
      <c r="B562" s="15">
        <v>0</v>
      </c>
      <c r="C562" s="45"/>
      <c r="D562" s="45"/>
      <c r="E562" s="15"/>
      <c r="F562" s="45"/>
      <c r="G562" s="45"/>
      <c r="H562" s="45"/>
      <c r="I562" s="124"/>
      <c r="J562" s="124"/>
      <c r="K562" s="45"/>
      <c r="L562" s="124"/>
      <c r="M562" s="124"/>
    </row>
    <row r="563" spans="2:13" ht="17.25" customHeight="1">
      <c r="B563" s="15">
        <v>0</v>
      </c>
      <c r="C563" s="45"/>
      <c r="D563" s="45"/>
      <c r="E563" s="15"/>
      <c r="F563" s="45"/>
      <c r="G563" s="45"/>
      <c r="H563" s="45"/>
      <c r="I563" s="124"/>
      <c r="J563" s="124"/>
      <c r="K563" s="45"/>
      <c r="L563" s="124"/>
      <c r="M563" s="124"/>
    </row>
    <row r="564" spans="2:13" ht="17.25" customHeight="1">
      <c r="B564" s="15">
        <v>0</v>
      </c>
      <c r="C564" s="45"/>
      <c r="D564" s="45"/>
      <c r="E564" s="15"/>
      <c r="F564" s="45"/>
      <c r="G564" s="45"/>
      <c r="H564" s="45"/>
      <c r="I564" s="124"/>
      <c r="J564" s="124"/>
      <c r="K564" s="45"/>
      <c r="L564" s="124"/>
      <c r="M564" s="124"/>
    </row>
    <row r="565" spans="2:13" ht="17.25" customHeight="1">
      <c r="B565" s="15">
        <v>0</v>
      </c>
      <c r="C565" s="45"/>
      <c r="D565" s="45"/>
      <c r="E565" s="15"/>
      <c r="F565" s="45"/>
      <c r="G565" s="45"/>
      <c r="H565" s="45"/>
      <c r="I565" s="124"/>
      <c r="J565" s="124"/>
      <c r="K565" s="45"/>
      <c r="L565" s="124"/>
      <c r="M565" s="124"/>
    </row>
    <row r="566" spans="2:13" ht="17.25" customHeight="1">
      <c r="B566" s="15">
        <v>0</v>
      </c>
      <c r="C566" s="45"/>
      <c r="D566" s="45"/>
      <c r="E566" s="15"/>
      <c r="F566" s="45"/>
      <c r="G566" s="45"/>
      <c r="H566" s="45"/>
      <c r="I566" s="124"/>
      <c r="J566" s="124"/>
      <c r="K566" s="45"/>
      <c r="L566" s="124"/>
      <c r="M566" s="124"/>
    </row>
    <row r="567" spans="2:13" ht="17.25" customHeight="1">
      <c r="B567" s="15">
        <v>0</v>
      </c>
      <c r="C567" s="45"/>
      <c r="D567" s="45"/>
      <c r="E567" s="15"/>
      <c r="F567" s="45"/>
      <c r="G567" s="45"/>
      <c r="H567" s="45"/>
      <c r="I567" s="124"/>
      <c r="J567" s="124"/>
      <c r="K567" s="45"/>
      <c r="L567" s="124"/>
      <c r="M567" s="124"/>
    </row>
    <row r="568" spans="2:13" ht="17.25" customHeight="1">
      <c r="B568" s="15">
        <v>0</v>
      </c>
      <c r="C568" s="45"/>
      <c r="D568" s="45"/>
      <c r="E568" s="15"/>
      <c r="F568" s="45"/>
      <c r="G568" s="45"/>
      <c r="H568" s="45"/>
      <c r="I568" s="124"/>
      <c r="J568" s="124"/>
      <c r="K568" s="45"/>
      <c r="L568" s="124"/>
      <c r="M568" s="124"/>
    </row>
    <row r="569" spans="2:13" ht="17.25" customHeight="1">
      <c r="B569" s="15">
        <v>0</v>
      </c>
      <c r="C569" s="45"/>
      <c r="D569" s="45"/>
      <c r="E569" s="15"/>
      <c r="F569" s="45"/>
      <c r="G569" s="45"/>
      <c r="H569" s="45"/>
      <c r="I569" s="124"/>
      <c r="J569" s="124"/>
      <c r="K569" s="45"/>
      <c r="L569" s="124"/>
      <c r="M569" s="124"/>
    </row>
    <row r="570" spans="2:13" ht="17.25" customHeight="1">
      <c r="B570" s="15">
        <v>0</v>
      </c>
      <c r="C570" s="45"/>
      <c r="D570" s="45"/>
      <c r="E570" s="15"/>
      <c r="F570" s="45"/>
      <c r="G570" s="45"/>
      <c r="H570" s="45"/>
      <c r="I570" s="124"/>
      <c r="J570" s="124"/>
      <c r="K570" s="45"/>
      <c r="L570" s="124"/>
      <c r="M570" s="124"/>
    </row>
    <row r="571" spans="2:13" ht="17.25" customHeight="1">
      <c r="B571" s="15">
        <v>0</v>
      </c>
      <c r="C571" s="45"/>
      <c r="D571" s="45"/>
      <c r="E571" s="15"/>
      <c r="F571" s="45"/>
      <c r="G571" s="45"/>
      <c r="H571" s="45"/>
      <c r="I571" s="124"/>
      <c r="J571" s="124"/>
      <c r="K571" s="45"/>
      <c r="L571" s="124"/>
      <c r="M571" s="124"/>
    </row>
    <row r="572" spans="2:13" ht="17.25" customHeight="1">
      <c r="B572" s="15">
        <v>0</v>
      </c>
      <c r="C572" s="45"/>
      <c r="D572" s="45"/>
      <c r="E572" s="15"/>
      <c r="F572" s="45"/>
      <c r="G572" s="45"/>
      <c r="H572" s="45"/>
      <c r="I572" s="124"/>
      <c r="J572" s="124"/>
      <c r="K572" s="45"/>
      <c r="L572" s="124"/>
      <c r="M572" s="124"/>
    </row>
    <row r="573" spans="2:13" ht="17.25" customHeight="1">
      <c r="B573" s="15">
        <v>0</v>
      </c>
      <c r="C573" s="45"/>
      <c r="D573" s="45"/>
      <c r="E573" s="15"/>
      <c r="F573" s="45"/>
      <c r="G573" s="45"/>
      <c r="H573" s="45"/>
      <c r="I573" s="124"/>
      <c r="J573" s="124"/>
      <c r="K573" s="45"/>
      <c r="L573" s="124"/>
      <c r="M573" s="124"/>
    </row>
    <row r="574" spans="2:13" ht="17.25" customHeight="1">
      <c r="B574" s="15">
        <v>0</v>
      </c>
      <c r="C574" s="45"/>
      <c r="D574" s="45"/>
      <c r="E574" s="15"/>
      <c r="F574" s="45"/>
      <c r="G574" s="45"/>
      <c r="H574" s="45"/>
      <c r="I574" s="124"/>
      <c r="J574" s="124"/>
      <c r="K574" s="45"/>
      <c r="L574" s="124"/>
      <c r="M574" s="124"/>
    </row>
    <row r="575" spans="2:13" ht="17.25" customHeight="1">
      <c r="B575" s="15">
        <v>0</v>
      </c>
      <c r="C575" s="45"/>
      <c r="D575" s="45"/>
      <c r="E575" s="15"/>
      <c r="F575" s="45"/>
      <c r="G575" s="45"/>
      <c r="H575" s="45"/>
      <c r="I575" s="124"/>
      <c r="J575" s="124"/>
      <c r="K575" s="45"/>
      <c r="L575" s="124"/>
      <c r="M575" s="124"/>
    </row>
    <row r="576" spans="2:13" ht="17.25" customHeight="1">
      <c r="B576" s="15">
        <v>0</v>
      </c>
      <c r="C576" s="45"/>
      <c r="D576" s="45"/>
      <c r="E576" s="15"/>
      <c r="F576" s="45"/>
      <c r="G576" s="45"/>
      <c r="H576" s="45"/>
      <c r="I576" s="124"/>
      <c r="J576" s="124"/>
      <c r="K576" s="45"/>
      <c r="L576" s="124"/>
      <c r="M576" s="124"/>
    </row>
    <row r="577" spans="2:13" ht="17.25" customHeight="1">
      <c r="B577" s="15">
        <v>0</v>
      </c>
      <c r="C577" s="45"/>
      <c r="D577" s="45"/>
      <c r="E577" s="15"/>
      <c r="F577" s="45"/>
      <c r="G577" s="45"/>
      <c r="H577" s="45"/>
      <c r="I577" s="124"/>
      <c r="J577" s="124"/>
      <c r="K577" s="45"/>
      <c r="L577" s="124"/>
      <c r="M577" s="124"/>
    </row>
    <row r="578" spans="2:13" ht="17.25" customHeight="1">
      <c r="B578" s="15">
        <v>0</v>
      </c>
      <c r="C578" s="45"/>
      <c r="D578" s="45"/>
      <c r="E578" s="15"/>
      <c r="F578" s="45"/>
      <c r="G578" s="45"/>
      <c r="H578" s="45"/>
      <c r="I578" s="124"/>
      <c r="J578" s="124"/>
      <c r="K578" s="45"/>
      <c r="L578" s="124"/>
      <c r="M578" s="124"/>
    </row>
    <row r="579" spans="2:13" ht="17.25" customHeight="1">
      <c r="B579" s="15">
        <v>0</v>
      </c>
      <c r="C579" s="45"/>
      <c r="D579" s="45"/>
      <c r="E579" s="15"/>
      <c r="F579" s="45"/>
      <c r="G579" s="45"/>
      <c r="H579" s="45"/>
      <c r="I579" s="124"/>
      <c r="J579" s="124"/>
      <c r="K579" s="45"/>
      <c r="L579" s="124"/>
      <c r="M579" s="124"/>
    </row>
    <row r="580" spans="2:13" ht="17.25" customHeight="1">
      <c r="B580" s="15">
        <v>0</v>
      </c>
      <c r="C580" s="45"/>
      <c r="D580" s="45"/>
      <c r="E580" s="15"/>
      <c r="F580" s="45"/>
      <c r="G580" s="45"/>
      <c r="H580" s="45"/>
      <c r="I580" s="124"/>
      <c r="J580" s="124"/>
      <c r="K580" s="45"/>
      <c r="L580" s="124"/>
      <c r="M580" s="124"/>
    </row>
    <row r="581" spans="2:13" ht="17.25" customHeight="1">
      <c r="B581" s="15">
        <v>0</v>
      </c>
      <c r="C581" s="45"/>
      <c r="D581" s="45"/>
      <c r="E581" s="15"/>
      <c r="F581" s="45"/>
      <c r="G581" s="45"/>
      <c r="H581" s="45"/>
      <c r="I581" s="124"/>
      <c r="J581" s="124"/>
      <c r="K581" s="45"/>
      <c r="L581" s="124"/>
      <c r="M581" s="124"/>
    </row>
    <row r="582" spans="2:13" ht="17.25" customHeight="1">
      <c r="B582" s="15">
        <v>0</v>
      </c>
      <c r="C582" s="45"/>
      <c r="D582" s="45"/>
      <c r="E582" s="15"/>
      <c r="F582" s="45"/>
      <c r="G582" s="45"/>
      <c r="H582" s="45"/>
      <c r="I582" s="124"/>
      <c r="J582" s="124"/>
      <c r="K582" s="45"/>
      <c r="L582" s="124"/>
      <c r="M582" s="124"/>
    </row>
    <row r="583" spans="2:13" ht="17.25" customHeight="1">
      <c r="B583" s="15">
        <v>0</v>
      </c>
      <c r="C583" s="45"/>
      <c r="D583" s="45"/>
      <c r="E583" s="15"/>
      <c r="F583" s="45"/>
      <c r="G583" s="45"/>
      <c r="H583" s="45"/>
      <c r="I583" s="124"/>
      <c r="J583" s="124"/>
      <c r="K583" s="45"/>
      <c r="L583" s="124"/>
      <c r="M583" s="124"/>
    </row>
    <row r="584" spans="2:13" ht="17.25" customHeight="1">
      <c r="B584" s="15">
        <v>0</v>
      </c>
      <c r="C584" s="45"/>
      <c r="D584" s="45"/>
      <c r="E584" s="15"/>
      <c r="F584" s="45"/>
      <c r="G584" s="45"/>
      <c r="H584" s="45"/>
      <c r="I584" s="124"/>
      <c r="J584" s="124"/>
      <c r="K584" s="45"/>
      <c r="L584" s="124"/>
      <c r="M584" s="124"/>
    </row>
    <row r="585" spans="2:13" ht="17.25" customHeight="1">
      <c r="B585" s="15">
        <v>0</v>
      </c>
      <c r="C585" s="45"/>
      <c r="D585" s="45"/>
      <c r="E585" s="15"/>
      <c r="F585" s="45"/>
      <c r="G585" s="45"/>
      <c r="H585" s="45"/>
      <c r="I585" s="124"/>
      <c r="J585" s="124"/>
      <c r="K585" s="45"/>
      <c r="L585" s="124"/>
      <c r="M585" s="124"/>
    </row>
    <row r="586" spans="2:13" ht="17.25" customHeight="1">
      <c r="B586" s="15">
        <v>0</v>
      </c>
      <c r="C586" s="45"/>
      <c r="D586" s="45"/>
      <c r="E586" s="15"/>
      <c r="F586" s="45"/>
      <c r="G586" s="45"/>
      <c r="H586" s="45"/>
      <c r="I586" s="124"/>
      <c r="J586" s="124"/>
      <c r="K586" s="45"/>
      <c r="L586" s="124"/>
      <c r="M586" s="124"/>
    </row>
    <row r="587" spans="2:13" ht="17.25" customHeight="1">
      <c r="B587" s="15">
        <v>0</v>
      </c>
      <c r="C587" s="45"/>
      <c r="D587" s="45"/>
      <c r="E587" s="15"/>
      <c r="F587" s="45"/>
      <c r="G587" s="45"/>
      <c r="H587" s="45"/>
      <c r="I587" s="124"/>
      <c r="J587" s="124"/>
      <c r="K587" s="45"/>
      <c r="L587" s="124"/>
      <c r="M587" s="124"/>
    </row>
    <row r="588" spans="2:13" ht="17.25" customHeight="1">
      <c r="B588" s="15">
        <v>0</v>
      </c>
      <c r="C588" s="45"/>
      <c r="D588" s="45"/>
      <c r="E588" s="15"/>
      <c r="F588" s="45"/>
      <c r="G588" s="45"/>
      <c r="H588" s="45"/>
      <c r="I588" s="124"/>
      <c r="J588" s="124"/>
      <c r="K588" s="45"/>
      <c r="L588" s="124"/>
      <c r="M588" s="124"/>
    </row>
    <row r="589" spans="2:13" ht="17.25" customHeight="1">
      <c r="B589" s="15">
        <v>0</v>
      </c>
      <c r="C589" s="45"/>
      <c r="D589" s="45"/>
      <c r="E589" s="15"/>
      <c r="F589" s="45"/>
      <c r="G589" s="45"/>
      <c r="H589" s="45"/>
      <c r="I589" s="124"/>
      <c r="J589" s="124"/>
      <c r="K589" s="45"/>
      <c r="L589" s="124"/>
      <c r="M589" s="124"/>
    </row>
    <row r="590" spans="2:13" ht="17.25" customHeight="1">
      <c r="B590" s="15">
        <v>0</v>
      </c>
      <c r="C590" s="45"/>
      <c r="D590" s="45"/>
      <c r="E590" s="15"/>
      <c r="F590" s="45"/>
      <c r="G590" s="45"/>
      <c r="H590" s="45"/>
      <c r="I590" s="124"/>
      <c r="J590" s="124"/>
      <c r="K590" s="45"/>
      <c r="L590" s="124"/>
      <c r="M590" s="124"/>
    </row>
    <row r="591" spans="2:13" ht="17.25" customHeight="1">
      <c r="B591" s="15">
        <v>0</v>
      </c>
      <c r="C591" s="45"/>
      <c r="D591" s="45"/>
      <c r="E591" s="15"/>
      <c r="F591" s="45"/>
      <c r="G591" s="45"/>
      <c r="H591" s="45"/>
      <c r="I591" s="124"/>
      <c r="J591" s="124"/>
      <c r="K591" s="45"/>
      <c r="L591" s="124"/>
      <c r="M591" s="124"/>
    </row>
    <row r="592" spans="2:13" ht="17.25" customHeight="1">
      <c r="B592" s="15">
        <v>0</v>
      </c>
      <c r="C592" s="45"/>
      <c r="D592" s="45"/>
      <c r="E592" s="15"/>
      <c r="F592" s="45"/>
      <c r="G592" s="45"/>
      <c r="H592" s="45"/>
      <c r="I592" s="124"/>
      <c r="J592" s="124"/>
      <c r="K592" s="45"/>
      <c r="L592" s="124"/>
      <c r="M592" s="124"/>
    </row>
    <row r="593" spans="2:13" ht="17.25" customHeight="1">
      <c r="B593" s="15">
        <v>0</v>
      </c>
      <c r="C593" s="45"/>
      <c r="D593" s="45"/>
      <c r="E593" s="15"/>
      <c r="F593" s="45"/>
      <c r="G593" s="45"/>
      <c r="H593" s="45"/>
      <c r="I593" s="124"/>
      <c r="J593" s="124"/>
      <c r="K593" s="45"/>
      <c r="L593" s="124"/>
      <c r="M593" s="124"/>
    </row>
    <row r="594" spans="2:13" ht="17.25" customHeight="1">
      <c r="B594" s="15">
        <v>0</v>
      </c>
      <c r="C594" s="45"/>
      <c r="D594" s="45"/>
      <c r="E594" s="15"/>
      <c r="F594" s="45"/>
      <c r="G594" s="45"/>
      <c r="H594" s="45"/>
      <c r="I594" s="124"/>
      <c r="J594" s="124"/>
      <c r="K594" s="45"/>
      <c r="L594" s="124"/>
      <c r="M594" s="124"/>
    </row>
    <row r="595" spans="2:13" ht="17.25" customHeight="1">
      <c r="B595" s="15">
        <v>0</v>
      </c>
      <c r="C595" s="45"/>
      <c r="D595" s="45"/>
      <c r="E595" s="15"/>
      <c r="F595" s="45"/>
      <c r="G595" s="45"/>
      <c r="H595" s="45"/>
      <c r="I595" s="124"/>
      <c r="J595" s="124"/>
      <c r="K595" s="45"/>
      <c r="L595" s="124"/>
      <c r="M595" s="124"/>
    </row>
    <row r="596" spans="2:13" ht="17.25" customHeight="1">
      <c r="B596" s="15">
        <v>0</v>
      </c>
      <c r="C596" s="45"/>
      <c r="D596" s="45"/>
      <c r="E596" s="15"/>
      <c r="F596" s="45"/>
      <c r="G596" s="45"/>
      <c r="H596" s="45"/>
      <c r="I596" s="124"/>
      <c r="J596" s="124"/>
      <c r="K596" s="45"/>
      <c r="L596" s="124"/>
      <c r="M596" s="124"/>
    </row>
    <row r="597" spans="2:13" ht="17.25" customHeight="1">
      <c r="B597" s="15">
        <v>0</v>
      </c>
      <c r="C597" s="45"/>
      <c r="D597" s="45"/>
      <c r="E597" s="15"/>
      <c r="F597" s="45"/>
      <c r="G597" s="45"/>
      <c r="H597" s="45"/>
      <c r="I597" s="124"/>
      <c r="J597" s="124"/>
      <c r="K597" s="45"/>
      <c r="L597" s="124"/>
      <c r="M597" s="124"/>
    </row>
    <row r="598" spans="2:13" ht="17.25" customHeight="1">
      <c r="B598" s="15">
        <v>0</v>
      </c>
      <c r="C598" s="45"/>
      <c r="D598" s="45"/>
      <c r="E598" s="15"/>
      <c r="F598" s="45"/>
      <c r="G598" s="45"/>
      <c r="H598" s="45"/>
      <c r="I598" s="124"/>
      <c r="J598" s="124"/>
      <c r="K598" s="45"/>
      <c r="L598" s="124"/>
      <c r="M598" s="124"/>
    </row>
    <row r="599" spans="2:13" ht="17.25" customHeight="1">
      <c r="B599" s="15">
        <v>0</v>
      </c>
      <c r="C599" s="45"/>
      <c r="D599" s="45"/>
      <c r="E599" s="15"/>
      <c r="F599" s="45"/>
      <c r="G599" s="45"/>
      <c r="H599" s="45"/>
      <c r="I599" s="124"/>
      <c r="J599" s="124"/>
      <c r="K599" s="45"/>
      <c r="L599" s="124"/>
      <c r="M599" s="124"/>
    </row>
    <row r="600" spans="2:13" ht="17.25" customHeight="1">
      <c r="B600" s="15">
        <v>0</v>
      </c>
      <c r="C600" s="45"/>
      <c r="D600" s="45"/>
      <c r="E600" s="15"/>
      <c r="F600" s="45"/>
      <c r="G600" s="45"/>
      <c r="H600" s="45"/>
      <c r="I600" s="124"/>
      <c r="J600" s="124"/>
      <c r="K600" s="45"/>
      <c r="L600" s="124"/>
      <c r="M600" s="124"/>
    </row>
    <row r="601" spans="2:13" ht="17.25" customHeight="1">
      <c r="B601" s="15">
        <v>0</v>
      </c>
      <c r="C601" s="45"/>
      <c r="D601" s="45"/>
      <c r="E601" s="15"/>
      <c r="F601" s="45"/>
      <c r="G601" s="45"/>
      <c r="H601" s="45"/>
      <c r="I601" s="124"/>
      <c r="J601" s="124"/>
      <c r="K601" s="45"/>
      <c r="L601" s="124"/>
      <c r="M601" s="124"/>
    </row>
    <row r="602" spans="2:13" ht="17.25" customHeight="1">
      <c r="B602" s="15">
        <v>0</v>
      </c>
      <c r="C602" s="45"/>
      <c r="D602" s="45"/>
      <c r="E602" s="15"/>
      <c r="F602" s="45"/>
      <c r="G602" s="45"/>
      <c r="H602" s="45"/>
      <c r="I602" s="124"/>
      <c r="J602" s="124"/>
      <c r="K602" s="45"/>
      <c r="L602" s="124"/>
      <c r="M602" s="124"/>
    </row>
    <row r="603" spans="2:13" ht="17.25" customHeight="1">
      <c r="B603" s="15">
        <v>0</v>
      </c>
      <c r="C603" s="45"/>
      <c r="D603" s="45"/>
      <c r="E603" s="15"/>
      <c r="F603" s="45"/>
      <c r="G603" s="45"/>
      <c r="H603" s="45"/>
      <c r="I603" s="124"/>
      <c r="J603" s="124"/>
      <c r="K603" s="45"/>
      <c r="L603" s="124"/>
      <c r="M603" s="124"/>
    </row>
    <row r="604" spans="2:13" ht="17.25" customHeight="1">
      <c r="B604" s="15">
        <v>0</v>
      </c>
      <c r="C604" s="45"/>
      <c r="D604" s="45"/>
      <c r="E604" s="15"/>
      <c r="F604" s="45"/>
      <c r="G604" s="45"/>
      <c r="H604" s="45"/>
      <c r="I604" s="124"/>
      <c r="J604" s="124"/>
      <c r="K604" s="45"/>
      <c r="L604" s="124"/>
      <c r="M604" s="124"/>
    </row>
    <row r="605" spans="2:13" ht="17.25" customHeight="1">
      <c r="B605" s="15">
        <v>0</v>
      </c>
      <c r="C605" s="45"/>
      <c r="D605" s="45"/>
      <c r="E605" s="15"/>
      <c r="F605" s="45"/>
      <c r="G605" s="45"/>
      <c r="H605" s="45"/>
      <c r="I605" s="124"/>
      <c r="J605" s="124"/>
      <c r="K605" s="45"/>
      <c r="L605" s="124"/>
      <c r="M605" s="124"/>
    </row>
    <row r="606" spans="2:13" ht="17.25" customHeight="1">
      <c r="B606" s="15">
        <v>0</v>
      </c>
      <c r="C606" s="45"/>
      <c r="D606" s="45"/>
      <c r="E606" s="15"/>
      <c r="F606" s="45"/>
      <c r="G606" s="45"/>
      <c r="H606" s="45"/>
      <c r="I606" s="124"/>
      <c r="J606" s="124"/>
      <c r="K606" s="45"/>
      <c r="L606" s="124"/>
      <c r="M606" s="124"/>
    </row>
    <row r="607" spans="2:13" ht="17.25" customHeight="1">
      <c r="B607" s="15">
        <v>0</v>
      </c>
      <c r="C607" s="45"/>
      <c r="D607" s="45"/>
      <c r="E607" s="15"/>
      <c r="F607" s="45"/>
      <c r="G607" s="45"/>
      <c r="H607" s="45"/>
      <c r="I607" s="124"/>
      <c r="J607" s="124"/>
      <c r="K607" s="45"/>
      <c r="L607" s="124"/>
      <c r="M607" s="124"/>
    </row>
    <row r="608" spans="2:13" ht="17.25" customHeight="1">
      <c r="B608" s="15">
        <v>0</v>
      </c>
      <c r="C608" s="45"/>
      <c r="D608" s="45"/>
      <c r="E608" s="15"/>
      <c r="F608" s="45"/>
      <c r="G608" s="45"/>
      <c r="H608" s="45"/>
      <c r="I608" s="124"/>
      <c r="J608" s="124"/>
      <c r="K608" s="45"/>
      <c r="L608" s="124"/>
      <c r="M608" s="124"/>
    </row>
    <row r="609" spans="2:13" ht="17.25" customHeight="1">
      <c r="B609" s="15">
        <v>0</v>
      </c>
      <c r="C609" s="45"/>
      <c r="D609" s="45"/>
      <c r="E609" s="15"/>
      <c r="F609" s="45"/>
      <c r="G609" s="45"/>
      <c r="H609" s="45"/>
      <c r="I609" s="124"/>
      <c r="J609" s="124"/>
      <c r="K609" s="45"/>
      <c r="L609" s="124"/>
      <c r="M609" s="124"/>
    </row>
    <row r="610" spans="2:13" ht="17.25" customHeight="1">
      <c r="B610" s="15">
        <v>0</v>
      </c>
      <c r="C610" s="45"/>
      <c r="D610" s="45"/>
      <c r="E610" s="15"/>
      <c r="F610" s="45"/>
      <c r="G610" s="45"/>
      <c r="H610" s="45"/>
      <c r="I610" s="124"/>
      <c r="J610" s="124"/>
      <c r="K610" s="45"/>
      <c r="L610" s="124"/>
      <c r="M610" s="124"/>
    </row>
    <row r="611" spans="2:13" ht="17.25" customHeight="1">
      <c r="B611" s="15">
        <v>0</v>
      </c>
      <c r="C611" s="45"/>
      <c r="D611" s="45"/>
      <c r="E611" s="15"/>
      <c r="F611" s="45"/>
      <c r="G611" s="45"/>
      <c r="H611" s="45"/>
      <c r="I611" s="124"/>
      <c r="J611" s="124"/>
      <c r="K611" s="45"/>
      <c r="L611" s="124"/>
      <c r="M611" s="124"/>
    </row>
    <row r="612" spans="2:13" ht="17.25" customHeight="1">
      <c r="B612" s="15">
        <v>0</v>
      </c>
      <c r="C612" s="45"/>
      <c r="D612" s="45"/>
      <c r="E612" s="15"/>
      <c r="F612" s="45"/>
      <c r="G612" s="45"/>
      <c r="H612" s="45"/>
      <c r="I612" s="124"/>
      <c r="J612" s="124"/>
      <c r="K612" s="45"/>
      <c r="L612" s="124"/>
      <c r="M612" s="124"/>
    </row>
    <row r="613" spans="2:13" ht="17.25" customHeight="1">
      <c r="B613" s="15">
        <v>0</v>
      </c>
      <c r="C613" s="45"/>
      <c r="D613" s="45"/>
      <c r="E613" s="15"/>
      <c r="F613" s="45"/>
      <c r="G613" s="45"/>
      <c r="H613" s="45"/>
      <c r="I613" s="124"/>
      <c r="J613" s="124"/>
      <c r="K613" s="45"/>
      <c r="L613" s="124"/>
      <c r="M613" s="124"/>
    </row>
    <row r="614" spans="2:13" ht="17.25" customHeight="1">
      <c r="B614" s="15">
        <v>0</v>
      </c>
      <c r="C614" s="45"/>
      <c r="D614" s="45"/>
      <c r="E614" s="15"/>
      <c r="F614" s="45"/>
      <c r="G614" s="45"/>
      <c r="H614" s="45"/>
      <c r="I614" s="124"/>
      <c r="J614" s="124"/>
      <c r="K614" s="45"/>
      <c r="L614" s="124"/>
      <c r="M614" s="124"/>
    </row>
    <row r="615" spans="2:13" ht="17.25" customHeight="1">
      <c r="B615" s="15">
        <v>0</v>
      </c>
      <c r="C615" s="45"/>
      <c r="D615" s="45"/>
      <c r="E615" s="15"/>
      <c r="F615" s="45"/>
      <c r="G615" s="45"/>
      <c r="H615" s="45"/>
      <c r="I615" s="124"/>
      <c r="J615" s="124"/>
      <c r="K615" s="45"/>
      <c r="L615" s="124"/>
      <c r="M615" s="124"/>
    </row>
    <row r="616" spans="2:13" ht="17.25" customHeight="1">
      <c r="B616" s="15">
        <v>0</v>
      </c>
      <c r="C616" s="45"/>
      <c r="D616" s="45"/>
      <c r="E616" s="15"/>
      <c r="F616" s="45"/>
      <c r="G616" s="45"/>
      <c r="H616" s="45"/>
      <c r="I616" s="124"/>
      <c r="J616" s="124"/>
      <c r="K616" s="45"/>
      <c r="L616" s="124"/>
      <c r="M616" s="124"/>
    </row>
    <row r="617" spans="2:13" ht="17.25" customHeight="1">
      <c r="B617" s="15">
        <v>0</v>
      </c>
      <c r="C617" s="45"/>
      <c r="D617" s="45"/>
      <c r="E617" s="15"/>
      <c r="F617" s="45"/>
      <c r="G617" s="45"/>
      <c r="H617" s="45"/>
      <c r="I617" s="124"/>
      <c r="J617" s="124"/>
      <c r="K617" s="45"/>
      <c r="L617" s="124"/>
      <c r="M617" s="124"/>
    </row>
    <row r="618" spans="2:13" ht="17.25" customHeight="1">
      <c r="B618" s="15">
        <v>0</v>
      </c>
      <c r="C618" s="45"/>
      <c r="D618" s="45"/>
      <c r="E618" s="15"/>
      <c r="F618" s="45"/>
      <c r="G618" s="45"/>
      <c r="H618" s="45"/>
      <c r="I618" s="124"/>
      <c r="J618" s="124"/>
      <c r="K618" s="45"/>
      <c r="L618" s="124"/>
      <c r="M618" s="124"/>
    </row>
    <row r="619" spans="2:13" ht="17.25" customHeight="1">
      <c r="B619" s="15">
        <v>0</v>
      </c>
      <c r="C619" s="45"/>
      <c r="D619" s="45"/>
      <c r="E619" s="15"/>
      <c r="F619" s="45"/>
      <c r="G619" s="45"/>
      <c r="H619" s="45"/>
      <c r="I619" s="124"/>
      <c r="J619" s="124"/>
      <c r="K619" s="45"/>
      <c r="L619" s="124"/>
      <c r="M619" s="124"/>
    </row>
    <row r="620" spans="2:13" ht="17.25" customHeight="1">
      <c r="B620" s="15">
        <v>0</v>
      </c>
      <c r="C620" s="45"/>
      <c r="D620" s="45"/>
      <c r="E620" s="15"/>
      <c r="F620" s="45"/>
      <c r="G620" s="45"/>
      <c r="H620" s="45"/>
      <c r="I620" s="124"/>
      <c r="J620" s="124"/>
      <c r="K620" s="45"/>
      <c r="L620" s="124"/>
      <c r="M620" s="124"/>
    </row>
    <row r="621" spans="2:13" ht="17.25" customHeight="1">
      <c r="B621" s="15">
        <v>0</v>
      </c>
      <c r="C621" s="45"/>
      <c r="D621" s="45"/>
      <c r="E621" s="15"/>
      <c r="F621" s="45"/>
      <c r="G621" s="45"/>
      <c r="H621" s="45"/>
      <c r="I621" s="124"/>
      <c r="J621" s="124"/>
      <c r="K621" s="45"/>
      <c r="L621" s="124"/>
      <c r="M621" s="124"/>
    </row>
    <row r="622" spans="2:13" ht="17.25" customHeight="1">
      <c r="B622" s="15">
        <v>0</v>
      </c>
      <c r="C622" s="45"/>
      <c r="D622" s="45"/>
      <c r="E622" s="15"/>
      <c r="F622" s="45"/>
      <c r="G622" s="45"/>
      <c r="H622" s="45"/>
      <c r="I622" s="124"/>
      <c r="J622" s="124"/>
      <c r="K622" s="45"/>
      <c r="L622" s="124"/>
      <c r="M622" s="124"/>
    </row>
    <row r="623" spans="2:13" ht="17.25" customHeight="1">
      <c r="B623" s="15">
        <v>0</v>
      </c>
      <c r="C623" s="45"/>
      <c r="D623" s="45"/>
      <c r="E623" s="15"/>
      <c r="F623" s="45"/>
      <c r="G623" s="45"/>
      <c r="H623" s="45"/>
      <c r="I623" s="124"/>
      <c r="J623" s="124"/>
      <c r="K623" s="45"/>
      <c r="L623" s="124"/>
      <c r="M623" s="124"/>
    </row>
    <row r="624" spans="2:13" ht="17.25" customHeight="1">
      <c r="B624" s="15">
        <v>0</v>
      </c>
      <c r="C624" s="45"/>
      <c r="D624" s="45"/>
      <c r="E624" s="15"/>
      <c r="F624" s="45"/>
      <c r="G624" s="45"/>
      <c r="H624" s="45"/>
      <c r="I624" s="124"/>
      <c r="J624" s="124"/>
      <c r="K624" s="45"/>
      <c r="L624" s="124"/>
      <c r="M624" s="124"/>
    </row>
    <row r="625" spans="2:13" ht="17.25" customHeight="1">
      <c r="B625" s="15">
        <v>0</v>
      </c>
      <c r="C625" s="45"/>
      <c r="D625" s="45"/>
      <c r="E625" s="15"/>
      <c r="F625" s="45"/>
      <c r="G625" s="45"/>
      <c r="H625" s="45"/>
      <c r="I625" s="124"/>
      <c r="J625" s="124"/>
      <c r="K625" s="45"/>
      <c r="L625" s="124"/>
      <c r="M625" s="124"/>
    </row>
    <row r="626" spans="2:13" ht="17.25" customHeight="1">
      <c r="B626" s="15">
        <v>0</v>
      </c>
      <c r="C626" s="45"/>
      <c r="D626" s="45"/>
      <c r="E626" s="15"/>
      <c r="F626" s="45"/>
      <c r="G626" s="45"/>
      <c r="H626" s="45"/>
      <c r="I626" s="124"/>
      <c r="J626" s="124"/>
      <c r="K626" s="45"/>
      <c r="L626" s="124"/>
      <c r="M626" s="124"/>
    </row>
    <row r="627" spans="2:13" ht="17.25" customHeight="1">
      <c r="B627" s="15">
        <v>0</v>
      </c>
      <c r="C627" s="45"/>
      <c r="D627" s="45"/>
      <c r="E627" s="15"/>
      <c r="F627" s="45"/>
      <c r="G627" s="45"/>
      <c r="H627" s="45"/>
      <c r="I627" s="124"/>
      <c r="J627" s="124"/>
      <c r="K627" s="45"/>
      <c r="L627" s="124"/>
      <c r="M627" s="124"/>
    </row>
    <row r="628" spans="2:13" ht="17.25" customHeight="1">
      <c r="B628" s="15"/>
      <c r="C628" s="45"/>
      <c r="D628" s="45"/>
      <c r="E628" s="45"/>
      <c r="F628" s="45"/>
      <c r="G628" s="45"/>
      <c r="H628" s="45"/>
      <c r="I628" s="124"/>
      <c r="J628" s="124"/>
      <c r="K628" s="45"/>
      <c r="L628" s="124"/>
      <c r="M628" s="124"/>
    </row>
    <row r="629" spans="2:13" ht="17.25" customHeight="1">
      <c r="B629" s="15"/>
      <c r="C629" s="45"/>
      <c r="D629" s="45"/>
      <c r="E629" s="45"/>
      <c r="F629" s="45"/>
      <c r="G629" s="45"/>
      <c r="H629" s="45"/>
      <c r="I629" s="124"/>
      <c r="J629" s="124"/>
      <c r="K629" s="45"/>
      <c r="L629" s="124"/>
      <c r="M629" s="124"/>
    </row>
    <row r="630" spans="2:13" ht="17.25" customHeight="1">
      <c r="B630" s="15"/>
      <c r="C630" s="45"/>
      <c r="D630" s="45"/>
      <c r="E630" s="45"/>
      <c r="F630" s="45"/>
      <c r="G630" s="45"/>
      <c r="H630" s="45"/>
      <c r="I630" s="124"/>
      <c r="J630" s="124"/>
      <c r="K630" s="45"/>
      <c r="L630" s="124"/>
      <c r="M630" s="124"/>
    </row>
    <row r="631" spans="2:13" ht="17.25" customHeight="1">
      <c r="B631" s="15"/>
      <c r="C631" s="45"/>
      <c r="D631" s="45"/>
      <c r="E631" s="45"/>
      <c r="F631" s="45"/>
      <c r="G631" s="45"/>
      <c r="H631" s="45"/>
      <c r="I631" s="124"/>
      <c r="J631" s="124"/>
      <c r="K631" s="45"/>
      <c r="L631" s="124"/>
      <c r="M631" s="124"/>
    </row>
    <row r="632" spans="2:13" ht="17.25" customHeight="1">
      <c r="B632" s="15"/>
      <c r="C632" s="45"/>
      <c r="D632" s="45"/>
      <c r="E632" s="45"/>
      <c r="F632" s="45"/>
      <c r="G632" s="45"/>
      <c r="H632" s="45"/>
      <c r="I632" s="124"/>
      <c r="J632" s="124"/>
      <c r="K632" s="45"/>
      <c r="L632" s="124"/>
      <c r="M632" s="124"/>
    </row>
    <row r="633" spans="2:13" ht="17.25" customHeight="1">
      <c r="B633" s="15"/>
      <c r="C633" s="45"/>
      <c r="D633" s="45"/>
      <c r="E633" s="45"/>
      <c r="F633" s="45"/>
      <c r="G633" s="45"/>
      <c r="H633" s="45"/>
      <c r="I633" s="124"/>
      <c r="J633" s="124"/>
      <c r="K633" s="45"/>
      <c r="L633" s="124"/>
      <c r="M633" s="124"/>
    </row>
    <row r="634" spans="2:13" ht="17.25" customHeight="1">
      <c r="B634" s="15"/>
      <c r="C634" s="45"/>
      <c r="D634" s="45"/>
      <c r="E634" s="45"/>
      <c r="F634" s="45"/>
      <c r="G634" s="45"/>
      <c r="H634" s="45"/>
      <c r="I634" s="124"/>
      <c r="J634" s="124"/>
      <c r="K634" s="45"/>
      <c r="L634" s="124"/>
      <c r="M634" s="124"/>
    </row>
    <row r="635" spans="2:13" ht="17.25" customHeight="1">
      <c r="B635" s="15"/>
      <c r="C635" s="45"/>
      <c r="D635" s="45"/>
      <c r="E635" s="45"/>
      <c r="F635" s="45"/>
      <c r="G635" s="45"/>
      <c r="H635" s="45"/>
      <c r="I635" s="124"/>
      <c r="J635" s="124"/>
      <c r="K635" s="45"/>
      <c r="L635" s="124"/>
      <c r="M635" s="124"/>
    </row>
    <row r="636" spans="2:13" ht="17.25" customHeight="1">
      <c r="B636" s="15"/>
      <c r="C636" s="45"/>
      <c r="D636" s="45"/>
      <c r="E636" s="45"/>
      <c r="F636" s="45"/>
      <c r="G636" s="45"/>
      <c r="H636" s="45"/>
      <c r="I636" s="124"/>
      <c r="J636" s="124"/>
      <c r="K636" s="45"/>
      <c r="L636" s="124"/>
      <c r="M636" s="124"/>
    </row>
    <row r="637" spans="2:13" ht="17.25" customHeight="1">
      <c r="B637" s="15"/>
      <c r="C637" s="45"/>
      <c r="D637" s="45"/>
      <c r="E637" s="45"/>
      <c r="F637" s="45"/>
      <c r="G637" s="45"/>
      <c r="H637" s="45"/>
      <c r="I637" s="124"/>
      <c r="J637" s="124"/>
      <c r="K637" s="45"/>
      <c r="L637" s="124"/>
      <c r="M637" s="124"/>
    </row>
    <row r="638" spans="2:13" ht="17.25" customHeight="1">
      <c r="B638" s="15"/>
      <c r="C638" s="45"/>
      <c r="D638" s="45"/>
      <c r="E638" s="45"/>
      <c r="F638" s="45"/>
      <c r="G638" s="45"/>
      <c r="H638" s="45"/>
      <c r="I638" s="124"/>
      <c r="J638" s="124"/>
      <c r="K638" s="45"/>
      <c r="L638" s="124"/>
      <c r="M638" s="124"/>
    </row>
    <row r="639" spans="2:13" ht="17.25" customHeight="1">
      <c r="B639" s="15"/>
      <c r="C639" s="45"/>
      <c r="D639" s="45"/>
      <c r="E639" s="45"/>
      <c r="F639" s="45"/>
      <c r="G639" s="45"/>
      <c r="H639" s="45"/>
      <c r="I639" s="124"/>
      <c r="J639" s="124"/>
      <c r="K639" s="45"/>
      <c r="L639" s="124"/>
      <c r="M639" s="124"/>
    </row>
    <row r="640" spans="2:13" ht="17.25" customHeight="1">
      <c r="B640" s="15"/>
      <c r="C640" s="45"/>
      <c r="D640" s="45"/>
      <c r="E640" s="45"/>
      <c r="F640" s="45"/>
      <c r="G640" s="45"/>
      <c r="H640" s="45"/>
      <c r="I640" s="124"/>
      <c r="J640" s="124"/>
      <c r="K640" s="45"/>
      <c r="L640" s="124"/>
      <c r="M640" s="124"/>
    </row>
    <row r="641" spans="2:13" ht="17.25" customHeight="1">
      <c r="B641" s="15"/>
      <c r="C641" s="45"/>
      <c r="D641" s="45"/>
      <c r="E641" s="45"/>
      <c r="F641" s="45"/>
      <c r="G641" s="45"/>
      <c r="H641" s="45"/>
      <c r="I641" s="124"/>
      <c r="J641" s="124"/>
      <c r="K641" s="45"/>
      <c r="L641" s="124"/>
      <c r="M641" s="124"/>
    </row>
    <row r="642" spans="2:13" ht="17.25" customHeight="1">
      <c r="B642" s="15"/>
      <c r="C642" s="45"/>
      <c r="D642" s="45"/>
      <c r="E642" s="45"/>
      <c r="F642" s="45"/>
      <c r="G642" s="45"/>
      <c r="H642" s="45"/>
      <c r="I642" s="124"/>
      <c r="J642" s="124"/>
      <c r="K642" s="45"/>
      <c r="L642" s="124"/>
      <c r="M642" s="124"/>
    </row>
    <row r="643" spans="2:13" ht="17.25" customHeight="1">
      <c r="B643" s="15"/>
      <c r="C643" s="45"/>
      <c r="D643" s="45"/>
      <c r="E643" s="45"/>
      <c r="F643" s="45"/>
      <c r="G643" s="45"/>
      <c r="H643" s="45"/>
      <c r="I643" s="124"/>
      <c r="J643" s="124"/>
      <c r="K643" s="45"/>
      <c r="L643" s="124"/>
      <c r="M643" s="124"/>
    </row>
    <row r="644" spans="2:13" ht="17.25" customHeight="1">
      <c r="B644" s="15"/>
      <c r="C644" s="45"/>
      <c r="D644" s="45"/>
      <c r="E644" s="45"/>
      <c r="F644" s="45"/>
      <c r="G644" s="45"/>
      <c r="H644" s="45"/>
      <c r="I644" s="124"/>
      <c r="J644" s="124"/>
      <c r="K644" s="45"/>
      <c r="L644" s="124"/>
      <c r="M644" s="124"/>
    </row>
    <row r="645" spans="2:13" ht="17.25" customHeight="1">
      <c r="B645" s="15"/>
      <c r="C645" s="45"/>
      <c r="D645" s="45"/>
      <c r="E645" s="45"/>
      <c r="F645" s="45"/>
      <c r="G645" s="45"/>
      <c r="H645" s="45"/>
      <c r="I645" s="124"/>
      <c r="J645" s="124"/>
      <c r="K645" s="45"/>
      <c r="L645" s="124"/>
      <c r="M645" s="124"/>
    </row>
    <row r="646" spans="2:13" ht="17.25" customHeight="1">
      <c r="B646" s="15"/>
      <c r="C646" s="45"/>
      <c r="D646" s="45"/>
      <c r="E646" s="45"/>
      <c r="F646" s="45"/>
      <c r="G646" s="45"/>
      <c r="H646" s="45"/>
      <c r="I646" s="124"/>
      <c r="J646" s="124"/>
      <c r="K646" s="45"/>
      <c r="L646" s="124"/>
      <c r="M646" s="124"/>
    </row>
    <row r="647" spans="2:13" ht="17.25" customHeight="1">
      <c r="B647" s="15"/>
      <c r="C647" s="45"/>
      <c r="D647" s="45"/>
      <c r="E647" s="45"/>
      <c r="F647" s="45"/>
      <c r="G647" s="45"/>
      <c r="H647" s="45"/>
      <c r="I647" s="124"/>
      <c r="J647" s="124"/>
      <c r="K647" s="45"/>
      <c r="L647" s="124"/>
      <c r="M647" s="124"/>
    </row>
    <row r="648" spans="2:13" ht="17.25" customHeight="1">
      <c r="B648" s="15"/>
      <c r="C648" s="45"/>
      <c r="D648" s="45"/>
      <c r="E648" s="45"/>
      <c r="F648" s="45"/>
      <c r="G648" s="45"/>
      <c r="H648" s="45"/>
      <c r="I648" s="124"/>
      <c r="J648" s="124"/>
      <c r="K648" s="45"/>
      <c r="L648" s="124"/>
      <c r="M648" s="124"/>
    </row>
    <row r="649" spans="2:13" ht="17.25" customHeight="1">
      <c r="B649" s="15"/>
      <c r="C649" s="45"/>
      <c r="D649" s="45"/>
      <c r="E649" s="45"/>
      <c r="F649" s="45"/>
      <c r="G649" s="45"/>
      <c r="H649" s="45"/>
      <c r="I649" s="124"/>
      <c r="J649" s="124"/>
      <c r="K649" s="45"/>
      <c r="L649" s="124"/>
      <c r="M649" s="124"/>
    </row>
    <row r="650" spans="2:13" ht="17.25" customHeight="1">
      <c r="B650" s="15"/>
      <c r="C650" s="45"/>
      <c r="D650" s="45"/>
      <c r="E650" s="45"/>
      <c r="F650" s="45"/>
      <c r="G650" s="45"/>
      <c r="H650" s="45"/>
      <c r="I650" s="124"/>
      <c r="J650" s="124"/>
      <c r="K650" s="45"/>
      <c r="L650" s="124"/>
      <c r="M650" s="124"/>
    </row>
    <row r="651" spans="2:13" ht="17.25" customHeight="1">
      <c r="B651" s="15"/>
      <c r="C651" s="45"/>
      <c r="D651" s="45"/>
      <c r="E651" s="45"/>
      <c r="F651" s="45"/>
      <c r="G651" s="45"/>
      <c r="H651" s="45"/>
      <c r="I651" s="124"/>
      <c r="J651" s="124"/>
      <c r="K651" s="45"/>
      <c r="L651" s="124"/>
      <c r="M651" s="124"/>
    </row>
    <row r="652" spans="2:13" ht="17.25" customHeight="1">
      <c r="B652" s="15"/>
      <c r="C652" s="45"/>
      <c r="D652" s="45"/>
      <c r="E652" s="45"/>
      <c r="F652" s="45"/>
      <c r="G652" s="45"/>
      <c r="H652" s="45"/>
      <c r="I652" s="124"/>
      <c r="J652" s="124"/>
      <c r="K652" s="45"/>
      <c r="L652" s="124"/>
      <c r="M652" s="124"/>
    </row>
    <row r="653" spans="2:13" ht="17.25" customHeight="1">
      <c r="B653" s="15"/>
      <c r="C653" s="45"/>
      <c r="D653" s="45"/>
      <c r="E653" s="45"/>
      <c r="F653" s="45"/>
      <c r="G653" s="45"/>
      <c r="H653" s="45"/>
      <c r="I653" s="124"/>
      <c r="J653" s="124"/>
      <c r="K653" s="45"/>
      <c r="L653" s="124"/>
      <c r="M653" s="124"/>
    </row>
    <row r="654" spans="2:13" ht="17.25" customHeight="1">
      <c r="B654" s="15"/>
      <c r="C654" s="45"/>
      <c r="D654" s="45"/>
      <c r="E654" s="45"/>
      <c r="F654" s="45"/>
      <c r="G654" s="45"/>
      <c r="H654" s="45"/>
      <c r="I654" s="124"/>
      <c r="J654" s="124"/>
      <c r="K654" s="45"/>
      <c r="L654" s="124"/>
      <c r="M654" s="124"/>
    </row>
    <row r="655" spans="2:13" ht="17.25" customHeight="1">
      <c r="B655" s="15"/>
      <c r="C655" s="45"/>
      <c r="D655" s="45"/>
      <c r="E655" s="45"/>
      <c r="F655" s="45"/>
      <c r="G655" s="45"/>
      <c r="H655" s="45"/>
      <c r="I655" s="124"/>
      <c r="J655" s="124"/>
      <c r="K655" s="45"/>
      <c r="L655" s="124"/>
      <c r="M655" s="124"/>
    </row>
    <row r="656" spans="2:13" ht="17.25" customHeight="1">
      <c r="B656" s="15"/>
      <c r="C656" s="45"/>
      <c r="D656" s="45"/>
      <c r="E656" s="45"/>
      <c r="F656" s="45"/>
      <c r="G656" s="45"/>
      <c r="H656" s="45"/>
      <c r="I656" s="124"/>
      <c r="J656" s="124"/>
      <c r="K656" s="45"/>
      <c r="L656" s="124"/>
      <c r="M656" s="124"/>
    </row>
    <row r="657" spans="2:13" ht="17.25" customHeight="1">
      <c r="B657" s="15"/>
      <c r="C657" s="45"/>
      <c r="D657" s="45"/>
      <c r="E657" s="45"/>
      <c r="F657" s="45"/>
      <c r="G657" s="45"/>
      <c r="H657" s="45"/>
      <c r="I657" s="124"/>
      <c r="J657" s="124"/>
      <c r="K657" s="45"/>
      <c r="L657" s="124"/>
      <c r="M657" s="124"/>
    </row>
    <row r="658" spans="2:13" ht="17.25" customHeight="1">
      <c r="B658" s="15"/>
      <c r="C658" s="45"/>
      <c r="D658" s="45"/>
      <c r="E658" s="45"/>
      <c r="F658" s="45"/>
      <c r="G658" s="45"/>
      <c r="H658" s="45"/>
      <c r="I658" s="124"/>
      <c r="J658" s="124"/>
      <c r="K658" s="45"/>
      <c r="L658" s="124"/>
      <c r="M658" s="124"/>
    </row>
    <row r="659" spans="2:13" ht="17.25" customHeight="1">
      <c r="B659" s="15"/>
      <c r="C659" s="45"/>
      <c r="D659" s="45"/>
      <c r="E659" s="45"/>
      <c r="F659" s="45"/>
      <c r="G659" s="45"/>
      <c r="H659" s="45"/>
      <c r="I659" s="124"/>
      <c r="J659" s="124"/>
      <c r="K659" s="45"/>
      <c r="L659" s="124"/>
      <c r="M659" s="124"/>
    </row>
    <row r="660" spans="2:13" ht="17.25" customHeight="1">
      <c r="B660" s="15"/>
      <c r="C660" s="45"/>
      <c r="D660" s="45"/>
      <c r="E660" s="45"/>
      <c r="F660" s="45"/>
      <c r="G660" s="45"/>
      <c r="H660" s="45"/>
      <c r="I660" s="124"/>
      <c r="J660" s="124"/>
      <c r="K660" s="45"/>
      <c r="L660" s="124"/>
      <c r="M660" s="124"/>
    </row>
    <row r="661" spans="2:13" ht="17.25" customHeight="1">
      <c r="B661" s="15"/>
      <c r="C661" s="45"/>
      <c r="D661" s="45"/>
      <c r="E661" s="45"/>
      <c r="F661" s="45"/>
      <c r="G661" s="45"/>
      <c r="H661" s="45"/>
      <c r="I661" s="124"/>
      <c r="J661" s="124"/>
      <c r="K661" s="45"/>
      <c r="L661" s="124"/>
      <c r="M661" s="124"/>
    </row>
    <row r="662" spans="2:13" ht="17.25" customHeight="1">
      <c r="B662" s="15"/>
      <c r="C662" s="45"/>
      <c r="D662" s="45"/>
      <c r="E662" s="45"/>
      <c r="F662" s="45"/>
      <c r="G662" s="45"/>
      <c r="H662" s="45"/>
      <c r="I662" s="124"/>
      <c r="J662" s="124"/>
      <c r="K662" s="45"/>
      <c r="L662" s="124"/>
      <c r="M662" s="124"/>
    </row>
    <row r="663" spans="2:13" ht="17.25" customHeight="1">
      <c r="B663" s="15"/>
      <c r="C663" s="45"/>
      <c r="D663" s="45"/>
      <c r="E663" s="45"/>
      <c r="F663" s="45"/>
      <c r="G663" s="45"/>
      <c r="H663" s="45"/>
      <c r="I663" s="124"/>
      <c r="J663" s="124"/>
      <c r="K663" s="45"/>
      <c r="L663" s="124"/>
      <c r="M663" s="124"/>
    </row>
    <row r="664" spans="2:13" ht="17.25" customHeight="1">
      <c r="B664" s="15"/>
      <c r="C664" s="45"/>
      <c r="D664" s="45"/>
      <c r="E664" s="45"/>
      <c r="F664" s="45"/>
      <c r="G664" s="45"/>
      <c r="H664" s="45"/>
      <c r="I664" s="124"/>
      <c r="J664" s="124"/>
      <c r="K664" s="45"/>
      <c r="L664" s="124"/>
      <c r="M664" s="124"/>
    </row>
    <row r="665" spans="2:13" ht="17.25" customHeight="1">
      <c r="B665" s="15"/>
      <c r="C665" s="45"/>
      <c r="D665" s="45"/>
      <c r="E665" s="45"/>
      <c r="F665" s="45"/>
      <c r="G665" s="45"/>
      <c r="H665" s="45"/>
      <c r="I665" s="124"/>
      <c r="J665" s="124"/>
      <c r="K665" s="45"/>
      <c r="L665" s="124"/>
      <c r="M665" s="124"/>
    </row>
    <row r="666" spans="2:13" ht="17.25" customHeight="1">
      <c r="B666" s="15"/>
      <c r="C666" s="45"/>
      <c r="D666" s="45"/>
      <c r="E666" s="45"/>
      <c r="F666" s="45"/>
      <c r="G666" s="45"/>
      <c r="H666" s="45"/>
      <c r="I666" s="124"/>
      <c r="J666" s="124"/>
      <c r="K666" s="45"/>
      <c r="L666" s="124"/>
      <c r="M666" s="124"/>
    </row>
    <row r="667" spans="2:13" ht="17.25" customHeight="1">
      <c r="B667" s="15"/>
      <c r="C667" s="45"/>
      <c r="D667" s="45"/>
      <c r="E667" s="45"/>
      <c r="F667" s="45"/>
      <c r="G667" s="45"/>
      <c r="H667" s="45"/>
      <c r="I667" s="124"/>
      <c r="J667" s="124"/>
      <c r="K667" s="45"/>
      <c r="L667" s="124"/>
      <c r="M667" s="124"/>
    </row>
    <row r="668" spans="2:13" ht="17.25" customHeight="1">
      <c r="B668" s="15"/>
      <c r="C668" s="45"/>
      <c r="D668" s="45"/>
      <c r="E668" s="45"/>
      <c r="F668" s="45"/>
      <c r="G668" s="45"/>
      <c r="H668" s="45"/>
      <c r="I668" s="124"/>
      <c r="J668" s="124"/>
      <c r="K668" s="45"/>
      <c r="L668" s="124"/>
      <c r="M668" s="124"/>
    </row>
    <row r="669" spans="2:13" ht="17.25" customHeight="1">
      <c r="B669" s="15"/>
      <c r="C669" s="45"/>
      <c r="D669" s="45"/>
      <c r="E669" s="45"/>
      <c r="F669" s="45"/>
      <c r="G669" s="45"/>
      <c r="H669" s="45"/>
      <c r="I669" s="124"/>
      <c r="J669" s="124"/>
      <c r="K669" s="45"/>
      <c r="L669" s="124"/>
      <c r="M669" s="124"/>
    </row>
    <row r="670" spans="2:13" ht="17.25" customHeight="1">
      <c r="B670" s="15"/>
      <c r="C670" s="45"/>
      <c r="D670" s="45"/>
      <c r="E670" s="45"/>
      <c r="F670" s="45"/>
      <c r="G670" s="45"/>
      <c r="H670" s="45"/>
      <c r="I670" s="124"/>
      <c r="J670" s="124"/>
      <c r="K670" s="45"/>
      <c r="L670" s="124"/>
      <c r="M670" s="124"/>
    </row>
    <row r="671" spans="2:13" ht="17.25" customHeight="1">
      <c r="B671" s="15"/>
      <c r="C671" s="45"/>
      <c r="D671" s="45"/>
      <c r="E671" s="45"/>
      <c r="F671" s="45"/>
      <c r="G671" s="45"/>
      <c r="H671" s="45"/>
      <c r="I671" s="124"/>
      <c r="J671" s="124"/>
      <c r="K671" s="45"/>
      <c r="L671" s="124"/>
      <c r="M671" s="124"/>
    </row>
    <row r="672" spans="2:13" ht="17.25" customHeight="1">
      <c r="B672" s="15"/>
      <c r="C672" s="45"/>
      <c r="D672" s="45"/>
      <c r="E672" s="45"/>
      <c r="F672" s="45"/>
      <c r="G672" s="45"/>
      <c r="H672" s="45"/>
      <c r="I672" s="124"/>
      <c r="J672" s="124"/>
      <c r="K672" s="45"/>
      <c r="L672" s="124"/>
      <c r="M672" s="124"/>
    </row>
    <row r="673" spans="2:13" ht="17.25" customHeight="1">
      <c r="B673" s="15"/>
      <c r="C673" s="45"/>
      <c r="D673" s="45"/>
      <c r="E673" s="45"/>
      <c r="F673" s="45"/>
      <c r="G673" s="45"/>
      <c r="H673" s="45"/>
      <c r="I673" s="124"/>
      <c r="J673" s="124"/>
      <c r="K673" s="45"/>
      <c r="L673" s="124"/>
      <c r="M673" s="124"/>
    </row>
    <row r="674" spans="2:13" ht="17.25" customHeight="1">
      <c r="B674" s="15"/>
      <c r="C674" s="45"/>
      <c r="D674" s="45"/>
      <c r="E674" s="45"/>
      <c r="F674" s="45"/>
      <c r="G674" s="45"/>
      <c r="H674" s="45"/>
      <c r="I674" s="124"/>
      <c r="J674" s="124"/>
      <c r="K674" s="45"/>
      <c r="L674" s="124"/>
      <c r="M674" s="124"/>
    </row>
    <row r="675" spans="2:13" ht="17.25" customHeight="1">
      <c r="B675" s="15"/>
      <c r="C675" s="45"/>
      <c r="D675" s="45"/>
      <c r="E675" s="45"/>
      <c r="F675" s="45"/>
      <c r="G675" s="45"/>
      <c r="H675" s="45"/>
      <c r="I675" s="124"/>
      <c r="J675" s="124"/>
      <c r="K675" s="45"/>
      <c r="L675" s="124"/>
      <c r="M675" s="124"/>
    </row>
    <row r="676" spans="2:13" ht="17.25" customHeight="1">
      <c r="B676" s="15"/>
      <c r="C676" s="45"/>
      <c r="D676" s="45"/>
      <c r="E676" s="45"/>
      <c r="F676" s="45"/>
      <c r="G676" s="45"/>
      <c r="H676" s="45"/>
      <c r="I676" s="124"/>
      <c r="J676" s="124"/>
      <c r="K676" s="45"/>
      <c r="L676" s="124"/>
      <c r="M676" s="124"/>
    </row>
    <row r="677" spans="2:13" ht="17.25" customHeight="1">
      <c r="B677" s="15"/>
      <c r="C677" s="45"/>
      <c r="D677" s="45"/>
      <c r="E677" s="45"/>
      <c r="F677" s="45"/>
      <c r="G677" s="45"/>
      <c r="H677" s="45"/>
      <c r="I677" s="124"/>
      <c r="J677" s="124"/>
      <c r="K677" s="45"/>
      <c r="L677" s="124"/>
      <c r="M677" s="124"/>
    </row>
    <row r="678" spans="2:13" ht="17.25" customHeight="1">
      <c r="B678" s="15"/>
      <c r="C678" s="45"/>
      <c r="D678" s="45"/>
      <c r="E678" s="45"/>
      <c r="F678" s="45"/>
      <c r="G678" s="45"/>
      <c r="H678" s="45"/>
      <c r="I678" s="124"/>
      <c r="J678" s="124"/>
      <c r="K678" s="45"/>
      <c r="L678" s="124"/>
      <c r="M678" s="124"/>
    </row>
    <row r="679" spans="2:13" ht="17.25" customHeight="1">
      <c r="B679" s="15"/>
      <c r="C679" s="45"/>
      <c r="D679" s="45"/>
      <c r="E679" s="45"/>
      <c r="F679" s="45"/>
      <c r="G679" s="45"/>
      <c r="H679" s="45"/>
      <c r="I679" s="124"/>
      <c r="J679" s="124"/>
      <c r="K679" s="45"/>
      <c r="L679" s="124"/>
      <c r="M679" s="124"/>
    </row>
    <row r="680" spans="2:13" ht="17.25" customHeight="1">
      <c r="B680" s="15"/>
      <c r="C680" s="45"/>
      <c r="D680" s="45"/>
      <c r="E680" s="45"/>
      <c r="F680" s="45"/>
      <c r="G680" s="45"/>
      <c r="H680" s="45"/>
      <c r="I680" s="124"/>
      <c r="J680" s="124"/>
      <c r="K680" s="45"/>
      <c r="L680" s="124"/>
      <c r="M680" s="124"/>
    </row>
    <row r="681" spans="2:13" ht="17.25" customHeight="1">
      <c r="B681" s="15"/>
      <c r="C681" s="45"/>
      <c r="D681" s="45"/>
      <c r="E681" s="45"/>
      <c r="F681" s="45"/>
      <c r="G681" s="45"/>
      <c r="H681" s="45"/>
      <c r="I681" s="124"/>
      <c r="J681" s="124"/>
      <c r="K681" s="45"/>
      <c r="L681" s="124"/>
      <c r="M681" s="124"/>
    </row>
    <row r="682" spans="2:13" ht="17.25" customHeight="1">
      <c r="B682" s="15"/>
      <c r="C682" s="45"/>
      <c r="D682" s="45"/>
      <c r="E682" s="45"/>
      <c r="F682" s="45"/>
      <c r="G682" s="45"/>
      <c r="H682" s="45"/>
      <c r="I682" s="124"/>
      <c r="J682" s="124"/>
      <c r="K682" s="45"/>
      <c r="L682" s="124"/>
      <c r="M682" s="124"/>
    </row>
    <row r="683" spans="2:13" ht="17.25" customHeight="1">
      <c r="B683" s="15"/>
      <c r="C683" s="45"/>
      <c r="D683" s="45"/>
      <c r="E683" s="45"/>
      <c r="F683" s="45"/>
      <c r="G683" s="45"/>
      <c r="H683" s="45"/>
      <c r="I683" s="124"/>
      <c r="J683" s="124"/>
      <c r="K683" s="45"/>
      <c r="L683" s="124"/>
      <c r="M683" s="124"/>
    </row>
    <row r="684" spans="2:13" ht="17.25" customHeight="1">
      <c r="B684" s="15"/>
      <c r="C684" s="45"/>
      <c r="D684" s="45"/>
      <c r="E684" s="45"/>
      <c r="F684" s="45"/>
      <c r="G684" s="45"/>
      <c r="H684" s="45"/>
      <c r="I684" s="124"/>
      <c r="J684" s="124"/>
      <c r="K684" s="45"/>
      <c r="L684" s="124"/>
      <c r="M684" s="124"/>
    </row>
    <row r="685" spans="2:13" ht="17.25" customHeight="1">
      <c r="B685" s="15"/>
      <c r="C685" s="45"/>
      <c r="D685" s="45"/>
      <c r="E685" s="45"/>
      <c r="F685" s="45"/>
      <c r="G685" s="45"/>
      <c r="H685" s="45"/>
      <c r="I685" s="124"/>
      <c r="J685" s="124"/>
      <c r="K685" s="45"/>
      <c r="L685" s="124"/>
      <c r="M685" s="124"/>
    </row>
    <row r="686" spans="2:13" ht="17.25" customHeight="1">
      <c r="B686" s="15"/>
      <c r="C686" s="45"/>
      <c r="D686" s="45"/>
      <c r="E686" s="45"/>
      <c r="F686" s="45"/>
      <c r="G686" s="45"/>
      <c r="H686" s="45"/>
      <c r="I686" s="124"/>
      <c r="J686" s="124"/>
      <c r="K686" s="45"/>
      <c r="L686" s="124"/>
      <c r="M686" s="124"/>
    </row>
    <row r="687" spans="2:13" ht="17.25" customHeight="1">
      <c r="B687" s="15"/>
      <c r="C687" s="45"/>
      <c r="D687" s="45"/>
      <c r="E687" s="45"/>
      <c r="F687" s="45"/>
      <c r="G687" s="45"/>
      <c r="H687" s="45"/>
      <c r="I687" s="124"/>
      <c r="J687" s="124"/>
      <c r="K687" s="45"/>
      <c r="L687" s="124"/>
      <c r="M687" s="124"/>
    </row>
    <row r="688" spans="2:13" ht="17.25" customHeight="1">
      <c r="B688" s="15"/>
      <c r="C688" s="45"/>
      <c r="D688" s="45"/>
      <c r="E688" s="45"/>
      <c r="F688" s="45"/>
      <c r="G688" s="45"/>
      <c r="H688" s="45"/>
      <c r="I688" s="124"/>
      <c r="J688" s="124"/>
      <c r="K688" s="45"/>
      <c r="L688" s="124"/>
      <c r="M688" s="124"/>
    </row>
    <row r="689" spans="2:13" ht="17.25" customHeight="1">
      <c r="B689" s="15"/>
      <c r="C689" s="45"/>
      <c r="D689" s="45"/>
      <c r="E689" s="45"/>
      <c r="F689" s="45"/>
      <c r="G689" s="45"/>
      <c r="H689" s="45"/>
      <c r="I689" s="124"/>
      <c r="J689" s="124"/>
      <c r="K689" s="45"/>
      <c r="L689" s="124"/>
      <c r="M689" s="124"/>
    </row>
    <row r="690" spans="2:13" ht="17.25" customHeight="1">
      <c r="B690" s="15"/>
      <c r="C690" s="45"/>
      <c r="D690" s="45"/>
      <c r="E690" s="45"/>
      <c r="F690" s="45"/>
      <c r="G690" s="45"/>
      <c r="H690" s="45"/>
      <c r="I690" s="124"/>
      <c r="J690" s="124"/>
      <c r="K690" s="45"/>
      <c r="L690" s="124"/>
      <c r="M690" s="124"/>
    </row>
    <row r="691" spans="2:13" ht="17.25" customHeight="1">
      <c r="B691" s="15"/>
      <c r="C691" s="45"/>
      <c r="D691" s="45"/>
      <c r="E691" s="45"/>
      <c r="F691" s="45"/>
      <c r="G691" s="45"/>
      <c r="H691" s="45"/>
      <c r="I691" s="124"/>
      <c r="J691" s="124"/>
      <c r="K691" s="45"/>
      <c r="L691" s="124"/>
      <c r="M691" s="124"/>
    </row>
    <row r="692" spans="2:13" ht="17.25" customHeight="1">
      <c r="B692" s="15"/>
      <c r="C692" s="45"/>
      <c r="D692" s="45"/>
      <c r="E692" s="45"/>
      <c r="F692" s="45"/>
      <c r="G692" s="45"/>
      <c r="H692" s="45"/>
      <c r="I692" s="124"/>
      <c r="J692" s="124"/>
      <c r="K692" s="45"/>
      <c r="L692" s="124"/>
      <c r="M692" s="124"/>
    </row>
    <row r="693" spans="2:13" ht="17.25" customHeight="1">
      <c r="B693" s="15"/>
      <c r="C693" s="45"/>
      <c r="D693" s="45"/>
      <c r="E693" s="45"/>
      <c r="F693" s="45"/>
      <c r="G693" s="45"/>
      <c r="H693" s="45"/>
      <c r="I693" s="124"/>
      <c r="J693" s="124"/>
      <c r="K693" s="45"/>
      <c r="L693" s="124"/>
      <c r="M693" s="124"/>
    </row>
    <row r="694" spans="2:13" ht="17.25" customHeight="1">
      <c r="B694" s="15"/>
      <c r="C694" s="45"/>
      <c r="D694" s="45"/>
      <c r="E694" s="45"/>
      <c r="F694" s="45"/>
      <c r="G694" s="45"/>
      <c r="H694" s="45"/>
      <c r="I694" s="124"/>
      <c r="J694" s="124"/>
      <c r="K694" s="45"/>
      <c r="L694" s="124"/>
      <c r="M694" s="124"/>
    </row>
    <row r="695" spans="2:13" ht="17.25" customHeight="1">
      <c r="B695" s="15"/>
      <c r="C695" s="45"/>
      <c r="D695" s="45"/>
      <c r="E695" s="45"/>
      <c r="F695" s="45"/>
      <c r="G695" s="45"/>
      <c r="H695" s="45"/>
      <c r="I695" s="124"/>
      <c r="J695" s="124"/>
      <c r="K695" s="45"/>
      <c r="L695" s="124"/>
      <c r="M695" s="124"/>
    </row>
    <row r="696" spans="2:13" ht="17.25" customHeight="1">
      <c r="B696" s="15"/>
      <c r="C696" s="45"/>
      <c r="D696" s="45"/>
      <c r="E696" s="45"/>
      <c r="F696" s="45"/>
      <c r="G696" s="45"/>
      <c r="H696" s="45"/>
      <c r="I696" s="124"/>
      <c r="J696" s="124"/>
      <c r="K696" s="45"/>
      <c r="L696" s="124"/>
      <c r="M696" s="124"/>
    </row>
    <row r="697" spans="2:13" ht="17.25" customHeight="1">
      <c r="B697" s="15"/>
      <c r="C697" s="45"/>
      <c r="D697" s="45"/>
      <c r="E697" s="45"/>
      <c r="F697" s="45"/>
      <c r="G697" s="45"/>
      <c r="H697" s="45"/>
      <c r="I697" s="124"/>
      <c r="J697" s="124"/>
      <c r="K697" s="45"/>
      <c r="L697" s="124"/>
      <c r="M697" s="124"/>
    </row>
    <row r="698" spans="2:13" ht="17.25" customHeight="1">
      <c r="B698" s="15"/>
      <c r="C698" s="45"/>
      <c r="D698" s="45"/>
      <c r="E698" s="45"/>
      <c r="F698" s="45"/>
      <c r="G698" s="45"/>
      <c r="H698" s="45"/>
      <c r="I698" s="124"/>
      <c r="J698" s="124"/>
      <c r="K698" s="45"/>
      <c r="L698" s="124"/>
      <c r="M698" s="124"/>
    </row>
    <row r="699" spans="2:13" ht="17.25" customHeight="1">
      <c r="B699" s="15"/>
      <c r="C699" s="45"/>
      <c r="D699" s="45"/>
      <c r="E699" s="45"/>
      <c r="F699" s="45"/>
      <c r="G699" s="45"/>
      <c r="H699" s="45"/>
      <c r="I699" s="124"/>
      <c r="J699" s="124"/>
      <c r="K699" s="45"/>
      <c r="L699" s="124"/>
      <c r="M699" s="124"/>
    </row>
    <row r="700" spans="2:13" ht="17.25" customHeight="1">
      <c r="B700" s="15"/>
      <c r="C700" s="45"/>
      <c r="D700" s="45"/>
      <c r="E700" s="45"/>
      <c r="F700" s="45"/>
      <c r="G700" s="45"/>
      <c r="H700" s="45"/>
      <c r="I700" s="124"/>
      <c r="J700" s="124"/>
      <c r="K700" s="45"/>
      <c r="L700" s="124"/>
      <c r="M700" s="124"/>
    </row>
    <row r="701" spans="2:13" ht="17.25" customHeight="1">
      <c r="B701" s="15"/>
      <c r="C701" s="45"/>
      <c r="D701" s="45"/>
      <c r="E701" s="45"/>
      <c r="F701" s="45"/>
      <c r="G701" s="45"/>
      <c r="H701" s="45"/>
      <c r="I701" s="124"/>
      <c r="J701" s="124"/>
      <c r="K701" s="45"/>
      <c r="L701" s="124"/>
      <c r="M701" s="124"/>
    </row>
    <row r="702" spans="2:13" ht="17.25" customHeight="1">
      <c r="B702" s="15"/>
      <c r="C702" s="45"/>
      <c r="D702" s="45"/>
      <c r="E702" s="45"/>
      <c r="F702" s="45"/>
      <c r="G702" s="45"/>
      <c r="H702" s="45"/>
      <c r="I702" s="124"/>
      <c r="J702" s="124"/>
      <c r="K702" s="45"/>
      <c r="L702" s="124"/>
      <c r="M702" s="124"/>
    </row>
    <row r="703" spans="2:13" ht="17.25" customHeight="1">
      <c r="B703" s="15"/>
      <c r="C703" s="45"/>
      <c r="D703" s="45"/>
      <c r="E703" s="45"/>
      <c r="F703" s="45"/>
      <c r="G703" s="45"/>
      <c r="H703" s="45"/>
      <c r="I703" s="124"/>
      <c r="J703" s="124"/>
      <c r="K703" s="45"/>
      <c r="L703" s="124"/>
      <c r="M703" s="124"/>
    </row>
    <row r="704" spans="2:13" ht="17.25" customHeight="1">
      <c r="B704" s="15"/>
      <c r="C704" s="45"/>
      <c r="D704" s="45"/>
      <c r="E704" s="45"/>
      <c r="F704" s="45"/>
      <c r="G704" s="45"/>
      <c r="H704" s="45"/>
      <c r="I704" s="124"/>
      <c r="J704" s="124"/>
      <c r="K704" s="45"/>
      <c r="L704" s="124"/>
      <c r="M704" s="124"/>
    </row>
    <row r="705" spans="2:13" ht="17.25" customHeight="1">
      <c r="B705" s="15"/>
      <c r="C705" s="45"/>
      <c r="D705" s="45"/>
      <c r="E705" s="45"/>
      <c r="F705" s="45"/>
      <c r="G705" s="45"/>
      <c r="H705" s="45"/>
      <c r="I705" s="124"/>
      <c r="J705" s="124"/>
      <c r="K705" s="45"/>
      <c r="L705" s="124"/>
      <c r="M705" s="124"/>
    </row>
    <row r="706" spans="2:13" ht="17.25" customHeight="1">
      <c r="B706" s="15"/>
      <c r="C706" s="45"/>
      <c r="D706" s="45"/>
      <c r="E706" s="45"/>
      <c r="F706" s="45"/>
      <c r="G706" s="45"/>
      <c r="H706" s="45"/>
      <c r="I706" s="124"/>
      <c r="J706" s="124"/>
      <c r="K706" s="45"/>
      <c r="L706" s="124"/>
      <c r="M706" s="124"/>
    </row>
    <row r="707" spans="2:13" ht="17.25" customHeight="1">
      <c r="B707" s="15"/>
      <c r="C707" s="45"/>
      <c r="D707" s="45"/>
      <c r="E707" s="45"/>
      <c r="F707" s="45"/>
      <c r="G707" s="45"/>
      <c r="H707" s="45"/>
      <c r="I707" s="124"/>
      <c r="J707" s="124"/>
      <c r="K707" s="45"/>
      <c r="L707" s="124"/>
      <c r="M707" s="124"/>
    </row>
    <row r="708" spans="2:13" ht="17.25" customHeight="1">
      <c r="B708" s="15"/>
      <c r="C708" s="45"/>
      <c r="D708" s="45"/>
      <c r="E708" s="45"/>
      <c r="F708" s="45"/>
      <c r="G708" s="45"/>
      <c r="H708" s="45"/>
      <c r="I708" s="124"/>
      <c r="J708" s="124"/>
      <c r="K708" s="45"/>
      <c r="L708" s="124"/>
      <c r="M708" s="124"/>
    </row>
    <row r="709" spans="2:13" ht="17.25" customHeight="1">
      <c r="B709" s="15"/>
      <c r="C709" s="45"/>
      <c r="D709" s="45"/>
      <c r="E709" s="45"/>
      <c r="F709" s="45"/>
      <c r="G709" s="45"/>
      <c r="H709" s="45"/>
      <c r="I709" s="124"/>
      <c r="J709" s="124"/>
      <c r="K709" s="45"/>
      <c r="L709" s="124"/>
      <c r="M709" s="124"/>
    </row>
    <row r="710" spans="2:13" ht="17.25" customHeight="1">
      <c r="B710" s="15"/>
      <c r="C710" s="45"/>
      <c r="D710" s="45"/>
      <c r="E710" s="45"/>
      <c r="F710" s="45"/>
      <c r="G710" s="45"/>
      <c r="H710" s="45"/>
      <c r="I710" s="124"/>
      <c r="J710" s="124"/>
      <c r="K710" s="45"/>
      <c r="L710" s="124"/>
      <c r="M710" s="124"/>
    </row>
    <row r="711" spans="2:13" ht="17.25" customHeight="1">
      <c r="B711" s="15"/>
      <c r="C711" s="45"/>
      <c r="D711" s="45"/>
      <c r="E711" s="45"/>
      <c r="F711" s="45"/>
      <c r="G711" s="45"/>
      <c r="H711" s="45"/>
      <c r="I711" s="124"/>
      <c r="J711" s="124"/>
      <c r="K711" s="45"/>
      <c r="L711" s="124"/>
      <c r="M711" s="124"/>
    </row>
    <row r="712" spans="2:13" ht="17.25" customHeight="1">
      <c r="B712" s="15"/>
      <c r="C712" s="45"/>
      <c r="D712" s="45"/>
      <c r="E712" s="45"/>
      <c r="F712" s="45"/>
      <c r="G712" s="45"/>
      <c r="H712" s="45"/>
      <c r="I712" s="124"/>
      <c r="J712" s="124"/>
      <c r="K712" s="45"/>
      <c r="L712" s="124"/>
      <c r="M712" s="124"/>
    </row>
    <row r="713" spans="2:13" ht="17.25" customHeight="1">
      <c r="B713" s="15"/>
      <c r="C713" s="45"/>
      <c r="D713" s="45"/>
      <c r="E713" s="45"/>
      <c r="F713" s="45"/>
      <c r="G713" s="45"/>
      <c r="H713" s="45"/>
      <c r="I713" s="124"/>
      <c r="J713" s="124"/>
      <c r="K713" s="45"/>
      <c r="L713" s="124"/>
      <c r="M713" s="124"/>
    </row>
    <row r="714" spans="2:13" ht="17.25" customHeight="1">
      <c r="B714" s="15"/>
      <c r="C714" s="45"/>
      <c r="D714" s="45"/>
      <c r="E714" s="45"/>
      <c r="F714" s="45"/>
      <c r="G714" s="45"/>
      <c r="H714" s="45"/>
      <c r="I714" s="124"/>
      <c r="J714" s="124"/>
      <c r="K714" s="45"/>
      <c r="L714" s="124"/>
      <c r="M714" s="124"/>
    </row>
    <row r="715" spans="2:13" ht="17.25" customHeight="1">
      <c r="B715" s="15"/>
      <c r="C715" s="45"/>
      <c r="D715" s="45"/>
      <c r="E715" s="45"/>
      <c r="F715" s="45"/>
      <c r="G715" s="45"/>
      <c r="H715" s="45"/>
      <c r="I715" s="124"/>
      <c r="J715" s="124"/>
      <c r="K715" s="45"/>
      <c r="L715" s="124"/>
      <c r="M715" s="124"/>
    </row>
    <row r="716" spans="2:13" ht="17.25" customHeight="1">
      <c r="B716" s="15"/>
      <c r="C716" s="45"/>
      <c r="D716" s="45"/>
      <c r="E716" s="45"/>
      <c r="F716" s="45"/>
      <c r="G716" s="45"/>
      <c r="H716" s="45"/>
      <c r="I716" s="124"/>
      <c r="J716" s="124"/>
      <c r="K716" s="45"/>
      <c r="L716" s="124"/>
      <c r="M716" s="124"/>
    </row>
    <row r="717" spans="2:13" ht="17.25" customHeight="1">
      <c r="B717" s="15"/>
      <c r="C717" s="45"/>
      <c r="D717" s="45"/>
      <c r="E717" s="45"/>
      <c r="F717" s="45"/>
      <c r="G717" s="45"/>
      <c r="H717" s="45"/>
      <c r="I717" s="124"/>
      <c r="J717" s="124"/>
      <c r="K717" s="45"/>
      <c r="L717" s="124"/>
      <c r="M717" s="124"/>
    </row>
    <row r="718" spans="2:13" ht="17.25" customHeight="1">
      <c r="B718" s="15"/>
      <c r="C718" s="45"/>
      <c r="D718" s="45"/>
      <c r="E718" s="45"/>
      <c r="F718" s="45"/>
      <c r="G718" s="45"/>
      <c r="H718" s="45"/>
      <c r="I718" s="124"/>
      <c r="J718" s="124"/>
      <c r="K718" s="45"/>
      <c r="L718" s="124"/>
      <c r="M718" s="124"/>
    </row>
    <row r="719" spans="2:13" ht="17.25" customHeight="1">
      <c r="B719" s="15"/>
      <c r="C719" s="45"/>
      <c r="D719" s="45"/>
      <c r="E719" s="45"/>
      <c r="F719" s="45"/>
      <c r="G719" s="45"/>
      <c r="H719" s="45"/>
      <c r="I719" s="124"/>
      <c r="J719" s="124"/>
      <c r="K719" s="45"/>
      <c r="L719" s="124"/>
      <c r="M719" s="124"/>
    </row>
    <row r="720" spans="2:13" ht="17.25" customHeight="1">
      <c r="B720" s="15"/>
      <c r="C720" s="45"/>
      <c r="D720" s="45"/>
      <c r="E720" s="45"/>
      <c r="F720" s="45"/>
      <c r="G720" s="45"/>
      <c r="H720" s="45"/>
      <c r="I720" s="124"/>
      <c r="J720" s="124"/>
      <c r="K720" s="45"/>
      <c r="L720" s="124"/>
      <c r="M720" s="124"/>
    </row>
    <row r="721" spans="2:13" ht="17.25" customHeight="1">
      <c r="B721" s="15"/>
      <c r="C721" s="45"/>
      <c r="D721" s="45"/>
      <c r="E721" s="45"/>
      <c r="F721" s="45"/>
      <c r="G721" s="45"/>
      <c r="H721" s="45"/>
      <c r="I721" s="124"/>
      <c r="J721" s="124"/>
      <c r="K721" s="45"/>
      <c r="L721" s="124"/>
      <c r="M721" s="124"/>
    </row>
    <row r="722" spans="2:13" ht="17.25" customHeight="1">
      <c r="B722" s="15"/>
      <c r="C722" s="45"/>
      <c r="D722" s="45"/>
      <c r="E722" s="45"/>
      <c r="F722" s="45"/>
      <c r="G722" s="45"/>
      <c r="H722" s="45"/>
      <c r="I722" s="124"/>
      <c r="J722" s="124"/>
      <c r="K722" s="45"/>
      <c r="L722" s="124"/>
      <c r="M722" s="124"/>
    </row>
    <row r="723" spans="2:13" ht="17.25" customHeight="1">
      <c r="B723" s="15"/>
      <c r="C723" s="45"/>
      <c r="D723" s="45"/>
      <c r="E723" s="45"/>
      <c r="F723" s="45"/>
      <c r="G723" s="45"/>
      <c r="H723" s="45"/>
      <c r="I723" s="124"/>
      <c r="J723" s="124"/>
      <c r="K723" s="45"/>
      <c r="L723" s="124"/>
      <c r="M723" s="124"/>
    </row>
    <row r="724" spans="2:13" ht="17.25" customHeight="1">
      <c r="B724" s="15"/>
      <c r="C724" s="45"/>
      <c r="D724" s="45"/>
      <c r="E724" s="45"/>
      <c r="F724" s="45"/>
      <c r="G724" s="45"/>
      <c r="H724" s="45"/>
      <c r="I724" s="124"/>
      <c r="J724" s="124"/>
      <c r="K724" s="45"/>
      <c r="L724" s="124"/>
      <c r="M724" s="124"/>
    </row>
    <row r="725" spans="2:13" ht="17.25" customHeight="1">
      <c r="B725" s="15"/>
      <c r="C725" s="45"/>
      <c r="D725" s="45"/>
      <c r="E725" s="45"/>
      <c r="F725" s="45"/>
      <c r="G725" s="45"/>
      <c r="H725" s="45"/>
      <c r="I725" s="124"/>
      <c r="J725" s="124"/>
      <c r="K725" s="45"/>
      <c r="L725" s="124"/>
      <c r="M725" s="124"/>
    </row>
    <row r="726" spans="2:13" ht="17.25" customHeight="1">
      <c r="B726" s="15"/>
      <c r="C726" s="45"/>
      <c r="D726" s="45"/>
      <c r="E726" s="45"/>
      <c r="F726" s="45"/>
      <c r="G726" s="45"/>
      <c r="H726" s="45"/>
      <c r="I726" s="124"/>
      <c r="J726" s="124"/>
      <c r="K726" s="45"/>
      <c r="L726" s="124"/>
      <c r="M726" s="124"/>
    </row>
    <row r="727" spans="2:13" ht="17.25" customHeight="1">
      <c r="B727" s="15"/>
      <c r="C727" s="45"/>
      <c r="D727" s="45"/>
      <c r="E727" s="45"/>
      <c r="F727" s="45"/>
      <c r="G727" s="45"/>
      <c r="H727" s="45"/>
      <c r="I727" s="124"/>
      <c r="J727" s="124"/>
      <c r="K727" s="45"/>
      <c r="L727" s="124"/>
      <c r="M727" s="124"/>
    </row>
    <row r="728" spans="2:13" ht="17.25" customHeight="1">
      <c r="B728" s="15"/>
      <c r="C728" s="45"/>
      <c r="D728" s="45"/>
      <c r="E728" s="45"/>
      <c r="F728" s="45"/>
      <c r="G728" s="45"/>
      <c r="H728" s="45"/>
      <c r="I728" s="124"/>
      <c r="J728" s="124"/>
      <c r="K728" s="45"/>
      <c r="L728" s="124"/>
      <c r="M728" s="124"/>
    </row>
    <row r="729" spans="2:13" ht="17.25" customHeight="1">
      <c r="B729" s="15"/>
      <c r="C729" s="45"/>
      <c r="D729" s="45"/>
      <c r="E729" s="45"/>
      <c r="F729" s="45"/>
      <c r="G729" s="45"/>
      <c r="H729" s="45"/>
      <c r="I729" s="124"/>
      <c r="J729" s="124"/>
      <c r="K729" s="45"/>
      <c r="L729" s="124"/>
      <c r="M729" s="124"/>
    </row>
    <row r="730" spans="2:13" ht="17.25" customHeight="1">
      <c r="B730" s="15"/>
      <c r="C730" s="45"/>
      <c r="D730" s="45"/>
      <c r="E730" s="45"/>
      <c r="F730" s="45"/>
      <c r="G730" s="45"/>
      <c r="H730" s="45"/>
      <c r="I730" s="124"/>
      <c r="J730" s="124"/>
      <c r="K730" s="45"/>
      <c r="L730" s="124"/>
      <c r="M730" s="124"/>
    </row>
    <row r="731" spans="2:13" ht="17.25" customHeight="1">
      <c r="B731" s="15"/>
      <c r="C731" s="45"/>
      <c r="D731" s="45"/>
      <c r="E731" s="45"/>
      <c r="F731" s="45"/>
      <c r="G731" s="45"/>
      <c r="H731" s="45"/>
      <c r="I731" s="124"/>
      <c r="J731" s="124"/>
      <c r="K731" s="45"/>
      <c r="L731" s="124"/>
      <c r="M731" s="124"/>
    </row>
    <row r="732" spans="2:13" ht="17.25" customHeight="1">
      <c r="B732" s="15"/>
      <c r="C732" s="45"/>
      <c r="D732" s="45"/>
      <c r="E732" s="45"/>
      <c r="F732" s="45"/>
      <c r="G732" s="45"/>
      <c r="H732" s="45"/>
      <c r="I732" s="124"/>
      <c r="J732" s="124"/>
      <c r="K732" s="45"/>
      <c r="L732" s="124"/>
      <c r="M732" s="124"/>
    </row>
    <row r="733" spans="2:13" ht="17.25" customHeight="1">
      <c r="B733" s="15"/>
      <c r="C733" s="45"/>
      <c r="D733" s="45"/>
      <c r="E733" s="45"/>
      <c r="F733" s="45"/>
      <c r="G733" s="45"/>
      <c r="H733" s="45"/>
      <c r="I733" s="124"/>
      <c r="J733" s="124"/>
      <c r="K733" s="45"/>
      <c r="L733" s="124"/>
      <c r="M733" s="124"/>
    </row>
    <row r="734" spans="2:13" ht="17.25" customHeight="1">
      <c r="B734" s="15"/>
      <c r="C734" s="45"/>
      <c r="D734" s="45"/>
      <c r="E734" s="45"/>
      <c r="F734" s="45"/>
      <c r="G734" s="45"/>
      <c r="H734" s="45"/>
      <c r="I734" s="124"/>
      <c r="J734" s="124"/>
      <c r="K734" s="45"/>
      <c r="L734" s="124"/>
      <c r="M734" s="124"/>
    </row>
    <row r="735" spans="2:13" ht="17.25" customHeight="1">
      <c r="B735" s="15"/>
      <c r="C735" s="45"/>
      <c r="D735" s="45"/>
      <c r="E735" s="45"/>
      <c r="F735" s="45"/>
      <c r="G735" s="45"/>
      <c r="H735" s="45"/>
      <c r="I735" s="124"/>
      <c r="J735" s="124"/>
      <c r="K735" s="45"/>
      <c r="L735" s="124"/>
      <c r="M735" s="124"/>
    </row>
    <row r="736" spans="2:13" ht="17.25" customHeight="1">
      <c r="B736" s="15"/>
      <c r="C736" s="45"/>
      <c r="D736" s="45"/>
      <c r="E736" s="45"/>
      <c r="F736" s="45"/>
      <c r="G736" s="45"/>
      <c r="H736" s="45"/>
      <c r="I736" s="124"/>
      <c r="J736" s="124"/>
      <c r="K736" s="45"/>
      <c r="L736" s="124"/>
      <c r="M736" s="124"/>
    </row>
    <row r="737" spans="2:13" ht="17.25" customHeight="1">
      <c r="B737" s="15"/>
      <c r="C737" s="45"/>
      <c r="D737" s="45"/>
      <c r="E737" s="45"/>
      <c r="F737" s="45"/>
      <c r="G737" s="45"/>
      <c r="H737" s="45"/>
      <c r="I737" s="124"/>
      <c r="J737" s="124"/>
      <c r="K737" s="45"/>
      <c r="L737" s="124"/>
      <c r="M737" s="124"/>
    </row>
    <row r="738" spans="2:13" ht="17.25" customHeight="1">
      <c r="B738" s="15"/>
      <c r="C738" s="45"/>
      <c r="D738" s="45"/>
      <c r="E738" s="45"/>
      <c r="F738" s="45"/>
      <c r="G738" s="45"/>
      <c r="H738" s="45"/>
      <c r="I738" s="124"/>
      <c r="J738" s="124"/>
      <c r="K738" s="45"/>
      <c r="L738" s="124"/>
      <c r="M738" s="124"/>
    </row>
    <row r="739" spans="2:13" ht="17.25" customHeight="1">
      <c r="B739" s="15"/>
      <c r="C739" s="45"/>
      <c r="D739" s="45"/>
      <c r="E739" s="45"/>
      <c r="F739" s="45"/>
      <c r="G739" s="45"/>
      <c r="H739" s="45"/>
      <c r="I739" s="124"/>
      <c r="J739" s="124"/>
      <c r="K739" s="45"/>
      <c r="L739" s="124"/>
      <c r="M739" s="124"/>
    </row>
    <row r="740" spans="2:13" ht="17.25" customHeight="1">
      <c r="B740" s="15"/>
      <c r="C740" s="45"/>
      <c r="D740" s="45"/>
      <c r="E740" s="45"/>
      <c r="F740" s="45"/>
      <c r="G740" s="45"/>
      <c r="H740" s="45"/>
      <c r="I740" s="124"/>
      <c r="J740" s="124"/>
      <c r="K740" s="45"/>
      <c r="L740" s="124"/>
      <c r="M740" s="124"/>
    </row>
    <row r="741" spans="2:13" ht="17.25" customHeight="1">
      <c r="B741" s="15"/>
      <c r="C741" s="45"/>
      <c r="D741" s="45"/>
      <c r="E741" s="45"/>
      <c r="F741" s="45"/>
      <c r="G741" s="45"/>
      <c r="H741" s="45"/>
      <c r="I741" s="124"/>
      <c r="J741" s="124"/>
      <c r="K741" s="45"/>
      <c r="L741" s="124"/>
      <c r="M741" s="124"/>
    </row>
    <row r="742" spans="2:13" ht="17.25" customHeight="1">
      <c r="B742" s="15"/>
      <c r="C742" s="45"/>
      <c r="D742" s="45"/>
      <c r="E742" s="45"/>
      <c r="F742" s="45"/>
      <c r="G742" s="45"/>
      <c r="H742" s="45"/>
      <c r="I742" s="124"/>
      <c r="J742" s="124"/>
      <c r="K742" s="45"/>
      <c r="L742" s="124"/>
      <c r="M742" s="124"/>
    </row>
    <row r="743" spans="2:13" ht="17.25" customHeight="1">
      <c r="B743" s="15"/>
      <c r="C743" s="45"/>
      <c r="D743" s="45"/>
      <c r="E743" s="45"/>
      <c r="F743" s="45"/>
      <c r="G743" s="45"/>
      <c r="H743" s="45"/>
      <c r="I743" s="124"/>
      <c r="J743" s="124"/>
      <c r="K743" s="45"/>
      <c r="L743" s="124"/>
      <c r="M743" s="124"/>
    </row>
    <row r="744" spans="2:13" ht="17.25" customHeight="1">
      <c r="B744" s="15"/>
      <c r="C744" s="45"/>
      <c r="D744" s="45"/>
      <c r="E744" s="45"/>
      <c r="F744" s="45"/>
      <c r="G744" s="45"/>
      <c r="H744" s="45"/>
      <c r="I744" s="124"/>
      <c r="J744" s="124"/>
      <c r="K744" s="45"/>
      <c r="L744" s="124"/>
      <c r="M744" s="124"/>
    </row>
    <row r="745" spans="2:13" ht="17.25" customHeight="1">
      <c r="B745" s="15"/>
      <c r="C745" s="45"/>
      <c r="D745" s="45"/>
      <c r="E745" s="45"/>
      <c r="F745" s="45"/>
      <c r="G745" s="45"/>
      <c r="H745" s="45"/>
      <c r="I745" s="124"/>
      <c r="J745" s="124"/>
      <c r="K745" s="45"/>
      <c r="L745" s="124"/>
      <c r="M745" s="124"/>
    </row>
    <row r="746" spans="2:13" ht="17.25" customHeight="1">
      <c r="B746" s="15"/>
      <c r="C746" s="45"/>
      <c r="D746" s="45"/>
      <c r="E746" s="45"/>
      <c r="F746" s="45"/>
      <c r="G746" s="45"/>
      <c r="H746" s="45"/>
      <c r="I746" s="124"/>
      <c r="J746" s="124"/>
      <c r="K746" s="45"/>
      <c r="L746" s="124"/>
      <c r="M746" s="124"/>
    </row>
    <row r="747" spans="2:13" ht="17.25" customHeight="1">
      <c r="B747" s="15"/>
      <c r="C747" s="45"/>
      <c r="D747" s="45"/>
      <c r="E747" s="45"/>
      <c r="F747" s="45"/>
      <c r="G747" s="45"/>
      <c r="H747" s="45"/>
      <c r="I747" s="124"/>
      <c r="J747" s="124"/>
      <c r="K747" s="45"/>
      <c r="L747" s="124"/>
      <c r="M747" s="124"/>
    </row>
    <row r="748" spans="2:13" ht="17.25" customHeight="1">
      <c r="B748" s="15"/>
      <c r="C748" s="45"/>
      <c r="D748" s="45"/>
      <c r="E748" s="45"/>
      <c r="F748" s="45"/>
      <c r="G748" s="45"/>
      <c r="H748" s="45"/>
      <c r="I748" s="124"/>
      <c r="J748" s="124"/>
      <c r="K748" s="45"/>
      <c r="L748" s="124"/>
      <c r="M748" s="124"/>
    </row>
    <row r="749" spans="2:13" ht="17.25" customHeight="1">
      <c r="B749" s="15"/>
      <c r="C749" s="45"/>
      <c r="D749" s="45"/>
      <c r="E749" s="45"/>
      <c r="F749" s="45"/>
      <c r="G749" s="45"/>
      <c r="H749" s="45"/>
      <c r="I749" s="124"/>
      <c r="J749" s="124"/>
      <c r="K749" s="45"/>
      <c r="L749" s="124"/>
      <c r="M749" s="124"/>
    </row>
    <row r="750" spans="2:13" ht="17.25" customHeight="1">
      <c r="B750" s="15"/>
      <c r="C750" s="45"/>
      <c r="D750" s="45"/>
      <c r="E750" s="45"/>
      <c r="F750" s="45"/>
      <c r="G750" s="45"/>
      <c r="H750" s="45"/>
      <c r="I750" s="124"/>
      <c r="J750" s="124"/>
      <c r="K750" s="45"/>
      <c r="L750" s="124"/>
      <c r="M750" s="124"/>
    </row>
    <row r="751" spans="2:13" ht="17.25" customHeight="1">
      <c r="B751" s="15"/>
      <c r="C751" s="45"/>
      <c r="D751" s="45"/>
      <c r="E751" s="45"/>
      <c r="F751" s="45"/>
      <c r="G751" s="45"/>
      <c r="H751" s="45"/>
      <c r="I751" s="124"/>
      <c r="J751" s="124"/>
      <c r="K751" s="45"/>
      <c r="L751" s="124"/>
      <c r="M751" s="124"/>
    </row>
    <row r="752" spans="2:13" ht="17.25" customHeight="1">
      <c r="B752" s="15"/>
      <c r="C752" s="45"/>
      <c r="D752" s="45"/>
      <c r="E752" s="45"/>
      <c r="F752" s="45"/>
      <c r="G752" s="45"/>
      <c r="H752" s="45"/>
      <c r="I752" s="124"/>
      <c r="J752" s="124"/>
      <c r="K752" s="45"/>
      <c r="L752" s="124"/>
      <c r="M752" s="124"/>
    </row>
    <row r="753" spans="2:13" ht="17.25" customHeight="1">
      <c r="B753" s="15"/>
      <c r="C753" s="45"/>
      <c r="D753" s="45"/>
      <c r="E753" s="45"/>
      <c r="F753" s="45"/>
      <c r="G753" s="45"/>
      <c r="H753" s="45"/>
      <c r="I753" s="124"/>
      <c r="J753" s="124"/>
      <c r="K753" s="45"/>
      <c r="L753" s="124"/>
      <c r="M753" s="124"/>
    </row>
    <row r="754" spans="2:13" ht="17.25" customHeight="1">
      <c r="B754" s="15"/>
      <c r="C754" s="45"/>
      <c r="D754" s="45"/>
      <c r="E754" s="45"/>
      <c r="F754" s="45"/>
      <c r="G754" s="45"/>
      <c r="H754" s="45"/>
      <c r="I754" s="124"/>
      <c r="J754" s="124"/>
      <c r="K754" s="45"/>
      <c r="L754" s="124"/>
      <c r="M754" s="124"/>
    </row>
    <row r="755" spans="2:13" ht="17.25" customHeight="1">
      <c r="B755" s="15"/>
      <c r="C755" s="45"/>
      <c r="D755" s="45"/>
      <c r="E755" s="45"/>
      <c r="F755" s="45"/>
      <c r="G755" s="45"/>
      <c r="H755" s="45"/>
      <c r="I755" s="124"/>
      <c r="J755" s="124"/>
      <c r="K755" s="45"/>
      <c r="L755" s="124"/>
      <c r="M755" s="124"/>
    </row>
    <row r="756" spans="2:13" ht="17.25" customHeight="1">
      <c r="B756" s="15"/>
      <c r="C756" s="45"/>
      <c r="D756" s="45"/>
      <c r="E756" s="45"/>
      <c r="F756" s="45"/>
      <c r="G756" s="45"/>
      <c r="H756" s="45"/>
      <c r="I756" s="124"/>
      <c r="J756" s="124"/>
      <c r="K756" s="45"/>
      <c r="L756" s="124"/>
      <c r="M756" s="124"/>
    </row>
    <row r="757" spans="2:13" ht="17.25" customHeight="1">
      <c r="B757" s="15"/>
      <c r="C757" s="45"/>
      <c r="D757" s="45"/>
      <c r="E757" s="45"/>
      <c r="F757" s="45"/>
      <c r="G757" s="45"/>
      <c r="H757" s="45"/>
      <c r="I757" s="124"/>
      <c r="J757" s="124"/>
      <c r="K757" s="45"/>
      <c r="L757" s="124"/>
      <c r="M757" s="124"/>
    </row>
    <row r="758" spans="2:13" ht="17.25" customHeight="1">
      <c r="B758" s="15"/>
      <c r="C758" s="45"/>
      <c r="D758" s="45"/>
      <c r="E758" s="45"/>
      <c r="F758" s="45"/>
      <c r="G758" s="45"/>
      <c r="H758" s="45"/>
      <c r="I758" s="124"/>
      <c r="J758" s="124"/>
      <c r="K758" s="45"/>
      <c r="L758" s="124"/>
      <c r="M758" s="124"/>
    </row>
    <row r="759" spans="2:13" ht="17.25" customHeight="1">
      <c r="B759" s="15"/>
      <c r="C759" s="45"/>
      <c r="D759" s="45"/>
      <c r="E759" s="45"/>
      <c r="F759" s="45"/>
      <c r="G759" s="45"/>
      <c r="H759" s="45"/>
      <c r="I759" s="124"/>
      <c r="J759" s="124"/>
      <c r="K759" s="45"/>
      <c r="L759" s="124"/>
      <c r="M759" s="124"/>
    </row>
    <row r="760" spans="2:13" ht="17.25" customHeight="1">
      <c r="B760" s="15"/>
      <c r="C760" s="45"/>
      <c r="D760" s="45"/>
      <c r="E760" s="45"/>
      <c r="F760" s="45"/>
      <c r="G760" s="45"/>
      <c r="H760" s="45"/>
      <c r="I760" s="124"/>
      <c r="J760" s="124"/>
      <c r="K760" s="45"/>
      <c r="L760" s="124"/>
      <c r="M760" s="124"/>
    </row>
    <row r="761" spans="2:13" ht="17.25" customHeight="1">
      <c r="B761" s="15"/>
      <c r="C761" s="45"/>
      <c r="D761" s="45"/>
      <c r="E761" s="45"/>
      <c r="F761" s="45"/>
      <c r="G761" s="45"/>
      <c r="H761" s="45"/>
      <c r="I761" s="124"/>
      <c r="J761" s="124"/>
      <c r="K761" s="45"/>
      <c r="L761" s="124"/>
      <c r="M761" s="124"/>
    </row>
    <row r="762" spans="2:13" ht="17.25" customHeight="1">
      <c r="B762" s="15"/>
      <c r="C762" s="45"/>
      <c r="D762" s="45"/>
      <c r="E762" s="45"/>
      <c r="F762" s="45"/>
      <c r="G762" s="45"/>
      <c r="H762" s="45"/>
      <c r="I762" s="124"/>
      <c r="J762" s="124"/>
      <c r="K762" s="45"/>
      <c r="L762" s="124"/>
      <c r="M762" s="124"/>
    </row>
    <row r="763" spans="2:13" ht="17.25" customHeight="1">
      <c r="B763" s="15"/>
      <c r="C763" s="45"/>
      <c r="D763" s="45"/>
      <c r="E763" s="45"/>
      <c r="F763" s="45"/>
      <c r="G763" s="45"/>
      <c r="H763" s="45"/>
      <c r="I763" s="124"/>
      <c r="J763" s="124"/>
      <c r="K763" s="45"/>
      <c r="L763" s="124"/>
      <c r="M763" s="124"/>
    </row>
    <row r="764" spans="2:13" ht="17.25" customHeight="1">
      <c r="B764" s="15"/>
      <c r="C764" s="45"/>
      <c r="D764" s="45"/>
      <c r="E764" s="45"/>
      <c r="F764" s="45"/>
      <c r="G764" s="45"/>
      <c r="H764" s="45"/>
      <c r="I764" s="124"/>
      <c r="J764" s="124"/>
      <c r="K764" s="45"/>
      <c r="L764" s="124"/>
      <c r="M764" s="124"/>
    </row>
    <row r="765" spans="2:13" ht="17.25" customHeight="1">
      <c r="B765" s="15"/>
      <c r="C765" s="45"/>
      <c r="D765" s="45"/>
      <c r="E765" s="45"/>
      <c r="F765" s="45"/>
      <c r="G765" s="45"/>
      <c r="H765" s="45"/>
      <c r="I765" s="124"/>
      <c r="J765" s="124"/>
      <c r="K765" s="45"/>
      <c r="L765" s="124"/>
      <c r="M765" s="124"/>
    </row>
    <row r="766" spans="2:13" ht="17.25" customHeight="1">
      <c r="B766" s="15"/>
      <c r="C766" s="45"/>
      <c r="D766" s="45"/>
      <c r="E766" s="45"/>
      <c r="F766" s="45"/>
      <c r="G766" s="45"/>
      <c r="H766" s="45"/>
      <c r="I766" s="124"/>
      <c r="J766" s="124"/>
      <c r="K766" s="45"/>
      <c r="L766" s="124"/>
      <c r="M766" s="124"/>
    </row>
    <row r="767" spans="2:13" ht="17.25" customHeight="1">
      <c r="B767" s="15"/>
      <c r="C767" s="45"/>
      <c r="D767" s="45"/>
      <c r="E767" s="45"/>
      <c r="F767" s="45"/>
      <c r="G767" s="45"/>
      <c r="H767" s="45"/>
      <c r="I767" s="124"/>
      <c r="J767" s="124"/>
      <c r="K767" s="45"/>
      <c r="L767" s="124"/>
      <c r="M767" s="124"/>
    </row>
    <row r="768" spans="2:13" ht="17.25" customHeight="1">
      <c r="B768" s="15"/>
      <c r="C768" s="45"/>
      <c r="D768" s="45"/>
      <c r="E768" s="45"/>
      <c r="F768" s="45"/>
      <c r="G768" s="45"/>
      <c r="H768" s="45"/>
      <c r="I768" s="124"/>
      <c r="J768" s="124"/>
      <c r="K768" s="45"/>
      <c r="L768" s="124"/>
      <c r="M768" s="124"/>
    </row>
    <row r="769" spans="2:13" ht="17.25" customHeight="1">
      <c r="B769" s="15"/>
      <c r="C769" s="45"/>
      <c r="D769" s="45"/>
      <c r="E769" s="45"/>
      <c r="F769" s="45"/>
      <c r="G769" s="45"/>
      <c r="H769" s="45"/>
      <c r="I769" s="124"/>
      <c r="J769" s="124"/>
      <c r="K769" s="45"/>
      <c r="L769" s="124"/>
      <c r="M769" s="124"/>
    </row>
    <row r="770" spans="2:13" ht="17.25" customHeight="1">
      <c r="B770" s="15"/>
      <c r="C770" s="45"/>
      <c r="D770" s="45"/>
      <c r="E770" s="45"/>
      <c r="F770" s="45"/>
      <c r="G770" s="45"/>
      <c r="H770" s="45"/>
      <c r="I770" s="124"/>
      <c r="J770" s="124"/>
      <c r="K770" s="45"/>
      <c r="L770" s="124"/>
      <c r="M770" s="124"/>
    </row>
    <row r="771" spans="2:13" ht="17.25" customHeight="1">
      <c r="B771" s="15"/>
      <c r="C771" s="45"/>
      <c r="D771" s="45"/>
      <c r="E771" s="45"/>
      <c r="F771" s="45"/>
      <c r="G771" s="45"/>
      <c r="H771" s="45"/>
      <c r="I771" s="124"/>
      <c r="J771" s="124"/>
      <c r="K771" s="45"/>
      <c r="L771" s="124"/>
      <c r="M771" s="124"/>
    </row>
    <row r="772" spans="2:13" ht="17.25" customHeight="1">
      <c r="B772" s="15"/>
      <c r="C772" s="45"/>
      <c r="D772" s="45"/>
      <c r="E772" s="45"/>
      <c r="F772" s="45"/>
      <c r="G772" s="45"/>
      <c r="H772" s="45"/>
      <c r="I772" s="124"/>
      <c r="J772" s="124"/>
      <c r="K772" s="45"/>
      <c r="L772" s="124"/>
      <c r="M772" s="124"/>
    </row>
    <row r="773" spans="2:13" ht="17.25" customHeight="1">
      <c r="B773" s="15"/>
      <c r="C773" s="45"/>
      <c r="D773" s="45"/>
      <c r="E773" s="45"/>
      <c r="F773" s="45"/>
      <c r="G773" s="45"/>
      <c r="H773" s="45"/>
      <c r="I773" s="124"/>
      <c r="J773" s="124"/>
      <c r="K773" s="45"/>
      <c r="L773" s="124"/>
      <c r="M773" s="124"/>
    </row>
    <row r="774" spans="2:13" ht="17.25" customHeight="1">
      <c r="B774" s="15"/>
      <c r="C774" s="45"/>
      <c r="D774" s="45"/>
      <c r="E774" s="45"/>
      <c r="F774" s="45"/>
      <c r="G774" s="45"/>
      <c r="H774" s="45"/>
      <c r="I774" s="124"/>
      <c r="J774" s="124"/>
      <c r="K774" s="45"/>
      <c r="L774" s="124"/>
      <c r="M774" s="124"/>
    </row>
    <row r="775" spans="2:13" ht="17.25" customHeight="1">
      <c r="B775" s="15"/>
      <c r="C775" s="45"/>
      <c r="D775" s="45"/>
      <c r="E775" s="45"/>
      <c r="F775" s="45"/>
      <c r="G775" s="45"/>
      <c r="H775" s="45"/>
      <c r="I775" s="124"/>
      <c r="J775" s="124"/>
      <c r="K775" s="45"/>
      <c r="L775" s="124"/>
      <c r="M775" s="124"/>
    </row>
    <row r="776" spans="2:13" ht="17.25" customHeight="1">
      <c r="B776" s="15"/>
      <c r="C776" s="45"/>
      <c r="D776" s="45"/>
      <c r="E776" s="45"/>
      <c r="F776" s="45"/>
      <c r="G776" s="45"/>
      <c r="H776" s="45"/>
      <c r="I776" s="124"/>
      <c r="J776" s="124"/>
      <c r="K776" s="45"/>
      <c r="L776" s="124"/>
      <c r="M776" s="124"/>
    </row>
    <row r="777" spans="2:13" ht="17.25" customHeight="1">
      <c r="B777" s="15"/>
      <c r="C777" s="45"/>
      <c r="D777" s="45"/>
      <c r="E777" s="45"/>
      <c r="F777" s="45"/>
      <c r="G777" s="45"/>
      <c r="H777" s="45"/>
      <c r="I777" s="124"/>
      <c r="J777" s="124"/>
      <c r="K777" s="45"/>
      <c r="L777" s="124"/>
      <c r="M777" s="124"/>
    </row>
    <row r="778" spans="2:13" ht="17.25" customHeight="1">
      <c r="B778" s="15"/>
      <c r="C778" s="45"/>
      <c r="D778" s="45"/>
      <c r="E778" s="45"/>
      <c r="F778" s="45"/>
      <c r="G778" s="45"/>
      <c r="H778" s="45"/>
      <c r="I778" s="124"/>
      <c r="J778" s="124"/>
      <c r="K778" s="45"/>
      <c r="L778" s="124"/>
      <c r="M778" s="124"/>
    </row>
    <row r="779" spans="2:13" ht="17.25" customHeight="1">
      <c r="B779" s="15"/>
      <c r="C779" s="45"/>
      <c r="D779" s="45"/>
      <c r="E779" s="45"/>
      <c r="F779" s="45"/>
      <c r="G779" s="45"/>
      <c r="H779" s="45"/>
      <c r="I779" s="124"/>
      <c r="J779" s="124"/>
      <c r="K779" s="45"/>
      <c r="L779" s="124"/>
      <c r="M779" s="124"/>
    </row>
    <row r="780" spans="2:13" ht="17.25" customHeight="1">
      <c r="B780" s="15"/>
      <c r="C780" s="45"/>
      <c r="D780" s="45"/>
      <c r="E780" s="45"/>
      <c r="F780" s="45"/>
      <c r="G780" s="45"/>
      <c r="H780" s="45"/>
      <c r="I780" s="124"/>
      <c r="J780" s="124"/>
      <c r="K780" s="45"/>
      <c r="L780" s="124"/>
      <c r="M780" s="124"/>
    </row>
    <row r="781" spans="2:13" ht="17.25" customHeight="1">
      <c r="B781" s="15"/>
      <c r="C781" s="45"/>
      <c r="D781" s="45"/>
      <c r="E781" s="45"/>
      <c r="F781" s="45"/>
      <c r="G781" s="45"/>
      <c r="H781" s="45"/>
      <c r="I781" s="124"/>
      <c r="J781" s="124"/>
      <c r="K781" s="45"/>
      <c r="L781" s="124"/>
      <c r="M781" s="124"/>
    </row>
    <row r="782" spans="2:13" ht="17.25" customHeight="1">
      <c r="B782" s="15"/>
      <c r="C782" s="45"/>
      <c r="D782" s="45"/>
      <c r="E782" s="45"/>
      <c r="F782" s="45"/>
      <c r="G782" s="45"/>
      <c r="H782" s="45"/>
      <c r="I782" s="124"/>
      <c r="J782" s="124"/>
      <c r="K782" s="45"/>
      <c r="L782" s="124"/>
      <c r="M782" s="124"/>
    </row>
    <row r="783" spans="2:13" ht="17.25" customHeight="1">
      <c r="B783" s="15"/>
      <c r="C783" s="45"/>
      <c r="D783" s="45"/>
      <c r="E783" s="45"/>
      <c r="F783" s="45"/>
      <c r="G783" s="45"/>
      <c r="H783" s="45"/>
      <c r="I783" s="124"/>
      <c r="J783" s="124"/>
      <c r="K783" s="45"/>
      <c r="L783" s="124"/>
      <c r="M783" s="124"/>
    </row>
    <row r="784" spans="2:13" ht="17.25" customHeight="1">
      <c r="B784" s="15"/>
      <c r="C784" s="45"/>
      <c r="D784" s="45"/>
      <c r="E784" s="45"/>
      <c r="F784" s="45"/>
      <c r="G784" s="45"/>
      <c r="H784" s="45"/>
      <c r="I784" s="124"/>
      <c r="J784" s="124"/>
      <c r="K784" s="45"/>
      <c r="L784" s="124"/>
      <c r="M784" s="124"/>
    </row>
    <row r="785" spans="2:13" ht="17.25" customHeight="1">
      <c r="B785" s="15"/>
      <c r="C785" s="45"/>
      <c r="D785" s="45"/>
      <c r="E785" s="45"/>
      <c r="F785" s="45"/>
      <c r="G785" s="45"/>
      <c r="H785" s="45"/>
      <c r="I785" s="124"/>
      <c r="J785" s="124"/>
      <c r="K785" s="45"/>
      <c r="L785" s="124"/>
      <c r="M785" s="124"/>
    </row>
    <row r="786" spans="2:13" ht="17.25" customHeight="1">
      <c r="B786" s="15"/>
      <c r="C786" s="45"/>
      <c r="D786" s="45"/>
      <c r="E786" s="45"/>
      <c r="F786" s="45"/>
      <c r="G786" s="45"/>
      <c r="H786" s="45"/>
      <c r="I786" s="124"/>
      <c r="J786" s="124"/>
      <c r="K786" s="45"/>
      <c r="L786" s="124"/>
      <c r="M786" s="124"/>
    </row>
    <row r="787" spans="2:13" ht="17.25" customHeight="1">
      <c r="B787" s="15"/>
      <c r="C787" s="45"/>
      <c r="D787" s="45"/>
      <c r="E787" s="45"/>
      <c r="F787" s="45"/>
      <c r="G787" s="45"/>
      <c r="H787" s="45"/>
      <c r="I787" s="124"/>
      <c r="J787" s="124"/>
      <c r="K787" s="45"/>
      <c r="L787" s="124"/>
      <c r="M787" s="124"/>
    </row>
    <row r="788" spans="2:13" ht="17.25" customHeight="1">
      <c r="B788" s="15"/>
      <c r="C788" s="45"/>
      <c r="D788" s="45"/>
      <c r="E788" s="45"/>
      <c r="F788" s="45"/>
      <c r="G788" s="45"/>
      <c r="H788" s="45"/>
      <c r="I788" s="124"/>
      <c r="J788" s="124"/>
      <c r="K788" s="45"/>
      <c r="L788" s="124"/>
      <c r="M788" s="124"/>
    </row>
    <row r="789" spans="2:13" ht="17.25" customHeight="1">
      <c r="B789" s="15"/>
      <c r="C789" s="45"/>
      <c r="D789" s="45"/>
      <c r="E789" s="45"/>
      <c r="F789" s="45"/>
      <c r="G789" s="45"/>
      <c r="H789" s="45"/>
      <c r="I789" s="124"/>
      <c r="J789" s="124"/>
      <c r="K789" s="45"/>
      <c r="L789" s="124"/>
      <c r="M789" s="124"/>
    </row>
    <row r="790" spans="2:13" ht="17.25" customHeight="1">
      <c r="B790" s="15"/>
      <c r="C790" s="45"/>
      <c r="D790" s="45"/>
      <c r="E790" s="45"/>
      <c r="F790" s="45"/>
      <c r="G790" s="45"/>
      <c r="H790" s="45"/>
      <c r="I790" s="124"/>
      <c r="J790" s="124"/>
      <c r="K790" s="45"/>
      <c r="L790" s="124"/>
      <c r="M790" s="124"/>
    </row>
    <row r="791" spans="2:13" ht="17.25" customHeight="1">
      <c r="B791" s="15"/>
      <c r="C791" s="45"/>
      <c r="D791" s="45"/>
      <c r="E791" s="45"/>
      <c r="F791" s="45"/>
      <c r="G791" s="45"/>
      <c r="H791" s="45"/>
      <c r="I791" s="124"/>
      <c r="J791" s="124"/>
      <c r="K791" s="45"/>
      <c r="L791" s="124"/>
      <c r="M791" s="124"/>
    </row>
    <row r="792" spans="2:13" ht="17.25" customHeight="1">
      <c r="B792" s="15"/>
      <c r="C792" s="45"/>
      <c r="D792" s="45"/>
      <c r="E792" s="45"/>
      <c r="F792" s="45"/>
      <c r="G792" s="45"/>
      <c r="H792" s="45"/>
      <c r="I792" s="124"/>
      <c r="J792" s="124"/>
      <c r="K792" s="45"/>
      <c r="L792" s="124"/>
      <c r="M792" s="124"/>
    </row>
    <row r="793" spans="2:13" ht="17.25" customHeight="1">
      <c r="B793" s="15"/>
      <c r="C793" s="45"/>
      <c r="D793" s="45"/>
      <c r="E793" s="45"/>
      <c r="F793" s="45"/>
      <c r="G793" s="45"/>
      <c r="H793" s="45"/>
      <c r="I793" s="124"/>
      <c r="J793" s="124"/>
      <c r="K793" s="45"/>
      <c r="L793" s="124"/>
      <c r="M793" s="124"/>
    </row>
    <row r="794" spans="2:13" ht="17.25" customHeight="1">
      <c r="B794" s="15"/>
      <c r="C794" s="45"/>
      <c r="D794" s="45"/>
      <c r="E794" s="45"/>
      <c r="F794" s="45"/>
      <c r="G794" s="45"/>
      <c r="H794" s="45"/>
      <c r="I794" s="124"/>
      <c r="J794" s="124"/>
      <c r="K794" s="45"/>
      <c r="L794" s="124"/>
      <c r="M794" s="124"/>
    </row>
    <row r="795" spans="2:13" ht="17.25" customHeight="1">
      <c r="B795" s="15"/>
      <c r="C795" s="45"/>
      <c r="D795" s="45"/>
      <c r="E795" s="45"/>
      <c r="F795" s="45"/>
      <c r="G795" s="45"/>
      <c r="H795" s="45"/>
      <c r="I795" s="124"/>
      <c r="J795" s="124"/>
      <c r="K795" s="45"/>
      <c r="L795" s="124"/>
      <c r="M795" s="124"/>
    </row>
    <row r="796" spans="2:13" ht="17.25" customHeight="1">
      <c r="B796" s="15"/>
      <c r="C796" s="45"/>
      <c r="D796" s="45"/>
      <c r="E796" s="45"/>
      <c r="F796" s="45"/>
      <c r="G796" s="45"/>
      <c r="H796" s="45"/>
      <c r="I796" s="124"/>
      <c r="J796" s="124"/>
      <c r="K796" s="45"/>
      <c r="L796" s="124"/>
      <c r="M796" s="124"/>
    </row>
    <row r="797" spans="2:13" ht="17.25" customHeight="1">
      <c r="B797" s="15"/>
      <c r="C797" s="45"/>
      <c r="D797" s="45"/>
      <c r="E797" s="45"/>
      <c r="F797" s="45"/>
      <c r="G797" s="45"/>
      <c r="H797" s="45"/>
      <c r="I797" s="124"/>
      <c r="J797" s="124"/>
      <c r="K797" s="45"/>
      <c r="L797" s="124"/>
      <c r="M797" s="124"/>
    </row>
    <row r="798" spans="2:13" ht="17.25" customHeight="1">
      <c r="B798" s="15"/>
      <c r="C798" s="45"/>
      <c r="D798" s="45"/>
      <c r="E798" s="45"/>
      <c r="F798" s="45"/>
      <c r="G798" s="45"/>
      <c r="H798" s="45"/>
      <c r="I798" s="124"/>
      <c r="J798" s="124"/>
      <c r="K798" s="45"/>
      <c r="L798" s="124"/>
      <c r="M798" s="124"/>
    </row>
    <row r="799" spans="2:13" ht="17.25" customHeight="1">
      <c r="B799" s="15"/>
      <c r="C799" s="45"/>
      <c r="D799" s="45"/>
      <c r="E799" s="45"/>
      <c r="F799" s="45"/>
      <c r="G799" s="45"/>
      <c r="H799" s="45"/>
      <c r="I799" s="124"/>
      <c r="J799" s="124"/>
      <c r="K799" s="45"/>
      <c r="L799" s="124"/>
      <c r="M799" s="124"/>
    </row>
    <row r="800" spans="2:13" ht="17.25" customHeight="1">
      <c r="B800" s="15"/>
      <c r="C800" s="45"/>
      <c r="D800" s="45"/>
      <c r="E800" s="45"/>
      <c r="F800" s="45"/>
      <c r="G800" s="45"/>
      <c r="H800" s="45"/>
      <c r="I800" s="124"/>
      <c r="J800" s="124"/>
      <c r="K800" s="45"/>
      <c r="L800" s="124"/>
      <c r="M800" s="124"/>
    </row>
    <row r="801" spans="2:13" ht="17.25" customHeight="1">
      <c r="B801" s="15"/>
      <c r="C801" s="45"/>
      <c r="D801" s="45"/>
      <c r="E801" s="45"/>
      <c r="F801" s="45"/>
      <c r="G801" s="45"/>
      <c r="H801" s="45"/>
      <c r="I801" s="124"/>
      <c r="J801" s="124"/>
      <c r="K801" s="45"/>
      <c r="L801" s="124"/>
      <c r="M801" s="124"/>
    </row>
    <row r="802" spans="2:13" ht="17.25" customHeight="1">
      <c r="B802" s="15"/>
      <c r="C802" s="45"/>
      <c r="D802" s="45"/>
      <c r="E802" s="45"/>
      <c r="F802" s="45"/>
      <c r="G802" s="45"/>
      <c r="H802" s="45"/>
      <c r="I802" s="124"/>
      <c r="J802" s="124"/>
      <c r="K802" s="45"/>
      <c r="L802" s="124"/>
      <c r="M802" s="124"/>
    </row>
    <row r="803" spans="2:13" ht="17.25" customHeight="1">
      <c r="B803" s="15"/>
      <c r="C803" s="45"/>
      <c r="D803" s="45"/>
      <c r="E803" s="45"/>
      <c r="F803" s="45"/>
      <c r="G803" s="45"/>
      <c r="H803" s="45"/>
      <c r="I803" s="124"/>
      <c r="J803" s="124"/>
      <c r="K803" s="45"/>
      <c r="L803" s="124"/>
      <c r="M803" s="124"/>
    </row>
    <row r="804" spans="2:13" ht="17.25" customHeight="1">
      <c r="B804" s="15"/>
      <c r="C804" s="45"/>
      <c r="D804" s="45"/>
      <c r="E804" s="45"/>
      <c r="F804" s="45"/>
      <c r="G804" s="45"/>
      <c r="H804" s="45"/>
      <c r="I804" s="124"/>
      <c r="J804" s="124"/>
      <c r="K804" s="45"/>
      <c r="L804" s="124"/>
      <c r="M804" s="124"/>
    </row>
    <row r="805" spans="2:13" ht="17.25" customHeight="1">
      <c r="B805" s="15"/>
      <c r="C805" s="45"/>
      <c r="D805" s="45"/>
      <c r="E805" s="45"/>
      <c r="F805" s="45"/>
      <c r="G805" s="45"/>
      <c r="H805" s="45"/>
      <c r="I805" s="124"/>
      <c r="J805" s="124"/>
      <c r="K805" s="45"/>
      <c r="L805" s="124"/>
      <c r="M805" s="124"/>
    </row>
    <row r="806" spans="2:13" ht="17.25" customHeight="1">
      <c r="B806" s="15"/>
      <c r="C806" s="45"/>
      <c r="D806" s="45"/>
      <c r="E806" s="45"/>
      <c r="F806" s="45"/>
      <c r="G806" s="45"/>
      <c r="H806" s="45"/>
      <c r="I806" s="124"/>
      <c r="J806" s="124"/>
      <c r="K806" s="45"/>
      <c r="L806" s="124"/>
      <c r="M806" s="124"/>
    </row>
    <row r="807" spans="2:13" ht="17.25" customHeight="1">
      <c r="B807" s="15"/>
      <c r="C807" s="45"/>
      <c r="D807" s="45"/>
      <c r="E807" s="45"/>
      <c r="F807" s="45"/>
      <c r="G807" s="45"/>
      <c r="H807" s="45"/>
      <c r="I807" s="124"/>
      <c r="J807" s="124"/>
      <c r="K807" s="45"/>
      <c r="L807" s="124"/>
      <c r="M807" s="124"/>
    </row>
    <row r="808" spans="2:13" ht="17.25" customHeight="1">
      <c r="B808" s="15"/>
      <c r="C808" s="45"/>
      <c r="D808" s="45"/>
      <c r="E808" s="45"/>
      <c r="F808" s="45"/>
      <c r="G808" s="45"/>
      <c r="H808" s="45"/>
      <c r="I808" s="124"/>
      <c r="J808" s="124"/>
      <c r="K808" s="45"/>
      <c r="L808" s="124"/>
      <c r="M808" s="124"/>
    </row>
    <row r="809" spans="2:13" ht="17.25" customHeight="1">
      <c r="B809" s="15"/>
      <c r="C809" s="45"/>
      <c r="D809" s="45"/>
      <c r="E809" s="45"/>
      <c r="F809" s="45"/>
      <c r="G809" s="45"/>
      <c r="H809" s="45"/>
      <c r="I809" s="124"/>
      <c r="J809" s="124"/>
      <c r="K809" s="45"/>
      <c r="L809" s="124"/>
      <c r="M809" s="124"/>
    </row>
    <row r="810" spans="2:13" ht="17.25" customHeight="1">
      <c r="B810" s="15"/>
      <c r="C810" s="45"/>
      <c r="D810" s="45"/>
      <c r="E810" s="45"/>
      <c r="F810" s="45"/>
      <c r="G810" s="45"/>
      <c r="H810" s="45"/>
      <c r="I810" s="124"/>
      <c r="J810" s="124"/>
      <c r="K810" s="45"/>
      <c r="L810" s="124"/>
      <c r="M810" s="124"/>
    </row>
    <row r="811" spans="2:13" ht="17.25" customHeight="1">
      <c r="B811" s="15"/>
      <c r="C811" s="45"/>
      <c r="D811" s="45"/>
      <c r="E811" s="45"/>
      <c r="F811" s="45"/>
      <c r="G811" s="45"/>
      <c r="H811" s="45"/>
      <c r="I811" s="124"/>
      <c r="J811" s="124"/>
      <c r="K811" s="45"/>
      <c r="L811" s="124"/>
      <c r="M811" s="124"/>
    </row>
    <row r="812" spans="2:13" ht="17.25" customHeight="1">
      <c r="B812" s="15"/>
      <c r="C812" s="45"/>
      <c r="D812" s="45"/>
      <c r="E812" s="45"/>
      <c r="F812" s="45"/>
      <c r="G812" s="45"/>
      <c r="H812" s="45"/>
      <c r="I812" s="124"/>
      <c r="J812" s="124"/>
      <c r="K812" s="45"/>
      <c r="L812" s="124"/>
      <c r="M812" s="124"/>
    </row>
    <row r="813" spans="2:13" ht="17.25" customHeight="1">
      <c r="B813" s="15"/>
      <c r="C813" s="45"/>
      <c r="D813" s="45"/>
      <c r="E813" s="45"/>
      <c r="F813" s="45"/>
      <c r="G813" s="45"/>
      <c r="H813" s="45"/>
      <c r="I813" s="124"/>
      <c r="J813" s="124"/>
      <c r="K813" s="45"/>
      <c r="L813" s="124"/>
      <c r="M813" s="124"/>
    </row>
    <row r="814" spans="2:13" ht="17.25" customHeight="1">
      <c r="B814" s="15"/>
      <c r="C814" s="45"/>
      <c r="D814" s="45"/>
      <c r="E814" s="45"/>
      <c r="F814" s="45"/>
      <c r="G814" s="45"/>
      <c r="H814" s="45"/>
      <c r="I814" s="124"/>
      <c r="J814" s="124"/>
      <c r="K814" s="45"/>
      <c r="L814" s="124"/>
      <c r="M814" s="124"/>
    </row>
    <row r="815" spans="2:13" ht="17.25" customHeight="1">
      <c r="B815" s="15"/>
      <c r="C815" s="45"/>
      <c r="D815" s="45"/>
      <c r="E815" s="45"/>
      <c r="F815" s="45"/>
      <c r="G815" s="45"/>
      <c r="H815" s="45"/>
      <c r="I815" s="124"/>
      <c r="J815" s="124"/>
      <c r="K815" s="45"/>
      <c r="L815" s="124"/>
      <c r="M815" s="124"/>
    </row>
    <row r="816" spans="2:13" ht="17.25" customHeight="1">
      <c r="B816" s="15"/>
      <c r="C816" s="45"/>
      <c r="D816" s="45"/>
      <c r="E816" s="45"/>
      <c r="F816" s="45"/>
      <c r="G816" s="45"/>
      <c r="H816" s="45"/>
      <c r="I816" s="124"/>
      <c r="J816" s="124"/>
      <c r="K816" s="45"/>
      <c r="L816" s="124"/>
      <c r="M816" s="124"/>
    </row>
    <row r="817" spans="2:13" ht="17.25" customHeight="1">
      <c r="B817" s="15"/>
      <c r="C817" s="45"/>
      <c r="D817" s="45"/>
      <c r="E817" s="45"/>
      <c r="F817" s="45"/>
      <c r="G817" s="45"/>
      <c r="H817" s="45"/>
      <c r="I817" s="124"/>
      <c r="J817" s="124"/>
      <c r="K817" s="45"/>
      <c r="L817" s="124"/>
      <c r="M817" s="124"/>
    </row>
    <row r="818" spans="2:13" ht="17.25" customHeight="1">
      <c r="B818" s="15"/>
      <c r="C818" s="45"/>
      <c r="D818" s="45"/>
      <c r="E818" s="45"/>
      <c r="F818" s="45"/>
      <c r="G818" s="45"/>
      <c r="H818" s="45"/>
      <c r="I818" s="124"/>
      <c r="J818" s="124"/>
      <c r="K818" s="45"/>
      <c r="L818" s="124"/>
      <c r="M818" s="124"/>
    </row>
    <row r="819" spans="2:13" ht="17.25" customHeight="1">
      <c r="B819" s="15"/>
      <c r="C819" s="45"/>
      <c r="D819" s="45"/>
      <c r="E819" s="45"/>
      <c r="F819" s="45"/>
      <c r="G819" s="45"/>
      <c r="H819" s="45"/>
      <c r="I819" s="124"/>
      <c r="J819" s="124"/>
      <c r="K819" s="45"/>
      <c r="L819" s="124"/>
      <c r="M819" s="124"/>
    </row>
    <row r="820" spans="2:13" ht="17.25" customHeight="1">
      <c r="B820" s="15"/>
      <c r="C820" s="45"/>
      <c r="D820" s="45"/>
      <c r="E820" s="45"/>
      <c r="F820" s="45"/>
      <c r="G820" s="45"/>
      <c r="H820" s="45"/>
      <c r="I820" s="124"/>
      <c r="J820" s="124"/>
      <c r="K820" s="45"/>
      <c r="L820" s="124"/>
      <c r="M820" s="124"/>
    </row>
    <row r="821" spans="2:13" ht="17.25" customHeight="1">
      <c r="B821" s="15"/>
      <c r="C821" s="45"/>
      <c r="D821" s="45"/>
      <c r="E821" s="45"/>
      <c r="F821" s="45"/>
      <c r="G821" s="45"/>
      <c r="H821" s="45"/>
      <c r="I821" s="124"/>
      <c r="J821" s="124"/>
      <c r="K821" s="45"/>
      <c r="L821" s="124"/>
      <c r="M821" s="124"/>
    </row>
    <row r="822" spans="2:13" ht="17.25" customHeight="1">
      <c r="B822" s="15"/>
      <c r="C822" s="45"/>
      <c r="D822" s="45"/>
      <c r="E822" s="45"/>
      <c r="F822" s="45"/>
      <c r="G822" s="45"/>
      <c r="H822" s="45"/>
      <c r="I822" s="124"/>
      <c r="J822" s="124"/>
      <c r="K822" s="45"/>
      <c r="L822" s="124"/>
      <c r="M822" s="124"/>
    </row>
    <row r="823" spans="2:13" ht="17.25" customHeight="1">
      <c r="B823" s="15"/>
      <c r="C823" s="45"/>
      <c r="D823" s="45"/>
      <c r="E823" s="45"/>
      <c r="F823" s="45"/>
      <c r="G823" s="45"/>
      <c r="H823" s="45"/>
      <c r="I823" s="124"/>
      <c r="J823" s="124"/>
      <c r="K823" s="45"/>
      <c r="L823" s="124"/>
      <c r="M823" s="124"/>
    </row>
    <row r="824" spans="2:13" ht="17.25" customHeight="1">
      <c r="B824" s="15"/>
      <c r="C824" s="45"/>
      <c r="D824" s="45"/>
      <c r="E824" s="45"/>
      <c r="F824" s="45"/>
      <c r="G824" s="45"/>
      <c r="H824" s="45"/>
      <c r="I824" s="124"/>
      <c r="J824" s="124"/>
      <c r="K824" s="45"/>
      <c r="L824" s="124"/>
      <c r="M824" s="124"/>
    </row>
    <row r="825" spans="2:13" ht="17.25" customHeight="1">
      <c r="B825" s="15"/>
      <c r="C825" s="45"/>
      <c r="D825" s="45"/>
      <c r="E825" s="45"/>
      <c r="F825" s="45"/>
      <c r="G825" s="45"/>
      <c r="H825" s="45"/>
      <c r="I825" s="124"/>
      <c r="J825" s="124"/>
      <c r="K825" s="45"/>
      <c r="L825" s="124"/>
      <c r="M825" s="124"/>
    </row>
    <row r="826" spans="2:13" ht="17.25" customHeight="1">
      <c r="B826" s="15"/>
      <c r="C826" s="45"/>
      <c r="D826" s="45"/>
      <c r="E826" s="45"/>
      <c r="F826" s="45"/>
      <c r="G826" s="45"/>
      <c r="H826" s="45"/>
      <c r="I826" s="124"/>
      <c r="J826" s="124"/>
      <c r="K826" s="45"/>
      <c r="L826" s="124"/>
      <c r="M826" s="124"/>
    </row>
    <row r="827" spans="2:13" ht="17.25" customHeight="1">
      <c r="B827" s="15"/>
      <c r="C827" s="45"/>
      <c r="D827" s="45"/>
      <c r="E827" s="45"/>
      <c r="F827" s="45"/>
      <c r="G827" s="45"/>
      <c r="H827" s="45"/>
      <c r="I827" s="124"/>
      <c r="J827" s="124"/>
      <c r="K827" s="45"/>
      <c r="L827" s="124"/>
      <c r="M827" s="124"/>
    </row>
    <row r="828" spans="2:13" ht="17.25" customHeight="1">
      <c r="B828" s="15"/>
      <c r="C828" s="15"/>
      <c r="D828" s="15"/>
      <c r="E828" s="15"/>
      <c r="F828" s="15"/>
      <c r="G828" s="15"/>
      <c r="H828" s="15"/>
      <c r="I828" s="124"/>
      <c r="J828" s="124"/>
      <c r="K828" s="45"/>
      <c r="L828" s="124"/>
      <c r="M828" s="124"/>
    </row>
    <row r="829" spans="2:13" ht="17.25" customHeight="1">
      <c r="B829" s="15"/>
      <c r="C829" s="15"/>
      <c r="D829" s="15"/>
      <c r="E829" s="15"/>
      <c r="F829" s="15"/>
      <c r="G829" s="15"/>
      <c r="H829" s="15"/>
      <c r="I829" s="124"/>
      <c r="J829" s="124"/>
      <c r="K829" s="45"/>
      <c r="L829" s="124"/>
      <c r="M829" s="124"/>
    </row>
    <row r="830" spans="2:13" ht="17.25" customHeight="1">
      <c r="B830" s="15"/>
      <c r="C830" s="15"/>
      <c r="D830" s="15"/>
      <c r="E830" s="15"/>
      <c r="F830" s="15"/>
      <c r="G830" s="15"/>
      <c r="H830" s="15"/>
      <c r="I830" s="124"/>
      <c r="J830" s="124"/>
      <c r="K830" s="45"/>
      <c r="L830" s="124"/>
      <c r="M830" s="124"/>
    </row>
    <row r="831" spans="2:13" ht="17.25" customHeight="1">
      <c r="B831" s="15"/>
      <c r="C831" s="15"/>
      <c r="D831" s="15"/>
      <c r="E831" s="15"/>
      <c r="F831" s="15"/>
      <c r="G831" s="15"/>
      <c r="H831" s="15"/>
      <c r="I831" s="124"/>
      <c r="J831" s="124"/>
      <c r="K831" s="45"/>
      <c r="L831" s="124"/>
      <c r="M831" s="124"/>
    </row>
    <row r="832" spans="2:13" ht="17.25" customHeight="1">
      <c r="B832" s="15"/>
      <c r="C832" s="15"/>
      <c r="D832" s="15"/>
      <c r="E832" s="15"/>
      <c r="F832" s="15"/>
      <c r="G832" s="15"/>
      <c r="H832" s="15"/>
      <c r="I832" s="124"/>
      <c r="J832" s="124"/>
      <c r="K832" s="45"/>
      <c r="L832" s="124"/>
      <c r="M832" s="124"/>
    </row>
    <row r="833" spans="2:13" ht="17.25" customHeight="1">
      <c r="B833" s="15"/>
      <c r="C833" s="15"/>
      <c r="D833" s="15"/>
      <c r="E833" s="15"/>
      <c r="F833" s="15"/>
      <c r="G833" s="15"/>
      <c r="H833" s="15"/>
      <c r="I833" s="124"/>
      <c r="J833" s="124"/>
      <c r="K833" s="45"/>
      <c r="L833" s="124"/>
      <c r="M833" s="124"/>
    </row>
    <row r="834" spans="2:13" ht="17.25" customHeight="1">
      <c r="B834" s="15"/>
      <c r="C834" s="15"/>
      <c r="D834" s="15"/>
      <c r="E834" s="15"/>
      <c r="F834" s="15"/>
      <c r="G834" s="15"/>
      <c r="H834" s="15"/>
      <c r="I834" s="124"/>
      <c r="J834" s="124"/>
      <c r="K834" s="45"/>
      <c r="L834" s="124"/>
      <c r="M834" s="124"/>
    </row>
    <row r="835" spans="2:13" ht="17.25" customHeight="1">
      <c r="B835" s="15"/>
      <c r="C835" s="15"/>
      <c r="D835" s="15"/>
      <c r="E835" s="15"/>
      <c r="F835" s="15"/>
      <c r="G835" s="15"/>
      <c r="H835" s="15"/>
      <c r="I835" s="124"/>
      <c r="J835" s="124"/>
      <c r="K835" s="45"/>
      <c r="L835" s="124"/>
      <c r="M835" s="124"/>
    </row>
    <row r="836" spans="2:13" ht="17.25" customHeight="1">
      <c r="B836" s="15"/>
      <c r="C836" s="15"/>
      <c r="D836" s="15"/>
      <c r="E836" s="15"/>
      <c r="F836" s="15"/>
      <c r="G836" s="15"/>
      <c r="H836" s="15"/>
      <c r="I836" s="124"/>
      <c r="J836" s="124"/>
      <c r="K836" s="45"/>
      <c r="L836" s="124"/>
      <c r="M836" s="124"/>
    </row>
    <row r="837" spans="2:13" ht="17.25" customHeight="1">
      <c r="B837" s="15"/>
      <c r="C837" s="15"/>
      <c r="D837" s="15"/>
      <c r="E837" s="15"/>
      <c r="F837" s="15"/>
      <c r="G837" s="15"/>
      <c r="H837" s="15"/>
      <c r="I837" s="124"/>
      <c r="J837" s="124"/>
      <c r="K837" s="45"/>
      <c r="L837" s="124"/>
      <c r="M837" s="124"/>
    </row>
    <row r="838" spans="2:13" ht="17.25" customHeight="1">
      <c r="B838" s="15"/>
      <c r="C838" s="15"/>
      <c r="D838" s="15"/>
      <c r="E838" s="15"/>
      <c r="F838" s="15"/>
      <c r="G838" s="15"/>
      <c r="H838" s="15"/>
      <c r="I838" s="124"/>
      <c r="J838" s="124"/>
      <c r="K838" s="45"/>
      <c r="L838" s="124"/>
      <c r="M838" s="124"/>
    </row>
    <row r="839" spans="2:13" ht="17.25" customHeight="1">
      <c r="B839" s="15"/>
      <c r="C839" s="15"/>
      <c r="D839" s="15"/>
      <c r="E839" s="15"/>
      <c r="F839" s="15"/>
      <c r="G839" s="15"/>
      <c r="H839" s="15"/>
      <c r="I839" s="124"/>
      <c r="J839" s="124"/>
      <c r="K839" s="45"/>
      <c r="L839" s="124"/>
      <c r="M839" s="124"/>
    </row>
    <row r="840" spans="2:13" ht="17.25" customHeight="1">
      <c r="B840" s="15"/>
      <c r="C840" s="15"/>
      <c r="D840" s="15"/>
      <c r="E840" s="15"/>
      <c r="F840" s="15"/>
      <c r="G840" s="15"/>
      <c r="H840" s="15"/>
      <c r="I840" s="124"/>
      <c r="J840" s="124"/>
      <c r="K840" s="45"/>
      <c r="L840" s="124"/>
      <c r="M840" s="124"/>
    </row>
    <row r="841" spans="2:13" ht="17.25" customHeight="1">
      <c r="B841" s="15"/>
      <c r="C841" s="15"/>
      <c r="D841" s="15"/>
      <c r="E841" s="15"/>
      <c r="F841" s="15"/>
      <c r="G841" s="15"/>
      <c r="H841" s="15"/>
      <c r="I841" s="124"/>
      <c r="J841" s="124"/>
      <c r="K841" s="45"/>
      <c r="L841" s="124"/>
      <c r="M841" s="124"/>
    </row>
    <row r="842" spans="2:13" ht="17.25" customHeight="1">
      <c r="B842" s="15"/>
      <c r="C842" s="15"/>
      <c r="D842" s="15"/>
      <c r="E842" s="15"/>
      <c r="F842" s="15"/>
      <c r="G842" s="15"/>
      <c r="H842" s="15"/>
      <c r="I842" s="124"/>
      <c r="J842" s="124"/>
      <c r="K842" s="45"/>
      <c r="L842" s="124"/>
      <c r="M842" s="124"/>
    </row>
    <row r="843" spans="2:13" ht="17.25" customHeight="1">
      <c r="B843" s="15"/>
      <c r="C843" s="15"/>
      <c r="D843" s="15"/>
      <c r="E843" s="15"/>
      <c r="F843" s="15"/>
      <c r="G843" s="15"/>
      <c r="H843" s="15"/>
      <c r="I843" s="124"/>
      <c r="J843" s="124"/>
      <c r="K843" s="45"/>
      <c r="L843" s="124"/>
      <c r="M843" s="124"/>
    </row>
    <row r="844" spans="2:13" ht="17.25" customHeight="1">
      <c r="B844" s="15"/>
      <c r="C844" s="15"/>
      <c r="D844" s="15"/>
      <c r="E844" s="15"/>
      <c r="F844" s="15"/>
      <c r="G844" s="15"/>
      <c r="H844" s="15"/>
      <c r="I844" s="124"/>
      <c r="J844" s="124"/>
      <c r="K844" s="45"/>
      <c r="L844" s="124"/>
      <c r="M844" s="124"/>
    </row>
    <row r="845" spans="2:13" ht="17.25" customHeight="1">
      <c r="B845" s="15"/>
      <c r="C845" s="15"/>
      <c r="D845" s="15"/>
      <c r="E845" s="15"/>
      <c r="F845" s="15"/>
      <c r="G845" s="15"/>
      <c r="H845" s="15"/>
      <c r="I845" s="124"/>
      <c r="J845" s="124"/>
      <c r="K845" s="45"/>
      <c r="L845" s="124"/>
      <c r="M845" s="124"/>
    </row>
    <row r="846" spans="2:13" ht="17.25" customHeight="1">
      <c r="B846" s="15"/>
      <c r="C846" s="15"/>
      <c r="D846" s="15"/>
      <c r="E846" s="15"/>
      <c r="F846" s="15"/>
      <c r="G846" s="15"/>
      <c r="H846" s="15"/>
      <c r="I846" s="124"/>
      <c r="J846" s="124"/>
      <c r="K846" s="45"/>
      <c r="L846" s="124"/>
      <c r="M846" s="124"/>
    </row>
    <row r="847" spans="2:13" ht="17.25" customHeight="1">
      <c r="B847" s="15"/>
      <c r="C847" s="15"/>
      <c r="D847" s="15"/>
      <c r="E847" s="15"/>
      <c r="F847" s="15"/>
      <c r="G847" s="15"/>
      <c r="H847" s="15"/>
      <c r="I847" s="124"/>
      <c r="J847" s="124"/>
      <c r="K847" s="45"/>
      <c r="L847" s="124"/>
      <c r="M847" s="124"/>
    </row>
    <row r="848" spans="2:13" ht="17.25" customHeight="1">
      <c r="B848" s="15"/>
      <c r="C848" s="15"/>
      <c r="D848" s="15"/>
      <c r="E848" s="15"/>
      <c r="F848" s="15"/>
      <c r="G848" s="15"/>
      <c r="H848" s="15"/>
      <c r="I848" s="124"/>
      <c r="J848" s="124"/>
      <c r="K848" s="45"/>
      <c r="L848" s="124"/>
      <c r="M848" s="124"/>
    </row>
    <row r="849" spans="2:13" ht="17.25" customHeight="1">
      <c r="B849" s="15"/>
      <c r="C849" s="15"/>
      <c r="D849" s="15"/>
      <c r="E849" s="15"/>
      <c r="F849" s="15"/>
      <c r="G849" s="15"/>
      <c r="H849" s="15"/>
      <c r="I849" s="124"/>
      <c r="J849" s="124"/>
      <c r="K849" s="45"/>
      <c r="L849" s="124"/>
      <c r="M849" s="124"/>
    </row>
    <row r="850" spans="2:13" ht="17.25" customHeight="1">
      <c r="B850" s="15"/>
      <c r="C850" s="15"/>
      <c r="D850" s="15"/>
      <c r="E850" s="15"/>
      <c r="F850" s="15"/>
      <c r="G850" s="15"/>
      <c r="H850" s="15"/>
      <c r="I850" s="124"/>
      <c r="J850" s="124"/>
      <c r="K850" s="45"/>
      <c r="L850" s="124"/>
      <c r="M850" s="124"/>
    </row>
    <row r="851" spans="2:13" ht="17.25" customHeight="1">
      <c r="B851" s="15"/>
      <c r="C851" s="15"/>
      <c r="D851" s="15"/>
      <c r="E851" s="15"/>
      <c r="F851" s="15"/>
      <c r="G851" s="15"/>
      <c r="H851" s="15"/>
      <c r="I851" s="124"/>
      <c r="J851" s="124"/>
      <c r="K851" s="45"/>
      <c r="L851" s="124"/>
      <c r="M851" s="124"/>
    </row>
    <row r="852" spans="2:13" ht="17.25" customHeight="1">
      <c r="B852" s="15"/>
      <c r="C852" s="15"/>
      <c r="D852" s="15"/>
      <c r="E852" s="15"/>
      <c r="F852" s="15"/>
      <c r="G852" s="15"/>
      <c r="H852" s="15"/>
      <c r="I852" s="124"/>
      <c r="J852" s="124"/>
      <c r="K852" s="45"/>
      <c r="L852" s="124"/>
      <c r="M852" s="124"/>
    </row>
    <row r="853" spans="2:13" ht="17.25" customHeight="1">
      <c r="B853" s="15"/>
      <c r="C853" s="15"/>
      <c r="D853" s="15"/>
      <c r="E853" s="15"/>
      <c r="F853" s="15"/>
      <c r="G853" s="15"/>
      <c r="H853" s="15"/>
      <c r="I853" s="124"/>
      <c r="J853" s="124"/>
      <c r="K853" s="45"/>
      <c r="L853" s="124"/>
      <c r="M853" s="124"/>
    </row>
    <row r="854" spans="2:13" ht="17.25" customHeight="1">
      <c r="B854" s="15"/>
      <c r="C854" s="15"/>
      <c r="D854" s="15"/>
      <c r="E854" s="15"/>
      <c r="F854" s="15"/>
      <c r="G854" s="15"/>
      <c r="H854" s="15"/>
      <c r="I854" s="124"/>
      <c r="J854" s="124"/>
      <c r="K854" s="45"/>
      <c r="L854" s="124"/>
      <c r="M854" s="124"/>
    </row>
    <row r="855" spans="2:13" ht="17.25" customHeight="1">
      <c r="B855" s="15"/>
      <c r="C855" s="15"/>
      <c r="D855" s="15"/>
      <c r="E855" s="15"/>
      <c r="F855" s="15"/>
      <c r="G855" s="15"/>
      <c r="H855" s="15"/>
      <c r="I855" s="124"/>
      <c r="J855" s="124"/>
      <c r="K855" s="45"/>
      <c r="L855" s="124"/>
      <c r="M855" s="124"/>
    </row>
    <row r="856" spans="2:13" ht="17.25" customHeight="1">
      <c r="B856" s="15"/>
      <c r="C856" s="15"/>
      <c r="D856" s="15"/>
      <c r="E856" s="15"/>
      <c r="F856" s="15"/>
      <c r="G856" s="15"/>
      <c r="H856" s="15"/>
      <c r="I856" s="124"/>
      <c r="J856" s="124"/>
      <c r="K856" s="45"/>
      <c r="L856" s="124"/>
      <c r="M856" s="124"/>
    </row>
    <row r="857" spans="2:13" ht="17.25" customHeight="1">
      <c r="B857" s="15"/>
      <c r="C857" s="15"/>
      <c r="D857" s="15"/>
      <c r="E857" s="15"/>
      <c r="F857" s="15"/>
      <c r="G857" s="15"/>
      <c r="H857" s="15"/>
      <c r="I857" s="124"/>
      <c r="J857" s="124"/>
      <c r="K857" s="45"/>
      <c r="L857" s="124"/>
      <c r="M857" s="124"/>
    </row>
    <row r="858" spans="2:13" ht="17.25" customHeight="1">
      <c r="B858" s="15"/>
      <c r="C858" s="15"/>
      <c r="D858" s="15"/>
      <c r="E858" s="15"/>
      <c r="F858" s="15"/>
      <c r="G858" s="15"/>
      <c r="H858" s="15"/>
      <c r="I858" s="124"/>
      <c r="J858" s="124"/>
      <c r="K858" s="45"/>
      <c r="L858" s="124"/>
      <c r="M858" s="124"/>
    </row>
    <row r="859" spans="2:13" ht="17.25" customHeight="1">
      <c r="B859" s="15"/>
      <c r="C859" s="15"/>
      <c r="D859" s="15"/>
      <c r="E859" s="15"/>
      <c r="F859" s="15"/>
      <c r="G859" s="15"/>
      <c r="H859" s="15"/>
      <c r="I859" s="124"/>
      <c r="J859" s="124"/>
      <c r="K859" s="45"/>
      <c r="L859" s="124"/>
      <c r="M859" s="124"/>
    </row>
    <row r="860" spans="2:13" ht="17.25" customHeight="1">
      <c r="B860" s="15"/>
      <c r="C860" s="15"/>
      <c r="D860" s="15"/>
      <c r="E860" s="15"/>
      <c r="F860" s="15"/>
      <c r="G860" s="15"/>
      <c r="H860" s="15"/>
      <c r="I860" s="124"/>
      <c r="J860" s="124"/>
      <c r="K860" s="45"/>
      <c r="L860" s="124"/>
      <c r="M860" s="124"/>
    </row>
    <row r="861" spans="2:13" ht="17.25" customHeight="1">
      <c r="B861" s="15"/>
      <c r="C861" s="15"/>
      <c r="D861" s="15"/>
      <c r="E861" s="15"/>
      <c r="F861" s="15"/>
      <c r="G861" s="15"/>
      <c r="H861" s="15"/>
      <c r="I861" s="124"/>
      <c r="J861" s="124"/>
      <c r="K861" s="45"/>
      <c r="L861" s="124"/>
      <c r="M861" s="124"/>
    </row>
    <row r="862" spans="2:13" ht="17.25" customHeight="1">
      <c r="B862" s="15"/>
      <c r="C862" s="15"/>
      <c r="D862" s="15"/>
      <c r="E862" s="15"/>
      <c r="F862" s="15"/>
      <c r="G862" s="15"/>
      <c r="H862" s="15"/>
      <c r="I862" s="124"/>
      <c r="J862" s="124"/>
      <c r="K862" s="45"/>
      <c r="L862" s="124"/>
      <c r="M862" s="124"/>
    </row>
    <row r="863" spans="2:13" ht="17.25" customHeight="1">
      <c r="B863" s="15"/>
      <c r="C863" s="15"/>
      <c r="D863" s="15"/>
      <c r="E863" s="15"/>
      <c r="F863" s="15"/>
      <c r="G863" s="15"/>
      <c r="H863" s="15"/>
      <c r="I863" s="124"/>
      <c r="J863" s="124"/>
      <c r="K863" s="45"/>
      <c r="L863" s="124"/>
      <c r="M863" s="124"/>
    </row>
    <row r="864" spans="2:13" ht="17.25" customHeight="1">
      <c r="B864" s="15"/>
      <c r="C864" s="15"/>
      <c r="D864" s="15"/>
      <c r="E864" s="15"/>
      <c r="F864" s="15"/>
      <c r="G864" s="15"/>
      <c r="H864" s="15"/>
      <c r="I864" s="124"/>
      <c r="J864" s="124"/>
      <c r="K864" s="45"/>
      <c r="L864" s="124"/>
      <c r="M864" s="124"/>
    </row>
    <row r="865" spans="2:13" ht="17.25" customHeight="1">
      <c r="B865" s="15"/>
      <c r="C865" s="15"/>
      <c r="D865" s="15"/>
      <c r="E865" s="15"/>
      <c r="F865" s="15"/>
      <c r="G865" s="15"/>
      <c r="H865" s="15"/>
      <c r="I865" s="124"/>
      <c r="J865" s="124"/>
      <c r="K865" s="45"/>
      <c r="L865" s="124"/>
      <c r="M865" s="124"/>
    </row>
    <row r="866" spans="2:13" ht="17.25" customHeight="1">
      <c r="B866" s="15"/>
      <c r="C866" s="15"/>
      <c r="D866" s="15"/>
      <c r="E866" s="15"/>
      <c r="F866" s="15"/>
      <c r="G866" s="15"/>
      <c r="H866" s="15"/>
      <c r="I866" s="124"/>
      <c r="J866" s="124"/>
      <c r="K866" s="45"/>
      <c r="L866" s="124"/>
      <c r="M866" s="124"/>
    </row>
    <row r="867" spans="2:13" ht="17.25" customHeight="1">
      <c r="B867" s="15"/>
      <c r="C867" s="15"/>
      <c r="D867" s="15"/>
      <c r="E867" s="15"/>
      <c r="F867" s="15"/>
      <c r="G867" s="15"/>
      <c r="H867" s="15"/>
      <c r="I867" s="124"/>
      <c r="J867" s="124"/>
      <c r="K867" s="45"/>
      <c r="L867" s="124"/>
      <c r="M867" s="124"/>
    </row>
    <row r="868" spans="2:13" ht="17.25" customHeight="1">
      <c r="B868" s="15"/>
      <c r="C868" s="15"/>
      <c r="D868" s="15"/>
      <c r="E868" s="15"/>
      <c r="F868" s="15"/>
      <c r="G868" s="15"/>
      <c r="H868" s="15"/>
      <c r="I868" s="124"/>
      <c r="J868" s="124"/>
      <c r="K868" s="45"/>
      <c r="L868" s="124"/>
      <c r="M868" s="124"/>
    </row>
    <row r="869" spans="2:13" ht="17.25" customHeight="1">
      <c r="B869" s="15"/>
      <c r="C869" s="15"/>
      <c r="D869" s="15"/>
      <c r="E869" s="15"/>
      <c r="F869" s="15"/>
      <c r="G869" s="15"/>
      <c r="H869" s="15"/>
      <c r="I869" s="124"/>
      <c r="J869" s="124"/>
      <c r="K869" s="45"/>
      <c r="L869" s="124"/>
      <c r="M869" s="124"/>
    </row>
    <row r="870" spans="2:13" ht="17.25" customHeight="1">
      <c r="B870" s="15"/>
      <c r="C870" s="15"/>
      <c r="D870" s="15"/>
      <c r="E870" s="15"/>
      <c r="F870" s="15"/>
      <c r="G870" s="15"/>
      <c r="H870" s="15"/>
      <c r="I870" s="124"/>
      <c r="J870" s="124"/>
      <c r="K870" s="45"/>
      <c r="L870" s="124"/>
      <c r="M870" s="124"/>
    </row>
    <row r="871" spans="2:13" ht="17.25" customHeight="1">
      <c r="B871" s="15"/>
      <c r="C871" s="15"/>
      <c r="D871" s="15"/>
      <c r="E871" s="15"/>
      <c r="F871" s="15"/>
      <c r="G871" s="15"/>
      <c r="H871" s="15"/>
      <c r="I871" s="124"/>
      <c r="J871" s="124"/>
      <c r="K871" s="45"/>
      <c r="L871" s="124"/>
      <c r="M871" s="124"/>
    </row>
    <row r="872" spans="2:13" ht="17.25" customHeight="1">
      <c r="B872" s="15"/>
      <c r="C872" s="15"/>
      <c r="D872" s="15"/>
      <c r="E872" s="15"/>
      <c r="F872" s="15"/>
      <c r="G872" s="15"/>
      <c r="H872" s="15"/>
      <c r="I872" s="124"/>
      <c r="J872" s="124"/>
      <c r="K872" s="45"/>
      <c r="L872" s="124"/>
      <c r="M872" s="124"/>
    </row>
    <row r="873" spans="2:13" ht="17.25" customHeight="1">
      <c r="B873" s="15"/>
      <c r="C873" s="15"/>
      <c r="D873" s="15"/>
      <c r="E873" s="15"/>
      <c r="F873" s="15"/>
      <c r="G873" s="15"/>
      <c r="H873" s="15"/>
      <c r="I873" s="124"/>
      <c r="J873" s="124"/>
      <c r="K873" s="45"/>
      <c r="L873" s="124"/>
      <c r="M873" s="124"/>
    </row>
    <row r="874" spans="2:13" ht="17.25" customHeight="1">
      <c r="B874" s="15"/>
      <c r="C874" s="15"/>
      <c r="D874" s="15"/>
      <c r="E874" s="15"/>
      <c r="F874" s="15"/>
      <c r="G874" s="15"/>
      <c r="H874" s="15"/>
      <c r="I874" s="124"/>
      <c r="J874" s="124"/>
      <c r="K874" s="45"/>
      <c r="L874" s="124"/>
      <c r="M874" s="124"/>
    </row>
    <row r="875" spans="2:13" ht="17.25" customHeight="1">
      <c r="B875" s="15"/>
      <c r="C875" s="15"/>
      <c r="D875" s="15"/>
      <c r="E875" s="15"/>
      <c r="F875" s="15"/>
      <c r="G875" s="15"/>
      <c r="H875" s="15"/>
      <c r="I875" s="124"/>
      <c r="J875" s="124"/>
      <c r="K875" s="45"/>
      <c r="L875" s="124"/>
      <c r="M875" s="124"/>
    </row>
    <row r="876" spans="2:13" ht="17.25" customHeight="1">
      <c r="B876" s="15"/>
      <c r="C876" s="15"/>
      <c r="D876" s="15"/>
      <c r="E876" s="15"/>
      <c r="F876" s="15"/>
      <c r="G876" s="15"/>
      <c r="H876" s="15"/>
      <c r="I876" s="124"/>
      <c r="J876" s="124"/>
      <c r="K876" s="45"/>
      <c r="L876" s="124"/>
      <c r="M876" s="124"/>
    </row>
    <row r="877" spans="2:13" ht="17.25" customHeight="1">
      <c r="B877" s="15"/>
      <c r="C877" s="15"/>
      <c r="D877" s="15"/>
      <c r="E877" s="15"/>
      <c r="F877" s="15"/>
      <c r="G877" s="15"/>
      <c r="H877" s="15"/>
      <c r="I877" s="124"/>
      <c r="J877" s="124"/>
      <c r="K877" s="45"/>
      <c r="L877" s="124"/>
      <c r="M877" s="124"/>
    </row>
    <row r="878" spans="2:13" ht="17.25" customHeight="1">
      <c r="B878" s="15"/>
      <c r="C878" s="15"/>
      <c r="D878" s="15"/>
      <c r="E878" s="15"/>
      <c r="F878" s="15"/>
      <c r="G878" s="15"/>
      <c r="H878" s="15"/>
      <c r="I878" s="124"/>
      <c r="J878" s="124"/>
      <c r="K878" s="45"/>
      <c r="L878" s="124"/>
      <c r="M878" s="124"/>
    </row>
    <row r="879" spans="2:13" ht="17.25" customHeight="1">
      <c r="B879" s="15"/>
      <c r="C879" s="15"/>
      <c r="D879" s="15"/>
      <c r="E879" s="15"/>
      <c r="F879" s="15"/>
      <c r="G879" s="15"/>
      <c r="H879" s="15"/>
      <c r="I879" s="124"/>
      <c r="J879" s="124"/>
      <c r="K879" s="45"/>
      <c r="L879" s="124"/>
      <c r="M879" s="124"/>
    </row>
    <row r="880" spans="2:13" ht="17.25" customHeight="1">
      <c r="B880" s="15"/>
      <c r="C880" s="15"/>
      <c r="D880" s="15"/>
      <c r="E880" s="15"/>
      <c r="F880" s="15"/>
      <c r="G880" s="15"/>
      <c r="H880" s="15"/>
      <c r="I880" s="124"/>
      <c r="J880" s="124"/>
      <c r="K880" s="45"/>
      <c r="L880" s="124"/>
      <c r="M880" s="124"/>
    </row>
    <row r="881" spans="2:13" ht="17.25" customHeight="1">
      <c r="B881" s="15"/>
      <c r="C881" s="15"/>
      <c r="D881" s="15"/>
      <c r="E881" s="15"/>
      <c r="F881" s="15"/>
      <c r="G881" s="15"/>
      <c r="H881" s="15"/>
      <c r="I881" s="124"/>
      <c r="J881" s="124"/>
      <c r="K881" s="45"/>
      <c r="L881" s="124"/>
      <c r="M881" s="124"/>
    </row>
    <row r="882" spans="2:13" ht="17.25" customHeight="1">
      <c r="B882" s="15"/>
      <c r="C882" s="15"/>
      <c r="D882" s="15"/>
      <c r="E882" s="15"/>
      <c r="F882" s="15"/>
      <c r="G882" s="15"/>
      <c r="H882" s="15"/>
      <c r="I882" s="124"/>
      <c r="J882" s="124"/>
      <c r="K882" s="45"/>
      <c r="L882" s="124"/>
      <c r="M882" s="124"/>
    </row>
    <row r="883" spans="2:13" ht="17.25" customHeight="1">
      <c r="B883" s="15"/>
      <c r="C883" s="15"/>
      <c r="D883" s="15"/>
      <c r="E883" s="15"/>
      <c r="F883" s="15"/>
      <c r="G883" s="15"/>
      <c r="H883" s="15"/>
      <c r="I883" s="124"/>
      <c r="J883" s="124"/>
      <c r="K883" s="45"/>
      <c r="L883" s="124"/>
      <c r="M883" s="124"/>
    </row>
    <row r="884" spans="2:13" ht="17.25" customHeight="1">
      <c r="B884" s="15"/>
      <c r="C884" s="15"/>
      <c r="D884" s="15"/>
      <c r="E884" s="15"/>
      <c r="F884" s="15"/>
      <c r="G884" s="15"/>
      <c r="H884" s="15"/>
      <c r="I884" s="124"/>
      <c r="J884" s="124"/>
      <c r="K884" s="45"/>
      <c r="L884" s="124"/>
      <c r="M884" s="124"/>
    </row>
    <row r="885" spans="2:13" ht="17.25" customHeight="1">
      <c r="B885" s="15"/>
      <c r="C885" s="15"/>
      <c r="D885" s="15"/>
      <c r="E885" s="15"/>
      <c r="F885" s="15"/>
      <c r="G885" s="15"/>
      <c r="H885" s="15"/>
      <c r="I885" s="124"/>
      <c r="J885" s="124"/>
      <c r="K885" s="45"/>
      <c r="L885" s="124"/>
      <c r="M885" s="124"/>
    </row>
    <row r="886" spans="2:13" ht="17.25" customHeight="1">
      <c r="B886" s="15"/>
      <c r="C886" s="15"/>
      <c r="D886" s="15"/>
      <c r="E886" s="15"/>
      <c r="F886" s="15"/>
      <c r="G886" s="15"/>
      <c r="H886" s="15"/>
      <c r="I886" s="124"/>
      <c r="J886" s="124"/>
      <c r="K886" s="45"/>
      <c r="L886" s="124"/>
      <c r="M886" s="124"/>
    </row>
    <row r="887" spans="2:13" ht="17.25" customHeight="1">
      <c r="B887" s="15"/>
      <c r="C887" s="15"/>
      <c r="D887" s="15"/>
      <c r="E887" s="15"/>
      <c r="F887" s="15"/>
      <c r="G887" s="15"/>
      <c r="H887" s="15"/>
      <c r="I887" s="124"/>
      <c r="J887" s="124"/>
      <c r="K887" s="45"/>
      <c r="L887" s="124"/>
      <c r="M887" s="124"/>
    </row>
    <row r="888" spans="2:13" ht="17.25" customHeight="1">
      <c r="B888" s="15"/>
      <c r="C888" s="15"/>
      <c r="D888" s="15"/>
      <c r="E888" s="15"/>
      <c r="F888" s="15"/>
      <c r="G888" s="15"/>
      <c r="H888" s="15"/>
      <c r="I888" s="124"/>
      <c r="J888" s="124"/>
      <c r="K888" s="45"/>
      <c r="L888" s="124"/>
      <c r="M888" s="124"/>
    </row>
    <row r="889" spans="2:13" ht="17.25" customHeight="1">
      <c r="B889" s="15"/>
      <c r="C889" s="15"/>
      <c r="D889" s="15"/>
      <c r="E889" s="15"/>
      <c r="F889" s="15"/>
      <c r="G889" s="15"/>
      <c r="H889" s="15"/>
      <c r="I889" s="124"/>
      <c r="J889" s="124"/>
      <c r="K889" s="45"/>
      <c r="L889" s="124"/>
      <c r="M889" s="124"/>
    </row>
    <row r="890" spans="2:13" ht="17.25" customHeight="1">
      <c r="B890" s="15"/>
      <c r="C890" s="15"/>
      <c r="D890" s="15"/>
      <c r="E890" s="15"/>
      <c r="F890" s="15"/>
      <c r="G890" s="15"/>
      <c r="H890" s="15"/>
      <c r="I890" s="124"/>
      <c r="J890" s="124"/>
      <c r="K890" s="45"/>
      <c r="L890" s="124"/>
      <c r="M890" s="124"/>
    </row>
    <row r="891" spans="2:13" ht="17.25" customHeight="1">
      <c r="B891" s="15"/>
      <c r="C891" s="15"/>
      <c r="D891" s="15"/>
      <c r="E891" s="15"/>
      <c r="F891" s="15"/>
      <c r="G891" s="15"/>
      <c r="H891" s="15"/>
      <c r="I891" s="124"/>
      <c r="J891" s="124"/>
      <c r="K891" s="45"/>
      <c r="L891" s="124"/>
      <c r="M891" s="124"/>
    </row>
    <row r="892" spans="2:13" ht="17.25" customHeight="1">
      <c r="B892" s="15"/>
      <c r="C892" s="15"/>
      <c r="D892" s="15"/>
      <c r="E892" s="15"/>
      <c r="F892" s="15"/>
      <c r="G892" s="15"/>
      <c r="H892" s="15"/>
      <c r="I892" s="124"/>
      <c r="J892" s="124"/>
      <c r="K892" s="45"/>
      <c r="L892" s="124"/>
      <c r="M892" s="124"/>
    </row>
    <row r="893" spans="2:13" ht="17.25" customHeight="1">
      <c r="B893" s="15"/>
      <c r="C893" s="15"/>
      <c r="D893" s="15"/>
      <c r="E893" s="15"/>
      <c r="F893" s="15"/>
      <c r="G893" s="15"/>
      <c r="H893" s="15"/>
      <c r="I893" s="124"/>
      <c r="J893" s="124"/>
      <c r="K893" s="45"/>
      <c r="L893" s="124"/>
      <c r="M893" s="124"/>
    </row>
    <row r="894" spans="2:13" ht="17.25" customHeight="1">
      <c r="B894" s="15"/>
      <c r="C894" s="15"/>
      <c r="D894" s="15"/>
      <c r="E894" s="15"/>
      <c r="F894" s="15"/>
      <c r="G894" s="15"/>
      <c r="H894" s="15"/>
      <c r="I894" s="124"/>
      <c r="J894" s="124"/>
      <c r="K894" s="45"/>
      <c r="L894" s="124"/>
      <c r="M894" s="124"/>
    </row>
    <row r="895" spans="2:13" ht="17.25" customHeight="1">
      <c r="B895" s="15"/>
      <c r="C895" s="15"/>
      <c r="D895" s="15"/>
      <c r="E895" s="15"/>
      <c r="F895" s="15"/>
      <c r="G895" s="15"/>
      <c r="H895" s="15"/>
      <c r="I895" s="124"/>
      <c r="J895" s="124"/>
      <c r="K895" s="45"/>
      <c r="L895" s="124"/>
      <c r="M895" s="124"/>
    </row>
    <row r="896" spans="2:13" ht="17.25" customHeight="1">
      <c r="B896" s="15"/>
      <c r="C896" s="15"/>
      <c r="D896" s="15"/>
      <c r="E896" s="15"/>
      <c r="F896" s="15"/>
      <c r="G896" s="15"/>
      <c r="H896" s="15"/>
      <c r="I896" s="124"/>
      <c r="J896" s="124"/>
      <c r="K896" s="45"/>
      <c r="L896" s="124"/>
      <c r="M896" s="124"/>
    </row>
    <row r="897" spans="2:13" ht="17.25" customHeight="1">
      <c r="B897" s="15"/>
      <c r="C897" s="15"/>
      <c r="D897" s="15"/>
      <c r="E897" s="15"/>
      <c r="F897" s="15"/>
      <c r="G897" s="15"/>
      <c r="H897" s="15"/>
      <c r="I897" s="124"/>
      <c r="J897" s="124"/>
      <c r="K897" s="45"/>
      <c r="L897" s="124"/>
      <c r="M897" s="124"/>
    </row>
    <row r="898" spans="2:13" ht="17.25" customHeight="1">
      <c r="B898" s="15"/>
      <c r="C898" s="15"/>
      <c r="D898" s="15"/>
      <c r="E898" s="15"/>
      <c r="F898" s="15"/>
      <c r="G898" s="15"/>
      <c r="H898" s="15"/>
      <c r="I898" s="124"/>
      <c r="J898" s="124"/>
      <c r="K898" s="45"/>
      <c r="L898" s="124"/>
      <c r="M898" s="124"/>
    </row>
    <row r="899" spans="2:13" ht="17.25" customHeight="1">
      <c r="B899" s="15"/>
      <c r="C899" s="15"/>
      <c r="D899" s="15"/>
      <c r="E899" s="15"/>
      <c r="F899" s="15"/>
      <c r="G899" s="15"/>
      <c r="H899" s="15"/>
      <c r="I899" s="124"/>
      <c r="J899" s="124"/>
      <c r="K899" s="45"/>
      <c r="L899" s="124"/>
      <c r="M899" s="124"/>
    </row>
    <row r="900" spans="2:13" ht="17.25" customHeight="1">
      <c r="B900" s="15"/>
      <c r="C900" s="15"/>
      <c r="D900" s="15"/>
      <c r="E900" s="15"/>
      <c r="F900" s="15"/>
      <c r="G900" s="15"/>
      <c r="H900" s="15"/>
      <c r="I900" s="124"/>
      <c r="J900" s="124"/>
      <c r="K900" s="45"/>
      <c r="L900" s="124"/>
      <c r="M900" s="124"/>
    </row>
    <row r="901" spans="2:13" ht="17.25" customHeight="1">
      <c r="B901" s="15"/>
      <c r="C901" s="15"/>
      <c r="D901" s="15"/>
      <c r="E901" s="15"/>
      <c r="F901" s="15"/>
      <c r="G901" s="15"/>
      <c r="H901" s="15"/>
      <c r="I901" s="124"/>
      <c r="J901" s="124"/>
      <c r="K901" s="45"/>
      <c r="L901" s="124"/>
      <c r="M901" s="124"/>
    </row>
    <row r="902" spans="2:13" ht="17.25" customHeight="1">
      <c r="B902" s="15"/>
      <c r="C902" s="15"/>
      <c r="D902" s="15"/>
      <c r="E902" s="15"/>
      <c r="F902" s="15"/>
      <c r="G902" s="15"/>
      <c r="H902" s="15"/>
      <c r="I902" s="124"/>
      <c r="J902" s="124"/>
      <c r="K902" s="45"/>
      <c r="L902" s="124"/>
      <c r="M902" s="124"/>
    </row>
    <row r="903" spans="2:13" ht="17.25" customHeight="1">
      <c r="B903" s="15"/>
      <c r="C903" s="15"/>
      <c r="D903" s="15"/>
      <c r="E903" s="15"/>
      <c r="F903" s="15"/>
      <c r="G903" s="15"/>
      <c r="H903" s="15"/>
      <c r="I903" s="124"/>
      <c r="J903" s="124"/>
      <c r="K903" s="45"/>
      <c r="L903" s="124"/>
      <c r="M903" s="124"/>
    </row>
    <row r="904" spans="2:13" ht="17.25" customHeight="1">
      <c r="B904" s="15"/>
      <c r="C904" s="15"/>
      <c r="D904" s="15"/>
      <c r="E904" s="15"/>
      <c r="F904" s="15"/>
      <c r="G904" s="15"/>
      <c r="H904" s="15"/>
      <c r="I904" s="124"/>
      <c r="J904" s="124"/>
      <c r="K904" s="45"/>
      <c r="L904" s="124"/>
      <c r="M904" s="124"/>
    </row>
    <row r="905" spans="2:13" ht="17.25" customHeight="1">
      <c r="B905" s="15"/>
      <c r="C905" s="15"/>
      <c r="D905" s="15"/>
      <c r="E905" s="15"/>
      <c r="F905" s="15"/>
      <c r="G905" s="15"/>
      <c r="H905" s="15"/>
      <c r="I905" s="124"/>
      <c r="J905" s="124"/>
      <c r="K905" s="45"/>
      <c r="L905" s="124"/>
      <c r="M905" s="124"/>
    </row>
    <row r="906" spans="2:13" ht="17.25" customHeight="1">
      <c r="B906" s="15"/>
      <c r="C906" s="15"/>
      <c r="D906" s="15"/>
      <c r="E906" s="15"/>
      <c r="F906" s="15"/>
      <c r="G906" s="15"/>
      <c r="H906" s="15"/>
      <c r="I906" s="124"/>
      <c r="J906" s="124"/>
      <c r="K906" s="45"/>
      <c r="L906" s="124"/>
      <c r="M906" s="124"/>
    </row>
    <row r="907" spans="2:13" ht="17.25" customHeight="1">
      <c r="B907" s="15"/>
      <c r="C907" s="15"/>
      <c r="D907" s="15"/>
      <c r="E907" s="15"/>
      <c r="F907" s="15"/>
      <c r="G907" s="15"/>
      <c r="H907" s="15"/>
      <c r="I907" s="124"/>
      <c r="J907" s="124"/>
      <c r="K907" s="45"/>
      <c r="L907" s="124"/>
      <c r="M907" s="124"/>
    </row>
    <row r="908" spans="2:13" ht="17.25" customHeight="1">
      <c r="B908" s="15"/>
      <c r="C908" s="15"/>
      <c r="D908" s="15"/>
      <c r="E908" s="15"/>
      <c r="F908" s="15"/>
      <c r="G908" s="15"/>
      <c r="H908" s="15"/>
      <c r="I908" s="124"/>
      <c r="J908" s="124"/>
      <c r="K908" s="45"/>
      <c r="L908" s="124"/>
      <c r="M908" s="124"/>
    </row>
    <row r="909" spans="2:13" ht="17.25" customHeight="1">
      <c r="B909" s="15"/>
      <c r="C909" s="15"/>
      <c r="D909" s="15"/>
      <c r="E909" s="15"/>
      <c r="F909" s="15"/>
      <c r="G909" s="15"/>
      <c r="H909" s="15"/>
      <c r="I909" s="124"/>
      <c r="J909" s="124"/>
      <c r="K909" s="45"/>
      <c r="L909" s="124"/>
      <c r="M909" s="124"/>
    </row>
    <row r="910" spans="2:13" ht="17.25" customHeight="1">
      <c r="B910" s="15"/>
      <c r="C910" s="15"/>
      <c r="D910" s="15"/>
      <c r="E910" s="15"/>
      <c r="F910" s="15"/>
      <c r="G910" s="15"/>
      <c r="H910" s="15"/>
      <c r="I910" s="124"/>
      <c r="J910" s="124"/>
      <c r="K910" s="45"/>
      <c r="L910" s="124"/>
      <c r="M910" s="124"/>
    </row>
    <row r="911" spans="2:13" ht="17.25" customHeight="1">
      <c r="B911" s="15"/>
      <c r="C911" s="15"/>
      <c r="D911" s="15"/>
      <c r="E911" s="15"/>
      <c r="F911" s="15"/>
      <c r="G911" s="15"/>
      <c r="H911" s="15"/>
      <c r="I911" s="124"/>
      <c r="J911" s="124"/>
      <c r="K911" s="45"/>
      <c r="L911" s="124"/>
      <c r="M911" s="124"/>
    </row>
    <row r="912" spans="2:13" ht="17.25" customHeight="1">
      <c r="B912" s="15"/>
      <c r="C912" s="15"/>
      <c r="D912" s="15"/>
      <c r="E912" s="15"/>
      <c r="F912" s="15"/>
      <c r="G912" s="15"/>
      <c r="H912" s="15"/>
      <c r="I912" s="124"/>
      <c r="J912" s="124"/>
      <c r="K912" s="45"/>
      <c r="L912" s="124"/>
      <c r="M912" s="124"/>
    </row>
    <row r="913" spans="2:13" ht="17.25" customHeight="1">
      <c r="B913" s="15"/>
      <c r="C913" s="15"/>
      <c r="D913" s="15"/>
      <c r="E913" s="15"/>
      <c r="F913" s="15"/>
      <c r="G913" s="15"/>
      <c r="H913" s="15"/>
      <c r="I913" s="124"/>
      <c r="J913" s="124"/>
      <c r="K913" s="45"/>
      <c r="L913" s="124"/>
      <c r="M913" s="124"/>
    </row>
    <row r="914" spans="2:13" ht="17.25" customHeight="1">
      <c r="B914" s="15"/>
      <c r="C914" s="15"/>
      <c r="D914" s="15"/>
      <c r="E914" s="15"/>
      <c r="F914" s="15"/>
      <c r="G914" s="15"/>
      <c r="H914" s="15"/>
      <c r="I914" s="124"/>
      <c r="J914" s="124"/>
      <c r="K914" s="45"/>
      <c r="L914" s="124"/>
      <c r="M914" s="124"/>
    </row>
    <row r="915" spans="2:13" ht="17.25" customHeight="1">
      <c r="B915" s="15"/>
      <c r="C915" s="15"/>
      <c r="D915" s="15"/>
      <c r="E915" s="15"/>
      <c r="F915" s="15"/>
      <c r="G915" s="15"/>
      <c r="H915" s="15"/>
      <c r="I915" s="124"/>
      <c r="J915" s="124"/>
      <c r="K915" s="45"/>
      <c r="L915" s="124"/>
      <c r="M915" s="124"/>
    </row>
    <row r="916" spans="2:13" ht="17.25" customHeight="1">
      <c r="B916" s="15"/>
      <c r="C916" s="15"/>
      <c r="D916" s="15"/>
      <c r="E916" s="15"/>
      <c r="F916" s="15"/>
      <c r="G916" s="15"/>
      <c r="H916" s="15"/>
      <c r="I916" s="124"/>
      <c r="J916" s="124"/>
      <c r="K916" s="45"/>
      <c r="L916" s="124"/>
      <c r="M916" s="124"/>
    </row>
    <row r="917" spans="2:13" ht="17.25" customHeight="1">
      <c r="B917" s="15"/>
      <c r="C917" s="15"/>
      <c r="D917" s="15"/>
      <c r="E917" s="15"/>
      <c r="F917" s="15"/>
      <c r="G917" s="15"/>
      <c r="H917" s="15"/>
      <c r="I917" s="124"/>
      <c r="J917" s="124"/>
      <c r="K917" s="45"/>
      <c r="L917" s="124"/>
      <c r="M917" s="124"/>
    </row>
    <row r="918" spans="2:13" ht="17.25" customHeight="1">
      <c r="B918" s="15"/>
      <c r="C918" s="15"/>
      <c r="D918" s="15"/>
      <c r="E918" s="15"/>
      <c r="F918" s="15"/>
      <c r="G918" s="15"/>
      <c r="H918" s="15"/>
      <c r="I918" s="124"/>
      <c r="J918" s="124"/>
      <c r="K918" s="45"/>
      <c r="L918" s="124"/>
      <c r="M918" s="124"/>
    </row>
    <row r="919" spans="2:13" ht="17.25" customHeight="1">
      <c r="B919" s="15"/>
      <c r="C919" s="15"/>
      <c r="D919" s="15"/>
      <c r="E919" s="15"/>
      <c r="F919" s="15"/>
      <c r="G919" s="15"/>
      <c r="H919" s="15"/>
      <c r="I919" s="124"/>
      <c r="J919" s="124"/>
      <c r="K919" s="45"/>
      <c r="L919" s="124"/>
      <c r="M919" s="124"/>
    </row>
    <row r="920" spans="2:13" ht="17.25" customHeight="1">
      <c r="B920" s="15"/>
      <c r="C920" s="15"/>
      <c r="D920" s="15"/>
      <c r="E920" s="15"/>
      <c r="F920" s="15"/>
      <c r="G920" s="15"/>
      <c r="H920" s="15"/>
      <c r="I920" s="124"/>
      <c r="J920" s="124"/>
      <c r="K920" s="45"/>
      <c r="L920" s="124"/>
      <c r="M920" s="124"/>
    </row>
    <row r="921" spans="2:13" ht="17.25" customHeight="1">
      <c r="B921" s="15"/>
      <c r="C921" s="15"/>
      <c r="D921" s="15"/>
      <c r="E921" s="15"/>
      <c r="F921" s="15"/>
      <c r="G921" s="15"/>
      <c r="H921" s="15"/>
      <c r="I921" s="124"/>
      <c r="J921" s="124"/>
      <c r="K921" s="45"/>
      <c r="L921" s="124"/>
      <c r="M921" s="124"/>
    </row>
    <row r="922" spans="2:13" ht="17.25" customHeight="1">
      <c r="B922" s="15"/>
      <c r="C922" s="15"/>
      <c r="D922" s="15"/>
      <c r="E922" s="15"/>
      <c r="F922" s="15"/>
      <c r="G922" s="15"/>
      <c r="H922" s="15"/>
      <c r="I922" s="124"/>
      <c r="J922" s="124"/>
      <c r="K922" s="45"/>
      <c r="L922" s="124"/>
      <c r="M922" s="124"/>
    </row>
    <row r="923" spans="2:13" ht="17.25" customHeight="1">
      <c r="B923" s="15"/>
      <c r="C923" s="15"/>
      <c r="D923" s="15"/>
      <c r="E923" s="15"/>
      <c r="F923" s="15"/>
      <c r="G923" s="15"/>
      <c r="H923" s="15"/>
      <c r="I923" s="124"/>
      <c r="J923" s="124"/>
      <c r="K923" s="45"/>
      <c r="L923" s="124"/>
      <c r="M923" s="124"/>
    </row>
    <row r="924" spans="2:13" ht="17.25" customHeight="1">
      <c r="B924" s="15"/>
      <c r="C924" s="15"/>
      <c r="D924" s="15"/>
      <c r="E924" s="15"/>
      <c r="F924" s="15"/>
      <c r="G924" s="15"/>
      <c r="H924" s="15"/>
      <c r="I924" s="124"/>
      <c r="J924" s="124"/>
      <c r="K924" s="45"/>
      <c r="L924" s="124"/>
      <c r="M924" s="124"/>
    </row>
    <row r="925" spans="2:13" ht="17.25" customHeight="1">
      <c r="B925" s="15"/>
      <c r="C925" s="15"/>
      <c r="D925" s="15"/>
      <c r="E925" s="15"/>
      <c r="F925" s="15"/>
      <c r="G925" s="15"/>
      <c r="H925" s="15"/>
      <c r="I925" s="124"/>
      <c r="J925" s="124"/>
      <c r="K925" s="45"/>
      <c r="L925" s="124"/>
      <c r="M925" s="124"/>
    </row>
    <row r="926" spans="2:13" ht="17.25" customHeight="1">
      <c r="B926" s="15"/>
      <c r="C926" s="15"/>
      <c r="D926" s="15"/>
      <c r="E926" s="15"/>
      <c r="F926" s="15"/>
      <c r="G926" s="15"/>
      <c r="H926" s="15"/>
      <c r="I926" s="124"/>
      <c r="J926" s="124"/>
      <c r="K926" s="45"/>
      <c r="L926" s="124"/>
      <c r="M926" s="124"/>
    </row>
    <row r="927" spans="2:13" ht="17.25" customHeight="1">
      <c r="B927" s="15"/>
      <c r="C927" s="15"/>
      <c r="D927" s="15"/>
      <c r="E927" s="15"/>
      <c r="F927" s="15"/>
      <c r="G927" s="15"/>
      <c r="H927" s="15"/>
      <c r="I927" s="124"/>
      <c r="J927" s="124"/>
      <c r="K927" s="45"/>
      <c r="L927" s="124"/>
      <c r="M927" s="124"/>
    </row>
    <row r="928" spans="2:13" ht="17.25" customHeight="1">
      <c r="B928" s="15"/>
      <c r="C928" s="15"/>
      <c r="D928" s="15"/>
      <c r="E928" s="15"/>
      <c r="F928" s="15"/>
      <c r="G928" s="15"/>
      <c r="H928" s="15"/>
      <c r="I928" s="124"/>
      <c r="J928" s="124"/>
      <c r="K928" s="45"/>
      <c r="L928" s="124"/>
      <c r="M928" s="124"/>
    </row>
    <row r="929" spans="2:13" ht="17.25" customHeight="1">
      <c r="B929" s="15"/>
      <c r="C929" s="15"/>
      <c r="D929" s="15"/>
      <c r="E929" s="15"/>
      <c r="F929" s="15"/>
      <c r="G929" s="15"/>
      <c r="H929" s="15"/>
      <c r="I929" s="124"/>
      <c r="J929" s="124"/>
      <c r="K929" s="45"/>
      <c r="L929" s="124"/>
      <c r="M929" s="124"/>
    </row>
    <row r="930" spans="2:13" ht="17.25" customHeight="1">
      <c r="B930" s="15"/>
      <c r="C930" s="15"/>
      <c r="D930" s="15"/>
      <c r="E930" s="15"/>
      <c r="F930" s="15"/>
      <c r="G930" s="15"/>
      <c r="H930" s="15"/>
      <c r="I930" s="124"/>
      <c r="J930" s="124"/>
      <c r="K930" s="45"/>
      <c r="L930" s="124"/>
      <c r="M930" s="124"/>
    </row>
    <row r="931" spans="2:13" ht="17.25" customHeight="1">
      <c r="B931" s="15"/>
      <c r="C931" s="15"/>
      <c r="D931" s="15"/>
      <c r="E931" s="15"/>
      <c r="F931" s="15"/>
      <c r="G931" s="15"/>
      <c r="H931" s="15"/>
      <c r="I931" s="124"/>
      <c r="J931" s="124"/>
      <c r="K931" s="45"/>
      <c r="L931" s="124"/>
      <c r="M931" s="124"/>
    </row>
    <row r="932" spans="2:13" ht="17.25" customHeight="1">
      <c r="B932" s="15"/>
      <c r="C932" s="15"/>
      <c r="D932" s="15"/>
      <c r="E932" s="15"/>
      <c r="F932" s="15"/>
      <c r="G932" s="15"/>
      <c r="H932" s="15"/>
      <c r="I932" s="124"/>
      <c r="J932" s="124"/>
      <c r="K932" s="45"/>
      <c r="L932" s="124"/>
      <c r="M932" s="124"/>
    </row>
    <row r="933" spans="2:13" ht="17.25" customHeight="1">
      <c r="B933" s="15"/>
      <c r="C933" s="15"/>
      <c r="D933" s="15"/>
      <c r="E933" s="15"/>
      <c r="F933" s="15"/>
      <c r="G933" s="15"/>
      <c r="H933" s="15"/>
      <c r="I933" s="124"/>
      <c r="J933" s="124"/>
      <c r="K933" s="45"/>
      <c r="L933" s="124"/>
      <c r="M933" s="124"/>
    </row>
    <row r="934" spans="2:13" ht="17.25" customHeight="1">
      <c r="B934" s="15"/>
      <c r="C934" s="15"/>
      <c r="D934" s="15"/>
      <c r="E934" s="15"/>
      <c r="F934" s="15"/>
      <c r="G934" s="15"/>
      <c r="H934" s="15"/>
      <c r="I934" s="124"/>
      <c r="J934" s="124"/>
      <c r="K934" s="45"/>
      <c r="L934" s="124"/>
      <c r="M934" s="124"/>
    </row>
    <row r="935" spans="2:13" ht="17.25" customHeight="1">
      <c r="B935" s="15"/>
      <c r="C935" s="15"/>
      <c r="D935" s="15"/>
      <c r="E935" s="15"/>
      <c r="F935" s="15"/>
      <c r="G935" s="15"/>
      <c r="H935" s="15"/>
      <c r="I935" s="124"/>
      <c r="J935" s="124"/>
      <c r="K935" s="45"/>
      <c r="L935" s="124"/>
      <c r="M935" s="124"/>
    </row>
    <row r="936" spans="2:13" ht="17.25" customHeight="1">
      <c r="B936" s="15"/>
      <c r="C936" s="15"/>
      <c r="D936" s="15"/>
      <c r="E936" s="15"/>
      <c r="F936" s="15"/>
      <c r="G936" s="15"/>
      <c r="H936" s="15"/>
      <c r="I936" s="124"/>
      <c r="J936" s="124"/>
      <c r="K936" s="45"/>
      <c r="L936" s="124"/>
      <c r="M936" s="124"/>
    </row>
    <row r="937" spans="2:13" ht="17.25" customHeight="1">
      <c r="B937" s="15"/>
      <c r="C937" s="15"/>
      <c r="D937" s="15"/>
      <c r="E937" s="15"/>
      <c r="F937" s="15"/>
      <c r="G937" s="15"/>
      <c r="H937" s="15"/>
      <c r="I937" s="124"/>
      <c r="J937" s="124"/>
      <c r="K937" s="45"/>
      <c r="L937" s="124"/>
      <c r="M937" s="124"/>
    </row>
    <row r="938" spans="2:13" ht="17.25" customHeight="1">
      <c r="B938" s="15"/>
      <c r="C938" s="15"/>
      <c r="D938" s="15"/>
      <c r="E938" s="15"/>
      <c r="F938" s="15"/>
      <c r="G938" s="15"/>
      <c r="H938" s="15"/>
      <c r="I938" s="124"/>
      <c r="J938" s="124"/>
      <c r="K938" s="45"/>
      <c r="L938" s="124"/>
      <c r="M938" s="124"/>
    </row>
    <row r="939" spans="2:13" ht="17.25" customHeight="1">
      <c r="B939" s="15"/>
      <c r="C939" s="15"/>
      <c r="D939" s="15"/>
      <c r="E939" s="15"/>
      <c r="F939" s="15"/>
      <c r="G939" s="15"/>
      <c r="H939" s="15"/>
      <c r="I939" s="124"/>
      <c r="J939" s="124"/>
      <c r="K939" s="45"/>
      <c r="L939" s="124"/>
      <c r="M939" s="124"/>
    </row>
    <row r="940" spans="2:13" ht="17.25" customHeight="1">
      <c r="B940" s="15"/>
      <c r="C940" s="15"/>
      <c r="D940" s="15"/>
      <c r="E940" s="15"/>
      <c r="F940" s="15"/>
      <c r="G940" s="15"/>
      <c r="H940" s="15"/>
      <c r="I940" s="124"/>
      <c r="J940" s="124"/>
      <c r="K940" s="45"/>
      <c r="L940" s="124"/>
      <c r="M940" s="124"/>
    </row>
    <row r="941" spans="2:13" ht="17.25" customHeight="1">
      <c r="B941" s="15"/>
      <c r="C941" s="15"/>
      <c r="D941" s="15"/>
      <c r="E941" s="15"/>
      <c r="F941" s="15"/>
      <c r="G941" s="15"/>
      <c r="H941" s="15"/>
      <c r="I941" s="124"/>
      <c r="J941" s="124"/>
      <c r="K941" s="45"/>
      <c r="L941" s="124"/>
      <c r="M941" s="124"/>
    </row>
    <row r="942" spans="2:13" ht="17.25" customHeight="1">
      <c r="B942" s="15"/>
      <c r="C942" s="15"/>
      <c r="D942" s="15"/>
      <c r="E942" s="15"/>
      <c r="F942" s="15"/>
      <c r="G942" s="15"/>
      <c r="H942" s="15"/>
      <c r="I942" s="124"/>
      <c r="J942" s="124"/>
      <c r="K942" s="45"/>
      <c r="L942" s="124"/>
      <c r="M942" s="124"/>
    </row>
    <row r="943" spans="2:13" ht="17.25" customHeight="1">
      <c r="B943" s="15"/>
      <c r="C943" s="15"/>
      <c r="D943" s="15"/>
      <c r="E943" s="15"/>
      <c r="F943" s="15"/>
      <c r="G943" s="15"/>
      <c r="H943" s="15"/>
      <c r="I943" s="124"/>
      <c r="J943" s="124"/>
      <c r="K943" s="45"/>
      <c r="L943" s="124"/>
      <c r="M943" s="124"/>
    </row>
    <row r="944" spans="2:13" ht="17.25" customHeight="1">
      <c r="B944" s="15"/>
      <c r="C944" s="15"/>
      <c r="D944" s="15"/>
      <c r="E944" s="15"/>
      <c r="F944" s="15"/>
      <c r="G944" s="15"/>
      <c r="H944" s="15"/>
      <c r="I944" s="124"/>
      <c r="J944" s="124"/>
      <c r="K944" s="45"/>
      <c r="L944" s="124"/>
      <c r="M944" s="124"/>
    </row>
    <row r="945" spans="2:13" ht="17.25" customHeight="1">
      <c r="B945" s="15"/>
      <c r="C945" s="15"/>
      <c r="D945" s="15"/>
      <c r="E945" s="15"/>
      <c r="F945" s="15"/>
      <c r="G945" s="15"/>
      <c r="H945" s="15"/>
      <c r="I945" s="124"/>
      <c r="J945" s="124"/>
      <c r="K945" s="45"/>
      <c r="L945" s="124"/>
      <c r="M945" s="124"/>
    </row>
    <row r="946" spans="2:13" ht="17.25" customHeight="1">
      <c r="B946" s="15"/>
      <c r="C946" s="15"/>
      <c r="D946" s="15"/>
      <c r="E946" s="15"/>
      <c r="F946" s="15"/>
      <c r="G946" s="15"/>
      <c r="H946" s="15"/>
      <c r="I946" s="124"/>
      <c r="J946" s="124"/>
      <c r="K946" s="45"/>
      <c r="L946" s="124"/>
      <c r="M946" s="124"/>
    </row>
    <row r="947" spans="2:13" ht="17.25" customHeight="1">
      <c r="B947" s="15"/>
      <c r="C947" s="15"/>
      <c r="D947" s="15"/>
      <c r="E947" s="15"/>
      <c r="F947" s="15"/>
      <c r="G947" s="15"/>
      <c r="H947" s="15"/>
      <c r="I947" s="124"/>
      <c r="J947" s="124"/>
      <c r="K947" s="45"/>
      <c r="L947" s="124"/>
      <c r="M947" s="124"/>
    </row>
    <row r="948" spans="2:13" ht="17.25" customHeight="1">
      <c r="B948" s="15"/>
      <c r="C948" s="15"/>
      <c r="D948" s="15"/>
      <c r="E948" s="15"/>
      <c r="F948" s="15"/>
      <c r="G948" s="15"/>
      <c r="H948" s="15"/>
      <c r="I948" s="124"/>
      <c r="J948" s="124"/>
      <c r="K948" s="45"/>
      <c r="L948" s="124"/>
      <c r="M948" s="124"/>
    </row>
    <row r="949" spans="2:13" ht="17.25" customHeight="1">
      <c r="B949" s="15"/>
      <c r="C949" s="15"/>
      <c r="D949" s="15"/>
      <c r="E949" s="15"/>
      <c r="F949" s="15"/>
      <c r="G949" s="15"/>
      <c r="H949" s="15"/>
      <c r="I949" s="124"/>
      <c r="J949" s="124"/>
      <c r="K949" s="45"/>
      <c r="L949" s="124"/>
      <c r="M949" s="124"/>
    </row>
    <row r="950" spans="2:13" ht="17.25" customHeight="1">
      <c r="B950" s="15"/>
      <c r="C950" s="15"/>
      <c r="D950" s="15"/>
      <c r="E950" s="15"/>
      <c r="F950" s="15"/>
      <c r="G950" s="15"/>
      <c r="H950" s="15"/>
      <c r="I950" s="124"/>
      <c r="J950" s="124"/>
      <c r="K950" s="45"/>
      <c r="L950" s="124"/>
      <c r="M950" s="124"/>
    </row>
    <row r="951" spans="2:13" ht="17.25" customHeight="1">
      <c r="B951" s="15"/>
      <c r="C951" s="15"/>
      <c r="D951" s="15"/>
      <c r="E951" s="15"/>
      <c r="F951" s="15"/>
      <c r="G951" s="15"/>
      <c r="H951" s="15"/>
      <c r="I951" s="124"/>
      <c r="J951" s="124"/>
      <c r="K951" s="45"/>
      <c r="L951" s="124"/>
      <c r="M951" s="124"/>
    </row>
    <row r="952" spans="2:13" ht="17.25" customHeight="1">
      <c r="B952" s="15"/>
      <c r="C952" s="15"/>
      <c r="D952" s="15"/>
      <c r="E952" s="15"/>
      <c r="F952" s="15"/>
      <c r="G952" s="15"/>
      <c r="H952" s="15"/>
      <c r="I952" s="124"/>
      <c r="J952" s="124"/>
      <c r="K952" s="45"/>
      <c r="L952" s="124"/>
      <c r="M952" s="124"/>
    </row>
    <row r="953" spans="2:13" ht="17.25" customHeight="1">
      <c r="B953" s="15"/>
      <c r="C953" s="15"/>
      <c r="D953" s="15"/>
      <c r="E953" s="15"/>
      <c r="F953" s="15"/>
      <c r="G953" s="15"/>
      <c r="H953" s="15"/>
      <c r="I953" s="124"/>
      <c r="J953" s="124"/>
      <c r="K953" s="45"/>
      <c r="L953" s="124"/>
      <c r="M953" s="124"/>
    </row>
    <row r="954" spans="2:13" ht="17.25" customHeight="1">
      <c r="B954" s="15"/>
      <c r="C954" s="15"/>
      <c r="D954" s="15"/>
      <c r="E954" s="15"/>
      <c r="F954" s="15"/>
      <c r="G954" s="15"/>
      <c r="H954" s="15"/>
      <c r="I954" s="124"/>
      <c r="J954" s="124"/>
      <c r="K954" s="45"/>
      <c r="L954" s="124"/>
      <c r="M954" s="124"/>
    </row>
    <row r="955" spans="2:13" ht="17.25" customHeight="1">
      <c r="B955" s="15"/>
      <c r="C955" s="15"/>
      <c r="D955" s="15"/>
      <c r="E955" s="15"/>
      <c r="F955" s="15"/>
      <c r="G955" s="15"/>
      <c r="H955" s="15"/>
      <c r="I955" s="124"/>
      <c r="J955" s="124"/>
      <c r="K955" s="45"/>
      <c r="L955" s="124"/>
      <c r="M955" s="124"/>
    </row>
    <row r="956" spans="2:13" ht="17.25" customHeight="1">
      <c r="B956" s="15"/>
      <c r="C956" s="15"/>
      <c r="D956" s="15"/>
      <c r="E956" s="15"/>
      <c r="F956" s="15"/>
      <c r="G956" s="15"/>
      <c r="H956" s="15"/>
      <c r="I956" s="124"/>
      <c r="J956" s="124"/>
      <c r="K956" s="45"/>
      <c r="L956" s="124"/>
      <c r="M956" s="124"/>
    </row>
    <row r="957" spans="2:13" ht="17.25" customHeight="1">
      <c r="B957" s="15"/>
      <c r="C957" s="15"/>
      <c r="D957" s="15"/>
      <c r="E957" s="15"/>
      <c r="F957" s="15"/>
      <c r="G957" s="15"/>
      <c r="H957" s="15"/>
      <c r="I957" s="124"/>
      <c r="J957" s="124"/>
      <c r="K957" s="45"/>
      <c r="L957" s="124"/>
      <c r="M957" s="124"/>
    </row>
    <row r="958" spans="2:13" ht="17.25" customHeight="1">
      <c r="B958" s="15"/>
      <c r="C958" s="15"/>
      <c r="D958" s="15"/>
      <c r="E958" s="15"/>
      <c r="F958" s="15"/>
      <c r="G958" s="15"/>
      <c r="H958" s="15"/>
      <c r="I958" s="124"/>
      <c r="J958" s="124"/>
      <c r="K958" s="45"/>
      <c r="L958" s="124"/>
      <c r="M958" s="124"/>
    </row>
    <row r="959" spans="2:13" ht="17.25" customHeight="1">
      <c r="B959" s="15"/>
      <c r="C959" s="15"/>
      <c r="D959" s="15"/>
      <c r="E959" s="15"/>
      <c r="F959" s="15"/>
      <c r="G959" s="15"/>
      <c r="H959" s="15"/>
      <c r="I959" s="124"/>
      <c r="J959" s="124"/>
      <c r="K959" s="45"/>
      <c r="L959" s="124"/>
      <c r="M959" s="124"/>
    </row>
    <row r="960" spans="2:13" ht="17.25" customHeight="1">
      <c r="B960" s="15"/>
      <c r="C960" s="15"/>
      <c r="D960" s="15"/>
      <c r="E960" s="15"/>
      <c r="F960" s="15"/>
      <c r="G960" s="15"/>
      <c r="H960" s="15"/>
      <c r="I960" s="124"/>
      <c r="J960" s="124"/>
      <c r="K960" s="45"/>
      <c r="L960" s="124"/>
      <c r="M960" s="124"/>
    </row>
    <row r="961" spans="2:13" ht="17.25" customHeight="1">
      <c r="B961" s="15"/>
      <c r="C961" s="15"/>
      <c r="D961" s="15"/>
      <c r="E961" s="15"/>
      <c r="F961" s="15"/>
      <c r="G961" s="15"/>
      <c r="H961" s="15"/>
      <c r="I961" s="124"/>
      <c r="J961" s="124"/>
      <c r="K961" s="45"/>
      <c r="L961" s="124"/>
      <c r="M961" s="124"/>
    </row>
    <row r="962" spans="2:13" ht="17.25" customHeight="1">
      <c r="B962" s="15"/>
      <c r="C962" s="15"/>
      <c r="D962" s="15"/>
      <c r="E962" s="15"/>
      <c r="F962" s="15"/>
      <c r="G962" s="15"/>
      <c r="H962" s="15"/>
      <c r="I962" s="124"/>
      <c r="J962" s="124"/>
      <c r="K962" s="45"/>
      <c r="L962" s="124"/>
      <c r="M962" s="124"/>
    </row>
    <row r="963" spans="2:13" ht="17.25" customHeight="1">
      <c r="B963" s="15"/>
      <c r="C963" s="15"/>
      <c r="D963" s="15"/>
      <c r="E963" s="15"/>
      <c r="F963" s="15"/>
      <c r="G963" s="15"/>
      <c r="H963" s="15"/>
      <c r="I963" s="124"/>
      <c r="J963" s="124"/>
      <c r="K963" s="45"/>
      <c r="L963" s="124"/>
      <c r="M963" s="124"/>
    </row>
    <row r="964" spans="2:13" ht="17.25" customHeight="1">
      <c r="B964" s="15"/>
      <c r="C964" s="15"/>
      <c r="D964" s="15"/>
      <c r="E964" s="15"/>
      <c r="F964" s="15"/>
      <c r="G964" s="15"/>
      <c r="H964" s="15"/>
      <c r="I964" s="124"/>
      <c r="J964" s="124"/>
      <c r="K964" s="45"/>
      <c r="L964" s="124"/>
      <c r="M964" s="124"/>
    </row>
    <row r="965" spans="2:13" ht="17.25" customHeight="1">
      <c r="B965" s="15"/>
      <c r="C965" s="15"/>
      <c r="D965" s="15"/>
      <c r="E965" s="15"/>
      <c r="F965" s="15"/>
      <c r="G965" s="15"/>
      <c r="H965" s="15"/>
      <c r="I965" s="124"/>
      <c r="J965" s="124"/>
      <c r="K965" s="45"/>
      <c r="L965" s="124"/>
      <c r="M965" s="124"/>
    </row>
    <row r="966" spans="2:13" ht="17.25" customHeight="1">
      <c r="B966" s="15"/>
      <c r="C966" s="15"/>
      <c r="D966" s="15"/>
      <c r="E966" s="15"/>
      <c r="F966" s="15"/>
      <c r="G966" s="15"/>
      <c r="H966" s="15"/>
      <c r="I966" s="124"/>
      <c r="J966" s="124"/>
      <c r="K966" s="45"/>
      <c r="L966" s="124"/>
      <c r="M966" s="124"/>
    </row>
    <row r="967" spans="2:13" ht="17.25" customHeight="1">
      <c r="B967" s="15"/>
      <c r="C967" s="15"/>
      <c r="D967" s="15"/>
      <c r="E967" s="15"/>
      <c r="F967" s="15"/>
      <c r="G967" s="15"/>
      <c r="H967" s="15"/>
      <c r="I967" s="124"/>
      <c r="J967" s="124"/>
      <c r="K967" s="45"/>
      <c r="L967" s="124"/>
      <c r="M967" s="124"/>
    </row>
    <row r="968" spans="2:13" ht="17.25" customHeight="1">
      <c r="B968" s="15"/>
      <c r="C968" s="15"/>
      <c r="D968" s="15"/>
      <c r="E968" s="15"/>
      <c r="F968" s="15"/>
      <c r="G968" s="15"/>
      <c r="H968" s="15"/>
      <c r="I968" s="124"/>
      <c r="J968" s="124"/>
      <c r="K968" s="45"/>
      <c r="L968" s="124"/>
      <c r="M968" s="124"/>
    </row>
    <row r="969" spans="2:13" ht="17.25" customHeight="1">
      <c r="B969" s="15"/>
      <c r="C969" s="15"/>
      <c r="D969" s="15"/>
      <c r="E969" s="15"/>
      <c r="F969" s="15"/>
      <c r="G969" s="15"/>
      <c r="H969" s="15"/>
      <c r="I969" s="124"/>
      <c r="J969" s="124"/>
      <c r="K969" s="45"/>
      <c r="L969" s="124"/>
      <c r="M969" s="124"/>
    </row>
    <row r="970" spans="2:13" ht="17.25" customHeight="1">
      <c r="B970" s="15"/>
      <c r="C970" s="15"/>
      <c r="D970" s="15"/>
      <c r="E970" s="15"/>
      <c r="F970" s="15"/>
      <c r="G970" s="15"/>
      <c r="H970" s="15"/>
      <c r="I970" s="124"/>
      <c r="J970" s="124"/>
      <c r="K970" s="45"/>
      <c r="L970" s="124"/>
      <c r="M970" s="124"/>
    </row>
    <row r="971" spans="2:13" ht="17.25" customHeight="1">
      <c r="B971" s="15"/>
      <c r="C971" s="15"/>
      <c r="D971" s="15"/>
      <c r="E971" s="15"/>
      <c r="F971" s="15"/>
      <c r="G971" s="15"/>
      <c r="H971" s="15"/>
      <c r="I971" s="124"/>
      <c r="J971" s="124"/>
      <c r="K971" s="45"/>
      <c r="L971" s="124"/>
      <c r="M971" s="124"/>
    </row>
    <row r="972" spans="2:13" ht="17.25" customHeight="1">
      <c r="B972" s="15"/>
      <c r="C972" s="15"/>
      <c r="D972" s="15"/>
      <c r="E972" s="15"/>
      <c r="F972" s="15"/>
      <c r="G972" s="15"/>
      <c r="H972" s="15"/>
      <c r="I972" s="124"/>
      <c r="J972" s="124"/>
      <c r="K972" s="45"/>
      <c r="L972" s="124"/>
      <c r="M972" s="124"/>
    </row>
    <row r="973" spans="2:13" ht="17.25" customHeight="1">
      <c r="B973" s="15"/>
      <c r="C973" s="15"/>
      <c r="D973" s="15"/>
      <c r="E973" s="15"/>
      <c r="F973" s="15"/>
      <c r="G973" s="15"/>
      <c r="H973" s="15"/>
      <c r="I973" s="124"/>
      <c r="J973" s="124"/>
      <c r="K973" s="45"/>
      <c r="L973" s="124"/>
      <c r="M973" s="124"/>
    </row>
    <row r="974" spans="2:13" ht="17.25" customHeight="1">
      <c r="B974" s="15"/>
      <c r="C974" s="15"/>
      <c r="D974" s="15"/>
      <c r="E974" s="15"/>
      <c r="F974" s="15"/>
      <c r="G974" s="15"/>
      <c r="H974" s="15"/>
      <c r="I974" s="124"/>
      <c r="J974" s="124"/>
      <c r="K974" s="45"/>
      <c r="L974" s="124"/>
      <c r="M974" s="124"/>
    </row>
    <row r="975" spans="2:13" ht="17.25" customHeight="1">
      <c r="B975" s="15"/>
      <c r="C975" s="15"/>
      <c r="D975" s="15"/>
      <c r="E975" s="15"/>
      <c r="F975" s="15"/>
      <c r="G975" s="15"/>
      <c r="H975" s="15"/>
      <c r="I975" s="124"/>
      <c r="J975" s="124"/>
      <c r="K975" s="45"/>
      <c r="L975" s="124"/>
      <c r="M975" s="124"/>
    </row>
    <row r="976" spans="2:13" ht="17.25" customHeight="1">
      <c r="B976" s="15"/>
      <c r="C976" s="15"/>
      <c r="D976" s="15"/>
      <c r="E976" s="15"/>
      <c r="F976" s="15"/>
      <c r="G976" s="15"/>
      <c r="H976" s="15"/>
      <c r="I976" s="124"/>
      <c r="J976" s="124"/>
      <c r="K976" s="45"/>
      <c r="L976" s="124"/>
      <c r="M976" s="124"/>
    </row>
    <row r="977" spans="2:13" ht="17.25" customHeight="1">
      <c r="B977" s="15"/>
      <c r="C977" s="15"/>
      <c r="D977" s="15"/>
      <c r="E977" s="15"/>
      <c r="F977" s="15"/>
      <c r="G977" s="15"/>
      <c r="H977" s="15"/>
      <c r="I977" s="124"/>
      <c r="J977" s="124"/>
      <c r="K977" s="45"/>
      <c r="L977" s="124"/>
      <c r="M977" s="124"/>
    </row>
    <row r="978" spans="2:13" ht="17.25" customHeight="1">
      <c r="B978" s="15"/>
      <c r="C978" s="15"/>
      <c r="D978" s="15"/>
      <c r="E978" s="15"/>
      <c r="F978" s="15"/>
      <c r="G978" s="15"/>
      <c r="H978" s="15"/>
      <c r="I978" s="124"/>
      <c r="J978" s="124"/>
      <c r="K978" s="45"/>
      <c r="L978" s="124"/>
      <c r="M978" s="124"/>
    </row>
    <row r="979" spans="2:13" ht="17.25" customHeight="1">
      <c r="B979" s="15"/>
      <c r="C979" s="15"/>
      <c r="D979" s="15"/>
      <c r="E979" s="15"/>
      <c r="F979" s="15"/>
      <c r="G979" s="15"/>
      <c r="H979" s="15"/>
      <c r="I979" s="124"/>
      <c r="J979" s="124"/>
      <c r="K979" s="45"/>
      <c r="L979" s="124"/>
      <c r="M979" s="124"/>
    </row>
    <row r="980" spans="2:13" ht="17.25" customHeight="1">
      <c r="B980" s="15"/>
      <c r="C980" s="15"/>
      <c r="D980" s="15"/>
      <c r="E980" s="15"/>
      <c r="F980" s="15"/>
      <c r="G980" s="15"/>
      <c r="H980" s="15"/>
      <c r="I980" s="124"/>
      <c r="J980" s="124"/>
      <c r="K980" s="45"/>
      <c r="L980" s="124"/>
      <c r="M980" s="124"/>
    </row>
    <row r="981" spans="2:13" ht="17.25" customHeight="1">
      <c r="B981" s="15"/>
      <c r="C981" s="15"/>
      <c r="D981" s="15"/>
      <c r="E981" s="15"/>
      <c r="F981" s="15"/>
      <c r="G981" s="15"/>
      <c r="H981" s="15"/>
      <c r="I981" s="124"/>
      <c r="J981" s="124"/>
      <c r="K981" s="45"/>
      <c r="L981" s="124"/>
      <c r="M981" s="124"/>
    </row>
    <row r="982" spans="2:13" ht="17.25" customHeight="1">
      <c r="B982" s="15"/>
      <c r="C982" s="15"/>
      <c r="D982" s="15"/>
      <c r="E982" s="15"/>
      <c r="F982" s="15"/>
      <c r="G982" s="15"/>
      <c r="H982" s="15"/>
      <c r="I982" s="124"/>
      <c r="J982" s="124"/>
      <c r="K982" s="45"/>
      <c r="L982" s="124"/>
      <c r="M982" s="124"/>
    </row>
    <row r="983" spans="2:13" ht="17.25" customHeight="1">
      <c r="B983" s="15"/>
      <c r="C983" s="15"/>
      <c r="D983" s="15"/>
      <c r="E983" s="15"/>
      <c r="F983" s="15"/>
      <c r="G983" s="15"/>
      <c r="H983" s="15"/>
      <c r="I983" s="124"/>
      <c r="J983" s="124"/>
      <c r="K983" s="45"/>
      <c r="L983" s="124"/>
      <c r="M983" s="124"/>
    </row>
    <row r="984" spans="2:13" ht="17.25" customHeight="1">
      <c r="B984" s="15"/>
      <c r="C984" s="15"/>
      <c r="D984" s="15"/>
      <c r="E984" s="15"/>
      <c r="F984" s="15"/>
      <c r="G984" s="15"/>
      <c r="H984" s="15"/>
      <c r="I984" s="124"/>
      <c r="J984" s="124"/>
      <c r="K984" s="45"/>
      <c r="L984" s="124"/>
      <c r="M984" s="124"/>
    </row>
    <row r="985" spans="2:13" ht="17.25" customHeight="1">
      <c r="B985" s="15"/>
      <c r="C985" s="15"/>
      <c r="D985" s="15"/>
      <c r="E985" s="15"/>
      <c r="F985" s="15"/>
      <c r="G985" s="15"/>
      <c r="H985" s="15"/>
      <c r="I985" s="124"/>
      <c r="J985" s="124"/>
      <c r="K985" s="45"/>
      <c r="L985" s="124"/>
      <c r="M985" s="124"/>
    </row>
    <row r="986" spans="2:13" ht="17.25" customHeight="1">
      <c r="B986" s="15"/>
      <c r="C986" s="15"/>
      <c r="D986" s="15"/>
      <c r="E986" s="15"/>
      <c r="F986" s="15"/>
      <c r="G986" s="15"/>
      <c r="H986" s="15"/>
      <c r="I986" s="124"/>
      <c r="J986" s="124"/>
      <c r="K986" s="45"/>
      <c r="L986" s="124"/>
      <c r="M986" s="124"/>
    </row>
    <row r="987" spans="2:13" ht="17.25" customHeight="1">
      <c r="B987" s="15"/>
      <c r="C987" s="15"/>
      <c r="D987" s="15"/>
      <c r="E987" s="15"/>
      <c r="F987" s="15"/>
      <c r="G987" s="15"/>
      <c r="H987" s="15"/>
      <c r="I987" s="124"/>
      <c r="J987" s="124"/>
      <c r="K987" s="45"/>
      <c r="L987" s="124"/>
      <c r="M987" s="124"/>
    </row>
    <row r="988" spans="2:13" ht="17.25" customHeight="1">
      <c r="B988" s="15"/>
      <c r="C988" s="15"/>
      <c r="D988" s="15"/>
      <c r="E988" s="15"/>
      <c r="F988" s="15"/>
      <c r="G988" s="15"/>
      <c r="H988" s="15"/>
      <c r="I988" s="124"/>
      <c r="J988" s="124"/>
      <c r="K988" s="45"/>
      <c r="L988" s="124"/>
      <c r="M988" s="124"/>
    </row>
    <row r="989" spans="2:13" ht="17.25" customHeight="1">
      <c r="B989" s="15"/>
      <c r="C989" s="15"/>
      <c r="D989" s="15"/>
      <c r="E989" s="15"/>
      <c r="F989" s="15"/>
      <c r="G989" s="15"/>
      <c r="H989" s="15"/>
      <c r="I989" s="124"/>
      <c r="J989" s="124"/>
      <c r="K989" s="45"/>
      <c r="L989" s="124"/>
      <c r="M989" s="124"/>
    </row>
    <row r="990" spans="2:13" ht="17.25" customHeight="1">
      <c r="B990" s="15"/>
      <c r="C990" s="15"/>
      <c r="D990" s="15"/>
      <c r="E990" s="15"/>
      <c r="F990" s="15"/>
      <c r="G990" s="15"/>
      <c r="H990" s="15"/>
      <c r="I990" s="124"/>
      <c r="J990" s="124"/>
      <c r="K990" s="45"/>
      <c r="L990" s="124"/>
      <c r="M990" s="124"/>
    </row>
    <row r="991" spans="2:13" ht="17.25" customHeight="1">
      <c r="B991" s="15"/>
      <c r="C991" s="15"/>
      <c r="D991" s="15"/>
      <c r="E991" s="15"/>
      <c r="F991" s="15"/>
      <c r="G991" s="15"/>
      <c r="H991" s="15"/>
      <c r="I991" s="124"/>
      <c r="J991" s="124"/>
      <c r="K991" s="45"/>
      <c r="L991" s="124"/>
      <c r="M991" s="124"/>
    </row>
    <row r="992" spans="2:13" ht="17.25" customHeight="1">
      <c r="B992" s="15"/>
      <c r="C992" s="15"/>
      <c r="D992" s="15"/>
      <c r="E992" s="15"/>
      <c r="F992" s="15"/>
      <c r="G992" s="15"/>
      <c r="H992" s="15"/>
      <c r="I992" s="124"/>
      <c r="J992" s="124"/>
      <c r="K992" s="45"/>
      <c r="L992" s="124"/>
      <c r="M992" s="124"/>
    </row>
    <row r="993" spans="2:13" ht="17.25" customHeight="1">
      <c r="B993" s="15"/>
      <c r="C993" s="15"/>
      <c r="D993" s="15"/>
      <c r="E993" s="15"/>
      <c r="F993" s="15"/>
      <c r="G993" s="15"/>
      <c r="H993" s="15"/>
      <c r="I993" s="124"/>
      <c r="J993" s="124"/>
      <c r="K993" s="45"/>
      <c r="L993" s="124"/>
      <c r="M993" s="124"/>
    </row>
    <row r="994" spans="2:13" ht="17.25" customHeight="1">
      <c r="B994" s="15"/>
      <c r="C994" s="15"/>
      <c r="D994" s="15"/>
      <c r="E994" s="15"/>
      <c r="F994" s="15"/>
      <c r="G994" s="15"/>
      <c r="H994" s="15"/>
      <c r="I994" s="124"/>
      <c r="J994" s="124"/>
      <c r="K994" s="45"/>
      <c r="L994" s="124"/>
      <c r="M994" s="124"/>
    </row>
    <row r="995" spans="2:13" ht="17.25" customHeight="1">
      <c r="B995" s="15"/>
      <c r="C995" s="15"/>
      <c r="D995" s="15"/>
      <c r="E995" s="15"/>
      <c r="F995" s="15"/>
      <c r="G995" s="15"/>
      <c r="H995" s="15"/>
      <c r="I995" s="124"/>
      <c r="J995" s="124"/>
      <c r="K995" s="45"/>
      <c r="L995" s="124"/>
      <c r="M995" s="124"/>
    </row>
  </sheetData>
  <conditionalFormatting sqref="B93:B995">
    <cfRule type="containsBlanks" dxfId="18" priority="1">
      <formula>LEN(TRIM(B93))=0</formula>
    </cfRule>
  </conditionalFormatting>
  <conditionalFormatting sqref="I3:M995">
    <cfRule type="containsBlanks" dxfId="17" priority="2">
      <formula>LEN(TRIM(I3))=0</formula>
    </cfRule>
  </conditionalFormatting>
  <dataValidations count="1">
    <dataValidation type="decimal" allowBlank="1" showErrorMessage="1" sqref="B3:B995" xr:uid="{00000000-0002-0000-1C00-000000000000}">
      <formula1>0</formula1>
      <formula2>1</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2">
        <x14:dataValidation type="list" allowBlank="1" showErrorMessage="1" xr:uid="{00000000-0002-0000-1C00-000001000000}">
          <x14:formula1>
            <xm:f>Constructions!$B$2:$B$1048576</xm:f>
          </x14:formula1>
          <xm:sqref>E93:E627</xm:sqref>
        </x14:dataValidation>
        <x14:dataValidation type="list" allowBlank="1" showErrorMessage="1" xr:uid="{00000000-0002-0000-1C00-000002000000}">
          <x14:formula1>
            <xm:f>Constructions!$B$2:$B$16</xm:f>
          </x14:formula1>
          <xm:sqref>E628:E995</xm:sqref>
        </x14:dataValidation>
        <x14:dataValidation type="list" allowBlank="1" showErrorMessage="1" xr:uid="{00000000-0002-0000-1C00-000003000000}">
          <x14:formula1>
            <xm:f>Constructions!$F$2:$F$34</xm:f>
          </x14:formula1>
          <xm:sqref>G93:G995</xm:sqref>
        </x14:dataValidation>
        <x14:dataValidation type="list" allowBlank="1" showErrorMessage="1" xr:uid="{00000000-0002-0000-1C00-000004000000}">
          <x14:formula1>
            <xm:f>Constructions!$K$2:$K$35</xm:f>
          </x14:formula1>
          <xm:sqref>M93:M995</xm:sqref>
        </x14:dataValidation>
        <x14:dataValidation type="list" allowBlank="1" showErrorMessage="1" xr:uid="{00000000-0002-0000-1C00-000005000000}">
          <x14:formula1>
            <xm:f>Constructions!$H$2:$H$22</xm:f>
          </x14:formula1>
          <xm:sqref>C93:C995</xm:sqref>
        </x14:dataValidation>
        <x14:dataValidation type="list" allowBlank="1" showErrorMessage="1" xr:uid="{00000000-0002-0000-1C00-000007000000}">
          <x14:formula1>
            <xm:f>Constructions!$E$2:$E$100</xm:f>
          </x14:formula1>
          <xm:sqref>I93:I995</xm:sqref>
        </x14:dataValidation>
        <x14:dataValidation type="list" allowBlank="1" showErrorMessage="1" xr:uid="{00000000-0002-0000-1C00-000008000000}">
          <x14:formula1>
            <xm:f>Constructions!$D$2:$D$24</xm:f>
          </x14:formula1>
          <xm:sqref>H93:H995</xm:sqref>
        </x14:dataValidation>
        <x14:dataValidation type="list" allowBlank="1" showErrorMessage="1" xr:uid="{00000000-0002-0000-1C00-000009000000}">
          <x14:formula1>
            <xm:f>Constructions!$C$2:$C$100</xm:f>
          </x14:formula1>
          <xm:sqref>F93:F995</xm:sqref>
        </x14:dataValidation>
        <x14:dataValidation type="list" allowBlank="1" showErrorMessage="1" xr:uid="{00000000-0002-0000-1C00-00000A000000}">
          <x14:formula1>
            <xm:f>Constructions!$G$2:$G$18</xm:f>
          </x14:formula1>
          <xm:sqref>J93:J995</xm:sqref>
        </x14:dataValidation>
        <x14:dataValidation type="list" allowBlank="1" showErrorMessage="1" xr:uid="{00000000-0002-0000-1C00-00000C000000}">
          <x14:formula1>
            <xm:f>Constructions!$A$2:$A$100</xm:f>
          </x14:formula1>
          <xm:sqref>D93:D995</xm:sqref>
        </x14:dataValidation>
        <x14:dataValidation type="list" allowBlank="1" showErrorMessage="1" xr:uid="{00000000-0002-0000-1C00-00000D000000}">
          <x14:formula1>
            <xm:f>Constructions!$I$2:$I$29</xm:f>
          </x14:formula1>
          <xm:sqref>K93:K995</xm:sqref>
        </x14:dataValidation>
        <x14:dataValidation type="list" allowBlank="1" showErrorMessage="1" xr:uid="{00000000-0002-0000-1C00-000006000000}">
          <x14:formula1>
            <xm:f>Constructions!$J97:$J130</xm:f>
          </x14:formula1>
          <xm:sqref>L93:L995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7"/>
  </sheetPr>
  <dimension ref="A1:F7562"/>
  <sheetViews>
    <sheetView workbookViewId="0">
      <selection activeCell="C11" sqref="C11"/>
    </sheetView>
  </sheetViews>
  <sheetFormatPr baseColWidth="10" defaultColWidth="11.28515625" defaultRowHeight="15" customHeight="1"/>
  <cols>
    <col min="1" max="1" width="48.7109375" customWidth="1"/>
    <col min="2" max="2" width="20" customWidth="1"/>
    <col min="3" max="4" width="31.42578125" customWidth="1"/>
    <col min="5" max="5" width="51.42578125" customWidth="1"/>
    <col min="6" max="6" width="11.42578125" customWidth="1"/>
  </cols>
  <sheetData>
    <row r="1" spans="1:6" ht="49.5" customHeight="1">
      <c r="A1" s="168" t="s">
        <v>5833</v>
      </c>
      <c r="B1" s="168" t="s">
        <v>5834</v>
      </c>
      <c r="C1" s="168" t="s">
        <v>5835</v>
      </c>
      <c r="D1" s="168"/>
      <c r="E1" s="168" t="s">
        <v>5836</v>
      </c>
      <c r="F1" s="20"/>
    </row>
    <row r="2" spans="1:6" ht="17.25" customHeight="1">
      <c r="A2" s="81" t="s">
        <v>4832</v>
      </c>
      <c r="B2" s="81" t="s">
        <v>76</v>
      </c>
      <c r="C2" s="81" t="s">
        <v>164</v>
      </c>
      <c r="D2" s="81" t="s">
        <v>165</v>
      </c>
      <c r="E2" s="81" t="s">
        <v>12</v>
      </c>
      <c r="F2" s="20"/>
    </row>
    <row r="3" spans="1:6" ht="17.25" customHeight="1">
      <c r="A3" s="124"/>
      <c r="B3" s="124"/>
      <c r="C3" s="124"/>
      <c r="D3" s="124"/>
      <c r="E3" s="124"/>
      <c r="F3" s="20"/>
    </row>
    <row r="4" spans="1:6" ht="17.25" customHeight="1">
      <c r="A4" s="124"/>
      <c r="B4" s="124"/>
      <c r="C4" s="124"/>
      <c r="D4" s="124"/>
      <c r="E4" s="124"/>
      <c r="F4" s="20"/>
    </row>
    <row r="5" spans="1:6" ht="17.25" customHeight="1">
      <c r="A5" s="124"/>
      <c r="B5" s="124"/>
      <c r="C5" s="124"/>
      <c r="D5" s="124"/>
      <c r="E5" s="124"/>
      <c r="F5" s="20"/>
    </row>
    <row r="6" spans="1:6" ht="17.25" customHeight="1">
      <c r="A6" s="124"/>
      <c r="B6" s="124"/>
      <c r="C6" s="124"/>
      <c r="D6" s="124"/>
      <c r="E6" s="124"/>
      <c r="F6" s="20"/>
    </row>
    <row r="7" spans="1:6" ht="17.25" customHeight="1">
      <c r="A7" s="124"/>
      <c r="B7" s="124"/>
      <c r="C7" s="124"/>
      <c r="D7" s="124"/>
      <c r="E7" s="124"/>
      <c r="F7" s="20"/>
    </row>
    <row r="8" spans="1:6" ht="17.25" customHeight="1">
      <c r="A8" s="124"/>
      <c r="B8" s="124"/>
      <c r="C8" s="124"/>
      <c r="D8" s="169"/>
      <c r="E8" s="124"/>
      <c r="F8" s="20"/>
    </row>
    <row r="9" spans="1:6" ht="17.25" customHeight="1">
      <c r="A9" s="124"/>
      <c r="B9" s="124"/>
      <c r="C9" s="124"/>
      <c r="D9" s="169"/>
      <c r="E9" s="124"/>
      <c r="F9" s="20"/>
    </row>
    <row r="10" spans="1:6" ht="17.25" customHeight="1">
      <c r="A10" s="124"/>
      <c r="B10" s="124"/>
      <c r="C10" s="124"/>
      <c r="D10" s="169"/>
      <c r="E10" s="124"/>
      <c r="F10" s="20"/>
    </row>
    <row r="11" spans="1:6" ht="17.25" customHeight="1">
      <c r="A11" s="124"/>
      <c r="B11" s="124"/>
      <c r="C11" s="124"/>
      <c r="D11" s="169"/>
      <c r="E11" s="124"/>
      <c r="F11" s="20"/>
    </row>
    <row r="12" spans="1:6" ht="17.25" customHeight="1">
      <c r="A12" s="124"/>
      <c r="B12" s="124"/>
      <c r="C12" s="124"/>
      <c r="D12" s="169"/>
      <c r="E12" s="124"/>
      <c r="F12" s="20"/>
    </row>
    <row r="13" spans="1:6" ht="17.25" customHeight="1">
      <c r="A13" s="124"/>
      <c r="B13" s="124"/>
      <c r="C13" s="124"/>
      <c r="D13" s="169"/>
      <c r="E13" s="124"/>
      <c r="F13" s="20"/>
    </row>
    <row r="14" spans="1:6" ht="17.25" customHeight="1">
      <c r="A14" s="124"/>
      <c r="B14" s="124"/>
      <c r="C14" s="124"/>
      <c r="D14" s="169"/>
      <c r="E14" s="124"/>
      <c r="F14" s="20"/>
    </row>
    <row r="15" spans="1:6" ht="17.25" customHeight="1">
      <c r="A15" s="124"/>
      <c r="B15" s="124"/>
      <c r="C15" s="124"/>
      <c r="D15" s="169"/>
      <c r="E15" s="124"/>
      <c r="F15" s="20"/>
    </row>
    <row r="16" spans="1:6" ht="17.25" customHeight="1">
      <c r="A16" s="124"/>
      <c r="B16" s="124"/>
      <c r="C16" s="124"/>
      <c r="D16" s="169"/>
      <c r="E16" s="124"/>
      <c r="F16" s="20"/>
    </row>
    <row r="17" spans="1:6" ht="17.25" customHeight="1">
      <c r="A17" s="124"/>
      <c r="B17" s="124"/>
      <c r="C17" s="124"/>
      <c r="D17" s="169"/>
      <c r="E17" s="124"/>
      <c r="F17" s="20"/>
    </row>
    <row r="18" spans="1:6" ht="17.25" customHeight="1">
      <c r="A18" s="124"/>
      <c r="B18" s="124"/>
      <c r="C18" s="124"/>
      <c r="D18" s="169"/>
      <c r="E18" s="124"/>
      <c r="F18" s="20"/>
    </row>
    <row r="19" spans="1:6" ht="17.25" customHeight="1">
      <c r="A19" s="124"/>
      <c r="B19" s="124"/>
      <c r="C19" s="124"/>
      <c r="D19" s="169"/>
      <c r="E19" s="124"/>
      <c r="F19" s="20"/>
    </row>
    <row r="20" spans="1:6" ht="17.25" customHeight="1">
      <c r="A20" s="124"/>
      <c r="B20" s="124"/>
      <c r="C20" s="124"/>
      <c r="D20" s="169"/>
      <c r="E20" s="124"/>
      <c r="F20" s="20"/>
    </row>
    <row r="21" spans="1:6" ht="17.25" customHeight="1">
      <c r="A21" s="124"/>
      <c r="B21" s="124"/>
      <c r="C21" s="124"/>
      <c r="D21" s="169"/>
      <c r="E21" s="124"/>
      <c r="F21" s="20"/>
    </row>
    <row r="22" spans="1:6" ht="17.25" customHeight="1">
      <c r="A22" s="124"/>
      <c r="B22" s="124"/>
      <c r="C22" s="124"/>
      <c r="D22" s="169"/>
      <c r="E22" s="124"/>
      <c r="F22" s="20"/>
    </row>
    <row r="23" spans="1:6" ht="17.25" customHeight="1">
      <c r="A23" s="124"/>
      <c r="B23" s="124"/>
      <c r="C23" s="124"/>
      <c r="D23" s="169"/>
      <c r="E23" s="124"/>
      <c r="F23" s="20"/>
    </row>
    <row r="24" spans="1:6" ht="17.25" customHeight="1">
      <c r="A24" s="124"/>
      <c r="B24" s="124"/>
      <c r="C24" s="124"/>
      <c r="D24" s="169"/>
      <c r="E24" s="124"/>
      <c r="F24" s="20"/>
    </row>
    <row r="25" spans="1:6" ht="17.25" customHeight="1">
      <c r="A25" s="124"/>
      <c r="B25" s="124"/>
      <c r="C25" s="124"/>
      <c r="D25" s="169"/>
      <c r="E25" s="124"/>
      <c r="F25" s="20"/>
    </row>
    <row r="26" spans="1:6" ht="17.25" customHeight="1">
      <c r="A26" s="124"/>
      <c r="B26" s="124"/>
      <c r="C26" s="124"/>
      <c r="D26" s="169"/>
      <c r="E26" s="124"/>
      <c r="F26" s="20"/>
    </row>
    <row r="27" spans="1:6" ht="17.25" customHeight="1">
      <c r="A27" s="124"/>
      <c r="B27" s="124"/>
      <c r="C27" s="124"/>
      <c r="D27" s="169"/>
      <c r="E27" s="124"/>
      <c r="F27" s="20"/>
    </row>
    <row r="28" spans="1:6" ht="17.25" customHeight="1">
      <c r="A28" s="124"/>
      <c r="B28" s="124"/>
      <c r="C28" s="124"/>
      <c r="D28" s="169"/>
      <c r="E28" s="124"/>
      <c r="F28" s="20"/>
    </row>
    <row r="29" spans="1:6" ht="17.25" customHeight="1">
      <c r="A29" s="124"/>
      <c r="B29" s="124"/>
      <c r="C29" s="124"/>
      <c r="D29" s="169"/>
      <c r="E29" s="124"/>
      <c r="F29" s="20"/>
    </row>
    <row r="30" spans="1:6" ht="17.25" customHeight="1">
      <c r="A30" s="124"/>
      <c r="B30" s="124"/>
      <c r="C30" s="124"/>
      <c r="D30" s="169"/>
      <c r="E30" s="124"/>
      <c r="F30" s="20"/>
    </row>
    <row r="31" spans="1:6" ht="17.25" customHeight="1">
      <c r="A31" s="124"/>
      <c r="B31" s="124"/>
      <c r="C31" s="124"/>
      <c r="D31" s="169"/>
      <c r="E31" s="124"/>
      <c r="F31" s="20"/>
    </row>
    <row r="32" spans="1:6" ht="17.25" customHeight="1">
      <c r="A32" s="124"/>
      <c r="B32" s="124"/>
      <c r="C32" s="124"/>
      <c r="D32" s="169"/>
      <c r="E32" s="124"/>
      <c r="F32" s="20"/>
    </row>
    <row r="33" spans="1:6" ht="17.25" customHeight="1">
      <c r="A33" s="124"/>
      <c r="B33" s="124"/>
      <c r="C33" s="124"/>
      <c r="D33" s="169"/>
      <c r="E33" s="124"/>
      <c r="F33" s="20"/>
    </row>
    <row r="34" spans="1:6" ht="17.25" customHeight="1">
      <c r="A34" s="124"/>
      <c r="B34" s="124"/>
      <c r="C34" s="124"/>
      <c r="D34" s="169"/>
      <c r="E34" s="124"/>
      <c r="F34" s="20"/>
    </row>
    <row r="35" spans="1:6" ht="17.25" customHeight="1">
      <c r="A35" s="124"/>
      <c r="B35" s="124"/>
      <c r="C35" s="124"/>
      <c r="D35" s="169"/>
      <c r="E35" s="124"/>
      <c r="F35" s="20"/>
    </row>
    <row r="36" spans="1:6" ht="17.25" customHeight="1">
      <c r="A36" s="124"/>
      <c r="B36" s="124"/>
      <c r="C36" s="124"/>
      <c r="D36" s="169"/>
      <c r="E36" s="124"/>
      <c r="F36" s="20"/>
    </row>
    <row r="37" spans="1:6" ht="17.25" customHeight="1">
      <c r="A37" s="124"/>
      <c r="B37" s="124"/>
      <c r="C37" s="124"/>
      <c r="D37" s="169"/>
      <c r="E37" s="124"/>
      <c r="F37" s="20"/>
    </row>
    <row r="38" spans="1:6" ht="17.25" customHeight="1">
      <c r="A38" s="124"/>
      <c r="B38" s="124"/>
      <c r="C38" s="124"/>
      <c r="D38" s="169"/>
      <c r="E38" s="124"/>
      <c r="F38" s="20"/>
    </row>
    <row r="39" spans="1:6" ht="17.25" customHeight="1">
      <c r="A39" s="124"/>
      <c r="B39" s="124"/>
      <c r="C39" s="124"/>
      <c r="D39" s="169"/>
      <c r="E39" s="124"/>
      <c r="F39" s="20"/>
    </row>
    <row r="40" spans="1:6" ht="17.25" customHeight="1">
      <c r="A40" s="124"/>
      <c r="B40" s="124"/>
      <c r="C40" s="124"/>
      <c r="D40" s="169"/>
      <c r="E40" s="124"/>
      <c r="F40" s="20"/>
    </row>
    <row r="41" spans="1:6" ht="17.25" customHeight="1">
      <c r="A41" s="124"/>
      <c r="B41" s="124"/>
      <c r="C41" s="124"/>
      <c r="D41" s="169"/>
      <c r="E41" s="124"/>
      <c r="F41" s="20"/>
    </row>
    <row r="42" spans="1:6" ht="17.25" customHeight="1">
      <c r="A42" s="124"/>
      <c r="B42" s="124"/>
      <c r="C42" s="124"/>
      <c r="D42" s="169"/>
      <c r="E42" s="124"/>
      <c r="F42" s="20"/>
    </row>
    <row r="43" spans="1:6" ht="17.25" customHeight="1">
      <c r="A43" s="124"/>
      <c r="B43" s="124"/>
      <c r="C43" s="124"/>
      <c r="D43" s="169"/>
      <c r="E43" s="124"/>
      <c r="F43" s="20"/>
    </row>
    <row r="44" spans="1:6" ht="17.25" customHeight="1">
      <c r="A44" s="124"/>
      <c r="B44" s="124"/>
      <c r="C44" s="124"/>
      <c r="D44" s="169"/>
      <c r="E44" s="124"/>
      <c r="F44" s="20"/>
    </row>
    <row r="45" spans="1:6" ht="17.25" customHeight="1">
      <c r="A45" s="124"/>
      <c r="B45" s="124"/>
      <c r="C45" s="124"/>
      <c r="D45" s="169"/>
      <c r="E45" s="124"/>
      <c r="F45" s="20"/>
    </row>
    <row r="46" spans="1:6" ht="17.25" customHeight="1">
      <c r="A46" s="124"/>
      <c r="B46" s="124"/>
      <c r="C46" s="124"/>
      <c r="D46" s="169"/>
      <c r="E46" s="124"/>
      <c r="F46" s="20"/>
    </row>
    <row r="47" spans="1:6" ht="17.25" customHeight="1">
      <c r="A47" s="124"/>
      <c r="B47" s="124"/>
      <c r="C47" s="124"/>
      <c r="D47" s="169"/>
      <c r="E47" s="124"/>
      <c r="F47" s="20"/>
    </row>
    <row r="48" spans="1:6" ht="17.25" customHeight="1">
      <c r="A48" s="124"/>
      <c r="B48" s="124"/>
      <c r="C48" s="124"/>
      <c r="D48" s="169"/>
      <c r="E48" s="124"/>
      <c r="F48" s="20"/>
    </row>
    <row r="49" spans="1:6" ht="17.25" customHeight="1">
      <c r="A49" s="124"/>
      <c r="B49" s="124"/>
      <c r="C49" s="124"/>
      <c r="D49" s="169"/>
      <c r="E49" s="124"/>
      <c r="F49" s="20"/>
    </row>
    <row r="50" spans="1:6" ht="17.25" customHeight="1">
      <c r="A50" s="124"/>
      <c r="B50" s="124"/>
      <c r="C50" s="124"/>
      <c r="D50" s="169"/>
      <c r="E50" s="124"/>
      <c r="F50" s="20"/>
    </row>
    <row r="51" spans="1:6" ht="17.25" customHeight="1">
      <c r="A51" s="124"/>
      <c r="B51" s="124"/>
      <c r="C51" s="124"/>
      <c r="D51" s="169"/>
      <c r="E51" s="124"/>
      <c r="F51" s="20"/>
    </row>
    <row r="52" spans="1:6" ht="17.25" customHeight="1">
      <c r="A52" s="124"/>
      <c r="B52" s="124"/>
      <c r="C52" s="124"/>
      <c r="D52" s="169"/>
      <c r="E52" s="124"/>
      <c r="F52" s="20"/>
    </row>
    <row r="53" spans="1:6" ht="17.25" customHeight="1">
      <c r="A53" s="124"/>
      <c r="B53" s="124"/>
      <c r="C53" s="124"/>
      <c r="D53" s="169"/>
      <c r="E53" s="124"/>
      <c r="F53" s="20"/>
    </row>
    <row r="54" spans="1:6" ht="17.25" customHeight="1">
      <c r="A54" s="124"/>
      <c r="B54" s="124"/>
      <c r="C54" s="124"/>
      <c r="D54" s="169"/>
      <c r="E54" s="124"/>
      <c r="F54" s="20"/>
    </row>
    <row r="55" spans="1:6" ht="17.25" customHeight="1">
      <c r="A55" s="124"/>
      <c r="B55" s="124"/>
      <c r="C55" s="124"/>
      <c r="D55" s="169"/>
      <c r="E55" s="124"/>
      <c r="F55" s="20"/>
    </row>
    <row r="56" spans="1:6" ht="17.25" customHeight="1">
      <c r="A56" s="124"/>
      <c r="B56" s="124"/>
      <c r="C56" s="124"/>
      <c r="D56" s="169"/>
      <c r="E56" s="124"/>
      <c r="F56" s="20"/>
    </row>
    <row r="57" spans="1:6" ht="17.25" customHeight="1">
      <c r="A57" s="124"/>
      <c r="B57" s="124"/>
      <c r="C57" s="124"/>
      <c r="D57" s="169"/>
      <c r="E57" s="124"/>
      <c r="F57" s="20"/>
    </row>
    <row r="58" spans="1:6" ht="17.25" customHeight="1">
      <c r="A58" s="131"/>
      <c r="B58" s="124"/>
      <c r="C58" s="124"/>
      <c r="D58" s="169"/>
      <c r="E58" s="124"/>
      <c r="F58" s="20"/>
    </row>
    <row r="59" spans="1:6" ht="17.25" customHeight="1">
      <c r="A59" s="131"/>
      <c r="B59" s="124"/>
      <c r="C59" s="124"/>
      <c r="D59" s="169"/>
      <c r="E59" s="124"/>
      <c r="F59" s="20"/>
    </row>
    <row r="60" spans="1:6" ht="17.25" customHeight="1">
      <c r="A60" s="131"/>
      <c r="B60" s="124"/>
      <c r="C60" s="124"/>
      <c r="D60" s="169"/>
      <c r="E60" s="124"/>
      <c r="F60" s="20"/>
    </row>
    <row r="61" spans="1:6" ht="17.25" customHeight="1">
      <c r="A61" s="131"/>
      <c r="B61" s="124"/>
      <c r="C61" s="124"/>
      <c r="D61" s="169"/>
      <c r="E61" s="124"/>
      <c r="F61" s="20"/>
    </row>
    <row r="62" spans="1:6" ht="17.25" customHeight="1">
      <c r="A62" s="131"/>
      <c r="B62" s="124"/>
      <c r="C62" s="124"/>
      <c r="D62" s="169"/>
      <c r="E62" s="124"/>
      <c r="F62" s="20"/>
    </row>
    <row r="63" spans="1:6" ht="17.25" customHeight="1">
      <c r="A63" s="124"/>
      <c r="B63" s="124"/>
      <c r="C63" s="124"/>
      <c r="D63" s="169"/>
      <c r="E63" s="124"/>
      <c r="F63" s="20"/>
    </row>
    <row r="64" spans="1:6" ht="17.25" customHeight="1">
      <c r="A64" s="124"/>
      <c r="B64" s="124"/>
      <c r="C64" s="124"/>
      <c r="D64" s="169"/>
      <c r="E64" s="124"/>
      <c r="F64" s="20"/>
    </row>
    <row r="65" spans="1:6" ht="17.25" customHeight="1">
      <c r="A65" s="124"/>
      <c r="B65" s="124"/>
      <c r="C65" s="124"/>
      <c r="D65" s="169"/>
      <c r="E65" s="124"/>
      <c r="F65" s="20"/>
    </row>
    <row r="66" spans="1:6" ht="17.25" customHeight="1">
      <c r="A66" s="124"/>
      <c r="B66" s="124"/>
      <c r="C66" s="124"/>
      <c r="D66" s="169"/>
      <c r="E66" s="124"/>
      <c r="F66" s="20"/>
    </row>
    <row r="67" spans="1:6" ht="17.25" customHeight="1">
      <c r="A67" s="124"/>
      <c r="B67" s="124"/>
      <c r="C67" s="124"/>
      <c r="D67" s="169"/>
      <c r="E67" s="124"/>
      <c r="F67" s="20"/>
    </row>
    <row r="68" spans="1:6" ht="17.25" customHeight="1">
      <c r="A68" s="124"/>
      <c r="B68" s="124"/>
      <c r="C68" s="124"/>
      <c r="D68" s="169"/>
      <c r="E68" s="124"/>
      <c r="F68" s="20"/>
    </row>
    <row r="69" spans="1:6" ht="17.25" customHeight="1">
      <c r="A69" s="124"/>
      <c r="B69" s="124"/>
      <c r="C69" s="124"/>
      <c r="D69" s="169"/>
      <c r="E69" s="124"/>
      <c r="F69" s="20"/>
    </row>
    <row r="70" spans="1:6" ht="17.25" customHeight="1">
      <c r="A70" s="124"/>
      <c r="B70" s="124"/>
      <c r="C70" s="124"/>
      <c r="D70" s="169"/>
      <c r="E70" s="124"/>
      <c r="F70" s="20"/>
    </row>
    <row r="71" spans="1:6" ht="17.25" customHeight="1">
      <c r="A71" s="124"/>
      <c r="B71" s="124"/>
      <c r="C71" s="124"/>
      <c r="D71" s="169"/>
      <c r="E71" s="124"/>
      <c r="F71" s="20"/>
    </row>
    <row r="72" spans="1:6" ht="17.25" customHeight="1">
      <c r="A72" s="124"/>
      <c r="B72" s="124"/>
      <c r="C72" s="124"/>
      <c r="D72" s="169"/>
      <c r="E72" s="124"/>
      <c r="F72" s="20"/>
    </row>
    <row r="73" spans="1:6" ht="17.25" customHeight="1">
      <c r="A73" s="124"/>
      <c r="B73" s="124"/>
      <c r="C73" s="124"/>
      <c r="D73" s="169"/>
      <c r="E73" s="124"/>
      <c r="F73" s="20"/>
    </row>
    <row r="74" spans="1:6" ht="17.25" customHeight="1">
      <c r="A74" s="124"/>
      <c r="B74" s="124"/>
      <c r="C74" s="124"/>
      <c r="D74" s="169"/>
      <c r="E74" s="124"/>
      <c r="F74" s="20"/>
    </row>
    <row r="75" spans="1:6" ht="17.25" customHeight="1">
      <c r="A75" s="124"/>
      <c r="B75" s="124"/>
      <c r="C75" s="124"/>
      <c r="D75" s="169"/>
      <c r="E75" s="124"/>
      <c r="F75" s="20"/>
    </row>
    <row r="76" spans="1:6" ht="17.25" customHeight="1">
      <c r="A76" s="124"/>
      <c r="B76" s="124"/>
      <c r="C76" s="124"/>
      <c r="D76" s="169"/>
      <c r="E76" s="124"/>
      <c r="F76" s="20"/>
    </row>
    <row r="77" spans="1:6" ht="17.25" customHeight="1">
      <c r="A77" s="124"/>
      <c r="B77" s="124"/>
      <c r="C77" s="124"/>
      <c r="D77" s="169"/>
      <c r="E77" s="124"/>
      <c r="F77" s="20"/>
    </row>
    <row r="78" spans="1:6" ht="17.25" customHeight="1">
      <c r="A78" s="124"/>
      <c r="B78" s="124"/>
      <c r="C78" s="124"/>
      <c r="D78" s="169"/>
      <c r="E78" s="124"/>
      <c r="F78" s="20"/>
    </row>
    <row r="79" spans="1:6" ht="17.25" customHeight="1">
      <c r="A79" s="124"/>
      <c r="B79" s="124"/>
      <c r="C79" s="124"/>
      <c r="D79" s="169"/>
      <c r="E79" s="124"/>
      <c r="F79" s="20"/>
    </row>
    <row r="80" spans="1:6" ht="17.25" customHeight="1">
      <c r="A80" s="124"/>
      <c r="B80" s="124"/>
      <c r="C80" s="124"/>
      <c r="D80" s="169"/>
      <c r="E80" s="124"/>
      <c r="F80" s="20"/>
    </row>
    <row r="81" spans="1:6" ht="17.25" customHeight="1">
      <c r="A81" s="124"/>
      <c r="B81" s="124"/>
      <c r="C81" s="124"/>
      <c r="D81" s="169"/>
      <c r="E81" s="124"/>
      <c r="F81" s="20"/>
    </row>
    <row r="82" spans="1:6" ht="17.25" customHeight="1">
      <c r="A82" s="124"/>
      <c r="B82" s="124"/>
      <c r="C82" s="124"/>
      <c r="D82" s="169"/>
      <c r="E82" s="124"/>
      <c r="F82" s="20"/>
    </row>
    <row r="83" spans="1:6" ht="17.25" customHeight="1">
      <c r="A83" s="124"/>
      <c r="B83" s="124"/>
      <c r="C83" s="124"/>
      <c r="D83" s="169"/>
      <c r="E83" s="124"/>
      <c r="F83" s="20"/>
    </row>
    <row r="84" spans="1:6" ht="17.25" customHeight="1">
      <c r="A84" s="124"/>
      <c r="B84" s="124"/>
      <c r="C84" s="124"/>
      <c r="D84" s="169"/>
      <c r="E84" s="124"/>
      <c r="F84" s="20"/>
    </row>
    <row r="85" spans="1:6" ht="17.25" customHeight="1">
      <c r="A85" s="124"/>
      <c r="B85" s="124"/>
      <c r="C85" s="124"/>
      <c r="D85" s="169"/>
      <c r="E85" s="124"/>
      <c r="F85" s="20"/>
    </row>
    <row r="86" spans="1:6" ht="17.25" customHeight="1">
      <c r="A86" s="124"/>
      <c r="B86" s="124"/>
      <c r="C86" s="124"/>
      <c r="D86" s="169"/>
      <c r="E86" s="124"/>
      <c r="F86" s="20"/>
    </row>
    <row r="87" spans="1:6" ht="17.25" customHeight="1">
      <c r="A87" s="124"/>
      <c r="B87" s="124"/>
      <c r="C87" s="124"/>
      <c r="D87" s="169"/>
      <c r="E87" s="124"/>
      <c r="F87" s="20"/>
    </row>
    <row r="88" spans="1:6" ht="17.25" customHeight="1">
      <c r="A88" s="124"/>
      <c r="B88" s="124"/>
      <c r="C88" s="124"/>
      <c r="D88" s="169"/>
      <c r="E88" s="124"/>
      <c r="F88" s="20"/>
    </row>
    <row r="89" spans="1:6" ht="17.25" customHeight="1">
      <c r="A89" s="124"/>
      <c r="B89" s="124"/>
      <c r="C89" s="124"/>
      <c r="D89" s="169"/>
      <c r="E89" s="124"/>
      <c r="F89" s="20"/>
    </row>
    <row r="90" spans="1:6" ht="17.25" customHeight="1">
      <c r="A90" s="124"/>
      <c r="B90" s="124"/>
      <c r="C90" s="124"/>
      <c r="D90" s="169"/>
      <c r="E90" s="124"/>
      <c r="F90" s="20"/>
    </row>
    <row r="91" spans="1:6" ht="17.25" customHeight="1">
      <c r="A91" s="124"/>
      <c r="B91" s="124"/>
      <c r="C91" s="124"/>
      <c r="D91" s="169"/>
      <c r="E91" s="124"/>
      <c r="F91" s="20"/>
    </row>
    <row r="92" spans="1:6" ht="17.25" customHeight="1">
      <c r="A92" s="124"/>
      <c r="B92" s="124"/>
      <c r="C92" s="124"/>
      <c r="D92" s="169"/>
      <c r="E92" s="124"/>
      <c r="F92" s="20"/>
    </row>
    <row r="93" spans="1:6" ht="17.25" customHeight="1">
      <c r="A93" s="37"/>
      <c r="B93" s="37"/>
      <c r="C93" s="37"/>
      <c r="D93" s="37"/>
      <c r="E93" s="37"/>
      <c r="F93" s="20"/>
    </row>
    <row r="94" spans="1:6" ht="17.25" customHeight="1">
      <c r="A94" s="37"/>
      <c r="B94" s="37"/>
      <c r="C94" s="37"/>
      <c r="D94" s="37"/>
      <c r="E94" s="37"/>
      <c r="F94" s="20"/>
    </row>
    <row r="95" spans="1:6" ht="17.25" customHeight="1">
      <c r="A95" s="37"/>
      <c r="B95" s="37"/>
      <c r="C95" s="37"/>
      <c r="D95" s="37"/>
      <c r="E95" s="37"/>
      <c r="F95" s="20"/>
    </row>
    <row r="96" spans="1:6" ht="17.25" customHeight="1">
      <c r="A96" s="37"/>
      <c r="B96" s="37"/>
      <c r="C96" s="37"/>
      <c r="D96" s="37"/>
      <c r="E96" s="37"/>
      <c r="F96" s="20"/>
    </row>
    <row r="97" spans="1:6" ht="17.25" customHeight="1">
      <c r="A97" s="37"/>
      <c r="B97" s="37"/>
      <c r="C97" s="37"/>
      <c r="D97" s="37"/>
      <c r="E97" s="37"/>
      <c r="F97" s="20"/>
    </row>
    <row r="98" spans="1:6" ht="17.25" customHeight="1">
      <c r="A98" s="37"/>
      <c r="B98" s="37"/>
      <c r="C98" s="37"/>
      <c r="D98" s="37"/>
      <c r="E98" s="37"/>
      <c r="F98" s="20"/>
    </row>
    <row r="99" spans="1:6" ht="17.25" customHeight="1">
      <c r="A99" s="37"/>
      <c r="B99" s="37"/>
      <c r="C99" s="37"/>
      <c r="D99" s="37"/>
      <c r="E99" s="37"/>
      <c r="F99" s="20"/>
    </row>
    <row r="100" spans="1:6" ht="17.25" customHeight="1">
      <c r="A100" s="37"/>
      <c r="B100" s="37"/>
      <c r="C100" s="37"/>
      <c r="D100" s="37"/>
      <c r="E100" s="37"/>
      <c r="F100" s="20"/>
    </row>
    <row r="101" spans="1:6" ht="17.25" customHeight="1">
      <c r="A101" s="37"/>
      <c r="B101" s="37"/>
      <c r="C101" s="37"/>
      <c r="D101" s="37"/>
      <c r="E101" s="37"/>
      <c r="F101" s="20"/>
    </row>
    <row r="102" spans="1:6" ht="17.25" customHeight="1">
      <c r="A102" s="37"/>
      <c r="B102" s="37"/>
      <c r="C102" s="37"/>
      <c r="D102" s="37"/>
      <c r="E102" s="37"/>
      <c r="F102" s="20"/>
    </row>
    <row r="103" spans="1:6" ht="17.25" customHeight="1">
      <c r="A103" s="37"/>
      <c r="B103" s="37"/>
      <c r="C103" s="37"/>
      <c r="D103" s="37"/>
      <c r="E103" s="37"/>
      <c r="F103" s="20"/>
    </row>
    <row r="104" spans="1:6" ht="17.25" customHeight="1">
      <c r="A104" s="37"/>
      <c r="B104" s="37"/>
      <c r="C104" s="37"/>
      <c r="D104" s="37"/>
      <c r="E104" s="37"/>
      <c r="F104" s="20"/>
    </row>
    <row r="105" spans="1:6" ht="17.25" customHeight="1">
      <c r="A105" s="37"/>
      <c r="B105" s="37"/>
      <c r="C105" s="37"/>
      <c r="D105" s="37"/>
      <c r="E105" s="37"/>
      <c r="F105" s="20"/>
    </row>
    <row r="106" spans="1:6" ht="17.25" customHeight="1">
      <c r="A106" s="37"/>
      <c r="B106" s="37"/>
      <c r="C106" s="37"/>
      <c r="D106" s="37"/>
      <c r="E106" s="37"/>
      <c r="F106" s="20"/>
    </row>
    <row r="107" spans="1:6" ht="17.25" customHeight="1">
      <c r="A107" s="37"/>
      <c r="B107" s="37"/>
      <c r="C107" s="37"/>
      <c r="D107" s="37"/>
      <c r="E107" s="37"/>
      <c r="F107" s="20"/>
    </row>
    <row r="108" spans="1:6" ht="17.25" customHeight="1">
      <c r="A108" s="37"/>
      <c r="B108" s="37"/>
      <c r="C108" s="37"/>
      <c r="D108" s="37"/>
      <c r="E108" s="37"/>
      <c r="F108" s="20"/>
    </row>
    <row r="109" spans="1:6" ht="17.25" customHeight="1">
      <c r="A109" s="37"/>
      <c r="B109" s="37"/>
      <c r="C109" s="37"/>
      <c r="D109" s="37"/>
      <c r="E109" s="37"/>
      <c r="F109" s="20"/>
    </row>
    <row r="110" spans="1:6" ht="17.25" customHeight="1">
      <c r="A110" s="37"/>
      <c r="B110" s="37"/>
      <c r="C110" s="37"/>
      <c r="D110" s="37"/>
      <c r="E110" s="37"/>
      <c r="F110" s="20"/>
    </row>
    <row r="111" spans="1:6" ht="17.25" customHeight="1">
      <c r="A111" s="37"/>
      <c r="B111" s="37"/>
      <c r="C111" s="37"/>
      <c r="D111" s="37"/>
      <c r="E111" s="37"/>
      <c r="F111" s="20"/>
    </row>
    <row r="112" spans="1:6" ht="17.25" customHeight="1">
      <c r="A112" s="37"/>
      <c r="B112" s="37"/>
      <c r="C112" s="37"/>
      <c r="D112" s="37"/>
      <c r="E112" s="37"/>
      <c r="F112" s="20"/>
    </row>
    <row r="113" spans="1:6" ht="17.25" customHeight="1">
      <c r="A113" s="37"/>
      <c r="B113" s="37"/>
      <c r="C113" s="37"/>
      <c r="D113" s="37"/>
      <c r="E113" s="37"/>
      <c r="F113" s="20"/>
    </row>
    <row r="114" spans="1:6" ht="17.25" customHeight="1">
      <c r="A114" s="37"/>
      <c r="B114" s="37"/>
      <c r="C114" s="37"/>
      <c r="D114" s="37"/>
      <c r="E114" s="37"/>
      <c r="F114" s="20"/>
    </row>
    <row r="115" spans="1:6" ht="17.25" customHeight="1">
      <c r="A115" s="37"/>
      <c r="B115" s="37"/>
      <c r="C115" s="37"/>
      <c r="D115" s="37"/>
      <c r="E115" s="37"/>
      <c r="F115" s="20"/>
    </row>
    <row r="116" spans="1:6" ht="17.25" customHeight="1">
      <c r="A116" s="37"/>
      <c r="B116" s="37"/>
      <c r="C116" s="37"/>
      <c r="D116" s="37"/>
      <c r="E116" s="37"/>
      <c r="F116" s="20"/>
    </row>
    <row r="117" spans="1:6" ht="17.25" customHeight="1">
      <c r="A117" s="37"/>
      <c r="B117" s="37"/>
      <c r="C117" s="37"/>
      <c r="D117" s="37"/>
      <c r="E117" s="37"/>
      <c r="F117" s="20"/>
    </row>
    <row r="118" spans="1:6" ht="17.25" customHeight="1">
      <c r="A118" s="37"/>
      <c r="B118" s="37"/>
      <c r="C118" s="37"/>
      <c r="D118" s="37"/>
      <c r="E118" s="37"/>
      <c r="F118" s="20"/>
    </row>
    <row r="119" spans="1:6" ht="17.25" customHeight="1">
      <c r="A119" s="37"/>
      <c r="B119" s="37"/>
      <c r="C119" s="37"/>
      <c r="D119" s="37"/>
      <c r="E119" s="37"/>
      <c r="F119" s="20"/>
    </row>
    <row r="120" spans="1:6" ht="17.25" customHeight="1">
      <c r="A120" s="37"/>
      <c r="B120" s="37"/>
      <c r="C120" s="37"/>
      <c r="D120" s="37"/>
      <c r="E120" s="37"/>
      <c r="F120" s="20"/>
    </row>
    <row r="121" spans="1:6" ht="17.25" customHeight="1">
      <c r="A121" s="37"/>
      <c r="B121" s="37"/>
      <c r="C121" s="37"/>
      <c r="D121" s="37"/>
      <c r="E121" s="37"/>
      <c r="F121" s="20"/>
    </row>
    <row r="122" spans="1:6" ht="17.25" customHeight="1">
      <c r="A122" s="37"/>
      <c r="B122" s="37"/>
      <c r="C122" s="37"/>
      <c r="D122" s="37"/>
      <c r="E122" s="37"/>
      <c r="F122" s="20"/>
    </row>
    <row r="123" spans="1:6" ht="17.25" customHeight="1">
      <c r="A123" s="37"/>
      <c r="B123" s="37"/>
      <c r="C123" s="37"/>
      <c r="D123" s="37"/>
      <c r="E123" s="37"/>
      <c r="F123" s="20"/>
    </row>
    <row r="124" spans="1:6" ht="17.25" customHeight="1">
      <c r="A124" s="37"/>
      <c r="B124" s="37"/>
      <c r="C124" s="37"/>
      <c r="D124" s="37"/>
      <c r="E124" s="37"/>
      <c r="F124" s="20"/>
    </row>
    <row r="125" spans="1:6" ht="17.25" customHeight="1">
      <c r="A125" s="37"/>
      <c r="B125" s="37"/>
      <c r="C125" s="37"/>
      <c r="D125" s="37"/>
      <c r="E125" s="37"/>
      <c r="F125" s="20"/>
    </row>
    <row r="126" spans="1:6" ht="17.25" customHeight="1">
      <c r="A126" s="37"/>
      <c r="B126" s="37"/>
      <c r="C126" s="37"/>
      <c r="D126" s="37"/>
      <c r="E126" s="37"/>
      <c r="F126" s="20"/>
    </row>
    <row r="127" spans="1:6" ht="17.25" customHeight="1">
      <c r="A127" s="37"/>
      <c r="B127" s="37"/>
      <c r="C127" s="37"/>
      <c r="D127" s="37"/>
      <c r="E127" s="37"/>
      <c r="F127" s="20"/>
    </row>
    <row r="128" spans="1:6" ht="17.25" customHeight="1">
      <c r="A128" s="37"/>
      <c r="B128" s="37"/>
      <c r="C128" s="37"/>
      <c r="D128" s="37"/>
      <c r="E128" s="37"/>
      <c r="F128" s="20"/>
    </row>
    <row r="129" spans="1:6" ht="17.25" customHeight="1">
      <c r="A129" s="37"/>
      <c r="B129" s="37"/>
      <c r="C129" s="37"/>
      <c r="D129" s="37"/>
      <c r="E129" s="37"/>
      <c r="F129" s="20"/>
    </row>
    <row r="130" spans="1:6" ht="17.25" customHeight="1">
      <c r="A130" s="37"/>
      <c r="B130" s="37"/>
      <c r="C130" s="37"/>
      <c r="D130" s="37"/>
      <c r="E130" s="37"/>
      <c r="F130" s="20"/>
    </row>
    <row r="131" spans="1:6" ht="17.25" customHeight="1">
      <c r="A131" s="37"/>
      <c r="B131" s="37"/>
      <c r="C131" s="37"/>
      <c r="D131" s="37"/>
      <c r="E131" s="37"/>
      <c r="F131" s="20"/>
    </row>
    <row r="132" spans="1:6" ht="17.25" customHeight="1">
      <c r="A132" s="37"/>
      <c r="B132" s="37"/>
      <c r="C132" s="37"/>
      <c r="D132" s="37"/>
      <c r="E132" s="37"/>
      <c r="F132" s="20"/>
    </row>
    <row r="133" spans="1:6" ht="17.25" customHeight="1">
      <c r="A133" s="37"/>
      <c r="B133" s="37"/>
      <c r="C133" s="37"/>
      <c r="D133" s="37"/>
      <c r="E133" s="37"/>
      <c r="F133" s="20"/>
    </row>
    <row r="134" spans="1:6" ht="17.25" customHeight="1">
      <c r="A134" s="37"/>
      <c r="B134" s="37"/>
      <c r="C134" s="37"/>
      <c r="D134" s="37"/>
      <c r="E134" s="37"/>
      <c r="F134" s="20"/>
    </row>
    <row r="135" spans="1:6" ht="17.25" customHeight="1">
      <c r="A135" s="37"/>
      <c r="B135" s="37"/>
      <c r="C135" s="37"/>
      <c r="D135" s="37"/>
      <c r="E135" s="37"/>
      <c r="F135" s="20"/>
    </row>
    <row r="136" spans="1:6" ht="17.25" customHeight="1">
      <c r="A136" s="37"/>
      <c r="B136" s="37"/>
      <c r="C136" s="37"/>
      <c r="D136" s="37"/>
      <c r="E136" s="37"/>
      <c r="F136" s="20"/>
    </row>
    <row r="137" spans="1:6" ht="17.25" customHeight="1">
      <c r="A137" s="37"/>
      <c r="B137" s="37"/>
      <c r="C137" s="37"/>
      <c r="D137" s="37"/>
      <c r="E137" s="37"/>
      <c r="F137" s="20"/>
    </row>
    <row r="138" spans="1:6" ht="17.25" customHeight="1">
      <c r="A138" s="37"/>
      <c r="B138" s="37"/>
      <c r="C138" s="37"/>
      <c r="D138" s="37"/>
      <c r="E138" s="37"/>
      <c r="F138" s="20"/>
    </row>
    <row r="139" spans="1:6" ht="17.25" customHeight="1">
      <c r="A139" s="37"/>
      <c r="B139" s="37"/>
      <c r="C139" s="37"/>
      <c r="D139" s="37"/>
      <c r="E139" s="37"/>
      <c r="F139" s="20"/>
    </row>
    <row r="140" spans="1:6" ht="17.25" customHeight="1">
      <c r="A140" s="37"/>
      <c r="B140" s="37"/>
      <c r="C140" s="37"/>
      <c r="D140" s="37"/>
      <c r="E140" s="37"/>
      <c r="F140" s="20"/>
    </row>
    <row r="141" spans="1:6" ht="17.25" customHeight="1">
      <c r="A141" s="37"/>
      <c r="B141" s="37"/>
      <c r="C141" s="37"/>
      <c r="D141" s="37"/>
      <c r="E141" s="37"/>
      <c r="F141" s="20"/>
    </row>
    <row r="142" spans="1:6" ht="17.25" customHeight="1">
      <c r="A142" s="37"/>
      <c r="B142" s="37"/>
      <c r="C142" s="37"/>
      <c r="D142" s="37"/>
      <c r="E142" s="37"/>
      <c r="F142" s="20"/>
    </row>
    <row r="143" spans="1:6" ht="17.25" customHeight="1">
      <c r="A143" s="37"/>
      <c r="B143" s="37"/>
      <c r="C143" s="37"/>
      <c r="D143" s="37"/>
      <c r="E143" s="37"/>
      <c r="F143" s="20"/>
    </row>
    <row r="144" spans="1:6" ht="17.25" customHeight="1">
      <c r="A144" s="37"/>
      <c r="B144" s="37"/>
      <c r="C144" s="37"/>
      <c r="D144" s="37"/>
      <c r="E144" s="37"/>
      <c r="F144" s="20"/>
    </row>
    <row r="145" spans="1:6" ht="17.25" customHeight="1">
      <c r="A145" s="37"/>
      <c r="B145" s="37"/>
      <c r="C145" s="37"/>
      <c r="D145" s="37"/>
      <c r="E145" s="37"/>
      <c r="F145" s="20"/>
    </row>
    <row r="146" spans="1:6" ht="17.25" customHeight="1">
      <c r="A146" s="37"/>
      <c r="B146" s="37"/>
      <c r="C146" s="37"/>
      <c r="D146" s="37"/>
      <c r="E146" s="37"/>
      <c r="F146" s="20"/>
    </row>
    <row r="147" spans="1:6" ht="17.25" customHeight="1">
      <c r="A147" s="37"/>
      <c r="B147" s="37"/>
      <c r="C147" s="37"/>
      <c r="D147" s="37"/>
      <c r="E147" s="37"/>
      <c r="F147" s="20"/>
    </row>
    <row r="148" spans="1:6" ht="17.25" customHeight="1">
      <c r="A148" s="37"/>
      <c r="B148" s="37"/>
      <c r="C148" s="37"/>
      <c r="D148" s="37"/>
      <c r="E148" s="37"/>
      <c r="F148" s="20"/>
    </row>
    <row r="149" spans="1:6" ht="17.25" customHeight="1">
      <c r="A149" s="37"/>
      <c r="B149" s="37"/>
      <c r="C149" s="37"/>
      <c r="D149" s="37"/>
      <c r="E149" s="37"/>
      <c r="F149" s="20"/>
    </row>
    <row r="150" spans="1:6" ht="17.25" customHeight="1">
      <c r="A150" s="37"/>
      <c r="B150" s="37"/>
      <c r="C150" s="37"/>
      <c r="D150" s="37"/>
      <c r="E150" s="37"/>
      <c r="F150" s="20"/>
    </row>
    <row r="151" spans="1:6" ht="17.25" customHeight="1">
      <c r="A151" s="37"/>
      <c r="B151" s="37"/>
      <c r="C151" s="37"/>
      <c r="D151" s="37"/>
      <c r="E151" s="37"/>
      <c r="F151" s="20"/>
    </row>
    <row r="152" spans="1:6" ht="17.25" customHeight="1">
      <c r="A152" s="37"/>
      <c r="B152" s="37"/>
      <c r="C152" s="37"/>
      <c r="D152" s="37"/>
      <c r="E152" s="37"/>
      <c r="F152" s="20"/>
    </row>
    <row r="153" spans="1:6" ht="17.25" customHeight="1">
      <c r="A153" s="37"/>
      <c r="B153" s="37"/>
      <c r="C153" s="37"/>
      <c r="D153" s="37"/>
      <c r="E153" s="37"/>
      <c r="F153" s="20"/>
    </row>
    <row r="154" spans="1:6" ht="17.25" customHeight="1">
      <c r="A154" s="37"/>
      <c r="B154" s="37"/>
      <c r="C154" s="37"/>
      <c r="D154" s="37"/>
      <c r="E154" s="37"/>
      <c r="F154" s="20"/>
    </row>
    <row r="155" spans="1:6" ht="17.25" customHeight="1">
      <c r="A155" s="37"/>
      <c r="B155" s="37"/>
      <c r="C155" s="37"/>
      <c r="D155" s="37"/>
      <c r="E155" s="37"/>
      <c r="F155" s="20"/>
    </row>
    <row r="156" spans="1:6" ht="17.25" customHeight="1">
      <c r="A156" s="37"/>
      <c r="B156" s="37"/>
      <c r="C156" s="37"/>
      <c r="D156" s="37"/>
      <c r="E156" s="37"/>
      <c r="F156" s="20"/>
    </row>
    <row r="157" spans="1:6" ht="17.25" customHeight="1">
      <c r="A157" s="37"/>
      <c r="B157" s="37"/>
      <c r="C157" s="37"/>
      <c r="D157" s="37"/>
      <c r="E157" s="37"/>
      <c r="F157" s="20"/>
    </row>
    <row r="158" spans="1:6" ht="17.25" customHeight="1">
      <c r="A158" s="37"/>
      <c r="B158" s="37"/>
      <c r="C158" s="37"/>
      <c r="D158" s="37"/>
      <c r="E158" s="37"/>
      <c r="F158" s="20"/>
    </row>
    <row r="159" spans="1:6" ht="17.25" customHeight="1">
      <c r="A159" s="37"/>
      <c r="B159" s="37"/>
      <c r="C159" s="37"/>
      <c r="D159" s="37"/>
      <c r="E159" s="37"/>
      <c r="F159" s="20"/>
    </row>
    <row r="160" spans="1:6" ht="17.25" customHeight="1">
      <c r="A160" s="37"/>
      <c r="B160" s="37"/>
      <c r="C160" s="37"/>
      <c r="D160" s="37"/>
      <c r="E160" s="37"/>
      <c r="F160" s="20"/>
    </row>
    <row r="161" spans="1:6" ht="17.25" customHeight="1">
      <c r="A161" s="37"/>
      <c r="B161" s="37"/>
      <c r="C161" s="37"/>
      <c r="D161" s="37"/>
      <c r="E161" s="37"/>
      <c r="F161" s="20"/>
    </row>
    <row r="162" spans="1:6" ht="17.25" customHeight="1">
      <c r="A162" s="37"/>
      <c r="B162" s="37"/>
      <c r="C162" s="37"/>
      <c r="D162" s="37"/>
      <c r="E162" s="37"/>
      <c r="F162" s="20"/>
    </row>
    <row r="163" spans="1:6" ht="17.25" customHeight="1">
      <c r="A163" s="37"/>
      <c r="B163" s="37"/>
      <c r="C163" s="37"/>
      <c r="D163" s="37"/>
      <c r="E163" s="37"/>
      <c r="F163" s="20"/>
    </row>
    <row r="164" spans="1:6" ht="17.25" customHeight="1">
      <c r="A164" s="37"/>
      <c r="B164" s="37"/>
      <c r="C164" s="37"/>
      <c r="D164" s="37"/>
      <c r="E164" s="37"/>
      <c r="F164" s="20"/>
    </row>
    <row r="165" spans="1:6" ht="17.25" customHeight="1">
      <c r="A165" s="37"/>
      <c r="B165" s="37"/>
      <c r="C165" s="37"/>
      <c r="D165" s="37"/>
      <c r="E165" s="37"/>
      <c r="F165" s="20"/>
    </row>
    <row r="166" spans="1:6" ht="17.25" customHeight="1">
      <c r="A166" s="37"/>
      <c r="B166" s="37"/>
      <c r="C166" s="37"/>
      <c r="D166" s="37"/>
      <c r="E166" s="37"/>
      <c r="F166" s="20"/>
    </row>
    <row r="167" spans="1:6" ht="17.25" customHeight="1">
      <c r="A167" s="37"/>
      <c r="B167" s="37"/>
      <c r="C167" s="37"/>
      <c r="D167" s="37"/>
      <c r="E167" s="37"/>
      <c r="F167" s="20"/>
    </row>
    <row r="168" spans="1:6" ht="17.25" customHeight="1">
      <c r="A168" s="37"/>
      <c r="B168" s="37"/>
      <c r="C168" s="37"/>
      <c r="D168" s="37"/>
      <c r="E168" s="37"/>
      <c r="F168" s="20"/>
    </row>
    <row r="169" spans="1:6" ht="17.25" customHeight="1">
      <c r="A169" s="37"/>
      <c r="B169" s="37"/>
      <c r="C169" s="37"/>
      <c r="D169" s="37"/>
      <c r="E169" s="37"/>
      <c r="F169" s="20"/>
    </row>
    <row r="170" spans="1:6" ht="17.25" customHeight="1">
      <c r="A170" s="37"/>
      <c r="B170" s="37"/>
      <c r="C170" s="37"/>
      <c r="D170" s="37"/>
      <c r="E170" s="37"/>
      <c r="F170" s="20"/>
    </row>
    <row r="171" spans="1:6" ht="17.25" customHeight="1">
      <c r="A171" s="37"/>
      <c r="B171" s="37"/>
      <c r="C171" s="37"/>
      <c r="D171" s="37"/>
      <c r="E171" s="37"/>
      <c r="F171" s="20"/>
    </row>
    <row r="172" spans="1:6" ht="17.25" customHeight="1">
      <c r="A172" s="37"/>
      <c r="B172" s="37"/>
      <c r="C172" s="37"/>
      <c r="D172" s="37"/>
      <c r="E172" s="37"/>
      <c r="F172" s="20"/>
    </row>
    <row r="173" spans="1:6" ht="17.25" customHeight="1">
      <c r="A173" s="37"/>
      <c r="B173" s="37"/>
      <c r="C173" s="37"/>
      <c r="D173" s="37"/>
      <c r="E173" s="37"/>
      <c r="F173" s="20"/>
    </row>
    <row r="174" spans="1:6" ht="17.25" customHeight="1">
      <c r="A174" s="37"/>
      <c r="B174" s="37"/>
      <c r="C174" s="37"/>
      <c r="D174" s="37"/>
      <c r="E174" s="37"/>
      <c r="F174" s="20"/>
    </row>
    <row r="175" spans="1:6" ht="17.25" customHeight="1">
      <c r="A175" s="37"/>
      <c r="B175" s="37"/>
      <c r="C175" s="37"/>
      <c r="D175" s="37"/>
      <c r="E175" s="37"/>
      <c r="F175" s="20"/>
    </row>
    <row r="176" spans="1:6" ht="17.25" customHeight="1">
      <c r="A176" s="37"/>
      <c r="B176" s="37"/>
      <c r="C176" s="37"/>
      <c r="D176" s="37"/>
      <c r="E176" s="37"/>
      <c r="F176" s="20"/>
    </row>
    <row r="177" spans="1:6" ht="17.25" customHeight="1">
      <c r="A177" s="37"/>
      <c r="B177" s="37"/>
      <c r="C177" s="37"/>
      <c r="D177" s="37"/>
      <c r="E177" s="37"/>
      <c r="F177" s="20"/>
    </row>
    <row r="178" spans="1:6" ht="17.25" customHeight="1">
      <c r="A178" s="37"/>
      <c r="B178" s="37"/>
      <c r="C178" s="37"/>
      <c r="D178" s="37"/>
      <c r="E178" s="37"/>
      <c r="F178" s="20"/>
    </row>
    <row r="179" spans="1:6" ht="17.25" customHeight="1">
      <c r="A179" s="37"/>
      <c r="B179" s="37"/>
      <c r="C179" s="37"/>
      <c r="D179" s="37"/>
      <c r="E179" s="37"/>
      <c r="F179" s="20"/>
    </row>
    <row r="180" spans="1:6" ht="17.25" customHeight="1">
      <c r="A180" s="37"/>
      <c r="B180" s="37"/>
      <c r="C180" s="37"/>
      <c r="D180" s="37"/>
      <c r="E180" s="37"/>
      <c r="F180" s="20"/>
    </row>
    <row r="181" spans="1:6" ht="17.25" customHeight="1">
      <c r="A181" s="37"/>
      <c r="B181" s="37"/>
      <c r="C181" s="37"/>
      <c r="D181" s="37"/>
      <c r="E181" s="37"/>
      <c r="F181" s="20"/>
    </row>
    <row r="182" spans="1:6" ht="17.25" customHeight="1">
      <c r="A182" s="37"/>
      <c r="B182" s="37"/>
      <c r="C182" s="37"/>
      <c r="D182" s="37"/>
      <c r="E182" s="37"/>
      <c r="F182" s="20"/>
    </row>
    <row r="183" spans="1:6" ht="17.25" customHeight="1">
      <c r="A183" s="37"/>
      <c r="B183" s="37"/>
      <c r="C183" s="37"/>
      <c r="D183" s="37"/>
      <c r="E183" s="37"/>
      <c r="F183" s="20"/>
    </row>
    <row r="184" spans="1:6" ht="17.25" customHeight="1">
      <c r="A184" s="37"/>
      <c r="B184" s="37"/>
      <c r="C184" s="37"/>
      <c r="D184" s="37"/>
      <c r="E184" s="37"/>
      <c r="F184" s="20"/>
    </row>
    <row r="185" spans="1:6" ht="17.25" customHeight="1">
      <c r="A185" s="37"/>
      <c r="B185" s="37"/>
      <c r="C185" s="37"/>
      <c r="D185" s="37"/>
      <c r="E185" s="37"/>
      <c r="F185" s="20"/>
    </row>
    <row r="186" spans="1:6" ht="17.25" customHeight="1">
      <c r="A186" s="37"/>
      <c r="B186" s="37"/>
      <c r="C186" s="37"/>
      <c r="D186" s="37"/>
      <c r="E186" s="37"/>
      <c r="F186" s="20"/>
    </row>
    <row r="187" spans="1:6" ht="17.25" customHeight="1">
      <c r="A187" s="37"/>
      <c r="B187" s="37"/>
      <c r="C187" s="37"/>
      <c r="D187" s="37"/>
      <c r="E187" s="37"/>
      <c r="F187" s="20"/>
    </row>
    <row r="188" spans="1:6" ht="17.25" customHeight="1">
      <c r="A188" s="37"/>
      <c r="B188" s="37"/>
      <c r="C188" s="37"/>
      <c r="D188" s="37"/>
      <c r="E188" s="37"/>
      <c r="F188" s="20"/>
    </row>
    <row r="189" spans="1:6" ht="17.25" customHeight="1">
      <c r="A189" s="37"/>
      <c r="B189" s="37"/>
      <c r="C189" s="37"/>
      <c r="D189" s="37"/>
      <c r="E189" s="37"/>
      <c r="F189" s="20"/>
    </row>
    <row r="190" spans="1:6" ht="17.25" customHeight="1">
      <c r="A190" s="37"/>
      <c r="B190" s="37"/>
      <c r="C190" s="37"/>
      <c r="D190" s="37"/>
      <c r="E190" s="37"/>
      <c r="F190" s="20"/>
    </row>
    <row r="191" spans="1:6" ht="17.25" customHeight="1">
      <c r="A191" s="37"/>
      <c r="B191" s="37"/>
      <c r="C191" s="37"/>
      <c r="D191" s="37"/>
      <c r="E191" s="37"/>
      <c r="F191" s="20"/>
    </row>
    <row r="192" spans="1:6" ht="17.25" customHeight="1">
      <c r="A192" s="37"/>
      <c r="B192" s="37"/>
      <c r="C192" s="37"/>
      <c r="D192" s="37"/>
      <c r="E192" s="37"/>
      <c r="F192" s="20"/>
    </row>
    <row r="193" spans="1:6" ht="17.25" customHeight="1">
      <c r="A193" s="37"/>
      <c r="B193" s="37"/>
      <c r="C193" s="37"/>
      <c r="D193" s="37"/>
      <c r="E193" s="37"/>
      <c r="F193" s="20"/>
    </row>
    <row r="194" spans="1:6" ht="17.25" customHeight="1">
      <c r="A194" s="37"/>
      <c r="B194" s="37"/>
      <c r="C194" s="37"/>
      <c r="D194" s="37"/>
      <c r="E194" s="37"/>
      <c r="F194" s="20"/>
    </row>
    <row r="195" spans="1:6" ht="17.25" customHeight="1">
      <c r="A195" s="37"/>
      <c r="B195" s="37"/>
      <c r="C195" s="37"/>
      <c r="D195" s="37"/>
      <c r="E195" s="37"/>
      <c r="F195" s="20"/>
    </row>
    <row r="196" spans="1:6" ht="17.25" customHeight="1">
      <c r="A196" s="37"/>
      <c r="B196" s="37"/>
      <c r="C196" s="37"/>
      <c r="D196" s="37"/>
      <c r="E196" s="37"/>
      <c r="F196" s="20"/>
    </row>
    <row r="197" spans="1:6" ht="17.25" customHeight="1">
      <c r="A197" s="37"/>
      <c r="B197" s="37"/>
      <c r="C197" s="37"/>
      <c r="D197" s="37"/>
      <c r="E197" s="37"/>
      <c r="F197" s="20"/>
    </row>
    <row r="198" spans="1:6" ht="17.25" customHeight="1">
      <c r="A198" s="37"/>
      <c r="B198" s="37"/>
      <c r="C198" s="37"/>
      <c r="D198" s="37"/>
      <c r="E198" s="37"/>
      <c r="F198" s="20"/>
    </row>
    <row r="199" spans="1:6" ht="17.25" customHeight="1">
      <c r="B199" s="37"/>
      <c r="C199" s="37"/>
      <c r="D199" s="37"/>
      <c r="E199" s="15"/>
      <c r="F199" s="20"/>
    </row>
    <row r="200" spans="1:6" ht="17.25" customHeight="1">
      <c r="B200" s="37"/>
      <c r="C200" s="37"/>
      <c r="D200" s="37"/>
      <c r="E200" s="15"/>
      <c r="F200" s="20"/>
    </row>
    <row r="201" spans="1:6" ht="17.25" customHeight="1">
      <c r="B201" s="37"/>
      <c r="C201" s="37"/>
      <c r="D201" s="37"/>
      <c r="E201" s="15"/>
      <c r="F201" s="20"/>
    </row>
    <row r="202" spans="1:6" ht="17.25" customHeight="1">
      <c r="B202" s="37"/>
      <c r="C202" s="37"/>
      <c r="D202" s="37"/>
      <c r="E202" s="15"/>
      <c r="F202" s="20"/>
    </row>
    <row r="203" spans="1:6" ht="17.25" customHeight="1">
      <c r="B203" s="37"/>
      <c r="C203" s="37"/>
      <c r="D203" s="37"/>
      <c r="E203" s="15"/>
      <c r="F203" s="20"/>
    </row>
    <row r="204" spans="1:6" ht="17.25" customHeight="1">
      <c r="B204" s="37"/>
      <c r="C204" s="37"/>
      <c r="D204" s="37"/>
      <c r="E204" s="15"/>
      <c r="F204" s="20"/>
    </row>
    <row r="205" spans="1:6" ht="17.25" customHeight="1">
      <c r="B205" s="37"/>
      <c r="C205" s="37"/>
      <c r="D205" s="37"/>
      <c r="E205" s="15"/>
      <c r="F205" s="20"/>
    </row>
    <row r="206" spans="1:6" ht="17.25" customHeight="1">
      <c r="B206" s="37"/>
      <c r="C206" s="37"/>
      <c r="D206" s="37"/>
      <c r="E206" s="15"/>
      <c r="F206" s="20"/>
    </row>
    <row r="207" spans="1:6" ht="17.25" customHeight="1">
      <c r="B207" s="37"/>
      <c r="C207" s="37"/>
      <c r="D207" s="37"/>
      <c r="E207" s="15"/>
      <c r="F207" s="20"/>
    </row>
    <row r="208" spans="1:6" ht="17.25" customHeight="1">
      <c r="B208" s="37"/>
      <c r="C208" s="37"/>
      <c r="D208" s="37"/>
      <c r="E208" s="15"/>
      <c r="F208" s="20"/>
    </row>
    <row r="209" spans="2:6" ht="17.25" customHeight="1">
      <c r="B209" s="37"/>
      <c r="C209" s="37"/>
      <c r="D209" s="37"/>
      <c r="E209" s="15"/>
      <c r="F209" s="20"/>
    </row>
    <row r="210" spans="2:6" ht="17.25" customHeight="1">
      <c r="B210" s="37"/>
      <c r="C210" s="37"/>
      <c r="D210" s="37"/>
      <c r="E210" s="15"/>
      <c r="F210" s="20"/>
    </row>
    <row r="211" spans="2:6" ht="17.25" customHeight="1">
      <c r="B211" s="37"/>
      <c r="C211" s="37"/>
      <c r="D211" s="37"/>
      <c r="E211" s="15"/>
      <c r="F211" s="20"/>
    </row>
    <row r="212" spans="2:6" ht="17.25" customHeight="1">
      <c r="B212" s="37"/>
      <c r="C212" s="37"/>
      <c r="D212" s="37"/>
      <c r="E212" s="15"/>
      <c r="F212" s="20"/>
    </row>
    <row r="213" spans="2:6" ht="17.25" customHeight="1">
      <c r="B213" s="37"/>
      <c r="C213" s="37"/>
      <c r="D213" s="37"/>
      <c r="E213" s="15"/>
      <c r="F213" s="20"/>
    </row>
    <row r="214" spans="2:6" ht="17.25" customHeight="1">
      <c r="B214" s="37"/>
      <c r="C214" s="37"/>
      <c r="D214" s="37"/>
      <c r="E214" s="15"/>
      <c r="F214" s="20"/>
    </row>
    <row r="215" spans="2:6" ht="17.25" customHeight="1">
      <c r="B215" s="37"/>
      <c r="C215" s="37"/>
      <c r="D215" s="37"/>
      <c r="E215" s="15"/>
      <c r="F215" s="20"/>
    </row>
    <row r="216" spans="2:6" ht="17.25" customHeight="1">
      <c r="B216" s="37"/>
      <c r="C216" s="37"/>
      <c r="D216" s="37"/>
      <c r="E216" s="15"/>
      <c r="F216" s="20"/>
    </row>
    <row r="217" spans="2:6" ht="17.25" customHeight="1">
      <c r="B217" s="37"/>
      <c r="C217" s="37"/>
      <c r="D217" s="37"/>
      <c r="E217" s="15"/>
      <c r="F217" s="20"/>
    </row>
    <row r="218" spans="2:6" ht="17.25" customHeight="1">
      <c r="B218" s="37"/>
      <c r="C218" s="37"/>
      <c r="D218" s="37"/>
      <c r="E218" s="15"/>
      <c r="F218" s="20"/>
    </row>
    <row r="219" spans="2:6" ht="17.25" customHeight="1">
      <c r="B219" s="37"/>
      <c r="C219" s="37"/>
      <c r="D219" s="37"/>
      <c r="E219" s="15"/>
      <c r="F219" s="20"/>
    </row>
    <row r="220" spans="2:6" ht="17.25" customHeight="1">
      <c r="B220" s="37"/>
      <c r="C220" s="37"/>
      <c r="D220" s="37"/>
      <c r="E220" s="15"/>
      <c r="F220" s="20"/>
    </row>
    <row r="221" spans="2:6" ht="17.25" customHeight="1">
      <c r="B221" s="15"/>
      <c r="C221" s="15"/>
      <c r="D221" s="15"/>
      <c r="E221" s="15"/>
      <c r="F221" s="20"/>
    </row>
    <row r="222" spans="2:6" ht="17.25" customHeight="1">
      <c r="B222" s="15"/>
      <c r="C222" s="15"/>
      <c r="D222" s="15"/>
      <c r="E222" s="15"/>
      <c r="F222" s="20"/>
    </row>
    <row r="223" spans="2:6" ht="17.25" customHeight="1">
      <c r="B223" s="15"/>
      <c r="C223" s="15"/>
      <c r="D223" s="15"/>
      <c r="E223" s="15"/>
      <c r="F223" s="20"/>
    </row>
    <row r="224" spans="2:6" ht="17.25" customHeight="1">
      <c r="B224" s="15"/>
      <c r="C224" s="15"/>
      <c r="D224" s="15"/>
      <c r="E224" s="15"/>
      <c r="F224" s="20"/>
    </row>
    <row r="225" spans="2:6" ht="17.25" customHeight="1">
      <c r="B225" s="15"/>
      <c r="C225" s="15"/>
      <c r="D225" s="15"/>
      <c r="E225" s="15"/>
      <c r="F225" s="20"/>
    </row>
    <row r="226" spans="2:6" ht="17.25" customHeight="1">
      <c r="B226" s="15"/>
      <c r="C226" s="15"/>
      <c r="D226" s="15"/>
      <c r="E226" s="15"/>
      <c r="F226" s="20"/>
    </row>
    <row r="227" spans="2:6" ht="17.25" customHeight="1">
      <c r="B227" s="15"/>
      <c r="C227" s="15"/>
      <c r="D227" s="15"/>
      <c r="E227" s="15"/>
      <c r="F227" s="20"/>
    </row>
    <row r="228" spans="2:6" ht="17.25" customHeight="1">
      <c r="B228" s="15"/>
      <c r="C228" s="15"/>
      <c r="D228" s="15"/>
      <c r="E228" s="15"/>
      <c r="F228" s="20"/>
    </row>
    <row r="229" spans="2:6" ht="17.25" customHeight="1">
      <c r="B229" s="15"/>
      <c r="C229" s="15"/>
      <c r="D229" s="15"/>
      <c r="E229" s="15"/>
      <c r="F229" s="20"/>
    </row>
    <row r="230" spans="2:6" ht="17.25" customHeight="1">
      <c r="B230" s="15"/>
      <c r="C230" s="15"/>
      <c r="D230" s="15"/>
      <c r="E230" s="15"/>
      <c r="F230" s="20"/>
    </row>
    <row r="231" spans="2:6" ht="17.25" customHeight="1">
      <c r="B231" s="15"/>
      <c r="C231" s="15"/>
      <c r="D231" s="15"/>
      <c r="E231" s="15"/>
      <c r="F231" s="20"/>
    </row>
    <row r="232" spans="2:6" ht="17.25" customHeight="1">
      <c r="B232" s="15"/>
      <c r="C232" s="15"/>
      <c r="D232" s="15"/>
      <c r="E232" s="15"/>
      <c r="F232" s="20"/>
    </row>
    <row r="233" spans="2:6" ht="17.25" customHeight="1">
      <c r="B233" s="15"/>
      <c r="C233" s="15"/>
      <c r="D233" s="15"/>
      <c r="E233" s="15"/>
      <c r="F233" s="20"/>
    </row>
    <row r="234" spans="2:6" ht="17.25" customHeight="1">
      <c r="B234" s="15"/>
      <c r="C234" s="15"/>
      <c r="D234" s="15"/>
      <c r="E234" s="15"/>
      <c r="F234" s="20"/>
    </row>
    <row r="235" spans="2:6" ht="17.25" customHeight="1">
      <c r="B235" s="15"/>
      <c r="C235" s="15"/>
      <c r="D235" s="15"/>
      <c r="E235" s="15"/>
      <c r="F235" s="20"/>
    </row>
    <row r="236" spans="2:6" ht="17.25" customHeight="1">
      <c r="B236" s="15"/>
      <c r="C236" s="15"/>
      <c r="D236" s="15"/>
      <c r="E236" s="15"/>
      <c r="F236" s="20"/>
    </row>
    <row r="237" spans="2:6" ht="17.25" customHeight="1">
      <c r="B237" s="15"/>
      <c r="C237" s="15"/>
      <c r="D237" s="15"/>
      <c r="E237" s="15"/>
      <c r="F237" s="20"/>
    </row>
    <row r="238" spans="2:6" ht="17.25" customHeight="1">
      <c r="B238" s="15"/>
      <c r="C238" s="15"/>
      <c r="D238" s="15"/>
      <c r="E238" s="15"/>
      <c r="F238" s="20"/>
    </row>
    <row r="239" spans="2:6" ht="17.25" customHeight="1">
      <c r="B239" s="15"/>
      <c r="C239" s="15"/>
      <c r="D239" s="15"/>
      <c r="E239" s="15"/>
      <c r="F239" s="20"/>
    </row>
    <row r="240" spans="2:6" ht="17.25" customHeight="1">
      <c r="B240" s="15"/>
      <c r="C240" s="15"/>
      <c r="D240" s="15"/>
      <c r="E240" s="15"/>
      <c r="F240" s="20"/>
    </row>
    <row r="241" spans="2:6" ht="17.25" customHeight="1">
      <c r="B241" s="15"/>
      <c r="C241" s="15"/>
      <c r="D241" s="15"/>
      <c r="E241" s="15"/>
      <c r="F241" s="20"/>
    </row>
    <row r="242" spans="2:6" ht="17.25" customHeight="1">
      <c r="B242" s="15"/>
      <c r="C242" s="15"/>
      <c r="D242" s="15"/>
      <c r="E242" s="15"/>
      <c r="F242" s="20"/>
    </row>
    <row r="243" spans="2:6" ht="17.25" customHeight="1">
      <c r="B243" s="15"/>
      <c r="C243" s="15"/>
      <c r="D243" s="15"/>
      <c r="E243" s="15"/>
      <c r="F243" s="20"/>
    </row>
    <row r="244" spans="2:6" ht="17.25" customHeight="1">
      <c r="B244" s="15"/>
      <c r="C244" s="15"/>
      <c r="D244" s="15"/>
      <c r="E244" s="15"/>
      <c r="F244" s="20"/>
    </row>
    <row r="245" spans="2:6" ht="17.25" customHeight="1">
      <c r="B245" s="15"/>
      <c r="C245" s="15"/>
      <c r="D245" s="15"/>
      <c r="E245" s="15"/>
      <c r="F245" s="20"/>
    </row>
    <row r="246" spans="2:6" ht="17.25" customHeight="1">
      <c r="B246" s="15"/>
      <c r="C246" s="15"/>
      <c r="D246" s="15"/>
      <c r="E246" s="15"/>
      <c r="F246" s="20"/>
    </row>
    <row r="247" spans="2:6" ht="17.25" customHeight="1">
      <c r="B247" s="15"/>
      <c r="C247" s="15"/>
      <c r="D247" s="15"/>
      <c r="E247" s="15"/>
      <c r="F247" s="20"/>
    </row>
    <row r="248" spans="2:6" ht="17.25" customHeight="1">
      <c r="B248" s="15"/>
      <c r="C248" s="15"/>
      <c r="D248" s="15"/>
      <c r="E248" s="15"/>
      <c r="F248" s="20"/>
    </row>
    <row r="249" spans="2:6" ht="17.25" customHeight="1">
      <c r="B249" s="15"/>
      <c r="C249" s="15"/>
      <c r="D249" s="15"/>
      <c r="E249" s="15"/>
      <c r="F249" s="20"/>
    </row>
    <row r="250" spans="2:6" ht="17.25" customHeight="1">
      <c r="B250" s="15"/>
      <c r="C250" s="15"/>
      <c r="D250" s="15"/>
      <c r="E250" s="15"/>
      <c r="F250" s="20"/>
    </row>
    <row r="251" spans="2:6" ht="17.25" customHeight="1">
      <c r="B251" s="15"/>
      <c r="C251" s="15"/>
      <c r="D251" s="15"/>
      <c r="E251" s="15"/>
      <c r="F251" s="20"/>
    </row>
    <row r="252" spans="2:6" ht="17.25" customHeight="1">
      <c r="B252" s="15"/>
      <c r="C252" s="15"/>
      <c r="D252" s="15"/>
      <c r="E252" s="15"/>
      <c r="F252" s="20"/>
    </row>
    <row r="253" spans="2:6" ht="17.25" customHeight="1">
      <c r="B253" s="15"/>
      <c r="C253" s="15"/>
      <c r="D253" s="15"/>
      <c r="E253" s="15"/>
      <c r="F253" s="20"/>
    </row>
    <row r="254" spans="2:6" ht="17.25" customHeight="1">
      <c r="B254" s="15"/>
      <c r="C254" s="15"/>
      <c r="D254" s="15"/>
      <c r="E254" s="15"/>
      <c r="F254" s="20"/>
    </row>
    <row r="255" spans="2:6" ht="17.25" customHeight="1">
      <c r="B255" s="15"/>
      <c r="C255" s="15"/>
      <c r="D255" s="15"/>
      <c r="E255" s="15"/>
      <c r="F255" s="20"/>
    </row>
    <row r="256" spans="2:6" ht="17.25" customHeight="1">
      <c r="B256" s="15"/>
      <c r="C256" s="15"/>
      <c r="D256" s="15"/>
      <c r="E256" s="15"/>
      <c r="F256" s="20"/>
    </row>
    <row r="257" spans="2:6" ht="17.25" customHeight="1">
      <c r="B257" s="15"/>
      <c r="C257" s="15"/>
      <c r="D257" s="15"/>
      <c r="E257" s="15"/>
      <c r="F257" s="20"/>
    </row>
    <row r="258" spans="2:6" ht="17.25" customHeight="1">
      <c r="B258" s="15"/>
      <c r="C258" s="15"/>
      <c r="D258" s="15"/>
      <c r="E258" s="15"/>
      <c r="F258" s="20"/>
    </row>
    <row r="259" spans="2:6" ht="17.25" customHeight="1">
      <c r="B259" s="15"/>
      <c r="C259" s="15"/>
      <c r="D259" s="15"/>
      <c r="E259" s="15"/>
      <c r="F259" s="20"/>
    </row>
    <row r="260" spans="2:6" ht="17.25" customHeight="1">
      <c r="B260" s="15"/>
      <c r="C260" s="15"/>
      <c r="D260" s="15"/>
      <c r="E260" s="15"/>
      <c r="F260" s="20"/>
    </row>
    <row r="261" spans="2:6" ht="17.25" customHeight="1">
      <c r="B261" s="15"/>
      <c r="C261" s="15"/>
      <c r="D261" s="15"/>
      <c r="E261" s="15"/>
      <c r="F261" s="20"/>
    </row>
    <row r="262" spans="2:6" ht="17.25" customHeight="1">
      <c r="B262" s="15"/>
      <c r="C262" s="15"/>
      <c r="D262" s="15"/>
      <c r="E262" s="15"/>
      <c r="F262" s="20"/>
    </row>
    <row r="263" spans="2:6" ht="17.25" customHeight="1">
      <c r="B263" s="15"/>
      <c r="C263" s="15"/>
      <c r="D263" s="15"/>
      <c r="E263" s="15"/>
      <c r="F263" s="20"/>
    </row>
    <row r="264" spans="2:6" ht="17.25" customHeight="1">
      <c r="B264" s="15"/>
      <c r="C264" s="15"/>
      <c r="D264" s="15"/>
      <c r="E264" s="15"/>
      <c r="F264" s="20"/>
    </row>
    <row r="265" spans="2:6" ht="17.25" customHeight="1">
      <c r="B265" s="15"/>
      <c r="C265" s="15"/>
      <c r="D265" s="15"/>
      <c r="E265" s="15"/>
      <c r="F265" s="20"/>
    </row>
    <row r="266" spans="2:6" ht="17.25" customHeight="1">
      <c r="B266" s="15"/>
      <c r="C266" s="15"/>
      <c r="D266" s="15"/>
      <c r="E266" s="15"/>
      <c r="F266" s="20"/>
    </row>
    <row r="267" spans="2:6" ht="17.25" customHeight="1">
      <c r="B267" s="15"/>
      <c r="C267" s="15"/>
      <c r="D267" s="15"/>
      <c r="E267" s="15"/>
      <c r="F267" s="20"/>
    </row>
    <row r="268" spans="2:6" ht="17.25" customHeight="1">
      <c r="B268" s="15"/>
      <c r="C268" s="15"/>
      <c r="D268" s="15"/>
      <c r="E268" s="15"/>
      <c r="F268" s="20"/>
    </row>
    <row r="269" spans="2:6" ht="17.25" customHeight="1">
      <c r="B269" s="15"/>
      <c r="C269" s="15"/>
      <c r="D269" s="15"/>
      <c r="E269" s="15"/>
      <c r="F269" s="20"/>
    </row>
    <row r="270" spans="2:6" ht="17.25" customHeight="1">
      <c r="B270" s="15"/>
      <c r="C270" s="15"/>
      <c r="D270" s="15"/>
      <c r="E270" s="15"/>
      <c r="F270" s="20"/>
    </row>
    <row r="271" spans="2:6" ht="17.25" customHeight="1">
      <c r="B271" s="15"/>
      <c r="C271" s="15"/>
      <c r="D271" s="15"/>
      <c r="E271" s="15"/>
      <c r="F271" s="20"/>
    </row>
    <row r="272" spans="2:6" ht="17.25" customHeight="1">
      <c r="B272" s="15"/>
      <c r="C272" s="15"/>
      <c r="D272" s="15"/>
      <c r="E272" s="15"/>
      <c r="F272" s="20"/>
    </row>
    <row r="273" spans="2:6" ht="17.25" customHeight="1">
      <c r="B273" s="15"/>
      <c r="C273" s="15"/>
      <c r="D273" s="15"/>
      <c r="E273" s="15"/>
      <c r="F273" s="20"/>
    </row>
    <row r="274" spans="2:6" ht="17.25" customHeight="1">
      <c r="B274" s="15"/>
      <c r="C274" s="15"/>
      <c r="D274" s="15"/>
      <c r="E274" s="15"/>
      <c r="F274" s="20"/>
    </row>
    <row r="275" spans="2:6" ht="17.25" customHeight="1">
      <c r="B275" s="15"/>
      <c r="C275" s="15"/>
      <c r="D275" s="15"/>
      <c r="E275" s="15"/>
      <c r="F275" s="20"/>
    </row>
    <row r="276" spans="2:6" ht="17.25" customHeight="1">
      <c r="B276" s="15"/>
      <c r="C276" s="15"/>
      <c r="D276" s="15"/>
      <c r="E276" s="15"/>
      <c r="F276" s="20"/>
    </row>
    <row r="277" spans="2:6" ht="17.25" customHeight="1">
      <c r="B277" s="15"/>
      <c r="C277" s="15"/>
      <c r="D277" s="15"/>
      <c r="E277" s="15"/>
      <c r="F277" s="20"/>
    </row>
    <row r="278" spans="2:6" ht="17.25" customHeight="1">
      <c r="B278" s="15"/>
      <c r="C278" s="15"/>
      <c r="D278" s="15"/>
      <c r="E278" s="15"/>
      <c r="F278" s="20"/>
    </row>
    <row r="279" spans="2:6" ht="17.25" customHeight="1">
      <c r="B279" s="15"/>
      <c r="C279" s="15"/>
      <c r="D279" s="15"/>
      <c r="E279" s="15"/>
      <c r="F279" s="20"/>
    </row>
    <row r="280" spans="2:6" ht="17.25" customHeight="1">
      <c r="B280" s="15"/>
      <c r="C280" s="15"/>
      <c r="D280" s="15"/>
      <c r="E280" s="15"/>
      <c r="F280" s="20"/>
    </row>
    <row r="281" spans="2:6" ht="17.25" customHeight="1">
      <c r="B281" s="15"/>
      <c r="C281" s="15"/>
      <c r="D281" s="15"/>
      <c r="E281" s="15"/>
      <c r="F281" s="20"/>
    </row>
    <row r="282" spans="2:6" ht="17.25" customHeight="1">
      <c r="B282" s="15"/>
      <c r="C282" s="15"/>
      <c r="D282" s="15"/>
      <c r="E282" s="15"/>
      <c r="F282" s="20"/>
    </row>
    <row r="283" spans="2:6" ht="17.25" customHeight="1">
      <c r="B283" s="15"/>
      <c r="C283" s="15"/>
      <c r="D283" s="15"/>
      <c r="E283" s="15"/>
      <c r="F283" s="20"/>
    </row>
    <row r="284" spans="2:6" ht="17.25" customHeight="1">
      <c r="B284" s="15"/>
      <c r="C284" s="15"/>
      <c r="D284" s="15"/>
      <c r="E284" s="15"/>
      <c r="F284" s="20"/>
    </row>
    <row r="285" spans="2:6" ht="17.25" customHeight="1">
      <c r="B285" s="15"/>
      <c r="C285" s="15"/>
      <c r="D285" s="15"/>
      <c r="E285" s="15"/>
      <c r="F285" s="20"/>
    </row>
    <row r="286" spans="2:6" ht="17.25" customHeight="1">
      <c r="B286" s="15"/>
      <c r="C286" s="15"/>
      <c r="D286" s="15"/>
      <c r="E286" s="15"/>
      <c r="F286" s="20"/>
    </row>
    <row r="287" spans="2:6" ht="17.25" customHeight="1">
      <c r="B287" s="15"/>
      <c r="C287" s="15"/>
      <c r="D287" s="15"/>
      <c r="E287" s="15"/>
      <c r="F287" s="20"/>
    </row>
    <row r="288" spans="2:6" ht="17.25" customHeight="1">
      <c r="B288" s="15"/>
      <c r="C288" s="15"/>
      <c r="D288" s="15"/>
      <c r="E288" s="15"/>
      <c r="F288" s="20"/>
    </row>
    <row r="289" spans="2:6" ht="17.25" customHeight="1">
      <c r="B289" s="15"/>
      <c r="C289" s="15"/>
      <c r="D289" s="15"/>
      <c r="E289" s="15"/>
      <c r="F289" s="20"/>
    </row>
    <row r="290" spans="2:6" ht="17.25" customHeight="1">
      <c r="B290" s="15"/>
      <c r="C290" s="15"/>
      <c r="D290" s="15"/>
      <c r="E290" s="15"/>
      <c r="F290" s="20"/>
    </row>
    <row r="291" spans="2:6" ht="17.25" customHeight="1">
      <c r="B291" s="15"/>
      <c r="C291" s="15"/>
      <c r="D291" s="15"/>
      <c r="E291" s="15"/>
      <c r="F291" s="20"/>
    </row>
    <row r="292" spans="2:6" ht="17.25" customHeight="1">
      <c r="B292" s="15"/>
      <c r="C292" s="15"/>
      <c r="D292" s="15"/>
      <c r="E292" s="15"/>
      <c r="F292" s="20"/>
    </row>
    <row r="293" spans="2:6" ht="17.25" customHeight="1">
      <c r="B293" s="15"/>
      <c r="C293" s="15"/>
      <c r="D293" s="15"/>
      <c r="E293" s="15"/>
      <c r="F293" s="20"/>
    </row>
    <row r="294" spans="2:6" ht="17.25" customHeight="1">
      <c r="B294" s="15"/>
      <c r="C294" s="15"/>
      <c r="D294" s="15"/>
      <c r="E294" s="15"/>
      <c r="F294" s="20"/>
    </row>
    <row r="295" spans="2:6" ht="17.25" customHeight="1">
      <c r="B295" s="15"/>
      <c r="C295" s="15"/>
      <c r="D295" s="15"/>
      <c r="E295" s="15"/>
      <c r="F295" s="20"/>
    </row>
    <row r="296" spans="2:6" ht="17.25" customHeight="1">
      <c r="B296" s="15"/>
      <c r="C296" s="15"/>
      <c r="D296" s="15"/>
      <c r="E296" s="15"/>
      <c r="F296" s="20"/>
    </row>
    <row r="297" spans="2:6" ht="17.25" customHeight="1">
      <c r="B297" s="15"/>
      <c r="C297" s="15"/>
      <c r="D297" s="15"/>
      <c r="E297" s="15"/>
      <c r="F297" s="20"/>
    </row>
    <row r="298" spans="2:6" ht="17.25" customHeight="1">
      <c r="B298" s="15"/>
      <c r="C298" s="15"/>
      <c r="D298" s="15"/>
      <c r="E298" s="15"/>
      <c r="F298" s="20"/>
    </row>
    <row r="299" spans="2:6" ht="17.25" customHeight="1">
      <c r="B299" s="15"/>
      <c r="C299" s="15"/>
      <c r="D299" s="15"/>
      <c r="E299" s="15"/>
      <c r="F299" s="20"/>
    </row>
    <row r="300" spans="2:6" ht="17.25" customHeight="1">
      <c r="B300" s="15"/>
      <c r="C300" s="15"/>
      <c r="D300" s="15"/>
      <c r="E300" s="15"/>
      <c r="F300" s="20"/>
    </row>
    <row r="301" spans="2:6" ht="17.25" customHeight="1">
      <c r="B301" s="15"/>
      <c r="C301" s="15"/>
      <c r="D301" s="15"/>
      <c r="E301" s="15"/>
      <c r="F301" s="20"/>
    </row>
    <row r="302" spans="2:6" ht="17.25" customHeight="1">
      <c r="B302" s="15"/>
      <c r="C302" s="15"/>
      <c r="D302" s="15"/>
      <c r="E302" s="15"/>
      <c r="F302" s="20"/>
    </row>
    <row r="303" spans="2:6" ht="17.25" customHeight="1">
      <c r="B303" s="15"/>
      <c r="C303" s="15"/>
      <c r="D303" s="15"/>
      <c r="E303" s="15"/>
      <c r="F303" s="20"/>
    </row>
    <row r="304" spans="2:6" ht="17.25" customHeight="1">
      <c r="B304" s="15"/>
      <c r="C304" s="15"/>
      <c r="D304" s="15"/>
      <c r="E304" s="15"/>
      <c r="F304" s="20"/>
    </row>
    <row r="305" spans="2:6" ht="17.25" customHeight="1">
      <c r="B305" s="15"/>
      <c r="C305" s="15"/>
      <c r="D305" s="15"/>
      <c r="E305" s="15"/>
      <c r="F305" s="20"/>
    </row>
    <row r="306" spans="2:6" ht="17.25" customHeight="1">
      <c r="B306" s="15"/>
      <c r="C306" s="15"/>
      <c r="D306" s="15"/>
      <c r="E306" s="15"/>
      <c r="F306" s="20"/>
    </row>
    <row r="307" spans="2:6" ht="17.25" customHeight="1">
      <c r="B307" s="15"/>
      <c r="C307" s="15"/>
      <c r="D307" s="15"/>
      <c r="E307" s="15"/>
      <c r="F307" s="20"/>
    </row>
    <row r="308" spans="2:6" ht="17.25" customHeight="1">
      <c r="B308" s="15"/>
      <c r="C308" s="15"/>
      <c r="D308" s="15"/>
      <c r="E308" s="15"/>
      <c r="F308" s="20"/>
    </row>
    <row r="309" spans="2:6" ht="17.25" customHeight="1">
      <c r="B309" s="15"/>
      <c r="C309" s="15"/>
      <c r="D309" s="15"/>
      <c r="E309" s="15"/>
      <c r="F309" s="20"/>
    </row>
    <row r="310" spans="2:6" ht="17.25" customHeight="1">
      <c r="B310" s="15"/>
      <c r="C310" s="15"/>
      <c r="D310" s="15"/>
      <c r="E310" s="15"/>
      <c r="F310" s="20"/>
    </row>
    <row r="311" spans="2:6" ht="17.25" customHeight="1">
      <c r="B311" s="15"/>
      <c r="C311" s="15"/>
      <c r="D311" s="15"/>
      <c r="E311" s="15"/>
      <c r="F311" s="20"/>
    </row>
    <row r="312" spans="2:6" ht="17.25" customHeight="1">
      <c r="B312" s="15"/>
      <c r="C312" s="15"/>
      <c r="D312" s="15"/>
      <c r="E312" s="15"/>
      <c r="F312" s="20"/>
    </row>
    <row r="313" spans="2:6" ht="17.25" customHeight="1">
      <c r="B313" s="15"/>
      <c r="C313" s="15"/>
      <c r="D313" s="15"/>
      <c r="E313" s="15"/>
      <c r="F313" s="20"/>
    </row>
    <row r="314" spans="2:6" ht="17.25" customHeight="1">
      <c r="B314" s="15"/>
      <c r="C314" s="15"/>
      <c r="D314" s="15"/>
      <c r="E314" s="15"/>
      <c r="F314" s="20"/>
    </row>
    <row r="315" spans="2:6" ht="17.25" customHeight="1">
      <c r="B315" s="15"/>
      <c r="C315" s="15"/>
      <c r="D315" s="15"/>
      <c r="E315" s="15"/>
      <c r="F315" s="20"/>
    </row>
    <row r="316" spans="2:6" ht="17.25" customHeight="1">
      <c r="B316" s="15"/>
      <c r="C316" s="15"/>
      <c r="D316" s="15"/>
      <c r="E316" s="15"/>
      <c r="F316" s="20"/>
    </row>
    <row r="317" spans="2:6" ht="17.25" customHeight="1">
      <c r="B317" s="15"/>
      <c r="C317" s="15"/>
      <c r="D317" s="15"/>
      <c r="E317" s="15"/>
      <c r="F317" s="20"/>
    </row>
    <row r="318" spans="2:6" ht="17.25" customHeight="1">
      <c r="B318" s="15"/>
      <c r="C318" s="15"/>
      <c r="D318" s="15"/>
      <c r="E318" s="15"/>
      <c r="F318" s="20"/>
    </row>
    <row r="319" spans="2:6" ht="17.25" customHeight="1">
      <c r="B319" s="15"/>
      <c r="C319" s="15"/>
      <c r="D319" s="15"/>
      <c r="E319" s="15"/>
      <c r="F319" s="20"/>
    </row>
    <row r="320" spans="2:6" ht="17.25" customHeight="1">
      <c r="B320" s="15"/>
      <c r="C320" s="15"/>
      <c r="D320" s="15"/>
      <c r="E320" s="15"/>
      <c r="F320" s="20"/>
    </row>
    <row r="321" spans="2:6" ht="17.25" customHeight="1">
      <c r="B321" s="15"/>
      <c r="C321" s="15"/>
      <c r="D321" s="15"/>
      <c r="E321" s="15"/>
      <c r="F321" s="20"/>
    </row>
    <row r="322" spans="2:6" ht="17.25" customHeight="1">
      <c r="B322" s="15"/>
      <c r="C322" s="15"/>
      <c r="D322" s="15"/>
      <c r="E322" s="15"/>
      <c r="F322" s="20"/>
    </row>
    <row r="323" spans="2:6" ht="17.25" customHeight="1">
      <c r="B323" s="15"/>
      <c r="C323" s="15"/>
      <c r="D323" s="15"/>
      <c r="E323" s="15"/>
      <c r="F323" s="20"/>
    </row>
    <row r="324" spans="2:6" ht="17.25" customHeight="1">
      <c r="B324" s="15"/>
      <c r="C324" s="15"/>
      <c r="D324" s="15"/>
      <c r="E324" s="15"/>
      <c r="F324" s="20"/>
    </row>
    <row r="325" spans="2:6" ht="17.25" customHeight="1">
      <c r="B325" s="15"/>
      <c r="C325" s="15"/>
      <c r="D325" s="15"/>
      <c r="E325" s="15"/>
      <c r="F325" s="20"/>
    </row>
    <row r="326" spans="2:6" ht="17.25" customHeight="1">
      <c r="B326" s="15"/>
      <c r="C326" s="15"/>
      <c r="D326" s="15"/>
      <c r="E326" s="15"/>
      <c r="F326" s="20"/>
    </row>
    <row r="327" spans="2:6" ht="17.25" customHeight="1">
      <c r="B327" s="15"/>
      <c r="C327" s="15"/>
      <c r="D327" s="15"/>
      <c r="E327" s="15"/>
      <c r="F327" s="20"/>
    </row>
    <row r="328" spans="2:6" ht="17.25" customHeight="1">
      <c r="B328" s="15"/>
      <c r="C328" s="15"/>
      <c r="D328" s="15"/>
      <c r="E328" s="15"/>
      <c r="F328" s="20"/>
    </row>
    <row r="329" spans="2:6" ht="17.25" customHeight="1">
      <c r="B329" s="15"/>
      <c r="C329" s="15"/>
      <c r="D329" s="15"/>
      <c r="E329" s="15"/>
      <c r="F329" s="20"/>
    </row>
    <row r="330" spans="2:6" ht="17.25" customHeight="1">
      <c r="B330" s="15"/>
      <c r="C330" s="15"/>
      <c r="D330" s="15"/>
      <c r="E330" s="15"/>
      <c r="F330" s="20"/>
    </row>
    <row r="331" spans="2:6" ht="17.25" customHeight="1">
      <c r="B331" s="15"/>
      <c r="C331" s="15"/>
      <c r="D331" s="15"/>
      <c r="E331" s="15"/>
      <c r="F331" s="20"/>
    </row>
    <row r="332" spans="2:6" ht="17.25" customHeight="1">
      <c r="B332" s="15"/>
      <c r="C332" s="15"/>
      <c r="D332" s="15"/>
      <c r="E332" s="15"/>
      <c r="F332" s="20"/>
    </row>
    <row r="333" spans="2:6" ht="17.25" customHeight="1">
      <c r="B333" s="15"/>
      <c r="C333" s="15"/>
      <c r="D333" s="15"/>
      <c r="E333" s="15"/>
      <c r="F333" s="20"/>
    </row>
    <row r="334" spans="2:6" ht="17.25" customHeight="1">
      <c r="B334" s="15"/>
      <c r="C334" s="15"/>
      <c r="D334" s="15"/>
      <c r="E334" s="15"/>
      <c r="F334" s="20"/>
    </row>
    <row r="335" spans="2:6" ht="17.25" customHeight="1">
      <c r="B335" s="15"/>
      <c r="C335" s="15"/>
      <c r="D335" s="15"/>
      <c r="E335" s="15"/>
      <c r="F335" s="20"/>
    </row>
    <row r="336" spans="2:6" ht="17.25" customHeight="1">
      <c r="B336" s="15"/>
      <c r="C336" s="15"/>
      <c r="D336" s="15"/>
      <c r="E336" s="15"/>
      <c r="F336" s="20"/>
    </row>
    <row r="337" spans="2:6" ht="17.25" customHeight="1">
      <c r="B337" s="15"/>
      <c r="C337" s="15"/>
      <c r="D337" s="15"/>
      <c r="E337" s="15"/>
      <c r="F337" s="20"/>
    </row>
    <row r="338" spans="2:6" ht="17.25" customHeight="1">
      <c r="B338" s="15"/>
      <c r="C338" s="15"/>
      <c r="D338" s="15"/>
      <c r="E338" s="15"/>
      <c r="F338" s="20"/>
    </row>
    <row r="339" spans="2:6" ht="17.25" customHeight="1">
      <c r="B339" s="15"/>
      <c r="C339" s="15"/>
      <c r="D339" s="15"/>
      <c r="E339" s="15"/>
      <c r="F339" s="20"/>
    </row>
    <row r="340" spans="2:6" ht="17.25" customHeight="1">
      <c r="B340" s="15"/>
      <c r="C340" s="15"/>
      <c r="D340" s="15"/>
      <c r="E340" s="15"/>
      <c r="F340" s="20"/>
    </row>
    <row r="341" spans="2:6" ht="17.25" customHeight="1">
      <c r="B341" s="15"/>
      <c r="C341" s="15"/>
      <c r="D341" s="15"/>
      <c r="E341" s="15"/>
      <c r="F341" s="20"/>
    </row>
    <row r="342" spans="2:6" ht="17.25" customHeight="1">
      <c r="B342" s="15"/>
      <c r="C342" s="15"/>
      <c r="D342" s="15"/>
      <c r="E342" s="15"/>
      <c r="F342" s="20"/>
    </row>
    <row r="343" spans="2:6" ht="17.25" customHeight="1">
      <c r="B343" s="15"/>
      <c r="C343" s="15"/>
      <c r="D343" s="15"/>
      <c r="E343" s="15"/>
      <c r="F343" s="20"/>
    </row>
    <row r="344" spans="2:6" ht="17.25" customHeight="1">
      <c r="B344" s="15"/>
      <c r="C344" s="15"/>
      <c r="D344" s="15"/>
      <c r="E344" s="15"/>
      <c r="F344" s="20"/>
    </row>
    <row r="345" spans="2:6" ht="17.25" customHeight="1">
      <c r="B345" s="15"/>
      <c r="C345" s="15"/>
      <c r="D345" s="15"/>
      <c r="E345" s="15"/>
      <c r="F345" s="20"/>
    </row>
    <row r="346" spans="2:6" ht="17.25" customHeight="1">
      <c r="B346" s="15"/>
      <c r="C346" s="15"/>
      <c r="D346" s="15"/>
      <c r="E346" s="15"/>
      <c r="F346" s="20"/>
    </row>
    <row r="347" spans="2:6" ht="17.25" customHeight="1">
      <c r="B347" s="15"/>
      <c r="C347" s="15"/>
      <c r="D347" s="15"/>
      <c r="E347" s="15"/>
      <c r="F347" s="20"/>
    </row>
    <row r="348" spans="2:6" ht="17.25" customHeight="1">
      <c r="B348" s="15"/>
      <c r="C348" s="15"/>
      <c r="D348" s="15"/>
      <c r="E348" s="15"/>
      <c r="F348" s="20"/>
    </row>
    <row r="349" spans="2:6" ht="17.25" customHeight="1">
      <c r="B349" s="15"/>
      <c r="C349" s="15"/>
      <c r="D349" s="15"/>
      <c r="E349" s="15"/>
      <c r="F349" s="20"/>
    </row>
    <row r="350" spans="2:6" ht="17.25" customHeight="1">
      <c r="B350" s="15"/>
      <c r="C350" s="15"/>
      <c r="D350" s="15"/>
      <c r="E350" s="15"/>
      <c r="F350" s="20"/>
    </row>
    <row r="351" spans="2:6" ht="17.25" customHeight="1">
      <c r="B351" s="15"/>
      <c r="C351" s="15"/>
      <c r="D351" s="15"/>
      <c r="E351" s="15"/>
      <c r="F351" s="20"/>
    </row>
    <row r="352" spans="2:6" ht="17.25" customHeight="1">
      <c r="B352" s="15"/>
      <c r="C352" s="15"/>
      <c r="D352" s="15"/>
      <c r="E352" s="15"/>
      <c r="F352" s="20"/>
    </row>
    <row r="353" spans="2:6" ht="17.25" customHeight="1">
      <c r="B353" s="15"/>
      <c r="C353" s="15"/>
      <c r="D353" s="15"/>
      <c r="E353" s="15"/>
      <c r="F353" s="20"/>
    </row>
    <row r="354" spans="2:6" ht="17.25" customHeight="1">
      <c r="B354" s="15"/>
      <c r="C354" s="15"/>
      <c r="D354" s="15"/>
      <c r="E354" s="15"/>
      <c r="F354" s="20"/>
    </row>
    <row r="355" spans="2:6" ht="17.25" customHeight="1">
      <c r="B355" s="15"/>
      <c r="C355" s="15"/>
      <c r="D355" s="15"/>
      <c r="E355" s="15"/>
      <c r="F355" s="20"/>
    </row>
    <row r="356" spans="2:6" ht="17.25" customHeight="1">
      <c r="B356" s="15"/>
      <c r="C356" s="15"/>
      <c r="D356" s="15"/>
      <c r="E356" s="15"/>
      <c r="F356" s="20"/>
    </row>
    <row r="357" spans="2:6" ht="17.25" customHeight="1">
      <c r="B357" s="15"/>
      <c r="C357" s="15"/>
      <c r="D357" s="15"/>
      <c r="E357" s="15"/>
      <c r="F357" s="20"/>
    </row>
    <row r="358" spans="2:6" ht="17.25" customHeight="1">
      <c r="B358" s="15"/>
      <c r="C358" s="15"/>
      <c r="D358" s="15"/>
      <c r="E358" s="15"/>
      <c r="F358" s="20"/>
    </row>
    <row r="359" spans="2:6" ht="17.25" customHeight="1">
      <c r="B359" s="15"/>
      <c r="C359" s="15"/>
      <c r="D359" s="15"/>
      <c r="E359" s="15"/>
      <c r="F359" s="20"/>
    </row>
    <row r="360" spans="2:6" ht="17.25" customHeight="1">
      <c r="B360" s="15"/>
      <c r="C360" s="15"/>
      <c r="D360" s="15"/>
      <c r="E360" s="15"/>
      <c r="F360" s="20"/>
    </row>
    <row r="361" spans="2:6" ht="17.25" customHeight="1">
      <c r="B361" s="15"/>
      <c r="C361" s="15"/>
      <c r="D361" s="15"/>
      <c r="E361" s="15"/>
      <c r="F361" s="20"/>
    </row>
    <row r="362" spans="2:6" ht="17.25" customHeight="1">
      <c r="B362" s="15"/>
      <c r="C362" s="15"/>
      <c r="D362" s="15"/>
      <c r="E362" s="15"/>
      <c r="F362" s="20"/>
    </row>
    <row r="363" spans="2:6" ht="17.25" customHeight="1">
      <c r="B363" s="15"/>
      <c r="C363" s="15"/>
      <c r="D363" s="15"/>
      <c r="E363" s="15"/>
      <c r="F363" s="20"/>
    </row>
    <row r="364" spans="2:6" ht="17.25" customHeight="1">
      <c r="B364" s="15"/>
      <c r="C364" s="15"/>
      <c r="D364" s="15"/>
      <c r="E364" s="15"/>
      <c r="F364" s="20"/>
    </row>
    <row r="365" spans="2:6" ht="17.25" customHeight="1">
      <c r="B365" s="15"/>
      <c r="C365" s="15"/>
      <c r="D365" s="15"/>
      <c r="E365" s="15"/>
      <c r="F365" s="20"/>
    </row>
    <row r="366" spans="2:6" ht="17.25" customHeight="1">
      <c r="B366" s="15"/>
      <c r="C366" s="15"/>
      <c r="D366" s="15"/>
      <c r="E366" s="15"/>
      <c r="F366" s="20"/>
    </row>
    <row r="367" spans="2:6" ht="17.25" customHeight="1">
      <c r="B367" s="15"/>
      <c r="C367" s="15"/>
      <c r="D367" s="15"/>
      <c r="E367" s="15"/>
      <c r="F367" s="20"/>
    </row>
    <row r="368" spans="2:6" ht="17.25" customHeight="1">
      <c r="B368" s="15"/>
      <c r="C368" s="15"/>
      <c r="D368" s="15"/>
      <c r="E368" s="15"/>
      <c r="F368" s="20"/>
    </row>
    <row r="369" spans="2:6" ht="17.25" customHeight="1">
      <c r="B369" s="15"/>
      <c r="C369" s="15"/>
      <c r="D369" s="15"/>
      <c r="E369" s="15"/>
      <c r="F369" s="20"/>
    </row>
    <row r="370" spans="2:6" ht="17.25" customHeight="1">
      <c r="B370" s="15"/>
      <c r="C370" s="15"/>
      <c r="D370" s="15"/>
      <c r="E370" s="15"/>
      <c r="F370" s="20"/>
    </row>
    <row r="371" spans="2:6" ht="17.25" customHeight="1">
      <c r="B371" s="15"/>
      <c r="C371" s="15"/>
      <c r="D371" s="15"/>
      <c r="E371" s="15"/>
      <c r="F371" s="20"/>
    </row>
    <row r="372" spans="2:6" ht="17.25" customHeight="1">
      <c r="B372" s="15"/>
      <c r="C372" s="15"/>
      <c r="D372" s="15"/>
      <c r="E372" s="15"/>
      <c r="F372" s="20"/>
    </row>
    <row r="373" spans="2:6" ht="17.25" customHeight="1">
      <c r="B373" s="15"/>
      <c r="C373" s="15"/>
      <c r="D373" s="15"/>
      <c r="E373" s="15"/>
      <c r="F373" s="20"/>
    </row>
    <row r="374" spans="2:6" ht="17.25" customHeight="1">
      <c r="B374" s="15"/>
      <c r="C374" s="15"/>
      <c r="D374" s="15"/>
      <c r="E374" s="15"/>
      <c r="F374" s="20"/>
    </row>
    <row r="375" spans="2:6" ht="17.25" customHeight="1">
      <c r="B375" s="15"/>
      <c r="C375" s="15"/>
      <c r="D375" s="15"/>
      <c r="E375" s="15"/>
      <c r="F375" s="20"/>
    </row>
    <row r="376" spans="2:6" ht="17.25" customHeight="1">
      <c r="B376" s="15"/>
      <c r="C376" s="15"/>
      <c r="D376" s="15"/>
      <c r="E376" s="15"/>
      <c r="F376" s="20"/>
    </row>
    <row r="377" spans="2:6" ht="17.25" customHeight="1">
      <c r="B377" s="15"/>
      <c r="C377" s="15"/>
      <c r="D377" s="15"/>
      <c r="E377" s="15"/>
      <c r="F377" s="20"/>
    </row>
    <row r="378" spans="2:6" ht="17.25" customHeight="1">
      <c r="B378" s="15"/>
      <c r="C378" s="15"/>
      <c r="D378" s="15"/>
      <c r="E378" s="15"/>
      <c r="F378" s="20"/>
    </row>
    <row r="379" spans="2:6" ht="17.25" customHeight="1">
      <c r="B379" s="15"/>
      <c r="C379" s="15"/>
      <c r="D379" s="15"/>
      <c r="E379" s="15"/>
      <c r="F379" s="20"/>
    </row>
    <row r="380" spans="2:6" ht="17.25" customHeight="1">
      <c r="B380" s="15"/>
      <c r="C380" s="15"/>
      <c r="D380" s="15"/>
      <c r="E380" s="15"/>
      <c r="F380" s="20"/>
    </row>
    <row r="381" spans="2:6" ht="17.25" customHeight="1">
      <c r="B381" s="15"/>
      <c r="C381" s="15"/>
      <c r="D381" s="15"/>
      <c r="E381" s="15"/>
      <c r="F381" s="20"/>
    </row>
    <row r="382" spans="2:6" ht="17.25" customHeight="1">
      <c r="B382" s="15"/>
      <c r="C382" s="15"/>
      <c r="D382" s="15"/>
      <c r="E382" s="15"/>
      <c r="F382" s="20"/>
    </row>
    <row r="383" spans="2:6" ht="17.25" customHeight="1">
      <c r="B383" s="15"/>
      <c r="C383" s="15"/>
      <c r="D383" s="15"/>
      <c r="E383" s="15"/>
      <c r="F383" s="20"/>
    </row>
    <row r="384" spans="2:6" ht="17.25" customHeight="1">
      <c r="B384" s="15"/>
      <c r="C384" s="15"/>
      <c r="D384" s="15"/>
      <c r="E384" s="15"/>
      <c r="F384" s="20"/>
    </row>
    <row r="385" spans="2:6" ht="17.25" customHeight="1">
      <c r="B385" s="15"/>
      <c r="C385" s="15"/>
      <c r="D385" s="15"/>
      <c r="E385" s="15"/>
      <c r="F385" s="20"/>
    </row>
    <row r="386" spans="2:6" ht="17.25" customHeight="1">
      <c r="B386" s="15"/>
      <c r="C386" s="15"/>
      <c r="D386" s="15"/>
      <c r="E386" s="15"/>
      <c r="F386" s="20"/>
    </row>
    <row r="387" spans="2:6" ht="17.25" customHeight="1">
      <c r="B387" s="15"/>
      <c r="C387" s="15"/>
      <c r="D387" s="15"/>
      <c r="E387" s="15"/>
      <c r="F387" s="20"/>
    </row>
    <row r="388" spans="2:6" ht="17.25" customHeight="1">
      <c r="B388" s="15"/>
      <c r="C388" s="15"/>
      <c r="D388" s="15"/>
      <c r="E388" s="15"/>
      <c r="F388" s="20"/>
    </row>
    <row r="389" spans="2:6" ht="17.25" customHeight="1">
      <c r="B389" s="15"/>
      <c r="C389" s="15"/>
      <c r="D389" s="15"/>
      <c r="E389" s="15"/>
      <c r="F389" s="20"/>
    </row>
    <row r="390" spans="2:6" ht="17.25" customHeight="1">
      <c r="B390" s="15"/>
      <c r="C390" s="15"/>
      <c r="D390" s="15"/>
      <c r="E390" s="15"/>
      <c r="F390" s="20"/>
    </row>
    <row r="391" spans="2:6" ht="17.25" customHeight="1">
      <c r="B391" s="15"/>
      <c r="C391" s="15"/>
      <c r="D391" s="15"/>
      <c r="E391" s="15"/>
      <c r="F391" s="20"/>
    </row>
    <row r="392" spans="2:6" ht="17.25" customHeight="1">
      <c r="B392" s="15"/>
      <c r="C392" s="15"/>
      <c r="D392" s="15"/>
      <c r="E392" s="15"/>
      <c r="F392" s="20"/>
    </row>
    <row r="393" spans="2:6" ht="17.25" customHeight="1">
      <c r="B393" s="15"/>
      <c r="C393" s="15"/>
      <c r="D393" s="15"/>
      <c r="E393" s="15"/>
      <c r="F393" s="20"/>
    </row>
    <row r="394" spans="2:6" ht="17.25" customHeight="1">
      <c r="B394" s="15"/>
      <c r="C394" s="15"/>
      <c r="D394" s="15"/>
      <c r="E394" s="15"/>
      <c r="F394" s="20"/>
    </row>
    <row r="395" spans="2:6" ht="17.25" customHeight="1">
      <c r="B395" s="15"/>
      <c r="C395" s="15"/>
      <c r="D395" s="15"/>
      <c r="E395" s="15"/>
      <c r="F395" s="20"/>
    </row>
    <row r="396" spans="2:6" ht="17.25" customHeight="1">
      <c r="B396" s="15"/>
      <c r="C396" s="15"/>
      <c r="D396" s="15"/>
      <c r="E396" s="15"/>
      <c r="F396" s="20"/>
    </row>
    <row r="397" spans="2:6" ht="17.25" customHeight="1">
      <c r="B397" s="15"/>
      <c r="C397" s="15"/>
      <c r="D397" s="15"/>
      <c r="E397" s="15"/>
      <c r="F397" s="20"/>
    </row>
    <row r="398" spans="2:6" ht="17.25" customHeight="1">
      <c r="B398" s="15"/>
      <c r="C398" s="15"/>
      <c r="D398" s="15"/>
      <c r="E398" s="15"/>
      <c r="F398" s="20"/>
    </row>
    <row r="399" spans="2:6" ht="17.25" customHeight="1">
      <c r="B399" s="15"/>
      <c r="C399" s="15"/>
      <c r="D399" s="15"/>
      <c r="E399" s="15"/>
      <c r="F399" s="20"/>
    </row>
    <row r="400" spans="2:6" ht="17.25" customHeight="1">
      <c r="B400" s="15"/>
      <c r="C400" s="15"/>
      <c r="D400" s="15"/>
      <c r="E400" s="15"/>
      <c r="F400" s="20"/>
    </row>
    <row r="401" spans="2:6" ht="17.25" customHeight="1">
      <c r="B401" s="15"/>
      <c r="C401" s="15"/>
      <c r="D401" s="15"/>
      <c r="E401" s="15"/>
      <c r="F401" s="20"/>
    </row>
    <row r="402" spans="2:6" ht="17.25" customHeight="1">
      <c r="B402" s="15"/>
      <c r="C402" s="15"/>
      <c r="D402" s="15"/>
      <c r="E402" s="15"/>
      <c r="F402" s="20"/>
    </row>
    <row r="403" spans="2:6" ht="17.25" customHeight="1">
      <c r="B403" s="15"/>
      <c r="C403" s="15"/>
      <c r="D403" s="15"/>
      <c r="E403" s="15"/>
      <c r="F403" s="20"/>
    </row>
    <row r="404" spans="2:6" ht="17.25" customHeight="1">
      <c r="B404" s="15"/>
      <c r="C404" s="15"/>
      <c r="D404" s="15"/>
      <c r="E404" s="15"/>
      <c r="F404" s="20"/>
    </row>
    <row r="405" spans="2:6" ht="17.25" customHeight="1">
      <c r="B405" s="15"/>
      <c r="C405" s="15"/>
      <c r="D405" s="15"/>
      <c r="E405" s="15"/>
      <c r="F405" s="20"/>
    </row>
    <row r="406" spans="2:6" ht="17.25" customHeight="1">
      <c r="B406" s="15"/>
      <c r="C406" s="15"/>
      <c r="D406" s="15"/>
      <c r="E406" s="15"/>
      <c r="F406" s="20"/>
    </row>
    <row r="407" spans="2:6" ht="17.25" customHeight="1">
      <c r="B407" s="15"/>
      <c r="C407" s="15"/>
      <c r="D407" s="15"/>
      <c r="E407" s="15"/>
      <c r="F407" s="20"/>
    </row>
    <row r="408" spans="2:6" ht="17.25" customHeight="1">
      <c r="B408" s="15"/>
      <c r="C408" s="15"/>
      <c r="D408" s="15"/>
      <c r="E408" s="15"/>
      <c r="F408" s="20"/>
    </row>
    <row r="409" spans="2:6" ht="17.25" customHeight="1">
      <c r="B409" s="15"/>
      <c r="C409" s="15"/>
      <c r="D409" s="15"/>
      <c r="E409" s="15"/>
      <c r="F409" s="20"/>
    </row>
    <row r="410" spans="2:6" ht="17.25" customHeight="1">
      <c r="B410" s="15"/>
      <c r="C410" s="15"/>
      <c r="D410" s="15"/>
      <c r="E410" s="15"/>
      <c r="F410" s="20"/>
    </row>
    <row r="411" spans="2:6" ht="17.25" customHeight="1">
      <c r="B411" s="15"/>
      <c r="C411" s="15"/>
      <c r="D411" s="15"/>
      <c r="E411" s="15"/>
      <c r="F411" s="20"/>
    </row>
    <row r="412" spans="2:6" ht="17.25" customHeight="1">
      <c r="B412" s="15"/>
      <c r="C412" s="15"/>
      <c r="D412" s="15"/>
      <c r="E412" s="15"/>
      <c r="F412" s="20"/>
    </row>
    <row r="413" spans="2:6" ht="17.25" customHeight="1">
      <c r="B413" s="15"/>
      <c r="C413" s="15"/>
      <c r="D413" s="15"/>
      <c r="E413" s="15"/>
      <c r="F413" s="20"/>
    </row>
    <row r="414" spans="2:6" ht="17.25" customHeight="1">
      <c r="B414" s="15"/>
      <c r="C414" s="15"/>
      <c r="D414" s="15"/>
      <c r="E414" s="15"/>
      <c r="F414" s="20"/>
    </row>
    <row r="415" spans="2:6" ht="17.25" customHeight="1">
      <c r="B415" s="15"/>
      <c r="C415" s="15"/>
      <c r="D415" s="15"/>
      <c r="E415" s="15"/>
      <c r="F415" s="20"/>
    </row>
    <row r="416" spans="2:6" ht="17.25" customHeight="1">
      <c r="B416" s="15"/>
      <c r="C416" s="15"/>
      <c r="D416" s="15"/>
      <c r="E416" s="15"/>
      <c r="F416" s="20"/>
    </row>
    <row r="417" spans="2:6" ht="17.25" customHeight="1">
      <c r="B417" s="15"/>
      <c r="C417" s="15"/>
      <c r="D417" s="15"/>
      <c r="E417" s="15"/>
      <c r="F417" s="20"/>
    </row>
    <row r="418" spans="2:6" ht="17.25" customHeight="1">
      <c r="B418" s="15"/>
      <c r="C418" s="15"/>
      <c r="D418" s="15"/>
      <c r="E418" s="15"/>
      <c r="F418" s="20"/>
    </row>
    <row r="419" spans="2:6" ht="17.25" customHeight="1">
      <c r="B419" s="15"/>
      <c r="C419" s="15"/>
      <c r="D419" s="15"/>
      <c r="E419" s="15"/>
      <c r="F419" s="20"/>
    </row>
    <row r="420" spans="2:6" ht="17.25" customHeight="1">
      <c r="B420" s="15"/>
      <c r="C420" s="15"/>
      <c r="D420" s="15"/>
      <c r="E420" s="15"/>
      <c r="F420" s="20"/>
    </row>
    <row r="421" spans="2:6" ht="17.25" customHeight="1">
      <c r="B421" s="15"/>
      <c r="C421" s="15"/>
      <c r="D421" s="15"/>
      <c r="E421" s="15"/>
      <c r="F421" s="20"/>
    </row>
    <row r="422" spans="2:6" ht="17.25" customHeight="1">
      <c r="B422" s="15"/>
      <c r="C422" s="15"/>
      <c r="D422" s="15"/>
      <c r="E422" s="15"/>
      <c r="F422" s="20"/>
    </row>
    <row r="423" spans="2:6" ht="17.25" customHeight="1">
      <c r="B423" s="15"/>
      <c r="C423" s="15"/>
      <c r="D423" s="15"/>
      <c r="E423" s="15"/>
      <c r="F423" s="20"/>
    </row>
    <row r="424" spans="2:6" ht="17.25" customHeight="1">
      <c r="B424" s="15"/>
      <c r="C424" s="15"/>
      <c r="D424" s="15"/>
      <c r="E424" s="15"/>
      <c r="F424" s="20"/>
    </row>
    <row r="425" spans="2:6" ht="17.25" customHeight="1">
      <c r="B425" s="15"/>
      <c r="C425" s="15"/>
      <c r="D425" s="15"/>
      <c r="E425" s="15"/>
      <c r="F425" s="20"/>
    </row>
    <row r="426" spans="2:6" ht="17.25" customHeight="1">
      <c r="B426" s="15"/>
      <c r="C426" s="15"/>
      <c r="D426" s="15"/>
      <c r="E426" s="15"/>
      <c r="F426" s="20"/>
    </row>
    <row r="427" spans="2:6" ht="17.25" customHeight="1">
      <c r="B427" s="15"/>
      <c r="C427" s="15"/>
      <c r="D427" s="15"/>
      <c r="E427" s="15"/>
      <c r="F427" s="20"/>
    </row>
    <row r="428" spans="2:6" ht="17.25" customHeight="1">
      <c r="B428" s="15"/>
      <c r="C428" s="15"/>
      <c r="D428" s="15"/>
      <c r="E428" s="15"/>
      <c r="F428" s="20"/>
    </row>
    <row r="429" spans="2:6" ht="17.25" customHeight="1">
      <c r="B429" s="15"/>
      <c r="C429" s="15"/>
      <c r="D429" s="15"/>
      <c r="E429" s="15"/>
      <c r="F429" s="20"/>
    </row>
    <row r="430" spans="2:6" ht="17.25" customHeight="1">
      <c r="B430" s="15"/>
      <c r="C430" s="15"/>
      <c r="D430" s="15"/>
      <c r="E430" s="15"/>
      <c r="F430" s="20"/>
    </row>
    <row r="431" spans="2:6" ht="17.25" customHeight="1">
      <c r="B431" s="15"/>
      <c r="C431" s="15"/>
      <c r="D431" s="15"/>
      <c r="E431" s="15"/>
      <c r="F431" s="20"/>
    </row>
    <row r="432" spans="2:6" ht="17.25" customHeight="1">
      <c r="B432" s="15"/>
      <c r="C432" s="15"/>
      <c r="D432" s="15"/>
      <c r="E432" s="15"/>
      <c r="F432" s="20"/>
    </row>
    <row r="433" spans="2:6" ht="17.25" customHeight="1">
      <c r="B433" s="15"/>
      <c r="C433" s="15"/>
      <c r="D433" s="15"/>
      <c r="E433" s="15"/>
      <c r="F433" s="20"/>
    </row>
    <row r="434" spans="2:6" ht="17.25" customHeight="1">
      <c r="B434" s="15"/>
      <c r="C434" s="15"/>
      <c r="D434" s="15"/>
      <c r="E434" s="15"/>
      <c r="F434" s="20"/>
    </row>
    <row r="435" spans="2:6" ht="17.25" customHeight="1">
      <c r="B435" s="15"/>
      <c r="C435" s="15"/>
      <c r="D435" s="15"/>
      <c r="E435" s="15"/>
      <c r="F435" s="20"/>
    </row>
    <row r="436" spans="2:6" ht="17.25" customHeight="1">
      <c r="B436" s="15"/>
      <c r="C436" s="15"/>
      <c r="D436" s="15"/>
      <c r="E436" s="15"/>
      <c r="F436" s="20"/>
    </row>
    <row r="437" spans="2:6" ht="17.25" customHeight="1">
      <c r="B437" s="15"/>
      <c r="C437" s="15"/>
      <c r="D437" s="15"/>
      <c r="E437" s="15"/>
      <c r="F437" s="20"/>
    </row>
    <row r="438" spans="2:6" ht="17.25" customHeight="1">
      <c r="B438" s="15"/>
      <c r="C438" s="15"/>
      <c r="D438" s="15"/>
      <c r="E438" s="15"/>
      <c r="F438" s="20"/>
    </row>
    <row r="439" spans="2:6" ht="17.25" customHeight="1">
      <c r="B439" s="15"/>
      <c r="C439" s="15"/>
      <c r="D439" s="15"/>
      <c r="E439" s="15"/>
      <c r="F439" s="20"/>
    </row>
    <row r="440" spans="2:6" ht="17.25" customHeight="1">
      <c r="B440" s="15"/>
      <c r="C440" s="15"/>
      <c r="D440" s="15"/>
      <c r="E440" s="15"/>
      <c r="F440" s="20"/>
    </row>
    <row r="441" spans="2:6" ht="17.25" customHeight="1">
      <c r="B441" s="15"/>
      <c r="C441" s="15"/>
      <c r="D441" s="15"/>
      <c r="E441" s="15"/>
      <c r="F441" s="20"/>
    </row>
    <row r="442" spans="2:6" ht="17.25" customHeight="1">
      <c r="B442" s="15"/>
      <c r="C442" s="15"/>
      <c r="D442" s="15"/>
      <c r="E442" s="15"/>
      <c r="F442" s="20"/>
    </row>
    <row r="443" spans="2:6" ht="17.25" customHeight="1">
      <c r="B443" s="15"/>
      <c r="C443" s="15"/>
      <c r="D443" s="15"/>
      <c r="E443" s="15"/>
      <c r="F443" s="20"/>
    </row>
    <row r="444" spans="2:6" ht="17.25" customHeight="1">
      <c r="B444" s="15"/>
      <c r="C444" s="15"/>
      <c r="D444" s="15"/>
      <c r="E444" s="15"/>
      <c r="F444" s="20"/>
    </row>
    <row r="445" spans="2:6" ht="17.25" customHeight="1">
      <c r="B445" s="15"/>
      <c r="C445" s="15"/>
      <c r="D445" s="15"/>
      <c r="E445" s="15"/>
      <c r="F445" s="20"/>
    </row>
    <row r="446" spans="2:6" ht="17.25" customHeight="1">
      <c r="B446" s="15"/>
      <c r="C446" s="15"/>
      <c r="D446" s="15"/>
      <c r="E446" s="15"/>
      <c r="F446" s="20"/>
    </row>
    <row r="447" spans="2:6" ht="17.25" customHeight="1">
      <c r="B447" s="15"/>
      <c r="C447" s="15"/>
      <c r="D447" s="15"/>
      <c r="E447" s="15"/>
      <c r="F447" s="20"/>
    </row>
    <row r="448" spans="2:6" ht="17.25" customHeight="1">
      <c r="B448" s="15"/>
      <c r="C448" s="15"/>
      <c r="D448" s="15"/>
      <c r="E448" s="15"/>
      <c r="F448" s="20"/>
    </row>
    <row r="449" spans="2:6" ht="17.25" customHeight="1">
      <c r="B449" s="15"/>
      <c r="C449" s="15"/>
      <c r="D449" s="15"/>
      <c r="E449" s="15"/>
      <c r="F449" s="20"/>
    </row>
    <row r="450" spans="2:6" ht="17.25" customHeight="1">
      <c r="B450" s="15"/>
      <c r="C450" s="15"/>
      <c r="D450" s="15"/>
      <c r="E450" s="15"/>
      <c r="F450" s="20"/>
    </row>
    <row r="451" spans="2:6" ht="17.25" customHeight="1">
      <c r="B451" s="15"/>
      <c r="C451" s="15"/>
      <c r="D451" s="15"/>
      <c r="E451" s="15"/>
      <c r="F451" s="20"/>
    </row>
    <row r="452" spans="2:6" ht="17.25" customHeight="1">
      <c r="B452" s="15"/>
      <c r="C452" s="15"/>
      <c r="D452" s="15"/>
      <c r="E452" s="15"/>
      <c r="F452" s="20"/>
    </row>
    <row r="453" spans="2:6" ht="17.25" customHeight="1">
      <c r="B453" s="15"/>
      <c r="C453" s="15"/>
      <c r="D453" s="15"/>
      <c r="E453" s="15"/>
      <c r="F453" s="20"/>
    </row>
    <row r="454" spans="2:6" ht="17.25" customHeight="1">
      <c r="B454" s="15"/>
      <c r="C454" s="15"/>
      <c r="D454" s="15"/>
      <c r="E454" s="15"/>
      <c r="F454" s="20"/>
    </row>
    <row r="455" spans="2:6" ht="17.25" customHeight="1">
      <c r="B455" s="15"/>
      <c r="C455" s="15"/>
      <c r="D455" s="15"/>
      <c r="E455" s="15"/>
      <c r="F455" s="20"/>
    </row>
    <row r="456" spans="2:6" ht="17.25" customHeight="1">
      <c r="B456" s="15"/>
      <c r="C456" s="15"/>
      <c r="D456" s="15"/>
      <c r="E456" s="15"/>
      <c r="F456" s="20"/>
    </row>
    <row r="457" spans="2:6" ht="17.25" customHeight="1">
      <c r="B457" s="15"/>
      <c r="C457" s="15"/>
      <c r="D457" s="15"/>
      <c r="E457" s="15"/>
      <c r="F457" s="20"/>
    </row>
    <row r="458" spans="2:6" ht="17.25" customHeight="1">
      <c r="B458" s="15"/>
      <c r="C458" s="15"/>
      <c r="D458" s="15"/>
      <c r="E458" s="15"/>
      <c r="F458" s="20"/>
    </row>
    <row r="459" spans="2:6" ht="17.25" customHeight="1">
      <c r="B459" s="15"/>
      <c r="C459" s="15"/>
      <c r="D459" s="15"/>
      <c r="E459" s="15"/>
      <c r="F459" s="20"/>
    </row>
    <row r="460" spans="2:6" ht="17.25" customHeight="1">
      <c r="B460" s="15"/>
      <c r="C460" s="15"/>
      <c r="D460" s="15"/>
      <c r="E460" s="15"/>
      <c r="F460" s="20"/>
    </row>
    <row r="461" spans="2:6" ht="17.25" customHeight="1">
      <c r="B461" s="15"/>
      <c r="C461" s="15"/>
      <c r="D461" s="15"/>
      <c r="E461" s="15"/>
      <c r="F461" s="20"/>
    </row>
    <row r="462" spans="2:6" ht="17.25" customHeight="1">
      <c r="B462" s="15"/>
      <c r="C462" s="15"/>
      <c r="D462" s="15"/>
      <c r="E462" s="15"/>
      <c r="F462" s="20"/>
    </row>
    <row r="463" spans="2:6" ht="17.25" customHeight="1">
      <c r="B463" s="15"/>
      <c r="C463" s="15"/>
      <c r="D463" s="15"/>
      <c r="E463" s="15"/>
      <c r="F463" s="20"/>
    </row>
    <row r="464" spans="2:6" ht="17.25" customHeight="1">
      <c r="B464" s="15"/>
      <c r="C464" s="15"/>
      <c r="D464" s="15"/>
      <c r="E464" s="15"/>
      <c r="F464" s="20"/>
    </row>
    <row r="465" spans="2:6" ht="17.25" customHeight="1">
      <c r="B465" s="15"/>
      <c r="C465" s="15"/>
      <c r="D465" s="15"/>
      <c r="E465" s="15"/>
      <c r="F465" s="20"/>
    </row>
    <row r="466" spans="2:6" ht="17.25" customHeight="1">
      <c r="B466" s="15"/>
      <c r="C466" s="15"/>
      <c r="D466" s="15"/>
      <c r="E466" s="15"/>
      <c r="F466" s="20"/>
    </row>
    <row r="467" spans="2:6" ht="17.25" customHeight="1">
      <c r="B467" s="15"/>
      <c r="C467" s="15"/>
      <c r="D467" s="15"/>
      <c r="E467" s="15"/>
      <c r="F467" s="20"/>
    </row>
    <row r="468" spans="2:6" ht="17.25" customHeight="1">
      <c r="B468" s="15"/>
      <c r="C468" s="15"/>
      <c r="D468" s="15"/>
      <c r="E468" s="15"/>
      <c r="F468" s="20"/>
    </row>
    <row r="469" spans="2:6" ht="17.25" customHeight="1">
      <c r="B469" s="15"/>
      <c r="C469" s="15"/>
      <c r="D469" s="15"/>
      <c r="E469" s="15"/>
      <c r="F469" s="20"/>
    </row>
    <row r="470" spans="2:6" ht="17.25" customHeight="1">
      <c r="B470" s="15"/>
      <c r="C470" s="15"/>
      <c r="D470" s="15"/>
      <c r="E470" s="15"/>
      <c r="F470" s="20"/>
    </row>
    <row r="471" spans="2:6" ht="17.25" customHeight="1">
      <c r="B471" s="15"/>
      <c r="C471" s="15"/>
      <c r="D471" s="15"/>
      <c r="E471" s="15"/>
      <c r="F471" s="20"/>
    </row>
    <row r="472" spans="2:6" ht="17.25" customHeight="1">
      <c r="B472" s="15"/>
      <c r="C472" s="15"/>
      <c r="D472" s="15"/>
      <c r="E472" s="15"/>
      <c r="F472" s="20"/>
    </row>
    <row r="473" spans="2:6" ht="17.25" customHeight="1">
      <c r="B473" s="15"/>
      <c r="C473" s="15"/>
      <c r="D473" s="15"/>
      <c r="E473" s="15"/>
      <c r="F473" s="20"/>
    </row>
    <row r="474" spans="2:6" ht="17.25" customHeight="1">
      <c r="B474" s="15"/>
      <c r="C474" s="15"/>
      <c r="D474" s="15"/>
      <c r="E474" s="15"/>
      <c r="F474" s="20"/>
    </row>
    <row r="475" spans="2:6" ht="17.25" customHeight="1">
      <c r="B475" s="15"/>
      <c r="C475" s="15"/>
      <c r="D475" s="15"/>
      <c r="E475" s="15"/>
      <c r="F475" s="20"/>
    </row>
    <row r="476" spans="2:6" ht="17.25" customHeight="1">
      <c r="B476" s="15"/>
      <c r="C476" s="15"/>
      <c r="D476" s="15"/>
      <c r="E476" s="15"/>
      <c r="F476" s="20"/>
    </row>
    <row r="477" spans="2:6" ht="17.25" customHeight="1">
      <c r="B477" s="15"/>
      <c r="C477" s="15"/>
      <c r="D477" s="15"/>
      <c r="E477" s="15"/>
      <c r="F477" s="20"/>
    </row>
    <row r="478" spans="2:6" ht="17.25" customHeight="1">
      <c r="B478" s="15"/>
      <c r="C478" s="15"/>
      <c r="D478" s="15"/>
      <c r="E478" s="15"/>
      <c r="F478" s="20"/>
    </row>
    <row r="479" spans="2:6" ht="17.25" customHeight="1">
      <c r="B479" s="15"/>
      <c r="C479" s="15"/>
      <c r="D479" s="15"/>
      <c r="E479" s="15"/>
      <c r="F479" s="20"/>
    </row>
    <row r="480" spans="2:6" ht="17.25" customHeight="1">
      <c r="B480" s="15"/>
      <c r="C480" s="15"/>
      <c r="D480" s="15"/>
      <c r="E480" s="15"/>
      <c r="F480" s="20"/>
    </row>
    <row r="481" spans="2:6" ht="17.25" customHeight="1">
      <c r="B481" s="15"/>
      <c r="C481" s="15"/>
      <c r="D481" s="15"/>
      <c r="E481" s="15"/>
      <c r="F481" s="20"/>
    </row>
    <row r="482" spans="2:6" ht="17.25" customHeight="1">
      <c r="B482" s="15"/>
      <c r="C482" s="15"/>
      <c r="D482" s="15"/>
      <c r="E482" s="15"/>
      <c r="F482" s="20"/>
    </row>
    <row r="483" spans="2:6" ht="17.25" customHeight="1">
      <c r="B483" s="15"/>
      <c r="C483" s="15"/>
      <c r="D483" s="15"/>
      <c r="E483" s="15"/>
      <c r="F483" s="20"/>
    </row>
    <row r="484" spans="2:6" ht="17.25" customHeight="1">
      <c r="B484" s="15"/>
      <c r="C484" s="15"/>
      <c r="D484" s="15"/>
      <c r="E484" s="15"/>
      <c r="F484" s="20"/>
    </row>
    <row r="485" spans="2:6" ht="17.25" customHeight="1">
      <c r="B485" s="15"/>
      <c r="C485" s="15"/>
      <c r="D485" s="15"/>
      <c r="E485" s="15"/>
      <c r="F485" s="20"/>
    </row>
    <row r="486" spans="2:6" ht="17.25" customHeight="1">
      <c r="B486" s="15"/>
      <c r="C486" s="15"/>
      <c r="D486" s="15"/>
      <c r="E486" s="15"/>
      <c r="F486" s="20"/>
    </row>
    <row r="487" spans="2:6" ht="17.25" customHeight="1">
      <c r="B487" s="15"/>
      <c r="C487" s="15"/>
      <c r="D487" s="15"/>
      <c r="E487" s="15"/>
      <c r="F487" s="20"/>
    </row>
    <row r="488" spans="2:6" ht="17.25" customHeight="1">
      <c r="B488" s="15"/>
      <c r="C488" s="15"/>
      <c r="D488" s="15"/>
      <c r="E488" s="15"/>
      <c r="F488" s="20"/>
    </row>
    <row r="489" spans="2:6" ht="17.25" customHeight="1">
      <c r="B489" s="15"/>
      <c r="C489" s="15"/>
      <c r="D489" s="15"/>
      <c r="E489" s="15"/>
      <c r="F489" s="20"/>
    </row>
    <row r="490" spans="2:6" ht="17.25" customHeight="1">
      <c r="B490" s="15"/>
      <c r="C490" s="15"/>
      <c r="D490" s="15"/>
      <c r="E490" s="15"/>
      <c r="F490" s="20"/>
    </row>
    <row r="491" spans="2:6" ht="17.25" customHeight="1">
      <c r="B491" s="15"/>
      <c r="C491" s="15"/>
      <c r="D491" s="15"/>
      <c r="E491" s="15"/>
      <c r="F491" s="20"/>
    </row>
    <row r="492" spans="2:6" ht="17.25" customHeight="1">
      <c r="B492" s="15"/>
      <c r="C492" s="15"/>
      <c r="D492" s="15"/>
      <c r="E492" s="15"/>
      <c r="F492" s="20"/>
    </row>
    <row r="493" spans="2:6" ht="17.25" customHeight="1">
      <c r="B493" s="15"/>
      <c r="C493" s="15"/>
      <c r="D493" s="15"/>
      <c r="E493" s="15"/>
      <c r="F493" s="20"/>
    </row>
    <row r="494" spans="2:6" ht="17.25" customHeight="1">
      <c r="B494" s="15"/>
      <c r="C494" s="15"/>
      <c r="D494" s="15"/>
      <c r="E494" s="15"/>
      <c r="F494" s="20"/>
    </row>
    <row r="495" spans="2:6" ht="17.25" customHeight="1">
      <c r="B495" s="15"/>
      <c r="C495" s="15"/>
      <c r="D495" s="15"/>
      <c r="E495" s="15"/>
      <c r="F495" s="20"/>
    </row>
    <row r="496" spans="2:6" ht="17.25" customHeight="1">
      <c r="B496" s="15"/>
      <c r="C496" s="15"/>
      <c r="D496" s="15"/>
      <c r="E496" s="15"/>
      <c r="F496" s="20"/>
    </row>
    <row r="497" spans="2:6" ht="17.25" customHeight="1">
      <c r="B497" s="15"/>
      <c r="C497" s="15"/>
      <c r="D497" s="15"/>
      <c r="E497" s="15"/>
      <c r="F497" s="20"/>
    </row>
    <row r="498" spans="2:6" ht="17.25" customHeight="1">
      <c r="B498" s="15"/>
      <c r="C498" s="15"/>
      <c r="D498" s="15"/>
      <c r="E498" s="15"/>
      <c r="F498" s="20"/>
    </row>
    <row r="499" spans="2:6" ht="17.25" customHeight="1">
      <c r="B499" s="15"/>
      <c r="C499" s="15"/>
      <c r="D499" s="15"/>
      <c r="E499" s="15"/>
      <c r="F499" s="20"/>
    </row>
    <row r="500" spans="2:6" ht="17.25" customHeight="1">
      <c r="B500" s="15"/>
      <c r="C500" s="15"/>
      <c r="D500" s="15"/>
      <c r="E500" s="15"/>
      <c r="F500" s="20"/>
    </row>
    <row r="501" spans="2:6" ht="17.25" customHeight="1">
      <c r="B501" s="15"/>
      <c r="C501" s="15"/>
      <c r="D501" s="15"/>
      <c r="E501" s="15"/>
      <c r="F501" s="20"/>
    </row>
    <row r="502" spans="2:6" ht="17.25" customHeight="1">
      <c r="B502" s="15"/>
      <c r="C502" s="15"/>
      <c r="D502" s="15"/>
      <c r="E502" s="15"/>
      <c r="F502" s="20"/>
    </row>
    <row r="503" spans="2:6" ht="17.25" customHeight="1">
      <c r="B503" s="15"/>
      <c r="C503" s="15"/>
      <c r="D503" s="15"/>
      <c r="E503" s="15"/>
      <c r="F503" s="20"/>
    </row>
    <row r="504" spans="2:6" ht="17.25" customHeight="1">
      <c r="B504" s="15"/>
      <c r="C504" s="15"/>
      <c r="D504" s="15"/>
      <c r="E504" s="15"/>
      <c r="F504" s="20"/>
    </row>
    <row r="505" spans="2:6" ht="17.25" customHeight="1">
      <c r="B505" s="15"/>
      <c r="C505" s="15"/>
      <c r="D505" s="15"/>
      <c r="E505" s="15"/>
      <c r="F505" s="20"/>
    </row>
    <row r="506" spans="2:6" ht="17.25" customHeight="1">
      <c r="B506" s="15"/>
      <c r="C506" s="15"/>
      <c r="D506" s="15"/>
      <c r="E506" s="15"/>
      <c r="F506" s="20"/>
    </row>
    <row r="507" spans="2:6" ht="17.25" customHeight="1">
      <c r="B507" s="15"/>
      <c r="C507" s="15"/>
      <c r="D507" s="15"/>
      <c r="E507" s="15"/>
      <c r="F507" s="20"/>
    </row>
    <row r="508" spans="2:6" ht="17.25" customHeight="1">
      <c r="B508" s="15"/>
      <c r="C508" s="15"/>
      <c r="D508" s="15"/>
      <c r="E508" s="15"/>
      <c r="F508" s="20"/>
    </row>
    <row r="509" spans="2:6" ht="17.25" customHeight="1">
      <c r="B509" s="15"/>
      <c r="C509" s="15"/>
      <c r="D509" s="15"/>
      <c r="E509" s="15"/>
      <c r="F509" s="20"/>
    </row>
    <row r="510" spans="2:6" ht="17.25" customHeight="1">
      <c r="B510" s="15"/>
      <c r="C510" s="15"/>
      <c r="D510" s="15"/>
      <c r="E510" s="15"/>
      <c r="F510" s="20"/>
    </row>
    <row r="511" spans="2:6" ht="17.25" customHeight="1">
      <c r="B511" s="15"/>
      <c r="C511" s="15"/>
      <c r="D511" s="15"/>
      <c r="E511" s="15"/>
      <c r="F511" s="20"/>
    </row>
    <row r="512" spans="2:6" ht="17.25" customHeight="1">
      <c r="B512" s="15"/>
      <c r="C512" s="15"/>
      <c r="D512" s="15"/>
      <c r="E512" s="15"/>
      <c r="F512" s="20"/>
    </row>
    <row r="513" spans="2:6" ht="17.25" customHeight="1">
      <c r="B513" s="15"/>
      <c r="C513" s="15"/>
      <c r="D513" s="15"/>
      <c r="E513" s="15"/>
      <c r="F513" s="20"/>
    </row>
    <row r="514" spans="2:6" ht="17.25" customHeight="1">
      <c r="B514" s="15"/>
      <c r="C514" s="15"/>
      <c r="D514" s="15"/>
      <c r="E514" s="15"/>
      <c r="F514" s="20"/>
    </row>
    <row r="515" spans="2:6" ht="17.25" customHeight="1">
      <c r="B515" s="15"/>
      <c r="C515" s="15"/>
      <c r="D515" s="15"/>
      <c r="E515" s="15"/>
      <c r="F515" s="20"/>
    </row>
    <row r="516" spans="2:6" ht="17.25" customHeight="1">
      <c r="B516" s="15"/>
      <c r="C516" s="15"/>
      <c r="D516" s="15"/>
      <c r="E516" s="15"/>
      <c r="F516" s="20"/>
    </row>
    <row r="517" spans="2:6" ht="17.25" customHeight="1">
      <c r="B517" s="15"/>
      <c r="C517" s="15"/>
      <c r="D517" s="15"/>
      <c r="E517" s="15"/>
      <c r="F517" s="20"/>
    </row>
    <row r="518" spans="2:6" ht="17.25" customHeight="1">
      <c r="B518" s="15"/>
      <c r="C518" s="15"/>
      <c r="D518" s="15"/>
      <c r="E518" s="15"/>
      <c r="F518" s="20"/>
    </row>
    <row r="519" spans="2:6" ht="17.25" customHeight="1">
      <c r="B519" s="15"/>
      <c r="C519" s="15"/>
      <c r="D519" s="15"/>
      <c r="E519" s="15"/>
      <c r="F519" s="20"/>
    </row>
    <row r="520" spans="2:6" ht="17.25" customHeight="1">
      <c r="B520" s="15"/>
      <c r="C520" s="15"/>
      <c r="D520" s="15"/>
      <c r="E520" s="15"/>
      <c r="F520" s="20"/>
    </row>
    <row r="521" spans="2:6" ht="17.25" customHeight="1">
      <c r="B521" s="15"/>
      <c r="C521" s="15"/>
      <c r="D521" s="15"/>
      <c r="E521" s="15"/>
      <c r="F521" s="20"/>
    </row>
    <row r="522" spans="2:6" ht="17.25" customHeight="1">
      <c r="B522" s="15"/>
      <c r="C522" s="15"/>
      <c r="D522" s="15"/>
      <c r="E522" s="15"/>
      <c r="F522" s="20"/>
    </row>
    <row r="523" spans="2:6" ht="17.25" customHeight="1">
      <c r="B523" s="15"/>
      <c r="C523" s="15"/>
      <c r="D523" s="15"/>
      <c r="E523" s="15"/>
      <c r="F523" s="20"/>
    </row>
    <row r="524" spans="2:6" ht="17.25" customHeight="1">
      <c r="B524" s="15"/>
      <c r="C524" s="15"/>
      <c r="D524" s="15"/>
      <c r="E524" s="15"/>
      <c r="F524" s="20"/>
    </row>
    <row r="525" spans="2:6" ht="17.25" customHeight="1">
      <c r="B525" s="15"/>
      <c r="C525" s="15"/>
      <c r="D525" s="15"/>
      <c r="E525" s="15"/>
      <c r="F525" s="20"/>
    </row>
    <row r="526" spans="2:6" ht="17.25" customHeight="1">
      <c r="B526" s="15"/>
      <c r="C526" s="15"/>
      <c r="D526" s="15"/>
      <c r="E526" s="15"/>
      <c r="F526" s="20"/>
    </row>
    <row r="527" spans="2:6" ht="17.25" customHeight="1">
      <c r="B527" s="15"/>
      <c r="C527" s="15"/>
      <c r="D527" s="15"/>
      <c r="E527" s="15"/>
      <c r="F527" s="20"/>
    </row>
    <row r="528" spans="2:6" ht="17.25" customHeight="1">
      <c r="B528" s="15"/>
      <c r="C528" s="15"/>
      <c r="D528" s="15"/>
      <c r="E528" s="15"/>
      <c r="F528" s="20"/>
    </row>
    <row r="529" spans="2:6" ht="17.25" customHeight="1">
      <c r="B529" s="15"/>
      <c r="C529" s="15"/>
      <c r="D529" s="15"/>
      <c r="E529" s="15"/>
      <c r="F529" s="20"/>
    </row>
    <row r="530" spans="2:6" ht="17.25" customHeight="1">
      <c r="B530" s="15"/>
      <c r="C530" s="15"/>
      <c r="D530" s="15"/>
      <c r="E530" s="15"/>
      <c r="F530" s="20"/>
    </row>
    <row r="531" spans="2:6" ht="17.25" customHeight="1">
      <c r="B531" s="15"/>
      <c r="C531" s="15"/>
      <c r="D531" s="15"/>
      <c r="E531" s="15"/>
      <c r="F531" s="20"/>
    </row>
    <row r="532" spans="2:6" ht="17.25" customHeight="1">
      <c r="B532" s="15"/>
      <c r="C532" s="15"/>
      <c r="D532" s="15"/>
      <c r="E532" s="15"/>
      <c r="F532" s="20"/>
    </row>
    <row r="533" spans="2:6" ht="17.25" customHeight="1">
      <c r="B533" s="15"/>
      <c r="C533" s="15"/>
      <c r="D533" s="15"/>
      <c r="E533" s="15"/>
      <c r="F533" s="20"/>
    </row>
    <row r="534" spans="2:6" ht="17.25" customHeight="1">
      <c r="B534" s="15"/>
      <c r="C534" s="15"/>
      <c r="D534" s="15"/>
      <c r="E534" s="15"/>
      <c r="F534" s="20"/>
    </row>
    <row r="535" spans="2:6" ht="17.25" customHeight="1">
      <c r="B535" s="15"/>
      <c r="C535" s="15"/>
      <c r="D535" s="15"/>
      <c r="E535" s="15"/>
      <c r="F535" s="20"/>
    </row>
    <row r="536" spans="2:6" ht="17.25" customHeight="1">
      <c r="B536" s="15"/>
      <c r="C536" s="15"/>
      <c r="D536" s="15"/>
      <c r="E536" s="15"/>
      <c r="F536" s="20"/>
    </row>
    <row r="537" spans="2:6" ht="17.25" customHeight="1">
      <c r="B537" s="15"/>
      <c r="C537" s="15"/>
      <c r="D537" s="15"/>
      <c r="E537" s="15"/>
      <c r="F537" s="20"/>
    </row>
    <row r="538" spans="2:6" ht="17.25" customHeight="1">
      <c r="B538" s="15"/>
      <c r="C538" s="15"/>
      <c r="D538" s="15"/>
      <c r="E538" s="15"/>
      <c r="F538" s="20"/>
    </row>
    <row r="539" spans="2:6" ht="17.25" customHeight="1">
      <c r="B539" s="15"/>
      <c r="C539" s="15"/>
      <c r="D539" s="15"/>
      <c r="E539" s="15"/>
      <c r="F539" s="20"/>
    </row>
    <row r="540" spans="2:6" ht="17.25" customHeight="1">
      <c r="B540" s="15"/>
      <c r="C540" s="15"/>
      <c r="D540" s="15"/>
      <c r="E540" s="15"/>
      <c r="F540" s="20"/>
    </row>
    <row r="541" spans="2:6" ht="17.25" customHeight="1">
      <c r="B541" s="15"/>
      <c r="C541" s="15"/>
      <c r="D541" s="15"/>
      <c r="E541" s="15"/>
      <c r="F541" s="20"/>
    </row>
    <row r="542" spans="2:6" ht="17.25" customHeight="1">
      <c r="B542" s="15"/>
      <c r="C542" s="15"/>
      <c r="D542" s="15"/>
      <c r="E542" s="15"/>
      <c r="F542" s="20"/>
    </row>
    <row r="543" spans="2:6" ht="17.25" customHeight="1">
      <c r="B543" s="15"/>
      <c r="C543" s="15"/>
      <c r="D543" s="15"/>
      <c r="E543" s="15"/>
      <c r="F543" s="20"/>
    </row>
    <row r="544" spans="2:6" ht="17.25" customHeight="1">
      <c r="B544" s="15"/>
      <c r="C544" s="15"/>
      <c r="D544" s="15"/>
      <c r="E544" s="15"/>
      <c r="F544" s="20"/>
    </row>
    <row r="545" spans="2:6" ht="17.25" customHeight="1">
      <c r="B545" s="15"/>
      <c r="C545" s="15"/>
      <c r="D545" s="15"/>
      <c r="E545" s="15"/>
      <c r="F545" s="20"/>
    </row>
    <row r="546" spans="2:6" ht="17.25" customHeight="1">
      <c r="B546" s="15"/>
      <c r="C546" s="15"/>
      <c r="D546" s="15"/>
      <c r="E546" s="15"/>
      <c r="F546" s="20"/>
    </row>
    <row r="547" spans="2:6" ht="17.25" customHeight="1">
      <c r="B547" s="15"/>
      <c r="C547" s="15"/>
      <c r="D547" s="15"/>
      <c r="E547" s="15"/>
      <c r="F547" s="20"/>
    </row>
    <row r="548" spans="2:6" ht="17.25" customHeight="1">
      <c r="B548" s="15"/>
      <c r="C548" s="15"/>
      <c r="D548" s="15"/>
      <c r="E548" s="15"/>
      <c r="F548" s="20"/>
    </row>
    <row r="549" spans="2:6" ht="17.25" customHeight="1">
      <c r="B549" s="15"/>
      <c r="C549" s="15"/>
      <c r="D549" s="15"/>
      <c r="E549" s="15"/>
      <c r="F549" s="20"/>
    </row>
    <row r="550" spans="2:6" ht="17.25" customHeight="1">
      <c r="B550" s="15"/>
      <c r="C550" s="15"/>
      <c r="D550" s="15"/>
      <c r="E550" s="15"/>
      <c r="F550" s="20"/>
    </row>
    <row r="551" spans="2:6" ht="17.25" customHeight="1">
      <c r="B551" s="15"/>
      <c r="C551" s="15"/>
      <c r="D551" s="15"/>
      <c r="E551" s="15"/>
      <c r="F551" s="20"/>
    </row>
    <row r="552" spans="2:6" ht="17.25" customHeight="1">
      <c r="B552" s="15"/>
      <c r="C552" s="15"/>
      <c r="D552" s="15"/>
      <c r="E552" s="15"/>
      <c r="F552" s="20"/>
    </row>
    <row r="553" spans="2:6" ht="17.25" customHeight="1">
      <c r="B553" s="15"/>
      <c r="C553" s="15"/>
      <c r="D553" s="15"/>
      <c r="E553" s="15"/>
      <c r="F553" s="20"/>
    </row>
    <row r="554" spans="2:6" ht="17.25" customHeight="1">
      <c r="B554" s="15"/>
      <c r="C554" s="15"/>
      <c r="D554" s="15"/>
      <c r="E554" s="15"/>
      <c r="F554" s="20"/>
    </row>
    <row r="555" spans="2:6" ht="17.25" customHeight="1">
      <c r="B555" s="15"/>
      <c r="C555" s="15"/>
      <c r="D555" s="15"/>
      <c r="E555" s="15"/>
      <c r="F555" s="20"/>
    </row>
    <row r="556" spans="2:6" ht="17.25" customHeight="1">
      <c r="B556" s="15"/>
      <c r="C556" s="15"/>
      <c r="D556" s="15"/>
      <c r="E556" s="15"/>
      <c r="F556" s="20"/>
    </row>
    <row r="557" spans="2:6" ht="17.25" customHeight="1">
      <c r="B557" s="15"/>
      <c r="C557" s="15"/>
      <c r="D557" s="15"/>
      <c r="E557" s="15"/>
      <c r="F557" s="20"/>
    </row>
    <row r="558" spans="2:6" ht="17.25" customHeight="1">
      <c r="B558" s="15"/>
      <c r="C558" s="15"/>
      <c r="D558" s="15"/>
      <c r="E558" s="15"/>
      <c r="F558" s="20"/>
    </row>
    <row r="559" spans="2:6" ht="17.25" customHeight="1">
      <c r="B559" s="15"/>
      <c r="C559" s="15"/>
      <c r="D559" s="15"/>
      <c r="E559" s="15"/>
      <c r="F559" s="20"/>
    </row>
    <row r="560" spans="2:6" ht="17.25" customHeight="1">
      <c r="B560" s="15"/>
      <c r="C560" s="15"/>
      <c r="D560" s="15"/>
      <c r="E560" s="15"/>
      <c r="F560" s="20"/>
    </row>
    <row r="561" spans="2:6" ht="17.25" customHeight="1">
      <c r="B561" s="15"/>
      <c r="C561" s="15"/>
      <c r="D561" s="15"/>
      <c r="E561" s="15"/>
      <c r="F561" s="20"/>
    </row>
    <row r="562" spans="2:6" ht="17.25" customHeight="1">
      <c r="B562" s="15"/>
      <c r="C562" s="15"/>
      <c r="D562" s="15"/>
      <c r="E562" s="15"/>
      <c r="F562" s="20"/>
    </row>
    <row r="563" spans="2:6" ht="17.25" customHeight="1">
      <c r="B563" s="15"/>
      <c r="C563" s="15"/>
      <c r="D563" s="15"/>
      <c r="E563" s="15"/>
      <c r="F563" s="20"/>
    </row>
    <row r="564" spans="2:6" ht="17.25" customHeight="1">
      <c r="B564" s="15"/>
      <c r="C564" s="15"/>
      <c r="D564" s="15"/>
      <c r="E564" s="15"/>
      <c r="F564" s="20"/>
    </row>
    <row r="565" spans="2:6" ht="17.25" customHeight="1">
      <c r="B565" s="15"/>
      <c r="C565" s="15"/>
      <c r="D565" s="15"/>
      <c r="E565" s="15"/>
      <c r="F565" s="20"/>
    </row>
    <row r="566" spans="2:6" ht="17.25" customHeight="1">
      <c r="B566" s="15"/>
      <c r="C566" s="15"/>
      <c r="D566" s="15"/>
      <c r="E566" s="15"/>
      <c r="F566" s="20"/>
    </row>
    <row r="567" spans="2:6" ht="17.25" customHeight="1">
      <c r="B567" s="15"/>
      <c r="C567" s="15"/>
      <c r="D567" s="15"/>
      <c r="E567" s="15"/>
      <c r="F567" s="20"/>
    </row>
    <row r="568" spans="2:6" ht="17.25" customHeight="1">
      <c r="B568" s="15"/>
      <c r="C568" s="15"/>
      <c r="D568" s="15"/>
      <c r="E568" s="15"/>
      <c r="F568" s="20"/>
    </row>
    <row r="569" spans="2:6" ht="17.25" customHeight="1">
      <c r="B569" s="15"/>
      <c r="C569" s="15"/>
      <c r="D569" s="15"/>
      <c r="E569" s="15"/>
      <c r="F569" s="20"/>
    </row>
    <row r="570" spans="2:6" ht="17.25" customHeight="1">
      <c r="B570" s="15"/>
      <c r="C570" s="15"/>
      <c r="D570" s="15"/>
      <c r="E570" s="15"/>
      <c r="F570" s="20"/>
    </row>
    <row r="571" spans="2:6" ht="17.25" customHeight="1">
      <c r="B571" s="15"/>
      <c r="C571" s="15"/>
      <c r="D571" s="15"/>
      <c r="E571" s="15"/>
      <c r="F571" s="20"/>
    </row>
    <row r="572" spans="2:6" ht="17.25" customHeight="1">
      <c r="B572" s="15"/>
      <c r="C572" s="15"/>
      <c r="D572" s="15"/>
      <c r="E572" s="15"/>
      <c r="F572" s="20"/>
    </row>
    <row r="573" spans="2:6" ht="17.25" customHeight="1">
      <c r="B573" s="15"/>
      <c r="C573" s="15"/>
      <c r="D573" s="15"/>
      <c r="E573" s="15"/>
      <c r="F573" s="20"/>
    </row>
    <row r="574" spans="2:6" ht="17.25" customHeight="1">
      <c r="B574" s="15"/>
      <c r="C574" s="15"/>
      <c r="D574" s="15"/>
      <c r="E574" s="15"/>
      <c r="F574" s="20"/>
    </row>
    <row r="575" spans="2:6" ht="17.25" customHeight="1">
      <c r="B575" s="15"/>
      <c r="C575" s="15"/>
      <c r="D575" s="15"/>
      <c r="E575" s="15"/>
      <c r="F575" s="20"/>
    </row>
    <row r="576" spans="2:6" ht="17.25" customHeight="1">
      <c r="B576" s="15"/>
      <c r="C576" s="15"/>
      <c r="D576" s="15"/>
      <c r="E576" s="15"/>
      <c r="F576" s="20"/>
    </row>
    <row r="577" spans="2:6" ht="17.25" customHeight="1">
      <c r="B577" s="15"/>
      <c r="C577" s="15"/>
      <c r="D577" s="15"/>
      <c r="E577" s="15"/>
      <c r="F577" s="20"/>
    </row>
    <row r="578" spans="2:6" ht="17.25" customHeight="1">
      <c r="B578" s="15"/>
      <c r="C578" s="15"/>
      <c r="D578" s="15"/>
      <c r="E578" s="15"/>
      <c r="F578" s="20"/>
    </row>
    <row r="579" spans="2:6" ht="17.25" customHeight="1">
      <c r="B579" s="15"/>
      <c r="C579" s="15"/>
      <c r="D579" s="15"/>
      <c r="E579" s="15"/>
      <c r="F579" s="20"/>
    </row>
    <row r="580" spans="2:6" ht="17.25" customHeight="1">
      <c r="B580" s="15"/>
      <c r="C580" s="15"/>
      <c r="D580" s="15"/>
      <c r="E580" s="15"/>
      <c r="F580" s="20"/>
    </row>
    <row r="581" spans="2:6" ht="17.25" customHeight="1">
      <c r="B581" s="15"/>
      <c r="C581" s="15"/>
      <c r="D581" s="15"/>
      <c r="E581" s="15"/>
      <c r="F581" s="20"/>
    </row>
    <row r="582" spans="2:6" ht="17.25" customHeight="1">
      <c r="B582" s="15"/>
      <c r="C582" s="15"/>
      <c r="D582" s="15"/>
      <c r="E582" s="15"/>
      <c r="F582" s="20"/>
    </row>
    <row r="583" spans="2:6" ht="17.25" customHeight="1">
      <c r="B583" s="15"/>
      <c r="C583" s="15"/>
      <c r="D583" s="15"/>
      <c r="E583" s="15"/>
      <c r="F583" s="20"/>
    </row>
    <row r="584" spans="2:6" ht="17.25" customHeight="1">
      <c r="B584" s="15"/>
      <c r="C584" s="15"/>
      <c r="D584" s="15"/>
      <c r="E584" s="15"/>
      <c r="F584" s="20"/>
    </row>
    <row r="585" spans="2:6" ht="17.25" customHeight="1">
      <c r="B585" s="15"/>
      <c r="C585" s="15"/>
      <c r="D585" s="15"/>
      <c r="E585" s="15"/>
      <c r="F585" s="20"/>
    </row>
    <row r="586" spans="2:6" ht="17.25" customHeight="1">
      <c r="B586" s="15"/>
      <c r="C586" s="15"/>
      <c r="D586" s="15"/>
      <c r="E586" s="15"/>
      <c r="F586" s="20"/>
    </row>
    <row r="587" spans="2:6" ht="17.25" customHeight="1">
      <c r="B587" s="15"/>
      <c r="C587" s="15"/>
      <c r="D587" s="15"/>
      <c r="E587" s="15"/>
      <c r="F587" s="20"/>
    </row>
    <row r="588" spans="2:6" ht="17.25" customHeight="1">
      <c r="B588" s="15"/>
      <c r="C588" s="15"/>
      <c r="D588" s="15"/>
      <c r="E588" s="15"/>
      <c r="F588" s="20"/>
    </row>
    <row r="589" spans="2:6" ht="17.25" customHeight="1">
      <c r="B589" s="15"/>
      <c r="C589" s="15"/>
      <c r="D589" s="15"/>
      <c r="E589" s="15"/>
      <c r="F589" s="20"/>
    </row>
    <row r="590" spans="2:6" ht="17.25" customHeight="1">
      <c r="B590" s="15"/>
      <c r="C590" s="15"/>
      <c r="D590" s="15"/>
      <c r="E590" s="15"/>
      <c r="F590" s="20"/>
    </row>
    <row r="591" spans="2:6" ht="17.25" customHeight="1">
      <c r="B591" s="15"/>
      <c r="C591" s="15"/>
      <c r="D591" s="15"/>
      <c r="E591" s="15"/>
      <c r="F591" s="20"/>
    </row>
    <row r="592" spans="2:6" ht="17.25" customHeight="1">
      <c r="B592" s="15"/>
      <c r="C592" s="15"/>
      <c r="D592" s="15"/>
      <c r="E592" s="15"/>
      <c r="F592" s="20"/>
    </row>
    <row r="593" spans="2:6" ht="17.25" customHeight="1">
      <c r="B593" s="15"/>
      <c r="C593" s="15"/>
      <c r="D593" s="15"/>
      <c r="E593" s="15"/>
      <c r="F593" s="20"/>
    </row>
    <row r="594" spans="2:6" ht="17.25" customHeight="1">
      <c r="B594" s="15"/>
      <c r="C594" s="15"/>
      <c r="D594" s="15"/>
      <c r="E594" s="15"/>
      <c r="F594" s="20"/>
    </row>
    <row r="595" spans="2:6" ht="17.25" customHeight="1">
      <c r="B595" s="15"/>
      <c r="C595" s="15"/>
      <c r="D595" s="15"/>
      <c r="E595" s="15"/>
      <c r="F595" s="20"/>
    </row>
    <row r="596" spans="2:6" ht="17.25" customHeight="1">
      <c r="B596" s="15"/>
      <c r="C596" s="15"/>
      <c r="D596" s="15"/>
      <c r="E596" s="15"/>
      <c r="F596" s="20"/>
    </row>
    <row r="597" spans="2:6" ht="17.25" customHeight="1">
      <c r="B597" s="15"/>
      <c r="C597" s="15"/>
      <c r="D597" s="15"/>
      <c r="E597" s="15"/>
      <c r="F597" s="20"/>
    </row>
    <row r="598" spans="2:6" ht="17.25" customHeight="1">
      <c r="B598" s="15"/>
      <c r="C598" s="15"/>
      <c r="D598" s="15"/>
      <c r="E598" s="15"/>
      <c r="F598" s="20"/>
    </row>
    <row r="599" spans="2:6" ht="17.25" customHeight="1">
      <c r="B599" s="15"/>
      <c r="C599" s="15"/>
      <c r="D599" s="15"/>
      <c r="E599" s="15"/>
      <c r="F599" s="20"/>
    </row>
    <row r="600" spans="2:6" ht="17.25" customHeight="1">
      <c r="B600" s="15"/>
      <c r="C600" s="15"/>
      <c r="D600" s="15"/>
      <c r="E600" s="15"/>
      <c r="F600" s="20"/>
    </row>
    <row r="601" spans="2:6" ht="17.25" customHeight="1">
      <c r="B601" s="15"/>
      <c r="C601" s="15"/>
      <c r="D601" s="15"/>
      <c r="E601" s="15"/>
      <c r="F601" s="20"/>
    </row>
    <row r="602" spans="2:6" ht="17.25" customHeight="1">
      <c r="B602" s="15"/>
      <c r="C602" s="15"/>
      <c r="D602" s="15"/>
      <c r="E602" s="15"/>
      <c r="F602" s="20"/>
    </row>
    <row r="603" spans="2:6" ht="17.25" customHeight="1">
      <c r="B603" s="15"/>
      <c r="C603" s="15"/>
      <c r="D603" s="15"/>
      <c r="E603" s="15"/>
      <c r="F603" s="20"/>
    </row>
    <row r="604" spans="2:6" ht="17.25" customHeight="1">
      <c r="B604" s="15"/>
      <c r="C604" s="15"/>
      <c r="D604" s="15"/>
      <c r="E604" s="15"/>
      <c r="F604" s="20"/>
    </row>
    <row r="605" spans="2:6" ht="17.25" customHeight="1">
      <c r="B605" s="15"/>
      <c r="C605" s="15"/>
      <c r="D605" s="15"/>
      <c r="E605" s="15"/>
      <c r="F605" s="20"/>
    </row>
    <row r="606" spans="2:6" ht="17.25" customHeight="1">
      <c r="B606" s="15"/>
      <c r="C606" s="15"/>
      <c r="D606" s="15"/>
      <c r="E606" s="15"/>
      <c r="F606" s="20"/>
    </row>
    <row r="607" spans="2:6" ht="17.25" customHeight="1">
      <c r="B607" s="15"/>
      <c r="C607" s="15"/>
      <c r="D607" s="15"/>
      <c r="E607" s="15"/>
      <c r="F607" s="20"/>
    </row>
    <row r="608" spans="2:6" ht="17.25" customHeight="1">
      <c r="B608" s="15"/>
      <c r="C608" s="15"/>
      <c r="D608" s="15"/>
      <c r="E608" s="15"/>
      <c r="F608" s="20"/>
    </row>
    <row r="609" spans="2:6" ht="17.25" customHeight="1">
      <c r="B609" s="15"/>
      <c r="C609" s="15"/>
      <c r="D609" s="15"/>
      <c r="E609" s="15"/>
      <c r="F609" s="20"/>
    </row>
    <row r="610" spans="2:6" ht="17.25" customHeight="1">
      <c r="B610" s="15"/>
      <c r="C610" s="15"/>
      <c r="D610" s="15"/>
      <c r="E610" s="15"/>
      <c r="F610" s="20"/>
    </row>
    <row r="611" spans="2:6" ht="17.25" customHeight="1">
      <c r="B611" s="15"/>
      <c r="C611" s="15"/>
      <c r="D611" s="15"/>
      <c r="E611" s="15"/>
      <c r="F611" s="20"/>
    </row>
    <row r="612" spans="2:6" ht="17.25" customHeight="1">
      <c r="B612" s="15"/>
      <c r="C612" s="15"/>
      <c r="D612" s="15"/>
      <c r="E612" s="15"/>
      <c r="F612" s="20"/>
    </row>
    <row r="613" spans="2:6" ht="17.25" customHeight="1">
      <c r="B613" s="15"/>
      <c r="C613" s="15"/>
      <c r="D613" s="15"/>
      <c r="E613" s="15"/>
      <c r="F613" s="20"/>
    </row>
    <row r="614" spans="2:6" ht="17.25" customHeight="1">
      <c r="B614" s="15"/>
      <c r="C614" s="15"/>
      <c r="D614" s="15"/>
      <c r="E614" s="15"/>
      <c r="F614" s="20"/>
    </row>
    <row r="615" spans="2:6" ht="17.25" customHeight="1">
      <c r="B615" s="15"/>
      <c r="C615" s="15"/>
      <c r="D615" s="15"/>
      <c r="E615" s="15"/>
      <c r="F615" s="20"/>
    </row>
    <row r="616" spans="2:6" ht="17.25" customHeight="1">
      <c r="B616" s="15"/>
      <c r="C616" s="15"/>
      <c r="D616" s="15"/>
      <c r="E616" s="15"/>
      <c r="F616" s="20"/>
    </row>
    <row r="617" spans="2:6" ht="17.25" customHeight="1">
      <c r="B617" s="15"/>
      <c r="C617" s="15"/>
      <c r="D617" s="15"/>
      <c r="E617" s="15"/>
      <c r="F617" s="20"/>
    </row>
    <row r="618" spans="2:6" ht="17.25" customHeight="1">
      <c r="B618" s="15"/>
      <c r="C618" s="15"/>
      <c r="D618" s="15"/>
      <c r="E618" s="15"/>
      <c r="F618" s="20"/>
    </row>
    <row r="619" spans="2:6" ht="17.25" customHeight="1">
      <c r="B619" s="15"/>
      <c r="C619" s="15"/>
      <c r="D619" s="15"/>
      <c r="E619" s="15"/>
      <c r="F619" s="20"/>
    </row>
    <row r="620" spans="2:6" ht="17.25" customHeight="1">
      <c r="B620" s="15"/>
      <c r="C620" s="15"/>
      <c r="D620" s="15"/>
      <c r="E620" s="15"/>
      <c r="F620" s="20"/>
    </row>
    <row r="621" spans="2:6" ht="17.25" customHeight="1">
      <c r="B621" s="15"/>
      <c r="C621" s="15"/>
      <c r="D621" s="15"/>
      <c r="E621" s="15"/>
      <c r="F621" s="20"/>
    </row>
    <row r="622" spans="2:6" ht="17.25" customHeight="1">
      <c r="B622" s="15"/>
      <c r="C622" s="15"/>
      <c r="D622" s="15"/>
      <c r="E622" s="15"/>
      <c r="F622" s="20"/>
    </row>
    <row r="623" spans="2:6" ht="17.25" customHeight="1">
      <c r="B623" s="15"/>
      <c r="C623" s="15"/>
      <c r="D623" s="15"/>
      <c r="E623" s="15"/>
      <c r="F623" s="20"/>
    </row>
    <row r="624" spans="2:6" ht="17.25" customHeight="1">
      <c r="B624" s="15"/>
      <c r="C624" s="15"/>
      <c r="D624" s="15"/>
      <c r="E624" s="15"/>
      <c r="F624" s="20"/>
    </row>
    <row r="625" spans="2:6" ht="17.25" customHeight="1">
      <c r="B625" s="15"/>
      <c r="C625" s="15"/>
      <c r="D625" s="15"/>
      <c r="E625" s="15"/>
      <c r="F625" s="20"/>
    </row>
    <row r="626" spans="2:6" ht="17.25" customHeight="1">
      <c r="B626" s="15"/>
      <c r="C626" s="15"/>
      <c r="D626" s="15"/>
      <c r="E626" s="15"/>
      <c r="F626" s="20"/>
    </row>
    <row r="627" spans="2:6" ht="17.25" customHeight="1">
      <c r="B627" s="15"/>
      <c r="C627" s="15"/>
      <c r="D627" s="15"/>
      <c r="E627" s="15"/>
      <c r="F627" s="20"/>
    </row>
    <row r="628" spans="2:6" ht="17.25" customHeight="1">
      <c r="B628" s="15"/>
      <c r="C628" s="15"/>
      <c r="D628" s="15"/>
      <c r="E628" s="15"/>
      <c r="F628" s="20"/>
    </row>
    <row r="629" spans="2:6" ht="17.25" customHeight="1">
      <c r="B629" s="15"/>
      <c r="C629" s="15"/>
      <c r="D629" s="15"/>
      <c r="E629" s="15"/>
      <c r="F629" s="20"/>
    </row>
    <row r="630" spans="2:6" ht="17.25" customHeight="1">
      <c r="B630" s="15"/>
      <c r="C630" s="15"/>
      <c r="D630" s="15"/>
      <c r="E630" s="15"/>
      <c r="F630" s="20"/>
    </row>
    <row r="631" spans="2:6" ht="17.25" customHeight="1">
      <c r="B631" s="15"/>
      <c r="C631" s="15"/>
      <c r="D631" s="15"/>
      <c r="E631" s="15"/>
      <c r="F631" s="20"/>
    </row>
    <row r="632" spans="2:6" ht="17.25" customHeight="1">
      <c r="B632" s="15"/>
      <c r="C632" s="15"/>
      <c r="D632" s="15"/>
      <c r="E632" s="15"/>
      <c r="F632" s="20"/>
    </row>
    <row r="633" spans="2:6" ht="17.25" customHeight="1">
      <c r="B633" s="15"/>
      <c r="C633" s="15"/>
      <c r="D633" s="15"/>
      <c r="E633" s="15"/>
      <c r="F633" s="20"/>
    </row>
    <row r="634" spans="2:6" ht="17.25" customHeight="1">
      <c r="B634" s="15"/>
      <c r="C634" s="15"/>
      <c r="D634" s="15"/>
      <c r="E634" s="15"/>
      <c r="F634" s="20"/>
    </row>
    <row r="635" spans="2:6" ht="17.25" customHeight="1">
      <c r="B635" s="15"/>
      <c r="C635" s="15"/>
      <c r="D635" s="15"/>
      <c r="E635" s="15"/>
      <c r="F635" s="20"/>
    </row>
    <row r="636" spans="2:6" ht="17.25" customHeight="1">
      <c r="B636" s="15"/>
      <c r="C636" s="15"/>
      <c r="D636" s="15"/>
      <c r="E636" s="15"/>
      <c r="F636" s="20"/>
    </row>
    <row r="637" spans="2:6" ht="17.25" customHeight="1">
      <c r="B637" s="15"/>
      <c r="C637" s="15"/>
      <c r="D637" s="15"/>
      <c r="E637" s="15"/>
      <c r="F637" s="20"/>
    </row>
    <row r="638" spans="2:6" ht="17.25" customHeight="1">
      <c r="B638" s="15"/>
      <c r="C638" s="15"/>
      <c r="D638" s="15"/>
      <c r="E638" s="15"/>
      <c r="F638" s="20"/>
    </row>
    <row r="639" spans="2:6" ht="17.25" customHeight="1">
      <c r="B639" s="15"/>
      <c r="C639" s="15"/>
      <c r="D639" s="15"/>
      <c r="E639" s="15"/>
      <c r="F639" s="20"/>
    </row>
    <row r="640" spans="2:6" ht="17.25" customHeight="1">
      <c r="B640" s="15"/>
      <c r="C640" s="15"/>
      <c r="D640" s="15"/>
      <c r="E640" s="15"/>
      <c r="F640" s="20"/>
    </row>
    <row r="641" spans="2:6" ht="17.25" customHeight="1">
      <c r="B641" s="15"/>
      <c r="C641" s="15"/>
      <c r="D641" s="15"/>
      <c r="E641" s="15"/>
      <c r="F641" s="20"/>
    </row>
    <row r="642" spans="2:6" ht="17.25" customHeight="1">
      <c r="B642" s="15"/>
      <c r="C642" s="15"/>
      <c r="D642" s="15"/>
      <c r="E642" s="15"/>
      <c r="F642" s="20"/>
    </row>
    <row r="643" spans="2:6" ht="17.25" customHeight="1">
      <c r="B643" s="15"/>
      <c r="C643" s="15"/>
      <c r="D643" s="15"/>
      <c r="E643" s="15"/>
      <c r="F643" s="20"/>
    </row>
    <row r="644" spans="2:6" ht="17.25" customHeight="1">
      <c r="B644" s="15"/>
      <c r="C644" s="15"/>
      <c r="D644" s="15"/>
      <c r="E644" s="15"/>
      <c r="F644" s="20"/>
    </row>
    <row r="645" spans="2:6" ht="17.25" customHeight="1">
      <c r="B645" s="15"/>
      <c r="C645" s="15"/>
      <c r="D645" s="15"/>
      <c r="E645" s="15"/>
      <c r="F645" s="20"/>
    </row>
    <row r="646" spans="2:6" ht="17.25" customHeight="1">
      <c r="B646" s="15"/>
      <c r="C646" s="15"/>
      <c r="D646" s="15"/>
      <c r="E646" s="15"/>
      <c r="F646" s="20"/>
    </row>
    <row r="647" spans="2:6" ht="17.25" customHeight="1">
      <c r="B647" s="15"/>
      <c r="C647" s="15"/>
      <c r="D647" s="15"/>
      <c r="E647" s="15"/>
      <c r="F647" s="20"/>
    </row>
    <row r="648" spans="2:6" ht="17.25" customHeight="1">
      <c r="B648" s="15"/>
      <c r="C648" s="15"/>
      <c r="D648" s="15"/>
      <c r="E648" s="15"/>
      <c r="F648" s="20"/>
    </row>
    <row r="649" spans="2:6" ht="17.25" customHeight="1">
      <c r="B649" s="15"/>
      <c r="C649" s="15"/>
      <c r="D649" s="15"/>
      <c r="E649" s="15"/>
      <c r="F649" s="20"/>
    </row>
    <row r="650" spans="2:6" ht="17.25" customHeight="1">
      <c r="B650" s="15"/>
      <c r="C650" s="15"/>
      <c r="D650" s="15"/>
      <c r="E650" s="15"/>
      <c r="F650" s="20"/>
    </row>
    <row r="651" spans="2:6" ht="17.25" customHeight="1">
      <c r="B651" s="15"/>
      <c r="C651" s="15"/>
      <c r="D651" s="15"/>
      <c r="E651" s="15"/>
      <c r="F651" s="20"/>
    </row>
    <row r="652" spans="2:6" ht="17.25" customHeight="1">
      <c r="B652" s="15"/>
      <c r="C652" s="15"/>
      <c r="D652" s="15"/>
      <c r="E652" s="15"/>
      <c r="F652" s="20"/>
    </row>
    <row r="653" spans="2:6" ht="17.25" customHeight="1">
      <c r="B653" s="15"/>
      <c r="C653" s="15"/>
      <c r="D653" s="15"/>
      <c r="E653" s="15"/>
      <c r="F653" s="20"/>
    </row>
    <row r="654" spans="2:6" ht="17.25" customHeight="1">
      <c r="B654" s="15"/>
      <c r="C654" s="15"/>
      <c r="D654" s="15"/>
      <c r="E654" s="15"/>
      <c r="F654" s="20"/>
    </row>
    <row r="655" spans="2:6" ht="17.25" customHeight="1">
      <c r="B655" s="15"/>
      <c r="C655" s="15"/>
      <c r="D655" s="15"/>
      <c r="E655" s="15"/>
      <c r="F655" s="20"/>
    </row>
    <row r="656" spans="2:6" ht="17.25" customHeight="1">
      <c r="B656" s="15"/>
      <c r="C656" s="15"/>
      <c r="D656" s="15"/>
      <c r="E656" s="15"/>
      <c r="F656" s="20"/>
    </row>
    <row r="657" spans="2:6" ht="17.25" customHeight="1">
      <c r="B657" s="15"/>
      <c r="C657" s="15"/>
      <c r="D657" s="15"/>
      <c r="E657" s="15"/>
      <c r="F657" s="20"/>
    </row>
    <row r="658" spans="2:6" ht="17.25" customHeight="1">
      <c r="B658" s="15"/>
      <c r="C658" s="15"/>
      <c r="D658" s="15"/>
      <c r="E658" s="15"/>
      <c r="F658" s="20"/>
    </row>
    <row r="659" spans="2:6" ht="17.25" customHeight="1">
      <c r="B659" s="15"/>
      <c r="C659" s="15"/>
      <c r="D659" s="15"/>
      <c r="E659" s="15"/>
      <c r="F659" s="20"/>
    </row>
    <row r="660" spans="2:6" ht="17.25" customHeight="1">
      <c r="B660" s="15"/>
      <c r="C660" s="15"/>
      <c r="D660" s="15"/>
      <c r="E660" s="15"/>
      <c r="F660" s="20"/>
    </row>
    <row r="661" spans="2:6" ht="17.25" customHeight="1">
      <c r="B661" s="15"/>
      <c r="C661" s="15"/>
      <c r="D661" s="15"/>
      <c r="E661" s="15"/>
      <c r="F661" s="20"/>
    </row>
    <row r="662" spans="2:6" ht="17.25" customHeight="1">
      <c r="B662" s="15"/>
      <c r="C662" s="15"/>
      <c r="D662" s="15"/>
      <c r="E662" s="15"/>
      <c r="F662" s="20"/>
    </row>
    <row r="663" spans="2:6" ht="17.25" customHeight="1">
      <c r="B663" s="15"/>
      <c r="C663" s="15"/>
      <c r="D663" s="15"/>
      <c r="E663" s="15"/>
      <c r="F663" s="20"/>
    </row>
    <row r="664" spans="2:6" ht="17.25" customHeight="1">
      <c r="B664" s="15"/>
      <c r="C664" s="15"/>
      <c r="D664" s="15"/>
      <c r="E664" s="15"/>
      <c r="F664" s="20"/>
    </row>
    <row r="665" spans="2:6" ht="17.25" customHeight="1">
      <c r="B665" s="15"/>
      <c r="C665" s="15"/>
      <c r="D665" s="15"/>
      <c r="E665" s="15"/>
      <c r="F665" s="20"/>
    </row>
    <row r="666" spans="2:6" ht="17.25" customHeight="1">
      <c r="B666" s="15"/>
      <c r="C666" s="15"/>
      <c r="D666" s="15"/>
      <c r="E666" s="15"/>
      <c r="F666" s="20"/>
    </row>
    <row r="667" spans="2:6" ht="17.25" customHeight="1">
      <c r="B667" s="15"/>
      <c r="C667" s="15"/>
      <c r="D667" s="15"/>
      <c r="E667" s="15"/>
      <c r="F667" s="20"/>
    </row>
    <row r="668" spans="2:6" ht="17.25" customHeight="1">
      <c r="B668" s="15"/>
      <c r="C668" s="15"/>
      <c r="D668" s="15"/>
      <c r="E668" s="15"/>
      <c r="F668" s="20"/>
    </row>
    <row r="669" spans="2:6" ht="17.25" customHeight="1">
      <c r="B669" s="15"/>
      <c r="C669" s="15"/>
      <c r="D669" s="15"/>
      <c r="E669" s="15"/>
      <c r="F669" s="20"/>
    </row>
    <row r="670" spans="2:6" ht="17.25" customHeight="1">
      <c r="B670" s="15"/>
      <c r="C670" s="15"/>
      <c r="D670" s="15"/>
      <c r="E670" s="15"/>
      <c r="F670" s="20"/>
    </row>
    <row r="671" spans="2:6" ht="17.25" customHeight="1">
      <c r="B671" s="15"/>
      <c r="C671" s="15"/>
      <c r="D671" s="15"/>
      <c r="E671" s="15"/>
      <c r="F671" s="20"/>
    </row>
    <row r="672" spans="2:6" ht="17.25" customHeight="1">
      <c r="B672" s="15"/>
      <c r="C672" s="15"/>
      <c r="D672" s="15"/>
      <c r="E672" s="15"/>
      <c r="F672" s="20"/>
    </row>
    <row r="673" spans="2:6" ht="17.25" customHeight="1">
      <c r="B673" s="15"/>
      <c r="C673" s="15"/>
      <c r="D673" s="15"/>
      <c r="E673" s="15"/>
      <c r="F673" s="20"/>
    </row>
    <row r="674" spans="2:6" ht="17.25" customHeight="1">
      <c r="B674" s="15"/>
      <c r="C674" s="15"/>
      <c r="D674" s="15"/>
      <c r="E674" s="15"/>
      <c r="F674" s="20"/>
    </row>
    <row r="675" spans="2:6" ht="17.25" customHeight="1">
      <c r="B675" s="15"/>
      <c r="C675" s="15"/>
      <c r="D675" s="15"/>
      <c r="E675" s="15"/>
      <c r="F675" s="20"/>
    </row>
    <row r="676" spans="2:6" ht="17.25" customHeight="1">
      <c r="B676" s="15"/>
      <c r="C676" s="15"/>
      <c r="D676" s="15"/>
      <c r="E676" s="15"/>
      <c r="F676" s="20"/>
    </row>
    <row r="677" spans="2:6" ht="17.25" customHeight="1">
      <c r="B677" s="15"/>
      <c r="C677" s="15"/>
      <c r="D677" s="15"/>
      <c r="E677" s="15"/>
      <c r="F677" s="20"/>
    </row>
    <row r="678" spans="2:6" ht="17.25" customHeight="1">
      <c r="B678" s="15"/>
      <c r="C678" s="15"/>
      <c r="D678" s="15"/>
      <c r="E678" s="15"/>
      <c r="F678" s="20"/>
    </row>
    <row r="679" spans="2:6" ht="17.25" customHeight="1">
      <c r="B679" s="15"/>
      <c r="C679" s="15"/>
      <c r="D679" s="15"/>
      <c r="E679" s="15"/>
      <c r="F679" s="20"/>
    </row>
    <row r="680" spans="2:6" ht="17.25" customHeight="1">
      <c r="B680" s="15"/>
      <c r="C680" s="15"/>
      <c r="D680" s="15"/>
      <c r="E680" s="15"/>
      <c r="F680" s="20"/>
    </row>
    <row r="681" spans="2:6" ht="17.25" customHeight="1">
      <c r="B681" s="15"/>
      <c r="C681" s="15"/>
      <c r="D681" s="15"/>
      <c r="E681" s="15"/>
      <c r="F681" s="20"/>
    </row>
    <row r="682" spans="2:6" ht="17.25" customHeight="1">
      <c r="B682" s="15"/>
      <c r="C682" s="15"/>
      <c r="D682" s="15"/>
      <c r="E682" s="15"/>
      <c r="F682" s="20"/>
    </row>
    <row r="683" spans="2:6" ht="17.25" customHeight="1">
      <c r="B683" s="15"/>
      <c r="C683" s="15"/>
      <c r="D683" s="15"/>
      <c r="E683" s="15"/>
      <c r="F683" s="20"/>
    </row>
    <row r="684" spans="2:6" ht="17.25" customHeight="1">
      <c r="B684" s="15"/>
      <c r="C684" s="15"/>
      <c r="D684" s="15"/>
      <c r="E684" s="15"/>
      <c r="F684" s="20"/>
    </row>
    <row r="685" spans="2:6" ht="17.25" customHeight="1">
      <c r="B685" s="15"/>
      <c r="C685" s="15"/>
      <c r="D685" s="15"/>
      <c r="E685" s="15"/>
      <c r="F685" s="20"/>
    </row>
    <row r="686" spans="2:6" ht="17.25" customHeight="1">
      <c r="B686" s="15"/>
      <c r="C686" s="15"/>
      <c r="D686" s="15"/>
      <c r="E686" s="15"/>
      <c r="F686" s="20"/>
    </row>
    <row r="687" spans="2:6" ht="17.25" customHeight="1">
      <c r="B687" s="15"/>
      <c r="C687" s="15"/>
      <c r="D687" s="15"/>
      <c r="E687" s="15"/>
      <c r="F687" s="20"/>
    </row>
    <row r="688" spans="2:6" ht="17.25" customHeight="1">
      <c r="B688" s="15"/>
      <c r="C688" s="15"/>
      <c r="D688" s="15"/>
      <c r="E688" s="15"/>
      <c r="F688" s="20"/>
    </row>
    <row r="689" spans="2:6" ht="17.25" customHeight="1">
      <c r="B689" s="15"/>
      <c r="C689" s="15"/>
      <c r="D689" s="15"/>
      <c r="E689" s="15"/>
      <c r="F689" s="20"/>
    </row>
    <row r="690" spans="2:6" ht="17.25" customHeight="1">
      <c r="B690" s="15"/>
      <c r="C690" s="15"/>
      <c r="D690" s="15"/>
      <c r="E690" s="15"/>
      <c r="F690" s="20"/>
    </row>
    <row r="691" spans="2:6" ht="17.25" customHeight="1">
      <c r="B691" s="15"/>
      <c r="C691" s="15"/>
      <c r="D691" s="15"/>
      <c r="E691" s="15"/>
      <c r="F691" s="20"/>
    </row>
    <row r="692" spans="2:6" ht="17.25" customHeight="1">
      <c r="B692" s="15"/>
      <c r="C692" s="15"/>
      <c r="D692" s="15"/>
      <c r="E692" s="15"/>
      <c r="F692" s="20"/>
    </row>
    <row r="693" spans="2:6" ht="17.25" customHeight="1">
      <c r="B693" s="15"/>
      <c r="C693" s="15"/>
      <c r="D693" s="15"/>
      <c r="E693" s="15"/>
      <c r="F693" s="20"/>
    </row>
    <row r="694" spans="2:6" ht="17.25" customHeight="1">
      <c r="B694" s="15"/>
      <c r="C694" s="15"/>
      <c r="D694" s="15"/>
      <c r="E694" s="15"/>
      <c r="F694" s="20"/>
    </row>
    <row r="695" spans="2:6" ht="17.25" customHeight="1">
      <c r="B695" s="15"/>
      <c r="C695" s="15"/>
      <c r="D695" s="15"/>
      <c r="E695" s="15"/>
      <c r="F695" s="20"/>
    </row>
    <row r="696" spans="2:6" ht="17.25" customHeight="1">
      <c r="B696" s="15"/>
      <c r="C696" s="15"/>
      <c r="D696" s="15"/>
      <c r="E696" s="15"/>
      <c r="F696" s="20"/>
    </row>
    <row r="697" spans="2:6" ht="17.25" customHeight="1">
      <c r="B697" s="15"/>
      <c r="C697" s="15"/>
      <c r="D697" s="15"/>
      <c r="E697" s="15"/>
      <c r="F697" s="20"/>
    </row>
    <row r="698" spans="2:6" ht="17.25" customHeight="1">
      <c r="B698" s="15"/>
      <c r="C698" s="15"/>
      <c r="D698" s="15"/>
      <c r="E698" s="15"/>
      <c r="F698" s="20"/>
    </row>
    <row r="699" spans="2:6" ht="17.25" customHeight="1">
      <c r="B699" s="15"/>
      <c r="C699" s="15"/>
      <c r="D699" s="15"/>
      <c r="E699" s="15"/>
      <c r="F699" s="20"/>
    </row>
    <row r="700" spans="2:6" ht="17.25" customHeight="1">
      <c r="B700" s="15"/>
      <c r="C700" s="15"/>
      <c r="D700" s="15"/>
      <c r="E700" s="15"/>
      <c r="F700" s="20"/>
    </row>
    <row r="701" spans="2:6" ht="17.25" customHeight="1">
      <c r="B701" s="15"/>
      <c r="C701" s="15"/>
      <c r="D701" s="15"/>
      <c r="E701" s="15"/>
      <c r="F701" s="20"/>
    </row>
    <row r="702" spans="2:6" ht="17.25" customHeight="1">
      <c r="B702" s="15"/>
      <c r="C702" s="15"/>
      <c r="D702" s="15"/>
      <c r="E702" s="15"/>
      <c r="F702" s="20"/>
    </row>
    <row r="703" spans="2:6" ht="17.25" customHeight="1">
      <c r="B703" s="15"/>
      <c r="C703" s="15"/>
      <c r="D703" s="15"/>
      <c r="E703" s="15"/>
      <c r="F703" s="20"/>
    </row>
    <row r="704" spans="2:6" ht="17.25" customHeight="1">
      <c r="B704" s="15"/>
      <c r="C704" s="15"/>
      <c r="D704" s="15"/>
      <c r="E704" s="15"/>
      <c r="F704" s="20"/>
    </row>
    <row r="705" spans="2:6" ht="17.25" customHeight="1">
      <c r="B705" s="15"/>
      <c r="C705" s="15"/>
      <c r="D705" s="15"/>
      <c r="E705" s="15"/>
      <c r="F705" s="20"/>
    </row>
    <row r="706" spans="2:6" ht="17.25" customHeight="1">
      <c r="B706" s="15"/>
      <c r="C706" s="15"/>
      <c r="D706" s="15"/>
      <c r="E706" s="15"/>
      <c r="F706" s="20"/>
    </row>
    <row r="707" spans="2:6" ht="17.25" customHeight="1">
      <c r="B707" s="15"/>
      <c r="C707" s="15"/>
      <c r="D707" s="15"/>
      <c r="E707" s="15"/>
      <c r="F707" s="20"/>
    </row>
    <row r="708" spans="2:6" ht="17.25" customHeight="1">
      <c r="B708" s="15"/>
      <c r="C708" s="15"/>
      <c r="D708" s="15"/>
      <c r="E708" s="15"/>
      <c r="F708" s="20"/>
    </row>
    <row r="709" spans="2:6" ht="17.25" customHeight="1">
      <c r="B709" s="15"/>
      <c r="C709" s="15"/>
      <c r="D709" s="15"/>
      <c r="E709" s="15"/>
      <c r="F709" s="20"/>
    </row>
    <row r="710" spans="2:6" ht="17.25" customHeight="1">
      <c r="B710" s="15"/>
      <c r="C710" s="15"/>
      <c r="D710" s="15"/>
      <c r="E710" s="15"/>
      <c r="F710" s="20"/>
    </row>
    <row r="711" spans="2:6" ht="17.25" customHeight="1">
      <c r="B711" s="15"/>
      <c r="C711" s="15"/>
      <c r="D711" s="15"/>
      <c r="E711" s="15"/>
      <c r="F711" s="20"/>
    </row>
    <row r="712" spans="2:6" ht="17.25" customHeight="1">
      <c r="B712" s="15"/>
      <c r="C712" s="15"/>
      <c r="D712" s="15"/>
      <c r="E712" s="15"/>
      <c r="F712" s="20"/>
    </row>
    <row r="713" spans="2:6" ht="17.25" customHeight="1">
      <c r="B713" s="15"/>
      <c r="C713" s="15"/>
      <c r="D713" s="15"/>
      <c r="E713" s="15"/>
      <c r="F713" s="20"/>
    </row>
    <row r="714" spans="2:6" ht="17.25" customHeight="1">
      <c r="B714" s="15"/>
      <c r="C714" s="15"/>
      <c r="D714" s="15"/>
      <c r="E714" s="15"/>
      <c r="F714" s="20"/>
    </row>
    <row r="715" spans="2:6" ht="17.25" customHeight="1">
      <c r="B715" s="15"/>
      <c r="C715" s="15"/>
      <c r="D715" s="15"/>
      <c r="E715" s="15"/>
      <c r="F715" s="20"/>
    </row>
    <row r="716" spans="2:6" ht="17.25" customHeight="1">
      <c r="B716" s="15"/>
      <c r="C716" s="15"/>
      <c r="D716" s="15"/>
      <c r="E716" s="15"/>
      <c r="F716" s="20"/>
    </row>
    <row r="717" spans="2:6" ht="17.25" customHeight="1">
      <c r="B717" s="15"/>
      <c r="C717" s="15"/>
      <c r="D717" s="15"/>
      <c r="E717" s="15"/>
      <c r="F717" s="20"/>
    </row>
    <row r="718" spans="2:6" ht="17.25" customHeight="1">
      <c r="B718" s="15"/>
      <c r="C718" s="15"/>
      <c r="D718" s="15"/>
      <c r="E718" s="15"/>
      <c r="F718" s="20"/>
    </row>
    <row r="719" spans="2:6" ht="17.25" customHeight="1">
      <c r="B719" s="15"/>
      <c r="C719" s="15"/>
      <c r="D719" s="15"/>
      <c r="E719" s="15"/>
      <c r="F719" s="20"/>
    </row>
    <row r="720" spans="2:6" ht="17.25" customHeight="1">
      <c r="B720" s="15"/>
      <c r="C720" s="15"/>
      <c r="D720" s="15"/>
      <c r="E720" s="15"/>
      <c r="F720" s="20"/>
    </row>
    <row r="721" spans="2:6" ht="17.25" customHeight="1">
      <c r="B721" s="15"/>
      <c r="C721" s="15"/>
      <c r="D721" s="15"/>
      <c r="E721" s="15"/>
      <c r="F721" s="20"/>
    </row>
    <row r="722" spans="2:6" ht="17.25" customHeight="1">
      <c r="B722" s="15"/>
      <c r="C722" s="15"/>
      <c r="D722" s="15"/>
      <c r="E722" s="15"/>
      <c r="F722" s="20"/>
    </row>
    <row r="723" spans="2:6" ht="17.25" customHeight="1">
      <c r="B723" s="15"/>
      <c r="C723" s="15"/>
      <c r="D723" s="15"/>
      <c r="E723" s="15"/>
      <c r="F723" s="20"/>
    </row>
    <row r="724" spans="2:6" ht="17.25" customHeight="1">
      <c r="B724" s="15"/>
      <c r="C724" s="15"/>
      <c r="D724" s="15"/>
      <c r="E724" s="15"/>
      <c r="F724" s="20"/>
    </row>
    <row r="725" spans="2:6" ht="17.25" customHeight="1">
      <c r="B725" s="15"/>
      <c r="C725" s="15"/>
      <c r="D725" s="15"/>
      <c r="E725" s="15"/>
      <c r="F725" s="20"/>
    </row>
    <row r="726" spans="2:6" ht="17.25" customHeight="1">
      <c r="B726" s="15"/>
      <c r="C726" s="15"/>
      <c r="D726" s="15"/>
      <c r="E726" s="15"/>
      <c r="F726" s="20"/>
    </row>
    <row r="727" spans="2:6" ht="17.25" customHeight="1">
      <c r="B727" s="15"/>
      <c r="C727" s="15"/>
      <c r="D727" s="15"/>
      <c r="E727" s="15"/>
      <c r="F727" s="20"/>
    </row>
    <row r="728" spans="2:6" ht="17.25" customHeight="1">
      <c r="B728" s="15"/>
      <c r="C728" s="15"/>
      <c r="D728" s="15"/>
      <c r="E728" s="15"/>
      <c r="F728" s="20"/>
    </row>
    <row r="729" spans="2:6" ht="17.25" customHeight="1">
      <c r="B729" s="15"/>
      <c r="C729" s="15"/>
      <c r="D729" s="15"/>
      <c r="E729" s="15"/>
      <c r="F729" s="20"/>
    </row>
    <row r="730" spans="2:6" ht="17.25" customHeight="1">
      <c r="B730" s="15"/>
      <c r="C730" s="15"/>
      <c r="D730" s="15"/>
      <c r="E730" s="15"/>
      <c r="F730" s="20"/>
    </row>
    <row r="731" spans="2:6" ht="17.25" customHeight="1">
      <c r="B731" s="15"/>
      <c r="C731" s="15"/>
      <c r="D731" s="15"/>
      <c r="E731" s="15"/>
      <c r="F731" s="20"/>
    </row>
    <row r="732" spans="2:6" ht="17.25" customHeight="1">
      <c r="B732" s="15"/>
      <c r="C732" s="15"/>
      <c r="D732" s="15"/>
      <c r="E732" s="15"/>
      <c r="F732" s="20"/>
    </row>
    <row r="733" spans="2:6" ht="17.25" customHeight="1">
      <c r="B733" s="15"/>
      <c r="C733" s="15"/>
      <c r="D733" s="15"/>
      <c r="E733" s="15"/>
      <c r="F733" s="20"/>
    </row>
    <row r="734" spans="2:6" ht="17.25" customHeight="1">
      <c r="B734" s="15"/>
      <c r="C734" s="15"/>
      <c r="D734" s="15"/>
      <c r="E734" s="15"/>
      <c r="F734" s="20"/>
    </row>
    <row r="735" spans="2:6" ht="17.25" customHeight="1">
      <c r="B735" s="15"/>
      <c r="C735" s="15"/>
      <c r="D735" s="15"/>
      <c r="E735" s="15"/>
      <c r="F735" s="20"/>
    </row>
    <row r="736" spans="2:6" ht="17.25" customHeight="1">
      <c r="B736" s="15"/>
      <c r="C736" s="15"/>
      <c r="D736" s="15"/>
      <c r="E736" s="15"/>
      <c r="F736" s="20"/>
    </row>
    <row r="737" spans="2:6" ht="17.25" customHeight="1">
      <c r="B737" s="15"/>
      <c r="C737" s="15"/>
      <c r="D737" s="15"/>
      <c r="E737" s="15"/>
      <c r="F737" s="20"/>
    </row>
    <row r="738" spans="2:6" ht="17.25" customHeight="1">
      <c r="B738" s="15"/>
      <c r="C738" s="15"/>
      <c r="D738" s="15"/>
      <c r="E738" s="15"/>
      <c r="F738" s="20"/>
    </row>
    <row r="739" spans="2:6" ht="17.25" customHeight="1">
      <c r="B739" s="15"/>
      <c r="C739" s="15"/>
      <c r="D739" s="15"/>
      <c r="E739" s="15"/>
      <c r="F739" s="20"/>
    </row>
    <row r="740" spans="2:6" ht="17.25" customHeight="1">
      <c r="B740" s="15"/>
      <c r="C740" s="15"/>
      <c r="D740" s="15"/>
      <c r="E740" s="15"/>
      <c r="F740" s="20"/>
    </row>
    <row r="741" spans="2:6" ht="17.25" customHeight="1">
      <c r="B741" s="15"/>
      <c r="C741" s="15"/>
      <c r="D741" s="15"/>
      <c r="E741" s="15"/>
      <c r="F741" s="20"/>
    </row>
    <row r="742" spans="2:6" ht="17.25" customHeight="1">
      <c r="B742" s="15"/>
      <c r="C742" s="15"/>
      <c r="D742" s="15"/>
      <c r="E742" s="15"/>
      <c r="F742" s="20"/>
    </row>
    <row r="743" spans="2:6" ht="17.25" customHeight="1">
      <c r="B743" s="15"/>
      <c r="C743" s="15"/>
      <c r="D743" s="15"/>
      <c r="E743" s="15"/>
      <c r="F743" s="20"/>
    </row>
    <row r="744" spans="2:6" ht="17.25" customHeight="1">
      <c r="B744" s="15"/>
      <c r="C744" s="15"/>
      <c r="D744" s="15"/>
      <c r="E744" s="15"/>
      <c r="F744" s="20"/>
    </row>
    <row r="745" spans="2:6" ht="17.25" customHeight="1">
      <c r="B745" s="15"/>
      <c r="C745" s="15"/>
      <c r="D745" s="15"/>
      <c r="E745" s="15"/>
      <c r="F745" s="20"/>
    </row>
    <row r="746" spans="2:6" ht="17.25" customHeight="1">
      <c r="B746" s="15"/>
      <c r="C746" s="15"/>
      <c r="D746" s="15"/>
      <c r="E746" s="15"/>
      <c r="F746" s="20"/>
    </row>
    <row r="747" spans="2:6" ht="17.25" customHeight="1">
      <c r="B747" s="15"/>
      <c r="C747" s="15"/>
      <c r="D747" s="15"/>
      <c r="E747" s="15"/>
      <c r="F747" s="20"/>
    </row>
    <row r="748" spans="2:6" ht="17.25" customHeight="1">
      <c r="B748" s="15"/>
      <c r="C748" s="15"/>
      <c r="D748" s="15"/>
      <c r="E748" s="15"/>
      <c r="F748" s="20"/>
    </row>
    <row r="749" spans="2:6" ht="17.25" customHeight="1">
      <c r="B749" s="15"/>
      <c r="C749" s="15"/>
      <c r="D749" s="15"/>
      <c r="E749" s="15"/>
      <c r="F749" s="20"/>
    </row>
    <row r="750" spans="2:6" ht="17.25" customHeight="1">
      <c r="B750" s="15"/>
      <c r="C750" s="15"/>
      <c r="D750" s="15"/>
      <c r="E750" s="15"/>
      <c r="F750" s="20"/>
    </row>
    <row r="751" spans="2:6" ht="17.25" customHeight="1">
      <c r="B751" s="15"/>
      <c r="C751" s="15"/>
      <c r="D751" s="15"/>
      <c r="E751" s="15"/>
      <c r="F751" s="20"/>
    </row>
    <row r="752" spans="2:6" ht="17.25" customHeight="1">
      <c r="B752" s="15"/>
      <c r="C752" s="15"/>
      <c r="D752" s="15"/>
      <c r="E752" s="15"/>
      <c r="F752" s="20"/>
    </row>
    <row r="753" spans="2:6" ht="17.25" customHeight="1">
      <c r="B753" s="15"/>
      <c r="C753" s="15"/>
      <c r="D753" s="15"/>
      <c r="E753" s="15"/>
      <c r="F753" s="20"/>
    </row>
    <row r="754" spans="2:6" ht="17.25" customHeight="1">
      <c r="B754" s="15"/>
      <c r="C754" s="15"/>
      <c r="D754" s="15"/>
      <c r="E754" s="15"/>
      <c r="F754" s="20"/>
    </row>
    <row r="755" spans="2:6" ht="17.25" customHeight="1">
      <c r="B755" s="15"/>
      <c r="C755" s="15"/>
      <c r="D755" s="15"/>
      <c r="E755" s="15"/>
      <c r="F755" s="20"/>
    </row>
    <row r="756" spans="2:6" ht="17.25" customHeight="1">
      <c r="B756" s="15"/>
      <c r="C756" s="15"/>
      <c r="D756" s="15"/>
      <c r="E756" s="15"/>
      <c r="F756" s="20"/>
    </row>
    <row r="757" spans="2:6" ht="17.25" customHeight="1">
      <c r="B757" s="15"/>
      <c r="C757" s="15"/>
      <c r="D757" s="15"/>
      <c r="E757" s="15"/>
      <c r="F757" s="20"/>
    </row>
    <row r="758" spans="2:6" ht="17.25" customHeight="1">
      <c r="B758" s="15"/>
      <c r="C758" s="15"/>
      <c r="D758" s="15"/>
      <c r="E758" s="15"/>
      <c r="F758" s="20"/>
    </row>
    <row r="759" spans="2:6" ht="17.25" customHeight="1">
      <c r="B759" s="15"/>
      <c r="C759" s="15"/>
      <c r="D759" s="15"/>
      <c r="E759" s="15"/>
      <c r="F759" s="20"/>
    </row>
    <row r="760" spans="2:6" ht="17.25" customHeight="1">
      <c r="B760" s="15"/>
      <c r="C760" s="15"/>
      <c r="D760" s="15"/>
      <c r="E760" s="15"/>
      <c r="F760" s="20"/>
    </row>
    <row r="761" spans="2:6" ht="17.25" customHeight="1">
      <c r="B761" s="15"/>
      <c r="C761" s="15"/>
      <c r="D761" s="15"/>
      <c r="E761" s="15"/>
      <c r="F761" s="20"/>
    </row>
    <row r="762" spans="2:6" ht="17.25" customHeight="1">
      <c r="B762" s="15"/>
      <c r="C762" s="15"/>
      <c r="D762" s="15"/>
      <c r="E762" s="15"/>
      <c r="F762" s="20"/>
    </row>
    <row r="763" spans="2:6" ht="17.25" customHeight="1">
      <c r="B763" s="15"/>
      <c r="C763" s="15"/>
      <c r="D763" s="15"/>
      <c r="E763" s="15"/>
      <c r="F763" s="20"/>
    </row>
    <row r="764" spans="2:6" ht="17.25" customHeight="1">
      <c r="B764" s="15"/>
      <c r="C764" s="15"/>
      <c r="D764" s="15"/>
      <c r="E764" s="15"/>
      <c r="F764" s="20"/>
    </row>
    <row r="765" spans="2:6" ht="17.25" customHeight="1">
      <c r="B765" s="15"/>
      <c r="C765" s="15"/>
      <c r="D765" s="15"/>
      <c r="E765" s="15"/>
      <c r="F765" s="20"/>
    </row>
    <row r="766" spans="2:6" ht="17.25" customHeight="1">
      <c r="B766" s="15"/>
      <c r="C766" s="15"/>
      <c r="D766" s="15"/>
      <c r="E766" s="15"/>
      <c r="F766" s="20"/>
    </row>
    <row r="767" spans="2:6" ht="17.25" customHeight="1">
      <c r="B767" s="15"/>
      <c r="C767" s="15"/>
      <c r="D767" s="15"/>
      <c r="E767" s="15"/>
      <c r="F767" s="20"/>
    </row>
    <row r="768" spans="2:6" ht="17.25" customHeight="1">
      <c r="B768" s="15"/>
      <c r="C768" s="15"/>
      <c r="D768" s="15"/>
      <c r="E768" s="15"/>
      <c r="F768" s="20"/>
    </row>
    <row r="769" spans="2:6" ht="17.25" customHeight="1">
      <c r="B769" s="15"/>
      <c r="C769" s="15"/>
      <c r="D769" s="15"/>
      <c r="E769" s="15"/>
      <c r="F769" s="20"/>
    </row>
    <row r="770" spans="2:6" ht="17.25" customHeight="1">
      <c r="B770" s="15"/>
      <c r="C770" s="15"/>
      <c r="D770" s="15"/>
      <c r="E770" s="15"/>
      <c r="F770" s="20"/>
    </row>
    <row r="771" spans="2:6" ht="17.25" customHeight="1">
      <c r="B771" s="15"/>
      <c r="C771" s="15"/>
      <c r="D771" s="15"/>
      <c r="E771" s="15"/>
      <c r="F771" s="20"/>
    </row>
    <row r="772" spans="2:6" ht="17.25" customHeight="1">
      <c r="B772" s="15"/>
      <c r="C772" s="15"/>
      <c r="D772" s="15"/>
      <c r="E772" s="15"/>
      <c r="F772" s="20"/>
    </row>
    <row r="773" spans="2:6" ht="17.25" customHeight="1">
      <c r="B773" s="15"/>
      <c r="C773" s="15"/>
      <c r="D773" s="15"/>
      <c r="E773" s="15"/>
      <c r="F773" s="20"/>
    </row>
    <row r="774" spans="2:6" ht="17.25" customHeight="1">
      <c r="B774" s="15"/>
      <c r="C774" s="15"/>
      <c r="D774" s="15"/>
      <c r="E774" s="15"/>
      <c r="F774" s="20"/>
    </row>
    <row r="775" spans="2:6" ht="17.25" customHeight="1">
      <c r="B775" s="15"/>
      <c r="C775" s="15"/>
      <c r="D775" s="15"/>
      <c r="E775" s="15"/>
      <c r="F775" s="20"/>
    </row>
    <row r="776" spans="2:6" ht="17.25" customHeight="1">
      <c r="B776" s="15"/>
      <c r="C776" s="15"/>
      <c r="D776" s="15"/>
      <c r="E776" s="15"/>
      <c r="F776" s="20"/>
    </row>
    <row r="777" spans="2:6" ht="17.25" customHeight="1">
      <c r="B777" s="15"/>
      <c r="C777" s="15"/>
      <c r="D777" s="15"/>
      <c r="E777" s="15"/>
      <c r="F777" s="20"/>
    </row>
    <row r="778" spans="2:6" ht="17.25" customHeight="1">
      <c r="B778" s="15"/>
      <c r="C778" s="15"/>
      <c r="D778" s="15"/>
      <c r="E778" s="15"/>
      <c r="F778" s="20"/>
    </row>
    <row r="779" spans="2:6" ht="17.25" customHeight="1">
      <c r="B779" s="15"/>
      <c r="C779" s="15"/>
      <c r="D779" s="15"/>
      <c r="E779" s="15"/>
      <c r="F779" s="20"/>
    </row>
    <row r="780" spans="2:6" ht="17.25" customHeight="1">
      <c r="B780" s="15"/>
      <c r="C780" s="15"/>
      <c r="D780" s="15"/>
      <c r="E780" s="15"/>
      <c r="F780" s="20"/>
    </row>
    <row r="781" spans="2:6" ht="17.25" customHeight="1">
      <c r="B781" s="15"/>
      <c r="C781" s="15"/>
      <c r="D781" s="15"/>
      <c r="E781" s="15"/>
      <c r="F781" s="20"/>
    </row>
    <row r="782" spans="2:6" ht="17.25" customHeight="1">
      <c r="B782" s="15"/>
      <c r="C782" s="15"/>
      <c r="D782" s="15"/>
      <c r="E782" s="15"/>
      <c r="F782" s="20"/>
    </row>
    <row r="783" spans="2:6" ht="17.25" customHeight="1">
      <c r="B783" s="15"/>
      <c r="C783" s="15"/>
      <c r="D783" s="15"/>
      <c r="E783" s="15"/>
      <c r="F783" s="20"/>
    </row>
    <row r="784" spans="2:6" ht="17.25" customHeight="1">
      <c r="B784" s="15"/>
      <c r="C784" s="15"/>
      <c r="D784" s="15"/>
      <c r="E784" s="15"/>
      <c r="F784" s="20"/>
    </row>
    <row r="785" spans="2:6" ht="17.25" customHeight="1">
      <c r="B785" s="15"/>
      <c r="C785" s="15"/>
      <c r="D785" s="15"/>
      <c r="E785" s="15"/>
      <c r="F785" s="20"/>
    </row>
    <row r="786" spans="2:6" ht="17.25" customHeight="1">
      <c r="B786" s="15"/>
      <c r="C786" s="15"/>
      <c r="D786" s="15"/>
      <c r="E786" s="15"/>
      <c r="F786" s="20"/>
    </row>
    <row r="787" spans="2:6" ht="17.25" customHeight="1">
      <c r="B787" s="15"/>
      <c r="C787" s="15"/>
      <c r="D787" s="15"/>
      <c r="E787" s="15"/>
      <c r="F787" s="20"/>
    </row>
    <row r="788" spans="2:6" ht="17.25" customHeight="1">
      <c r="B788" s="15"/>
      <c r="C788" s="15"/>
      <c r="D788" s="15"/>
      <c r="E788" s="15"/>
      <c r="F788" s="20"/>
    </row>
    <row r="789" spans="2:6" ht="17.25" customHeight="1">
      <c r="B789" s="15"/>
      <c r="C789" s="15"/>
      <c r="D789" s="15"/>
      <c r="E789" s="15"/>
      <c r="F789" s="20"/>
    </row>
    <row r="790" spans="2:6" ht="17.25" customHeight="1">
      <c r="B790" s="15"/>
      <c r="C790" s="15"/>
      <c r="D790" s="15"/>
      <c r="E790" s="15"/>
      <c r="F790" s="20"/>
    </row>
    <row r="791" spans="2:6" ht="17.25" customHeight="1">
      <c r="B791" s="15"/>
      <c r="C791" s="15"/>
      <c r="D791" s="15"/>
      <c r="E791" s="15"/>
      <c r="F791" s="20"/>
    </row>
    <row r="792" spans="2:6" ht="17.25" customHeight="1">
      <c r="B792" s="15"/>
      <c r="C792" s="15"/>
      <c r="D792" s="15"/>
      <c r="E792" s="15"/>
      <c r="F792" s="20"/>
    </row>
    <row r="793" spans="2:6" ht="17.25" customHeight="1">
      <c r="B793" s="15"/>
      <c r="C793" s="15"/>
      <c r="D793" s="15"/>
      <c r="E793" s="15"/>
      <c r="F793" s="20"/>
    </row>
    <row r="794" spans="2:6" ht="17.25" customHeight="1">
      <c r="B794" s="15"/>
      <c r="C794" s="15"/>
      <c r="D794" s="15"/>
      <c r="E794" s="15"/>
      <c r="F794" s="20"/>
    </row>
    <row r="795" spans="2:6" ht="17.25" customHeight="1">
      <c r="B795" s="15"/>
      <c r="C795" s="15"/>
      <c r="D795" s="15"/>
      <c r="E795" s="15"/>
      <c r="F795" s="20"/>
    </row>
    <row r="796" spans="2:6" ht="17.25" customHeight="1">
      <c r="B796" s="15"/>
      <c r="C796" s="15"/>
      <c r="D796" s="15"/>
      <c r="E796" s="15"/>
      <c r="F796" s="20"/>
    </row>
    <row r="797" spans="2:6" ht="17.25" customHeight="1">
      <c r="B797" s="15"/>
      <c r="C797" s="15"/>
      <c r="D797" s="15"/>
      <c r="E797" s="15"/>
      <c r="F797" s="20"/>
    </row>
    <row r="798" spans="2:6" ht="17.25" customHeight="1">
      <c r="B798" s="15"/>
      <c r="C798" s="15"/>
      <c r="D798" s="15"/>
      <c r="E798" s="15"/>
      <c r="F798" s="20"/>
    </row>
    <row r="799" spans="2:6" ht="17.25" customHeight="1">
      <c r="B799" s="15"/>
      <c r="C799" s="15"/>
      <c r="D799" s="15"/>
      <c r="E799" s="15"/>
      <c r="F799" s="20"/>
    </row>
    <row r="800" spans="2:6" ht="17.25" customHeight="1">
      <c r="B800" s="15"/>
      <c r="C800" s="15"/>
      <c r="D800" s="15"/>
      <c r="E800" s="15"/>
      <c r="F800" s="20"/>
    </row>
    <row r="801" spans="2:6" ht="17.25" customHeight="1">
      <c r="B801" s="15"/>
      <c r="C801" s="15"/>
      <c r="D801" s="15"/>
      <c r="E801" s="15"/>
      <c r="F801" s="20"/>
    </row>
    <row r="802" spans="2:6" ht="17.25" customHeight="1">
      <c r="B802" s="15"/>
      <c r="C802" s="15"/>
      <c r="D802" s="15"/>
      <c r="E802" s="15"/>
      <c r="F802" s="20"/>
    </row>
    <row r="803" spans="2:6" ht="17.25" customHeight="1">
      <c r="B803" s="15"/>
      <c r="C803" s="15"/>
      <c r="D803" s="15"/>
      <c r="E803" s="15"/>
      <c r="F803" s="20"/>
    </row>
    <row r="804" spans="2:6" ht="17.25" customHeight="1">
      <c r="B804" s="15"/>
      <c r="C804" s="15"/>
      <c r="D804" s="15"/>
      <c r="E804" s="15"/>
      <c r="F804" s="20"/>
    </row>
    <row r="805" spans="2:6" ht="17.25" customHeight="1">
      <c r="B805" s="15"/>
      <c r="C805" s="15"/>
      <c r="D805" s="15"/>
      <c r="E805" s="15"/>
      <c r="F805" s="20"/>
    </row>
    <row r="806" spans="2:6" ht="17.25" customHeight="1">
      <c r="B806" s="15"/>
      <c r="C806" s="15"/>
      <c r="D806" s="15"/>
      <c r="E806" s="15"/>
      <c r="F806" s="20"/>
    </row>
    <row r="807" spans="2:6" ht="17.25" customHeight="1">
      <c r="B807" s="15"/>
      <c r="C807" s="15"/>
      <c r="D807" s="15"/>
      <c r="E807" s="15"/>
      <c r="F807" s="20"/>
    </row>
    <row r="808" spans="2:6" ht="17.25" customHeight="1">
      <c r="B808" s="15"/>
      <c r="C808" s="15"/>
      <c r="D808" s="15"/>
      <c r="E808" s="15"/>
      <c r="F808" s="20"/>
    </row>
    <row r="809" spans="2:6" ht="17.25" customHeight="1">
      <c r="B809" s="15"/>
      <c r="C809" s="15"/>
      <c r="D809" s="15"/>
      <c r="E809" s="15"/>
      <c r="F809" s="20"/>
    </row>
    <row r="810" spans="2:6" ht="17.25" customHeight="1">
      <c r="B810" s="15"/>
      <c r="C810" s="15"/>
      <c r="D810" s="15"/>
      <c r="E810" s="15"/>
      <c r="F810" s="20"/>
    </row>
    <row r="811" spans="2:6" ht="17.25" customHeight="1">
      <c r="B811" s="15"/>
      <c r="C811" s="15"/>
      <c r="D811" s="15"/>
      <c r="E811" s="15"/>
      <c r="F811" s="20"/>
    </row>
    <row r="812" spans="2:6" ht="17.25" customHeight="1">
      <c r="B812" s="15"/>
      <c r="C812" s="15"/>
      <c r="D812" s="15"/>
      <c r="E812" s="15"/>
      <c r="F812" s="20"/>
    </row>
    <row r="813" spans="2:6" ht="17.25" customHeight="1">
      <c r="B813" s="15"/>
      <c r="C813" s="15"/>
      <c r="D813" s="15"/>
      <c r="E813" s="15"/>
      <c r="F813" s="20"/>
    </row>
    <row r="814" spans="2:6" ht="17.25" customHeight="1">
      <c r="B814" s="15"/>
      <c r="C814" s="15"/>
      <c r="D814" s="15"/>
      <c r="E814" s="15"/>
      <c r="F814" s="20"/>
    </row>
    <row r="815" spans="2:6" ht="17.25" customHeight="1">
      <c r="B815" s="15"/>
      <c r="C815" s="15"/>
      <c r="D815" s="15"/>
      <c r="E815" s="15"/>
      <c r="F815" s="20"/>
    </row>
    <row r="816" spans="2:6" ht="17.25" customHeight="1">
      <c r="B816" s="15"/>
      <c r="C816" s="15"/>
      <c r="D816" s="15"/>
      <c r="E816" s="15"/>
      <c r="F816" s="20"/>
    </row>
    <row r="817" spans="2:6" ht="17.25" customHeight="1">
      <c r="B817" s="15"/>
      <c r="C817" s="15"/>
      <c r="D817" s="15"/>
      <c r="E817" s="15"/>
      <c r="F817" s="20"/>
    </row>
    <row r="818" spans="2:6" ht="17.25" customHeight="1">
      <c r="B818" s="15"/>
      <c r="C818" s="15"/>
      <c r="D818" s="15"/>
      <c r="E818" s="15"/>
      <c r="F818" s="20"/>
    </row>
    <row r="819" spans="2:6" ht="17.25" customHeight="1">
      <c r="B819" s="15"/>
      <c r="C819" s="15"/>
      <c r="D819" s="15"/>
      <c r="E819" s="15"/>
      <c r="F819" s="20"/>
    </row>
    <row r="820" spans="2:6" ht="17.25" customHeight="1">
      <c r="B820" s="15"/>
      <c r="C820" s="15"/>
      <c r="D820" s="15"/>
      <c r="E820" s="15"/>
      <c r="F820" s="20"/>
    </row>
    <row r="821" spans="2:6" ht="17.25" customHeight="1">
      <c r="B821" s="15"/>
      <c r="C821" s="15"/>
      <c r="D821" s="15"/>
      <c r="E821" s="15"/>
      <c r="F821" s="20"/>
    </row>
    <row r="822" spans="2:6" ht="17.25" customHeight="1">
      <c r="B822" s="15"/>
      <c r="C822" s="15"/>
      <c r="D822" s="15"/>
      <c r="E822" s="15"/>
      <c r="F822" s="20"/>
    </row>
    <row r="823" spans="2:6" ht="17.25" customHeight="1">
      <c r="B823" s="15"/>
      <c r="C823" s="15"/>
      <c r="D823" s="15"/>
      <c r="E823" s="15"/>
      <c r="F823" s="20"/>
    </row>
    <row r="824" spans="2:6" ht="17.25" customHeight="1">
      <c r="B824" s="15"/>
      <c r="C824" s="15"/>
      <c r="D824" s="15"/>
      <c r="E824" s="15"/>
      <c r="F824" s="20"/>
    </row>
    <row r="825" spans="2:6" ht="17.25" customHeight="1">
      <c r="B825" s="15"/>
      <c r="C825" s="15"/>
      <c r="D825" s="15"/>
      <c r="E825" s="15"/>
      <c r="F825" s="20"/>
    </row>
    <row r="826" spans="2:6" ht="17.25" customHeight="1">
      <c r="B826" s="15"/>
      <c r="C826" s="15"/>
      <c r="D826" s="15"/>
      <c r="E826" s="15"/>
      <c r="F826" s="20"/>
    </row>
    <row r="827" spans="2:6" ht="17.25" customHeight="1">
      <c r="B827" s="15"/>
      <c r="C827" s="15"/>
      <c r="D827" s="15"/>
      <c r="E827" s="15"/>
      <c r="F827" s="20"/>
    </row>
    <row r="828" spans="2:6" ht="17.25" customHeight="1">
      <c r="B828" s="15"/>
      <c r="C828" s="15"/>
      <c r="D828" s="15"/>
      <c r="E828" s="15"/>
      <c r="F828" s="20"/>
    </row>
    <row r="829" spans="2:6" ht="17.25" customHeight="1">
      <c r="B829" s="15"/>
      <c r="C829" s="15"/>
      <c r="D829" s="15"/>
      <c r="E829" s="15"/>
      <c r="F829" s="20"/>
    </row>
    <row r="830" spans="2:6" ht="17.25" customHeight="1">
      <c r="B830" s="15"/>
      <c r="C830" s="15"/>
      <c r="D830" s="15"/>
      <c r="E830" s="15"/>
      <c r="F830" s="20"/>
    </row>
    <row r="831" spans="2:6" ht="17.25" customHeight="1">
      <c r="B831" s="15"/>
      <c r="C831" s="15"/>
      <c r="D831" s="15"/>
      <c r="E831" s="15"/>
      <c r="F831" s="20"/>
    </row>
    <row r="832" spans="2:6" ht="17.25" customHeight="1">
      <c r="B832" s="15"/>
      <c r="C832" s="15"/>
      <c r="D832" s="15"/>
      <c r="E832" s="15"/>
      <c r="F832" s="20"/>
    </row>
    <row r="833" spans="2:6" ht="17.25" customHeight="1">
      <c r="B833" s="15"/>
      <c r="C833" s="15"/>
      <c r="D833" s="15"/>
      <c r="E833" s="15"/>
      <c r="F833" s="20"/>
    </row>
    <row r="834" spans="2:6" ht="17.25" customHeight="1">
      <c r="B834" s="15"/>
      <c r="C834" s="15"/>
      <c r="D834" s="15"/>
      <c r="E834" s="15"/>
      <c r="F834" s="20"/>
    </row>
    <row r="835" spans="2:6" ht="17.25" customHeight="1">
      <c r="B835" s="15"/>
      <c r="C835" s="15"/>
      <c r="D835" s="15"/>
      <c r="E835" s="15"/>
      <c r="F835" s="20"/>
    </row>
    <row r="836" spans="2:6" ht="17.25" customHeight="1">
      <c r="B836" s="15"/>
      <c r="C836" s="15"/>
      <c r="D836" s="15"/>
      <c r="E836" s="15"/>
      <c r="F836" s="20"/>
    </row>
    <row r="837" spans="2:6" ht="17.25" customHeight="1">
      <c r="B837" s="15"/>
      <c r="C837" s="15"/>
      <c r="D837" s="15"/>
      <c r="E837" s="15"/>
      <c r="F837" s="20"/>
    </row>
    <row r="838" spans="2:6" ht="17.25" customHeight="1">
      <c r="B838" s="15"/>
      <c r="C838" s="15"/>
      <c r="D838" s="15"/>
      <c r="E838" s="15"/>
      <c r="F838" s="20"/>
    </row>
    <row r="839" spans="2:6" ht="17.25" customHeight="1">
      <c r="B839" s="15"/>
      <c r="C839" s="15"/>
      <c r="D839" s="15"/>
      <c r="E839" s="15"/>
      <c r="F839" s="20"/>
    </row>
    <row r="840" spans="2:6" ht="17.25" customHeight="1">
      <c r="B840" s="15"/>
      <c r="C840" s="15"/>
      <c r="D840" s="15"/>
      <c r="E840" s="15"/>
      <c r="F840" s="20"/>
    </row>
    <row r="841" spans="2:6" ht="17.25" customHeight="1">
      <c r="B841" s="15"/>
      <c r="C841" s="15"/>
      <c r="D841" s="15"/>
      <c r="E841" s="15"/>
      <c r="F841" s="20"/>
    </row>
    <row r="842" spans="2:6" ht="17.25" customHeight="1">
      <c r="B842" s="15"/>
      <c r="C842" s="15"/>
      <c r="D842" s="15"/>
      <c r="E842" s="15"/>
      <c r="F842" s="20"/>
    </row>
    <row r="843" spans="2:6" ht="17.25" customHeight="1">
      <c r="B843" s="15"/>
      <c r="C843" s="15"/>
      <c r="D843" s="15"/>
      <c r="E843" s="15"/>
      <c r="F843" s="20"/>
    </row>
    <row r="844" spans="2:6" ht="17.25" customHeight="1">
      <c r="B844" s="15"/>
      <c r="C844" s="15"/>
      <c r="D844" s="15"/>
      <c r="E844" s="15"/>
      <c r="F844" s="20"/>
    </row>
    <row r="845" spans="2:6" ht="17.25" customHeight="1">
      <c r="B845" s="15"/>
      <c r="C845" s="15"/>
      <c r="D845" s="15"/>
      <c r="E845" s="15"/>
      <c r="F845" s="20"/>
    </row>
    <row r="846" spans="2:6" ht="17.25" customHeight="1">
      <c r="B846" s="15"/>
      <c r="C846" s="15"/>
      <c r="D846" s="15"/>
      <c r="E846" s="15"/>
      <c r="F846" s="20"/>
    </row>
    <row r="847" spans="2:6" ht="17.25" customHeight="1">
      <c r="B847" s="15"/>
      <c r="C847" s="15"/>
      <c r="D847" s="15"/>
      <c r="E847" s="15"/>
      <c r="F847" s="20"/>
    </row>
    <row r="848" spans="2:6" ht="17.25" customHeight="1">
      <c r="B848" s="15"/>
      <c r="C848" s="15"/>
      <c r="D848" s="15"/>
      <c r="E848" s="15"/>
      <c r="F848" s="20"/>
    </row>
    <row r="849" spans="2:6" ht="17.25" customHeight="1">
      <c r="B849" s="15"/>
      <c r="C849" s="15"/>
      <c r="D849" s="15"/>
      <c r="E849" s="15"/>
      <c r="F849" s="20"/>
    </row>
    <row r="850" spans="2:6" ht="17.25" customHeight="1">
      <c r="B850" s="15"/>
      <c r="C850" s="15"/>
      <c r="D850" s="15"/>
      <c r="E850" s="15"/>
      <c r="F850" s="20"/>
    </row>
    <row r="851" spans="2:6" ht="17.25" customHeight="1">
      <c r="B851" s="15"/>
      <c r="C851" s="15"/>
      <c r="D851" s="15"/>
      <c r="E851" s="15"/>
      <c r="F851" s="20"/>
    </row>
    <row r="852" spans="2:6" ht="17.25" customHeight="1">
      <c r="B852" s="15"/>
      <c r="C852" s="15"/>
      <c r="D852" s="15"/>
      <c r="E852" s="15"/>
      <c r="F852" s="20"/>
    </row>
    <row r="853" spans="2:6" ht="17.25" customHeight="1">
      <c r="B853" s="15"/>
      <c r="C853" s="15"/>
      <c r="D853" s="15"/>
      <c r="E853" s="15"/>
      <c r="F853" s="20"/>
    </row>
    <row r="854" spans="2:6" ht="17.25" customHeight="1">
      <c r="B854" s="15"/>
      <c r="C854" s="15"/>
      <c r="D854" s="15"/>
      <c r="E854" s="15"/>
      <c r="F854" s="20"/>
    </row>
    <row r="855" spans="2:6" ht="17.25" customHeight="1">
      <c r="B855" s="15"/>
      <c r="C855" s="15"/>
      <c r="D855" s="15"/>
      <c r="E855" s="15"/>
      <c r="F855" s="20"/>
    </row>
    <row r="856" spans="2:6" ht="17.25" customHeight="1">
      <c r="B856" s="15"/>
      <c r="C856" s="15"/>
      <c r="D856" s="15"/>
      <c r="E856" s="15"/>
      <c r="F856" s="20"/>
    </row>
    <row r="857" spans="2:6" ht="17.25" customHeight="1">
      <c r="B857" s="15"/>
      <c r="C857" s="15"/>
      <c r="D857" s="15"/>
      <c r="E857" s="15"/>
      <c r="F857" s="20"/>
    </row>
    <row r="858" spans="2:6" ht="17.25" customHeight="1">
      <c r="B858" s="15"/>
      <c r="C858" s="15"/>
      <c r="D858" s="15"/>
      <c r="E858" s="15"/>
      <c r="F858" s="20"/>
    </row>
    <row r="859" spans="2:6" ht="17.25" customHeight="1">
      <c r="B859" s="15"/>
      <c r="C859" s="15"/>
      <c r="D859" s="15"/>
      <c r="E859" s="15"/>
      <c r="F859" s="20"/>
    </row>
    <row r="860" spans="2:6" ht="17.25" customHeight="1">
      <c r="B860" s="15"/>
      <c r="C860" s="15"/>
      <c r="D860" s="15"/>
      <c r="E860" s="15"/>
      <c r="F860" s="20"/>
    </row>
    <row r="861" spans="2:6" ht="17.25" customHeight="1">
      <c r="B861" s="15"/>
      <c r="C861" s="15"/>
      <c r="D861" s="15"/>
      <c r="E861" s="15"/>
      <c r="F861" s="20"/>
    </row>
    <row r="862" spans="2:6" ht="17.25" customHeight="1">
      <c r="B862" s="15"/>
      <c r="C862" s="15"/>
      <c r="D862" s="15"/>
      <c r="E862" s="15"/>
      <c r="F862" s="20"/>
    </row>
    <row r="863" spans="2:6" ht="17.25" customHeight="1">
      <c r="B863" s="15"/>
      <c r="C863" s="15"/>
      <c r="D863" s="15"/>
      <c r="E863" s="15"/>
      <c r="F863" s="20"/>
    </row>
    <row r="864" spans="2:6" ht="17.25" customHeight="1">
      <c r="B864" s="15"/>
      <c r="C864" s="15"/>
      <c r="D864" s="15"/>
      <c r="E864" s="15"/>
      <c r="F864" s="20"/>
    </row>
    <row r="865" spans="2:6" ht="17.25" customHeight="1">
      <c r="B865" s="15"/>
      <c r="C865" s="15"/>
      <c r="D865" s="15"/>
      <c r="E865" s="15"/>
      <c r="F865" s="20"/>
    </row>
    <row r="866" spans="2:6" ht="17.25" customHeight="1">
      <c r="B866" s="15"/>
      <c r="C866" s="15"/>
      <c r="D866" s="15"/>
      <c r="E866" s="15"/>
      <c r="F866" s="20"/>
    </row>
    <row r="867" spans="2:6" ht="17.25" customHeight="1">
      <c r="B867" s="15"/>
      <c r="C867" s="15"/>
      <c r="D867" s="15"/>
      <c r="E867" s="15"/>
      <c r="F867" s="20"/>
    </row>
    <row r="868" spans="2:6" ht="17.25" customHeight="1">
      <c r="B868" s="15"/>
      <c r="C868" s="15"/>
      <c r="D868" s="15"/>
      <c r="E868" s="15"/>
      <c r="F868" s="20"/>
    </row>
    <row r="869" spans="2:6" ht="17.25" customHeight="1">
      <c r="B869" s="15"/>
      <c r="C869" s="15"/>
      <c r="D869" s="15"/>
      <c r="E869" s="15"/>
      <c r="F869" s="20"/>
    </row>
    <row r="870" spans="2:6" ht="17.25" customHeight="1">
      <c r="B870" s="15"/>
      <c r="C870" s="15"/>
      <c r="D870" s="15"/>
      <c r="E870" s="15"/>
      <c r="F870" s="20"/>
    </row>
    <row r="871" spans="2:6" ht="17.25" customHeight="1">
      <c r="B871" s="15"/>
      <c r="C871" s="15"/>
      <c r="D871" s="15"/>
      <c r="E871" s="15"/>
      <c r="F871" s="20"/>
    </row>
    <row r="872" spans="2:6" ht="17.25" customHeight="1">
      <c r="B872" s="15"/>
      <c r="C872" s="15"/>
      <c r="D872" s="15"/>
      <c r="E872" s="15"/>
      <c r="F872" s="20"/>
    </row>
    <row r="873" spans="2:6" ht="17.25" customHeight="1">
      <c r="B873" s="15"/>
      <c r="C873" s="15"/>
      <c r="D873" s="15"/>
      <c r="E873" s="15"/>
      <c r="F873" s="20"/>
    </row>
    <row r="874" spans="2:6" ht="17.25" customHeight="1">
      <c r="B874" s="15"/>
      <c r="C874" s="15"/>
      <c r="D874" s="15"/>
      <c r="E874" s="15"/>
      <c r="F874" s="20"/>
    </row>
    <row r="875" spans="2:6" ht="17.25" customHeight="1">
      <c r="B875" s="15"/>
      <c r="C875" s="15"/>
      <c r="D875" s="15"/>
      <c r="E875" s="15"/>
      <c r="F875" s="20"/>
    </row>
    <row r="876" spans="2:6" ht="17.25" customHeight="1">
      <c r="B876" s="15"/>
      <c r="C876" s="15"/>
      <c r="D876" s="15"/>
      <c r="E876" s="15"/>
      <c r="F876" s="20"/>
    </row>
    <row r="877" spans="2:6" ht="17.25" customHeight="1">
      <c r="B877" s="15"/>
      <c r="C877" s="15"/>
      <c r="D877" s="15"/>
      <c r="E877" s="15"/>
      <c r="F877" s="20"/>
    </row>
    <row r="878" spans="2:6" ht="17.25" customHeight="1">
      <c r="B878" s="15"/>
      <c r="C878" s="15"/>
      <c r="D878" s="15"/>
      <c r="E878" s="15"/>
      <c r="F878" s="20"/>
    </row>
    <row r="879" spans="2:6" ht="17.25" customHeight="1">
      <c r="B879" s="15"/>
      <c r="C879" s="15"/>
      <c r="D879" s="15"/>
      <c r="E879" s="15"/>
      <c r="F879" s="20"/>
    </row>
    <row r="880" spans="2:6" ht="17.25" customHeight="1">
      <c r="B880" s="15"/>
      <c r="C880" s="15"/>
      <c r="D880" s="15"/>
      <c r="E880" s="15"/>
      <c r="F880" s="20"/>
    </row>
    <row r="881" spans="2:6" ht="17.25" customHeight="1">
      <c r="B881" s="15"/>
      <c r="C881" s="15"/>
      <c r="D881" s="15"/>
      <c r="E881" s="15"/>
      <c r="F881" s="20"/>
    </row>
    <row r="882" spans="2:6" ht="17.25" customHeight="1">
      <c r="B882" s="15"/>
      <c r="C882" s="15"/>
      <c r="D882" s="15"/>
      <c r="E882" s="15"/>
      <c r="F882" s="20"/>
    </row>
    <row r="883" spans="2:6" ht="17.25" customHeight="1">
      <c r="B883" s="15"/>
      <c r="C883" s="15"/>
      <c r="D883" s="15"/>
      <c r="E883" s="15"/>
      <c r="F883" s="20"/>
    </row>
    <row r="884" spans="2:6" ht="17.25" customHeight="1">
      <c r="B884" s="15"/>
      <c r="C884" s="15"/>
      <c r="D884" s="15"/>
      <c r="E884" s="15"/>
      <c r="F884" s="20"/>
    </row>
    <row r="885" spans="2:6" ht="17.25" customHeight="1">
      <c r="B885" s="15"/>
      <c r="C885" s="15"/>
      <c r="D885" s="15"/>
      <c r="E885" s="15"/>
      <c r="F885" s="20"/>
    </row>
    <row r="886" spans="2:6" ht="17.25" customHeight="1">
      <c r="B886" s="15"/>
      <c r="C886" s="15"/>
      <c r="D886" s="15"/>
      <c r="E886" s="15"/>
      <c r="F886" s="20"/>
    </row>
    <row r="887" spans="2:6" ht="17.25" customHeight="1">
      <c r="B887" s="15"/>
      <c r="C887" s="15"/>
      <c r="D887" s="15"/>
      <c r="E887" s="15"/>
      <c r="F887" s="20"/>
    </row>
    <row r="888" spans="2:6" ht="17.25" customHeight="1">
      <c r="B888" s="15"/>
      <c r="C888" s="15"/>
      <c r="D888" s="15"/>
      <c r="E888" s="15"/>
      <c r="F888" s="20"/>
    </row>
    <row r="889" spans="2:6" ht="17.25" customHeight="1">
      <c r="B889" s="15"/>
      <c r="C889" s="15"/>
      <c r="D889" s="15"/>
      <c r="E889" s="15"/>
      <c r="F889" s="20"/>
    </row>
    <row r="890" spans="2:6" ht="17.25" customHeight="1">
      <c r="B890" s="15"/>
      <c r="C890" s="15"/>
      <c r="D890" s="15"/>
      <c r="E890" s="15"/>
      <c r="F890" s="20"/>
    </row>
    <row r="891" spans="2:6" ht="17.25" customHeight="1">
      <c r="B891" s="15"/>
      <c r="C891" s="15"/>
      <c r="D891" s="15"/>
      <c r="E891" s="15"/>
      <c r="F891" s="20"/>
    </row>
    <row r="892" spans="2:6" ht="17.25" customHeight="1">
      <c r="B892" s="15"/>
      <c r="C892" s="15"/>
      <c r="D892" s="15"/>
      <c r="E892" s="15"/>
      <c r="F892" s="20"/>
    </row>
    <row r="893" spans="2:6" ht="17.25" customHeight="1">
      <c r="B893" s="15"/>
      <c r="C893" s="15"/>
      <c r="D893" s="15"/>
      <c r="E893" s="15"/>
      <c r="F893" s="20"/>
    </row>
    <row r="894" spans="2:6" ht="17.25" customHeight="1">
      <c r="B894" s="15"/>
      <c r="C894" s="15"/>
      <c r="D894" s="15"/>
      <c r="E894" s="15"/>
      <c r="F894" s="20"/>
    </row>
    <row r="895" spans="2:6" ht="17.25" customHeight="1">
      <c r="B895" s="15"/>
      <c r="C895" s="15"/>
      <c r="D895" s="15"/>
      <c r="E895" s="15"/>
      <c r="F895" s="20"/>
    </row>
    <row r="896" spans="2:6" ht="17.25" customHeight="1">
      <c r="B896" s="15"/>
      <c r="C896" s="15"/>
      <c r="D896" s="15"/>
      <c r="E896" s="15"/>
      <c r="F896" s="20"/>
    </row>
    <row r="897" spans="2:6" ht="17.25" customHeight="1">
      <c r="B897" s="15"/>
      <c r="C897" s="15"/>
      <c r="D897" s="15"/>
      <c r="E897" s="15"/>
      <c r="F897" s="20"/>
    </row>
    <row r="898" spans="2:6" ht="17.25" customHeight="1">
      <c r="B898" s="15"/>
      <c r="C898" s="15"/>
      <c r="D898" s="15"/>
      <c r="E898" s="15"/>
      <c r="F898" s="20"/>
    </row>
    <row r="899" spans="2:6" ht="17.25" customHeight="1">
      <c r="B899" s="15"/>
      <c r="C899" s="15"/>
      <c r="D899" s="15"/>
      <c r="E899" s="15"/>
      <c r="F899" s="20"/>
    </row>
    <row r="900" spans="2:6" ht="17.25" customHeight="1">
      <c r="B900" s="15"/>
      <c r="C900" s="15"/>
      <c r="D900" s="15"/>
      <c r="E900" s="15"/>
      <c r="F900" s="20"/>
    </row>
    <row r="901" spans="2:6" ht="17.25" customHeight="1">
      <c r="B901" s="15"/>
      <c r="C901" s="15"/>
      <c r="D901" s="15"/>
      <c r="E901" s="15"/>
      <c r="F901" s="20"/>
    </row>
    <row r="902" spans="2:6" ht="17.25" customHeight="1">
      <c r="B902" s="15"/>
      <c r="C902" s="15"/>
      <c r="D902" s="15"/>
      <c r="E902" s="15"/>
      <c r="F902" s="20"/>
    </row>
    <row r="903" spans="2:6" ht="17.25" customHeight="1">
      <c r="B903" s="15"/>
      <c r="C903" s="15"/>
      <c r="D903" s="15"/>
      <c r="E903" s="15"/>
      <c r="F903" s="20"/>
    </row>
    <row r="904" spans="2:6" ht="17.25" customHeight="1">
      <c r="B904" s="15"/>
      <c r="C904" s="15"/>
      <c r="D904" s="15"/>
      <c r="E904" s="15"/>
      <c r="F904" s="20"/>
    </row>
    <row r="905" spans="2:6" ht="17.25" customHeight="1">
      <c r="B905" s="15"/>
      <c r="C905" s="15"/>
      <c r="D905" s="15"/>
      <c r="E905" s="15"/>
      <c r="F905" s="20"/>
    </row>
    <row r="906" spans="2:6" ht="17.25" customHeight="1">
      <c r="B906" s="15"/>
      <c r="C906" s="15"/>
      <c r="D906" s="15"/>
      <c r="E906" s="15"/>
      <c r="F906" s="20"/>
    </row>
    <row r="907" spans="2:6" ht="17.25" customHeight="1">
      <c r="B907" s="15"/>
      <c r="C907" s="15"/>
      <c r="D907" s="15"/>
      <c r="E907" s="15"/>
      <c r="F907" s="20"/>
    </row>
    <row r="908" spans="2:6" ht="17.25" customHeight="1">
      <c r="B908" s="15"/>
      <c r="C908" s="15"/>
      <c r="D908" s="15"/>
      <c r="E908" s="15"/>
      <c r="F908" s="20"/>
    </row>
    <row r="909" spans="2:6" ht="17.25" customHeight="1">
      <c r="B909" s="15"/>
      <c r="C909" s="15"/>
      <c r="D909" s="15"/>
      <c r="E909" s="15"/>
      <c r="F909" s="20"/>
    </row>
    <row r="910" spans="2:6" ht="17.25" customHeight="1">
      <c r="B910" s="15"/>
      <c r="C910" s="15"/>
      <c r="D910" s="15"/>
      <c r="E910" s="15"/>
      <c r="F910" s="20"/>
    </row>
    <row r="911" spans="2:6" ht="17.25" customHeight="1">
      <c r="B911" s="15"/>
      <c r="C911" s="15"/>
      <c r="D911" s="15"/>
      <c r="E911" s="15"/>
      <c r="F911" s="20"/>
    </row>
    <row r="912" spans="2:6" ht="17.25" customHeight="1">
      <c r="B912" s="15"/>
      <c r="C912" s="15"/>
      <c r="D912" s="15"/>
      <c r="E912" s="15"/>
      <c r="F912" s="20"/>
    </row>
    <row r="913" spans="2:6" ht="17.25" customHeight="1">
      <c r="B913" s="15"/>
      <c r="C913" s="15"/>
      <c r="D913" s="15"/>
      <c r="E913" s="15"/>
      <c r="F913" s="20"/>
    </row>
    <row r="914" spans="2:6" ht="17.25" customHeight="1">
      <c r="B914" s="15"/>
      <c r="C914" s="15"/>
      <c r="D914" s="15"/>
      <c r="E914" s="15"/>
      <c r="F914" s="20"/>
    </row>
    <row r="915" spans="2:6" ht="17.25" customHeight="1">
      <c r="B915" s="15"/>
      <c r="C915" s="15"/>
      <c r="D915" s="15"/>
      <c r="E915" s="15"/>
      <c r="F915" s="20"/>
    </row>
    <row r="916" spans="2:6" ht="17.25" customHeight="1">
      <c r="B916" s="15"/>
      <c r="C916" s="15"/>
      <c r="D916" s="15"/>
      <c r="E916" s="15"/>
      <c r="F916" s="20"/>
    </row>
    <row r="917" spans="2:6" ht="17.25" customHeight="1">
      <c r="B917" s="15"/>
      <c r="C917" s="15"/>
      <c r="D917" s="15"/>
      <c r="E917" s="15"/>
      <c r="F917" s="20"/>
    </row>
    <row r="918" spans="2:6" ht="17.25" customHeight="1">
      <c r="B918" s="15"/>
      <c r="C918" s="15"/>
      <c r="D918" s="15"/>
      <c r="E918" s="15"/>
      <c r="F918" s="20"/>
    </row>
    <row r="919" spans="2:6" ht="17.25" customHeight="1">
      <c r="B919" s="15"/>
      <c r="C919" s="15"/>
      <c r="D919" s="15"/>
      <c r="E919" s="15"/>
      <c r="F919" s="20"/>
    </row>
    <row r="920" spans="2:6" ht="17.25" customHeight="1">
      <c r="B920" s="15"/>
      <c r="C920" s="15"/>
      <c r="D920" s="15"/>
      <c r="E920" s="15"/>
      <c r="F920" s="20"/>
    </row>
    <row r="921" spans="2:6" ht="17.25" customHeight="1">
      <c r="B921" s="15"/>
      <c r="C921" s="15"/>
      <c r="D921" s="15"/>
      <c r="E921" s="15"/>
      <c r="F921" s="20"/>
    </row>
    <row r="922" spans="2:6" ht="17.25" customHeight="1">
      <c r="B922" s="15"/>
      <c r="C922" s="15"/>
      <c r="D922" s="15"/>
      <c r="E922" s="15"/>
      <c r="F922" s="20"/>
    </row>
    <row r="923" spans="2:6" ht="17.25" customHeight="1">
      <c r="B923" s="15"/>
      <c r="C923" s="15"/>
      <c r="D923" s="15"/>
      <c r="E923" s="15"/>
      <c r="F923" s="20"/>
    </row>
    <row r="924" spans="2:6" ht="17.25" customHeight="1">
      <c r="B924" s="15"/>
      <c r="C924" s="15"/>
      <c r="D924" s="15"/>
      <c r="E924" s="15"/>
      <c r="F924" s="20"/>
    </row>
    <row r="925" spans="2:6" ht="17.25" customHeight="1">
      <c r="B925" s="15"/>
      <c r="C925" s="15"/>
      <c r="D925" s="15"/>
      <c r="E925" s="15"/>
      <c r="F925" s="20"/>
    </row>
    <row r="926" spans="2:6" ht="17.25" customHeight="1">
      <c r="B926" s="15"/>
      <c r="C926" s="15"/>
      <c r="D926" s="15"/>
      <c r="E926" s="15"/>
      <c r="F926" s="20"/>
    </row>
    <row r="927" spans="2:6" ht="17.25" customHeight="1">
      <c r="B927" s="15"/>
      <c r="C927" s="15"/>
      <c r="D927" s="15"/>
      <c r="E927" s="15"/>
      <c r="F927" s="20"/>
    </row>
    <row r="928" spans="2:6" ht="17.25" customHeight="1">
      <c r="B928" s="15"/>
      <c r="C928" s="15"/>
      <c r="D928" s="15"/>
      <c r="E928" s="15"/>
      <c r="F928" s="20"/>
    </row>
    <row r="929" spans="2:6" ht="17.25" customHeight="1">
      <c r="B929" s="15"/>
      <c r="C929" s="15"/>
      <c r="D929" s="15"/>
      <c r="E929" s="15"/>
      <c r="F929" s="20"/>
    </row>
    <row r="930" spans="2:6" ht="17.25" customHeight="1">
      <c r="B930" s="15"/>
      <c r="C930" s="15"/>
      <c r="D930" s="15"/>
      <c r="E930" s="15"/>
      <c r="F930" s="20"/>
    </row>
    <row r="931" spans="2:6" ht="17.25" customHeight="1">
      <c r="B931" s="15"/>
      <c r="C931" s="15"/>
      <c r="D931" s="15"/>
      <c r="E931" s="15"/>
      <c r="F931" s="20"/>
    </row>
    <row r="932" spans="2:6" ht="17.25" customHeight="1">
      <c r="B932" s="15"/>
      <c r="C932" s="15"/>
      <c r="D932" s="15"/>
      <c r="E932" s="15"/>
      <c r="F932" s="20"/>
    </row>
    <row r="933" spans="2:6" ht="17.25" customHeight="1">
      <c r="B933" s="15"/>
      <c r="C933" s="15"/>
      <c r="D933" s="15"/>
      <c r="E933" s="15"/>
      <c r="F933" s="20"/>
    </row>
    <row r="934" spans="2:6" ht="17.25" customHeight="1">
      <c r="B934" s="15"/>
      <c r="C934" s="15"/>
      <c r="D934" s="15"/>
      <c r="E934" s="15"/>
      <c r="F934" s="20"/>
    </row>
    <row r="935" spans="2:6" ht="17.25" customHeight="1">
      <c r="B935" s="15"/>
      <c r="C935" s="15"/>
      <c r="D935" s="15"/>
      <c r="E935" s="15"/>
      <c r="F935" s="20"/>
    </row>
    <row r="936" spans="2:6" ht="17.25" customHeight="1">
      <c r="B936" s="15"/>
      <c r="C936" s="15"/>
      <c r="D936" s="15"/>
      <c r="E936" s="15"/>
      <c r="F936" s="20"/>
    </row>
    <row r="937" spans="2:6" ht="17.25" customHeight="1">
      <c r="B937" s="15"/>
      <c r="C937" s="15"/>
      <c r="D937" s="15"/>
      <c r="E937" s="15"/>
      <c r="F937" s="20"/>
    </row>
    <row r="938" spans="2:6" ht="17.25" customHeight="1">
      <c r="B938" s="15"/>
      <c r="C938" s="15"/>
      <c r="D938" s="15"/>
      <c r="E938" s="15"/>
      <c r="F938" s="20"/>
    </row>
    <row r="939" spans="2:6" ht="17.25" customHeight="1">
      <c r="B939" s="15"/>
      <c r="C939" s="15"/>
      <c r="D939" s="15"/>
      <c r="E939" s="15"/>
      <c r="F939" s="20"/>
    </row>
    <row r="940" spans="2:6" ht="17.25" customHeight="1">
      <c r="B940" s="15"/>
      <c r="C940" s="15"/>
      <c r="D940" s="15"/>
      <c r="E940" s="15"/>
      <c r="F940" s="20"/>
    </row>
    <row r="941" spans="2:6" ht="17.25" customHeight="1">
      <c r="B941" s="15"/>
      <c r="C941" s="15"/>
      <c r="D941" s="15"/>
      <c r="E941" s="15"/>
      <c r="F941" s="20"/>
    </row>
    <row r="942" spans="2:6" ht="17.25" customHeight="1">
      <c r="B942" s="15"/>
      <c r="C942" s="15"/>
      <c r="D942" s="15"/>
      <c r="E942" s="15"/>
      <c r="F942" s="20"/>
    </row>
    <row r="943" spans="2:6" ht="17.25" customHeight="1">
      <c r="B943" s="15"/>
      <c r="C943" s="15"/>
      <c r="D943" s="15"/>
      <c r="E943" s="15"/>
      <c r="F943" s="20"/>
    </row>
    <row r="944" spans="2:6" ht="17.25" customHeight="1">
      <c r="B944" s="15"/>
      <c r="C944" s="15"/>
      <c r="D944" s="15"/>
      <c r="E944" s="15"/>
      <c r="F944" s="20"/>
    </row>
    <row r="945" spans="2:6" ht="17.25" customHeight="1">
      <c r="B945" s="15"/>
      <c r="C945" s="15"/>
      <c r="D945" s="15"/>
      <c r="E945" s="15"/>
      <c r="F945" s="20"/>
    </row>
    <row r="946" spans="2:6" ht="17.25" customHeight="1">
      <c r="B946" s="15"/>
      <c r="C946" s="15"/>
      <c r="D946" s="15"/>
      <c r="E946" s="15"/>
      <c r="F946" s="20"/>
    </row>
    <row r="947" spans="2:6" ht="17.25" customHeight="1">
      <c r="B947" s="15"/>
      <c r="C947" s="15"/>
      <c r="D947" s="15"/>
      <c r="E947" s="15"/>
      <c r="F947" s="20"/>
    </row>
    <row r="948" spans="2:6" ht="17.25" customHeight="1">
      <c r="B948" s="15"/>
      <c r="C948" s="15"/>
      <c r="D948" s="15"/>
      <c r="E948" s="15"/>
      <c r="F948" s="20"/>
    </row>
    <row r="949" spans="2:6" ht="17.25" customHeight="1">
      <c r="B949" s="15"/>
      <c r="C949" s="15"/>
      <c r="D949" s="15"/>
      <c r="E949" s="15"/>
      <c r="F949" s="20"/>
    </row>
    <row r="950" spans="2:6" ht="17.25" customHeight="1">
      <c r="B950" s="15"/>
      <c r="C950" s="15"/>
      <c r="D950" s="15"/>
      <c r="E950" s="15"/>
      <c r="F950" s="20"/>
    </row>
    <row r="951" spans="2:6" ht="17.25" customHeight="1">
      <c r="B951" s="15"/>
      <c r="C951" s="15"/>
      <c r="D951" s="15"/>
      <c r="E951" s="15"/>
      <c r="F951" s="20"/>
    </row>
    <row r="952" spans="2:6" ht="17.25" customHeight="1">
      <c r="B952" s="15"/>
      <c r="C952" s="15"/>
      <c r="D952" s="15"/>
      <c r="E952" s="15"/>
      <c r="F952" s="20"/>
    </row>
    <row r="953" spans="2:6" ht="17.25" customHeight="1">
      <c r="B953" s="15"/>
      <c r="C953" s="15"/>
      <c r="D953" s="15"/>
      <c r="E953" s="15"/>
      <c r="F953" s="20"/>
    </row>
    <row r="954" spans="2:6" ht="17.25" customHeight="1">
      <c r="B954" s="15"/>
      <c r="C954" s="15"/>
      <c r="D954" s="15"/>
      <c r="E954" s="15"/>
      <c r="F954" s="20"/>
    </row>
    <row r="955" spans="2:6" ht="17.25" customHeight="1">
      <c r="B955" s="15"/>
      <c r="C955" s="15"/>
      <c r="D955" s="15"/>
      <c r="E955" s="15"/>
      <c r="F955" s="20"/>
    </row>
    <row r="956" spans="2:6" ht="17.25" customHeight="1">
      <c r="B956" s="15"/>
      <c r="C956" s="15"/>
      <c r="D956" s="15"/>
      <c r="E956" s="15"/>
      <c r="F956" s="20"/>
    </row>
    <row r="957" spans="2:6" ht="17.25" customHeight="1">
      <c r="B957" s="15"/>
      <c r="C957" s="15"/>
      <c r="D957" s="15"/>
      <c r="E957" s="15"/>
      <c r="F957" s="20"/>
    </row>
    <row r="958" spans="2:6" ht="17.25" customHeight="1">
      <c r="B958" s="15"/>
      <c r="C958" s="15"/>
      <c r="D958" s="15"/>
      <c r="E958" s="15"/>
      <c r="F958" s="20"/>
    </row>
    <row r="959" spans="2:6" ht="17.25" customHeight="1">
      <c r="B959" s="15"/>
      <c r="C959" s="15"/>
      <c r="D959" s="15"/>
      <c r="E959" s="15"/>
      <c r="F959" s="20"/>
    </row>
    <row r="960" spans="2:6" ht="17.25" customHeight="1">
      <c r="B960" s="15"/>
      <c r="C960" s="15"/>
      <c r="D960" s="15"/>
      <c r="E960" s="15"/>
      <c r="F960" s="20"/>
    </row>
    <row r="961" spans="2:6" ht="17.25" customHeight="1">
      <c r="B961" s="15"/>
      <c r="C961" s="15"/>
      <c r="D961" s="15"/>
      <c r="E961" s="15"/>
      <c r="F961" s="20"/>
    </row>
    <row r="962" spans="2:6" ht="17.25" customHeight="1">
      <c r="B962" s="15"/>
      <c r="C962" s="15"/>
      <c r="D962" s="15"/>
      <c r="E962" s="15"/>
      <c r="F962" s="20"/>
    </row>
    <row r="963" spans="2:6" ht="17.25" customHeight="1">
      <c r="B963" s="15"/>
      <c r="C963" s="15"/>
      <c r="D963" s="15"/>
      <c r="E963" s="15"/>
      <c r="F963" s="20"/>
    </row>
    <row r="964" spans="2:6" ht="17.25" customHeight="1">
      <c r="B964" s="15"/>
      <c r="C964" s="15"/>
      <c r="D964" s="15"/>
      <c r="E964" s="15"/>
      <c r="F964" s="20"/>
    </row>
    <row r="965" spans="2:6" ht="17.25" customHeight="1">
      <c r="B965" s="15"/>
      <c r="C965" s="15"/>
      <c r="D965" s="15"/>
      <c r="E965" s="15"/>
      <c r="F965" s="20"/>
    </row>
    <row r="966" spans="2:6" ht="17.25" customHeight="1">
      <c r="B966" s="15"/>
      <c r="C966" s="15"/>
      <c r="D966" s="15"/>
      <c r="E966" s="15"/>
      <c r="F966" s="20"/>
    </row>
    <row r="967" spans="2:6" ht="17.25" customHeight="1">
      <c r="B967" s="15"/>
      <c r="C967" s="15"/>
      <c r="D967" s="15"/>
      <c r="E967" s="15"/>
      <c r="F967" s="20"/>
    </row>
    <row r="968" spans="2:6" ht="17.25" customHeight="1">
      <c r="B968" s="15"/>
      <c r="C968" s="15"/>
      <c r="D968" s="15"/>
      <c r="E968" s="15"/>
      <c r="F968" s="20"/>
    </row>
    <row r="969" spans="2:6" ht="17.25" customHeight="1">
      <c r="B969" s="15"/>
      <c r="C969" s="15"/>
      <c r="D969" s="15"/>
      <c r="E969" s="15"/>
      <c r="F969" s="20"/>
    </row>
    <row r="970" spans="2:6" ht="17.25" customHeight="1">
      <c r="B970" s="15"/>
      <c r="C970" s="15"/>
      <c r="D970" s="15"/>
      <c r="E970" s="15"/>
      <c r="F970" s="20"/>
    </row>
    <row r="971" spans="2:6" ht="17.25" customHeight="1">
      <c r="B971" s="15"/>
      <c r="C971" s="15"/>
      <c r="D971" s="15"/>
      <c r="E971" s="15"/>
      <c r="F971" s="20"/>
    </row>
    <row r="972" spans="2:6" ht="17.25" customHeight="1">
      <c r="B972" s="15"/>
      <c r="C972" s="15"/>
      <c r="D972" s="15"/>
      <c r="E972" s="15"/>
      <c r="F972" s="20"/>
    </row>
    <row r="973" spans="2:6" ht="17.25" customHeight="1">
      <c r="B973" s="15"/>
      <c r="C973" s="15"/>
      <c r="D973" s="15"/>
      <c r="E973" s="15"/>
      <c r="F973" s="20"/>
    </row>
    <row r="974" spans="2:6" ht="17.25" customHeight="1">
      <c r="B974" s="15"/>
      <c r="C974" s="15"/>
      <c r="D974" s="15"/>
      <c r="E974" s="15"/>
      <c r="F974" s="20"/>
    </row>
    <row r="975" spans="2:6" ht="17.25" customHeight="1">
      <c r="B975" s="15"/>
      <c r="C975" s="15"/>
      <c r="D975" s="15"/>
      <c r="E975" s="15"/>
      <c r="F975" s="20"/>
    </row>
    <row r="976" spans="2:6" ht="17.25" customHeight="1">
      <c r="B976" s="15"/>
      <c r="C976" s="15"/>
      <c r="D976" s="15"/>
      <c r="E976" s="15"/>
      <c r="F976" s="20"/>
    </row>
    <row r="977" spans="2:6" ht="17.25" customHeight="1">
      <c r="B977" s="15"/>
      <c r="C977" s="15"/>
      <c r="D977" s="15"/>
      <c r="E977" s="15"/>
      <c r="F977" s="20"/>
    </row>
    <row r="978" spans="2:6" ht="17.25" customHeight="1">
      <c r="B978" s="15"/>
      <c r="C978" s="15"/>
      <c r="D978" s="15"/>
      <c r="E978" s="15"/>
      <c r="F978" s="20"/>
    </row>
    <row r="979" spans="2:6" ht="17.25" customHeight="1">
      <c r="B979" s="15"/>
      <c r="C979" s="15"/>
      <c r="D979" s="15"/>
      <c r="E979" s="15"/>
      <c r="F979" s="20"/>
    </row>
    <row r="980" spans="2:6" ht="17.25" customHeight="1">
      <c r="B980" s="15"/>
      <c r="C980" s="15"/>
      <c r="D980" s="15"/>
      <c r="E980" s="15"/>
      <c r="F980" s="20"/>
    </row>
    <row r="981" spans="2:6" ht="17.25" customHeight="1">
      <c r="B981" s="15"/>
      <c r="C981" s="15"/>
      <c r="D981" s="15"/>
      <c r="E981" s="15"/>
      <c r="F981" s="20"/>
    </row>
    <row r="982" spans="2:6" ht="17.25" customHeight="1">
      <c r="B982" s="15"/>
      <c r="C982" s="15"/>
      <c r="D982" s="15"/>
      <c r="E982" s="15"/>
      <c r="F982" s="20"/>
    </row>
    <row r="983" spans="2:6" ht="17.25" customHeight="1">
      <c r="B983" s="15"/>
      <c r="C983" s="15"/>
      <c r="D983" s="15"/>
      <c r="E983" s="15"/>
      <c r="F983" s="20"/>
    </row>
    <row r="984" spans="2:6" ht="17.25" customHeight="1">
      <c r="B984" s="15"/>
      <c r="C984" s="15"/>
      <c r="D984" s="15"/>
      <c r="E984" s="15"/>
      <c r="F984" s="20"/>
    </row>
    <row r="985" spans="2:6" ht="17.25" customHeight="1">
      <c r="B985" s="15"/>
      <c r="C985" s="15"/>
      <c r="D985" s="15"/>
      <c r="E985" s="15"/>
      <c r="F985" s="20"/>
    </row>
    <row r="986" spans="2:6" ht="17.25" customHeight="1">
      <c r="B986" s="15"/>
      <c r="C986" s="15"/>
      <c r="D986" s="15"/>
      <c r="E986" s="15"/>
      <c r="F986" s="20"/>
    </row>
    <row r="987" spans="2:6" ht="17.25" customHeight="1">
      <c r="B987" s="15"/>
      <c r="C987" s="15"/>
      <c r="D987" s="15"/>
      <c r="E987" s="15"/>
      <c r="F987" s="20"/>
    </row>
    <row r="988" spans="2:6" ht="17.25" customHeight="1">
      <c r="B988" s="15"/>
      <c r="C988" s="15"/>
      <c r="D988" s="15"/>
      <c r="E988" s="15"/>
      <c r="F988" s="20"/>
    </row>
    <row r="989" spans="2:6" ht="17.25" customHeight="1">
      <c r="B989" s="15"/>
      <c r="C989" s="15"/>
      <c r="D989" s="15"/>
      <c r="E989" s="15"/>
      <c r="F989" s="20"/>
    </row>
    <row r="990" spans="2:6" ht="17.25" customHeight="1">
      <c r="B990" s="15"/>
      <c r="C990" s="15"/>
      <c r="D990" s="15"/>
      <c r="E990" s="15"/>
      <c r="F990" s="20"/>
    </row>
    <row r="991" spans="2:6" ht="17.25" customHeight="1">
      <c r="B991" s="15"/>
      <c r="C991" s="15"/>
      <c r="D991" s="15"/>
      <c r="E991" s="15"/>
      <c r="F991" s="20"/>
    </row>
    <row r="992" spans="2:6" ht="17.25" customHeight="1">
      <c r="B992" s="15"/>
      <c r="C992" s="15"/>
      <c r="D992" s="15"/>
      <c r="E992" s="15"/>
      <c r="F992" s="20"/>
    </row>
    <row r="993" spans="2:6" ht="17.25" customHeight="1">
      <c r="B993" s="15"/>
      <c r="C993" s="15"/>
      <c r="D993" s="15"/>
      <c r="E993" s="15"/>
      <c r="F993" s="20"/>
    </row>
    <row r="994" spans="2:6" ht="17.25" customHeight="1">
      <c r="B994" s="15"/>
      <c r="C994" s="15"/>
      <c r="D994" s="15"/>
      <c r="E994" s="15"/>
      <c r="F994" s="20"/>
    </row>
    <row r="995" spans="2:6" ht="17.25" customHeight="1">
      <c r="B995" s="15"/>
      <c r="C995" s="15"/>
      <c r="D995" s="15"/>
      <c r="E995" s="15"/>
      <c r="F995" s="20"/>
    </row>
    <row r="996" spans="2:6" ht="17.25" customHeight="1">
      <c r="B996" s="15"/>
      <c r="C996" s="15"/>
      <c r="D996" s="15"/>
      <c r="E996" s="15"/>
      <c r="F996" s="20"/>
    </row>
    <row r="997" spans="2:6" ht="17.25" customHeight="1">
      <c r="B997" s="15"/>
      <c r="C997" s="15"/>
      <c r="D997" s="15"/>
      <c r="E997" s="15"/>
      <c r="F997" s="20"/>
    </row>
    <row r="998" spans="2:6" ht="17.25" customHeight="1">
      <c r="B998" s="15"/>
      <c r="C998" s="15"/>
      <c r="D998" s="15"/>
      <c r="E998" s="15"/>
      <c r="F998" s="20"/>
    </row>
    <row r="999" spans="2:6" ht="17.25" customHeight="1">
      <c r="B999" s="15"/>
      <c r="C999" s="15"/>
      <c r="D999" s="15"/>
      <c r="E999" s="15"/>
      <c r="F999" s="20"/>
    </row>
    <row r="1000" spans="2:6" ht="17.25" customHeight="1">
      <c r="B1000" s="15"/>
      <c r="C1000" s="15"/>
      <c r="D1000" s="15"/>
      <c r="E1000" s="15"/>
      <c r="F1000" s="20"/>
    </row>
    <row r="1001" spans="2:6" ht="17.25" customHeight="1">
      <c r="B1001" s="15"/>
      <c r="C1001" s="15"/>
      <c r="D1001" s="15"/>
      <c r="E1001" s="15"/>
      <c r="F1001" s="20"/>
    </row>
    <row r="1002" spans="2:6" ht="17.25" customHeight="1">
      <c r="B1002" s="15"/>
      <c r="C1002" s="15"/>
      <c r="D1002" s="15"/>
      <c r="E1002" s="15"/>
      <c r="F1002" s="20"/>
    </row>
    <row r="1003" spans="2:6" ht="17.25" customHeight="1">
      <c r="B1003" s="15"/>
      <c r="C1003" s="15"/>
      <c r="D1003" s="15"/>
      <c r="E1003" s="15"/>
      <c r="F1003" s="20"/>
    </row>
    <row r="1004" spans="2:6" ht="17.25" customHeight="1">
      <c r="B1004" s="15"/>
      <c r="C1004" s="15"/>
      <c r="D1004" s="15"/>
      <c r="E1004" s="15"/>
      <c r="F1004" s="20"/>
    </row>
    <row r="1005" spans="2:6" ht="17.25" customHeight="1">
      <c r="B1005" s="15"/>
      <c r="C1005" s="15"/>
      <c r="D1005" s="15"/>
      <c r="E1005" s="15"/>
      <c r="F1005" s="20"/>
    </row>
    <row r="1006" spans="2:6" ht="17.25" customHeight="1">
      <c r="B1006" s="15"/>
      <c r="C1006" s="15"/>
      <c r="D1006" s="15"/>
      <c r="E1006" s="15"/>
      <c r="F1006" s="20"/>
    </row>
    <row r="1007" spans="2:6" ht="17.25" customHeight="1">
      <c r="B1007" s="15"/>
      <c r="C1007" s="15"/>
      <c r="D1007" s="15"/>
      <c r="E1007" s="15"/>
      <c r="F1007" s="20"/>
    </row>
    <row r="1008" spans="2:6" ht="17.25" customHeight="1">
      <c r="B1008" s="15"/>
      <c r="C1008" s="15"/>
      <c r="D1008" s="15"/>
      <c r="E1008" s="15"/>
      <c r="F1008" s="20"/>
    </row>
    <row r="1009" spans="2:6" ht="17.25" customHeight="1">
      <c r="B1009" s="15"/>
      <c r="C1009" s="15"/>
      <c r="D1009" s="15"/>
      <c r="E1009" s="15"/>
      <c r="F1009" s="20"/>
    </row>
    <row r="1010" spans="2:6" ht="17.25" customHeight="1">
      <c r="B1010" s="15"/>
      <c r="C1010" s="15"/>
      <c r="D1010" s="15"/>
      <c r="E1010" s="15"/>
      <c r="F1010" s="20"/>
    </row>
    <row r="1011" spans="2:6" ht="17.25" customHeight="1">
      <c r="B1011" s="15"/>
      <c r="C1011" s="15"/>
      <c r="D1011" s="15"/>
      <c r="E1011" s="15"/>
      <c r="F1011" s="20"/>
    </row>
    <row r="1012" spans="2:6" ht="17.25" customHeight="1">
      <c r="B1012" s="15"/>
      <c r="C1012" s="15"/>
      <c r="D1012" s="15"/>
      <c r="E1012" s="15"/>
      <c r="F1012" s="20"/>
    </row>
    <row r="1013" spans="2:6" ht="17.25" customHeight="1">
      <c r="B1013" s="15"/>
      <c r="C1013" s="15"/>
      <c r="D1013" s="15"/>
      <c r="E1013" s="15"/>
      <c r="F1013" s="20"/>
    </row>
    <row r="1014" spans="2:6" ht="17.25" customHeight="1">
      <c r="B1014" s="15"/>
      <c r="C1014" s="15"/>
      <c r="D1014" s="15"/>
      <c r="E1014" s="15"/>
      <c r="F1014" s="20"/>
    </row>
    <row r="1015" spans="2:6" ht="17.25" customHeight="1">
      <c r="B1015" s="15"/>
      <c r="C1015" s="15"/>
      <c r="D1015" s="15"/>
      <c r="E1015" s="15"/>
      <c r="F1015" s="20"/>
    </row>
    <row r="1016" spans="2:6" ht="17.25" customHeight="1">
      <c r="B1016" s="15"/>
      <c r="C1016" s="15"/>
      <c r="D1016" s="15"/>
      <c r="E1016" s="15"/>
      <c r="F1016" s="20"/>
    </row>
    <row r="1017" spans="2:6" ht="17.25" customHeight="1">
      <c r="B1017" s="15"/>
      <c r="C1017" s="15"/>
      <c r="D1017" s="15"/>
      <c r="E1017" s="15"/>
      <c r="F1017" s="20"/>
    </row>
    <row r="1018" spans="2:6" ht="17.25" customHeight="1">
      <c r="B1018" s="15"/>
      <c r="C1018" s="15"/>
      <c r="D1018" s="15"/>
      <c r="E1018" s="15"/>
      <c r="F1018" s="20"/>
    </row>
    <row r="1019" spans="2:6" ht="17.25" customHeight="1">
      <c r="B1019" s="15"/>
      <c r="C1019" s="15"/>
      <c r="D1019" s="15"/>
      <c r="E1019" s="15"/>
      <c r="F1019" s="20"/>
    </row>
    <row r="1020" spans="2:6" ht="17.25" customHeight="1">
      <c r="B1020" s="15"/>
      <c r="C1020" s="15"/>
      <c r="D1020" s="15"/>
      <c r="E1020" s="15"/>
      <c r="F1020" s="20"/>
    </row>
    <row r="1021" spans="2:6" ht="17.25" customHeight="1">
      <c r="B1021" s="15"/>
      <c r="C1021" s="15"/>
      <c r="D1021" s="15"/>
      <c r="E1021" s="15"/>
      <c r="F1021" s="20"/>
    </row>
    <row r="1022" spans="2:6" ht="17.25" customHeight="1">
      <c r="B1022" s="15"/>
      <c r="C1022" s="15"/>
      <c r="D1022" s="15"/>
      <c r="E1022" s="15"/>
      <c r="F1022" s="20"/>
    </row>
    <row r="1023" spans="2:6" ht="17.25" customHeight="1">
      <c r="B1023" s="15"/>
      <c r="C1023" s="15"/>
      <c r="D1023" s="15"/>
      <c r="E1023" s="15"/>
      <c r="F1023" s="20"/>
    </row>
    <row r="1024" spans="2:6" ht="17.25" customHeight="1">
      <c r="B1024" s="15"/>
      <c r="C1024" s="15"/>
      <c r="D1024" s="15"/>
      <c r="E1024" s="15"/>
      <c r="F1024" s="20"/>
    </row>
    <row r="1025" spans="2:6" ht="17.25" customHeight="1">
      <c r="B1025" s="15"/>
      <c r="C1025" s="15"/>
      <c r="D1025" s="15"/>
      <c r="E1025" s="15"/>
      <c r="F1025" s="20"/>
    </row>
    <row r="1026" spans="2:6" ht="17.25" customHeight="1">
      <c r="B1026" s="15"/>
      <c r="C1026" s="15"/>
      <c r="D1026" s="15"/>
      <c r="E1026" s="15"/>
      <c r="F1026" s="20"/>
    </row>
    <row r="1027" spans="2:6" ht="17.25" customHeight="1">
      <c r="B1027" s="15"/>
      <c r="C1027" s="15"/>
      <c r="D1027" s="15"/>
      <c r="E1027" s="15"/>
      <c r="F1027" s="20"/>
    </row>
    <row r="1028" spans="2:6" ht="17.25" customHeight="1">
      <c r="B1028" s="15"/>
      <c r="C1028" s="15"/>
      <c r="D1028" s="15"/>
      <c r="E1028" s="15"/>
      <c r="F1028" s="20"/>
    </row>
    <row r="1029" spans="2:6" ht="17.25" customHeight="1">
      <c r="B1029" s="15"/>
      <c r="C1029" s="15"/>
      <c r="D1029" s="15"/>
      <c r="E1029" s="15"/>
      <c r="F1029" s="20"/>
    </row>
    <row r="1030" spans="2:6" ht="17.25" customHeight="1">
      <c r="B1030" s="15"/>
      <c r="C1030" s="15"/>
      <c r="D1030" s="15"/>
      <c r="E1030" s="15"/>
      <c r="F1030" s="20"/>
    </row>
    <row r="1031" spans="2:6" ht="17.25" customHeight="1">
      <c r="B1031" s="15"/>
      <c r="C1031" s="15"/>
      <c r="D1031" s="15"/>
      <c r="E1031" s="15"/>
      <c r="F1031" s="20"/>
    </row>
    <row r="1032" spans="2:6" ht="17.25" customHeight="1">
      <c r="B1032" s="15"/>
      <c r="C1032" s="15"/>
      <c r="D1032" s="15"/>
      <c r="E1032" s="15"/>
      <c r="F1032" s="20"/>
    </row>
    <row r="1033" spans="2:6" ht="17.25" customHeight="1">
      <c r="B1033" s="15"/>
      <c r="C1033" s="15"/>
      <c r="D1033" s="15"/>
      <c r="E1033" s="15"/>
      <c r="F1033" s="20"/>
    </row>
    <row r="1034" spans="2:6" ht="17.25" customHeight="1">
      <c r="B1034" s="15"/>
      <c r="C1034" s="15"/>
      <c r="D1034" s="15"/>
      <c r="E1034" s="15"/>
      <c r="F1034" s="20"/>
    </row>
    <row r="1035" spans="2:6" ht="17.25" customHeight="1">
      <c r="B1035" s="15"/>
      <c r="C1035" s="15"/>
      <c r="D1035" s="15"/>
      <c r="E1035" s="15"/>
      <c r="F1035" s="20"/>
    </row>
    <row r="1036" spans="2:6" ht="17.25" customHeight="1">
      <c r="B1036" s="15"/>
      <c r="C1036" s="15"/>
      <c r="D1036" s="15"/>
      <c r="E1036" s="15"/>
      <c r="F1036" s="20"/>
    </row>
    <row r="1037" spans="2:6" ht="17.25" customHeight="1">
      <c r="B1037" s="15"/>
      <c r="C1037" s="15"/>
      <c r="D1037" s="15"/>
      <c r="E1037" s="15"/>
      <c r="F1037" s="20"/>
    </row>
    <row r="1038" spans="2:6" ht="17.25" customHeight="1">
      <c r="B1038" s="15"/>
      <c r="C1038" s="15"/>
      <c r="D1038" s="15"/>
      <c r="E1038" s="15"/>
      <c r="F1038" s="20"/>
    </row>
    <row r="1039" spans="2:6" ht="17.25" customHeight="1">
      <c r="B1039" s="15"/>
      <c r="C1039" s="15"/>
      <c r="D1039" s="15"/>
      <c r="E1039" s="15"/>
      <c r="F1039" s="20"/>
    </row>
    <row r="1040" spans="2:6" ht="17.25" customHeight="1">
      <c r="B1040" s="15"/>
      <c r="C1040" s="15"/>
      <c r="D1040" s="15"/>
      <c r="E1040" s="15"/>
      <c r="F1040" s="20"/>
    </row>
    <row r="1041" spans="2:6" ht="17.25" customHeight="1">
      <c r="B1041" s="15"/>
      <c r="C1041" s="15"/>
      <c r="D1041" s="15"/>
      <c r="E1041" s="15"/>
      <c r="F1041" s="20"/>
    </row>
    <row r="1042" spans="2:6" ht="17.25" customHeight="1">
      <c r="B1042" s="15"/>
      <c r="C1042" s="15"/>
      <c r="D1042" s="15"/>
      <c r="E1042" s="15"/>
      <c r="F1042" s="20"/>
    </row>
    <row r="1043" spans="2:6" ht="17.25" customHeight="1">
      <c r="B1043" s="15"/>
      <c r="C1043" s="15"/>
      <c r="D1043" s="15"/>
      <c r="E1043" s="15"/>
      <c r="F1043" s="20"/>
    </row>
    <row r="1044" spans="2:6" ht="17.25" customHeight="1">
      <c r="B1044" s="15"/>
      <c r="C1044" s="15"/>
      <c r="D1044" s="15"/>
      <c r="E1044" s="15"/>
      <c r="F1044" s="20"/>
    </row>
    <row r="1045" spans="2:6" ht="17.25" customHeight="1">
      <c r="B1045" s="15"/>
      <c r="C1045" s="15"/>
      <c r="D1045" s="15"/>
      <c r="E1045" s="15"/>
      <c r="F1045" s="20"/>
    </row>
    <row r="1046" spans="2:6" ht="17.25" customHeight="1">
      <c r="B1046" s="15"/>
      <c r="C1046" s="15"/>
      <c r="D1046" s="15"/>
      <c r="E1046" s="15"/>
      <c r="F1046" s="20"/>
    </row>
    <row r="1047" spans="2:6" ht="17.25" customHeight="1">
      <c r="B1047" s="15"/>
      <c r="C1047" s="15"/>
      <c r="D1047" s="15"/>
      <c r="E1047" s="15"/>
      <c r="F1047" s="20"/>
    </row>
    <row r="1048" spans="2:6" ht="17.25" customHeight="1">
      <c r="B1048" s="15"/>
      <c r="C1048" s="15"/>
      <c r="D1048" s="15"/>
      <c r="E1048" s="15"/>
      <c r="F1048" s="20"/>
    </row>
    <row r="1049" spans="2:6" ht="17.25" customHeight="1">
      <c r="B1049" s="15"/>
      <c r="C1049" s="15"/>
      <c r="D1049" s="15"/>
      <c r="E1049" s="15"/>
      <c r="F1049" s="20"/>
    </row>
    <row r="1050" spans="2:6" ht="17.25" customHeight="1">
      <c r="B1050" s="15"/>
      <c r="C1050" s="15"/>
      <c r="D1050" s="15"/>
      <c r="E1050" s="15"/>
      <c r="F1050" s="20"/>
    </row>
    <row r="1051" spans="2:6" ht="17.25" customHeight="1">
      <c r="B1051" s="15"/>
      <c r="C1051" s="15"/>
      <c r="D1051" s="15"/>
      <c r="E1051" s="15"/>
      <c r="F1051" s="20"/>
    </row>
    <row r="1052" spans="2:6" ht="17.25" customHeight="1">
      <c r="B1052" s="15"/>
      <c r="C1052" s="15"/>
      <c r="D1052" s="15"/>
      <c r="E1052" s="15"/>
      <c r="F1052" s="20"/>
    </row>
    <row r="1053" spans="2:6" ht="17.25" customHeight="1">
      <c r="B1053" s="15"/>
      <c r="C1053" s="15"/>
      <c r="D1053" s="15"/>
      <c r="E1053" s="15"/>
      <c r="F1053" s="20"/>
    </row>
    <row r="1054" spans="2:6" ht="17.25" customHeight="1">
      <c r="B1054" s="15"/>
      <c r="C1054" s="15"/>
      <c r="D1054" s="15"/>
      <c r="E1054" s="15"/>
      <c r="F1054" s="20"/>
    </row>
    <row r="1055" spans="2:6" ht="17.25" customHeight="1">
      <c r="B1055" s="15"/>
      <c r="C1055" s="15"/>
      <c r="D1055" s="15"/>
      <c r="E1055" s="15"/>
      <c r="F1055" s="20"/>
    </row>
    <row r="1056" spans="2:6" ht="17.25" customHeight="1">
      <c r="B1056" s="15"/>
      <c r="C1056" s="15"/>
      <c r="D1056" s="15"/>
      <c r="E1056" s="15"/>
      <c r="F1056" s="20"/>
    </row>
    <row r="1057" spans="2:6" ht="17.25" customHeight="1">
      <c r="B1057" s="15"/>
      <c r="C1057" s="15"/>
      <c r="D1057" s="15"/>
      <c r="E1057" s="15"/>
      <c r="F1057" s="20"/>
    </row>
    <row r="1058" spans="2:6" ht="17.25" customHeight="1">
      <c r="B1058" s="15"/>
      <c r="C1058" s="15"/>
      <c r="D1058" s="15"/>
      <c r="E1058" s="15"/>
      <c r="F1058" s="20"/>
    </row>
    <row r="1059" spans="2:6" ht="17.25" customHeight="1">
      <c r="B1059" s="15"/>
      <c r="C1059" s="15"/>
      <c r="D1059" s="15"/>
      <c r="E1059" s="15"/>
      <c r="F1059" s="20"/>
    </row>
    <row r="1060" spans="2:6" ht="17.25" customHeight="1">
      <c r="B1060" s="15"/>
      <c r="C1060" s="15"/>
      <c r="D1060" s="15"/>
      <c r="E1060" s="15"/>
      <c r="F1060" s="20"/>
    </row>
    <row r="1061" spans="2:6" ht="17.25" customHeight="1">
      <c r="B1061" s="15"/>
      <c r="C1061" s="15"/>
      <c r="D1061" s="15"/>
      <c r="E1061" s="15"/>
      <c r="F1061" s="20"/>
    </row>
    <row r="1062" spans="2:6" ht="17.25" customHeight="1">
      <c r="B1062" s="15"/>
      <c r="C1062" s="15"/>
      <c r="D1062" s="15"/>
      <c r="E1062" s="15"/>
      <c r="F1062" s="20"/>
    </row>
    <row r="1063" spans="2:6" ht="17.25" customHeight="1">
      <c r="B1063" s="15"/>
      <c r="C1063" s="15"/>
      <c r="D1063" s="15"/>
      <c r="E1063" s="15"/>
      <c r="F1063" s="20"/>
    </row>
    <row r="1064" spans="2:6" ht="17.25" customHeight="1">
      <c r="B1064" s="15"/>
      <c r="C1064" s="15"/>
      <c r="D1064" s="15"/>
      <c r="E1064" s="15"/>
      <c r="F1064" s="20"/>
    </row>
    <row r="1065" spans="2:6" ht="17.25" customHeight="1">
      <c r="B1065" s="15"/>
      <c r="C1065" s="15"/>
      <c r="D1065" s="15"/>
      <c r="E1065" s="15"/>
      <c r="F1065" s="20"/>
    </row>
    <row r="1066" spans="2:6" ht="17.25" customHeight="1">
      <c r="B1066" s="15"/>
      <c r="C1066" s="15"/>
      <c r="D1066" s="15"/>
      <c r="E1066" s="15"/>
      <c r="F1066" s="20"/>
    </row>
    <row r="1067" spans="2:6" ht="17.25" customHeight="1">
      <c r="B1067" s="15"/>
      <c r="C1067" s="15"/>
      <c r="D1067" s="15"/>
      <c r="E1067" s="15"/>
      <c r="F1067" s="20"/>
    </row>
    <row r="1068" spans="2:6" ht="17.25" customHeight="1">
      <c r="B1068" s="15"/>
      <c r="C1068" s="15"/>
      <c r="D1068" s="15"/>
      <c r="E1068" s="15"/>
      <c r="F1068" s="20"/>
    </row>
    <row r="1069" spans="2:6" ht="17.25" customHeight="1">
      <c r="B1069" s="15"/>
      <c r="C1069" s="15"/>
      <c r="D1069" s="15"/>
      <c r="E1069" s="15"/>
      <c r="F1069" s="20"/>
    </row>
    <row r="1070" spans="2:6" ht="17.25" customHeight="1">
      <c r="B1070" s="15"/>
      <c r="C1070" s="15"/>
      <c r="D1070" s="15"/>
      <c r="E1070" s="15"/>
      <c r="F1070" s="20"/>
    </row>
    <row r="1071" spans="2:6" ht="17.25" customHeight="1">
      <c r="B1071" s="15"/>
      <c r="C1071" s="15"/>
      <c r="D1071" s="15"/>
      <c r="E1071" s="15"/>
      <c r="F1071" s="20"/>
    </row>
    <row r="1072" spans="2:6" ht="17.25" customHeight="1">
      <c r="B1072" s="15"/>
      <c r="C1072" s="15"/>
      <c r="D1072" s="15"/>
      <c r="E1072" s="15"/>
      <c r="F1072" s="20"/>
    </row>
    <row r="1073" spans="2:6" ht="17.25" customHeight="1">
      <c r="B1073" s="15"/>
      <c r="C1073" s="15"/>
      <c r="D1073" s="15"/>
      <c r="E1073" s="15"/>
      <c r="F1073" s="20"/>
    </row>
    <row r="1074" spans="2:6" ht="17.25" customHeight="1">
      <c r="B1074" s="15"/>
      <c r="C1074" s="15"/>
      <c r="D1074" s="15"/>
      <c r="E1074" s="15"/>
      <c r="F1074" s="20"/>
    </row>
    <row r="1075" spans="2:6" ht="17.25" customHeight="1">
      <c r="B1075" s="15"/>
      <c r="C1075" s="15"/>
      <c r="D1075" s="15"/>
      <c r="E1075" s="15"/>
      <c r="F1075" s="20"/>
    </row>
    <row r="1076" spans="2:6" ht="17.25" customHeight="1">
      <c r="B1076" s="15"/>
      <c r="C1076" s="15"/>
      <c r="D1076" s="15"/>
      <c r="E1076" s="15"/>
      <c r="F1076" s="20"/>
    </row>
    <row r="1077" spans="2:6" ht="17.25" customHeight="1">
      <c r="B1077" s="15"/>
      <c r="C1077" s="15"/>
      <c r="D1077" s="15"/>
      <c r="E1077" s="15"/>
      <c r="F1077" s="20"/>
    </row>
    <row r="1078" spans="2:6" ht="17.25" customHeight="1">
      <c r="B1078" s="15"/>
      <c r="C1078" s="15"/>
      <c r="D1078" s="15"/>
      <c r="E1078" s="15"/>
      <c r="F1078" s="20"/>
    </row>
    <row r="1079" spans="2:6" ht="17.25" customHeight="1">
      <c r="B1079" s="15"/>
      <c r="C1079" s="15"/>
      <c r="D1079" s="15"/>
      <c r="E1079" s="15"/>
      <c r="F1079" s="20"/>
    </row>
    <row r="1080" spans="2:6" ht="17.25" customHeight="1">
      <c r="B1080" s="15"/>
      <c r="C1080" s="15"/>
      <c r="D1080" s="15"/>
      <c r="E1080" s="15"/>
      <c r="F1080" s="20"/>
    </row>
    <row r="1081" spans="2:6" ht="17.25" customHeight="1">
      <c r="B1081" s="15"/>
      <c r="C1081" s="15"/>
      <c r="D1081" s="15"/>
      <c r="E1081" s="15"/>
      <c r="F1081" s="20"/>
    </row>
    <row r="1082" spans="2:6" ht="17.25" customHeight="1">
      <c r="B1082" s="15"/>
      <c r="C1082" s="15"/>
      <c r="D1082" s="15"/>
      <c r="E1082" s="15"/>
      <c r="F1082" s="20"/>
    </row>
    <row r="1083" spans="2:6" ht="17.25" customHeight="1">
      <c r="B1083" s="15"/>
      <c r="C1083" s="15"/>
      <c r="D1083" s="15"/>
      <c r="E1083" s="15"/>
      <c r="F1083" s="20"/>
    </row>
    <row r="1084" spans="2:6" ht="17.25" customHeight="1">
      <c r="B1084" s="15"/>
      <c r="C1084" s="15"/>
      <c r="D1084" s="15"/>
      <c r="E1084" s="15"/>
      <c r="F1084" s="20"/>
    </row>
    <row r="1085" spans="2:6" ht="17.25" customHeight="1">
      <c r="B1085" s="15"/>
      <c r="C1085" s="15"/>
      <c r="D1085" s="15"/>
      <c r="E1085" s="15"/>
      <c r="F1085" s="20"/>
    </row>
    <row r="1086" spans="2:6" ht="17.25" customHeight="1">
      <c r="B1086" s="15"/>
      <c r="C1086" s="15"/>
      <c r="D1086" s="15"/>
      <c r="E1086" s="15"/>
      <c r="F1086" s="20"/>
    </row>
    <row r="1087" spans="2:6" ht="17.25" customHeight="1">
      <c r="B1087" s="15"/>
      <c r="C1087" s="15"/>
      <c r="D1087" s="15"/>
      <c r="E1087" s="15"/>
      <c r="F1087" s="20"/>
    </row>
    <row r="1088" spans="2:6" ht="17.25" customHeight="1">
      <c r="B1088" s="15"/>
      <c r="C1088" s="15"/>
      <c r="D1088" s="15"/>
      <c r="E1088" s="15"/>
      <c r="F1088" s="20"/>
    </row>
    <row r="1089" spans="2:6" ht="17.25" customHeight="1">
      <c r="B1089" s="15"/>
      <c r="C1089" s="15"/>
      <c r="D1089" s="15"/>
      <c r="E1089" s="15"/>
      <c r="F1089" s="20"/>
    </row>
    <row r="1090" spans="2:6" ht="17.25" customHeight="1">
      <c r="B1090" s="15"/>
      <c r="C1090" s="15"/>
      <c r="D1090" s="15"/>
      <c r="E1090" s="15"/>
      <c r="F1090" s="20"/>
    </row>
    <row r="1091" spans="2:6" ht="17.25" customHeight="1">
      <c r="B1091" s="15"/>
      <c r="C1091" s="15"/>
      <c r="D1091" s="15"/>
      <c r="E1091" s="15"/>
      <c r="F1091" s="20"/>
    </row>
    <row r="1092" spans="2:6" ht="17.25" customHeight="1">
      <c r="B1092" s="15"/>
      <c r="C1092" s="15"/>
      <c r="D1092" s="15"/>
      <c r="E1092" s="15"/>
      <c r="F1092" s="20"/>
    </row>
    <row r="1093" spans="2:6" ht="17.25" customHeight="1">
      <c r="B1093" s="15"/>
      <c r="C1093" s="15"/>
      <c r="D1093" s="15"/>
      <c r="E1093" s="15"/>
      <c r="F1093" s="20"/>
    </row>
    <row r="1094" spans="2:6" ht="17.25" customHeight="1">
      <c r="B1094" s="15"/>
      <c r="C1094" s="15"/>
      <c r="D1094" s="15"/>
      <c r="E1094" s="15"/>
      <c r="F1094" s="20"/>
    </row>
    <row r="1095" spans="2:6" ht="17.25" customHeight="1">
      <c r="B1095" s="15"/>
      <c r="C1095" s="15"/>
      <c r="D1095" s="15"/>
      <c r="E1095" s="15"/>
      <c r="F1095" s="20"/>
    </row>
    <row r="1096" spans="2:6" ht="17.25" customHeight="1">
      <c r="B1096" s="15"/>
      <c r="C1096" s="15"/>
      <c r="D1096" s="15"/>
      <c r="E1096" s="15"/>
      <c r="F1096" s="20"/>
    </row>
    <row r="1097" spans="2:6" ht="17.25" customHeight="1">
      <c r="B1097" s="15"/>
      <c r="C1097" s="15"/>
      <c r="D1097" s="15"/>
      <c r="E1097" s="15"/>
      <c r="F1097" s="20"/>
    </row>
    <row r="1098" spans="2:6" ht="17.25" customHeight="1">
      <c r="B1098" s="15"/>
      <c r="C1098" s="15"/>
      <c r="D1098" s="15"/>
      <c r="E1098" s="15"/>
      <c r="F1098" s="20"/>
    </row>
    <row r="1099" spans="2:6" ht="17.25" customHeight="1">
      <c r="B1099" s="15"/>
      <c r="C1099" s="15"/>
      <c r="D1099" s="15"/>
      <c r="E1099" s="15"/>
      <c r="F1099" s="20"/>
    </row>
    <row r="1100" spans="2:6" ht="17.25" customHeight="1">
      <c r="B1100" s="15"/>
      <c r="C1100" s="15"/>
      <c r="D1100" s="15"/>
      <c r="E1100" s="15"/>
      <c r="F1100" s="20"/>
    </row>
    <row r="1101" spans="2:6" ht="17.25" customHeight="1">
      <c r="B1101" s="15"/>
      <c r="C1101" s="15"/>
      <c r="D1101" s="15"/>
      <c r="E1101" s="15"/>
      <c r="F1101" s="20"/>
    </row>
    <row r="1102" spans="2:6" ht="17.25" customHeight="1">
      <c r="B1102" s="15"/>
      <c r="C1102" s="15"/>
      <c r="D1102" s="15"/>
      <c r="E1102" s="15"/>
      <c r="F1102" s="20"/>
    </row>
    <row r="1103" spans="2:6" ht="17.25" customHeight="1">
      <c r="B1103" s="15"/>
      <c r="C1103" s="15"/>
      <c r="D1103" s="15"/>
      <c r="E1103" s="15"/>
      <c r="F1103" s="20"/>
    </row>
    <row r="1104" spans="2:6" ht="17.25" customHeight="1">
      <c r="B1104" s="15"/>
      <c r="C1104" s="15"/>
      <c r="D1104" s="15"/>
      <c r="E1104" s="15"/>
      <c r="F1104" s="20"/>
    </row>
    <row r="1105" spans="2:6" ht="17.25" customHeight="1">
      <c r="B1105" s="15"/>
      <c r="C1105" s="15"/>
      <c r="D1105" s="15"/>
      <c r="E1105" s="15"/>
      <c r="F1105" s="20"/>
    </row>
    <row r="1106" spans="2:6" ht="17.25" customHeight="1">
      <c r="B1106" s="15"/>
      <c r="C1106" s="15"/>
      <c r="D1106" s="15"/>
      <c r="E1106" s="15"/>
      <c r="F1106" s="20"/>
    </row>
    <row r="1107" spans="2:6" ht="17.25" customHeight="1">
      <c r="B1107" s="15"/>
      <c r="C1107" s="15"/>
      <c r="D1107" s="15"/>
      <c r="E1107" s="15"/>
      <c r="F1107" s="20"/>
    </row>
    <row r="1108" spans="2:6" ht="17.25" customHeight="1">
      <c r="B1108" s="15"/>
      <c r="C1108" s="15"/>
      <c r="D1108" s="15"/>
      <c r="E1108" s="15"/>
      <c r="F1108" s="20"/>
    </row>
    <row r="1109" spans="2:6" ht="17.25" customHeight="1">
      <c r="B1109" s="15"/>
      <c r="C1109" s="15"/>
      <c r="D1109" s="15"/>
      <c r="E1109" s="15"/>
      <c r="F1109" s="20"/>
    </row>
    <row r="1110" spans="2:6" ht="17.25" customHeight="1">
      <c r="B1110" s="15"/>
      <c r="C1110" s="15"/>
      <c r="D1110" s="15"/>
      <c r="E1110" s="15"/>
      <c r="F1110" s="20"/>
    </row>
    <row r="1111" spans="2:6" ht="17.25" customHeight="1">
      <c r="B1111" s="15"/>
      <c r="C1111" s="15"/>
      <c r="D1111" s="15"/>
      <c r="E1111" s="15"/>
      <c r="F1111" s="20"/>
    </row>
    <row r="1112" spans="2:6" ht="17.25" customHeight="1">
      <c r="B1112" s="15"/>
      <c r="C1112" s="15"/>
      <c r="D1112" s="15"/>
      <c r="E1112" s="15"/>
      <c r="F1112" s="20"/>
    </row>
    <row r="1113" spans="2:6" ht="17.25" customHeight="1">
      <c r="B1113" s="15"/>
      <c r="C1113" s="15"/>
      <c r="D1113" s="15"/>
      <c r="E1113" s="15"/>
      <c r="F1113" s="20"/>
    </row>
    <row r="1114" spans="2:6" ht="17.25" customHeight="1">
      <c r="B1114" s="15"/>
      <c r="C1114" s="15"/>
      <c r="D1114" s="15"/>
      <c r="E1114" s="15"/>
      <c r="F1114" s="20"/>
    </row>
    <row r="1115" spans="2:6" ht="17.25" customHeight="1">
      <c r="B1115" s="15"/>
      <c r="C1115" s="15"/>
      <c r="D1115" s="15"/>
      <c r="E1115" s="15"/>
      <c r="F1115" s="20"/>
    </row>
    <row r="1116" spans="2:6" ht="17.25" customHeight="1">
      <c r="B1116" s="15"/>
      <c r="C1116" s="15"/>
      <c r="D1116" s="15"/>
      <c r="E1116" s="15"/>
      <c r="F1116" s="20"/>
    </row>
    <row r="1117" spans="2:6" ht="17.25" customHeight="1">
      <c r="B1117" s="15"/>
      <c r="C1117" s="15"/>
      <c r="D1117" s="15"/>
      <c r="E1117" s="15"/>
      <c r="F1117" s="20"/>
    </row>
    <row r="1118" spans="2:6" ht="17.25" customHeight="1">
      <c r="B1118" s="15"/>
      <c r="C1118" s="15"/>
      <c r="D1118" s="15"/>
      <c r="E1118" s="15"/>
      <c r="F1118" s="20"/>
    </row>
    <row r="1119" spans="2:6" ht="17.25" customHeight="1">
      <c r="B1119" s="15"/>
      <c r="C1119" s="15"/>
      <c r="D1119" s="15"/>
      <c r="E1119" s="15"/>
      <c r="F1119" s="20"/>
    </row>
    <row r="1120" spans="2:6" ht="17.25" customHeight="1">
      <c r="B1120" s="15"/>
      <c r="C1120" s="15"/>
      <c r="D1120" s="15"/>
      <c r="E1120" s="15"/>
      <c r="F1120" s="20"/>
    </row>
    <row r="1121" spans="2:6" ht="17.25" customHeight="1">
      <c r="B1121" s="15"/>
      <c r="C1121" s="15"/>
      <c r="D1121" s="15"/>
      <c r="E1121" s="15"/>
      <c r="F1121" s="20"/>
    </row>
    <row r="1122" spans="2:6" ht="17.25" customHeight="1">
      <c r="B1122" s="15"/>
      <c r="C1122" s="15"/>
      <c r="D1122" s="15"/>
      <c r="E1122" s="15"/>
      <c r="F1122" s="20"/>
    </row>
    <row r="1123" spans="2:6" ht="17.25" customHeight="1">
      <c r="B1123" s="15"/>
      <c r="C1123" s="15"/>
      <c r="D1123" s="15"/>
      <c r="E1123" s="15"/>
      <c r="F1123" s="20"/>
    </row>
    <row r="1124" spans="2:6" ht="17.25" customHeight="1">
      <c r="B1124" s="15"/>
      <c r="C1124" s="15"/>
      <c r="D1124" s="15"/>
      <c r="E1124" s="15"/>
      <c r="F1124" s="20"/>
    </row>
    <row r="1125" spans="2:6" ht="17.25" customHeight="1">
      <c r="B1125" s="15"/>
      <c r="C1125" s="15"/>
      <c r="D1125" s="15"/>
      <c r="E1125" s="15"/>
      <c r="F1125" s="20"/>
    </row>
    <row r="1126" spans="2:6" ht="17.25" customHeight="1">
      <c r="B1126" s="15"/>
      <c r="C1126" s="15"/>
      <c r="D1126" s="15"/>
      <c r="E1126" s="15"/>
      <c r="F1126" s="20"/>
    </row>
    <row r="1127" spans="2:6" ht="17.25" customHeight="1">
      <c r="B1127" s="15"/>
      <c r="C1127" s="15"/>
      <c r="D1127" s="15"/>
      <c r="E1127" s="15"/>
      <c r="F1127" s="20"/>
    </row>
    <row r="1128" spans="2:6" ht="17.25" customHeight="1">
      <c r="B1128" s="15"/>
      <c r="C1128" s="15"/>
      <c r="D1128" s="15"/>
      <c r="E1128" s="15"/>
      <c r="F1128" s="20"/>
    </row>
    <row r="1129" spans="2:6" ht="17.25" customHeight="1">
      <c r="B1129" s="15"/>
      <c r="C1129" s="15"/>
      <c r="D1129" s="15"/>
      <c r="E1129" s="15"/>
      <c r="F1129" s="20"/>
    </row>
    <row r="1130" spans="2:6" ht="17.25" customHeight="1">
      <c r="B1130" s="15"/>
      <c r="C1130" s="15"/>
      <c r="D1130" s="15"/>
      <c r="E1130" s="15"/>
      <c r="F1130" s="20"/>
    </row>
    <row r="1131" spans="2:6" ht="17.25" customHeight="1">
      <c r="B1131" s="15"/>
      <c r="C1131" s="15"/>
      <c r="D1131" s="15"/>
      <c r="E1131" s="15"/>
      <c r="F1131" s="20"/>
    </row>
    <row r="1132" spans="2:6" ht="17.25" customHeight="1">
      <c r="B1132" s="15"/>
      <c r="C1132" s="15"/>
      <c r="D1132" s="15"/>
      <c r="E1132" s="15"/>
      <c r="F1132" s="20"/>
    </row>
    <row r="1133" spans="2:6" ht="17.25" customHeight="1">
      <c r="B1133" s="15"/>
      <c r="C1133" s="15"/>
      <c r="D1133" s="15"/>
      <c r="E1133" s="15"/>
      <c r="F1133" s="20"/>
    </row>
    <row r="1134" spans="2:6" ht="17.25" customHeight="1">
      <c r="B1134" s="15"/>
      <c r="C1134" s="15"/>
      <c r="D1134" s="15"/>
      <c r="E1134" s="15"/>
      <c r="F1134" s="20"/>
    </row>
    <row r="1135" spans="2:6" ht="17.25" customHeight="1">
      <c r="B1135" s="15"/>
      <c r="C1135" s="15"/>
      <c r="D1135" s="15"/>
      <c r="E1135" s="15"/>
      <c r="F1135" s="20"/>
    </row>
    <row r="1136" spans="2:6" ht="17.25" customHeight="1">
      <c r="B1136" s="15"/>
      <c r="C1136" s="15"/>
      <c r="D1136" s="15"/>
      <c r="E1136" s="15"/>
      <c r="F1136" s="20"/>
    </row>
    <row r="1137" spans="2:6" ht="17.25" customHeight="1">
      <c r="B1137" s="15"/>
      <c r="C1137" s="15"/>
      <c r="D1137" s="15"/>
      <c r="E1137" s="15"/>
      <c r="F1137" s="20"/>
    </row>
    <row r="1138" spans="2:6" ht="17.25" customHeight="1">
      <c r="B1138" s="15"/>
      <c r="C1138" s="15"/>
      <c r="D1138" s="15"/>
      <c r="E1138" s="15"/>
      <c r="F1138" s="20"/>
    </row>
    <row r="1139" spans="2:6" ht="17.25" customHeight="1">
      <c r="B1139" s="15"/>
      <c r="C1139" s="15"/>
      <c r="D1139" s="15"/>
      <c r="E1139" s="15"/>
      <c r="F1139" s="20"/>
    </row>
    <row r="1140" spans="2:6" ht="17.25" customHeight="1">
      <c r="B1140" s="15"/>
      <c r="C1140" s="15"/>
      <c r="D1140" s="15"/>
      <c r="E1140" s="15"/>
      <c r="F1140" s="20"/>
    </row>
    <row r="1141" spans="2:6" ht="17.25" customHeight="1">
      <c r="B1141" s="15"/>
      <c r="C1141" s="15"/>
      <c r="D1141" s="15"/>
      <c r="E1141" s="15"/>
      <c r="F1141" s="20"/>
    </row>
    <row r="1142" spans="2:6" ht="17.25" customHeight="1">
      <c r="B1142" s="15"/>
      <c r="C1142" s="15"/>
      <c r="D1142" s="15"/>
      <c r="E1142" s="15"/>
      <c r="F1142" s="20"/>
    </row>
    <row r="1143" spans="2:6" ht="17.25" customHeight="1">
      <c r="B1143" s="15"/>
      <c r="C1143" s="15"/>
      <c r="D1143" s="15"/>
      <c r="E1143" s="15"/>
      <c r="F1143" s="20"/>
    </row>
    <row r="1144" spans="2:6" ht="17.25" customHeight="1">
      <c r="B1144" s="15"/>
      <c r="C1144" s="15"/>
      <c r="D1144" s="15"/>
      <c r="E1144" s="15"/>
      <c r="F1144" s="20"/>
    </row>
    <row r="1145" spans="2:6" ht="17.25" customHeight="1">
      <c r="B1145" s="15"/>
      <c r="C1145" s="15"/>
      <c r="D1145" s="15"/>
      <c r="E1145" s="15"/>
      <c r="F1145" s="20"/>
    </row>
    <row r="1146" spans="2:6" ht="17.25" customHeight="1">
      <c r="B1146" s="15"/>
      <c r="C1146" s="15"/>
      <c r="D1146" s="15"/>
      <c r="E1146" s="15"/>
      <c r="F1146" s="20"/>
    </row>
    <row r="1147" spans="2:6" ht="17.25" customHeight="1">
      <c r="B1147" s="15"/>
      <c r="C1147" s="15"/>
      <c r="D1147" s="15"/>
      <c r="E1147" s="15"/>
      <c r="F1147" s="20"/>
    </row>
    <row r="1148" spans="2:6" ht="17.25" customHeight="1">
      <c r="B1148" s="15"/>
      <c r="C1148" s="15"/>
      <c r="D1148" s="15"/>
      <c r="E1148" s="15"/>
      <c r="F1148" s="20"/>
    </row>
    <row r="1149" spans="2:6" ht="17.25" customHeight="1">
      <c r="B1149" s="15"/>
      <c r="C1149" s="15"/>
      <c r="D1149" s="15"/>
      <c r="E1149" s="15"/>
      <c r="F1149" s="20"/>
    </row>
    <row r="1150" spans="2:6" ht="17.25" customHeight="1">
      <c r="B1150" s="15"/>
      <c r="C1150" s="15"/>
      <c r="D1150" s="15"/>
      <c r="E1150" s="15"/>
      <c r="F1150" s="20"/>
    </row>
    <row r="1151" spans="2:6" ht="17.25" customHeight="1">
      <c r="B1151" s="15"/>
      <c r="C1151" s="15"/>
      <c r="D1151" s="15"/>
      <c r="E1151" s="15"/>
      <c r="F1151" s="20"/>
    </row>
    <row r="1152" spans="2:6" ht="17.25" customHeight="1">
      <c r="B1152" s="15"/>
      <c r="C1152" s="15"/>
      <c r="D1152" s="15"/>
      <c r="E1152" s="15"/>
      <c r="F1152" s="20"/>
    </row>
    <row r="1153" spans="2:6" ht="17.25" customHeight="1">
      <c r="B1153" s="15"/>
      <c r="C1153" s="15"/>
      <c r="D1153" s="15"/>
      <c r="E1153" s="15"/>
      <c r="F1153" s="20"/>
    </row>
    <row r="1154" spans="2:6" ht="17.25" customHeight="1">
      <c r="B1154" s="15"/>
      <c r="C1154" s="15"/>
      <c r="D1154" s="15"/>
      <c r="E1154" s="15"/>
      <c r="F1154" s="20"/>
    </row>
    <row r="1155" spans="2:6" ht="17.25" customHeight="1">
      <c r="B1155" s="15"/>
      <c r="C1155" s="15"/>
      <c r="D1155" s="15"/>
      <c r="E1155" s="15"/>
      <c r="F1155" s="20"/>
    </row>
    <row r="1156" spans="2:6" ht="17.25" customHeight="1">
      <c r="B1156" s="15"/>
      <c r="C1156" s="15"/>
      <c r="D1156" s="15"/>
      <c r="E1156" s="15"/>
      <c r="F1156" s="20"/>
    </row>
    <row r="1157" spans="2:6" ht="17.25" customHeight="1">
      <c r="B1157" s="15"/>
      <c r="C1157" s="15"/>
      <c r="D1157" s="15"/>
      <c r="E1157" s="15"/>
      <c r="F1157" s="20"/>
    </row>
    <row r="1158" spans="2:6" ht="17.25" customHeight="1">
      <c r="B1158" s="15"/>
      <c r="C1158" s="15"/>
      <c r="D1158" s="15"/>
      <c r="E1158" s="15"/>
      <c r="F1158" s="20"/>
    </row>
    <row r="1159" spans="2:6" ht="17.25" customHeight="1">
      <c r="B1159" s="15"/>
      <c r="C1159" s="15"/>
      <c r="D1159" s="15"/>
      <c r="E1159" s="15"/>
      <c r="F1159" s="20"/>
    </row>
    <row r="1160" spans="2:6" ht="17.25" customHeight="1">
      <c r="B1160" s="15"/>
      <c r="C1160" s="15"/>
      <c r="D1160" s="15"/>
      <c r="E1160" s="15"/>
      <c r="F1160" s="20"/>
    </row>
    <row r="1161" spans="2:6" ht="17.25" customHeight="1">
      <c r="B1161" s="15"/>
      <c r="C1161" s="15"/>
      <c r="D1161" s="15"/>
      <c r="E1161" s="15"/>
      <c r="F1161" s="20"/>
    </row>
    <row r="1162" spans="2:6" ht="17.25" customHeight="1">
      <c r="B1162" s="15"/>
      <c r="C1162" s="15"/>
      <c r="D1162" s="15"/>
      <c r="E1162" s="15"/>
      <c r="F1162" s="20"/>
    </row>
    <row r="1163" spans="2:6" ht="17.25" customHeight="1">
      <c r="B1163" s="15"/>
      <c r="C1163" s="15"/>
      <c r="D1163" s="15"/>
      <c r="E1163" s="15"/>
      <c r="F1163" s="20"/>
    </row>
    <row r="1164" spans="2:6" ht="17.25" customHeight="1">
      <c r="B1164" s="15"/>
      <c r="C1164" s="15"/>
      <c r="D1164" s="15"/>
      <c r="E1164" s="15"/>
      <c r="F1164" s="20"/>
    </row>
    <row r="1165" spans="2:6" ht="17.25" customHeight="1">
      <c r="B1165" s="15"/>
      <c r="C1165" s="15"/>
      <c r="D1165" s="15"/>
      <c r="E1165" s="15"/>
      <c r="F1165" s="20"/>
    </row>
    <row r="1166" spans="2:6" ht="17.25" customHeight="1">
      <c r="B1166" s="15"/>
      <c r="C1166" s="15"/>
      <c r="D1166" s="15"/>
      <c r="E1166" s="15"/>
      <c r="F1166" s="20"/>
    </row>
    <row r="1167" spans="2:6" ht="17.25" customHeight="1">
      <c r="B1167" s="15"/>
      <c r="C1167" s="15"/>
      <c r="D1167" s="15"/>
      <c r="E1167" s="15"/>
      <c r="F1167" s="20"/>
    </row>
    <row r="1168" spans="2:6" ht="17.25" customHeight="1">
      <c r="B1168" s="15"/>
      <c r="C1168" s="15"/>
      <c r="D1168" s="15"/>
      <c r="E1168" s="15"/>
      <c r="F1168" s="20"/>
    </row>
    <row r="1169" spans="2:6" ht="17.25" customHeight="1">
      <c r="B1169" s="15"/>
      <c r="C1169" s="15"/>
      <c r="D1169" s="15"/>
      <c r="E1169" s="15"/>
      <c r="F1169" s="20"/>
    </row>
    <row r="1170" spans="2:6" ht="17.25" customHeight="1">
      <c r="B1170" s="15"/>
      <c r="C1170" s="15"/>
      <c r="D1170" s="15"/>
      <c r="E1170" s="15"/>
      <c r="F1170" s="20"/>
    </row>
    <row r="1171" spans="2:6" ht="17.25" customHeight="1">
      <c r="B1171" s="15"/>
      <c r="C1171" s="15"/>
      <c r="D1171" s="15"/>
      <c r="E1171" s="15"/>
      <c r="F1171" s="20"/>
    </row>
    <row r="1172" spans="2:6" ht="17.25" customHeight="1">
      <c r="B1172" s="15"/>
      <c r="C1172" s="15"/>
      <c r="D1172" s="15"/>
      <c r="E1172" s="15"/>
      <c r="F1172" s="20"/>
    </row>
    <row r="1173" spans="2:6" ht="17.25" customHeight="1">
      <c r="B1173" s="15"/>
      <c r="C1173" s="15"/>
      <c r="D1173" s="15"/>
      <c r="E1173" s="15"/>
      <c r="F1173" s="20"/>
    </row>
    <row r="1174" spans="2:6" ht="17.25" customHeight="1">
      <c r="B1174" s="15"/>
      <c r="C1174" s="15"/>
      <c r="D1174" s="15"/>
      <c r="E1174" s="15"/>
      <c r="F1174" s="20"/>
    </row>
    <row r="1175" spans="2:6" ht="17.25" customHeight="1">
      <c r="B1175" s="15"/>
      <c r="C1175" s="15"/>
      <c r="D1175" s="15"/>
      <c r="E1175" s="15"/>
      <c r="F1175" s="20"/>
    </row>
    <row r="1176" spans="2:6" ht="17.25" customHeight="1">
      <c r="B1176" s="15"/>
      <c r="C1176" s="15"/>
      <c r="D1176" s="15"/>
      <c r="E1176" s="15"/>
      <c r="F1176" s="20"/>
    </row>
    <row r="1177" spans="2:6" ht="17.25" customHeight="1">
      <c r="B1177" s="15"/>
      <c r="C1177" s="15"/>
      <c r="D1177" s="15"/>
      <c r="E1177" s="15"/>
      <c r="F1177" s="20"/>
    </row>
    <row r="1178" spans="2:6" ht="17.25" customHeight="1">
      <c r="B1178" s="15"/>
      <c r="C1178" s="15"/>
      <c r="D1178" s="15"/>
      <c r="E1178" s="15"/>
      <c r="F1178" s="20"/>
    </row>
    <row r="1179" spans="2:6" ht="17.25" customHeight="1">
      <c r="B1179" s="15"/>
      <c r="C1179" s="15"/>
      <c r="D1179" s="15"/>
      <c r="E1179" s="15"/>
      <c r="F1179" s="20"/>
    </row>
    <row r="1180" spans="2:6" ht="17.25" customHeight="1">
      <c r="B1180" s="15"/>
      <c r="C1180" s="15"/>
      <c r="D1180" s="15"/>
      <c r="E1180" s="15"/>
      <c r="F1180" s="20"/>
    </row>
    <row r="1181" spans="2:6" ht="17.25" customHeight="1">
      <c r="B1181" s="15"/>
      <c r="C1181" s="15"/>
      <c r="D1181" s="15"/>
      <c r="E1181" s="15"/>
      <c r="F1181" s="20"/>
    </row>
    <row r="1182" spans="2:6" ht="17.25" customHeight="1">
      <c r="B1182" s="15"/>
      <c r="C1182" s="15"/>
      <c r="D1182" s="15"/>
      <c r="E1182" s="15"/>
      <c r="F1182" s="20"/>
    </row>
    <row r="1183" spans="2:6" ht="17.25" customHeight="1">
      <c r="B1183" s="15"/>
      <c r="C1183" s="15"/>
      <c r="D1183" s="15"/>
      <c r="E1183" s="15"/>
      <c r="F1183" s="20"/>
    </row>
    <row r="1184" spans="2:6" ht="17.25" customHeight="1">
      <c r="B1184" s="15"/>
      <c r="C1184" s="15"/>
      <c r="D1184" s="15"/>
      <c r="E1184" s="15"/>
      <c r="F1184" s="20"/>
    </row>
    <row r="1185" spans="2:6" ht="17.25" customHeight="1">
      <c r="B1185" s="15"/>
      <c r="C1185" s="15"/>
      <c r="D1185" s="15"/>
      <c r="E1185" s="15"/>
      <c r="F1185" s="20"/>
    </row>
    <row r="1186" spans="2:6" ht="17.25" customHeight="1">
      <c r="B1186" s="15"/>
      <c r="C1186" s="15"/>
      <c r="D1186" s="15"/>
      <c r="E1186" s="15"/>
      <c r="F1186" s="20"/>
    </row>
    <row r="1187" spans="2:6" ht="17.25" customHeight="1">
      <c r="B1187" s="15"/>
      <c r="C1187" s="15"/>
      <c r="D1187" s="15"/>
      <c r="E1187" s="15"/>
      <c r="F1187" s="20"/>
    </row>
    <row r="1188" spans="2:6" ht="17.25" customHeight="1">
      <c r="B1188" s="15"/>
      <c r="C1188" s="15"/>
      <c r="D1188" s="15"/>
      <c r="E1188" s="15"/>
      <c r="F1188" s="20"/>
    </row>
    <row r="1189" spans="2:6" ht="17.25" customHeight="1">
      <c r="B1189" s="15"/>
      <c r="C1189" s="15"/>
      <c r="D1189" s="15"/>
      <c r="E1189" s="15"/>
      <c r="F1189" s="20"/>
    </row>
    <row r="1190" spans="2:6" ht="17.25" customHeight="1">
      <c r="B1190" s="15"/>
      <c r="C1190" s="15"/>
      <c r="D1190" s="15"/>
      <c r="E1190" s="15"/>
      <c r="F1190" s="20"/>
    </row>
    <row r="1191" spans="2:6" ht="17.25" customHeight="1">
      <c r="B1191" s="15"/>
      <c r="C1191" s="15"/>
      <c r="D1191" s="15"/>
      <c r="E1191" s="15"/>
      <c r="F1191" s="20"/>
    </row>
    <row r="1192" spans="2:6" ht="17.25" customHeight="1">
      <c r="B1192" s="15"/>
      <c r="C1192" s="15"/>
      <c r="D1192" s="15"/>
      <c r="E1192" s="15"/>
      <c r="F1192" s="20"/>
    </row>
    <row r="1193" spans="2:6" ht="17.25" customHeight="1">
      <c r="B1193" s="15"/>
      <c r="C1193" s="15"/>
      <c r="D1193" s="15"/>
      <c r="E1193" s="15"/>
      <c r="F1193" s="20"/>
    </row>
    <row r="1194" spans="2:6" ht="17.25" customHeight="1">
      <c r="B1194" s="15"/>
      <c r="C1194" s="15"/>
      <c r="D1194" s="15"/>
      <c r="E1194" s="15"/>
      <c r="F1194" s="20"/>
    </row>
    <row r="1195" spans="2:6" ht="17.25" customHeight="1">
      <c r="B1195" s="15"/>
      <c r="C1195" s="15"/>
      <c r="D1195" s="15"/>
      <c r="E1195" s="15"/>
      <c r="F1195" s="20"/>
    </row>
    <row r="1196" spans="2:6" ht="17.25" customHeight="1">
      <c r="B1196" s="15"/>
      <c r="C1196" s="15"/>
      <c r="D1196" s="15"/>
      <c r="E1196" s="15"/>
      <c r="F1196" s="20"/>
    </row>
    <row r="1197" spans="2:6" ht="17.25" customHeight="1">
      <c r="B1197" s="15"/>
      <c r="C1197" s="15"/>
      <c r="D1197" s="15"/>
      <c r="E1197" s="15"/>
      <c r="F1197" s="20"/>
    </row>
    <row r="1198" spans="2:6" ht="17.25" customHeight="1">
      <c r="B1198" s="15"/>
      <c r="C1198" s="15"/>
      <c r="D1198" s="15"/>
      <c r="E1198" s="15"/>
      <c r="F1198" s="20"/>
    </row>
    <row r="1199" spans="2:6" ht="17.25" customHeight="1">
      <c r="B1199" s="15"/>
      <c r="C1199" s="15"/>
      <c r="D1199" s="15"/>
      <c r="E1199" s="15"/>
      <c r="F1199" s="20"/>
    </row>
    <row r="1200" spans="2:6" ht="17.25" customHeight="1">
      <c r="B1200" s="15"/>
      <c r="C1200" s="15"/>
      <c r="D1200" s="15"/>
      <c r="E1200" s="15"/>
      <c r="F1200" s="20"/>
    </row>
    <row r="1201" spans="2:6" ht="17.25" customHeight="1">
      <c r="B1201" s="15"/>
      <c r="C1201" s="15"/>
      <c r="D1201" s="15"/>
      <c r="E1201" s="15"/>
      <c r="F1201" s="20"/>
    </row>
    <row r="1202" spans="2:6" ht="17.25" customHeight="1">
      <c r="B1202" s="15"/>
      <c r="C1202" s="15"/>
      <c r="D1202" s="15"/>
      <c r="E1202" s="15"/>
      <c r="F1202" s="20"/>
    </row>
    <row r="1203" spans="2:6" ht="17.25" customHeight="1">
      <c r="B1203" s="15"/>
      <c r="C1203" s="15"/>
      <c r="D1203" s="15"/>
      <c r="E1203" s="15"/>
      <c r="F1203" s="20"/>
    </row>
    <row r="1204" spans="2:6" ht="17.25" customHeight="1">
      <c r="B1204" s="15"/>
      <c r="C1204" s="15"/>
      <c r="D1204" s="15"/>
      <c r="E1204" s="15"/>
      <c r="F1204" s="20"/>
    </row>
    <row r="1205" spans="2:6" ht="17.25" customHeight="1">
      <c r="B1205" s="15"/>
      <c r="C1205" s="15"/>
      <c r="D1205" s="15"/>
      <c r="E1205" s="15"/>
      <c r="F1205" s="20"/>
    </row>
    <row r="1206" spans="2:6" ht="17.25" customHeight="1">
      <c r="B1206" s="15"/>
      <c r="C1206" s="15"/>
      <c r="D1206" s="15"/>
      <c r="E1206" s="15"/>
      <c r="F1206" s="20"/>
    </row>
    <row r="1207" spans="2:6" ht="17.25" customHeight="1">
      <c r="B1207" s="15"/>
      <c r="C1207" s="15"/>
      <c r="D1207" s="15"/>
      <c r="E1207" s="15"/>
      <c r="F1207" s="20"/>
    </row>
    <row r="1208" spans="2:6" ht="17.25" customHeight="1">
      <c r="B1208" s="15"/>
      <c r="C1208" s="15"/>
      <c r="D1208" s="15"/>
      <c r="E1208" s="15"/>
      <c r="F1208" s="20"/>
    </row>
    <row r="1209" spans="2:6" ht="17.25" customHeight="1">
      <c r="B1209" s="15"/>
      <c r="C1209" s="15"/>
      <c r="D1209" s="15"/>
      <c r="E1209" s="15"/>
      <c r="F1209" s="20"/>
    </row>
    <row r="1210" spans="2:6" ht="17.25" customHeight="1">
      <c r="B1210" s="15"/>
      <c r="C1210" s="15"/>
      <c r="D1210" s="15"/>
      <c r="E1210" s="15"/>
      <c r="F1210" s="20"/>
    </row>
    <row r="1211" spans="2:6" ht="17.25" customHeight="1">
      <c r="B1211" s="15"/>
      <c r="C1211" s="15"/>
      <c r="D1211" s="15"/>
      <c r="E1211" s="15"/>
      <c r="F1211" s="20"/>
    </row>
    <row r="1212" spans="2:6" ht="17.25" customHeight="1">
      <c r="B1212" s="15"/>
      <c r="C1212" s="15"/>
      <c r="D1212" s="15"/>
      <c r="E1212" s="15"/>
      <c r="F1212" s="20"/>
    </row>
    <row r="1213" spans="2:6" ht="17.25" customHeight="1">
      <c r="B1213" s="15"/>
      <c r="C1213" s="15"/>
      <c r="D1213" s="15"/>
      <c r="E1213" s="15"/>
      <c r="F1213" s="20"/>
    </row>
    <row r="1214" spans="2:6" ht="17.25" customHeight="1">
      <c r="B1214" s="15"/>
      <c r="C1214" s="15"/>
      <c r="D1214" s="15"/>
      <c r="E1214" s="15"/>
      <c r="F1214" s="20"/>
    </row>
    <row r="1215" spans="2:6" ht="17.25" customHeight="1">
      <c r="B1215" s="15"/>
      <c r="C1215" s="15"/>
      <c r="D1215" s="15"/>
      <c r="E1215" s="15"/>
      <c r="F1215" s="20"/>
    </row>
    <row r="1216" spans="2:6" ht="17.25" customHeight="1">
      <c r="B1216" s="15"/>
      <c r="C1216" s="15"/>
      <c r="D1216" s="15"/>
      <c r="E1216" s="15"/>
      <c r="F1216" s="20"/>
    </row>
    <row r="1217" spans="2:6" ht="17.25" customHeight="1">
      <c r="B1217" s="15"/>
      <c r="C1217" s="15"/>
      <c r="D1217" s="15"/>
      <c r="E1217" s="15"/>
      <c r="F1217" s="20"/>
    </row>
    <row r="1218" spans="2:6" ht="17.25" customHeight="1">
      <c r="B1218" s="15"/>
      <c r="C1218" s="15"/>
      <c r="D1218" s="15"/>
      <c r="E1218" s="15"/>
      <c r="F1218" s="20"/>
    </row>
    <row r="1219" spans="2:6" ht="17.25" customHeight="1">
      <c r="B1219" s="15"/>
      <c r="C1219" s="15"/>
      <c r="D1219" s="15"/>
      <c r="E1219" s="15"/>
      <c r="F1219" s="20"/>
    </row>
    <row r="1220" spans="2:6" ht="17.25" customHeight="1">
      <c r="B1220" s="15"/>
      <c r="C1220" s="15"/>
      <c r="D1220" s="15"/>
      <c r="E1220" s="15"/>
      <c r="F1220" s="20"/>
    </row>
    <row r="1221" spans="2:6" ht="17.25" customHeight="1">
      <c r="B1221" s="15"/>
      <c r="C1221" s="15"/>
      <c r="D1221" s="15"/>
      <c r="E1221" s="15"/>
      <c r="F1221" s="20"/>
    </row>
    <row r="1222" spans="2:6" ht="17.25" customHeight="1">
      <c r="B1222" s="15"/>
      <c r="C1222" s="15"/>
      <c r="D1222" s="15"/>
      <c r="E1222" s="15"/>
      <c r="F1222" s="20"/>
    </row>
    <row r="1223" spans="2:6" ht="17.25" customHeight="1">
      <c r="B1223" s="15"/>
      <c r="C1223" s="15"/>
      <c r="D1223" s="15"/>
      <c r="E1223" s="15"/>
      <c r="F1223" s="20"/>
    </row>
    <row r="1224" spans="2:6" ht="17.25" customHeight="1">
      <c r="B1224" s="15"/>
      <c r="C1224" s="15"/>
      <c r="D1224" s="15"/>
      <c r="E1224" s="15"/>
      <c r="F1224" s="20"/>
    </row>
    <row r="1225" spans="2:6" ht="17.25" customHeight="1">
      <c r="B1225" s="15"/>
      <c r="C1225" s="15"/>
      <c r="D1225" s="15"/>
      <c r="E1225" s="15"/>
      <c r="F1225" s="20"/>
    </row>
    <row r="1226" spans="2:6" ht="17.25" customHeight="1">
      <c r="B1226" s="15"/>
      <c r="C1226" s="15"/>
      <c r="D1226" s="15"/>
      <c r="E1226" s="15"/>
      <c r="F1226" s="20"/>
    </row>
    <row r="1227" spans="2:6" ht="17.25" customHeight="1">
      <c r="B1227" s="15"/>
      <c r="C1227" s="15"/>
      <c r="D1227" s="15"/>
      <c r="E1227" s="15"/>
      <c r="F1227" s="20"/>
    </row>
    <row r="1228" spans="2:6" ht="17.25" customHeight="1">
      <c r="B1228" s="15"/>
      <c r="C1228" s="15"/>
      <c r="D1228" s="15"/>
      <c r="E1228" s="15"/>
      <c r="F1228" s="20"/>
    </row>
    <row r="1229" spans="2:6" ht="17.25" customHeight="1">
      <c r="B1229" s="15"/>
      <c r="C1229" s="15"/>
      <c r="D1229" s="15"/>
      <c r="E1229" s="15"/>
      <c r="F1229" s="20"/>
    </row>
    <row r="1230" spans="2:6" ht="17.25" customHeight="1">
      <c r="B1230" s="15"/>
      <c r="C1230" s="15"/>
      <c r="D1230" s="15"/>
      <c r="E1230" s="15"/>
      <c r="F1230" s="20"/>
    </row>
    <row r="1231" spans="2:6" ht="17.25" customHeight="1">
      <c r="B1231" s="15"/>
      <c r="C1231" s="15"/>
      <c r="D1231" s="15"/>
      <c r="E1231" s="15"/>
      <c r="F1231" s="20"/>
    </row>
    <row r="1232" spans="2:6" ht="17.25" customHeight="1">
      <c r="B1232" s="15"/>
      <c r="C1232" s="15"/>
      <c r="D1232" s="15"/>
      <c r="E1232" s="15"/>
      <c r="F1232" s="20"/>
    </row>
    <row r="1233" spans="2:6" ht="17.25" customHeight="1">
      <c r="B1233" s="15"/>
      <c r="C1233" s="15"/>
      <c r="D1233" s="15"/>
      <c r="E1233" s="15"/>
      <c r="F1233" s="20"/>
    </row>
    <row r="1234" spans="2:6" ht="17.25" customHeight="1">
      <c r="B1234" s="15"/>
      <c r="C1234" s="15"/>
      <c r="D1234" s="15"/>
      <c r="E1234" s="15"/>
      <c r="F1234" s="20"/>
    </row>
    <row r="1235" spans="2:6" ht="17.25" customHeight="1">
      <c r="B1235" s="15"/>
      <c r="C1235" s="15"/>
      <c r="D1235" s="15"/>
      <c r="E1235" s="15"/>
      <c r="F1235" s="20"/>
    </row>
    <row r="1236" spans="2:6" ht="17.25" customHeight="1">
      <c r="B1236" s="15"/>
      <c r="C1236" s="15"/>
      <c r="D1236" s="15"/>
      <c r="E1236" s="15"/>
      <c r="F1236" s="20"/>
    </row>
    <row r="1237" spans="2:6" ht="17.25" customHeight="1">
      <c r="B1237" s="15"/>
      <c r="C1237" s="15"/>
      <c r="D1237" s="15"/>
      <c r="E1237" s="15"/>
      <c r="F1237" s="20"/>
    </row>
    <row r="1238" spans="2:6" ht="17.25" customHeight="1">
      <c r="B1238" s="15"/>
      <c r="C1238" s="15"/>
      <c r="D1238" s="15"/>
      <c r="E1238" s="15"/>
      <c r="F1238" s="20"/>
    </row>
    <row r="1239" spans="2:6" ht="17.25" customHeight="1">
      <c r="B1239" s="15"/>
      <c r="C1239" s="15"/>
      <c r="D1239" s="15"/>
      <c r="E1239" s="15"/>
      <c r="F1239" s="20"/>
    </row>
    <row r="1240" spans="2:6" ht="17.25" customHeight="1">
      <c r="B1240" s="15"/>
      <c r="C1240" s="15"/>
      <c r="D1240" s="15"/>
      <c r="E1240" s="15"/>
      <c r="F1240" s="20"/>
    </row>
    <row r="1241" spans="2:6" ht="17.25" customHeight="1">
      <c r="B1241" s="15"/>
      <c r="C1241" s="15"/>
      <c r="D1241" s="15"/>
      <c r="E1241" s="15"/>
      <c r="F1241" s="20"/>
    </row>
    <row r="1242" spans="2:6" ht="17.25" customHeight="1">
      <c r="B1242" s="15"/>
      <c r="C1242" s="15"/>
      <c r="D1242" s="15"/>
      <c r="E1242" s="15"/>
      <c r="F1242" s="20"/>
    </row>
    <row r="1243" spans="2:6" ht="17.25" customHeight="1">
      <c r="B1243" s="15"/>
      <c r="C1243" s="15"/>
      <c r="D1243" s="15"/>
      <c r="E1243" s="15"/>
      <c r="F1243" s="20"/>
    </row>
    <row r="1244" spans="2:6" ht="17.25" customHeight="1">
      <c r="B1244" s="15"/>
      <c r="C1244" s="15"/>
      <c r="D1244" s="15"/>
      <c r="E1244" s="15"/>
      <c r="F1244" s="20"/>
    </row>
    <row r="1245" spans="2:6" ht="17.25" customHeight="1">
      <c r="B1245" s="15"/>
      <c r="C1245" s="15"/>
      <c r="D1245" s="15"/>
      <c r="E1245" s="15"/>
      <c r="F1245" s="20"/>
    </row>
    <row r="1246" spans="2:6" ht="17.25" customHeight="1">
      <c r="B1246" s="15"/>
      <c r="C1246" s="15"/>
      <c r="D1246" s="15"/>
      <c r="E1246" s="15"/>
      <c r="F1246" s="20"/>
    </row>
    <row r="1247" spans="2:6" ht="17.25" customHeight="1">
      <c r="B1247" s="15"/>
      <c r="C1247" s="15"/>
      <c r="D1247" s="15"/>
      <c r="E1247" s="15"/>
      <c r="F1247" s="20"/>
    </row>
    <row r="1248" spans="2:6" ht="17.25" customHeight="1">
      <c r="B1248" s="15"/>
      <c r="C1248" s="15"/>
      <c r="D1248" s="15"/>
      <c r="E1248" s="15"/>
      <c r="F1248" s="20"/>
    </row>
    <row r="1249" spans="2:6" ht="17.25" customHeight="1">
      <c r="B1249" s="15"/>
      <c r="C1249" s="15"/>
      <c r="D1249" s="15"/>
      <c r="E1249" s="15"/>
      <c r="F1249" s="20"/>
    </row>
    <row r="1250" spans="2:6" ht="17.25" customHeight="1">
      <c r="B1250" s="15"/>
      <c r="C1250" s="15"/>
      <c r="D1250" s="15"/>
      <c r="E1250" s="15"/>
      <c r="F1250" s="20"/>
    </row>
    <row r="1251" spans="2:6" ht="17.25" customHeight="1">
      <c r="B1251" s="15"/>
      <c r="C1251" s="15"/>
      <c r="D1251" s="15"/>
      <c r="E1251" s="15"/>
      <c r="F1251" s="20"/>
    </row>
    <row r="1252" spans="2:6" ht="17.25" customHeight="1">
      <c r="B1252" s="15"/>
      <c r="C1252" s="15"/>
      <c r="D1252" s="15"/>
      <c r="E1252" s="15"/>
      <c r="F1252" s="20"/>
    </row>
    <row r="1253" spans="2:6" ht="17.25" customHeight="1">
      <c r="B1253" s="15"/>
      <c r="C1253" s="15"/>
      <c r="D1253" s="15"/>
      <c r="E1253" s="15"/>
      <c r="F1253" s="20"/>
    </row>
    <row r="1254" spans="2:6" ht="17.25" customHeight="1">
      <c r="B1254" s="15"/>
      <c r="C1254" s="15"/>
      <c r="D1254" s="15"/>
      <c r="E1254" s="15"/>
      <c r="F1254" s="20"/>
    </row>
    <row r="1255" spans="2:6" ht="17.25" customHeight="1">
      <c r="B1255" s="15"/>
      <c r="C1255" s="15"/>
      <c r="D1255" s="15"/>
      <c r="E1255" s="15"/>
      <c r="F1255" s="20"/>
    </row>
    <row r="1256" spans="2:6" ht="17.25" customHeight="1">
      <c r="B1256" s="15"/>
      <c r="C1256" s="15"/>
      <c r="D1256" s="15"/>
      <c r="E1256" s="15"/>
      <c r="F1256" s="20"/>
    </row>
    <row r="1257" spans="2:6" ht="17.25" customHeight="1">
      <c r="B1257" s="15"/>
      <c r="C1257" s="15"/>
      <c r="D1257" s="15"/>
      <c r="E1257" s="15"/>
      <c r="F1257" s="20"/>
    </row>
    <row r="1258" spans="2:6" ht="17.25" customHeight="1">
      <c r="B1258" s="15"/>
      <c r="C1258" s="15"/>
      <c r="D1258" s="15"/>
      <c r="E1258" s="15"/>
      <c r="F1258" s="20"/>
    </row>
    <row r="1259" spans="2:6" ht="17.25" customHeight="1">
      <c r="B1259" s="15"/>
      <c r="C1259" s="15"/>
      <c r="D1259" s="15"/>
      <c r="E1259" s="15"/>
      <c r="F1259" s="20"/>
    </row>
    <row r="1260" spans="2:6" ht="17.25" customHeight="1">
      <c r="B1260" s="15"/>
      <c r="C1260" s="15"/>
      <c r="D1260" s="15"/>
      <c r="E1260" s="15"/>
      <c r="F1260" s="20"/>
    </row>
    <row r="1261" spans="2:6" ht="17.25" customHeight="1">
      <c r="B1261" s="15"/>
      <c r="C1261" s="15"/>
      <c r="D1261" s="15"/>
      <c r="E1261" s="15"/>
      <c r="F1261" s="20"/>
    </row>
    <row r="1262" spans="2:6" ht="17.25" customHeight="1">
      <c r="B1262" s="15"/>
      <c r="C1262" s="15"/>
      <c r="D1262" s="15"/>
      <c r="E1262" s="15"/>
      <c r="F1262" s="20"/>
    </row>
    <row r="1263" spans="2:6" ht="17.25" customHeight="1">
      <c r="B1263" s="15"/>
      <c r="C1263" s="15"/>
      <c r="D1263" s="15"/>
      <c r="E1263" s="15"/>
      <c r="F1263" s="20"/>
    </row>
    <row r="1264" spans="2:6" ht="17.25" customHeight="1">
      <c r="B1264" s="15"/>
      <c r="C1264" s="15"/>
      <c r="D1264" s="15"/>
      <c r="E1264" s="15"/>
      <c r="F1264" s="20"/>
    </row>
    <row r="1265" spans="2:6" ht="17.25" customHeight="1">
      <c r="B1265" s="15"/>
      <c r="C1265" s="15"/>
      <c r="D1265" s="15"/>
      <c r="E1265" s="15"/>
      <c r="F1265" s="20"/>
    </row>
    <row r="1266" spans="2:6" ht="17.25" customHeight="1">
      <c r="B1266" s="15"/>
      <c r="C1266" s="15"/>
      <c r="D1266" s="15"/>
      <c r="E1266" s="15"/>
      <c r="F1266" s="20"/>
    </row>
    <row r="1267" spans="2:6" ht="17.25" customHeight="1">
      <c r="B1267" s="15"/>
      <c r="C1267" s="15"/>
      <c r="D1267" s="15"/>
      <c r="E1267" s="15"/>
      <c r="F1267" s="20"/>
    </row>
    <row r="1268" spans="2:6" ht="17.25" customHeight="1">
      <c r="B1268" s="15"/>
      <c r="C1268" s="15"/>
      <c r="D1268" s="15"/>
      <c r="E1268" s="15"/>
      <c r="F1268" s="20"/>
    </row>
    <row r="1269" spans="2:6" ht="17.25" customHeight="1">
      <c r="B1269" s="15"/>
      <c r="C1269" s="15"/>
      <c r="D1269" s="15"/>
      <c r="E1269" s="15"/>
      <c r="F1269" s="20"/>
    </row>
    <row r="1270" spans="2:6" ht="17.25" customHeight="1">
      <c r="B1270" s="15"/>
      <c r="C1270" s="15"/>
      <c r="D1270" s="15"/>
      <c r="E1270" s="15"/>
      <c r="F1270" s="20"/>
    </row>
    <row r="1271" spans="2:6" ht="17.25" customHeight="1">
      <c r="B1271" s="15"/>
      <c r="C1271" s="15"/>
      <c r="D1271" s="15"/>
      <c r="E1271" s="15"/>
      <c r="F1271" s="20"/>
    </row>
    <row r="1272" spans="2:6" ht="17.25" customHeight="1">
      <c r="B1272" s="15"/>
      <c r="C1272" s="15"/>
      <c r="D1272" s="15"/>
      <c r="E1272" s="15"/>
      <c r="F1272" s="20"/>
    </row>
    <row r="1273" spans="2:6" ht="17.25" customHeight="1">
      <c r="B1273" s="15"/>
      <c r="C1273" s="15"/>
      <c r="D1273" s="15"/>
      <c r="E1273" s="15"/>
      <c r="F1273" s="20"/>
    </row>
    <row r="1274" spans="2:6" ht="17.25" customHeight="1">
      <c r="B1274" s="15"/>
      <c r="C1274" s="15"/>
      <c r="D1274" s="15"/>
      <c r="E1274" s="15"/>
      <c r="F1274" s="20"/>
    </row>
    <row r="1275" spans="2:6" ht="17.25" customHeight="1">
      <c r="B1275" s="15"/>
      <c r="C1275" s="15"/>
      <c r="D1275" s="15"/>
      <c r="E1275" s="15"/>
      <c r="F1275" s="20"/>
    </row>
    <row r="1276" spans="2:6" ht="17.25" customHeight="1">
      <c r="B1276" s="15"/>
      <c r="C1276" s="15"/>
      <c r="D1276" s="15"/>
      <c r="E1276" s="15"/>
      <c r="F1276" s="20"/>
    </row>
    <row r="1277" spans="2:6" ht="17.25" customHeight="1">
      <c r="B1277" s="15"/>
      <c r="C1277" s="15"/>
      <c r="D1277" s="15"/>
      <c r="E1277" s="15"/>
      <c r="F1277" s="20"/>
    </row>
    <row r="1278" spans="2:6" ht="17.25" customHeight="1">
      <c r="B1278" s="15"/>
      <c r="C1278" s="15"/>
      <c r="D1278" s="15"/>
      <c r="E1278" s="15"/>
      <c r="F1278" s="20"/>
    </row>
    <row r="1279" spans="2:6" ht="17.25" customHeight="1">
      <c r="B1279" s="15"/>
      <c r="C1279" s="15"/>
      <c r="D1279" s="15"/>
      <c r="E1279" s="15"/>
      <c r="F1279" s="20"/>
    </row>
    <row r="1280" spans="2:6" ht="17.25" customHeight="1">
      <c r="B1280" s="15"/>
      <c r="C1280" s="15"/>
      <c r="D1280" s="15"/>
      <c r="E1280" s="15"/>
      <c r="F1280" s="20"/>
    </row>
    <row r="1281" spans="2:6" ht="17.25" customHeight="1">
      <c r="B1281" s="15"/>
      <c r="C1281" s="15"/>
      <c r="D1281" s="15"/>
      <c r="E1281" s="15"/>
      <c r="F1281" s="20"/>
    </row>
    <row r="1282" spans="2:6" ht="17.25" customHeight="1">
      <c r="B1282" s="15"/>
      <c r="C1282" s="15"/>
      <c r="D1282" s="15"/>
      <c r="E1282" s="15"/>
      <c r="F1282" s="20"/>
    </row>
    <row r="1283" spans="2:6" ht="17.25" customHeight="1">
      <c r="B1283" s="15"/>
      <c r="C1283" s="15"/>
      <c r="D1283" s="15"/>
      <c r="E1283" s="15"/>
      <c r="F1283" s="20"/>
    </row>
    <row r="1284" spans="2:6" ht="17.25" customHeight="1">
      <c r="B1284" s="15"/>
      <c r="C1284" s="15"/>
      <c r="D1284" s="15"/>
      <c r="E1284" s="15"/>
      <c r="F1284" s="20"/>
    </row>
    <row r="1285" spans="2:6" ht="17.25" customHeight="1">
      <c r="B1285" s="15"/>
      <c r="C1285" s="15"/>
      <c r="D1285" s="15"/>
      <c r="E1285" s="15"/>
      <c r="F1285" s="20"/>
    </row>
    <row r="1286" spans="2:6" ht="17.25" customHeight="1">
      <c r="B1286" s="15"/>
      <c r="C1286" s="15"/>
      <c r="D1286" s="15"/>
      <c r="E1286" s="15"/>
      <c r="F1286" s="20"/>
    </row>
    <row r="1287" spans="2:6" ht="17.25" customHeight="1">
      <c r="B1287" s="15"/>
      <c r="C1287" s="15"/>
      <c r="D1287" s="15"/>
      <c r="E1287" s="15"/>
      <c r="F1287" s="20"/>
    </row>
    <row r="1288" spans="2:6" ht="17.25" customHeight="1">
      <c r="B1288" s="15"/>
      <c r="C1288" s="15"/>
      <c r="D1288" s="15"/>
      <c r="E1288" s="15"/>
      <c r="F1288" s="20"/>
    </row>
    <row r="1289" spans="2:6" ht="17.25" customHeight="1">
      <c r="B1289" s="15"/>
      <c r="C1289" s="15"/>
      <c r="D1289" s="15"/>
      <c r="E1289" s="15"/>
      <c r="F1289" s="20"/>
    </row>
    <row r="1290" spans="2:6" ht="17.25" customHeight="1">
      <c r="B1290" s="15"/>
      <c r="C1290" s="15"/>
      <c r="D1290" s="15"/>
      <c r="E1290" s="15"/>
      <c r="F1290" s="20"/>
    </row>
    <row r="1291" spans="2:6" ht="17.25" customHeight="1">
      <c r="B1291" s="15"/>
      <c r="C1291" s="15"/>
      <c r="D1291" s="15"/>
      <c r="E1291" s="15"/>
      <c r="F1291" s="20"/>
    </row>
    <row r="1292" spans="2:6" ht="17.25" customHeight="1">
      <c r="B1292" s="15"/>
      <c r="C1292" s="15"/>
      <c r="D1292" s="15"/>
      <c r="E1292" s="15"/>
      <c r="F1292" s="20"/>
    </row>
    <row r="1293" spans="2:6" ht="17.25" customHeight="1">
      <c r="B1293" s="15"/>
      <c r="C1293" s="15"/>
      <c r="D1293" s="15"/>
      <c r="E1293" s="15"/>
      <c r="F1293" s="20"/>
    </row>
    <row r="1294" spans="2:6" ht="17.25" customHeight="1">
      <c r="B1294" s="15"/>
      <c r="C1294" s="15"/>
      <c r="D1294" s="15"/>
      <c r="E1294" s="15"/>
      <c r="F1294" s="20"/>
    </row>
    <row r="1295" spans="2:6" ht="17.25" customHeight="1">
      <c r="B1295" s="15"/>
      <c r="C1295" s="15"/>
      <c r="D1295" s="15"/>
      <c r="E1295" s="15"/>
      <c r="F1295" s="20"/>
    </row>
    <row r="1296" spans="2:6" ht="17.25" customHeight="1">
      <c r="B1296" s="15"/>
      <c r="C1296" s="15"/>
      <c r="D1296" s="15"/>
      <c r="E1296" s="15"/>
      <c r="F1296" s="20"/>
    </row>
    <row r="1297" spans="2:6" ht="17.25" customHeight="1">
      <c r="B1297" s="15"/>
      <c r="C1297" s="15"/>
      <c r="D1297" s="15"/>
      <c r="E1297" s="15"/>
      <c r="F1297" s="20"/>
    </row>
    <row r="1298" spans="2:6" ht="17.25" customHeight="1">
      <c r="B1298" s="15"/>
      <c r="C1298" s="15"/>
      <c r="D1298" s="15"/>
      <c r="E1298" s="15"/>
      <c r="F1298" s="20"/>
    </row>
    <row r="1299" spans="2:6" ht="17.25" customHeight="1">
      <c r="B1299" s="15"/>
      <c r="C1299" s="15"/>
      <c r="D1299" s="15"/>
      <c r="E1299" s="15"/>
      <c r="F1299" s="20"/>
    </row>
    <row r="1300" spans="2:6" ht="17.25" customHeight="1">
      <c r="B1300" s="15"/>
      <c r="C1300" s="15"/>
      <c r="D1300" s="15"/>
      <c r="E1300" s="15"/>
      <c r="F1300" s="20"/>
    </row>
    <row r="1301" spans="2:6" ht="17.25" customHeight="1">
      <c r="B1301" s="15"/>
      <c r="C1301" s="15"/>
      <c r="D1301" s="15"/>
      <c r="E1301" s="15"/>
      <c r="F1301" s="20"/>
    </row>
    <row r="1302" spans="2:6" ht="17.25" customHeight="1">
      <c r="B1302" s="15"/>
      <c r="C1302" s="15"/>
      <c r="D1302" s="15"/>
      <c r="E1302" s="15"/>
      <c r="F1302" s="20"/>
    </row>
    <row r="1303" spans="2:6" ht="17.25" customHeight="1">
      <c r="B1303" s="15"/>
      <c r="C1303" s="15"/>
      <c r="D1303" s="15"/>
      <c r="E1303" s="15"/>
      <c r="F1303" s="20"/>
    </row>
    <row r="1304" spans="2:6" ht="17.25" customHeight="1">
      <c r="B1304" s="15"/>
      <c r="C1304" s="15"/>
      <c r="D1304" s="15"/>
      <c r="E1304" s="15"/>
      <c r="F1304" s="20"/>
    </row>
    <row r="1305" spans="2:6" ht="17.25" customHeight="1">
      <c r="B1305" s="15"/>
      <c r="C1305" s="15"/>
      <c r="D1305" s="15"/>
      <c r="E1305" s="15"/>
      <c r="F1305" s="20"/>
    </row>
    <row r="1306" spans="2:6" ht="17.25" customHeight="1">
      <c r="B1306" s="15"/>
      <c r="C1306" s="15"/>
      <c r="D1306" s="15"/>
      <c r="E1306" s="15"/>
      <c r="F1306" s="20"/>
    </row>
    <row r="1307" spans="2:6" ht="17.25" customHeight="1">
      <c r="B1307" s="15"/>
      <c r="C1307" s="15"/>
      <c r="D1307" s="15"/>
      <c r="E1307" s="15"/>
      <c r="F1307" s="20"/>
    </row>
    <row r="1308" spans="2:6" ht="17.25" customHeight="1">
      <c r="B1308" s="15"/>
      <c r="C1308" s="15"/>
      <c r="D1308" s="15"/>
      <c r="E1308" s="15"/>
      <c r="F1308" s="20"/>
    </row>
    <row r="1309" spans="2:6" ht="17.25" customHeight="1">
      <c r="B1309" s="15"/>
      <c r="C1309" s="15"/>
      <c r="D1309" s="15"/>
      <c r="E1309" s="15"/>
      <c r="F1309" s="20"/>
    </row>
    <row r="1310" spans="2:6" ht="17.25" customHeight="1">
      <c r="B1310" s="15"/>
      <c r="C1310" s="15"/>
      <c r="D1310" s="15"/>
      <c r="E1310" s="15"/>
      <c r="F1310" s="20"/>
    </row>
    <row r="1311" spans="2:6" ht="17.25" customHeight="1">
      <c r="B1311" s="15"/>
      <c r="C1311" s="15"/>
      <c r="D1311" s="15"/>
      <c r="E1311" s="15"/>
      <c r="F1311" s="20"/>
    </row>
    <row r="1312" spans="2:6" ht="17.25" customHeight="1">
      <c r="B1312" s="15"/>
      <c r="C1312" s="15"/>
      <c r="D1312" s="15"/>
      <c r="E1312" s="15"/>
      <c r="F1312" s="20"/>
    </row>
    <row r="1313" spans="2:6" ht="17.25" customHeight="1">
      <c r="B1313" s="15"/>
      <c r="C1313" s="15"/>
      <c r="D1313" s="15"/>
      <c r="E1313" s="15"/>
      <c r="F1313" s="20"/>
    </row>
    <row r="1314" spans="2:6" ht="17.25" customHeight="1">
      <c r="B1314" s="15"/>
      <c r="C1314" s="15"/>
      <c r="D1314" s="15"/>
      <c r="E1314" s="15"/>
      <c r="F1314" s="20"/>
    </row>
    <row r="1315" spans="2:6" ht="17.25" customHeight="1">
      <c r="B1315" s="15"/>
      <c r="C1315" s="15"/>
      <c r="D1315" s="15"/>
      <c r="E1315" s="15"/>
      <c r="F1315" s="20"/>
    </row>
    <row r="1316" spans="2:6" ht="17.25" customHeight="1">
      <c r="B1316" s="15"/>
      <c r="C1316" s="15"/>
      <c r="D1316" s="15"/>
      <c r="E1316" s="15"/>
      <c r="F1316" s="20"/>
    </row>
    <row r="1317" spans="2:6" ht="17.25" customHeight="1">
      <c r="B1317" s="15"/>
      <c r="C1317" s="15"/>
      <c r="D1317" s="15"/>
      <c r="E1317" s="15"/>
      <c r="F1317" s="20"/>
    </row>
    <row r="1318" spans="2:6" ht="17.25" customHeight="1">
      <c r="B1318" s="15"/>
      <c r="C1318" s="15"/>
      <c r="D1318" s="15"/>
      <c r="E1318" s="15"/>
      <c r="F1318" s="20"/>
    </row>
    <row r="1319" spans="2:6" ht="17.25" customHeight="1">
      <c r="B1319" s="15"/>
      <c r="C1319" s="15"/>
      <c r="D1319" s="15"/>
      <c r="E1319" s="15"/>
      <c r="F1319" s="20"/>
    </row>
    <row r="1320" spans="2:6" ht="17.25" customHeight="1">
      <c r="B1320" s="15"/>
      <c r="C1320" s="15"/>
      <c r="D1320" s="15"/>
      <c r="E1320" s="15"/>
      <c r="F1320" s="20"/>
    </row>
    <row r="1321" spans="2:6" ht="17.25" customHeight="1">
      <c r="B1321" s="15"/>
      <c r="C1321" s="15"/>
      <c r="D1321" s="15"/>
      <c r="E1321" s="15"/>
      <c r="F1321" s="20"/>
    </row>
    <row r="1322" spans="2:6" ht="17.25" customHeight="1">
      <c r="B1322" s="15"/>
      <c r="C1322" s="15"/>
      <c r="D1322" s="15"/>
      <c r="E1322" s="15"/>
      <c r="F1322" s="20"/>
    </row>
    <row r="1323" spans="2:6" ht="17.25" customHeight="1">
      <c r="B1323" s="15"/>
      <c r="C1323" s="15"/>
      <c r="D1323" s="15"/>
      <c r="E1323" s="15"/>
      <c r="F1323" s="20"/>
    </row>
    <row r="1324" spans="2:6" ht="17.25" customHeight="1">
      <c r="B1324" s="15"/>
      <c r="C1324" s="15"/>
      <c r="D1324" s="15"/>
      <c r="E1324" s="15"/>
      <c r="F1324" s="20"/>
    </row>
    <row r="1325" spans="2:6" ht="17.25" customHeight="1">
      <c r="B1325" s="15"/>
      <c r="C1325" s="15"/>
      <c r="D1325" s="15"/>
      <c r="E1325" s="15"/>
      <c r="F1325" s="20"/>
    </row>
    <row r="1326" spans="2:6" ht="17.25" customHeight="1">
      <c r="B1326" s="15"/>
      <c r="C1326" s="15"/>
      <c r="D1326" s="15"/>
      <c r="E1326" s="15"/>
      <c r="F1326" s="20"/>
    </row>
    <row r="1327" spans="2:6" ht="17.25" customHeight="1">
      <c r="B1327" s="15"/>
      <c r="C1327" s="15"/>
      <c r="D1327" s="15"/>
      <c r="E1327" s="15"/>
      <c r="F1327" s="20"/>
    </row>
    <row r="1328" spans="2:6" ht="17.25" customHeight="1">
      <c r="B1328" s="15"/>
      <c r="C1328" s="15"/>
      <c r="D1328" s="15"/>
      <c r="E1328" s="15"/>
      <c r="F1328" s="20"/>
    </row>
    <row r="1329" spans="2:6" ht="17.25" customHeight="1">
      <c r="B1329" s="15"/>
      <c r="C1329" s="15"/>
      <c r="D1329" s="15"/>
      <c r="E1329" s="15"/>
      <c r="F1329" s="20"/>
    </row>
    <row r="1330" spans="2:6" ht="17.25" customHeight="1">
      <c r="B1330" s="15"/>
      <c r="C1330" s="15"/>
      <c r="D1330" s="15"/>
      <c r="E1330" s="15"/>
      <c r="F1330" s="20"/>
    </row>
    <row r="1331" spans="2:6" ht="17.25" customHeight="1">
      <c r="B1331" s="15"/>
      <c r="C1331" s="15"/>
      <c r="D1331" s="15"/>
      <c r="E1331" s="15"/>
      <c r="F1331" s="20"/>
    </row>
    <row r="1332" spans="2:6" ht="17.25" customHeight="1">
      <c r="B1332" s="15"/>
      <c r="C1332" s="15"/>
      <c r="D1332" s="15"/>
      <c r="E1332" s="15"/>
      <c r="F1332" s="20"/>
    </row>
    <row r="1333" spans="2:6" ht="17.25" customHeight="1">
      <c r="B1333" s="15"/>
      <c r="C1333" s="15"/>
      <c r="D1333" s="15"/>
      <c r="E1333" s="15"/>
      <c r="F1333" s="20"/>
    </row>
    <row r="1334" spans="2:6" ht="17.25" customHeight="1">
      <c r="B1334" s="15"/>
      <c r="C1334" s="15"/>
      <c r="D1334" s="15"/>
      <c r="E1334" s="15"/>
      <c r="F1334" s="20"/>
    </row>
    <row r="1335" spans="2:6" ht="17.25" customHeight="1">
      <c r="B1335" s="15"/>
      <c r="C1335" s="15"/>
      <c r="D1335" s="15"/>
      <c r="E1335" s="15"/>
      <c r="F1335" s="20"/>
    </row>
    <row r="1336" spans="2:6" ht="17.25" customHeight="1">
      <c r="B1336" s="15"/>
      <c r="C1336" s="15"/>
      <c r="D1336" s="15"/>
      <c r="E1336" s="15"/>
      <c r="F1336" s="20"/>
    </row>
    <row r="1337" spans="2:6" ht="17.25" customHeight="1">
      <c r="B1337" s="15"/>
      <c r="C1337" s="15"/>
      <c r="D1337" s="15"/>
      <c r="E1337" s="15"/>
      <c r="F1337" s="20"/>
    </row>
    <row r="1338" spans="2:6" ht="17.25" customHeight="1">
      <c r="B1338" s="15"/>
      <c r="C1338" s="15"/>
      <c r="D1338" s="15"/>
      <c r="E1338" s="15"/>
      <c r="F1338" s="20"/>
    </row>
    <row r="1339" spans="2:6" ht="17.25" customHeight="1">
      <c r="B1339" s="15"/>
      <c r="C1339" s="15"/>
      <c r="D1339" s="15"/>
      <c r="E1339" s="15"/>
      <c r="F1339" s="20"/>
    </row>
    <row r="1340" spans="2:6" ht="17.25" customHeight="1">
      <c r="B1340" s="15"/>
      <c r="C1340" s="15"/>
      <c r="D1340" s="15"/>
      <c r="E1340" s="15"/>
      <c r="F1340" s="20"/>
    </row>
    <row r="1341" spans="2:6" ht="17.25" customHeight="1">
      <c r="B1341" s="15"/>
      <c r="C1341" s="15"/>
      <c r="D1341" s="15"/>
      <c r="E1341" s="15"/>
      <c r="F1341" s="20"/>
    </row>
    <row r="1342" spans="2:6" ht="17.25" customHeight="1">
      <c r="B1342" s="15"/>
      <c r="C1342" s="15"/>
      <c r="D1342" s="15"/>
      <c r="E1342" s="15"/>
      <c r="F1342" s="20"/>
    </row>
    <row r="1343" spans="2:6" ht="17.25" customHeight="1">
      <c r="B1343" s="15"/>
      <c r="C1343" s="15"/>
      <c r="D1343" s="15"/>
      <c r="E1343" s="15"/>
      <c r="F1343" s="20"/>
    </row>
    <row r="1344" spans="2:6" ht="17.25" customHeight="1">
      <c r="B1344" s="15"/>
      <c r="C1344" s="15"/>
      <c r="D1344" s="15"/>
      <c r="E1344" s="15"/>
      <c r="F1344" s="20"/>
    </row>
    <row r="1345" spans="2:6" ht="17.25" customHeight="1">
      <c r="B1345" s="15"/>
      <c r="C1345" s="15"/>
      <c r="D1345" s="15"/>
      <c r="E1345" s="15"/>
      <c r="F1345" s="20"/>
    </row>
    <row r="1346" spans="2:6" ht="17.25" customHeight="1">
      <c r="B1346" s="15"/>
      <c r="C1346" s="15"/>
      <c r="D1346" s="15"/>
      <c r="E1346" s="15"/>
      <c r="F1346" s="20"/>
    </row>
    <row r="1347" spans="2:6" ht="17.25" customHeight="1">
      <c r="B1347" s="15"/>
      <c r="C1347" s="15"/>
      <c r="D1347" s="15"/>
      <c r="E1347" s="15"/>
      <c r="F1347" s="20"/>
    </row>
    <row r="1348" spans="2:6" ht="17.25" customHeight="1">
      <c r="B1348" s="15"/>
      <c r="C1348" s="15"/>
      <c r="D1348" s="15"/>
      <c r="E1348" s="15"/>
      <c r="F1348" s="20"/>
    </row>
    <row r="1349" spans="2:6" ht="17.25" customHeight="1">
      <c r="B1349" s="15"/>
      <c r="C1349" s="15"/>
      <c r="D1349" s="15"/>
      <c r="E1349" s="15"/>
      <c r="F1349" s="20"/>
    </row>
    <row r="1350" spans="2:6" ht="17.25" customHeight="1">
      <c r="B1350" s="15"/>
      <c r="C1350" s="15"/>
      <c r="D1350" s="15"/>
      <c r="E1350" s="15"/>
      <c r="F1350" s="20"/>
    </row>
    <row r="1351" spans="2:6" ht="17.25" customHeight="1">
      <c r="B1351" s="15"/>
      <c r="C1351" s="15"/>
      <c r="D1351" s="15"/>
      <c r="E1351" s="15"/>
      <c r="F1351" s="20"/>
    </row>
    <row r="1352" spans="2:6" ht="17.25" customHeight="1">
      <c r="B1352" s="15"/>
      <c r="C1352" s="15"/>
      <c r="D1352" s="15"/>
      <c r="E1352" s="15"/>
      <c r="F1352" s="20"/>
    </row>
    <row r="1353" spans="2:6" ht="17.25" customHeight="1">
      <c r="B1353" s="15"/>
      <c r="C1353" s="15"/>
      <c r="D1353" s="15"/>
      <c r="E1353" s="15"/>
      <c r="F1353" s="20"/>
    </row>
    <row r="1354" spans="2:6" ht="17.25" customHeight="1">
      <c r="B1354" s="15"/>
      <c r="C1354" s="15"/>
      <c r="D1354" s="15"/>
      <c r="E1354" s="15"/>
      <c r="F1354" s="20"/>
    </row>
    <row r="1355" spans="2:6" ht="17.25" customHeight="1">
      <c r="B1355" s="15"/>
      <c r="C1355" s="15"/>
      <c r="D1355" s="15"/>
      <c r="E1355" s="15"/>
      <c r="F1355" s="20"/>
    </row>
    <row r="1356" spans="2:6" ht="17.25" customHeight="1">
      <c r="B1356" s="15"/>
      <c r="C1356" s="15"/>
      <c r="D1356" s="15"/>
      <c r="E1356" s="15"/>
      <c r="F1356" s="20"/>
    </row>
    <row r="1357" spans="2:6" ht="17.25" customHeight="1">
      <c r="B1357" s="15"/>
      <c r="C1357" s="15"/>
      <c r="D1357" s="15"/>
      <c r="E1357" s="15"/>
      <c r="F1357" s="20"/>
    </row>
    <row r="1358" spans="2:6" ht="17.25" customHeight="1">
      <c r="B1358" s="15"/>
      <c r="C1358" s="15"/>
      <c r="D1358" s="15"/>
      <c r="E1358" s="15"/>
      <c r="F1358" s="20"/>
    </row>
    <row r="1359" spans="2:6" ht="17.25" customHeight="1">
      <c r="B1359" s="15"/>
      <c r="C1359" s="15"/>
      <c r="D1359" s="15"/>
      <c r="E1359" s="15"/>
      <c r="F1359" s="20"/>
    </row>
    <row r="1360" spans="2:6" ht="17.25" customHeight="1">
      <c r="B1360" s="15"/>
      <c r="C1360" s="15"/>
      <c r="D1360" s="15"/>
      <c r="E1360" s="15"/>
      <c r="F1360" s="20"/>
    </row>
    <row r="1361" spans="2:6" ht="17.25" customHeight="1">
      <c r="B1361" s="15"/>
      <c r="C1361" s="15"/>
      <c r="D1361" s="15"/>
      <c r="E1361" s="15"/>
      <c r="F1361" s="20"/>
    </row>
    <row r="1362" spans="2:6" ht="17.25" customHeight="1">
      <c r="B1362" s="15"/>
      <c r="C1362" s="15"/>
      <c r="D1362" s="15"/>
      <c r="E1362" s="15"/>
      <c r="F1362" s="20"/>
    </row>
    <row r="1363" spans="2:6" ht="17.25" customHeight="1">
      <c r="B1363" s="15"/>
      <c r="C1363" s="15"/>
      <c r="D1363" s="15"/>
      <c r="E1363" s="15"/>
      <c r="F1363" s="20"/>
    </row>
    <row r="1364" spans="2:6" ht="17.25" customHeight="1">
      <c r="B1364" s="15"/>
      <c r="C1364" s="15"/>
      <c r="D1364" s="15"/>
      <c r="E1364" s="15"/>
      <c r="F1364" s="20"/>
    </row>
    <row r="1365" spans="2:6" ht="17.25" customHeight="1">
      <c r="B1365" s="15"/>
      <c r="C1365" s="15"/>
      <c r="D1365" s="15"/>
      <c r="E1365" s="15"/>
      <c r="F1365" s="20"/>
    </row>
    <row r="1366" spans="2:6" ht="17.25" customHeight="1">
      <c r="B1366" s="15"/>
      <c r="C1366" s="15"/>
      <c r="D1366" s="15"/>
      <c r="E1366" s="15"/>
      <c r="F1366" s="20"/>
    </row>
    <row r="1367" spans="2:6" ht="17.25" customHeight="1">
      <c r="B1367" s="15"/>
      <c r="C1367" s="15"/>
      <c r="D1367" s="15"/>
      <c r="E1367" s="15"/>
      <c r="F1367" s="20"/>
    </row>
    <row r="1368" spans="2:6" ht="17.25" customHeight="1">
      <c r="B1368" s="15"/>
      <c r="C1368" s="15"/>
      <c r="D1368" s="15"/>
      <c r="E1368" s="15"/>
      <c r="F1368" s="20"/>
    </row>
    <row r="1369" spans="2:6" ht="17.25" customHeight="1">
      <c r="B1369" s="15"/>
      <c r="C1369" s="15"/>
      <c r="D1369" s="15"/>
      <c r="E1369" s="15"/>
      <c r="F1369" s="20"/>
    </row>
    <row r="1370" spans="2:6" ht="17.25" customHeight="1">
      <c r="B1370" s="15"/>
      <c r="C1370" s="15"/>
      <c r="D1370" s="15"/>
      <c r="E1370" s="15"/>
      <c r="F1370" s="20"/>
    </row>
    <row r="1371" spans="2:6" ht="17.25" customHeight="1">
      <c r="B1371" s="15"/>
      <c r="C1371" s="15"/>
      <c r="D1371" s="15"/>
      <c r="E1371" s="15"/>
      <c r="F1371" s="20"/>
    </row>
    <row r="1372" spans="2:6" ht="17.25" customHeight="1">
      <c r="B1372" s="15"/>
      <c r="C1372" s="15"/>
      <c r="D1372" s="15"/>
      <c r="E1372" s="15"/>
      <c r="F1372" s="20"/>
    </row>
    <row r="1373" spans="2:6" ht="17.25" customHeight="1">
      <c r="B1373" s="15"/>
      <c r="C1373" s="15"/>
      <c r="D1373" s="15"/>
      <c r="E1373" s="15"/>
      <c r="F1373" s="20"/>
    </row>
    <row r="1374" spans="2:6" ht="17.25" customHeight="1">
      <c r="B1374" s="15"/>
      <c r="C1374" s="15"/>
      <c r="D1374" s="15"/>
      <c r="E1374" s="15"/>
      <c r="F1374" s="20"/>
    </row>
    <row r="1375" spans="2:6" ht="17.25" customHeight="1">
      <c r="B1375" s="15"/>
      <c r="C1375" s="15"/>
      <c r="D1375" s="15"/>
      <c r="E1375" s="15"/>
      <c r="F1375" s="20"/>
    </row>
    <row r="1376" spans="2:6" ht="17.25" customHeight="1">
      <c r="B1376" s="15"/>
      <c r="C1376" s="15"/>
      <c r="D1376" s="15"/>
      <c r="E1376" s="15"/>
      <c r="F1376" s="20"/>
    </row>
    <row r="1377" spans="2:6" ht="17.25" customHeight="1">
      <c r="B1377" s="15"/>
      <c r="C1377" s="15"/>
      <c r="D1377" s="15"/>
      <c r="E1377" s="15"/>
      <c r="F1377" s="20"/>
    </row>
    <row r="1378" spans="2:6" ht="17.25" customHeight="1">
      <c r="B1378" s="15"/>
      <c r="C1378" s="15"/>
      <c r="D1378" s="15"/>
      <c r="E1378" s="15"/>
      <c r="F1378" s="20"/>
    </row>
    <row r="1379" spans="2:6" ht="17.25" customHeight="1">
      <c r="B1379" s="15"/>
      <c r="C1379" s="15"/>
      <c r="D1379" s="15"/>
      <c r="E1379" s="15"/>
      <c r="F1379" s="20"/>
    </row>
    <row r="1380" spans="2:6" ht="17.25" customHeight="1">
      <c r="B1380" s="15"/>
      <c r="C1380" s="15"/>
      <c r="D1380" s="15"/>
      <c r="E1380" s="15"/>
      <c r="F1380" s="20"/>
    </row>
    <row r="1381" spans="2:6" ht="17.25" customHeight="1">
      <c r="B1381" s="15"/>
      <c r="C1381" s="15"/>
      <c r="D1381" s="15"/>
      <c r="E1381" s="15"/>
      <c r="F1381" s="20"/>
    </row>
    <row r="1382" spans="2:6" ht="17.25" customHeight="1">
      <c r="B1382" s="15"/>
      <c r="C1382" s="15"/>
      <c r="D1382" s="15"/>
      <c r="E1382" s="15"/>
      <c r="F1382" s="20"/>
    </row>
    <row r="1383" spans="2:6" ht="17.25" customHeight="1">
      <c r="B1383" s="15"/>
      <c r="C1383" s="15"/>
      <c r="D1383" s="15"/>
      <c r="E1383" s="15"/>
      <c r="F1383" s="20"/>
    </row>
    <row r="1384" spans="2:6" ht="17.25" customHeight="1">
      <c r="B1384" s="15"/>
      <c r="C1384" s="15"/>
      <c r="D1384" s="15"/>
      <c r="E1384" s="15"/>
      <c r="F1384" s="20"/>
    </row>
    <row r="1385" spans="2:6" ht="17.25" customHeight="1">
      <c r="B1385" s="15"/>
      <c r="C1385" s="15"/>
      <c r="D1385" s="15"/>
      <c r="E1385" s="15"/>
      <c r="F1385" s="20"/>
    </row>
    <row r="1386" spans="2:6" ht="17.25" customHeight="1">
      <c r="B1386" s="15"/>
      <c r="C1386" s="15"/>
      <c r="D1386" s="15"/>
      <c r="E1386" s="15"/>
      <c r="F1386" s="20"/>
    </row>
    <row r="1387" spans="2:6" ht="17.25" customHeight="1">
      <c r="B1387" s="15"/>
      <c r="C1387" s="15"/>
      <c r="D1387" s="15"/>
      <c r="E1387" s="15"/>
      <c r="F1387" s="20"/>
    </row>
    <row r="1388" spans="2:6" ht="17.25" customHeight="1">
      <c r="B1388" s="15"/>
      <c r="C1388" s="15"/>
      <c r="D1388" s="15"/>
      <c r="E1388" s="15"/>
      <c r="F1388" s="20"/>
    </row>
    <row r="1389" spans="2:6" ht="17.25" customHeight="1">
      <c r="B1389" s="15"/>
      <c r="C1389" s="15"/>
      <c r="D1389" s="15"/>
      <c r="E1389" s="15"/>
      <c r="F1389" s="20"/>
    </row>
    <row r="1390" spans="2:6" ht="17.25" customHeight="1">
      <c r="B1390" s="15"/>
      <c r="C1390" s="15"/>
      <c r="D1390" s="15"/>
      <c r="E1390" s="15"/>
      <c r="F1390" s="20"/>
    </row>
    <row r="1391" spans="2:6" ht="17.25" customHeight="1">
      <c r="B1391" s="15"/>
      <c r="C1391" s="15"/>
      <c r="D1391" s="15"/>
      <c r="E1391" s="15"/>
      <c r="F1391" s="20"/>
    </row>
    <row r="1392" spans="2:6" ht="17.25" customHeight="1">
      <c r="B1392" s="15"/>
      <c r="C1392" s="15"/>
      <c r="D1392" s="15"/>
      <c r="E1392" s="15"/>
      <c r="F1392" s="20"/>
    </row>
    <row r="1393" spans="2:6" ht="17.25" customHeight="1">
      <c r="B1393" s="15"/>
      <c r="C1393" s="15"/>
      <c r="D1393" s="15"/>
      <c r="E1393" s="15"/>
      <c r="F1393" s="20"/>
    </row>
    <row r="1394" spans="2:6" ht="17.25" customHeight="1">
      <c r="B1394" s="15"/>
      <c r="C1394" s="15"/>
      <c r="D1394" s="15"/>
      <c r="E1394" s="15"/>
      <c r="F1394" s="20"/>
    </row>
    <row r="1395" spans="2:6" ht="17.25" customHeight="1">
      <c r="B1395" s="15"/>
      <c r="C1395" s="15"/>
      <c r="D1395" s="15"/>
      <c r="E1395" s="15"/>
      <c r="F1395" s="20"/>
    </row>
    <row r="1396" spans="2:6" ht="17.25" customHeight="1">
      <c r="B1396" s="15"/>
      <c r="C1396" s="15"/>
      <c r="D1396" s="15"/>
      <c r="E1396" s="15"/>
      <c r="F1396" s="20"/>
    </row>
    <row r="1397" spans="2:6" ht="17.25" customHeight="1">
      <c r="B1397" s="15"/>
      <c r="C1397" s="15"/>
      <c r="D1397" s="15"/>
      <c r="E1397" s="15"/>
      <c r="F1397" s="20"/>
    </row>
    <row r="1398" spans="2:6" ht="17.25" customHeight="1">
      <c r="B1398" s="15"/>
      <c r="C1398" s="15"/>
      <c r="D1398" s="15"/>
      <c r="E1398" s="15"/>
      <c r="F1398" s="20"/>
    </row>
    <row r="1399" spans="2:6" ht="17.25" customHeight="1">
      <c r="B1399" s="15"/>
      <c r="C1399" s="15"/>
      <c r="D1399" s="15"/>
      <c r="E1399" s="15"/>
      <c r="F1399" s="20"/>
    </row>
    <row r="1400" spans="2:6" ht="17.25" customHeight="1">
      <c r="B1400" s="15"/>
      <c r="C1400" s="15"/>
      <c r="D1400" s="15"/>
      <c r="E1400" s="15"/>
      <c r="F1400" s="20"/>
    </row>
    <row r="1401" spans="2:6" ht="17.25" customHeight="1">
      <c r="B1401" s="15"/>
      <c r="C1401" s="15"/>
      <c r="D1401" s="15"/>
      <c r="E1401" s="15"/>
      <c r="F1401" s="20"/>
    </row>
    <row r="1402" spans="2:6" ht="17.25" customHeight="1">
      <c r="B1402" s="15"/>
      <c r="C1402" s="15"/>
      <c r="D1402" s="15"/>
      <c r="E1402" s="15"/>
      <c r="F1402" s="20"/>
    </row>
    <row r="1403" spans="2:6" ht="17.25" customHeight="1">
      <c r="B1403" s="15"/>
      <c r="C1403" s="15"/>
      <c r="D1403" s="15"/>
      <c r="E1403" s="15"/>
      <c r="F1403" s="20"/>
    </row>
    <row r="1404" spans="2:6" ht="17.25" customHeight="1">
      <c r="B1404" s="15"/>
      <c r="C1404" s="15"/>
      <c r="D1404" s="15"/>
      <c r="E1404" s="15"/>
      <c r="F1404" s="20"/>
    </row>
    <row r="1405" spans="2:6" ht="17.25" customHeight="1">
      <c r="B1405" s="15"/>
      <c r="C1405" s="15"/>
      <c r="D1405" s="15"/>
      <c r="E1405" s="15"/>
      <c r="F1405" s="20"/>
    </row>
    <row r="1406" spans="2:6" ht="17.25" customHeight="1">
      <c r="B1406" s="15"/>
      <c r="C1406" s="15"/>
      <c r="D1406" s="15"/>
      <c r="E1406" s="15"/>
      <c r="F1406" s="20"/>
    </row>
    <row r="1407" spans="2:6" ht="17.25" customHeight="1">
      <c r="B1407" s="15"/>
      <c r="C1407" s="15"/>
      <c r="D1407" s="15"/>
      <c r="E1407" s="15"/>
      <c r="F1407" s="20"/>
    </row>
    <row r="1408" spans="2:6" ht="17.25" customHeight="1">
      <c r="B1408" s="15"/>
      <c r="C1408" s="15"/>
      <c r="D1408" s="15"/>
      <c r="E1408" s="15"/>
      <c r="F1408" s="20"/>
    </row>
    <row r="1409" spans="2:6" ht="17.25" customHeight="1">
      <c r="B1409" s="15"/>
      <c r="C1409" s="15"/>
      <c r="D1409" s="15"/>
      <c r="E1409" s="15"/>
      <c r="F1409" s="20"/>
    </row>
    <row r="1410" spans="2:6" ht="17.25" customHeight="1">
      <c r="B1410" s="15"/>
      <c r="C1410" s="15"/>
      <c r="D1410" s="15"/>
      <c r="E1410" s="15"/>
      <c r="F1410" s="20"/>
    </row>
    <row r="1411" spans="2:6" ht="17.25" customHeight="1">
      <c r="B1411" s="15"/>
      <c r="C1411" s="15"/>
      <c r="D1411" s="15"/>
      <c r="E1411" s="15"/>
      <c r="F1411" s="20"/>
    </row>
    <row r="1412" spans="2:6" ht="17.25" customHeight="1">
      <c r="B1412" s="15"/>
      <c r="C1412" s="15"/>
      <c r="D1412" s="15"/>
      <c r="E1412" s="15"/>
      <c r="F1412" s="20"/>
    </row>
    <row r="1413" spans="2:6" ht="17.25" customHeight="1">
      <c r="B1413" s="15"/>
      <c r="C1413" s="15"/>
      <c r="D1413" s="15"/>
      <c r="E1413" s="15"/>
      <c r="F1413" s="20"/>
    </row>
    <row r="1414" spans="2:6" ht="17.25" customHeight="1">
      <c r="B1414" s="15"/>
      <c r="C1414" s="15"/>
      <c r="D1414" s="15"/>
      <c r="E1414" s="15"/>
      <c r="F1414" s="20"/>
    </row>
    <row r="1415" spans="2:6" ht="17.25" customHeight="1">
      <c r="B1415" s="15"/>
      <c r="C1415" s="15"/>
      <c r="D1415" s="15"/>
      <c r="E1415" s="15"/>
      <c r="F1415" s="20"/>
    </row>
    <row r="1416" spans="2:6" ht="17.25" customHeight="1">
      <c r="B1416" s="15"/>
      <c r="C1416" s="15"/>
      <c r="D1416" s="15"/>
      <c r="E1416" s="15"/>
      <c r="F1416" s="20"/>
    </row>
    <row r="1417" spans="2:6" ht="17.25" customHeight="1">
      <c r="B1417" s="15"/>
      <c r="C1417" s="15"/>
      <c r="D1417" s="15"/>
      <c r="E1417" s="15"/>
      <c r="F1417" s="20"/>
    </row>
    <row r="1418" spans="2:6" ht="17.25" customHeight="1">
      <c r="B1418" s="15"/>
      <c r="C1418" s="15"/>
      <c r="D1418" s="15"/>
      <c r="E1418" s="15"/>
      <c r="F1418" s="20"/>
    </row>
    <row r="1419" spans="2:6" ht="17.25" customHeight="1">
      <c r="B1419" s="15"/>
      <c r="C1419" s="15"/>
      <c r="D1419" s="15"/>
      <c r="E1419" s="15"/>
      <c r="F1419" s="20"/>
    </row>
    <row r="1420" spans="2:6" ht="17.25" customHeight="1">
      <c r="B1420" s="15"/>
      <c r="C1420" s="15"/>
      <c r="D1420" s="15"/>
      <c r="E1420" s="15"/>
      <c r="F1420" s="20"/>
    </row>
    <row r="1421" spans="2:6" ht="17.25" customHeight="1">
      <c r="B1421" s="15"/>
      <c r="C1421" s="15"/>
      <c r="D1421" s="15"/>
      <c r="E1421" s="15"/>
      <c r="F1421" s="20"/>
    </row>
    <row r="1422" spans="2:6" ht="17.25" customHeight="1">
      <c r="B1422" s="15"/>
      <c r="C1422" s="15"/>
      <c r="D1422" s="15"/>
      <c r="E1422" s="15"/>
      <c r="F1422" s="20"/>
    </row>
    <row r="1423" spans="2:6" ht="17.25" customHeight="1">
      <c r="B1423" s="15"/>
      <c r="C1423" s="15"/>
      <c r="D1423" s="15"/>
      <c r="E1423" s="15"/>
      <c r="F1423" s="20"/>
    </row>
    <row r="1424" spans="2:6" ht="17.25" customHeight="1">
      <c r="B1424" s="15"/>
      <c r="C1424" s="15"/>
      <c r="D1424" s="15"/>
      <c r="E1424" s="15"/>
      <c r="F1424" s="20"/>
    </row>
    <row r="1425" spans="2:6" ht="17.25" customHeight="1">
      <c r="B1425" s="15"/>
      <c r="C1425" s="15"/>
      <c r="D1425" s="15"/>
      <c r="E1425" s="15"/>
      <c r="F1425" s="20"/>
    </row>
    <row r="1426" spans="2:6" ht="17.25" customHeight="1">
      <c r="B1426" s="15"/>
      <c r="C1426" s="15"/>
      <c r="D1426" s="15"/>
      <c r="E1426" s="15"/>
      <c r="F1426" s="20"/>
    </row>
    <row r="1427" spans="2:6" ht="17.25" customHeight="1">
      <c r="B1427" s="15"/>
      <c r="C1427" s="15"/>
      <c r="D1427" s="15"/>
      <c r="E1427" s="15"/>
      <c r="F1427" s="20"/>
    </row>
    <row r="1428" spans="2:6" ht="17.25" customHeight="1">
      <c r="B1428" s="15"/>
      <c r="C1428" s="15"/>
      <c r="D1428" s="15"/>
      <c r="E1428" s="15"/>
      <c r="F1428" s="20"/>
    </row>
    <row r="1429" spans="2:6" ht="17.25" customHeight="1">
      <c r="B1429" s="15"/>
      <c r="C1429" s="15"/>
      <c r="D1429" s="15"/>
      <c r="E1429" s="15"/>
      <c r="F1429" s="20"/>
    </row>
    <row r="1430" spans="2:6" ht="17.25" customHeight="1">
      <c r="B1430" s="15"/>
      <c r="C1430" s="15"/>
      <c r="D1430" s="15"/>
      <c r="E1430" s="15"/>
      <c r="F1430" s="20"/>
    </row>
    <row r="1431" spans="2:6" ht="17.25" customHeight="1">
      <c r="B1431" s="15"/>
      <c r="C1431" s="15"/>
      <c r="D1431" s="15"/>
      <c r="E1431" s="15"/>
      <c r="F1431" s="20"/>
    </row>
    <row r="1432" spans="2:6" ht="17.25" customHeight="1">
      <c r="B1432" s="15"/>
      <c r="C1432" s="15"/>
      <c r="D1432" s="15"/>
      <c r="E1432" s="15"/>
      <c r="F1432" s="20"/>
    </row>
    <row r="1433" spans="2:6" ht="17.25" customHeight="1">
      <c r="B1433" s="15"/>
      <c r="C1433" s="15"/>
      <c r="D1433" s="15"/>
      <c r="E1433" s="15"/>
      <c r="F1433" s="20"/>
    </row>
    <row r="1434" spans="2:6" ht="17.25" customHeight="1">
      <c r="B1434" s="15"/>
      <c r="C1434" s="15"/>
      <c r="D1434" s="15"/>
      <c r="E1434" s="15"/>
      <c r="F1434" s="20"/>
    </row>
    <row r="1435" spans="2:6" ht="17.25" customHeight="1">
      <c r="B1435" s="15"/>
      <c r="C1435" s="15"/>
      <c r="D1435" s="15"/>
      <c r="E1435" s="15"/>
      <c r="F1435" s="20"/>
    </row>
    <row r="1436" spans="2:6" ht="17.25" customHeight="1">
      <c r="B1436" s="15"/>
      <c r="C1436" s="15"/>
      <c r="D1436" s="15"/>
      <c r="E1436" s="15"/>
      <c r="F1436" s="20"/>
    </row>
    <row r="1437" spans="2:6" ht="17.25" customHeight="1">
      <c r="B1437" s="15"/>
      <c r="C1437" s="15"/>
      <c r="D1437" s="15"/>
      <c r="E1437" s="15"/>
      <c r="F1437" s="20"/>
    </row>
    <row r="1438" spans="2:6" ht="17.25" customHeight="1">
      <c r="B1438" s="15"/>
      <c r="C1438" s="15"/>
      <c r="D1438" s="15"/>
      <c r="E1438" s="15"/>
      <c r="F1438" s="20"/>
    </row>
    <row r="1439" spans="2:6" ht="17.25" customHeight="1">
      <c r="B1439" s="15"/>
      <c r="C1439" s="15"/>
      <c r="D1439" s="15"/>
      <c r="E1439" s="15"/>
      <c r="F1439" s="20"/>
    </row>
    <row r="1440" spans="2:6" ht="17.25" customHeight="1">
      <c r="B1440" s="15"/>
      <c r="C1440" s="15"/>
      <c r="D1440" s="15"/>
      <c r="E1440" s="15"/>
      <c r="F1440" s="20"/>
    </row>
    <row r="1441" spans="2:6" ht="17.25" customHeight="1">
      <c r="B1441" s="15"/>
      <c r="C1441" s="15"/>
      <c r="D1441" s="15"/>
      <c r="E1441" s="15"/>
      <c r="F1441" s="20"/>
    </row>
    <row r="1442" spans="2:6" ht="17.25" customHeight="1">
      <c r="B1442" s="15"/>
      <c r="C1442" s="15"/>
      <c r="D1442" s="15"/>
      <c r="E1442" s="15"/>
      <c r="F1442" s="20"/>
    </row>
    <row r="1443" spans="2:6" ht="17.25" customHeight="1">
      <c r="B1443" s="15"/>
      <c r="C1443" s="15"/>
      <c r="D1443" s="15"/>
      <c r="E1443" s="15"/>
      <c r="F1443" s="20"/>
    </row>
    <row r="1444" spans="2:6" ht="17.25" customHeight="1">
      <c r="B1444" s="15"/>
      <c r="C1444" s="15"/>
      <c r="D1444" s="15"/>
      <c r="E1444" s="15"/>
      <c r="F1444" s="20"/>
    </row>
    <row r="1445" spans="2:6" ht="17.25" customHeight="1">
      <c r="B1445" s="15"/>
      <c r="C1445" s="15"/>
      <c r="D1445" s="15"/>
      <c r="E1445" s="15"/>
      <c r="F1445" s="20"/>
    </row>
    <row r="1446" spans="2:6" ht="17.25" customHeight="1">
      <c r="B1446" s="15"/>
      <c r="C1446" s="15"/>
      <c r="D1446" s="15"/>
      <c r="E1446" s="15"/>
      <c r="F1446" s="20"/>
    </row>
    <row r="1447" spans="2:6" ht="17.25" customHeight="1">
      <c r="B1447" s="15"/>
      <c r="C1447" s="15"/>
      <c r="D1447" s="15"/>
      <c r="E1447" s="15"/>
      <c r="F1447" s="20"/>
    </row>
    <row r="1448" spans="2:6" ht="17.25" customHeight="1">
      <c r="B1448" s="15"/>
      <c r="C1448" s="15"/>
      <c r="D1448" s="15"/>
      <c r="E1448" s="15"/>
      <c r="F1448" s="20"/>
    </row>
    <row r="1449" spans="2:6" ht="17.25" customHeight="1">
      <c r="B1449" s="15"/>
      <c r="C1449" s="15"/>
      <c r="D1449" s="15"/>
      <c r="E1449" s="15"/>
      <c r="F1449" s="20"/>
    </row>
    <row r="1450" spans="2:6" ht="17.25" customHeight="1">
      <c r="B1450" s="15"/>
      <c r="C1450" s="15"/>
      <c r="D1450" s="15"/>
      <c r="E1450" s="15"/>
      <c r="F1450" s="20"/>
    </row>
    <row r="1451" spans="2:6" ht="17.25" customHeight="1">
      <c r="B1451" s="15"/>
      <c r="C1451" s="15"/>
      <c r="D1451" s="15"/>
      <c r="E1451" s="15"/>
      <c r="F1451" s="20"/>
    </row>
    <row r="1452" spans="2:6" ht="17.25" customHeight="1">
      <c r="B1452" s="15"/>
      <c r="C1452" s="15"/>
      <c r="D1452" s="15"/>
      <c r="E1452" s="15"/>
      <c r="F1452" s="20"/>
    </row>
    <row r="1453" spans="2:6" ht="17.25" customHeight="1">
      <c r="B1453" s="15"/>
      <c r="C1453" s="15"/>
      <c r="D1453" s="15"/>
      <c r="E1453" s="15"/>
      <c r="F1453" s="20"/>
    </row>
    <row r="1454" spans="2:6" ht="17.25" customHeight="1">
      <c r="B1454" s="15"/>
      <c r="C1454" s="15"/>
      <c r="D1454" s="15"/>
      <c r="E1454" s="15"/>
      <c r="F1454" s="20"/>
    </row>
    <row r="1455" spans="2:6" ht="17.25" customHeight="1">
      <c r="B1455" s="15"/>
      <c r="C1455" s="15"/>
      <c r="D1455" s="15"/>
      <c r="E1455" s="15"/>
      <c r="F1455" s="20"/>
    </row>
    <row r="1456" spans="2:6" ht="17.25" customHeight="1">
      <c r="B1456" s="15"/>
      <c r="C1456" s="15"/>
      <c r="D1456" s="15"/>
      <c r="E1456" s="15"/>
      <c r="F1456" s="20"/>
    </row>
    <row r="1457" spans="2:6" ht="17.25" customHeight="1">
      <c r="B1457" s="15"/>
      <c r="C1457" s="15"/>
      <c r="D1457" s="15"/>
      <c r="E1457" s="15"/>
      <c r="F1457" s="20"/>
    </row>
    <row r="1458" spans="2:6" ht="17.25" customHeight="1">
      <c r="B1458" s="15"/>
      <c r="C1458" s="15"/>
      <c r="D1458" s="15"/>
      <c r="E1458" s="15"/>
      <c r="F1458" s="20"/>
    </row>
    <row r="1459" spans="2:6" ht="17.25" customHeight="1">
      <c r="B1459" s="15"/>
      <c r="C1459" s="15"/>
      <c r="D1459" s="15"/>
      <c r="E1459" s="15"/>
      <c r="F1459" s="20"/>
    </row>
    <row r="1460" spans="2:6" ht="17.25" customHeight="1">
      <c r="B1460" s="15"/>
      <c r="C1460" s="15"/>
      <c r="D1460" s="15"/>
      <c r="E1460" s="15"/>
      <c r="F1460" s="20"/>
    </row>
    <row r="1461" spans="2:6" ht="17.25" customHeight="1">
      <c r="B1461" s="15"/>
      <c r="C1461" s="15"/>
      <c r="D1461" s="15"/>
      <c r="E1461" s="15"/>
      <c r="F1461" s="20"/>
    </row>
    <row r="1462" spans="2:6" ht="17.25" customHeight="1">
      <c r="B1462" s="15"/>
      <c r="C1462" s="15"/>
      <c r="D1462" s="15"/>
      <c r="E1462" s="15"/>
      <c r="F1462" s="20"/>
    </row>
    <row r="1463" spans="2:6" ht="17.25" customHeight="1">
      <c r="B1463" s="15"/>
      <c r="C1463" s="15"/>
      <c r="D1463" s="15"/>
      <c r="E1463" s="15"/>
      <c r="F1463" s="20"/>
    </row>
    <row r="1464" spans="2:6" ht="17.25" customHeight="1">
      <c r="B1464" s="15"/>
      <c r="C1464" s="15"/>
      <c r="D1464" s="15"/>
      <c r="E1464" s="15"/>
      <c r="F1464" s="20"/>
    </row>
    <row r="1465" spans="2:6" ht="17.25" customHeight="1">
      <c r="B1465" s="15"/>
      <c r="C1465" s="15"/>
      <c r="D1465" s="15"/>
      <c r="E1465" s="15"/>
      <c r="F1465" s="20"/>
    </row>
    <row r="1466" spans="2:6" ht="17.25" customHeight="1">
      <c r="B1466" s="15"/>
      <c r="C1466" s="15"/>
      <c r="D1466" s="15"/>
      <c r="E1466" s="15"/>
      <c r="F1466" s="20"/>
    </row>
    <row r="1467" spans="2:6" ht="17.25" customHeight="1">
      <c r="B1467" s="15"/>
      <c r="C1467" s="15"/>
      <c r="D1467" s="15"/>
      <c r="E1467" s="15"/>
      <c r="F1467" s="20"/>
    </row>
    <row r="1468" spans="2:6" ht="17.25" customHeight="1">
      <c r="B1468" s="15"/>
      <c r="C1468" s="15"/>
      <c r="D1468" s="15"/>
      <c r="E1468" s="15"/>
      <c r="F1468" s="20"/>
    </row>
    <row r="1469" spans="2:6" ht="17.25" customHeight="1">
      <c r="B1469" s="15"/>
      <c r="C1469" s="15"/>
      <c r="D1469" s="15"/>
      <c r="E1469" s="15"/>
      <c r="F1469" s="20"/>
    </row>
    <row r="1470" spans="2:6" ht="17.25" customHeight="1">
      <c r="B1470" s="15"/>
      <c r="C1470" s="15"/>
      <c r="D1470" s="15"/>
      <c r="E1470" s="15"/>
      <c r="F1470" s="20"/>
    </row>
    <row r="1471" spans="2:6" ht="17.25" customHeight="1">
      <c r="B1471" s="15"/>
      <c r="C1471" s="15"/>
      <c r="D1471" s="15"/>
      <c r="E1471" s="15"/>
      <c r="F1471" s="20"/>
    </row>
    <row r="1472" spans="2:6" ht="17.25" customHeight="1">
      <c r="B1472" s="15"/>
      <c r="C1472" s="15"/>
      <c r="D1472" s="15"/>
      <c r="E1472" s="15"/>
      <c r="F1472" s="20"/>
    </row>
    <row r="1473" spans="2:6" ht="17.25" customHeight="1">
      <c r="B1473" s="15"/>
      <c r="C1473" s="15"/>
      <c r="D1473" s="15"/>
      <c r="E1473" s="15"/>
      <c r="F1473" s="20"/>
    </row>
    <row r="1474" spans="2:6" ht="17.25" customHeight="1">
      <c r="B1474" s="15"/>
      <c r="C1474" s="15"/>
      <c r="D1474" s="15"/>
      <c r="E1474" s="15"/>
      <c r="F1474" s="20"/>
    </row>
    <row r="1475" spans="2:6" ht="17.25" customHeight="1">
      <c r="B1475" s="15"/>
      <c r="C1475" s="15"/>
      <c r="D1475" s="15"/>
      <c r="E1475" s="15"/>
      <c r="F1475" s="20"/>
    </row>
    <row r="1476" spans="2:6" ht="17.25" customHeight="1">
      <c r="B1476" s="15"/>
      <c r="C1476" s="15"/>
      <c r="D1476" s="15"/>
      <c r="E1476" s="15"/>
      <c r="F1476" s="20"/>
    </row>
    <row r="1477" spans="2:6" ht="17.25" customHeight="1">
      <c r="B1477" s="15"/>
      <c r="C1477" s="15"/>
      <c r="D1477" s="15"/>
      <c r="E1477" s="15"/>
      <c r="F1477" s="20"/>
    </row>
    <row r="1478" spans="2:6" ht="17.25" customHeight="1">
      <c r="B1478" s="15"/>
      <c r="C1478" s="15"/>
      <c r="D1478" s="15"/>
      <c r="E1478" s="15"/>
      <c r="F1478" s="20"/>
    </row>
    <row r="1479" spans="2:6" ht="17.25" customHeight="1">
      <c r="B1479" s="15"/>
      <c r="C1479" s="15"/>
      <c r="D1479" s="15"/>
      <c r="E1479" s="15"/>
      <c r="F1479" s="20"/>
    </row>
    <row r="1480" spans="2:6" ht="17.25" customHeight="1">
      <c r="B1480" s="15"/>
      <c r="C1480" s="15"/>
      <c r="D1480" s="15"/>
      <c r="E1480" s="15"/>
      <c r="F1480" s="20"/>
    </row>
    <row r="1481" spans="2:6" ht="17.25" customHeight="1">
      <c r="B1481" s="15"/>
      <c r="C1481" s="15"/>
      <c r="D1481" s="15"/>
      <c r="E1481" s="15"/>
      <c r="F1481" s="20"/>
    </row>
    <row r="1482" spans="2:6" ht="17.25" customHeight="1">
      <c r="B1482" s="15"/>
      <c r="C1482" s="15"/>
      <c r="D1482" s="15"/>
      <c r="E1482" s="15"/>
      <c r="F1482" s="20"/>
    </row>
    <row r="1483" spans="2:6" ht="17.25" customHeight="1">
      <c r="B1483" s="15"/>
      <c r="C1483" s="15"/>
      <c r="D1483" s="15"/>
      <c r="E1483" s="15"/>
      <c r="F1483" s="20"/>
    </row>
    <row r="1484" spans="2:6" ht="17.25" customHeight="1">
      <c r="B1484" s="15"/>
      <c r="C1484" s="15"/>
      <c r="D1484" s="15"/>
      <c r="E1484" s="15"/>
      <c r="F1484" s="20"/>
    </row>
    <row r="1485" spans="2:6" ht="17.25" customHeight="1">
      <c r="B1485" s="15"/>
      <c r="C1485" s="15"/>
      <c r="D1485" s="15"/>
      <c r="E1485" s="15"/>
      <c r="F1485" s="20"/>
    </row>
    <row r="1486" spans="2:6" ht="17.25" customHeight="1">
      <c r="B1486" s="15"/>
      <c r="C1486" s="15"/>
      <c r="D1486" s="15"/>
      <c r="E1486" s="15"/>
      <c r="F1486" s="20"/>
    </row>
    <row r="1487" spans="2:6" ht="17.25" customHeight="1">
      <c r="B1487" s="15"/>
      <c r="C1487" s="15"/>
      <c r="D1487" s="15"/>
      <c r="E1487" s="15"/>
      <c r="F1487" s="20"/>
    </row>
    <row r="1488" spans="2:6" ht="17.25" customHeight="1">
      <c r="B1488" s="15"/>
      <c r="C1488" s="15"/>
      <c r="D1488" s="15"/>
      <c r="E1488" s="15"/>
      <c r="F1488" s="20"/>
    </row>
    <row r="1489" spans="2:6" ht="17.25" customHeight="1">
      <c r="B1489" s="15"/>
      <c r="C1489" s="15"/>
      <c r="D1489" s="15"/>
      <c r="E1489" s="15"/>
      <c r="F1489" s="20"/>
    </row>
    <row r="1490" spans="2:6" ht="17.25" customHeight="1">
      <c r="B1490" s="15"/>
      <c r="C1490" s="15"/>
      <c r="D1490" s="15"/>
      <c r="E1490" s="15"/>
      <c r="F1490" s="20"/>
    </row>
    <row r="1491" spans="2:6" ht="17.25" customHeight="1">
      <c r="B1491" s="15"/>
      <c r="C1491" s="15"/>
      <c r="D1491" s="15"/>
      <c r="E1491" s="15"/>
      <c r="F1491" s="20"/>
    </row>
    <row r="1492" spans="2:6" ht="17.25" customHeight="1">
      <c r="B1492" s="15"/>
      <c r="C1492" s="15"/>
      <c r="D1492" s="15"/>
      <c r="E1492" s="15"/>
      <c r="F1492" s="20"/>
    </row>
    <row r="1493" spans="2:6" ht="17.25" customHeight="1">
      <c r="B1493" s="15"/>
      <c r="C1493" s="15"/>
      <c r="D1493" s="15"/>
      <c r="E1493" s="15"/>
      <c r="F1493" s="20"/>
    </row>
    <row r="1494" spans="2:6" ht="17.25" customHeight="1">
      <c r="B1494" s="15"/>
      <c r="C1494" s="15"/>
      <c r="D1494" s="15"/>
      <c r="E1494" s="15"/>
      <c r="F1494" s="20"/>
    </row>
    <row r="1495" spans="2:6" ht="17.25" customHeight="1">
      <c r="B1495" s="15"/>
      <c r="C1495" s="15"/>
      <c r="D1495" s="15"/>
      <c r="E1495" s="15"/>
      <c r="F1495" s="20"/>
    </row>
    <row r="1496" spans="2:6" ht="17.25" customHeight="1">
      <c r="B1496" s="15"/>
      <c r="C1496" s="15"/>
      <c r="D1496" s="15"/>
      <c r="E1496" s="15"/>
      <c r="F1496" s="20"/>
    </row>
    <row r="1497" spans="2:6" ht="17.25" customHeight="1">
      <c r="B1497" s="15"/>
      <c r="C1497" s="15"/>
      <c r="D1497" s="15"/>
      <c r="E1497" s="15"/>
      <c r="F1497" s="20"/>
    </row>
    <row r="1498" spans="2:6" ht="17.25" customHeight="1">
      <c r="B1498" s="15"/>
      <c r="C1498" s="15"/>
      <c r="D1498" s="15"/>
      <c r="E1498" s="15"/>
      <c r="F1498" s="20"/>
    </row>
    <row r="1499" spans="2:6" ht="17.25" customHeight="1">
      <c r="B1499" s="15"/>
      <c r="C1499" s="15"/>
      <c r="D1499" s="15"/>
      <c r="E1499" s="15"/>
      <c r="F1499" s="20"/>
    </row>
    <row r="1500" spans="2:6" ht="17.25" customHeight="1">
      <c r="B1500" s="15"/>
      <c r="C1500" s="15"/>
      <c r="D1500" s="15"/>
      <c r="E1500" s="15"/>
      <c r="F1500" s="20"/>
    </row>
    <row r="1501" spans="2:6" ht="17.25" customHeight="1">
      <c r="B1501" s="15"/>
      <c r="C1501" s="15"/>
      <c r="D1501" s="15"/>
      <c r="E1501" s="15"/>
      <c r="F1501" s="20"/>
    </row>
    <row r="1502" spans="2:6" ht="17.25" customHeight="1">
      <c r="B1502" s="15"/>
      <c r="C1502" s="15"/>
      <c r="D1502" s="15"/>
      <c r="E1502" s="15"/>
      <c r="F1502" s="20"/>
    </row>
    <row r="1503" spans="2:6" ht="17.25" customHeight="1">
      <c r="B1503" s="15"/>
      <c r="C1503" s="15"/>
      <c r="D1503" s="15"/>
      <c r="E1503" s="15"/>
      <c r="F1503" s="20"/>
    </row>
    <row r="1504" spans="2:6" ht="17.25" customHeight="1">
      <c r="B1504" s="15"/>
      <c r="C1504" s="15"/>
      <c r="D1504" s="15"/>
      <c r="E1504" s="15"/>
      <c r="F1504" s="20"/>
    </row>
    <row r="1505" spans="2:6" ht="17.25" customHeight="1">
      <c r="B1505" s="15"/>
      <c r="C1505" s="15"/>
      <c r="D1505" s="15"/>
      <c r="E1505" s="15"/>
      <c r="F1505" s="20"/>
    </row>
    <row r="1506" spans="2:6" ht="17.25" customHeight="1">
      <c r="B1506" s="15"/>
      <c r="C1506" s="15"/>
      <c r="D1506" s="15"/>
      <c r="E1506" s="15"/>
      <c r="F1506" s="20"/>
    </row>
    <row r="1507" spans="2:6" ht="17.25" customHeight="1">
      <c r="B1507" s="15"/>
      <c r="C1507" s="15"/>
      <c r="D1507" s="15"/>
      <c r="E1507" s="15"/>
      <c r="F1507" s="20"/>
    </row>
    <row r="1508" spans="2:6" ht="17.25" customHeight="1">
      <c r="B1508" s="15"/>
      <c r="C1508" s="15"/>
      <c r="D1508" s="15"/>
      <c r="E1508" s="15"/>
      <c r="F1508" s="20"/>
    </row>
    <row r="1509" spans="2:6" ht="17.25" customHeight="1">
      <c r="B1509" s="15"/>
      <c r="C1509" s="15"/>
      <c r="D1509" s="15"/>
      <c r="E1509" s="15"/>
      <c r="F1509" s="20"/>
    </row>
    <row r="1510" spans="2:6" ht="17.25" customHeight="1">
      <c r="B1510" s="15"/>
      <c r="C1510" s="15"/>
      <c r="D1510" s="15"/>
      <c r="E1510" s="15"/>
      <c r="F1510" s="20"/>
    </row>
    <row r="1511" spans="2:6" ht="17.25" customHeight="1">
      <c r="B1511" s="15"/>
      <c r="C1511" s="15"/>
      <c r="D1511" s="15"/>
      <c r="E1511" s="15"/>
      <c r="F1511" s="20"/>
    </row>
    <row r="1512" spans="2:6" ht="17.25" customHeight="1">
      <c r="B1512" s="15"/>
      <c r="C1512" s="15"/>
      <c r="D1512" s="15"/>
      <c r="E1512" s="15"/>
      <c r="F1512" s="20"/>
    </row>
    <row r="1513" spans="2:6" ht="17.25" customHeight="1">
      <c r="B1513" s="15"/>
      <c r="C1513" s="15"/>
      <c r="D1513" s="15"/>
      <c r="E1513" s="15"/>
      <c r="F1513" s="20"/>
    </row>
    <row r="1514" spans="2:6" ht="17.25" customHeight="1">
      <c r="B1514" s="15"/>
      <c r="C1514" s="15"/>
      <c r="D1514" s="15"/>
      <c r="E1514" s="15"/>
      <c r="F1514" s="20"/>
    </row>
    <row r="1515" spans="2:6" ht="17.25" customHeight="1">
      <c r="B1515" s="15"/>
      <c r="C1515" s="15"/>
      <c r="D1515" s="15"/>
      <c r="E1515" s="15"/>
      <c r="F1515" s="20"/>
    </row>
    <row r="1516" spans="2:6" ht="17.25" customHeight="1">
      <c r="B1516" s="15"/>
      <c r="C1516" s="15"/>
      <c r="D1516" s="15"/>
      <c r="E1516" s="15"/>
      <c r="F1516" s="20"/>
    </row>
    <row r="1517" spans="2:6" ht="17.25" customHeight="1">
      <c r="B1517" s="15"/>
      <c r="C1517" s="15"/>
      <c r="D1517" s="15"/>
      <c r="E1517" s="15"/>
      <c r="F1517" s="20"/>
    </row>
    <row r="1518" spans="2:6" ht="17.25" customHeight="1">
      <c r="B1518" s="15"/>
      <c r="C1518" s="15"/>
      <c r="D1518" s="15"/>
      <c r="E1518" s="15"/>
      <c r="F1518" s="20"/>
    </row>
    <row r="1519" spans="2:6" ht="17.25" customHeight="1">
      <c r="B1519" s="15"/>
      <c r="C1519" s="15"/>
      <c r="D1519" s="15"/>
      <c r="E1519" s="15"/>
      <c r="F1519" s="20"/>
    </row>
    <row r="1520" spans="2:6" ht="17.25" customHeight="1">
      <c r="B1520" s="15"/>
      <c r="C1520" s="15"/>
      <c r="D1520" s="15"/>
      <c r="E1520" s="15"/>
      <c r="F1520" s="20"/>
    </row>
    <row r="1521" spans="2:6" ht="17.25" customHeight="1">
      <c r="B1521" s="15"/>
      <c r="C1521" s="15"/>
      <c r="D1521" s="15"/>
      <c r="E1521" s="15"/>
      <c r="F1521" s="20"/>
    </row>
    <row r="1522" spans="2:6" ht="17.25" customHeight="1">
      <c r="B1522" s="15"/>
      <c r="C1522" s="15"/>
      <c r="D1522" s="15"/>
      <c r="E1522" s="15"/>
      <c r="F1522" s="20"/>
    </row>
    <row r="1523" spans="2:6" ht="17.25" customHeight="1">
      <c r="B1523" s="15"/>
      <c r="C1523" s="15"/>
      <c r="D1523" s="15"/>
      <c r="E1523" s="15"/>
      <c r="F1523" s="20"/>
    </row>
    <row r="1524" spans="2:6" ht="17.25" customHeight="1">
      <c r="B1524" s="15"/>
      <c r="C1524" s="15"/>
      <c r="D1524" s="15"/>
      <c r="E1524" s="15"/>
      <c r="F1524" s="20"/>
    </row>
    <row r="1525" spans="2:6" ht="17.25" customHeight="1">
      <c r="B1525" s="15"/>
      <c r="C1525" s="15"/>
      <c r="D1525" s="15"/>
      <c r="E1525" s="15"/>
      <c r="F1525" s="20"/>
    </row>
    <row r="1526" spans="2:6" ht="17.25" customHeight="1">
      <c r="B1526" s="15"/>
      <c r="C1526" s="15"/>
      <c r="D1526" s="15"/>
      <c r="E1526" s="15"/>
      <c r="F1526" s="20"/>
    </row>
    <row r="1527" spans="2:6" ht="17.25" customHeight="1">
      <c r="B1527" s="15"/>
      <c r="C1527" s="15"/>
      <c r="D1527" s="15"/>
      <c r="E1527" s="15"/>
      <c r="F1527" s="20"/>
    </row>
    <row r="1528" spans="2:6" ht="17.25" customHeight="1">
      <c r="B1528" s="15"/>
      <c r="C1528" s="15"/>
      <c r="D1528" s="15"/>
      <c r="E1528" s="15"/>
      <c r="F1528" s="20"/>
    </row>
    <row r="1529" spans="2:6" ht="17.25" customHeight="1">
      <c r="B1529" s="15"/>
      <c r="C1529" s="15"/>
      <c r="D1529" s="15"/>
      <c r="E1529" s="15"/>
      <c r="F1529" s="20"/>
    </row>
    <row r="1530" spans="2:6" ht="17.25" customHeight="1">
      <c r="B1530" s="15"/>
      <c r="C1530" s="15"/>
      <c r="D1530" s="15"/>
      <c r="E1530" s="15"/>
      <c r="F1530" s="20"/>
    </row>
    <row r="1531" spans="2:6" ht="17.25" customHeight="1">
      <c r="B1531" s="15"/>
      <c r="C1531" s="15"/>
      <c r="D1531" s="15"/>
      <c r="E1531" s="15"/>
      <c r="F1531" s="20"/>
    </row>
    <row r="1532" spans="2:6" ht="17.25" customHeight="1">
      <c r="B1532" s="15"/>
      <c r="C1532" s="15"/>
      <c r="D1532" s="15"/>
      <c r="E1532" s="15"/>
      <c r="F1532" s="20"/>
    </row>
    <row r="1533" spans="2:6" ht="17.25" customHeight="1">
      <c r="B1533" s="15"/>
      <c r="C1533" s="15"/>
      <c r="D1533" s="15"/>
      <c r="E1533" s="15"/>
      <c r="F1533" s="20"/>
    </row>
    <row r="1534" spans="2:6" ht="17.25" customHeight="1">
      <c r="B1534" s="15"/>
      <c r="C1534" s="15"/>
      <c r="D1534" s="15"/>
      <c r="E1534" s="15"/>
      <c r="F1534" s="20"/>
    </row>
    <row r="1535" spans="2:6" ht="17.25" customHeight="1">
      <c r="B1535" s="15"/>
      <c r="C1535" s="15"/>
      <c r="D1535" s="15"/>
      <c r="E1535" s="15"/>
      <c r="F1535" s="20"/>
    </row>
    <row r="1536" spans="2:6" ht="17.25" customHeight="1">
      <c r="B1536" s="15"/>
      <c r="C1536" s="15"/>
      <c r="D1536" s="15"/>
      <c r="E1536" s="15"/>
      <c r="F1536" s="20"/>
    </row>
    <row r="1537" spans="2:6" ht="17.25" customHeight="1">
      <c r="B1537" s="15"/>
      <c r="C1537" s="15"/>
      <c r="D1537" s="15"/>
      <c r="E1537" s="15"/>
      <c r="F1537" s="20"/>
    </row>
    <row r="1538" spans="2:6" ht="17.25" customHeight="1">
      <c r="B1538" s="15"/>
      <c r="C1538" s="15"/>
      <c r="D1538" s="15"/>
      <c r="E1538" s="15"/>
      <c r="F1538" s="20"/>
    </row>
    <row r="1539" spans="2:6" ht="17.25" customHeight="1">
      <c r="B1539" s="15"/>
      <c r="C1539" s="15"/>
      <c r="D1539" s="15"/>
      <c r="E1539" s="15"/>
      <c r="F1539" s="20"/>
    </row>
    <row r="1540" spans="2:6" ht="17.25" customHeight="1">
      <c r="B1540" s="15"/>
      <c r="C1540" s="15"/>
      <c r="D1540" s="15"/>
      <c r="E1540" s="15"/>
      <c r="F1540" s="20"/>
    </row>
    <row r="1541" spans="2:6" ht="17.25" customHeight="1">
      <c r="B1541" s="15"/>
      <c r="C1541" s="15"/>
      <c r="D1541" s="15"/>
      <c r="E1541" s="15"/>
      <c r="F1541" s="20"/>
    </row>
    <row r="1542" spans="2:6" ht="17.25" customHeight="1">
      <c r="B1542" s="15"/>
      <c r="C1542" s="15"/>
      <c r="D1542" s="15"/>
      <c r="E1542" s="15"/>
      <c r="F1542" s="20"/>
    </row>
    <row r="1543" spans="2:6" ht="17.25" customHeight="1">
      <c r="B1543" s="15"/>
      <c r="C1543" s="15"/>
      <c r="D1543" s="15"/>
      <c r="E1543" s="15"/>
      <c r="F1543" s="20"/>
    </row>
    <row r="1544" spans="2:6" ht="17.25" customHeight="1">
      <c r="B1544" s="15"/>
      <c r="C1544" s="15"/>
      <c r="D1544" s="15"/>
      <c r="E1544" s="15"/>
      <c r="F1544" s="20"/>
    </row>
    <row r="1545" spans="2:6" ht="17.25" customHeight="1">
      <c r="B1545" s="15"/>
      <c r="C1545" s="15"/>
      <c r="D1545" s="15"/>
      <c r="E1545" s="15"/>
      <c r="F1545" s="20"/>
    </row>
    <row r="1546" spans="2:6" ht="17.25" customHeight="1">
      <c r="B1546" s="15"/>
      <c r="C1546" s="15"/>
      <c r="D1546" s="15"/>
      <c r="E1546" s="15"/>
      <c r="F1546" s="20"/>
    </row>
    <row r="1547" spans="2:6" ht="17.25" customHeight="1">
      <c r="B1547" s="15"/>
      <c r="C1547" s="15"/>
      <c r="D1547" s="15"/>
      <c r="E1547" s="15"/>
      <c r="F1547" s="20"/>
    </row>
    <row r="1548" spans="2:6" ht="17.25" customHeight="1">
      <c r="B1548" s="15"/>
      <c r="C1548" s="15"/>
      <c r="D1548" s="15"/>
      <c r="E1548" s="15"/>
      <c r="F1548" s="20"/>
    </row>
    <row r="1549" spans="2:6" ht="17.25" customHeight="1">
      <c r="B1549" s="15"/>
      <c r="C1549" s="15"/>
      <c r="D1549" s="15"/>
      <c r="E1549" s="15"/>
      <c r="F1549" s="20"/>
    </row>
    <row r="1550" spans="2:6" ht="17.25" customHeight="1">
      <c r="B1550" s="15"/>
      <c r="C1550" s="15"/>
      <c r="D1550" s="15"/>
      <c r="E1550" s="15"/>
      <c r="F1550" s="20"/>
    </row>
    <row r="1551" spans="2:6" ht="17.25" customHeight="1">
      <c r="B1551" s="15"/>
      <c r="C1551" s="15"/>
      <c r="D1551" s="15"/>
      <c r="E1551" s="15"/>
      <c r="F1551" s="20"/>
    </row>
    <row r="1552" spans="2:6" ht="17.25" customHeight="1">
      <c r="B1552" s="15"/>
      <c r="C1552" s="15"/>
      <c r="D1552" s="15"/>
      <c r="E1552" s="15"/>
      <c r="F1552" s="20"/>
    </row>
    <row r="1553" spans="2:6" ht="17.25" customHeight="1">
      <c r="B1553" s="15"/>
      <c r="C1553" s="15"/>
      <c r="D1553" s="15"/>
      <c r="E1553" s="15"/>
      <c r="F1553" s="20"/>
    </row>
    <row r="1554" spans="2:6" ht="17.25" customHeight="1">
      <c r="B1554" s="15"/>
      <c r="C1554" s="15"/>
      <c r="D1554" s="15"/>
      <c r="E1554" s="15"/>
      <c r="F1554" s="20"/>
    </row>
    <row r="1555" spans="2:6" ht="17.25" customHeight="1">
      <c r="B1555" s="15"/>
      <c r="C1555" s="15"/>
      <c r="D1555" s="15"/>
      <c r="E1555" s="15"/>
      <c r="F1555" s="20"/>
    </row>
    <row r="1556" spans="2:6" ht="17.25" customHeight="1">
      <c r="B1556" s="15"/>
      <c r="C1556" s="15"/>
      <c r="D1556" s="15"/>
      <c r="E1556" s="15"/>
      <c r="F1556" s="20"/>
    </row>
    <row r="1557" spans="2:6" ht="17.25" customHeight="1">
      <c r="B1557" s="15"/>
      <c r="C1557" s="15"/>
      <c r="D1557" s="15"/>
      <c r="E1557" s="15"/>
      <c r="F1557" s="20"/>
    </row>
    <row r="1558" spans="2:6" ht="17.25" customHeight="1">
      <c r="B1558" s="15"/>
      <c r="C1558" s="15"/>
      <c r="D1558" s="15"/>
      <c r="E1558" s="15"/>
      <c r="F1558" s="20"/>
    </row>
    <row r="1559" spans="2:6" ht="17.25" customHeight="1">
      <c r="B1559" s="15"/>
      <c r="C1559" s="15"/>
      <c r="D1559" s="15"/>
      <c r="E1559" s="15"/>
      <c r="F1559" s="20"/>
    </row>
    <row r="1560" spans="2:6" ht="17.25" customHeight="1">
      <c r="B1560" s="15"/>
      <c r="C1560" s="15"/>
      <c r="D1560" s="15"/>
      <c r="E1560" s="15"/>
      <c r="F1560" s="20"/>
    </row>
    <row r="1561" spans="2:6" ht="17.25" customHeight="1">
      <c r="B1561" s="15"/>
      <c r="C1561" s="15"/>
      <c r="D1561" s="15"/>
      <c r="E1561" s="15"/>
      <c r="F1561" s="20"/>
    </row>
    <row r="1562" spans="2:6" ht="17.25" customHeight="1">
      <c r="B1562" s="15"/>
      <c r="C1562" s="15"/>
      <c r="D1562" s="15"/>
      <c r="E1562" s="15"/>
      <c r="F1562" s="20"/>
    </row>
    <row r="1563" spans="2:6" ht="17.25" customHeight="1">
      <c r="B1563" s="15"/>
      <c r="C1563" s="15"/>
      <c r="D1563" s="15"/>
      <c r="E1563" s="15"/>
      <c r="F1563" s="20"/>
    </row>
    <row r="1564" spans="2:6" ht="17.25" customHeight="1">
      <c r="B1564" s="15"/>
      <c r="C1564" s="15"/>
      <c r="D1564" s="15"/>
      <c r="E1564" s="15"/>
      <c r="F1564" s="20"/>
    </row>
    <row r="1565" spans="2:6" ht="17.25" customHeight="1">
      <c r="B1565" s="15"/>
      <c r="C1565" s="15"/>
      <c r="D1565" s="15"/>
      <c r="E1565" s="15"/>
      <c r="F1565" s="20"/>
    </row>
    <row r="1566" spans="2:6" ht="17.25" customHeight="1">
      <c r="B1566" s="15"/>
      <c r="C1566" s="15"/>
      <c r="D1566" s="15"/>
      <c r="E1566" s="15"/>
      <c r="F1566" s="20"/>
    </row>
    <row r="1567" spans="2:6" ht="17.25" customHeight="1">
      <c r="B1567" s="15"/>
      <c r="C1567" s="15"/>
      <c r="D1567" s="15"/>
      <c r="E1567" s="15"/>
      <c r="F1567" s="20"/>
    </row>
    <row r="1568" spans="2:6" ht="17.25" customHeight="1">
      <c r="B1568" s="15"/>
      <c r="C1568" s="15"/>
      <c r="D1568" s="15"/>
      <c r="E1568" s="15"/>
      <c r="F1568" s="20"/>
    </row>
    <row r="1569" spans="2:6" ht="17.25" customHeight="1">
      <c r="B1569" s="15"/>
      <c r="C1569" s="15"/>
      <c r="D1569" s="15"/>
      <c r="E1569" s="15"/>
      <c r="F1569" s="20"/>
    </row>
    <row r="1570" spans="2:6" ht="17.25" customHeight="1">
      <c r="B1570" s="15"/>
      <c r="C1570" s="15"/>
      <c r="D1570" s="15"/>
      <c r="E1570" s="15"/>
      <c r="F1570" s="20"/>
    </row>
    <row r="1571" spans="2:6" ht="17.25" customHeight="1">
      <c r="B1571" s="15"/>
      <c r="C1571" s="15"/>
      <c r="D1571" s="15"/>
      <c r="E1571" s="15"/>
      <c r="F1571" s="20"/>
    </row>
    <row r="1572" spans="2:6" ht="17.25" customHeight="1">
      <c r="B1572" s="15"/>
      <c r="C1572" s="15"/>
      <c r="D1572" s="15"/>
      <c r="E1572" s="15"/>
      <c r="F1572" s="20"/>
    </row>
    <row r="1573" spans="2:6" ht="17.25" customHeight="1">
      <c r="B1573" s="15"/>
      <c r="C1573" s="15"/>
      <c r="D1573" s="15"/>
      <c r="E1573" s="15"/>
      <c r="F1573" s="20"/>
    </row>
    <row r="1574" spans="2:6" ht="17.25" customHeight="1">
      <c r="B1574" s="15"/>
      <c r="C1574" s="15"/>
      <c r="D1574" s="15"/>
      <c r="E1574" s="15"/>
      <c r="F1574" s="20"/>
    </row>
    <row r="1575" spans="2:6" ht="17.25" customHeight="1">
      <c r="B1575" s="15"/>
      <c r="C1575" s="15"/>
      <c r="D1575" s="15"/>
      <c r="E1575" s="15"/>
      <c r="F1575" s="20"/>
    </row>
    <row r="1576" spans="2:6" ht="17.25" customHeight="1">
      <c r="B1576" s="15"/>
      <c r="C1576" s="15"/>
      <c r="D1576" s="15"/>
      <c r="E1576" s="15"/>
      <c r="F1576" s="20"/>
    </row>
    <row r="1577" spans="2:6" ht="17.25" customHeight="1">
      <c r="B1577" s="15"/>
      <c r="C1577" s="15"/>
      <c r="D1577" s="15"/>
      <c r="E1577" s="15"/>
      <c r="F1577" s="20"/>
    </row>
    <row r="1578" spans="2:6" ht="17.25" customHeight="1">
      <c r="B1578" s="15"/>
      <c r="C1578" s="15"/>
      <c r="D1578" s="15"/>
      <c r="E1578" s="15"/>
      <c r="F1578" s="20"/>
    </row>
    <row r="1579" spans="2:6" ht="17.25" customHeight="1">
      <c r="B1579" s="15"/>
      <c r="C1579" s="15"/>
      <c r="D1579" s="15"/>
      <c r="E1579" s="15"/>
      <c r="F1579" s="20"/>
    </row>
    <row r="1580" spans="2:6" ht="17.25" customHeight="1">
      <c r="B1580" s="15"/>
      <c r="C1580" s="15"/>
      <c r="D1580" s="15"/>
      <c r="E1580" s="15"/>
      <c r="F1580" s="20"/>
    </row>
    <row r="1581" spans="2:6" ht="17.25" customHeight="1">
      <c r="B1581" s="15"/>
      <c r="C1581" s="15"/>
      <c r="D1581" s="15"/>
      <c r="E1581" s="15"/>
      <c r="F1581" s="20"/>
    </row>
    <row r="1582" spans="2:6" ht="17.25" customHeight="1">
      <c r="B1582" s="15"/>
      <c r="C1582" s="15"/>
      <c r="D1582" s="15"/>
      <c r="E1582" s="15"/>
      <c r="F1582" s="20"/>
    </row>
    <row r="1583" spans="2:6" ht="17.25" customHeight="1">
      <c r="B1583" s="15"/>
      <c r="C1583" s="15"/>
      <c r="D1583" s="15"/>
      <c r="E1583" s="15"/>
      <c r="F1583" s="20"/>
    </row>
    <row r="1584" spans="2:6" ht="17.25" customHeight="1">
      <c r="B1584" s="15"/>
      <c r="C1584" s="15"/>
      <c r="D1584" s="15"/>
      <c r="E1584" s="15"/>
      <c r="F1584" s="20"/>
    </row>
    <row r="1585" spans="2:6" ht="17.25" customHeight="1">
      <c r="B1585" s="15"/>
      <c r="C1585" s="15"/>
      <c r="D1585" s="15"/>
      <c r="E1585" s="15"/>
      <c r="F1585" s="20"/>
    </row>
    <row r="1586" spans="2:6" ht="17.25" customHeight="1">
      <c r="B1586" s="15"/>
      <c r="C1586" s="15"/>
      <c r="D1586" s="15"/>
      <c r="E1586" s="15"/>
      <c r="F1586" s="20"/>
    </row>
    <row r="1587" spans="2:6" ht="17.25" customHeight="1">
      <c r="B1587" s="15"/>
      <c r="C1587" s="15"/>
      <c r="D1587" s="15"/>
      <c r="E1587" s="15"/>
      <c r="F1587" s="20"/>
    </row>
    <row r="1588" spans="2:6" ht="17.25" customHeight="1">
      <c r="B1588" s="15"/>
      <c r="C1588" s="15"/>
      <c r="D1588" s="15"/>
      <c r="E1588" s="15"/>
      <c r="F1588" s="20"/>
    </row>
    <row r="1589" spans="2:6" ht="17.25" customHeight="1">
      <c r="B1589" s="15"/>
      <c r="C1589" s="15"/>
      <c r="D1589" s="15"/>
      <c r="E1589" s="15"/>
      <c r="F1589" s="20"/>
    </row>
    <row r="1590" spans="2:6" ht="17.25" customHeight="1">
      <c r="B1590" s="15"/>
      <c r="C1590" s="15"/>
      <c r="D1590" s="15"/>
      <c r="E1590" s="15"/>
      <c r="F1590" s="20"/>
    </row>
    <row r="1591" spans="2:6" ht="17.25" customHeight="1">
      <c r="B1591" s="15"/>
      <c r="C1591" s="15"/>
      <c r="D1591" s="15"/>
      <c r="E1591" s="15"/>
      <c r="F1591" s="20"/>
    </row>
    <row r="1592" spans="2:6" ht="17.25" customHeight="1">
      <c r="B1592" s="15"/>
      <c r="C1592" s="15"/>
      <c r="D1592" s="15"/>
      <c r="E1592" s="15"/>
      <c r="F1592" s="20"/>
    </row>
    <row r="1593" spans="2:6" ht="17.25" customHeight="1">
      <c r="B1593" s="15"/>
      <c r="C1593" s="15"/>
      <c r="D1593" s="15"/>
      <c r="E1593" s="15"/>
      <c r="F1593" s="20"/>
    </row>
    <row r="1594" spans="2:6" ht="17.25" customHeight="1">
      <c r="B1594" s="15"/>
      <c r="C1594" s="15"/>
      <c r="D1594" s="15"/>
      <c r="E1594" s="15"/>
      <c r="F1594" s="20"/>
    </row>
    <row r="1595" spans="2:6" ht="17.25" customHeight="1">
      <c r="B1595" s="15"/>
      <c r="C1595" s="15"/>
      <c r="D1595" s="15"/>
      <c r="E1595" s="15"/>
      <c r="F1595" s="20"/>
    </row>
    <row r="1596" spans="2:6" ht="17.25" customHeight="1">
      <c r="B1596" s="15"/>
      <c r="C1596" s="15"/>
      <c r="D1596" s="15"/>
      <c r="E1596" s="15"/>
      <c r="F1596" s="20"/>
    </row>
    <row r="1597" spans="2:6" ht="17.25" customHeight="1">
      <c r="B1597" s="15"/>
      <c r="C1597" s="15"/>
      <c r="D1597" s="15"/>
      <c r="E1597" s="15"/>
      <c r="F1597" s="20"/>
    </row>
    <row r="1598" spans="2:6" ht="17.25" customHeight="1">
      <c r="B1598" s="15"/>
      <c r="C1598" s="15"/>
      <c r="D1598" s="15"/>
      <c r="E1598" s="15"/>
      <c r="F1598" s="20"/>
    </row>
    <row r="1599" spans="2:6" ht="17.25" customHeight="1">
      <c r="B1599" s="15"/>
      <c r="C1599" s="15"/>
      <c r="D1599" s="15"/>
      <c r="E1599" s="15"/>
      <c r="F1599" s="20"/>
    </row>
    <row r="1600" spans="2:6" ht="17.25" customHeight="1">
      <c r="B1600" s="15"/>
      <c r="C1600" s="15"/>
      <c r="D1600" s="15"/>
      <c r="E1600" s="15"/>
      <c r="F1600" s="20"/>
    </row>
    <row r="1601" spans="2:6" ht="17.25" customHeight="1">
      <c r="B1601" s="15"/>
      <c r="C1601" s="15"/>
      <c r="D1601" s="15"/>
      <c r="E1601" s="15"/>
      <c r="F1601" s="20"/>
    </row>
    <row r="1602" spans="2:6" ht="17.25" customHeight="1">
      <c r="B1602" s="15"/>
      <c r="C1602" s="15"/>
      <c r="D1602" s="15"/>
      <c r="E1602" s="15"/>
      <c r="F1602" s="20"/>
    </row>
    <row r="1603" spans="2:6" ht="17.25" customHeight="1">
      <c r="B1603" s="15"/>
      <c r="C1603" s="15"/>
      <c r="D1603" s="15"/>
      <c r="E1603" s="15"/>
      <c r="F1603" s="20"/>
    </row>
    <row r="1604" spans="2:6" ht="17.25" customHeight="1">
      <c r="B1604" s="15"/>
      <c r="C1604" s="15"/>
      <c r="D1604" s="15"/>
      <c r="E1604" s="15"/>
      <c r="F1604" s="20"/>
    </row>
    <row r="1605" spans="2:6" ht="17.25" customHeight="1">
      <c r="B1605" s="15"/>
      <c r="C1605" s="15"/>
      <c r="D1605" s="15"/>
      <c r="E1605" s="15"/>
      <c r="F1605" s="20"/>
    </row>
    <row r="1606" spans="2:6" ht="17.25" customHeight="1">
      <c r="B1606" s="15"/>
      <c r="C1606" s="15"/>
      <c r="D1606" s="15"/>
      <c r="E1606" s="15"/>
      <c r="F1606" s="20"/>
    </row>
    <row r="1607" spans="2:6" ht="17.25" customHeight="1">
      <c r="B1607" s="15"/>
      <c r="C1607" s="15"/>
      <c r="D1607" s="15"/>
      <c r="E1607" s="15"/>
      <c r="F1607" s="20"/>
    </row>
    <row r="1608" spans="2:6" ht="17.25" customHeight="1">
      <c r="B1608" s="15"/>
      <c r="C1608" s="15"/>
      <c r="D1608" s="15"/>
      <c r="E1608" s="15"/>
      <c r="F1608" s="20"/>
    </row>
    <row r="1609" spans="2:6" ht="17.25" customHeight="1">
      <c r="B1609" s="15"/>
      <c r="C1609" s="15"/>
      <c r="D1609" s="15"/>
      <c r="E1609" s="15"/>
      <c r="F1609" s="20"/>
    </row>
    <row r="1610" spans="2:6" ht="17.25" customHeight="1">
      <c r="B1610" s="15"/>
      <c r="C1610" s="15"/>
      <c r="D1610" s="15"/>
      <c r="E1610" s="15"/>
      <c r="F1610" s="20"/>
    </row>
    <row r="1611" spans="2:6" ht="17.25" customHeight="1">
      <c r="B1611" s="15"/>
      <c r="C1611" s="15"/>
      <c r="D1611" s="15"/>
      <c r="E1611" s="15"/>
      <c r="F1611" s="20"/>
    </row>
    <row r="1612" spans="2:6" ht="17.25" customHeight="1">
      <c r="B1612" s="15"/>
      <c r="C1612" s="15"/>
      <c r="D1612" s="15"/>
      <c r="E1612" s="15"/>
      <c r="F1612" s="20"/>
    </row>
    <row r="1613" spans="2:6" ht="17.25" customHeight="1">
      <c r="B1613" s="15"/>
      <c r="C1613" s="15"/>
      <c r="D1613" s="15"/>
      <c r="E1613" s="15"/>
      <c r="F1613" s="20"/>
    </row>
    <row r="1614" spans="2:6" ht="17.25" customHeight="1">
      <c r="B1614" s="15"/>
      <c r="C1614" s="15"/>
      <c r="D1614" s="15"/>
      <c r="E1614" s="15"/>
      <c r="F1614" s="20"/>
    </row>
    <row r="1615" spans="2:6" ht="17.25" customHeight="1">
      <c r="B1615" s="15"/>
      <c r="C1615" s="15"/>
      <c r="D1615" s="15"/>
      <c r="E1615" s="15"/>
      <c r="F1615" s="20"/>
    </row>
    <row r="1616" spans="2:6" ht="17.25" customHeight="1">
      <c r="B1616" s="15"/>
      <c r="C1616" s="15"/>
      <c r="D1616" s="15"/>
      <c r="E1616" s="15"/>
      <c r="F1616" s="20"/>
    </row>
    <row r="1617" spans="2:6" ht="17.25" customHeight="1">
      <c r="B1617" s="15"/>
      <c r="C1617" s="15"/>
      <c r="D1617" s="15"/>
      <c r="E1617" s="15"/>
      <c r="F1617" s="20"/>
    </row>
    <row r="1618" spans="2:6" ht="17.25" customHeight="1">
      <c r="B1618" s="15"/>
      <c r="C1618" s="15"/>
      <c r="D1618" s="15"/>
      <c r="E1618" s="15"/>
      <c r="F1618" s="20"/>
    </row>
    <row r="1619" spans="2:6" ht="17.25" customHeight="1">
      <c r="B1619" s="15"/>
      <c r="C1619" s="15"/>
      <c r="D1619" s="15"/>
      <c r="E1619" s="15"/>
      <c r="F1619" s="20"/>
    </row>
    <row r="1620" spans="2:6" ht="17.25" customHeight="1">
      <c r="B1620" s="15"/>
      <c r="C1620" s="15"/>
      <c r="D1620" s="15"/>
      <c r="E1620" s="15"/>
      <c r="F1620" s="20"/>
    </row>
    <row r="1621" spans="2:6" ht="17.25" customHeight="1">
      <c r="B1621" s="15"/>
      <c r="C1621" s="15"/>
      <c r="D1621" s="15"/>
      <c r="E1621" s="15"/>
      <c r="F1621" s="20"/>
    </row>
    <row r="1622" spans="2:6" ht="17.25" customHeight="1">
      <c r="B1622" s="15"/>
      <c r="C1622" s="15"/>
      <c r="D1622" s="15"/>
      <c r="E1622" s="15"/>
      <c r="F1622" s="20"/>
    </row>
    <row r="1623" spans="2:6" ht="17.25" customHeight="1">
      <c r="B1623" s="15"/>
      <c r="C1623" s="15"/>
      <c r="D1623" s="15"/>
      <c r="E1623" s="15"/>
      <c r="F1623" s="20"/>
    </row>
    <row r="1624" spans="2:6" ht="17.25" customHeight="1">
      <c r="B1624" s="15"/>
      <c r="C1624" s="15"/>
      <c r="D1624" s="15"/>
      <c r="E1624" s="15"/>
      <c r="F1624" s="20"/>
    </row>
    <row r="1625" spans="2:6" ht="17.25" customHeight="1">
      <c r="B1625" s="15"/>
      <c r="C1625" s="15"/>
      <c r="D1625" s="15"/>
      <c r="E1625" s="15"/>
      <c r="F1625" s="20"/>
    </row>
    <row r="1626" spans="2:6" ht="17.25" customHeight="1">
      <c r="B1626" s="15"/>
      <c r="C1626" s="15"/>
      <c r="D1626" s="15"/>
      <c r="E1626" s="15"/>
      <c r="F1626" s="20"/>
    </row>
    <row r="1627" spans="2:6" ht="17.25" customHeight="1">
      <c r="B1627" s="15"/>
      <c r="C1627" s="15"/>
      <c r="D1627" s="15"/>
      <c r="E1627" s="15"/>
      <c r="F1627" s="20"/>
    </row>
    <row r="1628" spans="2:6" ht="17.25" customHeight="1">
      <c r="B1628" s="15"/>
      <c r="C1628" s="15"/>
      <c r="D1628" s="15"/>
      <c r="E1628" s="15"/>
      <c r="F1628" s="20"/>
    </row>
    <row r="1629" spans="2:6" ht="17.25" customHeight="1">
      <c r="B1629" s="15"/>
      <c r="C1629" s="15"/>
      <c r="D1629" s="15"/>
      <c r="E1629" s="15"/>
      <c r="F1629" s="20"/>
    </row>
    <row r="1630" spans="2:6" ht="17.25" customHeight="1">
      <c r="B1630" s="15"/>
      <c r="C1630" s="15"/>
      <c r="D1630" s="15"/>
      <c r="E1630" s="15"/>
      <c r="F1630" s="20"/>
    </row>
    <row r="1631" spans="2:6" ht="17.25" customHeight="1">
      <c r="B1631" s="15"/>
      <c r="C1631" s="15"/>
      <c r="D1631" s="15"/>
      <c r="E1631" s="15"/>
      <c r="F1631" s="20"/>
    </row>
    <row r="1632" spans="2:6" ht="17.25" customHeight="1">
      <c r="B1632" s="15"/>
      <c r="C1632" s="15"/>
      <c r="D1632" s="15"/>
      <c r="E1632" s="15"/>
      <c r="F1632" s="20"/>
    </row>
    <row r="1633" spans="2:6" ht="17.25" customHeight="1">
      <c r="B1633" s="15"/>
      <c r="C1633" s="15"/>
      <c r="D1633" s="15"/>
      <c r="E1633" s="15"/>
      <c r="F1633" s="20"/>
    </row>
    <row r="1634" spans="2:6" ht="17.25" customHeight="1">
      <c r="B1634" s="15"/>
      <c r="C1634" s="15"/>
      <c r="D1634" s="15"/>
      <c r="E1634" s="15"/>
      <c r="F1634" s="20"/>
    </row>
    <row r="1635" spans="2:6" ht="17.25" customHeight="1">
      <c r="B1635" s="15"/>
      <c r="C1635" s="15"/>
      <c r="D1635" s="15"/>
      <c r="E1635" s="15"/>
      <c r="F1635" s="20"/>
    </row>
    <row r="1636" spans="2:6" ht="17.25" customHeight="1">
      <c r="B1636" s="15"/>
      <c r="C1636" s="15"/>
      <c r="D1636" s="15"/>
      <c r="E1636" s="15"/>
      <c r="F1636" s="20"/>
    </row>
    <row r="1637" spans="2:6" ht="17.25" customHeight="1">
      <c r="B1637" s="15"/>
      <c r="C1637" s="15"/>
      <c r="D1637" s="15"/>
      <c r="E1637" s="15"/>
      <c r="F1637" s="20"/>
    </row>
    <row r="1638" spans="2:6" ht="17.25" customHeight="1">
      <c r="B1638" s="15"/>
      <c r="C1638" s="15"/>
      <c r="D1638" s="15"/>
      <c r="E1638" s="15"/>
      <c r="F1638" s="20"/>
    </row>
    <row r="1639" spans="2:6" ht="17.25" customHeight="1">
      <c r="B1639" s="15"/>
      <c r="C1639" s="15"/>
      <c r="D1639" s="15"/>
      <c r="E1639" s="15"/>
      <c r="F1639" s="20"/>
    </row>
    <row r="1640" spans="2:6" ht="17.25" customHeight="1">
      <c r="B1640" s="15"/>
      <c r="C1640" s="15"/>
      <c r="D1640" s="15"/>
      <c r="E1640" s="15"/>
      <c r="F1640" s="20"/>
    </row>
    <row r="1641" spans="2:6" ht="17.25" customHeight="1">
      <c r="B1641" s="15"/>
      <c r="C1641" s="15"/>
      <c r="D1641" s="15"/>
      <c r="E1641" s="15"/>
      <c r="F1641" s="20"/>
    </row>
    <row r="1642" spans="2:6" ht="17.25" customHeight="1">
      <c r="B1642" s="15"/>
      <c r="C1642" s="15"/>
      <c r="D1642" s="15"/>
      <c r="E1642" s="15"/>
      <c r="F1642" s="20"/>
    </row>
    <row r="1643" spans="2:6" ht="17.25" customHeight="1">
      <c r="B1643" s="15"/>
      <c r="C1643" s="15"/>
      <c r="D1643" s="15"/>
      <c r="E1643" s="15"/>
      <c r="F1643" s="20"/>
    </row>
    <row r="1644" spans="2:6" ht="17.25" customHeight="1">
      <c r="B1644" s="15"/>
      <c r="C1644" s="15"/>
      <c r="D1644" s="15"/>
      <c r="E1644" s="15"/>
      <c r="F1644" s="20"/>
    </row>
    <row r="1645" spans="2:6" ht="17.25" customHeight="1">
      <c r="B1645" s="15"/>
      <c r="C1645" s="15"/>
      <c r="D1645" s="15"/>
      <c r="E1645" s="15"/>
      <c r="F1645" s="20"/>
    </row>
    <row r="1646" spans="2:6" ht="17.25" customHeight="1">
      <c r="B1646" s="15"/>
      <c r="C1646" s="15"/>
      <c r="D1646" s="15"/>
      <c r="E1646" s="15"/>
      <c r="F1646" s="20"/>
    </row>
    <row r="1647" spans="2:6" ht="17.25" customHeight="1">
      <c r="B1647" s="15"/>
      <c r="C1647" s="15"/>
      <c r="D1647" s="15"/>
      <c r="E1647" s="15"/>
      <c r="F1647" s="20"/>
    </row>
    <row r="1648" spans="2:6" ht="17.25" customHeight="1">
      <c r="B1648" s="15"/>
      <c r="C1648" s="15"/>
      <c r="D1648" s="15"/>
      <c r="E1648" s="15"/>
      <c r="F1648" s="20"/>
    </row>
    <row r="1649" spans="2:6" ht="17.25" customHeight="1">
      <c r="B1649" s="15"/>
      <c r="C1649" s="15"/>
      <c r="D1649" s="15"/>
      <c r="E1649" s="15"/>
      <c r="F1649" s="20"/>
    </row>
    <row r="1650" spans="2:6" ht="17.25" customHeight="1">
      <c r="B1650" s="15"/>
      <c r="C1650" s="15"/>
      <c r="D1650" s="15"/>
      <c r="E1650" s="15"/>
      <c r="F1650" s="20"/>
    </row>
    <row r="1651" spans="2:6" ht="17.25" customHeight="1">
      <c r="B1651" s="15"/>
      <c r="C1651" s="15"/>
      <c r="D1651" s="15"/>
      <c r="E1651" s="15"/>
      <c r="F1651" s="20"/>
    </row>
    <row r="1652" spans="2:6" ht="17.25" customHeight="1">
      <c r="B1652" s="15"/>
      <c r="C1652" s="15"/>
      <c r="D1652" s="15"/>
      <c r="E1652" s="15"/>
      <c r="F1652" s="20"/>
    </row>
    <row r="1653" spans="2:6" ht="17.25" customHeight="1">
      <c r="B1653" s="15"/>
      <c r="C1653" s="15"/>
      <c r="D1653" s="15"/>
      <c r="E1653" s="15"/>
      <c r="F1653" s="20"/>
    </row>
    <row r="1654" spans="2:6" ht="17.25" customHeight="1">
      <c r="B1654" s="15"/>
      <c r="C1654" s="15"/>
      <c r="D1654" s="15"/>
      <c r="E1654" s="15"/>
      <c r="F1654" s="20"/>
    </row>
    <row r="1655" spans="2:6" ht="17.25" customHeight="1">
      <c r="B1655" s="15"/>
      <c r="C1655" s="15"/>
      <c r="D1655" s="15"/>
      <c r="E1655" s="15"/>
      <c r="F1655" s="20"/>
    </row>
    <row r="1656" spans="2:6" ht="17.25" customHeight="1">
      <c r="B1656" s="15"/>
      <c r="C1656" s="15"/>
      <c r="D1656" s="15"/>
      <c r="E1656" s="15"/>
      <c r="F1656" s="20"/>
    </row>
    <row r="1657" spans="2:6" ht="17.25" customHeight="1">
      <c r="B1657" s="15"/>
      <c r="C1657" s="15"/>
      <c r="D1657" s="15"/>
      <c r="E1657" s="15"/>
      <c r="F1657" s="20"/>
    </row>
    <row r="1658" spans="2:6" ht="17.25" customHeight="1">
      <c r="B1658" s="15"/>
      <c r="C1658" s="15"/>
      <c r="D1658" s="15"/>
      <c r="E1658" s="15"/>
      <c r="F1658" s="20"/>
    </row>
    <row r="1659" spans="2:6" ht="17.25" customHeight="1">
      <c r="B1659" s="15"/>
      <c r="C1659" s="15"/>
      <c r="D1659" s="15"/>
      <c r="E1659" s="15"/>
      <c r="F1659" s="20"/>
    </row>
    <row r="1660" spans="2:6" ht="17.25" customHeight="1">
      <c r="B1660" s="15"/>
      <c r="C1660" s="15"/>
      <c r="D1660" s="15"/>
      <c r="E1660" s="15"/>
      <c r="F1660" s="20"/>
    </row>
    <row r="1661" spans="2:6" ht="17.25" customHeight="1">
      <c r="B1661" s="15"/>
      <c r="C1661" s="15"/>
      <c r="D1661" s="15"/>
      <c r="E1661" s="15"/>
      <c r="F1661" s="20"/>
    </row>
    <row r="1662" spans="2:6" ht="17.25" customHeight="1">
      <c r="B1662" s="15"/>
      <c r="C1662" s="15"/>
      <c r="D1662" s="15"/>
      <c r="E1662" s="15"/>
      <c r="F1662" s="20"/>
    </row>
    <row r="1663" spans="2:6" ht="17.25" customHeight="1">
      <c r="B1663" s="15"/>
      <c r="C1663" s="15"/>
      <c r="D1663" s="15"/>
      <c r="E1663" s="15"/>
      <c r="F1663" s="20"/>
    </row>
    <row r="1664" spans="2:6" ht="17.25" customHeight="1">
      <c r="B1664" s="15"/>
      <c r="C1664" s="15"/>
      <c r="D1664" s="15"/>
      <c r="E1664" s="15"/>
      <c r="F1664" s="20"/>
    </row>
    <row r="1665" spans="2:6" ht="17.25" customHeight="1">
      <c r="B1665" s="15"/>
      <c r="C1665" s="15"/>
      <c r="D1665" s="15"/>
      <c r="E1665" s="15"/>
      <c r="F1665" s="20"/>
    </row>
    <row r="1666" spans="2:6" ht="17.25" customHeight="1">
      <c r="B1666" s="15"/>
      <c r="C1666" s="15"/>
      <c r="D1666" s="15"/>
      <c r="E1666" s="15"/>
      <c r="F1666" s="20"/>
    </row>
    <row r="1667" spans="2:6" ht="17.25" customHeight="1">
      <c r="B1667" s="15"/>
      <c r="C1667" s="15"/>
      <c r="D1667" s="15"/>
      <c r="E1667" s="15"/>
      <c r="F1667" s="20"/>
    </row>
    <row r="1668" spans="2:6" ht="17.25" customHeight="1">
      <c r="B1668" s="15"/>
      <c r="C1668" s="15"/>
      <c r="D1668" s="15"/>
      <c r="E1668" s="15"/>
      <c r="F1668" s="20"/>
    </row>
    <row r="1669" spans="2:6" ht="17.25" customHeight="1">
      <c r="B1669" s="15"/>
      <c r="C1669" s="15"/>
      <c r="D1669" s="15"/>
      <c r="E1669" s="15"/>
      <c r="F1669" s="20"/>
    </row>
    <row r="1670" spans="2:6" ht="17.25" customHeight="1">
      <c r="B1670" s="15"/>
      <c r="C1670" s="15"/>
      <c r="D1670" s="15"/>
      <c r="E1670" s="15"/>
      <c r="F1670" s="20"/>
    </row>
    <row r="1671" spans="2:6" ht="17.25" customHeight="1">
      <c r="B1671" s="15"/>
      <c r="C1671" s="15"/>
      <c r="D1671" s="15"/>
      <c r="E1671" s="15"/>
      <c r="F1671" s="20"/>
    </row>
    <row r="1672" spans="2:6" ht="17.25" customHeight="1">
      <c r="B1672" s="15"/>
      <c r="C1672" s="15"/>
      <c r="D1672" s="15"/>
      <c r="E1672" s="15"/>
      <c r="F1672" s="20"/>
    </row>
    <row r="1673" spans="2:6" ht="17.25" customHeight="1">
      <c r="B1673" s="15"/>
      <c r="C1673" s="15"/>
      <c r="D1673" s="15"/>
      <c r="E1673" s="15"/>
      <c r="F1673" s="20"/>
    </row>
    <row r="1674" spans="2:6" ht="17.25" customHeight="1">
      <c r="B1674" s="15"/>
      <c r="C1674" s="15"/>
      <c r="D1674" s="15"/>
      <c r="E1674" s="15"/>
      <c r="F1674" s="20"/>
    </row>
    <row r="1675" spans="2:6" ht="17.25" customHeight="1">
      <c r="B1675" s="15"/>
      <c r="C1675" s="15"/>
      <c r="D1675" s="15"/>
      <c r="E1675" s="15"/>
      <c r="F1675" s="20"/>
    </row>
    <row r="1676" spans="2:6" ht="17.25" customHeight="1">
      <c r="B1676" s="15"/>
      <c r="C1676" s="15"/>
      <c r="D1676" s="15"/>
      <c r="E1676" s="15"/>
      <c r="F1676" s="20"/>
    </row>
    <row r="1677" spans="2:6" ht="17.25" customHeight="1">
      <c r="B1677" s="15"/>
      <c r="C1677" s="15"/>
      <c r="D1677" s="15"/>
      <c r="E1677" s="15"/>
      <c r="F1677" s="20"/>
    </row>
    <row r="1678" spans="2:6" ht="17.25" customHeight="1">
      <c r="B1678" s="15"/>
      <c r="C1678" s="15"/>
      <c r="D1678" s="15"/>
      <c r="E1678" s="15"/>
      <c r="F1678" s="20"/>
    </row>
    <row r="1679" spans="2:6" ht="17.25" customHeight="1">
      <c r="B1679" s="15"/>
      <c r="C1679" s="15"/>
      <c r="D1679" s="15"/>
      <c r="E1679" s="15"/>
      <c r="F1679" s="20"/>
    </row>
    <row r="1680" spans="2:6" ht="17.25" customHeight="1">
      <c r="B1680" s="15"/>
      <c r="C1680" s="15"/>
      <c r="D1680" s="15"/>
      <c r="E1680" s="15"/>
      <c r="F1680" s="20"/>
    </row>
    <row r="1681" spans="2:6" ht="17.25" customHeight="1">
      <c r="B1681" s="15"/>
      <c r="C1681" s="15"/>
      <c r="D1681" s="15"/>
      <c r="E1681" s="15"/>
      <c r="F1681" s="20"/>
    </row>
    <row r="1682" spans="2:6" ht="17.25" customHeight="1">
      <c r="B1682" s="15"/>
      <c r="C1682" s="15"/>
      <c r="D1682" s="15"/>
      <c r="E1682" s="15"/>
      <c r="F1682" s="20"/>
    </row>
    <row r="1683" spans="2:6" ht="17.25" customHeight="1">
      <c r="B1683" s="15"/>
      <c r="C1683" s="15"/>
      <c r="D1683" s="15"/>
      <c r="E1683" s="15"/>
      <c r="F1683" s="20"/>
    </row>
    <row r="1684" spans="2:6" ht="17.25" customHeight="1">
      <c r="B1684" s="15"/>
      <c r="C1684" s="15"/>
      <c r="D1684" s="15"/>
      <c r="E1684" s="15"/>
      <c r="F1684" s="20"/>
    </row>
    <row r="1685" spans="2:6" ht="17.25" customHeight="1">
      <c r="B1685" s="15"/>
      <c r="C1685" s="15"/>
      <c r="D1685" s="15"/>
      <c r="E1685" s="15"/>
      <c r="F1685" s="20"/>
    </row>
    <row r="1686" spans="2:6" ht="17.25" customHeight="1">
      <c r="B1686" s="15"/>
      <c r="C1686" s="15"/>
      <c r="D1686" s="15"/>
      <c r="E1686" s="15"/>
      <c r="F1686" s="20"/>
    </row>
    <row r="1687" spans="2:6" ht="17.25" customHeight="1">
      <c r="B1687" s="15"/>
      <c r="C1687" s="15"/>
      <c r="D1687" s="15"/>
      <c r="E1687" s="15"/>
      <c r="F1687" s="20"/>
    </row>
    <row r="1688" spans="2:6" ht="17.25" customHeight="1">
      <c r="B1688" s="15"/>
      <c r="C1688" s="15"/>
      <c r="D1688" s="15"/>
      <c r="E1688" s="15"/>
      <c r="F1688" s="20"/>
    </row>
    <row r="1689" spans="2:6" ht="17.25" customHeight="1">
      <c r="B1689" s="15"/>
      <c r="C1689" s="15"/>
      <c r="D1689" s="15"/>
      <c r="E1689" s="15"/>
      <c r="F1689" s="20"/>
    </row>
    <row r="1690" spans="2:6" ht="17.25" customHeight="1">
      <c r="B1690" s="15"/>
      <c r="C1690" s="15"/>
      <c r="D1690" s="15"/>
      <c r="E1690" s="15"/>
      <c r="F1690" s="20"/>
    </row>
    <row r="1691" spans="2:6" ht="17.25" customHeight="1">
      <c r="B1691" s="15"/>
      <c r="C1691" s="15"/>
      <c r="D1691" s="15"/>
      <c r="E1691" s="15"/>
      <c r="F1691" s="20"/>
    </row>
    <row r="1692" spans="2:6" ht="17.25" customHeight="1">
      <c r="B1692" s="15"/>
      <c r="C1692" s="15"/>
      <c r="D1692" s="15"/>
      <c r="E1692" s="15"/>
      <c r="F1692" s="20"/>
    </row>
    <row r="1693" spans="2:6" ht="17.25" customHeight="1">
      <c r="B1693" s="15"/>
      <c r="C1693" s="15"/>
      <c r="D1693" s="15"/>
      <c r="E1693" s="15"/>
      <c r="F1693" s="20"/>
    </row>
    <row r="1694" spans="2:6" ht="17.25" customHeight="1">
      <c r="B1694" s="15"/>
      <c r="C1694" s="15"/>
      <c r="D1694" s="15"/>
      <c r="E1694" s="15"/>
      <c r="F1694" s="20"/>
    </row>
    <row r="1695" spans="2:6" ht="17.25" customHeight="1">
      <c r="B1695" s="15"/>
      <c r="C1695" s="15"/>
      <c r="D1695" s="15"/>
      <c r="E1695" s="15"/>
      <c r="F1695" s="20"/>
    </row>
    <row r="1696" spans="2:6" ht="17.25" customHeight="1">
      <c r="B1696" s="15"/>
      <c r="C1696" s="15"/>
      <c r="D1696" s="15"/>
      <c r="E1696" s="15"/>
      <c r="F1696" s="20"/>
    </row>
    <row r="1697" spans="2:6" ht="17.25" customHeight="1">
      <c r="B1697" s="15"/>
      <c r="C1697" s="15"/>
      <c r="D1697" s="15"/>
      <c r="E1697" s="15"/>
      <c r="F1697" s="20"/>
    </row>
    <row r="1698" spans="2:6" ht="17.25" customHeight="1">
      <c r="B1698" s="15"/>
      <c r="C1698" s="15"/>
      <c r="D1698" s="15"/>
      <c r="E1698" s="15"/>
      <c r="F1698" s="20"/>
    </row>
    <row r="1699" spans="2:6" ht="17.25" customHeight="1">
      <c r="B1699" s="15"/>
      <c r="C1699" s="15"/>
      <c r="D1699" s="15"/>
      <c r="E1699" s="15"/>
      <c r="F1699" s="20"/>
    </row>
    <row r="1700" spans="2:6" ht="17.25" customHeight="1">
      <c r="B1700" s="15"/>
      <c r="C1700" s="15"/>
      <c r="D1700" s="15"/>
      <c r="E1700" s="15"/>
      <c r="F1700" s="20"/>
    </row>
    <row r="1701" spans="2:6" ht="17.25" customHeight="1">
      <c r="B1701" s="15"/>
      <c r="C1701" s="15"/>
      <c r="D1701" s="15"/>
      <c r="E1701" s="15"/>
      <c r="F1701" s="20"/>
    </row>
    <row r="1702" spans="2:6" ht="17.25" customHeight="1">
      <c r="B1702" s="15"/>
      <c r="C1702" s="15"/>
      <c r="D1702" s="15"/>
      <c r="E1702" s="15"/>
      <c r="F1702" s="20"/>
    </row>
    <row r="1703" spans="2:6" ht="17.25" customHeight="1">
      <c r="B1703" s="15"/>
      <c r="C1703" s="15"/>
      <c r="D1703" s="15"/>
      <c r="E1703" s="15"/>
      <c r="F1703" s="20"/>
    </row>
    <row r="1704" spans="2:6" ht="17.25" customHeight="1">
      <c r="B1704" s="15"/>
      <c r="C1704" s="15"/>
      <c r="D1704" s="15"/>
      <c r="E1704" s="15"/>
      <c r="F1704" s="20"/>
    </row>
    <row r="1705" spans="2:6" ht="17.25" customHeight="1">
      <c r="B1705" s="15"/>
      <c r="C1705" s="15"/>
      <c r="D1705" s="15"/>
      <c r="E1705" s="15"/>
      <c r="F1705" s="20"/>
    </row>
    <row r="1706" spans="2:6" ht="17.25" customHeight="1">
      <c r="B1706" s="15"/>
      <c r="C1706" s="15"/>
      <c r="D1706" s="15"/>
      <c r="E1706" s="15"/>
      <c r="F1706" s="20"/>
    </row>
    <row r="1707" spans="2:6" ht="17.25" customHeight="1">
      <c r="B1707" s="15"/>
      <c r="C1707" s="15"/>
      <c r="D1707" s="15"/>
      <c r="E1707" s="15"/>
      <c r="F1707" s="20"/>
    </row>
    <row r="1708" spans="2:6" ht="17.25" customHeight="1">
      <c r="B1708" s="15"/>
      <c r="C1708" s="15"/>
      <c r="D1708" s="15"/>
      <c r="E1708" s="15"/>
      <c r="F1708" s="20"/>
    </row>
    <row r="1709" spans="2:6" ht="17.25" customHeight="1">
      <c r="B1709" s="15"/>
      <c r="C1709" s="15"/>
      <c r="D1709" s="15"/>
      <c r="E1709" s="15"/>
      <c r="F1709" s="20"/>
    </row>
    <row r="1710" spans="2:6" ht="17.25" customHeight="1">
      <c r="B1710" s="15"/>
      <c r="C1710" s="15"/>
      <c r="D1710" s="15"/>
      <c r="E1710" s="15"/>
      <c r="F1710" s="20"/>
    </row>
    <row r="1711" spans="2:6" ht="17.25" customHeight="1">
      <c r="B1711" s="15"/>
      <c r="C1711" s="15"/>
      <c r="D1711" s="15"/>
      <c r="E1711" s="15"/>
      <c r="F1711" s="20"/>
    </row>
    <row r="1712" spans="2:6" ht="17.25" customHeight="1">
      <c r="B1712" s="15"/>
      <c r="C1712" s="15"/>
      <c r="D1712" s="15"/>
      <c r="E1712" s="15"/>
      <c r="F1712" s="20"/>
    </row>
    <row r="1713" spans="2:6" ht="17.25" customHeight="1">
      <c r="B1713" s="15"/>
      <c r="C1713" s="15"/>
      <c r="D1713" s="15"/>
      <c r="E1713" s="15"/>
      <c r="F1713" s="20"/>
    </row>
    <row r="1714" spans="2:6" ht="17.25" customHeight="1">
      <c r="B1714" s="15"/>
      <c r="C1714" s="15"/>
      <c r="D1714" s="15"/>
      <c r="E1714" s="15"/>
      <c r="F1714" s="20"/>
    </row>
    <row r="1715" spans="2:6" ht="17.25" customHeight="1">
      <c r="B1715" s="15"/>
      <c r="C1715" s="15"/>
      <c r="D1715" s="15"/>
      <c r="E1715" s="15"/>
      <c r="F1715" s="20"/>
    </row>
    <row r="1716" spans="2:6" ht="17.25" customHeight="1">
      <c r="B1716" s="15"/>
      <c r="C1716" s="15"/>
      <c r="D1716" s="15"/>
      <c r="E1716" s="15"/>
      <c r="F1716" s="20"/>
    </row>
    <row r="1717" spans="2:6" ht="17.25" customHeight="1">
      <c r="B1717" s="15"/>
      <c r="C1717" s="15"/>
      <c r="D1717" s="15"/>
      <c r="E1717" s="15"/>
      <c r="F1717" s="20"/>
    </row>
    <row r="1718" spans="2:6" ht="17.25" customHeight="1">
      <c r="B1718" s="15"/>
      <c r="C1718" s="15"/>
      <c r="D1718" s="15"/>
      <c r="E1718" s="15"/>
      <c r="F1718" s="20"/>
    </row>
    <row r="1719" spans="2:6" ht="17.25" customHeight="1">
      <c r="B1719" s="15"/>
      <c r="C1719" s="15"/>
      <c r="D1719" s="15"/>
      <c r="E1719" s="15"/>
      <c r="F1719" s="20"/>
    </row>
    <row r="1720" spans="2:6" ht="17.25" customHeight="1">
      <c r="B1720" s="15"/>
      <c r="C1720" s="15"/>
      <c r="D1720" s="15"/>
      <c r="E1720" s="15"/>
      <c r="F1720" s="20"/>
    </row>
    <row r="1721" spans="2:6" ht="17.25" customHeight="1">
      <c r="B1721" s="15"/>
      <c r="C1721" s="15"/>
      <c r="D1721" s="15"/>
      <c r="E1721" s="15"/>
      <c r="F1721" s="20"/>
    </row>
    <row r="1722" spans="2:6" ht="17.25" customHeight="1">
      <c r="B1722" s="15"/>
      <c r="C1722" s="15"/>
      <c r="D1722" s="15"/>
      <c r="E1722" s="15"/>
      <c r="F1722" s="20"/>
    </row>
    <row r="1723" spans="2:6" ht="17.25" customHeight="1">
      <c r="B1723" s="15"/>
      <c r="C1723" s="15"/>
      <c r="D1723" s="15"/>
      <c r="E1723" s="15"/>
      <c r="F1723" s="20"/>
    </row>
    <row r="1724" spans="2:6" ht="17.25" customHeight="1">
      <c r="B1724" s="15"/>
      <c r="C1724" s="15"/>
      <c r="D1724" s="15"/>
      <c r="E1724" s="15"/>
      <c r="F1724" s="20"/>
    </row>
    <row r="1725" spans="2:6" ht="17.25" customHeight="1">
      <c r="B1725" s="15"/>
      <c r="C1725" s="15"/>
      <c r="D1725" s="15"/>
      <c r="E1725" s="15"/>
      <c r="F1725" s="20"/>
    </row>
    <row r="1726" spans="2:6" ht="17.25" customHeight="1">
      <c r="B1726" s="15"/>
      <c r="C1726" s="15"/>
      <c r="D1726" s="15"/>
      <c r="E1726" s="15"/>
      <c r="F1726" s="20"/>
    </row>
    <row r="1727" spans="2:6" ht="17.25" customHeight="1">
      <c r="B1727" s="15"/>
      <c r="C1727" s="15"/>
      <c r="D1727" s="15"/>
      <c r="E1727" s="15"/>
      <c r="F1727" s="20"/>
    </row>
    <row r="1728" spans="2:6" ht="17.25" customHeight="1">
      <c r="B1728" s="15"/>
      <c r="C1728" s="15"/>
      <c r="D1728" s="15"/>
      <c r="E1728" s="15"/>
      <c r="F1728" s="20"/>
    </row>
    <row r="1729" spans="2:6" ht="17.25" customHeight="1">
      <c r="B1729" s="15"/>
      <c r="C1729" s="15"/>
      <c r="D1729" s="15"/>
      <c r="E1729" s="15"/>
      <c r="F1729" s="20"/>
    </row>
    <row r="1730" spans="2:6" ht="17.25" customHeight="1">
      <c r="B1730" s="15"/>
      <c r="C1730" s="15"/>
      <c r="D1730" s="15"/>
      <c r="E1730" s="15"/>
      <c r="F1730" s="20"/>
    </row>
    <row r="1731" spans="2:6" ht="17.25" customHeight="1">
      <c r="B1731" s="15"/>
      <c r="C1731" s="15"/>
      <c r="D1731" s="15"/>
      <c r="E1731" s="15"/>
      <c r="F1731" s="20"/>
    </row>
    <row r="1732" spans="2:6" ht="17.25" customHeight="1">
      <c r="B1732" s="15"/>
      <c r="C1732" s="15"/>
      <c r="D1732" s="15"/>
      <c r="E1732" s="15"/>
      <c r="F1732" s="20"/>
    </row>
    <row r="1733" spans="2:6" ht="17.25" customHeight="1">
      <c r="B1733" s="15"/>
      <c r="C1733" s="15"/>
      <c r="D1733" s="15"/>
      <c r="E1733" s="15"/>
      <c r="F1733" s="20"/>
    </row>
    <row r="1734" spans="2:6" ht="17.25" customHeight="1">
      <c r="B1734" s="15"/>
      <c r="C1734" s="15"/>
      <c r="D1734" s="15"/>
      <c r="E1734" s="15"/>
      <c r="F1734" s="20"/>
    </row>
    <row r="1735" spans="2:6" ht="17.25" customHeight="1">
      <c r="B1735" s="15"/>
      <c r="C1735" s="15"/>
      <c r="D1735" s="15"/>
      <c r="E1735" s="15"/>
      <c r="F1735" s="20"/>
    </row>
    <row r="1736" spans="2:6" ht="17.25" customHeight="1">
      <c r="B1736" s="15"/>
      <c r="C1736" s="15"/>
      <c r="D1736" s="15"/>
      <c r="E1736" s="15"/>
      <c r="F1736" s="20"/>
    </row>
    <row r="1737" spans="2:6" ht="17.25" customHeight="1">
      <c r="B1737" s="15"/>
      <c r="C1737" s="15"/>
      <c r="D1737" s="15"/>
      <c r="E1737" s="15"/>
      <c r="F1737" s="20"/>
    </row>
    <row r="1738" spans="2:6" ht="17.25" customHeight="1">
      <c r="B1738" s="15"/>
      <c r="C1738" s="15"/>
      <c r="D1738" s="15"/>
      <c r="E1738" s="15"/>
      <c r="F1738" s="20"/>
    </row>
    <row r="1739" spans="2:6" ht="17.25" customHeight="1">
      <c r="B1739" s="15"/>
      <c r="C1739" s="15"/>
      <c r="D1739" s="15"/>
      <c r="E1739" s="15"/>
      <c r="F1739" s="20"/>
    </row>
    <row r="1740" spans="2:6" ht="17.25" customHeight="1">
      <c r="B1740" s="15"/>
      <c r="C1740" s="15"/>
      <c r="D1740" s="15"/>
      <c r="E1740" s="15"/>
      <c r="F1740" s="20"/>
    </row>
    <row r="1741" spans="2:6" ht="17.25" customHeight="1">
      <c r="B1741" s="15"/>
      <c r="C1741" s="15"/>
      <c r="D1741" s="15"/>
      <c r="E1741" s="15"/>
      <c r="F1741" s="20"/>
    </row>
    <row r="1742" spans="2:6" ht="17.25" customHeight="1">
      <c r="B1742" s="15"/>
      <c r="C1742" s="15"/>
      <c r="D1742" s="15"/>
      <c r="E1742" s="15"/>
      <c r="F1742" s="20"/>
    </row>
    <row r="1743" spans="2:6" ht="17.25" customHeight="1">
      <c r="B1743" s="15"/>
      <c r="C1743" s="15"/>
      <c r="D1743" s="15"/>
      <c r="E1743" s="15"/>
      <c r="F1743" s="20"/>
    </row>
    <row r="1744" spans="2:6" ht="17.25" customHeight="1">
      <c r="B1744" s="15"/>
      <c r="C1744" s="15"/>
      <c r="D1744" s="15"/>
      <c r="E1744" s="15"/>
      <c r="F1744" s="20"/>
    </row>
    <row r="1745" spans="2:6" ht="17.25" customHeight="1">
      <c r="B1745" s="15"/>
      <c r="C1745" s="15"/>
      <c r="D1745" s="15"/>
      <c r="E1745" s="15"/>
      <c r="F1745" s="20"/>
    </row>
    <row r="1746" spans="2:6" ht="17.25" customHeight="1">
      <c r="B1746" s="15"/>
      <c r="C1746" s="15"/>
      <c r="D1746" s="15"/>
      <c r="E1746" s="15"/>
      <c r="F1746" s="20"/>
    </row>
    <row r="1747" spans="2:6" ht="17.25" customHeight="1">
      <c r="B1747" s="15"/>
      <c r="C1747" s="15"/>
      <c r="D1747" s="15"/>
      <c r="E1747" s="15"/>
      <c r="F1747" s="20"/>
    </row>
    <row r="1748" spans="2:6" ht="17.25" customHeight="1">
      <c r="B1748" s="15"/>
      <c r="C1748" s="15"/>
      <c r="D1748" s="15"/>
      <c r="E1748" s="15"/>
      <c r="F1748" s="20"/>
    </row>
    <row r="1749" spans="2:6" ht="17.25" customHeight="1">
      <c r="B1749" s="15"/>
      <c r="C1749" s="15"/>
      <c r="D1749" s="15"/>
      <c r="E1749" s="15"/>
      <c r="F1749" s="20"/>
    </row>
    <row r="1750" spans="2:6" ht="17.25" customHeight="1">
      <c r="B1750" s="15"/>
      <c r="C1750" s="15"/>
      <c r="D1750" s="15"/>
      <c r="E1750" s="15"/>
      <c r="F1750" s="20"/>
    </row>
    <row r="1751" spans="2:6" ht="17.25" customHeight="1">
      <c r="B1751" s="15"/>
      <c r="C1751" s="15"/>
      <c r="D1751" s="15"/>
      <c r="E1751" s="15"/>
      <c r="F1751" s="20"/>
    </row>
    <row r="1752" spans="2:6" ht="17.25" customHeight="1">
      <c r="B1752" s="15"/>
      <c r="C1752" s="15"/>
      <c r="D1752" s="15"/>
      <c r="E1752" s="15"/>
      <c r="F1752" s="20"/>
    </row>
    <row r="1753" spans="2:6" ht="17.25" customHeight="1">
      <c r="B1753" s="15"/>
      <c r="C1753" s="15"/>
      <c r="D1753" s="15"/>
      <c r="E1753" s="15"/>
      <c r="F1753" s="20"/>
    </row>
    <row r="1754" spans="2:6" ht="17.25" customHeight="1">
      <c r="B1754" s="15"/>
      <c r="C1754" s="15"/>
      <c r="D1754" s="15"/>
      <c r="E1754" s="15"/>
      <c r="F1754" s="20"/>
    </row>
    <row r="1755" spans="2:6" ht="17.25" customHeight="1">
      <c r="B1755" s="15"/>
      <c r="C1755" s="15"/>
      <c r="D1755" s="15"/>
      <c r="E1755" s="15"/>
      <c r="F1755" s="20"/>
    </row>
    <row r="1756" spans="2:6" ht="17.25" customHeight="1">
      <c r="B1756" s="15"/>
      <c r="C1756" s="15"/>
      <c r="D1756" s="15"/>
      <c r="E1756" s="15"/>
      <c r="F1756" s="20"/>
    </row>
    <row r="1757" spans="2:6" ht="17.25" customHeight="1">
      <c r="B1757" s="15"/>
      <c r="C1757" s="15"/>
      <c r="D1757" s="15"/>
      <c r="E1757" s="15"/>
      <c r="F1757" s="20"/>
    </row>
    <row r="1758" spans="2:6" ht="17.25" customHeight="1">
      <c r="B1758" s="15"/>
      <c r="C1758" s="15"/>
      <c r="D1758" s="15"/>
      <c r="E1758" s="15"/>
      <c r="F1758" s="20"/>
    </row>
    <row r="1759" spans="2:6" ht="17.25" customHeight="1">
      <c r="B1759" s="15"/>
      <c r="C1759" s="15"/>
      <c r="D1759" s="15"/>
      <c r="E1759" s="15"/>
      <c r="F1759" s="20"/>
    </row>
    <row r="1760" spans="2:6" ht="17.25" customHeight="1">
      <c r="B1760" s="15"/>
      <c r="C1760" s="15"/>
      <c r="D1760" s="15"/>
      <c r="E1760" s="15"/>
      <c r="F1760" s="20"/>
    </row>
    <row r="1761" spans="2:6" ht="17.25" customHeight="1">
      <c r="B1761" s="15"/>
      <c r="C1761" s="15"/>
      <c r="D1761" s="15"/>
      <c r="E1761" s="15"/>
      <c r="F1761" s="20"/>
    </row>
    <row r="1762" spans="2:6" ht="17.25" customHeight="1">
      <c r="B1762" s="15"/>
      <c r="C1762" s="15"/>
      <c r="D1762" s="15"/>
      <c r="E1762" s="15"/>
      <c r="F1762" s="20"/>
    </row>
    <row r="1763" spans="2:6" ht="17.25" customHeight="1">
      <c r="B1763" s="15"/>
      <c r="C1763" s="15"/>
      <c r="D1763" s="15"/>
      <c r="E1763" s="15"/>
      <c r="F1763" s="20"/>
    </row>
    <row r="1764" spans="2:6" ht="17.25" customHeight="1">
      <c r="B1764" s="15"/>
      <c r="C1764" s="15"/>
      <c r="D1764" s="15"/>
      <c r="E1764" s="15"/>
      <c r="F1764" s="20"/>
    </row>
    <row r="1765" spans="2:6" ht="17.25" customHeight="1">
      <c r="B1765" s="15"/>
      <c r="C1765" s="15"/>
      <c r="D1765" s="15"/>
      <c r="E1765" s="15"/>
      <c r="F1765" s="20"/>
    </row>
    <row r="1766" spans="2:6" ht="17.25" customHeight="1">
      <c r="B1766" s="15"/>
      <c r="C1766" s="15"/>
      <c r="D1766" s="15"/>
      <c r="E1766" s="15"/>
      <c r="F1766" s="20"/>
    </row>
    <row r="1767" spans="2:6" ht="17.25" customHeight="1">
      <c r="B1767" s="15"/>
      <c r="C1767" s="15"/>
      <c r="D1767" s="15"/>
      <c r="E1767" s="15"/>
      <c r="F1767" s="20"/>
    </row>
    <row r="1768" spans="2:6" ht="17.25" customHeight="1">
      <c r="B1768" s="15"/>
      <c r="C1768" s="15"/>
      <c r="D1768" s="15"/>
      <c r="E1768" s="15"/>
      <c r="F1768" s="20"/>
    </row>
    <row r="1769" spans="2:6" ht="17.25" customHeight="1">
      <c r="B1769" s="15"/>
      <c r="C1769" s="15"/>
      <c r="D1769" s="15"/>
      <c r="E1769" s="15"/>
      <c r="F1769" s="20"/>
    </row>
    <row r="1770" spans="2:6" ht="17.25" customHeight="1">
      <c r="B1770" s="15"/>
      <c r="C1770" s="15"/>
      <c r="D1770" s="15"/>
      <c r="E1770" s="15"/>
      <c r="F1770" s="20"/>
    </row>
    <row r="1771" spans="2:6" ht="17.25" customHeight="1">
      <c r="B1771" s="15"/>
      <c r="C1771" s="15"/>
      <c r="D1771" s="15"/>
      <c r="E1771" s="15"/>
      <c r="F1771" s="20"/>
    </row>
    <row r="1772" spans="2:6" ht="17.25" customHeight="1">
      <c r="B1772" s="15"/>
      <c r="C1772" s="15"/>
      <c r="D1772" s="15"/>
      <c r="E1772" s="15"/>
      <c r="F1772" s="20"/>
    </row>
    <row r="1773" spans="2:6" ht="17.25" customHeight="1">
      <c r="B1773" s="15"/>
      <c r="C1773" s="15"/>
      <c r="D1773" s="15"/>
      <c r="E1773" s="15"/>
      <c r="F1773" s="20"/>
    </row>
    <row r="1774" spans="2:6" ht="17.25" customHeight="1">
      <c r="B1774" s="15"/>
      <c r="C1774" s="15"/>
      <c r="D1774" s="15"/>
      <c r="E1774" s="15"/>
      <c r="F1774" s="20"/>
    </row>
    <row r="1775" spans="2:6" ht="17.25" customHeight="1">
      <c r="B1775" s="15"/>
      <c r="C1775" s="15"/>
      <c r="D1775" s="15"/>
      <c r="E1775" s="15"/>
      <c r="F1775" s="20"/>
    </row>
    <row r="1776" spans="2:6" ht="17.25" customHeight="1">
      <c r="B1776" s="15"/>
      <c r="C1776" s="15"/>
      <c r="D1776" s="15"/>
      <c r="E1776" s="15"/>
      <c r="F1776" s="20"/>
    </row>
    <row r="1777" spans="2:6" ht="17.25" customHeight="1">
      <c r="B1777" s="15"/>
      <c r="C1777" s="15"/>
      <c r="D1777" s="15"/>
      <c r="E1777" s="15"/>
      <c r="F1777" s="20"/>
    </row>
    <row r="1778" spans="2:6" ht="17.25" customHeight="1">
      <c r="B1778" s="15"/>
      <c r="C1778" s="15"/>
      <c r="D1778" s="15"/>
      <c r="E1778" s="15"/>
      <c r="F1778" s="20"/>
    </row>
    <row r="1779" spans="2:6" ht="17.25" customHeight="1">
      <c r="B1779" s="15"/>
      <c r="C1779" s="15"/>
      <c r="D1779" s="15"/>
      <c r="E1779" s="15"/>
      <c r="F1779" s="20"/>
    </row>
    <row r="1780" spans="2:6" ht="17.25" customHeight="1">
      <c r="B1780" s="15"/>
      <c r="C1780" s="15"/>
      <c r="D1780" s="15"/>
      <c r="E1780" s="15"/>
      <c r="F1780" s="20"/>
    </row>
    <row r="1781" spans="2:6" ht="17.25" customHeight="1">
      <c r="B1781" s="15"/>
      <c r="C1781" s="15"/>
      <c r="D1781" s="15"/>
      <c r="E1781" s="15"/>
      <c r="F1781" s="20"/>
    </row>
    <row r="1782" spans="2:6" ht="17.25" customHeight="1">
      <c r="B1782" s="15"/>
      <c r="C1782" s="15"/>
      <c r="D1782" s="15"/>
      <c r="E1782" s="15"/>
      <c r="F1782" s="20"/>
    </row>
    <row r="1783" spans="2:6" ht="17.25" customHeight="1">
      <c r="B1783" s="15"/>
      <c r="C1783" s="15"/>
      <c r="D1783" s="15"/>
      <c r="E1783" s="15"/>
      <c r="F1783" s="20"/>
    </row>
    <row r="1784" spans="2:6" ht="17.25" customHeight="1">
      <c r="B1784" s="15"/>
      <c r="C1784" s="15"/>
      <c r="D1784" s="15"/>
      <c r="E1784" s="15"/>
      <c r="F1784" s="20"/>
    </row>
    <row r="1785" spans="2:6" ht="17.25" customHeight="1">
      <c r="B1785" s="15"/>
      <c r="C1785" s="15"/>
      <c r="D1785" s="15"/>
      <c r="E1785" s="15"/>
      <c r="F1785" s="20"/>
    </row>
    <row r="1786" spans="2:6" ht="17.25" customHeight="1">
      <c r="B1786" s="15"/>
      <c r="C1786" s="15"/>
      <c r="D1786" s="15"/>
      <c r="E1786" s="15"/>
      <c r="F1786" s="20"/>
    </row>
    <row r="1787" spans="2:6" ht="17.25" customHeight="1">
      <c r="B1787" s="15"/>
      <c r="C1787" s="15"/>
      <c r="D1787" s="15"/>
      <c r="E1787" s="15"/>
      <c r="F1787" s="20"/>
    </row>
    <row r="1788" spans="2:6" ht="17.25" customHeight="1">
      <c r="B1788" s="15"/>
      <c r="C1788" s="15"/>
      <c r="D1788" s="15"/>
      <c r="E1788" s="15"/>
      <c r="F1788" s="20"/>
    </row>
    <row r="1789" spans="2:6" ht="17.25" customHeight="1">
      <c r="B1789" s="15"/>
      <c r="C1789" s="15"/>
      <c r="D1789" s="15"/>
      <c r="E1789" s="15"/>
      <c r="F1789" s="20"/>
    </row>
    <row r="1790" spans="2:6" ht="17.25" customHeight="1">
      <c r="B1790" s="15"/>
      <c r="C1790" s="15"/>
      <c r="D1790" s="15"/>
      <c r="E1790" s="15"/>
      <c r="F1790" s="20"/>
    </row>
    <row r="1791" spans="2:6" ht="17.25" customHeight="1">
      <c r="B1791" s="15"/>
      <c r="C1791" s="15"/>
      <c r="D1791" s="15"/>
      <c r="E1791" s="15"/>
      <c r="F1791" s="20"/>
    </row>
    <row r="1792" spans="2:6" ht="17.25" customHeight="1">
      <c r="B1792" s="15"/>
      <c r="C1792" s="15"/>
      <c r="D1792" s="15"/>
      <c r="E1792" s="15"/>
      <c r="F1792" s="20"/>
    </row>
    <row r="1793" spans="2:6" ht="17.25" customHeight="1">
      <c r="B1793" s="15"/>
      <c r="C1793" s="15"/>
      <c r="D1793" s="15"/>
      <c r="E1793" s="15"/>
      <c r="F1793" s="20"/>
    </row>
    <row r="1794" spans="2:6" ht="17.25" customHeight="1">
      <c r="B1794" s="15"/>
      <c r="C1794" s="15"/>
      <c r="D1794" s="15"/>
      <c r="E1794" s="15"/>
      <c r="F1794" s="20"/>
    </row>
    <row r="1795" spans="2:6" ht="17.25" customHeight="1">
      <c r="B1795" s="15"/>
      <c r="C1795" s="15"/>
      <c r="D1795" s="15"/>
      <c r="E1795" s="15"/>
      <c r="F1795" s="20"/>
    </row>
    <row r="1796" spans="2:6" ht="17.25" customHeight="1">
      <c r="B1796" s="15"/>
      <c r="C1796" s="15"/>
      <c r="D1796" s="15"/>
      <c r="E1796" s="15"/>
      <c r="F1796" s="20"/>
    </row>
    <row r="1797" spans="2:6" ht="17.25" customHeight="1">
      <c r="B1797" s="15"/>
      <c r="C1797" s="15"/>
      <c r="D1797" s="15"/>
      <c r="E1797" s="15"/>
      <c r="F1797" s="20"/>
    </row>
    <row r="1798" spans="2:6" ht="17.25" customHeight="1">
      <c r="B1798" s="15"/>
      <c r="C1798" s="15"/>
      <c r="D1798" s="15"/>
      <c r="E1798" s="15"/>
      <c r="F1798" s="20"/>
    </row>
    <row r="1799" spans="2:6" ht="17.25" customHeight="1">
      <c r="B1799" s="15"/>
      <c r="C1799" s="15"/>
      <c r="D1799" s="15"/>
      <c r="E1799" s="15"/>
      <c r="F1799" s="20"/>
    </row>
    <row r="1800" spans="2:6" ht="17.25" customHeight="1">
      <c r="B1800" s="15"/>
      <c r="C1800" s="15"/>
      <c r="D1800" s="15"/>
      <c r="E1800" s="15"/>
      <c r="F1800" s="20"/>
    </row>
    <row r="1801" spans="2:6" ht="17.25" customHeight="1">
      <c r="B1801" s="15"/>
      <c r="C1801" s="15"/>
      <c r="D1801" s="15"/>
      <c r="E1801" s="15"/>
      <c r="F1801" s="20"/>
    </row>
    <row r="1802" spans="2:6" ht="17.25" customHeight="1">
      <c r="B1802" s="15"/>
      <c r="C1802" s="15"/>
      <c r="D1802" s="15"/>
      <c r="E1802" s="15"/>
      <c r="F1802" s="20"/>
    </row>
    <row r="1803" spans="2:6" ht="17.25" customHeight="1">
      <c r="B1803" s="15"/>
      <c r="C1803" s="15"/>
      <c r="D1803" s="15"/>
      <c r="E1803" s="15"/>
      <c r="F1803" s="20"/>
    </row>
    <row r="1804" spans="2:6" ht="17.25" customHeight="1">
      <c r="B1804" s="15"/>
      <c r="C1804" s="15"/>
      <c r="D1804" s="15"/>
      <c r="E1804" s="15"/>
      <c r="F1804" s="20"/>
    </row>
    <row r="1805" spans="2:6" ht="17.25" customHeight="1">
      <c r="B1805" s="15"/>
      <c r="C1805" s="15"/>
      <c r="D1805" s="15"/>
      <c r="E1805" s="15"/>
      <c r="F1805" s="20"/>
    </row>
    <row r="1806" spans="2:6" ht="17.25" customHeight="1">
      <c r="B1806" s="15"/>
      <c r="C1806" s="15"/>
      <c r="D1806" s="15"/>
      <c r="E1806" s="15"/>
      <c r="F1806" s="20"/>
    </row>
    <row r="1807" spans="2:6" ht="17.25" customHeight="1">
      <c r="B1807" s="15"/>
      <c r="C1807" s="15"/>
      <c r="D1807" s="15"/>
      <c r="E1807" s="15"/>
      <c r="F1807" s="20"/>
    </row>
    <row r="1808" spans="2:6" ht="17.25" customHeight="1">
      <c r="B1808" s="15"/>
      <c r="C1808" s="15"/>
      <c r="D1808" s="15"/>
      <c r="E1808" s="15"/>
      <c r="F1808" s="20"/>
    </row>
    <row r="1809" spans="2:6" ht="17.25" customHeight="1">
      <c r="B1809" s="15"/>
      <c r="C1809" s="15"/>
      <c r="D1809" s="15"/>
      <c r="E1809" s="15"/>
      <c r="F1809" s="20"/>
    </row>
    <row r="1810" spans="2:6" ht="17.25" customHeight="1">
      <c r="B1810" s="15"/>
      <c r="C1810" s="15"/>
      <c r="D1810" s="15"/>
      <c r="E1810" s="15"/>
      <c r="F1810" s="20"/>
    </row>
    <row r="1811" spans="2:6" ht="17.25" customHeight="1">
      <c r="B1811" s="15"/>
      <c r="C1811" s="15"/>
      <c r="D1811" s="15"/>
      <c r="E1811" s="15"/>
      <c r="F1811" s="20"/>
    </row>
    <row r="1812" spans="2:6" ht="17.25" customHeight="1">
      <c r="B1812" s="15"/>
      <c r="C1812" s="15"/>
      <c r="D1812" s="15"/>
      <c r="E1812" s="15"/>
      <c r="F1812" s="20"/>
    </row>
    <row r="1813" spans="2:6" ht="17.25" customHeight="1">
      <c r="B1813" s="15"/>
      <c r="C1813" s="15"/>
      <c r="D1813" s="15"/>
      <c r="E1813" s="15"/>
      <c r="F1813" s="20"/>
    </row>
    <row r="1814" spans="2:6" ht="17.25" customHeight="1">
      <c r="B1814" s="15"/>
      <c r="C1814" s="15"/>
      <c r="D1814" s="15"/>
      <c r="E1814" s="15"/>
      <c r="F1814" s="20"/>
    </row>
    <row r="1815" spans="2:6" ht="17.25" customHeight="1">
      <c r="B1815" s="15"/>
      <c r="C1815" s="15"/>
      <c r="D1815" s="15"/>
      <c r="E1815" s="15"/>
      <c r="F1815" s="20"/>
    </row>
    <row r="1816" spans="2:6" ht="17.25" customHeight="1">
      <c r="B1816" s="15"/>
      <c r="C1816" s="15"/>
      <c r="D1816" s="15"/>
      <c r="E1816" s="15"/>
      <c r="F1816" s="20"/>
    </row>
    <row r="1817" spans="2:6" ht="17.25" customHeight="1">
      <c r="B1817" s="15"/>
      <c r="C1817" s="15"/>
      <c r="D1817" s="15"/>
      <c r="E1817" s="15"/>
      <c r="F1817" s="20"/>
    </row>
    <row r="1818" spans="2:6" ht="17.25" customHeight="1">
      <c r="B1818" s="15"/>
      <c r="C1818" s="15"/>
      <c r="D1818" s="15"/>
      <c r="E1818" s="15"/>
      <c r="F1818" s="20"/>
    </row>
    <row r="1819" spans="2:6" ht="17.25" customHeight="1">
      <c r="B1819" s="15"/>
      <c r="C1819" s="15"/>
      <c r="D1819" s="15"/>
      <c r="E1819" s="15"/>
      <c r="F1819" s="20"/>
    </row>
    <row r="1820" spans="2:6" ht="17.25" customHeight="1">
      <c r="B1820" s="15"/>
      <c r="C1820" s="15"/>
      <c r="D1820" s="15"/>
      <c r="E1820" s="15"/>
      <c r="F1820" s="20"/>
    </row>
    <row r="1821" spans="2:6" ht="17.25" customHeight="1">
      <c r="B1821" s="15"/>
      <c r="C1821" s="15"/>
      <c r="D1821" s="15"/>
      <c r="E1821" s="15"/>
      <c r="F1821" s="20"/>
    </row>
    <row r="1822" spans="2:6" ht="17.25" customHeight="1">
      <c r="B1822" s="15"/>
      <c r="C1822" s="15"/>
      <c r="D1822" s="15"/>
      <c r="E1822" s="15"/>
      <c r="F1822" s="20"/>
    </row>
    <row r="1823" spans="2:6" ht="17.25" customHeight="1">
      <c r="B1823" s="15"/>
      <c r="C1823" s="15"/>
      <c r="D1823" s="15"/>
      <c r="E1823" s="15"/>
      <c r="F1823" s="20"/>
    </row>
    <row r="1824" spans="2:6" ht="17.25" customHeight="1">
      <c r="B1824" s="15"/>
      <c r="C1824" s="15"/>
      <c r="D1824" s="15"/>
      <c r="E1824" s="15"/>
      <c r="F1824" s="20"/>
    </row>
    <row r="1825" spans="2:6" ht="17.25" customHeight="1">
      <c r="B1825" s="15"/>
      <c r="C1825" s="15"/>
      <c r="D1825" s="15"/>
      <c r="E1825" s="15"/>
      <c r="F1825" s="20"/>
    </row>
    <row r="1826" spans="2:6" ht="17.25" customHeight="1">
      <c r="B1826" s="15"/>
      <c r="C1826" s="15"/>
      <c r="D1826" s="15"/>
      <c r="E1826" s="15"/>
      <c r="F1826" s="20"/>
    </row>
    <row r="1827" spans="2:6" ht="17.25" customHeight="1">
      <c r="B1827" s="15"/>
      <c r="C1827" s="15"/>
      <c r="D1827" s="15"/>
      <c r="E1827" s="15"/>
      <c r="F1827" s="20"/>
    </row>
    <row r="1828" spans="2:6" ht="17.25" customHeight="1">
      <c r="B1828" s="15"/>
      <c r="C1828" s="15"/>
      <c r="D1828" s="15"/>
      <c r="E1828" s="15"/>
      <c r="F1828" s="20"/>
    </row>
    <row r="1829" spans="2:6" ht="17.25" customHeight="1">
      <c r="B1829" s="15"/>
      <c r="C1829" s="15"/>
      <c r="D1829" s="15"/>
      <c r="E1829" s="15"/>
      <c r="F1829" s="20"/>
    </row>
    <row r="1830" spans="2:6" ht="17.25" customHeight="1">
      <c r="B1830" s="15"/>
      <c r="C1830" s="15"/>
      <c r="D1830" s="15"/>
      <c r="E1830" s="15"/>
      <c r="F1830" s="20"/>
    </row>
    <row r="1831" spans="2:6" ht="17.25" customHeight="1">
      <c r="B1831" s="15"/>
      <c r="C1831" s="15"/>
      <c r="D1831" s="15"/>
      <c r="E1831" s="15"/>
      <c r="F1831" s="20"/>
    </row>
    <row r="1832" spans="2:6" ht="17.25" customHeight="1">
      <c r="B1832" s="15"/>
      <c r="C1832" s="15"/>
      <c r="D1832" s="15"/>
      <c r="E1832" s="15"/>
      <c r="F1832" s="20"/>
    </row>
    <row r="1833" spans="2:6" ht="17.25" customHeight="1">
      <c r="B1833" s="15"/>
      <c r="C1833" s="15"/>
      <c r="D1833" s="15"/>
      <c r="E1833" s="15"/>
      <c r="F1833" s="20"/>
    </row>
    <row r="1834" spans="2:6" ht="17.25" customHeight="1">
      <c r="B1834" s="15"/>
      <c r="C1834" s="15"/>
      <c r="D1834" s="15"/>
      <c r="E1834" s="15"/>
      <c r="F1834" s="20"/>
    </row>
    <row r="1835" spans="2:6" ht="17.25" customHeight="1">
      <c r="B1835" s="15"/>
      <c r="C1835" s="15"/>
      <c r="D1835" s="15"/>
      <c r="E1835" s="15"/>
      <c r="F1835" s="20"/>
    </row>
    <row r="1836" spans="2:6" ht="17.25" customHeight="1">
      <c r="B1836" s="15"/>
      <c r="C1836" s="15"/>
      <c r="D1836" s="15"/>
      <c r="E1836" s="15"/>
      <c r="F1836" s="20"/>
    </row>
    <row r="1837" spans="2:6" ht="17.25" customHeight="1">
      <c r="B1837" s="15"/>
      <c r="C1837" s="15"/>
      <c r="D1837" s="15"/>
      <c r="E1837" s="15"/>
      <c r="F1837" s="20"/>
    </row>
    <row r="1838" spans="2:6" ht="17.25" customHeight="1">
      <c r="B1838" s="15"/>
      <c r="C1838" s="15"/>
      <c r="D1838" s="15"/>
      <c r="E1838" s="15"/>
      <c r="F1838" s="20"/>
    </row>
    <row r="1839" spans="2:6" ht="17.25" customHeight="1">
      <c r="B1839" s="15"/>
      <c r="C1839" s="15"/>
      <c r="D1839" s="15"/>
      <c r="E1839" s="15"/>
      <c r="F1839" s="20"/>
    </row>
    <row r="1840" spans="2:6" ht="17.25" customHeight="1">
      <c r="B1840" s="15"/>
      <c r="C1840" s="15"/>
      <c r="D1840" s="15"/>
      <c r="E1840" s="15"/>
      <c r="F1840" s="20"/>
    </row>
    <row r="1841" spans="2:6" ht="17.25" customHeight="1">
      <c r="B1841" s="15"/>
      <c r="C1841" s="15"/>
      <c r="D1841" s="15"/>
      <c r="E1841" s="15"/>
      <c r="F1841" s="20"/>
    </row>
    <row r="1842" spans="2:6" ht="17.25" customHeight="1">
      <c r="B1842" s="15"/>
      <c r="C1842" s="15"/>
      <c r="D1842" s="15"/>
      <c r="E1842" s="15"/>
      <c r="F1842" s="20"/>
    </row>
    <row r="1843" spans="2:6" ht="17.25" customHeight="1">
      <c r="B1843" s="15"/>
      <c r="C1843" s="15"/>
      <c r="D1843" s="15"/>
      <c r="E1843" s="15"/>
      <c r="F1843" s="20"/>
    </row>
    <row r="1844" spans="2:6" ht="17.25" customHeight="1">
      <c r="B1844" s="15"/>
      <c r="C1844" s="15"/>
      <c r="D1844" s="15"/>
      <c r="E1844" s="15"/>
      <c r="F1844" s="20"/>
    </row>
    <row r="1845" spans="2:6" ht="17.25" customHeight="1">
      <c r="B1845" s="15"/>
      <c r="C1845" s="15"/>
      <c r="D1845" s="15"/>
      <c r="E1845" s="15"/>
      <c r="F1845" s="20"/>
    </row>
    <row r="1846" spans="2:6" ht="17.25" customHeight="1">
      <c r="B1846" s="15"/>
      <c r="C1846" s="15"/>
      <c r="D1846" s="15"/>
      <c r="E1846" s="15"/>
      <c r="F1846" s="20"/>
    </row>
    <row r="1847" spans="2:6" ht="17.25" customHeight="1">
      <c r="B1847" s="15"/>
      <c r="C1847" s="15"/>
      <c r="D1847" s="15"/>
      <c r="E1847" s="15"/>
      <c r="F1847" s="20"/>
    </row>
    <row r="1848" spans="2:6" ht="17.25" customHeight="1">
      <c r="B1848" s="15"/>
      <c r="C1848" s="15"/>
      <c r="D1848" s="15"/>
      <c r="E1848" s="15"/>
      <c r="F1848" s="20"/>
    </row>
    <row r="1849" spans="2:6" ht="17.25" customHeight="1">
      <c r="B1849" s="15"/>
      <c r="C1849" s="15"/>
      <c r="D1849" s="15"/>
      <c r="E1849" s="15"/>
      <c r="F1849" s="20"/>
    </row>
    <row r="1850" spans="2:6" ht="17.25" customHeight="1">
      <c r="B1850" s="15"/>
      <c r="C1850" s="15"/>
      <c r="D1850" s="15"/>
      <c r="E1850" s="15"/>
      <c r="F1850" s="20"/>
    </row>
    <row r="1851" spans="2:6" ht="17.25" customHeight="1">
      <c r="B1851" s="15"/>
      <c r="C1851" s="15"/>
      <c r="D1851" s="15"/>
      <c r="E1851" s="15"/>
      <c r="F1851" s="20"/>
    </row>
    <row r="1852" spans="2:6" ht="17.25" customHeight="1">
      <c r="B1852" s="15"/>
      <c r="C1852" s="15"/>
      <c r="D1852" s="15"/>
      <c r="E1852" s="15"/>
      <c r="F1852" s="20"/>
    </row>
    <row r="1853" spans="2:6" ht="17.25" customHeight="1">
      <c r="B1853" s="15"/>
      <c r="C1853" s="15"/>
      <c r="D1853" s="15"/>
      <c r="E1853" s="15"/>
      <c r="F1853" s="20"/>
    </row>
    <row r="1854" spans="2:6" ht="17.25" customHeight="1">
      <c r="B1854" s="15"/>
      <c r="C1854" s="15"/>
      <c r="D1854" s="15"/>
      <c r="E1854" s="15"/>
      <c r="F1854" s="20"/>
    </row>
    <row r="1855" spans="2:6" ht="17.25" customHeight="1">
      <c r="B1855" s="15"/>
      <c r="C1855" s="15"/>
      <c r="D1855" s="15"/>
      <c r="E1855" s="15"/>
      <c r="F1855" s="20"/>
    </row>
    <row r="1856" spans="2:6" ht="17.25" customHeight="1">
      <c r="B1856" s="15"/>
      <c r="C1856" s="15"/>
      <c r="D1856" s="15"/>
      <c r="E1856" s="15"/>
      <c r="F1856" s="20"/>
    </row>
    <row r="1857" spans="2:6" ht="17.25" customHeight="1">
      <c r="B1857" s="15"/>
      <c r="C1857" s="15"/>
      <c r="D1857" s="15"/>
      <c r="E1857" s="15"/>
      <c r="F1857" s="20"/>
    </row>
    <row r="1858" spans="2:6" ht="17.25" customHeight="1">
      <c r="B1858" s="15"/>
      <c r="C1858" s="15"/>
      <c r="D1858" s="15"/>
      <c r="E1858" s="15"/>
      <c r="F1858" s="20"/>
    </row>
    <row r="1859" spans="2:6" ht="17.25" customHeight="1">
      <c r="B1859" s="15"/>
      <c r="C1859" s="15"/>
      <c r="D1859" s="15"/>
      <c r="E1859" s="15"/>
      <c r="F1859" s="20"/>
    </row>
    <row r="1860" spans="2:6" ht="17.25" customHeight="1">
      <c r="B1860" s="15"/>
      <c r="C1860" s="15"/>
      <c r="D1860" s="15"/>
      <c r="E1860" s="15"/>
      <c r="F1860" s="20"/>
    </row>
    <row r="1861" spans="2:6" ht="17.25" customHeight="1">
      <c r="B1861" s="15"/>
      <c r="C1861" s="15"/>
      <c r="D1861" s="15"/>
      <c r="E1861" s="15"/>
      <c r="F1861" s="20"/>
    </row>
    <row r="1862" spans="2:6" ht="17.25" customHeight="1">
      <c r="B1862" s="15"/>
      <c r="C1862" s="15"/>
      <c r="D1862" s="15"/>
      <c r="E1862" s="15"/>
      <c r="F1862" s="20"/>
    </row>
    <row r="1863" spans="2:6" ht="17.25" customHeight="1">
      <c r="B1863" s="15"/>
      <c r="C1863" s="15"/>
      <c r="D1863" s="15"/>
      <c r="E1863" s="15"/>
      <c r="F1863" s="20"/>
    </row>
    <row r="1864" spans="2:6" ht="17.25" customHeight="1">
      <c r="B1864" s="15"/>
      <c r="C1864" s="15"/>
      <c r="D1864" s="15"/>
      <c r="E1864" s="15"/>
      <c r="F1864" s="20"/>
    </row>
    <row r="1865" spans="2:6" ht="17.25" customHeight="1">
      <c r="B1865" s="15"/>
      <c r="C1865" s="15"/>
      <c r="D1865" s="15"/>
      <c r="E1865" s="15"/>
      <c r="F1865" s="20"/>
    </row>
    <row r="1866" spans="2:6" ht="17.25" customHeight="1">
      <c r="B1866" s="15"/>
      <c r="C1866" s="15"/>
      <c r="D1866" s="15"/>
      <c r="E1866" s="15"/>
      <c r="F1866" s="20"/>
    </row>
    <row r="1867" spans="2:6" ht="17.25" customHeight="1">
      <c r="B1867" s="15"/>
      <c r="C1867" s="15"/>
      <c r="D1867" s="15"/>
      <c r="E1867" s="15"/>
      <c r="F1867" s="20"/>
    </row>
    <row r="1868" spans="2:6" ht="17.25" customHeight="1">
      <c r="B1868" s="15"/>
      <c r="C1868" s="15"/>
      <c r="D1868" s="15"/>
      <c r="E1868" s="15"/>
      <c r="F1868" s="20"/>
    </row>
    <row r="1869" spans="2:6" ht="17.25" customHeight="1">
      <c r="B1869" s="15"/>
      <c r="C1869" s="15"/>
      <c r="D1869" s="15"/>
      <c r="E1869" s="15"/>
      <c r="F1869" s="20"/>
    </row>
    <row r="1870" spans="2:6" ht="17.25" customHeight="1">
      <c r="B1870" s="15"/>
      <c r="C1870" s="15"/>
      <c r="D1870" s="15"/>
      <c r="E1870" s="15"/>
      <c r="F1870" s="20"/>
    </row>
    <row r="1871" spans="2:6" ht="17.25" customHeight="1">
      <c r="B1871" s="15"/>
      <c r="C1871" s="15"/>
      <c r="D1871" s="15"/>
      <c r="E1871" s="15"/>
      <c r="F1871" s="20"/>
    </row>
    <row r="1872" spans="2:6" ht="17.25" customHeight="1">
      <c r="B1872" s="15"/>
      <c r="C1872" s="15"/>
      <c r="D1872" s="15"/>
      <c r="E1872" s="15"/>
      <c r="F1872" s="20"/>
    </row>
    <row r="1873" spans="2:6" ht="17.25" customHeight="1">
      <c r="B1873" s="15"/>
      <c r="C1873" s="15"/>
      <c r="D1873" s="15"/>
      <c r="E1873" s="15"/>
      <c r="F1873" s="20"/>
    </row>
    <row r="1874" spans="2:6" ht="17.25" customHeight="1">
      <c r="B1874" s="15"/>
      <c r="C1874" s="15"/>
      <c r="D1874" s="15"/>
      <c r="E1874" s="15"/>
      <c r="F1874" s="20"/>
    </row>
    <row r="1875" spans="2:6" ht="17.25" customHeight="1">
      <c r="B1875" s="15"/>
      <c r="C1875" s="15"/>
      <c r="D1875" s="15"/>
      <c r="E1875" s="15"/>
      <c r="F1875" s="20"/>
    </row>
    <row r="1876" spans="2:6" ht="17.25" customHeight="1">
      <c r="B1876" s="15"/>
      <c r="C1876" s="15"/>
      <c r="D1876" s="15"/>
      <c r="E1876" s="15"/>
      <c r="F1876" s="20"/>
    </row>
    <row r="1877" spans="2:6" ht="17.25" customHeight="1">
      <c r="B1877" s="15"/>
      <c r="C1877" s="15"/>
      <c r="D1877" s="15"/>
      <c r="E1877" s="15"/>
      <c r="F1877" s="20"/>
    </row>
    <row r="1878" spans="2:6" ht="17.25" customHeight="1">
      <c r="B1878" s="15"/>
      <c r="C1878" s="15"/>
      <c r="D1878" s="15"/>
      <c r="E1878" s="15"/>
      <c r="F1878" s="20"/>
    </row>
    <row r="1879" spans="2:6" ht="17.25" customHeight="1">
      <c r="B1879" s="15"/>
      <c r="C1879" s="15"/>
      <c r="D1879" s="15"/>
      <c r="E1879" s="15"/>
      <c r="F1879" s="20"/>
    </row>
    <row r="1880" spans="2:6" ht="17.25" customHeight="1">
      <c r="B1880" s="15"/>
      <c r="C1880" s="15"/>
      <c r="D1880" s="15"/>
      <c r="E1880" s="15"/>
      <c r="F1880" s="20"/>
    </row>
    <row r="1881" spans="2:6" ht="17.25" customHeight="1">
      <c r="B1881" s="15"/>
      <c r="C1881" s="15"/>
      <c r="D1881" s="15"/>
      <c r="E1881" s="15"/>
      <c r="F1881" s="20"/>
    </row>
    <row r="1882" spans="2:6" ht="17.25" customHeight="1">
      <c r="B1882" s="15"/>
      <c r="C1882" s="15"/>
      <c r="D1882" s="15"/>
      <c r="E1882" s="15"/>
      <c r="F1882" s="20"/>
    </row>
    <row r="1883" spans="2:6" ht="17.25" customHeight="1">
      <c r="B1883" s="15"/>
      <c r="C1883" s="15"/>
      <c r="D1883" s="15"/>
      <c r="E1883" s="15"/>
      <c r="F1883" s="20"/>
    </row>
    <row r="1884" spans="2:6" ht="17.25" customHeight="1">
      <c r="B1884" s="15"/>
      <c r="C1884" s="15"/>
      <c r="D1884" s="15"/>
      <c r="E1884" s="15"/>
      <c r="F1884" s="20"/>
    </row>
    <row r="1885" spans="2:6" ht="17.25" customHeight="1">
      <c r="B1885" s="15"/>
      <c r="C1885" s="15"/>
      <c r="D1885" s="15"/>
      <c r="E1885" s="15"/>
      <c r="F1885" s="20"/>
    </row>
    <row r="1886" spans="2:6" ht="17.25" customHeight="1">
      <c r="B1886" s="15"/>
      <c r="C1886" s="15"/>
      <c r="D1886" s="15"/>
      <c r="E1886" s="15"/>
      <c r="F1886" s="20"/>
    </row>
    <row r="1887" spans="2:6" ht="17.25" customHeight="1">
      <c r="B1887" s="15"/>
      <c r="C1887" s="15"/>
      <c r="D1887" s="15"/>
      <c r="E1887" s="15"/>
      <c r="F1887" s="20"/>
    </row>
    <row r="1888" spans="2:6" ht="17.25" customHeight="1">
      <c r="B1888" s="15"/>
      <c r="C1888" s="15"/>
      <c r="D1888" s="15"/>
      <c r="E1888" s="15"/>
      <c r="F1888" s="20"/>
    </row>
    <row r="1889" spans="2:6" ht="17.25" customHeight="1">
      <c r="B1889" s="15"/>
      <c r="C1889" s="15"/>
      <c r="D1889" s="15"/>
      <c r="E1889" s="15"/>
      <c r="F1889" s="20"/>
    </row>
    <row r="1890" spans="2:6" ht="17.25" customHeight="1">
      <c r="B1890" s="15"/>
      <c r="C1890" s="15"/>
      <c r="D1890" s="15"/>
      <c r="E1890" s="15"/>
      <c r="F1890" s="20"/>
    </row>
    <row r="1891" spans="2:6" ht="17.25" customHeight="1">
      <c r="B1891" s="15"/>
      <c r="C1891" s="15"/>
      <c r="D1891" s="15"/>
      <c r="E1891" s="15"/>
      <c r="F1891" s="20"/>
    </row>
    <row r="1892" spans="2:6" ht="17.25" customHeight="1">
      <c r="B1892" s="15"/>
      <c r="C1892" s="15"/>
      <c r="D1892" s="15"/>
      <c r="E1892" s="15"/>
      <c r="F1892" s="20"/>
    </row>
    <row r="1893" spans="2:6" ht="17.25" customHeight="1">
      <c r="B1893" s="15"/>
      <c r="C1893" s="15"/>
      <c r="D1893" s="15"/>
      <c r="E1893" s="15"/>
      <c r="F1893" s="20"/>
    </row>
    <row r="1894" spans="2:6" ht="17.25" customHeight="1">
      <c r="B1894" s="15"/>
      <c r="C1894" s="15"/>
      <c r="D1894" s="15"/>
      <c r="E1894" s="15"/>
      <c r="F1894" s="20"/>
    </row>
    <row r="1895" spans="2:6" ht="17.25" customHeight="1">
      <c r="B1895" s="15"/>
      <c r="C1895" s="15"/>
      <c r="D1895" s="15"/>
      <c r="E1895" s="15"/>
      <c r="F1895" s="20"/>
    </row>
    <row r="1896" spans="2:6" ht="17.25" customHeight="1">
      <c r="B1896" s="15"/>
      <c r="C1896" s="15"/>
      <c r="D1896" s="15"/>
      <c r="E1896" s="15"/>
      <c r="F1896" s="20"/>
    </row>
    <row r="1897" spans="2:6" ht="17.25" customHeight="1">
      <c r="B1897" s="15"/>
      <c r="C1897" s="15"/>
      <c r="D1897" s="15"/>
      <c r="E1897" s="15"/>
      <c r="F1897" s="20"/>
    </row>
    <row r="1898" spans="2:6" ht="17.25" customHeight="1">
      <c r="B1898" s="15"/>
      <c r="C1898" s="15"/>
      <c r="D1898" s="15"/>
      <c r="E1898" s="15"/>
      <c r="F1898" s="20"/>
    </row>
    <row r="1899" spans="2:6" ht="17.25" customHeight="1">
      <c r="B1899" s="15"/>
      <c r="C1899" s="15"/>
      <c r="D1899" s="15"/>
      <c r="E1899" s="15"/>
      <c r="F1899" s="20"/>
    </row>
    <row r="1900" spans="2:6" ht="17.25" customHeight="1">
      <c r="B1900" s="15"/>
      <c r="C1900" s="15"/>
      <c r="D1900" s="15"/>
      <c r="E1900" s="15"/>
      <c r="F1900" s="20"/>
    </row>
    <row r="1901" spans="2:6" ht="17.25" customHeight="1">
      <c r="B1901" s="15"/>
      <c r="C1901" s="15"/>
      <c r="D1901" s="15"/>
      <c r="E1901" s="15"/>
      <c r="F1901" s="20"/>
    </row>
    <row r="1902" spans="2:6" ht="17.25" customHeight="1">
      <c r="B1902" s="15"/>
      <c r="C1902" s="15"/>
      <c r="D1902" s="15"/>
      <c r="E1902" s="15"/>
      <c r="F1902" s="20"/>
    </row>
    <row r="1903" spans="2:6" ht="17.25" customHeight="1">
      <c r="B1903" s="15"/>
      <c r="C1903" s="15"/>
      <c r="D1903" s="15"/>
      <c r="E1903" s="15"/>
      <c r="F1903" s="20"/>
    </row>
    <row r="1904" spans="2:6" ht="17.25" customHeight="1">
      <c r="B1904" s="15"/>
      <c r="C1904" s="15"/>
      <c r="D1904" s="15"/>
      <c r="E1904" s="15"/>
      <c r="F1904" s="20"/>
    </row>
    <row r="1905" spans="2:6" ht="17.25" customHeight="1">
      <c r="B1905" s="15"/>
      <c r="C1905" s="15"/>
      <c r="D1905" s="15"/>
      <c r="E1905" s="15"/>
      <c r="F1905" s="20"/>
    </row>
    <row r="1906" spans="2:6" ht="17.25" customHeight="1">
      <c r="B1906" s="15"/>
      <c r="C1906" s="15"/>
      <c r="D1906" s="15"/>
      <c r="E1906" s="15"/>
      <c r="F1906" s="20"/>
    </row>
    <row r="1907" spans="2:6" ht="17.25" customHeight="1">
      <c r="B1907" s="15"/>
      <c r="C1907" s="15"/>
      <c r="D1907" s="15"/>
      <c r="E1907" s="15"/>
      <c r="F1907" s="20"/>
    </row>
    <row r="1908" spans="2:6" ht="17.25" customHeight="1">
      <c r="B1908" s="15"/>
      <c r="C1908" s="15"/>
      <c r="D1908" s="15"/>
      <c r="E1908" s="15"/>
      <c r="F1908" s="20"/>
    </row>
    <row r="1909" spans="2:6" ht="17.25" customHeight="1">
      <c r="B1909" s="15"/>
      <c r="C1909" s="15"/>
      <c r="D1909" s="15"/>
      <c r="E1909" s="15"/>
      <c r="F1909" s="20"/>
    </row>
    <row r="1910" spans="2:6" ht="17.25" customHeight="1">
      <c r="B1910" s="15"/>
      <c r="C1910" s="15"/>
      <c r="D1910" s="15"/>
      <c r="E1910" s="15"/>
      <c r="F1910" s="20"/>
    </row>
    <row r="1911" spans="2:6" ht="17.25" customHeight="1">
      <c r="B1911" s="15"/>
      <c r="C1911" s="15"/>
      <c r="D1911" s="15"/>
      <c r="E1911" s="15"/>
      <c r="F1911" s="20"/>
    </row>
    <row r="1912" spans="2:6" ht="17.25" customHeight="1">
      <c r="B1912" s="15"/>
      <c r="C1912" s="15"/>
      <c r="D1912" s="15"/>
      <c r="E1912" s="15"/>
      <c r="F1912" s="20"/>
    </row>
    <row r="1913" spans="2:6" ht="17.25" customHeight="1">
      <c r="B1913" s="15"/>
      <c r="C1913" s="15"/>
      <c r="D1913" s="15"/>
      <c r="E1913" s="15"/>
      <c r="F1913" s="20"/>
    </row>
    <row r="1914" spans="2:6" ht="17.25" customHeight="1">
      <c r="B1914" s="15"/>
      <c r="C1914" s="15"/>
      <c r="D1914" s="15"/>
      <c r="E1914" s="15"/>
      <c r="F1914" s="20"/>
    </row>
    <row r="1915" spans="2:6" ht="17.25" customHeight="1">
      <c r="B1915" s="15"/>
      <c r="C1915" s="15"/>
      <c r="D1915" s="15"/>
      <c r="E1915" s="15"/>
      <c r="F1915" s="20"/>
    </row>
    <row r="1916" spans="2:6" ht="17.25" customHeight="1">
      <c r="B1916" s="15"/>
      <c r="C1916" s="15"/>
      <c r="D1916" s="15"/>
      <c r="E1916" s="15"/>
      <c r="F1916" s="20"/>
    </row>
    <row r="1917" spans="2:6" ht="17.25" customHeight="1">
      <c r="B1917" s="15"/>
      <c r="C1917" s="15"/>
      <c r="D1917" s="15"/>
      <c r="E1917" s="15"/>
      <c r="F1917" s="20"/>
    </row>
    <row r="1918" spans="2:6" ht="17.25" customHeight="1">
      <c r="B1918" s="15"/>
      <c r="C1918" s="15"/>
      <c r="D1918" s="15"/>
      <c r="E1918" s="15"/>
      <c r="F1918" s="20"/>
    </row>
    <row r="1919" spans="2:6" ht="17.25" customHeight="1">
      <c r="B1919" s="15"/>
      <c r="C1919" s="15"/>
      <c r="D1919" s="15"/>
      <c r="E1919" s="15"/>
      <c r="F1919" s="20"/>
    </row>
    <row r="1920" spans="2:6" ht="17.25" customHeight="1">
      <c r="B1920" s="15"/>
      <c r="C1920" s="15"/>
      <c r="D1920" s="15"/>
      <c r="E1920" s="15"/>
      <c r="F1920" s="20"/>
    </row>
    <row r="1921" spans="2:6" ht="17.25" customHeight="1">
      <c r="B1921" s="15"/>
      <c r="C1921" s="15"/>
      <c r="D1921" s="15"/>
      <c r="E1921" s="15"/>
      <c r="F1921" s="20"/>
    </row>
    <row r="1922" spans="2:6" ht="17.25" customHeight="1">
      <c r="B1922" s="15"/>
      <c r="C1922" s="15"/>
      <c r="D1922" s="15"/>
      <c r="E1922" s="15"/>
      <c r="F1922" s="20"/>
    </row>
    <row r="1923" spans="2:6" ht="17.25" customHeight="1">
      <c r="B1923" s="15"/>
      <c r="C1923" s="15"/>
      <c r="D1923" s="15"/>
      <c r="E1923" s="15"/>
      <c r="F1923" s="20"/>
    </row>
    <row r="1924" spans="2:6" ht="17.25" customHeight="1">
      <c r="B1924" s="15"/>
      <c r="C1924" s="15"/>
      <c r="D1924" s="15"/>
      <c r="E1924" s="15"/>
      <c r="F1924" s="20"/>
    </row>
    <row r="1925" spans="2:6" ht="17.25" customHeight="1">
      <c r="B1925" s="15"/>
      <c r="C1925" s="15"/>
      <c r="D1925" s="15"/>
      <c r="E1925" s="15"/>
      <c r="F1925" s="20"/>
    </row>
    <row r="1926" spans="2:6" ht="17.25" customHeight="1">
      <c r="B1926" s="15"/>
      <c r="C1926" s="15"/>
      <c r="D1926" s="15"/>
      <c r="E1926" s="15"/>
      <c r="F1926" s="20"/>
    </row>
    <row r="1927" spans="2:6" ht="17.25" customHeight="1">
      <c r="B1927" s="15"/>
      <c r="C1927" s="15"/>
      <c r="D1927" s="15"/>
      <c r="E1927" s="15"/>
      <c r="F1927" s="20"/>
    </row>
    <row r="1928" spans="2:6" ht="17.25" customHeight="1">
      <c r="B1928" s="15"/>
      <c r="C1928" s="15"/>
      <c r="D1928" s="15"/>
      <c r="E1928" s="15"/>
      <c r="F1928" s="20"/>
    </row>
    <row r="1929" spans="2:6" ht="17.25" customHeight="1">
      <c r="B1929" s="15"/>
      <c r="C1929" s="15"/>
      <c r="D1929" s="15"/>
      <c r="E1929" s="15"/>
      <c r="F1929" s="20"/>
    </row>
    <row r="1930" spans="2:6" ht="17.25" customHeight="1">
      <c r="B1930" s="15"/>
      <c r="C1930" s="15"/>
      <c r="D1930" s="15"/>
      <c r="E1930" s="15"/>
      <c r="F1930" s="20"/>
    </row>
    <row r="1931" spans="2:6" ht="17.25" customHeight="1">
      <c r="B1931" s="15"/>
      <c r="C1931" s="15"/>
      <c r="D1931" s="15"/>
      <c r="E1931" s="15"/>
      <c r="F1931" s="20"/>
    </row>
    <row r="1932" spans="2:6" ht="17.25" customHeight="1">
      <c r="B1932" s="15"/>
      <c r="C1932" s="15"/>
      <c r="D1932" s="15"/>
      <c r="E1932" s="15"/>
      <c r="F1932" s="20"/>
    </row>
    <row r="1933" spans="2:6" ht="17.25" customHeight="1">
      <c r="B1933" s="15"/>
      <c r="C1933" s="15"/>
      <c r="D1933" s="15"/>
      <c r="E1933" s="15"/>
      <c r="F1933" s="20"/>
    </row>
    <row r="1934" spans="2:6" ht="17.25" customHeight="1">
      <c r="B1934" s="15"/>
      <c r="C1934" s="15"/>
      <c r="D1934" s="15"/>
      <c r="E1934" s="15"/>
      <c r="F1934" s="20"/>
    </row>
    <row r="1935" spans="2:6" ht="17.25" customHeight="1">
      <c r="B1935" s="15"/>
      <c r="C1935" s="15"/>
      <c r="D1935" s="15"/>
      <c r="E1935" s="15"/>
      <c r="F1935" s="20"/>
    </row>
    <row r="1936" spans="2:6" ht="17.25" customHeight="1">
      <c r="B1936" s="15"/>
      <c r="C1936" s="15"/>
      <c r="D1936" s="15"/>
      <c r="E1936" s="15"/>
      <c r="F1936" s="20"/>
    </row>
    <row r="1937" spans="2:6" ht="17.25" customHeight="1">
      <c r="B1937" s="15"/>
      <c r="C1937" s="15"/>
      <c r="D1937" s="15"/>
      <c r="E1937" s="15"/>
      <c r="F1937" s="20"/>
    </row>
    <row r="1938" spans="2:6" ht="17.25" customHeight="1">
      <c r="B1938" s="15"/>
      <c r="C1938" s="15"/>
      <c r="D1938" s="15"/>
      <c r="E1938" s="15"/>
      <c r="F1938" s="20"/>
    </row>
    <row r="1939" spans="2:6" ht="17.25" customHeight="1">
      <c r="B1939" s="15"/>
      <c r="C1939" s="15"/>
      <c r="D1939" s="15"/>
      <c r="E1939" s="15"/>
      <c r="F1939" s="20"/>
    </row>
    <row r="1940" spans="2:6" ht="17.25" customHeight="1">
      <c r="B1940" s="15"/>
      <c r="C1940" s="15"/>
      <c r="D1940" s="15"/>
      <c r="E1940" s="15"/>
      <c r="F1940" s="20"/>
    </row>
    <row r="1941" spans="2:6" ht="17.25" customHeight="1">
      <c r="B1941" s="15"/>
      <c r="C1941" s="15"/>
      <c r="D1941" s="15"/>
      <c r="E1941" s="15"/>
      <c r="F1941" s="20"/>
    </row>
    <row r="1942" spans="2:6" ht="17.25" customHeight="1">
      <c r="B1942" s="15"/>
      <c r="C1942" s="15"/>
      <c r="D1942" s="15"/>
      <c r="E1942" s="15"/>
      <c r="F1942" s="20"/>
    </row>
    <row r="1943" spans="2:6" ht="17.25" customHeight="1">
      <c r="B1943" s="15"/>
      <c r="C1943" s="15"/>
      <c r="D1943" s="15"/>
      <c r="E1943" s="15"/>
      <c r="F1943" s="20"/>
    </row>
    <row r="1944" spans="2:6" ht="17.25" customHeight="1">
      <c r="B1944" s="15"/>
      <c r="C1944" s="15"/>
      <c r="D1944" s="15"/>
      <c r="E1944" s="15"/>
      <c r="F1944" s="20"/>
    </row>
    <row r="1945" spans="2:6" ht="17.25" customHeight="1">
      <c r="B1945" s="15"/>
      <c r="C1945" s="15"/>
      <c r="D1945" s="15"/>
      <c r="E1945" s="15"/>
      <c r="F1945" s="20"/>
    </row>
    <row r="1946" spans="2:6" ht="17.25" customHeight="1">
      <c r="B1946" s="15"/>
      <c r="C1946" s="15"/>
      <c r="D1946" s="15"/>
      <c r="E1946" s="15"/>
      <c r="F1946" s="20"/>
    </row>
    <row r="1947" spans="2:6" ht="17.25" customHeight="1">
      <c r="B1947" s="15"/>
      <c r="C1947" s="15"/>
      <c r="D1947" s="15"/>
      <c r="E1947" s="15"/>
      <c r="F1947" s="20"/>
    </row>
    <row r="1948" spans="2:6" ht="17.25" customHeight="1">
      <c r="B1948" s="15"/>
      <c r="C1948" s="15"/>
      <c r="D1948" s="15"/>
      <c r="E1948" s="15"/>
      <c r="F1948" s="20"/>
    </row>
    <row r="1949" spans="2:6" ht="17.25" customHeight="1">
      <c r="B1949" s="15"/>
      <c r="C1949" s="15"/>
      <c r="D1949" s="15"/>
      <c r="E1949" s="15"/>
      <c r="F1949" s="20"/>
    </row>
    <row r="1950" spans="2:6" ht="17.25" customHeight="1">
      <c r="B1950" s="15"/>
      <c r="C1950" s="15"/>
      <c r="D1950" s="15"/>
      <c r="E1950" s="15"/>
      <c r="F1950" s="20"/>
    </row>
    <row r="1951" spans="2:6" ht="17.25" customHeight="1">
      <c r="B1951" s="15"/>
      <c r="C1951" s="15"/>
      <c r="D1951" s="15"/>
      <c r="E1951" s="15"/>
      <c r="F1951" s="20"/>
    </row>
    <row r="1952" spans="2:6" ht="17.25" customHeight="1">
      <c r="B1952" s="15"/>
      <c r="C1952" s="15"/>
      <c r="D1952" s="15"/>
      <c r="E1952" s="15"/>
      <c r="F1952" s="20"/>
    </row>
    <row r="1953" spans="2:6" ht="17.25" customHeight="1">
      <c r="B1953" s="15"/>
      <c r="C1953" s="15"/>
      <c r="D1953" s="15"/>
      <c r="E1953" s="15"/>
      <c r="F1953" s="20"/>
    </row>
    <row r="1954" spans="2:6" ht="17.25" customHeight="1">
      <c r="B1954" s="15"/>
      <c r="C1954" s="15"/>
      <c r="D1954" s="15"/>
      <c r="E1954" s="15"/>
      <c r="F1954" s="20"/>
    </row>
    <row r="1955" spans="2:6" ht="17.25" customHeight="1">
      <c r="B1955" s="15"/>
      <c r="C1955" s="15"/>
      <c r="D1955" s="15"/>
      <c r="E1955" s="15"/>
      <c r="F1955" s="20"/>
    </row>
    <row r="1956" spans="2:6" ht="17.25" customHeight="1">
      <c r="B1956" s="15"/>
      <c r="C1956" s="15"/>
      <c r="D1956" s="15"/>
      <c r="E1956" s="15"/>
      <c r="F1956" s="20"/>
    </row>
    <row r="1957" spans="2:6" ht="17.25" customHeight="1">
      <c r="B1957" s="15"/>
      <c r="C1957" s="15"/>
      <c r="D1957" s="15"/>
      <c r="E1957" s="15"/>
      <c r="F1957" s="20"/>
    </row>
    <row r="1958" spans="2:6" ht="17.25" customHeight="1">
      <c r="B1958" s="15"/>
      <c r="C1958" s="15"/>
      <c r="D1958" s="15"/>
      <c r="E1958" s="15"/>
      <c r="F1958" s="20"/>
    </row>
    <row r="1959" spans="2:6" ht="17.25" customHeight="1">
      <c r="B1959" s="15"/>
      <c r="C1959" s="15"/>
      <c r="D1959" s="15"/>
      <c r="E1959" s="15"/>
      <c r="F1959" s="20"/>
    </row>
    <row r="1960" spans="2:6" ht="17.25" customHeight="1">
      <c r="B1960" s="15"/>
      <c r="C1960" s="15"/>
      <c r="D1960" s="15"/>
      <c r="E1960" s="15"/>
      <c r="F1960" s="20"/>
    </row>
    <row r="1961" spans="2:6" ht="17.25" customHeight="1">
      <c r="B1961" s="15"/>
      <c r="C1961" s="15"/>
      <c r="D1961" s="15"/>
      <c r="E1961" s="15"/>
      <c r="F1961" s="20"/>
    </row>
    <row r="1962" spans="2:6" ht="17.25" customHeight="1">
      <c r="B1962" s="15"/>
      <c r="C1962" s="15"/>
      <c r="D1962" s="15"/>
      <c r="E1962" s="15"/>
      <c r="F1962" s="20"/>
    </row>
    <row r="1963" spans="2:6" ht="17.25" customHeight="1">
      <c r="B1963" s="15"/>
      <c r="C1963" s="15"/>
      <c r="D1963" s="15"/>
      <c r="E1963" s="15"/>
      <c r="F1963" s="20"/>
    </row>
    <row r="1964" spans="2:6" ht="17.25" customHeight="1">
      <c r="B1964" s="15"/>
      <c r="C1964" s="15"/>
      <c r="D1964" s="15"/>
      <c r="E1964" s="15"/>
      <c r="F1964" s="20"/>
    </row>
    <row r="1965" spans="2:6" ht="17.25" customHeight="1">
      <c r="B1965" s="15"/>
      <c r="C1965" s="15"/>
      <c r="D1965" s="15"/>
      <c r="E1965" s="15"/>
      <c r="F1965" s="20"/>
    </row>
    <row r="1966" spans="2:6" ht="17.25" customHeight="1">
      <c r="B1966" s="15"/>
      <c r="C1966" s="15"/>
      <c r="D1966" s="15"/>
      <c r="E1966" s="15"/>
      <c r="F1966" s="20"/>
    </row>
    <row r="1967" spans="2:6" ht="17.25" customHeight="1">
      <c r="B1967" s="15"/>
      <c r="C1967" s="15"/>
      <c r="D1967" s="15"/>
      <c r="E1967" s="15"/>
      <c r="F1967" s="20"/>
    </row>
    <row r="1968" spans="2:6" ht="17.25" customHeight="1">
      <c r="B1968" s="15"/>
      <c r="C1968" s="15"/>
      <c r="D1968" s="15"/>
      <c r="E1968" s="15"/>
      <c r="F1968" s="20"/>
    </row>
    <row r="1969" spans="2:6" ht="17.25" customHeight="1">
      <c r="B1969" s="15"/>
      <c r="C1969" s="15"/>
      <c r="D1969" s="15"/>
      <c r="E1969" s="15"/>
      <c r="F1969" s="20"/>
    </row>
    <row r="1970" spans="2:6" ht="17.25" customHeight="1">
      <c r="B1970" s="15"/>
      <c r="C1970" s="15"/>
      <c r="D1970" s="15"/>
      <c r="E1970" s="15"/>
      <c r="F1970" s="20"/>
    </row>
    <row r="1971" spans="2:6" ht="17.25" customHeight="1">
      <c r="B1971" s="15"/>
      <c r="C1971" s="15"/>
      <c r="D1971" s="15"/>
      <c r="E1971" s="15"/>
      <c r="F1971" s="20"/>
    </row>
    <row r="1972" spans="2:6" ht="17.25" customHeight="1">
      <c r="B1972" s="15"/>
      <c r="C1972" s="15"/>
      <c r="D1972" s="15"/>
      <c r="E1972" s="15"/>
      <c r="F1972" s="20"/>
    </row>
    <row r="1973" spans="2:6" ht="17.25" customHeight="1">
      <c r="B1973" s="15"/>
      <c r="C1973" s="15"/>
      <c r="D1973" s="15"/>
      <c r="E1973" s="15"/>
      <c r="F1973" s="20"/>
    </row>
    <row r="1974" spans="2:6" ht="17.25" customHeight="1">
      <c r="B1974" s="15"/>
      <c r="C1974" s="15"/>
      <c r="D1974" s="15"/>
      <c r="E1974" s="15"/>
      <c r="F1974" s="20"/>
    </row>
    <row r="1975" spans="2:6" ht="17.25" customHeight="1">
      <c r="B1975" s="15"/>
      <c r="C1975" s="15"/>
      <c r="D1975" s="15"/>
      <c r="E1975" s="15"/>
      <c r="F1975" s="20"/>
    </row>
    <row r="1976" spans="2:6" ht="17.25" customHeight="1">
      <c r="B1976" s="15"/>
      <c r="C1976" s="15"/>
      <c r="D1976" s="15"/>
      <c r="E1976" s="15"/>
      <c r="F1976" s="20"/>
    </row>
    <row r="1977" spans="2:6" ht="17.25" customHeight="1">
      <c r="B1977" s="15"/>
      <c r="C1977" s="15"/>
      <c r="D1977" s="15"/>
      <c r="E1977" s="15"/>
      <c r="F1977" s="20"/>
    </row>
    <row r="1978" spans="2:6" ht="17.25" customHeight="1">
      <c r="B1978" s="15"/>
      <c r="C1978" s="15"/>
      <c r="D1978" s="15"/>
      <c r="E1978" s="15"/>
      <c r="F1978" s="20"/>
    </row>
    <row r="1979" spans="2:6" ht="17.25" customHeight="1">
      <c r="B1979" s="15"/>
      <c r="C1979" s="15"/>
      <c r="D1979" s="15"/>
      <c r="E1979" s="15"/>
      <c r="F1979" s="20"/>
    </row>
    <row r="1980" spans="2:6" ht="17.25" customHeight="1">
      <c r="B1980" s="15"/>
      <c r="C1980" s="15"/>
      <c r="D1980" s="15"/>
      <c r="E1980" s="15"/>
      <c r="F1980" s="20"/>
    </row>
    <row r="1981" spans="2:6" ht="17.25" customHeight="1">
      <c r="B1981" s="15"/>
      <c r="C1981" s="15"/>
      <c r="D1981" s="15"/>
      <c r="E1981" s="15"/>
      <c r="F1981" s="20"/>
    </row>
    <row r="1982" spans="2:6" ht="17.25" customHeight="1">
      <c r="B1982" s="15"/>
      <c r="C1982" s="15"/>
      <c r="D1982" s="15"/>
      <c r="E1982" s="15"/>
      <c r="F1982" s="20"/>
    </row>
    <row r="1983" spans="2:6" ht="17.25" customHeight="1">
      <c r="B1983" s="15"/>
      <c r="C1983" s="15"/>
      <c r="D1983" s="15"/>
      <c r="E1983" s="15"/>
      <c r="F1983" s="20"/>
    </row>
    <row r="1984" spans="2:6" ht="17.25" customHeight="1">
      <c r="B1984" s="15"/>
      <c r="C1984" s="15"/>
      <c r="D1984" s="15"/>
      <c r="E1984" s="15"/>
      <c r="F1984" s="20"/>
    </row>
    <row r="1985" spans="2:6" ht="17.25" customHeight="1">
      <c r="B1985" s="15"/>
      <c r="C1985" s="15"/>
      <c r="D1985" s="15"/>
      <c r="E1985" s="15"/>
      <c r="F1985" s="20"/>
    </row>
    <row r="1986" spans="2:6" ht="17.25" customHeight="1">
      <c r="B1986" s="15"/>
      <c r="C1986" s="15"/>
      <c r="D1986" s="15"/>
      <c r="E1986" s="15"/>
      <c r="F1986" s="20"/>
    </row>
    <row r="1987" spans="2:6" ht="17.25" customHeight="1">
      <c r="B1987" s="15"/>
      <c r="C1987" s="15"/>
      <c r="D1987" s="15"/>
      <c r="E1987" s="15"/>
      <c r="F1987" s="20"/>
    </row>
    <row r="1988" spans="2:6" ht="17.25" customHeight="1">
      <c r="B1988" s="15"/>
      <c r="C1988" s="15"/>
      <c r="D1988" s="15"/>
      <c r="E1988" s="15"/>
      <c r="F1988" s="20"/>
    </row>
    <row r="1989" spans="2:6" ht="17.25" customHeight="1">
      <c r="B1989" s="15"/>
      <c r="C1989" s="15"/>
      <c r="D1989" s="15"/>
      <c r="E1989" s="15"/>
      <c r="F1989" s="20"/>
    </row>
    <row r="1990" spans="2:6" ht="17.25" customHeight="1">
      <c r="B1990" s="15"/>
      <c r="C1990" s="15"/>
      <c r="D1990" s="15"/>
      <c r="E1990" s="15"/>
      <c r="F1990" s="20"/>
    </row>
    <row r="1991" spans="2:6" ht="17.25" customHeight="1">
      <c r="B1991" s="15"/>
      <c r="C1991" s="15"/>
      <c r="D1991" s="15"/>
      <c r="E1991" s="15"/>
      <c r="F1991" s="20"/>
    </row>
    <row r="1992" spans="2:6" ht="17.25" customHeight="1">
      <c r="B1992" s="15"/>
      <c r="C1992" s="15"/>
      <c r="D1992" s="15"/>
      <c r="E1992" s="15"/>
      <c r="F1992" s="20"/>
    </row>
    <row r="1993" spans="2:6" ht="17.25" customHeight="1">
      <c r="B1993" s="15"/>
      <c r="C1993" s="15"/>
      <c r="D1993" s="15"/>
      <c r="E1993" s="15"/>
      <c r="F1993" s="20"/>
    </row>
    <row r="1994" spans="2:6" ht="17.25" customHeight="1">
      <c r="B1994" s="15"/>
      <c r="C1994" s="15"/>
      <c r="D1994" s="15"/>
      <c r="E1994" s="15"/>
      <c r="F1994" s="20"/>
    </row>
    <row r="1995" spans="2:6" ht="17.25" customHeight="1">
      <c r="B1995" s="15"/>
      <c r="C1995" s="15"/>
      <c r="D1995" s="15"/>
      <c r="E1995" s="15"/>
      <c r="F1995" s="20"/>
    </row>
    <row r="1996" spans="2:6" ht="17.25" customHeight="1">
      <c r="B1996" s="15"/>
      <c r="C1996" s="15"/>
      <c r="D1996" s="15"/>
      <c r="E1996" s="15"/>
      <c r="F1996" s="20"/>
    </row>
    <row r="1997" spans="2:6" ht="17.25" customHeight="1">
      <c r="B1997" s="15"/>
      <c r="C1997" s="15"/>
      <c r="D1997" s="15"/>
      <c r="E1997" s="15"/>
      <c r="F1997" s="20"/>
    </row>
    <row r="1998" spans="2:6" ht="17.25" customHeight="1">
      <c r="B1998" s="15"/>
      <c r="C1998" s="15"/>
      <c r="D1998" s="15"/>
      <c r="E1998" s="15"/>
      <c r="F1998" s="20"/>
    </row>
    <row r="1999" spans="2:6" ht="17.25" customHeight="1">
      <c r="B1999" s="15"/>
      <c r="C1999" s="15"/>
      <c r="D1999" s="15"/>
      <c r="E1999" s="15"/>
      <c r="F1999" s="20"/>
    </row>
    <row r="2000" spans="2:6" ht="17.25" customHeight="1">
      <c r="B2000" s="15"/>
      <c r="C2000" s="15"/>
      <c r="D2000" s="15"/>
      <c r="E2000" s="15"/>
      <c r="F2000" s="20"/>
    </row>
    <row r="2001" spans="2:6" ht="17.25" customHeight="1">
      <c r="B2001" s="15"/>
      <c r="C2001" s="15"/>
      <c r="D2001" s="15"/>
      <c r="E2001" s="15"/>
      <c r="F2001" s="20"/>
    </row>
    <row r="2002" spans="2:6" ht="17.25" customHeight="1">
      <c r="B2002" s="15"/>
      <c r="C2002" s="15"/>
      <c r="D2002" s="15"/>
      <c r="E2002" s="15"/>
      <c r="F2002" s="20"/>
    </row>
    <row r="2003" spans="2:6" ht="17.25" customHeight="1">
      <c r="B2003" s="15"/>
      <c r="C2003" s="15"/>
      <c r="D2003" s="15"/>
      <c r="E2003" s="15"/>
      <c r="F2003" s="20"/>
    </row>
    <row r="2004" spans="2:6" ht="17.25" customHeight="1">
      <c r="B2004" s="15"/>
      <c r="C2004" s="15"/>
      <c r="D2004" s="15"/>
      <c r="E2004" s="15"/>
      <c r="F2004" s="20"/>
    </row>
    <row r="2005" spans="2:6" ht="17.25" customHeight="1">
      <c r="B2005" s="15"/>
      <c r="C2005" s="15"/>
      <c r="D2005" s="15"/>
      <c r="E2005" s="15"/>
      <c r="F2005" s="20"/>
    </row>
    <row r="2006" spans="2:6" ht="17.25" customHeight="1">
      <c r="B2006" s="15"/>
      <c r="C2006" s="15"/>
      <c r="D2006" s="15"/>
      <c r="E2006" s="15"/>
      <c r="F2006" s="20"/>
    </row>
    <row r="2007" spans="2:6" ht="17.25" customHeight="1">
      <c r="B2007" s="15"/>
      <c r="C2007" s="15"/>
      <c r="D2007" s="15"/>
      <c r="E2007" s="15"/>
      <c r="F2007" s="20"/>
    </row>
    <row r="2008" spans="2:6" ht="17.25" customHeight="1">
      <c r="B2008" s="15"/>
      <c r="C2008" s="15"/>
      <c r="D2008" s="15"/>
      <c r="E2008" s="15"/>
      <c r="F2008" s="20"/>
    </row>
    <row r="2009" spans="2:6" ht="17.25" customHeight="1">
      <c r="B2009" s="15"/>
      <c r="C2009" s="15"/>
      <c r="D2009" s="15"/>
      <c r="E2009" s="15"/>
      <c r="F2009" s="20"/>
    </row>
    <row r="2010" spans="2:6" ht="17.25" customHeight="1">
      <c r="B2010" s="15"/>
      <c r="C2010" s="15"/>
      <c r="D2010" s="15"/>
      <c r="E2010" s="15"/>
      <c r="F2010" s="20"/>
    </row>
    <row r="2011" spans="2:6" ht="17.25" customHeight="1">
      <c r="B2011" s="15"/>
      <c r="C2011" s="15"/>
      <c r="D2011" s="15"/>
      <c r="E2011" s="15"/>
      <c r="F2011" s="20"/>
    </row>
    <row r="2012" spans="2:6" ht="17.25" customHeight="1">
      <c r="B2012" s="15"/>
      <c r="C2012" s="15"/>
      <c r="D2012" s="15"/>
      <c r="E2012" s="15"/>
      <c r="F2012" s="20"/>
    </row>
    <row r="2013" spans="2:6" ht="17.25" customHeight="1">
      <c r="B2013" s="15"/>
      <c r="C2013" s="15"/>
      <c r="D2013" s="15"/>
      <c r="E2013" s="15"/>
      <c r="F2013" s="20"/>
    </row>
    <row r="2014" spans="2:6" ht="17.25" customHeight="1">
      <c r="B2014" s="15"/>
      <c r="C2014" s="15"/>
      <c r="D2014" s="15"/>
      <c r="E2014" s="15"/>
      <c r="F2014" s="20"/>
    </row>
    <row r="2015" spans="2:6" ht="17.25" customHeight="1">
      <c r="B2015" s="15"/>
      <c r="C2015" s="15"/>
      <c r="D2015" s="15"/>
      <c r="E2015" s="15"/>
      <c r="F2015" s="20"/>
    </row>
    <row r="2016" spans="2:6" ht="17.25" customHeight="1">
      <c r="B2016" s="15"/>
      <c r="C2016" s="15"/>
      <c r="D2016" s="15"/>
      <c r="E2016" s="15"/>
      <c r="F2016" s="20"/>
    </row>
    <row r="2017" spans="2:6" ht="17.25" customHeight="1">
      <c r="B2017" s="15"/>
      <c r="C2017" s="15"/>
      <c r="D2017" s="15"/>
      <c r="E2017" s="15"/>
      <c r="F2017" s="20"/>
    </row>
    <row r="2018" spans="2:6" ht="17.25" customHeight="1">
      <c r="B2018" s="15"/>
      <c r="C2018" s="15"/>
      <c r="D2018" s="15"/>
      <c r="E2018" s="15"/>
      <c r="F2018" s="20"/>
    </row>
    <row r="2019" spans="2:6" ht="17.25" customHeight="1">
      <c r="B2019" s="15"/>
      <c r="C2019" s="15"/>
      <c r="D2019" s="15"/>
      <c r="E2019" s="15"/>
      <c r="F2019" s="20"/>
    </row>
    <row r="2020" spans="2:6" ht="17.25" customHeight="1">
      <c r="B2020" s="15"/>
      <c r="C2020" s="15"/>
      <c r="D2020" s="15"/>
      <c r="E2020" s="15"/>
      <c r="F2020" s="20"/>
    </row>
    <row r="2021" spans="2:6" ht="17.25" customHeight="1">
      <c r="B2021" s="15"/>
      <c r="C2021" s="15"/>
      <c r="D2021" s="15"/>
      <c r="E2021" s="15"/>
      <c r="F2021" s="20"/>
    </row>
    <row r="2022" spans="2:6" ht="17.25" customHeight="1">
      <c r="B2022" s="15"/>
      <c r="C2022" s="15"/>
      <c r="D2022" s="15"/>
      <c r="E2022" s="15"/>
      <c r="F2022" s="20"/>
    </row>
    <row r="2023" spans="2:6" ht="17.25" customHeight="1">
      <c r="B2023" s="15"/>
      <c r="C2023" s="15"/>
      <c r="D2023" s="15"/>
      <c r="E2023" s="15"/>
      <c r="F2023" s="20"/>
    </row>
    <row r="2024" spans="2:6" ht="17.25" customHeight="1">
      <c r="B2024" s="15"/>
      <c r="C2024" s="15"/>
      <c r="D2024" s="15"/>
      <c r="E2024" s="15"/>
      <c r="F2024" s="20"/>
    </row>
    <row r="2025" spans="2:6" ht="17.25" customHeight="1">
      <c r="B2025" s="15"/>
      <c r="C2025" s="15"/>
      <c r="D2025" s="15"/>
      <c r="E2025" s="15"/>
      <c r="F2025" s="20"/>
    </row>
    <row r="2026" spans="2:6" ht="17.25" customHeight="1">
      <c r="B2026" s="15"/>
      <c r="C2026" s="15"/>
      <c r="D2026" s="15"/>
      <c r="E2026" s="15"/>
      <c r="F2026" s="20"/>
    </row>
    <row r="2027" spans="2:6" ht="17.25" customHeight="1">
      <c r="B2027" s="15"/>
      <c r="C2027" s="15"/>
      <c r="D2027" s="15"/>
      <c r="E2027" s="15"/>
      <c r="F2027" s="20"/>
    </row>
    <row r="2028" spans="2:6" ht="17.25" customHeight="1">
      <c r="B2028" s="15"/>
      <c r="C2028" s="15"/>
      <c r="D2028" s="15"/>
      <c r="E2028" s="15"/>
      <c r="F2028" s="20"/>
    </row>
    <row r="2029" spans="2:6" ht="17.25" customHeight="1">
      <c r="B2029" s="15"/>
      <c r="C2029" s="15"/>
      <c r="D2029" s="15"/>
      <c r="E2029" s="15"/>
      <c r="F2029" s="20"/>
    </row>
    <row r="2030" spans="2:6" ht="17.25" customHeight="1">
      <c r="B2030" s="15"/>
      <c r="C2030" s="15"/>
      <c r="D2030" s="15"/>
      <c r="E2030" s="15"/>
      <c r="F2030" s="20"/>
    </row>
    <row r="2031" spans="2:6" ht="17.25" customHeight="1">
      <c r="B2031" s="15"/>
      <c r="C2031" s="15"/>
      <c r="D2031" s="15"/>
      <c r="E2031" s="15"/>
      <c r="F2031" s="20"/>
    </row>
    <row r="2032" spans="2:6" ht="17.25" customHeight="1">
      <c r="B2032" s="15"/>
      <c r="C2032" s="15"/>
      <c r="D2032" s="15"/>
      <c r="E2032" s="15"/>
      <c r="F2032" s="20"/>
    </row>
    <row r="2033" spans="2:6" ht="17.25" customHeight="1">
      <c r="B2033" s="15"/>
      <c r="C2033" s="15"/>
      <c r="D2033" s="15"/>
      <c r="E2033" s="15"/>
      <c r="F2033" s="20"/>
    </row>
    <row r="2034" spans="2:6" ht="17.25" customHeight="1">
      <c r="B2034" s="15"/>
      <c r="C2034" s="15"/>
      <c r="D2034" s="15"/>
      <c r="E2034" s="15"/>
      <c r="F2034" s="20"/>
    </row>
    <row r="2035" spans="2:6" ht="17.25" customHeight="1">
      <c r="B2035" s="15"/>
      <c r="C2035" s="15"/>
      <c r="D2035" s="15"/>
      <c r="E2035" s="15"/>
      <c r="F2035" s="20"/>
    </row>
    <row r="2036" spans="2:6" ht="17.25" customHeight="1">
      <c r="B2036" s="15"/>
      <c r="C2036" s="15"/>
      <c r="D2036" s="15"/>
      <c r="E2036" s="15"/>
      <c r="F2036" s="20"/>
    </row>
    <row r="2037" spans="2:6" ht="17.25" customHeight="1">
      <c r="B2037" s="15"/>
      <c r="C2037" s="15"/>
      <c r="D2037" s="15"/>
      <c r="E2037" s="15"/>
      <c r="F2037" s="20"/>
    </row>
    <row r="2038" spans="2:6" ht="17.25" customHeight="1">
      <c r="B2038" s="15"/>
      <c r="C2038" s="15"/>
      <c r="D2038" s="15"/>
      <c r="E2038" s="15"/>
      <c r="F2038" s="20"/>
    </row>
    <row r="2039" spans="2:6" ht="17.25" customHeight="1">
      <c r="B2039" s="15"/>
      <c r="C2039" s="15"/>
      <c r="D2039" s="15"/>
      <c r="E2039" s="15"/>
      <c r="F2039" s="20"/>
    </row>
    <row r="2040" spans="2:6" ht="17.25" customHeight="1">
      <c r="B2040" s="15"/>
      <c r="C2040" s="15"/>
      <c r="D2040" s="15"/>
      <c r="E2040" s="15"/>
      <c r="F2040" s="20"/>
    </row>
    <row r="2041" spans="2:6" ht="17.25" customHeight="1">
      <c r="B2041" s="15"/>
      <c r="C2041" s="15"/>
      <c r="D2041" s="15"/>
      <c r="E2041" s="15"/>
      <c r="F2041" s="20"/>
    </row>
    <row r="2042" spans="2:6" ht="17.25" customHeight="1">
      <c r="B2042" s="15"/>
      <c r="C2042" s="15"/>
      <c r="D2042" s="15"/>
      <c r="E2042" s="15"/>
      <c r="F2042" s="20"/>
    </row>
    <row r="2043" spans="2:6" ht="17.25" customHeight="1">
      <c r="B2043" s="15"/>
      <c r="C2043" s="15"/>
      <c r="D2043" s="15"/>
      <c r="E2043" s="15"/>
      <c r="F2043" s="20"/>
    </row>
    <row r="2044" spans="2:6" ht="17.25" customHeight="1">
      <c r="B2044" s="15"/>
      <c r="C2044" s="15"/>
      <c r="D2044" s="15"/>
      <c r="E2044" s="15"/>
      <c r="F2044" s="20"/>
    </row>
    <row r="2045" spans="2:6" ht="17.25" customHeight="1">
      <c r="B2045" s="15"/>
      <c r="C2045" s="15"/>
      <c r="D2045" s="15"/>
      <c r="E2045" s="15"/>
      <c r="F2045" s="20"/>
    </row>
    <row r="2046" spans="2:6" ht="17.25" customHeight="1">
      <c r="B2046" s="15"/>
      <c r="C2046" s="15"/>
      <c r="D2046" s="15"/>
      <c r="E2046" s="15"/>
      <c r="F2046" s="20"/>
    </row>
    <row r="2047" spans="2:6" ht="17.25" customHeight="1">
      <c r="B2047" s="15"/>
      <c r="C2047" s="15"/>
      <c r="D2047" s="15"/>
      <c r="E2047" s="15"/>
      <c r="F2047" s="20"/>
    </row>
    <row r="2048" spans="2:6" ht="17.25" customHeight="1">
      <c r="B2048" s="15"/>
      <c r="C2048" s="15"/>
      <c r="D2048" s="15"/>
      <c r="E2048" s="15"/>
      <c r="F2048" s="20"/>
    </row>
    <row r="2049" spans="2:6" ht="17.25" customHeight="1">
      <c r="B2049" s="15"/>
      <c r="C2049" s="15"/>
      <c r="D2049" s="15"/>
      <c r="E2049" s="15"/>
      <c r="F2049" s="20"/>
    </row>
    <row r="2050" spans="2:6" ht="17.25" customHeight="1">
      <c r="B2050" s="15"/>
      <c r="C2050" s="15"/>
      <c r="D2050" s="15"/>
      <c r="E2050" s="15"/>
      <c r="F2050" s="20"/>
    </row>
    <row r="2051" spans="2:6" ht="17.25" customHeight="1">
      <c r="B2051" s="15"/>
      <c r="C2051" s="15"/>
      <c r="D2051" s="15"/>
      <c r="E2051" s="15"/>
      <c r="F2051" s="20"/>
    </row>
    <row r="2052" spans="2:6" ht="17.25" customHeight="1">
      <c r="B2052" s="15"/>
      <c r="C2052" s="15"/>
      <c r="D2052" s="15"/>
      <c r="E2052" s="15"/>
      <c r="F2052" s="20"/>
    </row>
    <row r="2053" spans="2:6" ht="17.25" customHeight="1">
      <c r="B2053" s="15"/>
      <c r="C2053" s="15"/>
      <c r="D2053" s="15"/>
      <c r="E2053" s="15"/>
      <c r="F2053" s="20"/>
    </row>
    <row r="2054" spans="2:6" ht="17.25" customHeight="1">
      <c r="B2054" s="15"/>
      <c r="C2054" s="15"/>
      <c r="D2054" s="15"/>
      <c r="E2054" s="15"/>
      <c r="F2054" s="20"/>
    </row>
    <row r="2055" spans="2:6" ht="17.25" customHeight="1">
      <c r="B2055" s="15"/>
      <c r="C2055" s="15"/>
      <c r="D2055" s="15"/>
      <c r="E2055" s="15"/>
      <c r="F2055" s="20"/>
    </row>
    <row r="2056" spans="2:6" ht="17.25" customHeight="1">
      <c r="B2056" s="15"/>
      <c r="C2056" s="15"/>
      <c r="D2056" s="15"/>
      <c r="E2056" s="15"/>
      <c r="F2056" s="20"/>
    </row>
    <row r="2057" spans="2:6" ht="17.25" customHeight="1">
      <c r="B2057" s="15"/>
      <c r="C2057" s="15"/>
      <c r="D2057" s="15"/>
      <c r="E2057" s="15"/>
      <c r="F2057" s="20"/>
    </row>
    <row r="2058" spans="2:6" ht="17.25" customHeight="1">
      <c r="B2058" s="15"/>
      <c r="C2058" s="15"/>
      <c r="D2058" s="15"/>
      <c r="E2058" s="15"/>
      <c r="F2058" s="20"/>
    </row>
    <row r="2059" spans="2:6" ht="17.25" customHeight="1">
      <c r="B2059" s="15"/>
      <c r="C2059" s="15"/>
      <c r="D2059" s="15"/>
      <c r="E2059" s="15"/>
      <c r="F2059" s="20"/>
    </row>
    <row r="2060" spans="2:6" ht="17.25" customHeight="1">
      <c r="B2060" s="15"/>
      <c r="C2060" s="15"/>
      <c r="D2060" s="15"/>
      <c r="E2060" s="15"/>
      <c r="F2060" s="20"/>
    </row>
    <row r="2061" spans="2:6" ht="17.25" customHeight="1">
      <c r="B2061" s="15"/>
      <c r="C2061" s="15"/>
      <c r="D2061" s="15"/>
      <c r="E2061" s="15"/>
      <c r="F2061" s="20"/>
    </row>
    <row r="2062" spans="2:6" ht="17.25" customHeight="1">
      <c r="B2062" s="15"/>
      <c r="C2062" s="15"/>
      <c r="D2062" s="15"/>
      <c r="E2062" s="15"/>
      <c r="F2062" s="20"/>
    </row>
    <row r="2063" spans="2:6" ht="17.25" customHeight="1">
      <c r="B2063" s="15"/>
      <c r="C2063" s="15"/>
      <c r="D2063" s="15"/>
      <c r="E2063" s="15"/>
      <c r="F2063" s="20"/>
    </row>
    <row r="2064" spans="2:6" ht="17.25" customHeight="1">
      <c r="B2064" s="15"/>
      <c r="C2064" s="15"/>
      <c r="D2064" s="15"/>
      <c r="E2064" s="15"/>
      <c r="F2064" s="20"/>
    </row>
    <row r="2065" spans="2:6" ht="17.25" customHeight="1">
      <c r="B2065" s="15"/>
      <c r="C2065" s="15"/>
      <c r="D2065" s="15"/>
      <c r="E2065" s="15"/>
      <c r="F2065" s="20"/>
    </row>
    <row r="2066" spans="2:6" ht="17.25" customHeight="1">
      <c r="B2066" s="15"/>
      <c r="C2066" s="15"/>
      <c r="D2066" s="15"/>
      <c r="E2066" s="15"/>
      <c r="F2066" s="20"/>
    </row>
    <row r="2067" spans="2:6" ht="17.25" customHeight="1">
      <c r="B2067" s="15"/>
      <c r="C2067" s="15"/>
      <c r="D2067" s="15"/>
      <c r="E2067" s="15"/>
      <c r="F2067" s="20"/>
    </row>
    <row r="2068" spans="2:6" ht="17.25" customHeight="1">
      <c r="B2068" s="15"/>
      <c r="C2068" s="15"/>
      <c r="D2068" s="15"/>
      <c r="E2068" s="15"/>
      <c r="F2068" s="20"/>
    </row>
    <row r="2069" spans="2:6" ht="17.25" customHeight="1">
      <c r="B2069" s="15"/>
      <c r="C2069" s="15"/>
      <c r="D2069" s="15"/>
      <c r="E2069" s="15"/>
      <c r="F2069" s="20"/>
    </row>
    <row r="2070" spans="2:6" ht="17.25" customHeight="1">
      <c r="B2070" s="15"/>
      <c r="C2070" s="15"/>
      <c r="D2070" s="15"/>
      <c r="E2070" s="15"/>
      <c r="F2070" s="20"/>
    </row>
    <row r="2071" spans="2:6" ht="17.25" customHeight="1">
      <c r="B2071" s="15"/>
      <c r="C2071" s="15"/>
      <c r="D2071" s="15"/>
      <c r="E2071" s="15"/>
      <c r="F2071" s="20"/>
    </row>
    <row r="2072" spans="2:6" ht="17.25" customHeight="1">
      <c r="B2072" s="15"/>
      <c r="C2072" s="15"/>
      <c r="D2072" s="15"/>
      <c r="E2072" s="15"/>
      <c r="F2072" s="20"/>
    </row>
    <row r="2073" spans="2:6" ht="17.25" customHeight="1">
      <c r="B2073" s="15"/>
      <c r="C2073" s="15"/>
      <c r="D2073" s="15"/>
      <c r="E2073" s="15"/>
      <c r="F2073" s="20"/>
    </row>
    <row r="2074" spans="2:6" ht="17.25" customHeight="1">
      <c r="B2074" s="15"/>
      <c r="C2074" s="15"/>
      <c r="D2074" s="15"/>
      <c r="E2074" s="15"/>
      <c r="F2074" s="20"/>
    </row>
    <row r="2075" spans="2:6" ht="17.25" customHeight="1">
      <c r="B2075" s="15"/>
      <c r="C2075" s="15"/>
      <c r="D2075" s="15"/>
      <c r="E2075" s="15"/>
      <c r="F2075" s="20"/>
    </row>
    <row r="2076" spans="2:6" ht="17.25" customHeight="1">
      <c r="B2076" s="15"/>
      <c r="C2076" s="15"/>
      <c r="D2076" s="15"/>
      <c r="E2076" s="15"/>
      <c r="F2076" s="20"/>
    </row>
    <row r="2077" spans="2:6" ht="17.25" customHeight="1">
      <c r="B2077" s="15"/>
      <c r="C2077" s="15"/>
      <c r="D2077" s="15"/>
      <c r="E2077" s="15"/>
      <c r="F2077" s="20"/>
    </row>
    <row r="2078" spans="2:6" ht="17.25" customHeight="1">
      <c r="B2078" s="15"/>
      <c r="C2078" s="15"/>
      <c r="D2078" s="15"/>
      <c r="E2078" s="15"/>
      <c r="F2078" s="20"/>
    </row>
    <row r="2079" spans="2:6" ht="17.25" customHeight="1">
      <c r="B2079" s="15"/>
      <c r="C2079" s="15"/>
      <c r="D2079" s="15"/>
      <c r="E2079" s="15"/>
      <c r="F2079" s="20"/>
    </row>
    <row r="2080" spans="2:6" ht="17.25" customHeight="1">
      <c r="B2080" s="15"/>
      <c r="C2080" s="15"/>
      <c r="D2080" s="15"/>
      <c r="E2080" s="15"/>
      <c r="F2080" s="20"/>
    </row>
    <row r="2081" spans="2:6" ht="17.25" customHeight="1">
      <c r="B2081" s="15"/>
      <c r="C2081" s="15"/>
      <c r="D2081" s="15"/>
      <c r="E2081" s="15"/>
      <c r="F2081" s="20"/>
    </row>
    <row r="2082" spans="2:6" ht="17.25" customHeight="1">
      <c r="B2082" s="15"/>
      <c r="C2082" s="15"/>
      <c r="D2082" s="15"/>
      <c r="E2082" s="15"/>
      <c r="F2082" s="20"/>
    </row>
    <row r="2083" spans="2:6" ht="17.25" customHeight="1">
      <c r="B2083" s="15"/>
      <c r="C2083" s="15"/>
      <c r="D2083" s="15"/>
      <c r="E2083" s="15"/>
      <c r="F2083" s="20"/>
    </row>
    <row r="2084" spans="2:6" ht="17.25" customHeight="1">
      <c r="B2084" s="15"/>
      <c r="C2084" s="15"/>
      <c r="D2084" s="15"/>
      <c r="E2084" s="15"/>
      <c r="F2084" s="20"/>
    </row>
    <row r="2085" spans="2:6" ht="17.25" customHeight="1">
      <c r="B2085" s="15"/>
      <c r="C2085" s="15"/>
      <c r="D2085" s="15"/>
      <c r="E2085" s="15"/>
      <c r="F2085" s="20"/>
    </row>
    <row r="2086" spans="2:6" ht="17.25" customHeight="1">
      <c r="B2086" s="15"/>
      <c r="C2086" s="15"/>
      <c r="D2086" s="15"/>
      <c r="E2086" s="15"/>
      <c r="F2086" s="20"/>
    </row>
    <row r="2087" spans="2:6" ht="17.25" customHeight="1">
      <c r="B2087" s="15"/>
      <c r="C2087" s="15"/>
      <c r="D2087" s="15"/>
      <c r="E2087" s="15"/>
      <c r="F2087" s="20"/>
    </row>
    <row r="2088" spans="2:6" ht="17.25" customHeight="1">
      <c r="B2088" s="15"/>
      <c r="C2088" s="15"/>
      <c r="D2088" s="15"/>
      <c r="E2088" s="15"/>
      <c r="F2088" s="20"/>
    </row>
    <row r="2089" spans="2:6" ht="17.25" customHeight="1">
      <c r="B2089" s="15"/>
      <c r="C2089" s="15"/>
      <c r="D2089" s="15"/>
      <c r="E2089" s="15"/>
      <c r="F2089" s="20"/>
    </row>
    <row r="2090" spans="2:6" ht="17.25" customHeight="1">
      <c r="B2090" s="15"/>
      <c r="C2090" s="15"/>
      <c r="D2090" s="15"/>
      <c r="E2090" s="15"/>
      <c r="F2090" s="20"/>
    </row>
    <row r="2091" spans="2:6" ht="17.25" customHeight="1">
      <c r="B2091" s="15"/>
      <c r="C2091" s="15"/>
      <c r="D2091" s="15"/>
      <c r="E2091" s="15"/>
      <c r="F2091" s="20"/>
    </row>
    <row r="2092" spans="2:6" ht="17.25" customHeight="1">
      <c r="B2092" s="15"/>
      <c r="C2092" s="15"/>
      <c r="D2092" s="15"/>
      <c r="E2092" s="15"/>
      <c r="F2092" s="20"/>
    </row>
    <row r="2093" spans="2:6" ht="17.25" customHeight="1">
      <c r="B2093" s="15"/>
      <c r="C2093" s="15"/>
      <c r="D2093" s="15"/>
      <c r="E2093" s="15"/>
      <c r="F2093" s="20"/>
    </row>
    <row r="2094" spans="2:6" ht="17.25" customHeight="1">
      <c r="B2094" s="15"/>
      <c r="C2094" s="15"/>
      <c r="D2094" s="15"/>
      <c r="E2094" s="15"/>
      <c r="F2094" s="20"/>
    </row>
    <row r="2095" spans="2:6" ht="17.25" customHeight="1">
      <c r="B2095" s="15"/>
      <c r="C2095" s="15"/>
      <c r="D2095" s="15"/>
      <c r="E2095" s="15"/>
      <c r="F2095" s="20"/>
    </row>
    <row r="2096" spans="2:6" ht="17.25" customHeight="1">
      <c r="B2096" s="15"/>
      <c r="C2096" s="15"/>
      <c r="D2096" s="15"/>
      <c r="E2096" s="15"/>
      <c r="F2096" s="20"/>
    </row>
    <row r="2097" spans="2:6" ht="17.25" customHeight="1">
      <c r="B2097" s="15"/>
      <c r="C2097" s="15"/>
      <c r="D2097" s="15"/>
      <c r="E2097" s="15"/>
      <c r="F2097" s="20"/>
    </row>
    <row r="2098" spans="2:6" ht="17.25" customHeight="1">
      <c r="B2098" s="15"/>
      <c r="C2098" s="15"/>
      <c r="D2098" s="15"/>
      <c r="E2098" s="15"/>
      <c r="F2098" s="20"/>
    </row>
    <row r="2099" spans="2:6" ht="17.25" customHeight="1">
      <c r="B2099" s="15"/>
      <c r="C2099" s="15"/>
      <c r="D2099" s="15"/>
      <c r="E2099" s="15"/>
      <c r="F2099" s="20"/>
    </row>
    <row r="2100" spans="2:6" ht="17.25" customHeight="1">
      <c r="B2100" s="15"/>
      <c r="C2100" s="15"/>
      <c r="D2100" s="15"/>
      <c r="E2100" s="15"/>
      <c r="F2100" s="20"/>
    </row>
    <row r="2101" spans="2:6" ht="17.25" customHeight="1">
      <c r="B2101" s="15"/>
      <c r="C2101" s="15"/>
      <c r="D2101" s="15"/>
      <c r="E2101" s="15"/>
      <c r="F2101" s="20"/>
    </row>
    <row r="2102" spans="2:6" ht="17.25" customHeight="1">
      <c r="B2102" s="15"/>
      <c r="C2102" s="15"/>
      <c r="D2102" s="15"/>
      <c r="E2102" s="15"/>
      <c r="F2102" s="20"/>
    </row>
    <row r="2103" spans="2:6" ht="17.25" customHeight="1">
      <c r="B2103" s="15"/>
      <c r="C2103" s="15"/>
      <c r="D2103" s="15"/>
      <c r="E2103" s="15"/>
      <c r="F2103" s="20"/>
    </row>
    <row r="2104" spans="2:6" ht="17.25" customHeight="1">
      <c r="B2104" s="15"/>
      <c r="C2104" s="15"/>
      <c r="D2104" s="15"/>
      <c r="E2104" s="15"/>
      <c r="F2104" s="20"/>
    </row>
    <row r="2105" spans="2:6" ht="17.25" customHeight="1">
      <c r="B2105" s="15"/>
      <c r="C2105" s="15"/>
      <c r="D2105" s="15"/>
      <c r="E2105" s="15"/>
      <c r="F2105" s="20"/>
    </row>
    <row r="2106" spans="2:6" ht="17.25" customHeight="1">
      <c r="B2106" s="15"/>
      <c r="C2106" s="15"/>
      <c r="D2106" s="15"/>
      <c r="E2106" s="15"/>
      <c r="F2106" s="20"/>
    </row>
    <row r="2107" spans="2:6" ht="17.25" customHeight="1">
      <c r="B2107" s="15"/>
      <c r="C2107" s="15"/>
      <c r="D2107" s="15"/>
      <c r="E2107" s="15"/>
      <c r="F2107" s="20"/>
    </row>
    <row r="2108" spans="2:6" ht="17.25" customHeight="1">
      <c r="B2108" s="15"/>
      <c r="C2108" s="15"/>
      <c r="D2108" s="15"/>
      <c r="E2108" s="15"/>
      <c r="F2108" s="20"/>
    </row>
    <row r="2109" spans="2:6" ht="17.25" customHeight="1">
      <c r="B2109" s="15"/>
      <c r="C2109" s="15"/>
      <c r="D2109" s="15"/>
      <c r="E2109" s="15"/>
      <c r="F2109" s="20"/>
    </row>
    <row r="2110" spans="2:6" ht="17.25" customHeight="1">
      <c r="B2110" s="15"/>
      <c r="C2110" s="15"/>
      <c r="D2110" s="15"/>
      <c r="E2110" s="15"/>
      <c r="F2110" s="20"/>
    </row>
    <row r="2111" spans="2:6" ht="17.25" customHeight="1">
      <c r="B2111" s="15"/>
      <c r="C2111" s="15"/>
      <c r="D2111" s="15"/>
      <c r="E2111" s="15"/>
      <c r="F2111" s="20"/>
    </row>
    <row r="2112" spans="2:6" ht="17.25" customHeight="1">
      <c r="B2112" s="15"/>
      <c r="C2112" s="15"/>
      <c r="D2112" s="15"/>
      <c r="E2112" s="15"/>
      <c r="F2112" s="20"/>
    </row>
    <row r="2113" spans="2:6" ht="17.25" customHeight="1">
      <c r="B2113" s="15"/>
      <c r="C2113" s="15"/>
      <c r="D2113" s="15"/>
      <c r="E2113" s="15"/>
      <c r="F2113" s="20"/>
    </row>
    <row r="2114" spans="2:6" ht="17.25" customHeight="1">
      <c r="B2114" s="15"/>
      <c r="C2114" s="15"/>
      <c r="D2114" s="15"/>
      <c r="E2114" s="15"/>
      <c r="F2114" s="20"/>
    </row>
    <row r="2115" spans="2:6" ht="17.25" customHeight="1">
      <c r="B2115" s="15"/>
      <c r="C2115" s="15"/>
      <c r="D2115" s="15"/>
      <c r="E2115" s="15"/>
      <c r="F2115" s="20"/>
    </row>
    <row r="2116" spans="2:6" ht="17.25" customHeight="1">
      <c r="B2116" s="15"/>
      <c r="C2116" s="15"/>
      <c r="D2116" s="15"/>
      <c r="E2116" s="15"/>
      <c r="F2116" s="20"/>
    </row>
    <row r="2117" spans="2:6" ht="17.25" customHeight="1">
      <c r="B2117" s="15"/>
      <c r="C2117" s="15"/>
      <c r="D2117" s="15"/>
      <c r="E2117" s="15"/>
      <c r="F2117" s="20"/>
    </row>
    <row r="2118" spans="2:6" ht="17.25" customHeight="1">
      <c r="B2118" s="15"/>
      <c r="C2118" s="15"/>
      <c r="D2118" s="15"/>
      <c r="E2118" s="15"/>
      <c r="F2118" s="20"/>
    </row>
    <row r="2119" spans="2:6" ht="17.25" customHeight="1">
      <c r="B2119" s="15"/>
      <c r="C2119" s="15"/>
      <c r="D2119" s="15"/>
      <c r="E2119" s="15"/>
      <c r="F2119" s="20"/>
    </row>
    <row r="2120" spans="2:6" ht="17.25" customHeight="1">
      <c r="B2120" s="15"/>
      <c r="C2120" s="15"/>
      <c r="D2120" s="15"/>
      <c r="E2120" s="15"/>
      <c r="F2120" s="20"/>
    </row>
    <row r="2121" spans="2:6" ht="17.25" customHeight="1">
      <c r="B2121" s="15"/>
      <c r="C2121" s="15"/>
      <c r="D2121" s="15"/>
      <c r="E2121" s="15"/>
      <c r="F2121" s="20"/>
    </row>
    <row r="2122" spans="2:6" ht="17.25" customHeight="1">
      <c r="B2122" s="15"/>
      <c r="C2122" s="15"/>
      <c r="D2122" s="15"/>
      <c r="E2122" s="15"/>
      <c r="F2122" s="20"/>
    </row>
    <row r="2123" spans="2:6" ht="17.25" customHeight="1">
      <c r="B2123" s="15"/>
      <c r="C2123" s="15"/>
      <c r="D2123" s="15"/>
      <c r="E2123" s="15"/>
      <c r="F2123" s="20"/>
    </row>
    <row r="2124" spans="2:6" ht="17.25" customHeight="1">
      <c r="B2124" s="15"/>
      <c r="C2124" s="15"/>
      <c r="D2124" s="15"/>
      <c r="E2124" s="15"/>
      <c r="F2124" s="20"/>
    </row>
    <row r="2125" spans="2:6" ht="17.25" customHeight="1">
      <c r="B2125" s="15"/>
      <c r="C2125" s="15"/>
      <c r="D2125" s="15"/>
      <c r="E2125" s="15"/>
      <c r="F2125" s="20"/>
    </row>
    <row r="2126" spans="2:6" ht="17.25" customHeight="1">
      <c r="B2126" s="15"/>
      <c r="C2126" s="15"/>
      <c r="D2126" s="15"/>
      <c r="E2126" s="15"/>
      <c r="F2126" s="20"/>
    </row>
    <row r="2127" spans="2:6" ht="17.25" customHeight="1">
      <c r="B2127" s="15"/>
      <c r="C2127" s="15"/>
      <c r="D2127" s="15"/>
      <c r="E2127" s="15"/>
      <c r="F2127" s="20"/>
    </row>
    <row r="2128" spans="2:6" ht="17.25" customHeight="1">
      <c r="B2128" s="15"/>
      <c r="C2128" s="15"/>
      <c r="D2128" s="15"/>
      <c r="E2128" s="15"/>
      <c r="F2128" s="20"/>
    </row>
    <row r="2129" spans="2:6" ht="17.25" customHeight="1">
      <c r="B2129" s="15"/>
      <c r="C2129" s="15"/>
      <c r="D2129" s="15"/>
      <c r="E2129" s="15"/>
      <c r="F2129" s="20"/>
    </row>
    <row r="2130" spans="2:6" ht="17.25" customHeight="1">
      <c r="B2130" s="15"/>
      <c r="C2130" s="15"/>
      <c r="D2130" s="15"/>
      <c r="E2130" s="15"/>
      <c r="F2130" s="20"/>
    </row>
    <row r="2131" spans="2:6" ht="17.25" customHeight="1">
      <c r="B2131" s="15"/>
      <c r="C2131" s="15"/>
      <c r="D2131" s="15"/>
      <c r="E2131" s="15"/>
      <c r="F2131" s="20"/>
    </row>
    <row r="2132" spans="2:6" ht="17.25" customHeight="1">
      <c r="B2132" s="15"/>
      <c r="C2132" s="15"/>
      <c r="D2132" s="15"/>
      <c r="E2132" s="15"/>
      <c r="F2132" s="20"/>
    </row>
    <row r="2133" spans="2:6" ht="17.25" customHeight="1">
      <c r="B2133" s="15"/>
      <c r="C2133" s="15"/>
      <c r="D2133" s="15"/>
      <c r="E2133" s="15"/>
      <c r="F2133" s="20"/>
    </row>
    <row r="2134" spans="2:6" ht="17.25" customHeight="1">
      <c r="B2134" s="15"/>
      <c r="C2134" s="15"/>
      <c r="D2134" s="15"/>
      <c r="E2134" s="15"/>
      <c r="F2134" s="20"/>
    </row>
    <row r="2135" spans="2:6" ht="17.25" customHeight="1">
      <c r="B2135" s="15"/>
      <c r="C2135" s="15"/>
      <c r="D2135" s="15"/>
      <c r="E2135" s="15"/>
      <c r="F2135" s="20"/>
    </row>
    <row r="2136" spans="2:6" ht="17.25" customHeight="1">
      <c r="B2136" s="15"/>
      <c r="C2136" s="15"/>
      <c r="D2136" s="15"/>
      <c r="E2136" s="15"/>
      <c r="F2136" s="20"/>
    </row>
    <row r="2137" spans="2:6" ht="17.25" customHeight="1">
      <c r="B2137" s="15"/>
      <c r="C2137" s="15"/>
      <c r="D2137" s="15"/>
      <c r="E2137" s="15"/>
      <c r="F2137" s="20"/>
    </row>
    <row r="2138" spans="2:6" ht="17.25" customHeight="1">
      <c r="B2138" s="15"/>
      <c r="C2138" s="15"/>
      <c r="D2138" s="15"/>
      <c r="E2138" s="15"/>
      <c r="F2138" s="20"/>
    </row>
    <row r="2139" spans="2:6" ht="17.25" customHeight="1">
      <c r="B2139" s="15"/>
      <c r="C2139" s="15"/>
      <c r="D2139" s="15"/>
      <c r="E2139" s="15"/>
      <c r="F2139" s="20"/>
    </row>
    <row r="2140" spans="2:6" ht="17.25" customHeight="1">
      <c r="B2140" s="15"/>
      <c r="C2140" s="15"/>
      <c r="D2140" s="15"/>
      <c r="E2140" s="15"/>
      <c r="F2140" s="20"/>
    </row>
    <row r="2141" spans="2:6" ht="17.25" customHeight="1">
      <c r="B2141" s="15"/>
      <c r="C2141" s="15"/>
      <c r="D2141" s="15"/>
      <c r="E2141" s="15"/>
      <c r="F2141" s="20"/>
    </row>
    <row r="2142" spans="2:6" ht="17.25" customHeight="1">
      <c r="B2142" s="15"/>
      <c r="C2142" s="15"/>
      <c r="D2142" s="15"/>
      <c r="E2142" s="15"/>
      <c r="F2142" s="20"/>
    </row>
    <row r="2143" spans="2:6" ht="17.25" customHeight="1">
      <c r="B2143" s="15"/>
      <c r="C2143" s="15"/>
      <c r="D2143" s="15"/>
      <c r="E2143" s="15"/>
      <c r="F2143" s="20"/>
    </row>
    <row r="2144" spans="2:6" ht="17.25" customHeight="1">
      <c r="B2144" s="15"/>
      <c r="C2144" s="15"/>
      <c r="D2144" s="15"/>
      <c r="E2144" s="15"/>
      <c r="F2144" s="20"/>
    </row>
    <row r="2145" spans="2:6" ht="17.25" customHeight="1">
      <c r="B2145" s="15"/>
      <c r="C2145" s="15"/>
      <c r="D2145" s="15"/>
      <c r="E2145" s="15"/>
      <c r="F2145" s="20"/>
    </row>
    <row r="2146" spans="2:6" ht="17.25" customHeight="1">
      <c r="B2146" s="15"/>
      <c r="C2146" s="15"/>
      <c r="D2146" s="15"/>
      <c r="E2146" s="15"/>
      <c r="F2146" s="20"/>
    </row>
    <row r="2147" spans="2:6" ht="17.25" customHeight="1">
      <c r="B2147" s="15"/>
      <c r="C2147" s="15"/>
      <c r="D2147" s="15"/>
      <c r="E2147" s="15"/>
      <c r="F2147" s="20"/>
    </row>
    <row r="2148" spans="2:6" ht="17.25" customHeight="1">
      <c r="B2148" s="15"/>
      <c r="C2148" s="15"/>
      <c r="D2148" s="15"/>
      <c r="E2148" s="15"/>
      <c r="F2148" s="20"/>
    </row>
    <row r="2149" spans="2:6" ht="17.25" customHeight="1">
      <c r="B2149" s="15"/>
      <c r="C2149" s="15"/>
      <c r="D2149" s="15"/>
      <c r="E2149" s="15"/>
      <c r="F2149" s="20"/>
    </row>
    <row r="2150" spans="2:6" ht="17.25" customHeight="1">
      <c r="B2150" s="15"/>
      <c r="C2150" s="15"/>
      <c r="D2150" s="15"/>
      <c r="E2150" s="15"/>
      <c r="F2150" s="20"/>
    </row>
    <row r="2151" spans="2:6" ht="17.25" customHeight="1">
      <c r="B2151" s="15"/>
      <c r="C2151" s="15"/>
      <c r="D2151" s="15"/>
      <c r="E2151" s="15"/>
      <c r="F2151" s="20"/>
    </row>
    <row r="2152" spans="2:6" ht="17.25" customHeight="1">
      <c r="B2152" s="15"/>
      <c r="C2152" s="15"/>
      <c r="D2152" s="15"/>
      <c r="E2152" s="15"/>
      <c r="F2152" s="20"/>
    </row>
    <row r="2153" spans="2:6" ht="17.25" customHeight="1">
      <c r="B2153" s="15"/>
      <c r="C2153" s="15"/>
      <c r="D2153" s="15"/>
      <c r="E2153" s="15"/>
      <c r="F2153" s="20"/>
    </row>
    <row r="2154" spans="2:6" ht="17.25" customHeight="1">
      <c r="B2154" s="15"/>
      <c r="C2154" s="15"/>
      <c r="D2154" s="15"/>
      <c r="E2154" s="15"/>
      <c r="F2154" s="20"/>
    </row>
    <row r="2155" spans="2:6" ht="17.25" customHeight="1">
      <c r="B2155" s="15"/>
      <c r="C2155" s="15"/>
      <c r="D2155" s="15"/>
      <c r="E2155" s="15"/>
      <c r="F2155" s="20"/>
    </row>
    <row r="2156" spans="2:6" ht="17.25" customHeight="1">
      <c r="B2156" s="15"/>
      <c r="C2156" s="15"/>
      <c r="D2156" s="15"/>
      <c r="E2156" s="15"/>
      <c r="F2156" s="20"/>
    </row>
    <row r="2157" spans="2:6" ht="17.25" customHeight="1">
      <c r="B2157" s="15"/>
      <c r="C2157" s="15"/>
      <c r="D2157" s="15"/>
      <c r="E2157" s="15"/>
      <c r="F2157" s="20"/>
    </row>
    <row r="2158" spans="2:6" ht="17.25" customHeight="1">
      <c r="B2158" s="15"/>
      <c r="C2158" s="15"/>
      <c r="D2158" s="15"/>
      <c r="E2158" s="15"/>
      <c r="F2158" s="20"/>
    </row>
    <row r="2159" spans="2:6" ht="17.25" customHeight="1">
      <c r="B2159" s="15"/>
      <c r="C2159" s="15"/>
      <c r="D2159" s="15"/>
      <c r="E2159" s="15"/>
      <c r="F2159" s="20"/>
    </row>
    <row r="2160" spans="2:6" ht="17.25" customHeight="1">
      <c r="B2160" s="15"/>
      <c r="C2160" s="15"/>
      <c r="D2160" s="15"/>
      <c r="E2160" s="15"/>
      <c r="F2160" s="20"/>
    </row>
    <row r="2161" spans="2:6" ht="17.25" customHeight="1">
      <c r="B2161" s="15"/>
      <c r="C2161" s="15"/>
      <c r="D2161" s="15"/>
      <c r="E2161" s="15"/>
      <c r="F2161" s="20"/>
    </row>
    <row r="2162" spans="2:6" ht="17.25" customHeight="1">
      <c r="B2162" s="15"/>
      <c r="C2162" s="15"/>
      <c r="D2162" s="15"/>
      <c r="E2162" s="15"/>
      <c r="F2162" s="20"/>
    </row>
    <row r="2163" spans="2:6" ht="17.25" customHeight="1">
      <c r="B2163" s="15"/>
      <c r="C2163" s="15"/>
      <c r="D2163" s="15"/>
      <c r="E2163" s="15"/>
      <c r="F2163" s="20"/>
    </row>
    <row r="2164" spans="2:6" ht="17.25" customHeight="1">
      <c r="B2164" s="15"/>
      <c r="C2164" s="15"/>
      <c r="D2164" s="15"/>
      <c r="E2164" s="15"/>
      <c r="F2164" s="20"/>
    </row>
    <row r="2165" spans="2:6" ht="17.25" customHeight="1">
      <c r="B2165" s="15"/>
      <c r="C2165" s="15"/>
      <c r="D2165" s="15"/>
      <c r="E2165" s="15"/>
      <c r="F2165" s="20"/>
    </row>
    <row r="2166" spans="2:6" ht="17.25" customHeight="1">
      <c r="B2166" s="15"/>
      <c r="C2166" s="15"/>
      <c r="D2166" s="15"/>
      <c r="E2166" s="15"/>
      <c r="F2166" s="20"/>
    </row>
    <row r="2167" spans="2:6" ht="17.25" customHeight="1">
      <c r="B2167" s="15"/>
      <c r="C2167" s="15"/>
      <c r="D2167" s="15"/>
      <c r="E2167" s="15"/>
      <c r="F2167" s="20"/>
    </row>
    <row r="2168" spans="2:6" ht="17.25" customHeight="1">
      <c r="B2168" s="15"/>
      <c r="C2168" s="15"/>
      <c r="D2168" s="15"/>
      <c r="E2168" s="15"/>
      <c r="F2168" s="20"/>
    </row>
    <row r="2169" spans="2:6" ht="17.25" customHeight="1">
      <c r="B2169" s="15"/>
      <c r="C2169" s="15"/>
      <c r="D2169" s="15"/>
      <c r="E2169" s="15"/>
      <c r="F2169" s="20"/>
    </row>
    <row r="2170" spans="2:6" ht="17.25" customHeight="1">
      <c r="B2170" s="15"/>
      <c r="C2170" s="15"/>
      <c r="D2170" s="15"/>
      <c r="E2170" s="15"/>
      <c r="F2170" s="20"/>
    </row>
    <row r="2171" spans="2:6" ht="17.25" customHeight="1">
      <c r="B2171" s="15"/>
      <c r="C2171" s="15"/>
      <c r="D2171" s="15"/>
      <c r="E2171" s="15"/>
      <c r="F2171" s="20"/>
    </row>
    <row r="2172" spans="2:6" ht="17.25" customHeight="1">
      <c r="B2172" s="15"/>
      <c r="C2172" s="15"/>
      <c r="D2172" s="15"/>
      <c r="E2172" s="15"/>
      <c r="F2172" s="20"/>
    </row>
    <row r="2173" spans="2:6" ht="17.25" customHeight="1">
      <c r="B2173" s="15"/>
      <c r="C2173" s="15"/>
      <c r="D2173" s="15"/>
      <c r="E2173" s="15"/>
      <c r="F2173" s="20"/>
    </row>
    <row r="2174" spans="2:6" ht="17.25" customHeight="1">
      <c r="B2174" s="15"/>
      <c r="C2174" s="15"/>
      <c r="D2174" s="15"/>
      <c r="E2174" s="15"/>
      <c r="F2174" s="20"/>
    </row>
    <row r="2175" spans="2:6" ht="17.25" customHeight="1">
      <c r="B2175" s="15"/>
      <c r="C2175" s="15"/>
      <c r="D2175" s="15"/>
      <c r="E2175" s="15"/>
      <c r="F2175" s="20"/>
    </row>
    <row r="2176" spans="2:6" ht="17.25" customHeight="1">
      <c r="B2176" s="15"/>
      <c r="C2176" s="15"/>
      <c r="D2176" s="15"/>
      <c r="E2176" s="15"/>
      <c r="F2176" s="20"/>
    </row>
    <row r="2177" spans="2:6" ht="17.25" customHeight="1">
      <c r="B2177" s="15"/>
      <c r="C2177" s="15"/>
      <c r="D2177" s="15"/>
      <c r="E2177" s="15"/>
      <c r="F2177" s="20"/>
    </row>
    <row r="2178" spans="2:6" ht="17.25" customHeight="1">
      <c r="B2178" s="15"/>
      <c r="C2178" s="15"/>
      <c r="D2178" s="15"/>
      <c r="E2178" s="15"/>
      <c r="F2178" s="20"/>
    </row>
    <row r="2179" spans="2:6" ht="17.25" customHeight="1">
      <c r="B2179" s="15"/>
      <c r="C2179" s="15"/>
      <c r="D2179" s="15"/>
      <c r="E2179" s="15"/>
      <c r="F2179" s="20"/>
    </row>
    <row r="2180" spans="2:6" ht="17.25" customHeight="1">
      <c r="B2180" s="15"/>
      <c r="C2180" s="15"/>
      <c r="D2180" s="15"/>
      <c r="E2180" s="15"/>
      <c r="F2180" s="20"/>
    </row>
    <row r="2181" spans="2:6" ht="17.25" customHeight="1">
      <c r="B2181" s="15"/>
      <c r="C2181" s="15"/>
      <c r="D2181" s="15"/>
      <c r="E2181" s="15"/>
      <c r="F2181" s="20"/>
    </row>
    <row r="2182" spans="2:6" ht="17.25" customHeight="1">
      <c r="B2182" s="15"/>
      <c r="C2182" s="15"/>
      <c r="D2182" s="15"/>
      <c r="E2182" s="15"/>
      <c r="F2182" s="20"/>
    </row>
    <row r="2183" spans="2:6" ht="17.25" customHeight="1">
      <c r="B2183" s="15"/>
      <c r="C2183" s="15"/>
      <c r="D2183" s="15"/>
      <c r="E2183" s="15"/>
      <c r="F2183" s="20"/>
    </row>
    <row r="2184" spans="2:6" ht="17.25" customHeight="1">
      <c r="B2184" s="15"/>
      <c r="C2184" s="15"/>
      <c r="D2184" s="15"/>
      <c r="E2184" s="15"/>
      <c r="F2184" s="20"/>
    </row>
    <row r="2185" spans="2:6" ht="17.25" customHeight="1">
      <c r="B2185" s="15"/>
      <c r="C2185" s="15"/>
      <c r="D2185" s="15"/>
      <c r="E2185" s="15"/>
      <c r="F2185" s="20"/>
    </row>
    <row r="2186" spans="2:6" ht="17.25" customHeight="1">
      <c r="B2186" s="15"/>
      <c r="C2186" s="15"/>
      <c r="D2186" s="15"/>
      <c r="E2186" s="15"/>
      <c r="F2186" s="20"/>
    </row>
    <row r="2187" spans="2:6" ht="17.25" customHeight="1">
      <c r="B2187" s="15"/>
      <c r="C2187" s="15"/>
      <c r="D2187" s="15"/>
      <c r="E2187" s="15"/>
      <c r="F2187" s="20"/>
    </row>
    <row r="2188" spans="2:6" ht="17.25" customHeight="1">
      <c r="B2188" s="15"/>
      <c r="C2188" s="15"/>
      <c r="D2188" s="15"/>
      <c r="E2188" s="15"/>
      <c r="F2188" s="20"/>
    </row>
    <row r="2189" spans="2:6" ht="17.25" customHeight="1">
      <c r="B2189" s="15"/>
      <c r="C2189" s="15"/>
      <c r="D2189" s="15"/>
      <c r="E2189" s="15"/>
      <c r="F2189" s="20"/>
    </row>
    <row r="2190" spans="2:6" ht="17.25" customHeight="1">
      <c r="B2190" s="15"/>
      <c r="C2190" s="15"/>
      <c r="D2190" s="15"/>
      <c r="E2190" s="15"/>
      <c r="F2190" s="20"/>
    </row>
    <row r="2191" spans="2:6" ht="17.25" customHeight="1">
      <c r="B2191" s="15"/>
      <c r="C2191" s="15"/>
      <c r="D2191" s="15"/>
      <c r="E2191" s="15"/>
      <c r="F2191" s="20"/>
    </row>
    <row r="2192" spans="2:6" ht="17.25" customHeight="1">
      <c r="B2192" s="15"/>
      <c r="C2192" s="15"/>
      <c r="D2192" s="15"/>
      <c r="E2192" s="15"/>
      <c r="F2192" s="20"/>
    </row>
    <row r="2193" spans="2:6" ht="17.25" customHeight="1">
      <c r="B2193" s="15"/>
      <c r="C2193" s="15"/>
      <c r="D2193" s="15"/>
      <c r="E2193" s="15"/>
      <c r="F2193" s="20"/>
    </row>
    <row r="2194" spans="2:6" ht="17.25" customHeight="1">
      <c r="B2194" s="15"/>
      <c r="C2194" s="15"/>
      <c r="D2194" s="15"/>
      <c r="E2194" s="15"/>
      <c r="F2194" s="20"/>
    </row>
    <row r="2195" spans="2:6" ht="17.25" customHeight="1">
      <c r="B2195" s="15"/>
      <c r="C2195" s="15"/>
      <c r="D2195" s="15"/>
      <c r="E2195" s="15"/>
      <c r="F2195" s="20"/>
    </row>
    <row r="2196" spans="2:6" ht="17.25" customHeight="1">
      <c r="B2196" s="15"/>
      <c r="C2196" s="15"/>
      <c r="D2196" s="15"/>
      <c r="E2196" s="15"/>
      <c r="F2196" s="20"/>
    </row>
    <row r="2197" spans="2:6" ht="17.25" customHeight="1">
      <c r="B2197" s="15"/>
      <c r="C2197" s="15"/>
      <c r="D2197" s="15"/>
      <c r="E2197" s="15"/>
      <c r="F2197" s="20"/>
    </row>
    <row r="2198" spans="2:6" ht="17.25" customHeight="1">
      <c r="B2198" s="15"/>
      <c r="C2198" s="15"/>
      <c r="D2198" s="15"/>
      <c r="E2198" s="15"/>
      <c r="F2198" s="20"/>
    </row>
    <row r="2199" spans="2:6" ht="17.25" customHeight="1">
      <c r="B2199" s="15"/>
      <c r="C2199" s="15"/>
      <c r="D2199" s="15"/>
      <c r="E2199" s="15"/>
      <c r="F2199" s="20"/>
    </row>
    <row r="2200" spans="2:6" ht="17.25" customHeight="1">
      <c r="B2200" s="15"/>
      <c r="C2200" s="15"/>
      <c r="D2200" s="15"/>
      <c r="E2200" s="15"/>
      <c r="F2200" s="20"/>
    </row>
    <row r="2201" spans="2:6" ht="17.25" customHeight="1">
      <c r="B2201" s="15"/>
      <c r="C2201" s="15"/>
      <c r="D2201" s="15"/>
      <c r="E2201" s="15"/>
      <c r="F2201" s="20"/>
    </row>
    <row r="2202" spans="2:6" ht="17.25" customHeight="1">
      <c r="B2202" s="15"/>
      <c r="C2202" s="15"/>
      <c r="D2202" s="15"/>
      <c r="E2202" s="15"/>
      <c r="F2202" s="20"/>
    </row>
    <row r="2203" spans="2:6" ht="17.25" customHeight="1">
      <c r="B2203" s="15"/>
      <c r="C2203" s="15"/>
      <c r="D2203" s="15"/>
      <c r="E2203" s="15"/>
      <c r="F2203" s="20"/>
    </row>
    <row r="2204" spans="2:6" ht="17.25" customHeight="1">
      <c r="B2204" s="15"/>
      <c r="C2204" s="15"/>
      <c r="D2204" s="15"/>
      <c r="E2204" s="15"/>
      <c r="F2204" s="20"/>
    </row>
    <row r="2205" spans="2:6" ht="17.25" customHeight="1">
      <c r="B2205" s="15"/>
      <c r="C2205" s="15"/>
      <c r="D2205" s="15"/>
      <c r="E2205" s="15"/>
      <c r="F2205" s="20"/>
    </row>
    <row r="2206" spans="2:6" ht="17.25" customHeight="1">
      <c r="B2206" s="15"/>
      <c r="C2206" s="15"/>
      <c r="D2206" s="15"/>
      <c r="E2206" s="15"/>
      <c r="F2206" s="20"/>
    </row>
    <row r="2207" spans="2:6" ht="17.25" customHeight="1">
      <c r="B2207" s="15"/>
      <c r="C2207" s="15"/>
      <c r="D2207" s="15"/>
      <c r="E2207" s="15"/>
      <c r="F2207" s="20"/>
    </row>
    <row r="2208" spans="2:6" ht="17.25" customHeight="1">
      <c r="B2208" s="15"/>
      <c r="C2208" s="15"/>
      <c r="D2208" s="15"/>
      <c r="E2208" s="15"/>
      <c r="F2208" s="20"/>
    </row>
    <row r="2209" spans="2:6" ht="17.25" customHeight="1">
      <c r="B2209" s="15"/>
      <c r="C2209" s="15"/>
      <c r="D2209" s="15"/>
      <c r="E2209" s="15"/>
      <c r="F2209" s="20"/>
    </row>
    <row r="2210" spans="2:6" ht="17.25" customHeight="1">
      <c r="B2210" s="15"/>
      <c r="C2210" s="15"/>
      <c r="D2210" s="15"/>
      <c r="E2210" s="15"/>
      <c r="F2210" s="20"/>
    </row>
    <row r="2211" spans="2:6" ht="17.25" customHeight="1">
      <c r="B2211" s="15"/>
      <c r="C2211" s="15"/>
      <c r="D2211" s="15"/>
      <c r="E2211" s="15"/>
      <c r="F2211" s="20"/>
    </row>
    <row r="2212" spans="2:6" ht="17.25" customHeight="1">
      <c r="B2212" s="15"/>
      <c r="C2212" s="15"/>
      <c r="D2212" s="15"/>
      <c r="E2212" s="15"/>
      <c r="F2212" s="20"/>
    </row>
    <row r="2213" spans="2:6" ht="17.25" customHeight="1">
      <c r="B2213" s="15"/>
      <c r="C2213" s="15"/>
      <c r="D2213" s="15"/>
      <c r="E2213" s="15"/>
      <c r="F2213" s="20"/>
    </row>
    <row r="2214" spans="2:6" ht="17.25" customHeight="1">
      <c r="B2214" s="15"/>
      <c r="C2214" s="15"/>
      <c r="D2214" s="15"/>
      <c r="E2214" s="15"/>
      <c r="F2214" s="20"/>
    </row>
    <row r="2215" spans="2:6" ht="17.25" customHeight="1">
      <c r="B2215" s="15"/>
      <c r="C2215" s="15"/>
      <c r="D2215" s="15"/>
      <c r="E2215" s="15"/>
      <c r="F2215" s="20"/>
    </row>
    <row r="2216" spans="2:6" ht="17.25" customHeight="1">
      <c r="B2216" s="15"/>
      <c r="C2216" s="15"/>
      <c r="D2216" s="15"/>
      <c r="E2216" s="15"/>
      <c r="F2216" s="20"/>
    </row>
    <row r="2217" spans="2:6" ht="17.25" customHeight="1">
      <c r="B2217" s="15"/>
      <c r="C2217" s="15"/>
      <c r="D2217" s="15"/>
      <c r="E2217" s="15"/>
      <c r="F2217" s="20"/>
    </row>
    <row r="2218" spans="2:6" ht="17.25" customHeight="1">
      <c r="B2218" s="15"/>
      <c r="C2218" s="15"/>
      <c r="D2218" s="15"/>
      <c r="E2218" s="15"/>
      <c r="F2218" s="20"/>
    </row>
    <row r="2219" spans="2:6" ht="17.25" customHeight="1">
      <c r="B2219" s="15"/>
      <c r="C2219" s="15"/>
      <c r="D2219" s="15"/>
      <c r="E2219" s="15"/>
      <c r="F2219" s="20"/>
    </row>
    <row r="2220" spans="2:6" ht="17.25" customHeight="1">
      <c r="B2220" s="15"/>
      <c r="C2220" s="15"/>
      <c r="D2220" s="15"/>
      <c r="E2220" s="15"/>
      <c r="F2220" s="20"/>
    </row>
    <row r="2221" spans="2:6" ht="17.25" customHeight="1">
      <c r="B2221" s="15"/>
      <c r="C2221" s="15"/>
      <c r="D2221" s="15"/>
      <c r="E2221" s="15"/>
      <c r="F2221" s="20"/>
    </row>
    <row r="2222" spans="2:6" ht="17.25" customHeight="1">
      <c r="B2222" s="15"/>
      <c r="C2222" s="15"/>
      <c r="D2222" s="15"/>
      <c r="E2222" s="15"/>
      <c r="F2222" s="20"/>
    </row>
    <row r="2223" spans="2:6" ht="17.25" customHeight="1">
      <c r="B2223" s="15"/>
      <c r="C2223" s="15"/>
      <c r="D2223" s="15"/>
      <c r="E2223" s="15"/>
      <c r="F2223" s="20"/>
    </row>
    <row r="2224" spans="2:6" ht="17.25" customHeight="1">
      <c r="B2224" s="15"/>
      <c r="C2224" s="15"/>
      <c r="D2224" s="15"/>
      <c r="E2224" s="15"/>
      <c r="F2224" s="20"/>
    </row>
    <row r="2225" spans="2:6" ht="17.25" customHeight="1">
      <c r="B2225" s="15"/>
      <c r="C2225" s="15"/>
      <c r="D2225" s="15"/>
      <c r="E2225" s="15"/>
      <c r="F2225" s="20"/>
    </row>
    <row r="2226" spans="2:6" ht="17.25" customHeight="1">
      <c r="B2226" s="15"/>
      <c r="C2226" s="15"/>
      <c r="D2226" s="15"/>
      <c r="E2226" s="15"/>
      <c r="F2226" s="20"/>
    </row>
    <row r="2227" spans="2:6" ht="17.25" customHeight="1">
      <c r="B2227" s="15"/>
      <c r="C2227" s="15"/>
      <c r="D2227" s="15"/>
      <c r="E2227" s="15"/>
      <c r="F2227" s="20"/>
    </row>
    <row r="2228" spans="2:6" ht="17.25" customHeight="1">
      <c r="B2228" s="15"/>
      <c r="C2228" s="15"/>
      <c r="D2228" s="15"/>
      <c r="E2228" s="15"/>
      <c r="F2228" s="20"/>
    </row>
    <row r="2229" spans="2:6" ht="17.25" customHeight="1">
      <c r="B2229" s="15"/>
      <c r="C2229" s="15"/>
      <c r="D2229" s="15"/>
      <c r="E2229" s="15"/>
      <c r="F2229" s="20"/>
    </row>
    <row r="2230" spans="2:6" ht="17.25" customHeight="1">
      <c r="B2230" s="15"/>
      <c r="C2230" s="15"/>
      <c r="D2230" s="15"/>
      <c r="E2230" s="15"/>
      <c r="F2230" s="20"/>
    </row>
    <row r="2231" spans="2:6" ht="17.25" customHeight="1">
      <c r="B2231" s="15"/>
      <c r="C2231" s="15"/>
      <c r="D2231" s="15"/>
      <c r="E2231" s="15"/>
      <c r="F2231" s="20"/>
    </row>
    <row r="2232" spans="2:6" ht="17.25" customHeight="1">
      <c r="B2232" s="15"/>
      <c r="C2232" s="15"/>
      <c r="D2232" s="15"/>
      <c r="E2232" s="15"/>
      <c r="F2232" s="20"/>
    </row>
    <row r="2233" spans="2:6" ht="17.25" customHeight="1">
      <c r="B2233" s="15"/>
      <c r="C2233" s="15"/>
      <c r="D2233" s="15"/>
      <c r="E2233" s="15"/>
      <c r="F2233" s="20"/>
    </row>
    <row r="2234" spans="2:6" ht="17.25" customHeight="1">
      <c r="B2234" s="15"/>
      <c r="C2234" s="15"/>
      <c r="D2234" s="15"/>
      <c r="E2234" s="15"/>
      <c r="F2234" s="20"/>
    </row>
    <row r="2235" spans="2:6" ht="17.25" customHeight="1">
      <c r="B2235" s="15"/>
      <c r="C2235" s="15"/>
      <c r="D2235" s="15"/>
      <c r="E2235" s="15"/>
      <c r="F2235" s="20"/>
    </row>
    <row r="2236" spans="2:6" ht="17.25" customHeight="1">
      <c r="B2236" s="15"/>
      <c r="C2236" s="15"/>
      <c r="D2236" s="15"/>
      <c r="E2236" s="15"/>
      <c r="F2236" s="20"/>
    </row>
    <row r="2237" spans="2:6" ht="17.25" customHeight="1">
      <c r="B2237" s="15"/>
      <c r="C2237" s="15"/>
      <c r="D2237" s="15"/>
      <c r="E2237" s="15"/>
      <c r="F2237" s="20"/>
    </row>
    <row r="2238" spans="2:6" ht="17.25" customHeight="1">
      <c r="B2238" s="15"/>
      <c r="C2238" s="15"/>
      <c r="D2238" s="15"/>
      <c r="E2238" s="15"/>
      <c r="F2238" s="20"/>
    </row>
    <row r="2239" spans="2:6" ht="17.25" customHeight="1">
      <c r="B2239" s="15"/>
      <c r="C2239" s="15"/>
      <c r="D2239" s="15"/>
      <c r="E2239" s="15"/>
      <c r="F2239" s="20"/>
    </row>
    <row r="2240" spans="2:6" ht="17.25" customHeight="1">
      <c r="B2240" s="15"/>
      <c r="C2240" s="15"/>
      <c r="D2240" s="15"/>
      <c r="E2240" s="15"/>
      <c r="F2240" s="20"/>
    </row>
    <row r="2241" spans="2:6" ht="17.25" customHeight="1">
      <c r="B2241" s="15"/>
      <c r="C2241" s="15"/>
      <c r="D2241" s="15"/>
      <c r="E2241" s="15"/>
      <c r="F2241" s="20"/>
    </row>
    <row r="2242" spans="2:6" ht="17.25" customHeight="1">
      <c r="B2242" s="15"/>
      <c r="C2242" s="15"/>
      <c r="D2242" s="15"/>
      <c r="E2242" s="15"/>
      <c r="F2242" s="20"/>
    </row>
    <row r="2243" spans="2:6" ht="17.25" customHeight="1">
      <c r="B2243" s="15"/>
      <c r="C2243" s="15"/>
      <c r="D2243" s="15"/>
      <c r="E2243" s="15"/>
      <c r="F2243" s="20"/>
    </row>
    <row r="2244" spans="2:6" ht="17.25" customHeight="1">
      <c r="B2244" s="15"/>
      <c r="C2244" s="15"/>
      <c r="D2244" s="15"/>
      <c r="E2244" s="15"/>
      <c r="F2244" s="20"/>
    </row>
    <row r="2245" spans="2:6" ht="17.25" customHeight="1">
      <c r="B2245" s="15"/>
      <c r="C2245" s="15"/>
      <c r="D2245" s="15"/>
      <c r="E2245" s="15"/>
      <c r="F2245" s="20"/>
    </row>
    <row r="2246" spans="2:6" ht="17.25" customHeight="1">
      <c r="B2246" s="15"/>
      <c r="C2246" s="15"/>
      <c r="D2246" s="15"/>
      <c r="E2246" s="15"/>
      <c r="F2246" s="20"/>
    </row>
    <row r="2247" spans="2:6" ht="17.25" customHeight="1">
      <c r="B2247" s="15"/>
      <c r="C2247" s="15"/>
      <c r="D2247" s="15"/>
      <c r="E2247" s="15"/>
      <c r="F2247" s="20"/>
    </row>
    <row r="2248" spans="2:6" ht="17.25" customHeight="1">
      <c r="B2248" s="15"/>
      <c r="C2248" s="15"/>
      <c r="D2248" s="15"/>
      <c r="E2248" s="15"/>
      <c r="F2248" s="20"/>
    </row>
    <row r="2249" spans="2:6" ht="17.25" customHeight="1">
      <c r="B2249" s="15"/>
      <c r="C2249" s="15"/>
      <c r="D2249" s="15"/>
      <c r="E2249" s="15"/>
      <c r="F2249" s="20"/>
    </row>
    <row r="2250" spans="2:6" ht="17.25" customHeight="1">
      <c r="B2250" s="15"/>
      <c r="C2250" s="15"/>
      <c r="D2250" s="15"/>
      <c r="E2250" s="15"/>
      <c r="F2250" s="20"/>
    </row>
    <row r="2251" spans="2:6" ht="17.25" customHeight="1">
      <c r="B2251" s="15"/>
      <c r="C2251" s="15"/>
      <c r="D2251" s="15"/>
      <c r="E2251" s="15"/>
      <c r="F2251" s="20"/>
    </row>
    <row r="2252" spans="2:6" ht="17.25" customHeight="1">
      <c r="B2252" s="15"/>
      <c r="C2252" s="15"/>
      <c r="D2252" s="15"/>
      <c r="E2252" s="15"/>
      <c r="F2252" s="20"/>
    </row>
    <row r="2253" spans="2:6" ht="17.25" customHeight="1">
      <c r="B2253" s="15"/>
      <c r="C2253" s="15"/>
      <c r="D2253" s="15"/>
      <c r="E2253" s="15"/>
      <c r="F2253" s="20"/>
    </row>
    <row r="2254" spans="2:6" ht="17.25" customHeight="1">
      <c r="B2254" s="15"/>
      <c r="C2254" s="15"/>
      <c r="D2254" s="15"/>
      <c r="E2254" s="15"/>
      <c r="F2254" s="20"/>
    </row>
    <row r="2255" spans="2:6" ht="17.25" customHeight="1">
      <c r="B2255" s="15"/>
      <c r="C2255" s="15"/>
      <c r="D2255" s="15"/>
      <c r="E2255" s="15"/>
      <c r="F2255" s="20"/>
    </row>
    <row r="2256" spans="2:6" ht="17.25" customHeight="1">
      <c r="B2256" s="15"/>
      <c r="C2256" s="15"/>
      <c r="D2256" s="15"/>
      <c r="E2256" s="15"/>
      <c r="F2256" s="20"/>
    </row>
    <row r="2257" spans="2:6" ht="17.25" customHeight="1">
      <c r="B2257" s="15"/>
      <c r="C2257" s="15"/>
      <c r="D2257" s="15"/>
      <c r="E2257" s="15"/>
      <c r="F2257" s="20"/>
    </row>
    <row r="2258" spans="2:6" ht="17.25" customHeight="1">
      <c r="B2258" s="15"/>
      <c r="C2258" s="15"/>
      <c r="D2258" s="15"/>
      <c r="E2258" s="15"/>
      <c r="F2258" s="20"/>
    </row>
    <row r="2259" spans="2:6" ht="17.25" customHeight="1">
      <c r="B2259" s="15"/>
      <c r="C2259" s="15"/>
      <c r="D2259" s="15"/>
      <c r="E2259" s="15"/>
      <c r="F2259" s="20"/>
    </row>
    <row r="2260" spans="2:6" ht="17.25" customHeight="1">
      <c r="B2260" s="15"/>
      <c r="C2260" s="15"/>
      <c r="D2260" s="15"/>
      <c r="E2260" s="15"/>
      <c r="F2260" s="20"/>
    </row>
    <row r="2261" spans="2:6" ht="17.25" customHeight="1">
      <c r="B2261" s="15"/>
      <c r="C2261" s="15"/>
      <c r="D2261" s="15"/>
      <c r="E2261" s="15"/>
      <c r="F2261" s="20"/>
    </row>
    <row r="2262" spans="2:6" ht="17.25" customHeight="1">
      <c r="B2262" s="15"/>
      <c r="C2262" s="15"/>
      <c r="D2262" s="15"/>
      <c r="E2262" s="15"/>
      <c r="F2262" s="20"/>
    </row>
    <row r="2263" spans="2:6" ht="17.25" customHeight="1">
      <c r="B2263" s="15"/>
      <c r="C2263" s="15"/>
      <c r="D2263" s="15"/>
      <c r="E2263" s="15"/>
      <c r="F2263" s="20"/>
    </row>
    <row r="2264" spans="2:6" ht="17.25" customHeight="1">
      <c r="B2264" s="15"/>
      <c r="C2264" s="15"/>
      <c r="D2264" s="15"/>
      <c r="E2264" s="15"/>
      <c r="F2264" s="20"/>
    </row>
    <row r="2265" spans="2:6" ht="17.25" customHeight="1">
      <c r="B2265" s="15"/>
      <c r="C2265" s="15"/>
      <c r="D2265" s="15"/>
      <c r="E2265" s="15"/>
      <c r="F2265" s="20"/>
    </row>
    <row r="2266" spans="2:6" ht="17.25" customHeight="1">
      <c r="B2266" s="15"/>
      <c r="C2266" s="15"/>
      <c r="D2266" s="15"/>
      <c r="E2266" s="15"/>
      <c r="F2266" s="20"/>
    </row>
    <row r="2267" spans="2:6" ht="17.25" customHeight="1">
      <c r="B2267" s="15"/>
      <c r="C2267" s="15"/>
      <c r="D2267" s="15"/>
      <c r="E2267" s="15"/>
      <c r="F2267" s="20"/>
    </row>
    <row r="2268" spans="2:6" ht="17.25" customHeight="1">
      <c r="B2268" s="15"/>
      <c r="C2268" s="15"/>
      <c r="D2268" s="15"/>
      <c r="E2268" s="15"/>
      <c r="F2268" s="20"/>
    </row>
    <row r="2269" spans="2:6" ht="17.25" customHeight="1">
      <c r="B2269" s="15"/>
      <c r="C2269" s="15"/>
      <c r="D2269" s="15"/>
      <c r="E2269" s="15"/>
      <c r="F2269" s="20"/>
    </row>
    <row r="2270" spans="2:6" ht="17.25" customHeight="1">
      <c r="B2270" s="15"/>
      <c r="C2270" s="15"/>
      <c r="D2270" s="15"/>
      <c r="E2270" s="15"/>
      <c r="F2270" s="20"/>
    </row>
    <row r="2271" spans="2:6" ht="17.25" customHeight="1">
      <c r="B2271" s="15"/>
      <c r="C2271" s="15"/>
      <c r="D2271" s="15"/>
      <c r="E2271" s="15"/>
      <c r="F2271" s="20"/>
    </row>
    <row r="2272" spans="2:6" ht="17.25" customHeight="1">
      <c r="B2272" s="15"/>
      <c r="C2272" s="15"/>
      <c r="D2272" s="15"/>
      <c r="E2272" s="15"/>
      <c r="F2272" s="20"/>
    </row>
    <row r="2273" spans="2:6" ht="17.25" customHeight="1">
      <c r="B2273" s="15"/>
      <c r="C2273" s="15"/>
      <c r="D2273" s="15"/>
      <c r="E2273" s="15"/>
      <c r="F2273" s="20"/>
    </row>
    <row r="2274" spans="2:6" ht="17.25" customHeight="1">
      <c r="B2274" s="15"/>
      <c r="C2274" s="15"/>
      <c r="D2274" s="15"/>
      <c r="E2274" s="15"/>
      <c r="F2274" s="20"/>
    </row>
    <row r="2275" spans="2:6" ht="17.25" customHeight="1">
      <c r="B2275" s="15"/>
      <c r="C2275" s="15"/>
      <c r="D2275" s="15"/>
      <c r="E2275" s="15"/>
      <c r="F2275" s="20"/>
    </row>
    <row r="2276" spans="2:6" ht="17.25" customHeight="1">
      <c r="B2276" s="15"/>
      <c r="C2276" s="15"/>
      <c r="D2276" s="15"/>
      <c r="E2276" s="15"/>
      <c r="F2276" s="20"/>
    </row>
    <row r="2277" spans="2:6" ht="17.25" customHeight="1">
      <c r="B2277" s="15"/>
      <c r="C2277" s="15"/>
      <c r="D2277" s="15"/>
      <c r="E2277" s="15"/>
      <c r="F2277" s="20"/>
    </row>
    <row r="2278" spans="2:6" ht="17.25" customHeight="1">
      <c r="B2278" s="15"/>
      <c r="C2278" s="15"/>
      <c r="D2278" s="15"/>
      <c r="E2278" s="15"/>
      <c r="F2278" s="20"/>
    </row>
    <row r="2279" spans="2:6" ht="17.25" customHeight="1">
      <c r="B2279" s="15"/>
      <c r="C2279" s="15"/>
      <c r="D2279" s="15"/>
      <c r="E2279" s="15"/>
      <c r="F2279" s="20"/>
    </row>
    <row r="2280" spans="2:6" ht="17.25" customHeight="1">
      <c r="B2280" s="15"/>
      <c r="C2280" s="15"/>
      <c r="D2280" s="15"/>
      <c r="E2280" s="15"/>
      <c r="F2280" s="20"/>
    </row>
    <row r="2281" spans="2:6" ht="17.25" customHeight="1">
      <c r="B2281" s="15"/>
      <c r="C2281" s="15"/>
      <c r="D2281" s="15"/>
      <c r="E2281" s="15"/>
      <c r="F2281" s="20"/>
    </row>
    <row r="2282" spans="2:6" ht="17.25" customHeight="1">
      <c r="B2282" s="15"/>
      <c r="C2282" s="15"/>
      <c r="D2282" s="15"/>
      <c r="E2282" s="15"/>
      <c r="F2282" s="20"/>
    </row>
    <row r="2283" spans="2:6" ht="17.25" customHeight="1">
      <c r="B2283" s="15"/>
      <c r="C2283" s="15"/>
      <c r="D2283" s="15"/>
      <c r="E2283" s="15"/>
      <c r="F2283" s="20"/>
    </row>
    <row r="2284" spans="2:6" ht="17.25" customHeight="1">
      <c r="B2284" s="15"/>
      <c r="C2284" s="15"/>
      <c r="D2284" s="15"/>
      <c r="E2284" s="15"/>
      <c r="F2284" s="20"/>
    </row>
    <row r="2285" spans="2:6" ht="17.25" customHeight="1">
      <c r="B2285" s="15"/>
      <c r="C2285" s="15"/>
      <c r="D2285" s="15"/>
      <c r="E2285" s="15"/>
      <c r="F2285" s="20"/>
    </row>
    <row r="2286" spans="2:6" ht="17.25" customHeight="1">
      <c r="B2286" s="15"/>
      <c r="C2286" s="15"/>
      <c r="D2286" s="15"/>
      <c r="E2286" s="15"/>
      <c r="F2286" s="20"/>
    </row>
    <row r="2287" spans="2:6" ht="17.25" customHeight="1">
      <c r="B2287" s="15"/>
      <c r="C2287" s="15"/>
      <c r="D2287" s="15"/>
      <c r="E2287" s="15"/>
      <c r="F2287" s="20"/>
    </row>
    <row r="2288" spans="2:6" ht="17.25" customHeight="1">
      <c r="B2288" s="15"/>
      <c r="C2288" s="15"/>
      <c r="D2288" s="15"/>
      <c r="E2288" s="15"/>
      <c r="F2288" s="20"/>
    </row>
    <row r="2289" spans="2:6" ht="17.25" customHeight="1">
      <c r="B2289" s="15"/>
      <c r="C2289" s="15"/>
      <c r="D2289" s="15"/>
      <c r="E2289" s="15"/>
      <c r="F2289" s="20"/>
    </row>
    <row r="2290" spans="2:6" ht="17.25" customHeight="1">
      <c r="B2290" s="15"/>
      <c r="C2290" s="15"/>
      <c r="D2290" s="15"/>
      <c r="E2290" s="15"/>
      <c r="F2290" s="20"/>
    </row>
    <row r="2291" spans="2:6" ht="17.25" customHeight="1">
      <c r="B2291" s="15"/>
      <c r="C2291" s="15"/>
      <c r="D2291" s="15"/>
      <c r="E2291" s="15"/>
      <c r="F2291" s="20"/>
    </row>
    <row r="2292" spans="2:6" ht="17.25" customHeight="1">
      <c r="B2292" s="15"/>
      <c r="C2292" s="15"/>
      <c r="D2292" s="15"/>
      <c r="E2292" s="15"/>
      <c r="F2292" s="20"/>
    </row>
    <row r="2293" spans="2:6" ht="17.25" customHeight="1">
      <c r="B2293" s="15"/>
      <c r="C2293" s="15"/>
      <c r="D2293" s="15"/>
      <c r="E2293" s="15"/>
      <c r="F2293" s="20"/>
    </row>
    <row r="2294" spans="2:6" ht="17.25" customHeight="1">
      <c r="B2294" s="15"/>
      <c r="C2294" s="15"/>
      <c r="D2294" s="15"/>
      <c r="E2294" s="15"/>
      <c r="F2294" s="20"/>
    </row>
    <row r="2295" spans="2:6" ht="17.25" customHeight="1">
      <c r="B2295" s="15"/>
      <c r="C2295" s="15"/>
      <c r="D2295" s="15"/>
      <c r="E2295" s="15"/>
      <c r="F2295" s="20"/>
    </row>
    <row r="2296" spans="2:6" ht="17.25" customHeight="1">
      <c r="B2296" s="15"/>
      <c r="C2296" s="15"/>
      <c r="D2296" s="15"/>
      <c r="E2296" s="15"/>
      <c r="F2296" s="20"/>
    </row>
    <row r="2297" spans="2:6" ht="17.25" customHeight="1">
      <c r="B2297" s="15"/>
      <c r="C2297" s="15"/>
      <c r="D2297" s="15"/>
      <c r="E2297" s="15"/>
      <c r="F2297" s="20"/>
    </row>
    <row r="2298" spans="2:6" ht="17.25" customHeight="1">
      <c r="B2298" s="15"/>
      <c r="C2298" s="15"/>
      <c r="D2298" s="15"/>
      <c r="E2298" s="15"/>
      <c r="F2298" s="20"/>
    </row>
    <row r="2299" spans="2:6" ht="17.25" customHeight="1">
      <c r="B2299" s="15"/>
      <c r="C2299" s="15"/>
      <c r="D2299" s="15"/>
      <c r="E2299" s="15"/>
      <c r="F2299" s="20"/>
    </row>
    <row r="2300" spans="2:6" ht="17.25" customHeight="1">
      <c r="B2300" s="15"/>
      <c r="C2300" s="15"/>
      <c r="D2300" s="15"/>
      <c r="E2300" s="15"/>
      <c r="F2300" s="20"/>
    </row>
    <row r="2301" spans="2:6" ht="17.25" customHeight="1">
      <c r="B2301" s="15"/>
      <c r="C2301" s="15"/>
      <c r="D2301" s="15"/>
      <c r="E2301" s="15"/>
      <c r="F2301" s="20"/>
    </row>
    <row r="2302" spans="2:6" ht="17.25" customHeight="1">
      <c r="B2302" s="15"/>
      <c r="C2302" s="15"/>
      <c r="D2302" s="15"/>
      <c r="E2302" s="15"/>
      <c r="F2302" s="20"/>
    </row>
    <row r="2303" spans="2:6" ht="17.25" customHeight="1">
      <c r="B2303" s="15"/>
      <c r="C2303" s="15"/>
      <c r="D2303" s="15"/>
      <c r="E2303" s="15"/>
      <c r="F2303" s="20"/>
    </row>
    <row r="2304" spans="2:6" ht="17.25" customHeight="1">
      <c r="B2304" s="15"/>
      <c r="C2304" s="15"/>
      <c r="D2304" s="15"/>
      <c r="E2304" s="15"/>
      <c r="F2304" s="20"/>
    </row>
    <row r="2305" spans="2:6" ht="17.25" customHeight="1">
      <c r="B2305" s="15"/>
      <c r="C2305" s="15"/>
      <c r="D2305" s="15"/>
      <c r="E2305" s="15"/>
      <c r="F2305" s="20"/>
    </row>
    <row r="2306" spans="2:6" ht="17.25" customHeight="1">
      <c r="B2306" s="15"/>
      <c r="C2306" s="15"/>
      <c r="D2306" s="15"/>
      <c r="E2306" s="15"/>
      <c r="F2306" s="20"/>
    </row>
    <row r="2307" spans="2:6" ht="17.25" customHeight="1">
      <c r="B2307" s="15"/>
      <c r="C2307" s="15"/>
      <c r="D2307" s="15"/>
      <c r="E2307" s="15"/>
      <c r="F2307" s="20"/>
    </row>
    <row r="2308" spans="2:6" ht="17.25" customHeight="1">
      <c r="B2308" s="15"/>
      <c r="C2308" s="15"/>
      <c r="D2308" s="15"/>
      <c r="E2308" s="15"/>
      <c r="F2308" s="20"/>
    </row>
    <row r="2309" spans="2:6" ht="17.25" customHeight="1">
      <c r="B2309" s="15"/>
      <c r="C2309" s="15"/>
      <c r="D2309" s="15"/>
      <c r="E2309" s="15"/>
      <c r="F2309" s="20"/>
    </row>
    <row r="2310" spans="2:6" ht="17.25" customHeight="1">
      <c r="B2310" s="15"/>
      <c r="C2310" s="15"/>
      <c r="D2310" s="15"/>
      <c r="E2310" s="15"/>
      <c r="F2310" s="20"/>
    </row>
    <row r="2311" spans="2:6" ht="17.25" customHeight="1">
      <c r="B2311" s="15"/>
      <c r="C2311" s="15"/>
      <c r="D2311" s="15"/>
      <c r="E2311" s="15"/>
      <c r="F2311" s="20"/>
    </row>
    <row r="2312" spans="2:6" ht="17.25" customHeight="1">
      <c r="B2312" s="15"/>
      <c r="C2312" s="15"/>
      <c r="D2312" s="15"/>
      <c r="E2312" s="15"/>
      <c r="F2312" s="20"/>
    </row>
    <row r="2313" spans="2:6" ht="17.25" customHeight="1">
      <c r="B2313" s="15"/>
      <c r="C2313" s="15"/>
      <c r="D2313" s="15"/>
      <c r="E2313" s="15"/>
      <c r="F2313" s="20"/>
    </row>
    <row r="2314" spans="2:6" ht="17.25" customHeight="1">
      <c r="B2314" s="15"/>
      <c r="C2314" s="15"/>
      <c r="D2314" s="15"/>
      <c r="E2314" s="15"/>
      <c r="F2314" s="20"/>
    </row>
    <row r="2315" spans="2:6" ht="17.25" customHeight="1">
      <c r="B2315" s="15"/>
      <c r="C2315" s="15"/>
      <c r="D2315" s="15"/>
      <c r="E2315" s="15"/>
      <c r="F2315" s="20"/>
    </row>
    <row r="2316" spans="2:6" ht="17.25" customHeight="1">
      <c r="B2316" s="15"/>
      <c r="C2316" s="15"/>
      <c r="D2316" s="15"/>
      <c r="E2316" s="15"/>
      <c r="F2316" s="20"/>
    </row>
    <row r="2317" spans="2:6" ht="17.25" customHeight="1">
      <c r="B2317" s="15"/>
      <c r="C2317" s="15"/>
      <c r="D2317" s="15"/>
      <c r="E2317" s="15"/>
      <c r="F2317" s="20"/>
    </row>
    <row r="2318" spans="2:6" ht="17.25" customHeight="1">
      <c r="B2318" s="15"/>
      <c r="C2318" s="15"/>
      <c r="D2318" s="15"/>
      <c r="E2318" s="15"/>
      <c r="F2318" s="20"/>
    </row>
    <row r="2319" spans="2:6" ht="17.25" customHeight="1">
      <c r="B2319" s="15"/>
      <c r="C2319" s="15"/>
      <c r="D2319" s="15"/>
      <c r="E2319" s="15"/>
      <c r="F2319" s="20"/>
    </row>
    <row r="2320" spans="2:6" ht="17.25" customHeight="1">
      <c r="B2320" s="15"/>
      <c r="C2320" s="15"/>
      <c r="D2320" s="15"/>
      <c r="E2320" s="15"/>
      <c r="F2320" s="20"/>
    </row>
    <row r="2321" spans="2:6" ht="17.25" customHeight="1">
      <c r="B2321" s="15"/>
      <c r="C2321" s="15"/>
      <c r="D2321" s="15"/>
      <c r="E2321" s="15"/>
      <c r="F2321" s="20"/>
    </row>
    <row r="2322" spans="2:6" ht="17.25" customHeight="1">
      <c r="B2322" s="15"/>
      <c r="C2322" s="15"/>
      <c r="D2322" s="15"/>
      <c r="E2322" s="15"/>
      <c r="F2322" s="20"/>
    </row>
    <row r="2323" spans="2:6" ht="17.25" customHeight="1">
      <c r="B2323" s="15"/>
      <c r="C2323" s="15"/>
      <c r="D2323" s="15"/>
      <c r="E2323" s="15"/>
      <c r="F2323" s="20"/>
    </row>
    <row r="2324" spans="2:6" ht="17.25" customHeight="1">
      <c r="B2324" s="15"/>
      <c r="C2324" s="15"/>
      <c r="D2324" s="15"/>
      <c r="E2324" s="15"/>
      <c r="F2324" s="20"/>
    </row>
    <row r="2325" spans="2:6" ht="17.25" customHeight="1">
      <c r="B2325" s="15"/>
      <c r="C2325" s="15"/>
      <c r="D2325" s="15"/>
      <c r="E2325" s="15"/>
      <c r="F2325" s="20"/>
    </row>
    <row r="2326" spans="2:6" ht="17.25" customHeight="1">
      <c r="B2326" s="15"/>
      <c r="C2326" s="15"/>
      <c r="D2326" s="15"/>
      <c r="E2326" s="15"/>
      <c r="F2326" s="20"/>
    </row>
    <row r="2327" spans="2:6" ht="17.25" customHeight="1">
      <c r="B2327" s="15"/>
      <c r="C2327" s="15"/>
      <c r="D2327" s="15"/>
      <c r="E2327" s="15"/>
      <c r="F2327" s="20"/>
    </row>
    <row r="2328" spans="2:6" ht="17.25" customHeight="1">
      <c r="B2328" s="15"/>
      <c r="C2328" s="15"/>
      <c r="D2328" s="15"/>
      <c r="E2328" s="15"/>
      <c r="F2328" s="20"/>
    </row>
    <row r="2329" spans="2:6" ht="17.25" customHeight="1">
      <c r="B2329" s="15"/>
      <c r="C2329" s="15"/>
      <c r="D2329" s="15"/>
      <c r="E2329" s="15"/>
      <c r="F2329" s="20"/>
    </row>
    <row r="2330" spans="2:6" ht="17.25" customHeight="1">
      <c r="B2330" s="15"/>
      <c r="C2330" s="15"/>
      <c r="D2330" s="15"/>
      <c r="E2330" s="15"/>
      <c r="F2330" s="20"/>
    </row>
    <row r="2331" spans="2:6" ht="17.25" customHeight="1">
      <c r="B2331" s="15"/>
      <c r="C2331" s="15"/>
      <c r="D2331" s="15"/>
      <c r="E2331" s="15"/>
      <c r="F2331" s="20"/>
    </row>
    <row r="2332" spans="2:6" ht="17.25" customHeight="1">
      <c r="B2332" s="15"/>
      <c r="C2332" s="15"/>
      <c r="D2332" s="15"/>
      <c r="E2332" s="15"/>
      <c r="F2332" s="20"/>
    </row>
    <row r="2333" spans="2:6" ht="17.25" customHeight="1">
      <c r="B2333" s="15"/>
      <c r="C2333" s="15"/>
      <c r="D2333" s="15"/>
      <c r="E2333" s="15"/>
      <c r="F2333" s="20"/>
    </row>
    <row r="2334" spans="2:6" ht="17.25" customHeight="1">
      <c r="B2334" s="15"/>
      <c r="C2334" s="15"/>
      <c r="D2334" s="15"/>
      <c r="E2334" s="15"/>
      <c r="F2334" s="20"/>
    </row>
    <row r="2335" spans="2:6" ht="17.25" customHeight="1">
      <c r="B2335" s="15"/>
      <c r="C2335" s="15"/>
      <c r="D2335" s="15"/>
      <c r="E2335" s="15"/>
      <c r="F2335" s="20"/>
    </row>
    <row r="2336" spans="2:6" ht="17.25" customHeight="1">
      <c r="B2336" s="15"/>
      <c r="C2336" s="15"/>
      <c r="D2336" s="15"/>
      <c r="E2336" s="15"/>
      <c r="F2336" s="20"/>
    </row>
    <row r="2337" spans="2:6" ht="17.25" customHeight="1">
      <c r="B2337" s="15"/>
      <c r="C2337" s="15"/>
      <c r="D2337" s="15"/>
      <c r="E2337" s="15"/>
      <c r="F2337" s="20"/>
    </row>
    <row r="2338" spans="2:6" ht="17.25" customHeight="1">
      <c r="B2338" s="15"/>
      <c r="C2338" s="15"/>
      <c r="D2338" s="15"/>
      <c r="E2338" s="15"/>
      <c r="F2338" s="20"/>
    </row>
    <row r="2339" spans="2:6" ht="17.25" customHeight="1">
      <c r="B2339" s="15"/>
      <c r="C2339" s="15"/>
      <c r="D2339" s="15"/>
      <c r="E2339" s="15"/>
      <c r="F2339" s="20"/>
    </row>
    <row r="2340" spans="2:6" ht="17.25" customHeight="1">
      <c r="B2340" s="15"/>
      <c r="C2340" s="15"/>
      <c r="D2340" s="15"/>
      <c r="E2340" s="15"/>
      <c r="F2340" s="20"/>
    </row>
    <row r="2341" spans="2:6" ht="17.25" customHeight="1">
      <c r="B2341" s="15"/>
      <c r="C2341" s="15"/>
      <c r="D2341" s="15"/>
      <c r="E2341" s="15"/>
      <c r="F2341" s="20"/>
    </row>
    <row r="2342" spans="2:6" ht="17.25" customHeight="1">
      <c r="B2342" s="15"/>
      <c r="C2342" s="15"/>
      <c r="D2342" s="15"/>
      <c r="E2342" s="15"/>
      <c r="F2342" s="20"/>
    </row>
    <row r="2343" spans="2:6" ht="17.25" customHeight="1">
      <c r="B2343" s="15"/>
      <c r="C2343" s="15"/>
      <c r="D2343" s="15"/>
      <c r="E2343" s="15"/>
      <c r="F2343" s="20"/>
    </row>
    <row r="2344" spans="2:6" ht="17.25" customHeight="1">
      <c r="B2344" s="15"/>
      <c r="C2344" s="15"/>
      <c r="D2344" s="15"/>
      <c r="E2344" s="15"/>
      <c r="F2344" s="20"/>
    </row>
    <row r="2345" spans="2:6" ht="17.25" customHeight="1">
      <c r="B2345" s="15"/>
      <c r="C2345" s="15"/>
      <c r="D2345" s="15"/>
      <c r="E2345" s="15"/>
      <c r="F2345" s="20"/>
    </row>
    <row r="2346" spans="2:6" ht="17.25" customHeight="1">
      <c r="B2346" s="15"/>
      <c r="C2346" s="15"/>
      <c r="D2346" s="15"/>
      <c r="E2346" s="15"/>
      <c r="F2346" s="20"/>
    </row>
    <row r="2347" spans="2:6" ht="17.25" customHeight="1">
      <c r="B2347" s="15"/>
      <c r="C2347" s="15"/>
      <c r="D2347" s="15"/>
      <c r="E2347" s="15"/>
      <c r="F2347" s="20"/>
    </row>
    <row r="2348" spans="2:6" ht="17.25" customHeight="1">
      <c r="B2348" s="15"/>
      <c r="C2348" s="15"/>
      <c r="D2348" s="15"/>
      <c r="E2348" s="15"/>
      <c r="F2348" s="20"/>
    </row>
    <row r="2349" spans="2:6" ht="17.25" customHeight="1">
      <c r="B2349" s="15"/>
      <c r="C2349" s="15"/>
      <c r="D2349" s="15"/>
      <c r="E2349" s="15"/>
      <c r="F2349" s="20"/>
    </row>
    <row r="2350" spans="2:6" ht="17.25" customHeight="1">
      <c r="B2350" s="15"/>
      <c r="C2350" s="15"/>
      <c r="D2350" s="15"/>
      <c r="E2350" s="15"/>
      <c r="F2350" s="20"/>
    </row>
    <row r="2351" spans="2:6" ht="17.25" customHeight="1">
      <c r="B2351" s="15"/>
      <c r="C2351" s="15"/>
      <c r="D2351" s="15"/>
      <c r="E2351" s="15"/>
      <c r="F2351" s="20"/>
    </row>
    <row r="2352" spans="2:6" ht="17.25" customHeight="1">
      <c r="B2352" s="15"/>
      <c r="C2352" s="15"/>
      <c r="D2352" s="15"/>
      <c r="E2352" s="15"/>
      <c r="F2352" s="20"/>
    </row>
    <row r="2353" spans="2:6" ht="17.25" customHeight="1">
      <c r="B2353" s="15"/>
      <c r="C2353" s="15"/>
      <c r="D2353" s="15"/>
      <c r="E2353" s="15"/>
      <c r="F2353" s="20"/>
    </row>
    <row r="2354" spans="2:6" ht="17.25" customHeight="1">
      <c r="B2354" s="15"/>
      <c r="C2354" s="15"/>
      <c r="D2354" s="15"/>
      <c r="E2354" s="15"/>
      <c r="F2354" s="20"/>
    </row>
    <row r="2355" spans="2:6" ht="17.25" customHeight="1">
      <c r="B2355" s="15"/>
      <c r="C2355" s="15"/>
      <c r="D2355" s="15"/>
      <c r="E2355" s="15"/>
      <c r="F2355" s="20"/>
    </row>
    <row r="2356" spans="2:6" ht="17.25" customHeight="1">
      <c r="B2356" s="15"/>
      <c r="C2356" s="15"/>
      <c r="D2356" s="15"/>
      <c r="E2356" s="15"/>
      <c r="F2356" s="20"/>
    </row>
    <row r="2357" spans="2:6" ht="17.25" customHeight="1">
      <c r="B2357" s="15"/>
      <c r="C2357" s="15"/>
      <c r="D2357" s="15"/>
      <c r="E2357" s="15"/>
      <c r="F2357" s="20"/>
    </row>
    <row r="2358" spans="2:6" ht="17.25" customHeight="1">
      <c r="B2358" s="15"/>
      <c r="C2358" s="15"/>
      <c r="D2358" s="15"/>
      <c r="E2358" s="15"/>
      <c r="F2358" s="20"/>
    </row>
    <row r="2359" spans="2:6" ht="17.25" customHeight="1">
      <c r="B2359" s="15"/>
      <c r="C2359" s="15"/>
      <c r="D2359" s="15"/>
      <c r="E2359" s="15"/>
      <c r="F2359" s="20"/>
    </row>
    <row r="2360" spans="2:6" ht="17.25" customHeight="1">
      <c r="B2360" s="15"/>
      <c r="C2360" s="15"/>
      <c r="D2360" s="15"/>
      <c r="E2360" s="15"/>
      <c r="F2360" s="20"/>
    </row>
    <row r="2361" spans="2:6" ht="17.25" customHeight="1">
      <c r="B2361" s="15"/>
      <c r="C2361" s="15"/>
      <c r="D2361" s="15"/>
      <c r="E2361" s="15"/>
      <c r="F2361" s="20"/>
    </row>
    <row r="2362" spans="2:6" ht="17.25" customHeight="1">
      <c r="B2362" s="15"/>
      <c r="C2362" s="15"/>
      <c r="D2362" s="15"/>
      <c r="E2362" s="15"/>
      <c r="F2362" s="20"/>
    </row>
    <row r="2363" spans="2:6" ht="17.25" customHeight="1">
      <c r="B2363" s="15"/>
      <c r="C2363" s="15"/>
      <c r="D2363" s="15"/>
      <c r="E2363" s="15"/>
      <c r="F2363" s="20"/>
    </row>
    <row r="2364" spans="2:6" ht="17.25" customHeight="1">
      <c r="B2364" s="15"/>
      <c r="C2364" s="15"/>
      <c r="D2364" s="15"/>
      <c r="E2364" s="15"/>
      <c r="F2364" s="20"/>
    </row>
    <row r="2365" spans="2:6" ht="17.25" customHeight="1">
      <c r="B2365" s="15"/>
      <c r="C2365" s="15"/>
      <c r="D2365" s="15"/>
      <c r="E2365" s="15"/>
      <c r="F2365" s="20"/>
    </row>
    <row r="2366" spans="2:6" ht="17.25" customHeight="1">
      <c r="B2366" s="15"/>
      <c r="C2366" s="15"/>
      <c r="D2366" s="15"/>
      <c r="E2366" s="15"/>
      <c r="F2366" s="20"/>
    </row>
    <row r="2367" spans="2:6" ht="17.25" customHeight="1">
      <c r="B2367" s="15"/>
      <c r="C2367" s="15"/>
      <c r="D2367" s="15"/>
      <c r="E2367" s="15"/>
      <c r="F2367" s="20"/>
    </row>
    <row r="2368" spans="2:6" ht="17.25" customHeight="1">
      <c r="B2368" s="15"/>
      <c r="C2368" s="15"/>
      <c r="D2368" s="15"/>
      <c r="E2368" s="15"/>
      <c r="F2368" s="20"/>
    </row>
    <row r="2369" spans="2:6" ht="17.25" customHeight="1">
      <c r="B2369" s="15"/>
      <c r="C2369" s="15"/>
      <c r="D2369" s="15"/>
      <c r="E2369" s="15"/>
      <c r="F2369" s="20"/>
    </row>
    <row r="2370" spans="2:6" ht="17.25" customHeight="1">
      <c r="B2370" s="15"/>
      <c r="C2370" s="15"/>
      <c r="D2370" s="15"/>
      <c r="E2370" s="15"/>
      <c r="F2370" s="20"/>
    </row>
    <row r="2371" spans="2:6" ht="17.25" customHeight="1">
      <c r="B2371" s="15"/>
      <c r="C2371" s="15"/>
      <c r="D2371" s="15"/>
      <c r="E2371" s="15"/>
      <c r="F2371" s="20"/>
    </row>
    <row r="2372" spans="2:6" ht="17.25" customHeight="1">
      <c r="B2372" s="15"/>
      <c r="C2372" s="15"/>
      <c r="D2372" s="15"/>
      <c r="E2372" s="15"/>
      <c r="F2372" s="20"/>
    </row>
    <row r="2373" spans="2:6" ht="17.25" customHeight="1">
      <c r="B2373" s="15"/>
      <c r="C2373" s="15"/>
      <c r="D2373" s="15"/>
      <c r="E2373" s="15"/>
      <c r="F2373" s="20"/>
    </row>
    <row r="2374" spans="2:6" ht="17.25" customHeight="1">
      <c r="B2374" s="15"/>
      <c r="C2374" s="15"/>
      <c r="D2374" s="15"/>
      <c r="E2374" s="15"/>
      <c r="F2374" s="20"/>
    </row>
    <row r="2375" spans="2:6" ht="17.25" customHeight="1">
      <c r="B2375" s="15"/>
      <c r="C2375" s="15"/>
      <c r="D2375" s="15"/>
      <c r="E2375" s="15"/>
      <c r="F2375" s="20"/>
    </row>
    <row r="2376" spans="2:6" ht="17.25" customHeight="1">
      <c r="B2376" s="15"/>
      <c r="C2376" s="15"/>
      <c r="D2376" s="15"/>
      <c r="E2376" s="15"/>
      <c r="F2376" s="20"/>
    </row>
    <row r="2377" spans="2:6" ht="17.25" customHeight="1">
      <c r="B2377" s="15"/>
      <c r="C2377" s="15"/>
      <c r="D2377" s="15"/>
      <c r="E2377" s="15"/>
      <c r="F2377" s="20"/>
    </row>
    <row r="2378" spans="2:6" ht="17.25" customHeight="1">
      <c r="B2378" s="15"/>
      <c r="C2378" s="15"/>
      <c r="D2378" s="15"/>
      <c r="E2378" s="15"/>
      <c r="F2378" s="20"/>
    </row>
    <row r="2379" spans="2:6" ht="17.25" customHeight="1">
      <c r="B2379" s="15"/>
      <c r="C2379" s="15"/>
      <c r="D2379" s="15"/>
      <c r="E2379" s="15"/>
      <c r="F2379" s="20"/>
    </row>
    <row r="2380" spans="2:6" ht="17.25" customHeight="1">
      <c r="B2380" s="15"/>
      <c r="C2380" s="15"/>
      <c r="D2380" s="15"/>
      <c r="E2380" s="15"/>
      <c r="F2380" s="20"/>
    </row>
    <row r="2381" spans="2:6" ht="17.25" customHeight="1">
      <c r="B2381" s="15"/>
      <c r="C2381" s="15"/>
      <c r="D2381" s="15"/>
      <c r="E2381" s="15"/>
      <c r="F2381" s="20"/>
    </row>
    <row r="2382" spans="2:6" ht="17.25" customHeight="1">
      <c r="B2382" s="15"/>
      <c r="C2382" s="15"/>
      <c r="D2382" s="15"/>
      <c r="E2382" s="15"/>
      <c r="F2382" s="20"/>
    </row>
    <row r="2383" spans="2:6" ht="17.25" customHeight="1">
      <c r="B2383" s="15"/>
      <c r="C2383" s="15"/>
      <c r="D2383" s="15"/>
      <c r="E2383" s="15"/>
      <c r="F2383" s="20"/>
    </row>
    <row r="2384" spans="2:6" ht="17.25" customHeight="1">
      <c r="B2384" s="15"/>
      <c r="C2384" s="15"/>
      <c r="D2384" s="15"/>
      <c r="E2384" s="15"/>
      <c r="F2384" s="20"/>
    </row>
    <row r="2385" spans="2:6" ht="17.25" customHeight="1">
      <c r="B2385" s="15"/>
      <c r="C2385" s="15"/>
      <c r="D2385" s="15"/>
      <c r="E2385" s="15"/>
      <c r="F2385" s="20"/>
    </row>
    <row r="2386" spans="2:6" ht="17.25" customHeight="1">
      <c r="B2386" s="15"/>
      <c r="C2386" s="15"/>
      <c r="D2386" s="15"/>
      <c r="E2386" s="15"/>
      <c r="F2386" s="20"/>
    </row>
    <row r="2387" spans="2:6" ht="17.25" customHeight="1">
      <c r="B2387" s="15"/>
      <c r="C2387" s="15"/>
      <c r="D2387" s="15"/>
      <c r="E2387" s="15"/>
      <c r="F2387" s="20"/>
    </row>
    <row r="2388" spans="2:6" ht="17.25" customHeight="1">
      <c r="B2388" s="15"/>
      <c r="C2388" s="15"/>
      <c r="D2388" s="15"/>
      <c r="E2388" s="15"/>
      <c r="F2388" s="20"/>
    </row>
    <row r="2389" spans="2:6" ht="17.25" customHeight="1">
      <c r="B2389" s="15"/>
      <c r="C2389" s="15"/>
      <c r="D2389" s="15"/>
      <c r="E2389" s="15"/>
      <c r="F2389" s="20"/>
    </row>
    <row r="2390" spans="2:6" ht="17.25" customHeight="1">
      <c r="B2390" s="15"/>
      <c r="C2390" s="15"/>
      <c r="D2390" s="15"/>
      <c r="E2390" s="15"/>
      <c r="F2390" s="20"/>
    </row>
    <row r="2391" spans="2:6" ht="17.25" customHeight="1">
      <c r="B2391" s="15"/>
      <c r="C2391" s="15"/>
      <c r="D2391" s="15"/>
      <c r="E2391" s="15"/>
      <c r="F2391" s="20"/>
    </row>
    <row r="2392" spans="2:6" ht="17.25" customHeight="1">
      <c r="B2392" s="15"/>
      <c r="C2392" s="15"/>
      <c r="D2392" s="15"/>
      <c r="E2392" s="15"/>
      <c r="F2392" s="20"/>
    </row>
    <row r="2393" spans="2:6" ht="17.25" customHeight="1">
      <c r="B2393" s="15"/>
      <c r="C2393" s="15"/>
      <c r="D2393" s="15"/>
      <c r="E2393" s="15"/>
      <c r="F2393" s="20"/>
    </row>
    <row r="2394" spans="2:6" ht="17.25" customHeight="1">
      <c r="B2394" s="15"/>
      <c r="C2394" s="15"/>
      <c r="D2394" s="15"/>
      <c r="E2394" s="15"/>
      <c r="F2394" s="20"/>
    </row>
    <row r="2395" spans="2:6" ht="17.25" customHeight="1">
      <c r="B2395" s="15"/>
      <c r="C2395" s="15"/>
      <c r="D2395" s="15"/>
      <c r="E2395" s="15"/>
      <c r="F2395" s="20"/>
    </row>
    <row r="2396" spans="2:6" ht="17.25" customHeight="1">
      <c r="B2396" s="15"/>
      <c r="C2396" s="15"/>
      <c r="D2396" s="15"/>
      <c r="E2396" s="15"/>
      <c r="F2396" s="20"/>
    </row>
    <row r="2397" spans="2:6" ht="17.25" customHeight="1">
      <c r="B2397" s="15"/>
      <c r="C2397" s="15"/>
      <c r="D2397" s="15"/>
      <c r="E2397" s="15"/>
      <c r="F2397" s="20"/>
    </row>
    <row r="2398" spans="2:6" ht="17.25" customHeight="1">
      <c r="B2398" s="15"/>
      <c r="C2398" s="15"/>
      <c r="D2398" s="15"/>
      <c r="E2398" s="15"/>
      <c r="F2398" s="20"/>
    </row>
    <row r="2399" spans="2:6" ht="17.25" customHeight="1">
      <c r="B2399" s="15"/>
      <c r="C2399" s="15"/>
      <c r="D2399" s="15"/>
      <c r="E2399" s="15"/>
      <c r="F2399" s="20"/>
    </row>
    <row r="2400" spans="2:6" ht="17.25" customHeight="1">
      <c r="B2400" s="15"/>
      <c r="C2400" s="15"/>
      <c r="D2400" s="15"/>
      <c r="E2400" s="15"/>
      <c r="F2400" s="20"/>
    </row>
    <row r="2401" spans="2:6" ht="17.25" customHeight="1">
      <c r="B2401" s="15"/>
      <c r="C2401" s="15"/>
      <c r="D2401" s="15"/>
      <c r="E2401" s="15"/>
      <c r="F2401" s="20"/>
    </row>
    <row r="2402" spans="2:6" ht="17.25" customHeight="1">
      <c r="B2402" s="15"/>
      <c r="C2402" s="15"/>
      <c r="D2402" s="15"/>
      <c r="E2402" s="15"/>
      <c r="F2402" s="20"/>
    </row>
    <row r="2403" spans="2:6" ht="17.25" customHeight="1">
      <c r="B2403" s="15"/>
      <c r="C2403" s="15"/>
      <c r="D2403" s="15"/>
      <c r="E2403" s="15"/>
      <c r="F2403" s="20"/>
    </row>
    <row r="2404" spans="2:6" ht="17.25" customHeight="1">
      <c r="B2404" s="15"/>
      <c r="C2404" s="15"/>
      <c r="D2404" s="15"/>
      <c r="E2404" s="15"/>
      <c r="F2404" s="20"/>
    </row>
    <row r="2405" spans="2:6" ht="17.25" customHeight="1">
      <c r="B2405" s="15"/>
      <c r="C2405" s="15"/>
      <c r="D2405" s="15"/>
      <c r="E2405" s="15"/>
      <c r="F2405" s="20"/>
    </row>
    <row r="2406" spans="2:6" ht="17.25" customHeight="1">
      <c r="B2406" s="15"/>
      <c r="C2406" s="15"/>
      <c r="D2406" s="15"/>
      <c r="E2406" s="15"/>
      <c r="F2406" s="20"/>
    </row>
    <row r="2407" spans="2:6" ht="17.25" customHeight="1">
      <c r="B2407" s="15"/>
      <c r="C2407" s="15"/>
      <c r="D2407" s="15"/>
      <c r="E2407" s="15"/>
      <c r="F2407" s="20"/>
    </row>
    <row r="2408" spans="2:6" ht="17.25" customHeight="1">
      <c r="B2408" s="15"/>
      <c r="C2408" s="15"/>
      <c r="D2408" s="15"/>
      <c r="E2408" s="15"/>
      <c r="F2408" s="20"/>
    </row>
    <row r="2409" spans="2:6" ht="17.25" customHeight="1">
      <c r="B2409" s="15"/>
      <c r="C2409" s="15"/>
      <c r="D2409" s="15"/>
      <c r="E2409" s="15"/>
      <c r="F2409" s="20"/>
    </row>
    <row r="2410" spans="2:6" ht="17.25" customHeight="1">
      <c r="B2410" s="15"/>
      <c r="C2410" s="15"/>
      <c r="D2410" s="15"/>
      <c r="E2410" s="15"/>
      <c r="F2410" s="20"/>
    </row>
    <row r="2411" spans="2:6" ht="17.25" customHeight="1">
      <c r="B2411" s="15"/>
      <c r="C2411" s="15"/>
      <c r="D2411" s="15"/>
      <c r="E2411" s="15"/>
      <c r="F2411" s="20"/>
    </row>
    <row r="2412" spans="2:6" ht="17.25" customHeight="1">
      <c r="B2412" s="15"/>
      <c r="C2412" s="15"/>
      <c r="D2412" s="15"/>
      <c r="E2412" s="15"/>
      <c r="F2412" s="20"/>
    </row>
    <row r="2413" spans="2:6" ht="17.25" customHeight="1">
      <c r="B2413" s="15"/>
      <c r="C2413" s="15"/>
      <c r="D2413" s="15"/>
      <c r="E2413" s="15"/>
      <c r="F2413" s="20"/>
    </row>
    <row r="2414" spans="2:6" ht="17.25" customHeight="1">
      <c r="B2414" s="15"/>
      <c r="C2414" s="15"/>
      <c r="D2414" s="15"/>
      <c r="E2414" s="15"/>
      <c r="F2414" s="20"/>
    </row>
    <row r="2415" spans="2:6" ht="17.25" customHeight="1">
      <c r="B2415" s="15"/>
      <c r="C2415" s="15"/>
      <c r="D2415" s="15"/>
      <c r="E2415" s="15"/>
      <c r="F2415" s="20"/>
    </row>
    <row r="2416" spans="2:6" ht="17.25" customHeight="1">
      <c r="B2416" s="15"/>
      <c r="C2416" s="15"/>
      <c r="D2416" s="15"/>
      <c r="E2416" s="15"/>
      <c r="F2416" s="20"/>
    </row>
    <row r="2417" spans="2:6" ht="17.25" customHeight="1">
      <c r="B2417" s="15"/>
      <c r="C2417" s="15"/>
      <c r="D2417" s="15"/>
      <c r="E2417" s="15"/>
      <c r="F2417" s="20"/>
    </row>
    <row r="2418" spans="2:6" ht="17.25" customHeight="1">
      <c r="B2418" s="15"/>
      <c r="C2418" s="15"/>
      <c r="D2418" s="15"/>
      <c r="E2418" s="15"/>
      <c r="F2418" s="20"/>
    </row>
    <row r="2419" spans="2:6" ht="17.25" customHeight="1">
      <c r="B2419" s="15"/>
      <c r="C2419" s="15"/>
      <c r="D2419" s="15"/>
      <c r="E2419" s="15"/>
      <c r="F2419" s="20"/>
    </row>
    <row r="2420" spans="2:6" ht="17.25" customHeight="1">
      <c r="B2420" s="15"/>
      <c r="C2420" s="15"/>
      <c r="D2420" s="15"/>
      <c r="E2420" s="15"/>
      <c r="F2420" s="20"/>
    </row>
    <row r="2421" spans="2:6" ht="17.25" customHeight="1">
      <c r="B2421" s="15"/>
      <c r="C2421" s="15"/>
      <c r="D2421" s="15"/>
      <c r="E2421" s="15"/>
      <c r="F2421" s="20"/>
    </row>
    <row r="2422" spans="2:6" ht="17.25" customHeight="1">
      <c r="B2422" s="15"/>
      <c r="C2422" s="15"/>
      <c r="D2422" s="15"/>
      <c r="E2422" s="15"/>
      <c r="F2422" s="20"/>
    </row>
    <row r="2423" spans="2:6" ht="17.25" customHeight="1">
      <c r="B2423" s="15"/>
      <c r="C2423" s="15"/>
      <c r="D2423" s="15"/>
      <c r="E2423" s="15"/>
      <c r="F2423" s="20"/>
    </row>
    <row r="2424" spans="2:6" ht="17.25" customHeight="1">
      <c r="B2424" s="15"/>
      <c r="C2424" s="15"/>
      <c r="D2424" s="15"/>
      <c r="E2424" s="15"/>
      <c r="F2424" s="20"/>
    </row>
    <row r="2425" spans="2:6" ht="17.25" customHeight="1">
      <c r="B2425" s="15"/>
      <c r="C2425" s="15"/>
      <c r="D2425" s="15"/>
      <c r="E2425" s="15"/>
      <c r="F2425" s="20"/>
    </row>
    <row r="2426" spans="2:6" ht="17.25" customHeight="1">
      <c r="B2426" s="15"/>
      <c r="C2426" s="15"/>
      <c r="D2426" s="15"/>
      <c r="E2426" s="15"/>
      <c r="F2426" s="20"/>
    </row>
    <row r="2427" spans="2:6" ht="17.25" customHeight="1">
      <c r="B2427" s="15"/>
      <c r="C2427" s="15"/>
      <c r="D2427" s="15"/>
      <c r="E2427" s="15"/>
      <c r="F2427" s="20"/>
    </row>
    <row r="2428" spans="2:6" ht="17.25" customHeight="1">
      <c r="B2428" s="15"/>
      <c r="C2428" s="15"/>
      <c r="D2428" s="15"/>
      <c r="E2428" s="15"/>
      <c r="F2428" s="20"/>
    </row>
    <row r="2429" spans="2:6" ht="17.25" customHeight="1">
      <c r="B2429" s="15"/>
      <c r="C2429" s="15"/>
      <c r="D2429" s="15"/>
      <c r="E2429" s="15"/>
      <c r="F2429" s="20"/>
    </row>
    <row r="2430" spans="2:6" ht="17.25" customHeight="1">
      <c r="B2430" s="15"/>
      <c r="C2430" s="15"/>
      <c r="D2430" s="15"/>
      <c r="E2430" s="15"/>
      <c r="F2430" s="20"/>
    </row>
    <row r="2431" spans="2:6" ht="17.25" customHeight="1">
      <c r="B2431" s="15"/>
      <c r="C2431" s="15"/>
      <c r="D2431" s="15"/>
      <c r="E2431" s="15"/>
      <c r="F2431" s="20"/>
    </row>
    <row r="2432" spans="2:6" ht="17.25" customHeight="1">
      <c r="B2432" s="15"/>
      <c r="C2432" s="15"/>
      <c r="D2432" s="15"/>
      <c r="E2432" s="15"/>
      <c r="F2432" s="20"/>
    </row>
    <row r="2433" spans="2:6" ht="17.25" customHeight="1">
      <c r="B2433" s="15"/>
      <c r="C2433" s="15"/>
      <c r="D2433" s="15"/>
      <c r="E2433" s="15"/>
      <c r="F2433" s="20"/>
    </row>
    <row r="2434" spans="2:6" ht="17.25" customHeight="1">
      <c r="B2434" s="15"/>
      <c r="C2434" s="15"/>
      <c r="D2434" s="15"/>
      <c r="E2434" s="15"/>
      <c r="F2434" s="20"/>
    </row>
    <row r="2435" spans="2:6" ht="17.25" customHeight="1">
      <c r="B2435" s="15"/>
      <c r="C2435" s="15"/>
      <c r="D2435" s="15"/>
      <c r="E2435" s="15"/>
      <c r="F2435" s="20"/>
    </row>
    <row r="2436" spans="2:6" ht="17.25" customHeight="1">
      <c r="B2436" s="15"/>
      <c r="C2436" s="15"/>
      <c r="D2436" s="15"/>
      <c r="E2436" s="15"/>
      <c r="F2436" s="20"/>
    </row>
    <row r="2437" spans="2:6" ht="17.25" customHeight="1">
      <c r="B2437" s="15"/>
      <c r="C2437" s="15"/>
      <c r="D2437" s="15"/>
      <c r="E2437" s="15"/>
      <c r="F2437" s="20"/>
    </row>
    <row r="2438" spans="2:6" ht="17.25" customHeight="1">
      <c r="B2438" s="15"/>
      <c r="C2438" s="15"/>
      <c r="D2438" s="15"/>
      <c r="E2438" s="15"/>
      <c r="F2438" s="20"/>
    </row>
    <row r="2439" spans="2:6" ht="17.25" customHeight="1">
      <c r="B2439" s="15"/>
      <c r="C2439" s="15"/>
      <c r="D2439" s="15"/>
      <c r="E2439" s="15"/>
      <c r="F2439" s="20"/>
    </row>
    <row r="2440" spans="2:6" ht="17.25" customHeight="1">
      <c r="B2440" s="15"/>
      <c r="C2440" s="15"/>
      <c r="D2440" s="15"/>
      <c r="E2440" s="15"/>
      <c r="F2440" s="20"/>
    </row>
    <row r="2441" spans="2:6" ht="17.25" customHeight="1">
      <c r="B2441" s="15"/>
      <c r="C2441" s="15"/>
      <c r="D2441" s="15"/>
      <c r="E2441" s="15"/>
      <c r="F2441" s="20"/>
    </row>
    <row r="2442" spans="2:6" ht="17.25" customHeight="1">
      <c r="B2442" s="15"/>
      <c r="C2442" s="15"/>
      <c r="D2442" s="15"/>
      <c r="E2442" s="15"/>
      <c r="F2442" s="20"/>
    </row>
    <row r="2443" spans="2:6" ht="17.25" customHeight="1">
      <c r="B2443" s="15"/>
      <c r="C2443" s="15"/>
      <c r="D2443" s="15"/>
      <c r="E2443" s="15"/>
      <c r="F2443" s="20"/>
    </row>
    <row r="2444" spans="2:6" ht="17.25" customHeight="1">
      <c r="B2444" s="15"/>
      <c r="C2444" s="15"/>
      <c r="D2444" s="15"/>
      <c r="E2444" s="15"/>
      <c r="F2444" s="20"/>
    </row>
    <row r="2445" spans="2:6" ht="17.25" customHeight="1">
      <c r="B2445" s="15"/>
      <c r="C2445" s="15"/>
      <c r="D2445" s="15"/>
      <c r="E2445" s="15"/>
      <c r="F2445" s="20"/>
    </row>
    <row r="2446" spans="2:6" ht="17.25" customHeight="1">
      <c r="B2446" s="15"/>
      <c r="C2446" s="15"/>
      <c r="D2446" s="15"/>
      <c r="E2446" s="15"/>
      <c r="F2446" s="20"/>
    </row>
    <row r="2447" spans="2:6" ht="17.25" customHeight="1">
      <c r="B2447" s="15"/>
      <c r="C2447" s="15"/>
      <c r="D2447" s="15"/>
      <c r="E2447" s="15"/>
      <c r="F2447" s="20"/>
    </row>
    <row r="2448" spans="2:6" ht="17.25" customHeight="1">
      <c r="B2448" s="15"/>
      <c r="C2448" s="15"/>
      <c r="D2448" s="15"/>
      <c r="E2448" s="15"/>
      <c r="F2448" s="20"/>
    </row>
    <row r="2449" spans="2:6" ht="17.25" customHeight="1">
      <c r="B2449" s="15"/>
      <c r="C2449" s="15"/>
      <c r="D2449" s="15"/>
      <c r="E2449" s="15"/>
      <c r="F2449" s="20"/>
    </row>
    <row r="2450" spans="2:6" ht="17.25" customHeight="1">
      <c r="B2450" s="15"/>
      <c r="C2450" s="15"/>
      <c r="D2450" s="15"/>
      <c r="E2450" s="15"/>
      <c r="F2450" s="20"/>
    </row>
    <row r="2451" spans="2:6" ht="17.25" customHeight="1">
      <c r="B2451" s="15"/>
      <c r="C2451" s="15"/>
      <c r="D2451" s="15"/>
      <c r="E2451" s="15"/>
      <c r="F2451" s="20"/>
    </row>
    <row r="2452" spans="2:6" ht="17.25" customHeight="1">
      <c r="B2452" s="15"/>
      <c r="C2452" s="15"/>
      <c r="D2452" s="15"/>
      <c r="E2452" s="15"/>
      <c r="F2452" s="20"/>
    </row>
    <row r="2453" spans="2:6" ht="17.25" customHeight="1">
      <c r="B2453" s="15"/>
      <c r="C2453" s="15"/>
      <c r="D2453" s="15"/>
      <c r="E2453" s="15"/>
      <c r="F2453" s="20"/>
    </row>
    <row r="2454" spans="2:6" ht="17.25" customHeight="1">
      <c r="B2454" s="15"/>
      <c r="C2454" s="15"/>
      <c r="D2454" s="15"/>
      <c r="E2454" s="15"/>
      <c r="F2454" s="20"/>
    </row>
    <row r="2455" spans="2:6" ht="17.25" customHeight="1">
      <c r="B2455" s="15"/>
      <c r="C2455" s="15"/>
      <c r="D2455" s="15"/>
      <c r="E2455" s="15"/>
      <c r="F2455" s="20"/>
    </row>
    <row r="2456" spans="2:6" ht="17.25" customHeight="1">
      <c r="B2456" s="15"/>
      <c r="C2456" s="15"/>
      <c r="D2456" s="15"/>
      <c r="E2456" s="15"/>
      <c r="F2456" s="20"/>
    </row>
    <row r="2457" spans="2:6" ht="17.25" customHeight="1">
      <c r="B2457" s="15"/>
      <c r="C2457" s="15"/>
      <c r="D2457" s="15"/>
      <c r="E2457" s="15"/>
      <c r="F2457" s="20"/>
    </row>
    <row r="2458" spans="2:6" ht="17.25" customHeight="1">
      <c r="B2458" s="15"/>
      <c r="C2458" s="15"/>
      <c r="D2458" s="15"/>
      <c r="E2458" s="15"/>
      <c r="F2458" s="20"/>
    </row>
    <row r="2459" spans="2:6" ht="17.25" customHeight="1">
      <c r="B2459" s="15"/>
      <c r="C2459" s="15"/>
      <c r="D2459" s="15"/>
      <c r="E2459" s="15"/>
      <c r="F2459" s="20"/>
    </row>
    <row r="2460" spans="2:6" ht="17.25" customHeight="1">
      <c r="B2460" s="15"/>
      <c r="C2460" s="15"/>
      <c r="D2460" s="15"/>
      <c r="E2460" s="15"/>
      <c r="F2460" s="20"/>
    </row>
    <row r="2461" spans="2:6" ht="17.25" customHeight="1">
      <c r="B2461" s="15"/>
      <c r="C2461" s="15"/>
      <c r="D2461" s="15"/>
      <c r="E2461" s="15"/>
      <c r="F2461" s="20"/>
    </row>
    <row r="2462" spans="2:6" ht="17.25" customHeight="1">
      <c r="B2462" s="15"/>
      <c r="C2462" s="15"/>
      <c r="D2462" s="15"/>
      <c r="E2462" s="15"/>
      <c r="F2462" s="20"/>
    </row>
    <row r="2463" spans="2:6" ht="17.25" customHeight="1">
      <c r="B2463" s="15"/>
      <c r="C2463" s="15"/>
      <c r="D2463" s="15"/>
      <c r="E2463" s="15"/>
      <c r="F2463" s="20"/>
    </row>
    <row r="2464" spans="2:6" ht="17.25" customHeight="1">
      <c r="B2464" s="15"/>
      <c r="C2464" s="15"/>
      <c r="D2464" s="15"/>
      <c r="E2464" s="15"/>
      <c r="F2464" s="20"/>
    </row>
    <row r="2465" spans="2:6" ht="17.25" customHeight="1">
      <c r="B2465" s="15"/>
      <c r="C2465" s="15"/>
      <c r="D2465" s="15"/>
      <c r="E2465" s="15"/>
      <c r="F2465" s="20"/>
    </row>
    <row r="2466" spans="2:6" ht="17.25" customHeight="1">
      <c r="B2466" s="15"/>
      <c r="C2466" s="15"/>
      <c r="D2466" s="15"/>
      <c r="E2466" s="15"/>
      <c r="F2466" s="20"/>
    </row>
    <row r="2467" spans="2:6" ht="17.25" customHeight="1">
      <c r="B2467" s="15"/>
      <c r="C2467" s="15"/>
      <c r="D2467" s="15"/>
      <c r="E2467" s="15"/>
      <c r="F2467" s="20"/>
    </row>
    <row r="2468" spans="2:6" ht="17.25" customHeight="1">
      <c r="B2468" s="15"/>
      <c r="C2468" s="15"/>
      <c r="D2468" s="15"/>
      <c r="E2468" s="15"/>
      <c r="F2468" s="20"/>
    </row>
    <row r="2469" spans="2:6" ht="17.25" customHeight="1">
      <c r="B2469" s="15"/>
      <c r="C2469" s="15"/>
      <c r="D2469" s="15"/>
      <c r="E2469" s="15"/>
      <c r="F2469" s="20"/>
    </row>
    <row r="2470" spans="2:6" ht="17.25" customHeight="1">
      <c r="B2470" s="15"/>
      <c r="C2470" s="15"/>
      <c r="D2470" s="15"/>
      <c r="E2470" s="15"/>
      <c r="F2470" s="20"/>
    </row>
    <row r="2471" spans="2:6" ht="17.25" customHeight="1">
      <c r="B2471" s="15"/>
      <c r="C2471" s="15"/>
      <c r="D2471" s="15"/>
      <c r="E2471" s="15"/>
      <c r="F2471" s="20"/>
    </row>
    <row r="2472" spans="2:6" ht="17.25" customHeight="1">
      <c r="B2472" s="15"/>
      <c r="C2472" s="15"/>
      <c r="D2472" s="15"/>
      <c r="E2472" s="15"/>
      <c r="F2472" s="20"/>
    </row>
    <row r="2473" spans="2:6" ht="17.25" customHeight="1">
      <c r="B2473" s="15"/>
      <c r="C2473" s="15"/>
      <c r="D2473" s="15"/>
      <c r="E2473" s="15"/>
      <c r="F2473" s="20"/>
    </row>
    <row r="2474" spans="2:6" ht="17.25" customHeight="1">
      <c r="B2474" s="15"/>
      <c r="C2474" s="15"/>
      <c r="D2474" s="15"/>
      <c r="E2474" s="15"/>
      <c r="F2474" s="20"/>
    </row>
    <row r="2475" spans="2:6" ht="17.25" customHeight="1">
      <c r="B2475" s="15"/>
      <c r="C2475" s="15"/>
      <c r="D2475" s="15"/>
      <c r="E2475" s="15"/>
      <c r="F2475" s="20"/>
    </row>
    <row r="2476" spans="2:6" ht="17.25" customHeight="1">
      <c r="B2476" s="15"/>
      <c r="C2476" s="15"/>
      <c r="D2476" s="15"/>
      <c r="E2476" s="15"/>
      <c r="F2476" s="20"/>
    </row>
    <row r="2477" spans="2:6" ht="17.25" customHeight="1">
      <c r="B2477" s="15"/>
      <c r="C2477" s="15"/>
      <c r="D2477" s="15"/>
      <c r="E2477" s="15"/>
      <c r="F2477" s="20"/>
    </row>
    <row r="2478" spans="2:6" ht="17.25" customHeight="1">
      <c r="B2478" s="15"/>
      <c r="C2478" s="15"/>
      <c r="D2478" s="15"/>
      <c r="E2478" s="15"/>
      <c r="F2478" s="20"/>
    </row>
    <row r="2479" spans="2:6" ht="17.25" customHeight="1">
      <c r="B2479" s="15"/>
      <c r="C2479" s="15"/>
      <c r="D2479" s="15"/>
      <c r="E2479" s="15"/>
      <c r="F2479" s="20"/>
    </row>
    <row r="2480" spans="2:6" ht="17.25" customHeight="1">
      <c r="B2480" s="15"/>
      <c r="C2480" s="15"/>
      <c r="D2480" s="15"/>
      <c r="E2480" s="15"/>
      <c r="F2480" s="20"/>
    </row>
    <row r="2481" spans="2:6" ht="17.25" customHeight="1">
      <c r="B2481" s="15"/>
      <c r="C2481" s="15"/>
      <c r="D2481" s="15"/>
      <c r="E2481" s="15"/>
      <c r="F2481" s="20"/>
    </row>
    <row r="2482" spans="2:6" ht="17.25" customHeight="1">
      <c r="B2482" s="15"/>
      <c r="C2482" s="15"/>
      <c r="D2482" s="15"/>
      <c r="E2482" s="15"/>
      <c r="F2482" s="20"/>
    </row>
    <row r="2483" spans="2:6" ht="17.25" customHeight="1">
      <c r="B2483" s="15"/>
      <c r="C2483" s="15"/>
      <c r="D2483" s="15"/>
      <c r="E2483" s="15"/>
      <c r="F2483" s="20"/>
    </row>
    <row r="2484" spans="2:6" ht="17.25" customHeight="1">
      <c r="B2484" s="15"/>
      <c r="C2484" s="15"/>
      <c r="D2484" s="15"/>
      <c r="E2484" s="15"/>
      <c r="F2484" s="20"/>
    </row>
    <row r="2485" spans="2:6" ht="17.25" customHeight="1">
      <c r="B2485" s="15"/>
      <c r="C2485" s="15"/>
      <c r="D2485" s="15"/>
      <c r="E2485" s="15"/>
      <c r="F2485" s="20"/>
    </row>
    <row r="2486" spans="2:6" ht="17.25" customHeight="1">
      <c r="B2486" s="15"/>
      <c r="C2486" s="15"/>
      <c r="D2486" s="15"/>
      <c r="E2486" s="15"/>
      <c r="F2486" s="20"/>
    </row>
    <row r="2487" spans="2:6" ht="17.25" customHeight="1">
      <c r="B2487" s="15"/>
      <c r="C2487" s="15"/>
      <c r="D2487" s="15"/>
      <c r="E2487" s="15"/>
      <c r="F2487" s="20"/>
    </row>
    <row r="2488" spans="2:6" ht="17.25" customHeight="1">
      <c r="B2488" s="15"/>
      <c r="C2488" s="15"/>
      <c r="D2488" s="15"/>
      <c r="E2488" s="15"/>
      <c r="F2488" s="20"/>
    </row>
    <row r="2489" spans="2:6" ht="17.25" customHeight="1">
      <c r="B2489" s="15"/>
      <c r="C2489" s="15"/>
      <c r="D2489" s="15"/>
      <c r="E2489" s="15"/>
      <c r="F2489" s="20"/>
    </row>
    <row r="2490" spans="2:6" ht="17.25" customHeight="1">
      <c r="B2490" s="15"/>
      <c r="C2490" s="15"/>
      <c r="D2490" s="15"/>
      <c r="E2490" s="15"/>
      <c r="F2490" s="20"/>
    </row>
    <row r="2491" spans="2:6" ht="17.25" customHeight="1">
      <c r="B2491" s="15"/>
      <c r="C2491" s="15"/>
      <c r="D2491" s="15"/>
      <c r="E2491" s="15"/>
      <c r="F2491" s="20"/>
    </row>
    <row r="2492" spans="2:6" ht="17.25" customHeight="1">
      <c r="B2492" s="15"/>
      <c r="C2492" s="15"/>
      <c r="D2492" s="15"/>
      <c r="E2492" s="15"/>
      <c r="F2492" s="20"/>
    </row>
    <row r="2493" spans="2:6" ht="17.25" customHeight="1">
      <c r="B2493" s="15"/>
      <c r="C2493" s="15"/>
      <c r="D2493" s="15"/>
      <c r="E2493" s="15"/>
      <c r="F2493" s="20"/>
    </row>
    <row r="2494" spans="2:6" ht="17.25" customHeight="1">
      <c r="B2494" s="15"/>
      <c r="C2494" s="15"/>
      <c r="D2494" s="15"/>
      <c r="E2494" s="15"/>
      <c r="F2494" s="20"/>
    </row>
    <row r="2495" spans="2:6" ht="17.25" customHeight="1">
      <c r="B2495" s="15"/>
      <c r="C2495" s="15"/>
      <c r="D2495" s="15"/>
      <c r="E2495" s="15"/>
      <c r="F2495" s="20"/>
    </row>
    <row r="2496" spans="2:6" ht="17.25" customHeight="1">
      <c r="B2496" s="15"/>
      <c r="C2496" s="15"/>
      <c r="D2496" s="15"/>
      <c r="E2496" s="15"/>
      <c r="F2496" s="20"/>
    </row>
    <row r="2497" spans="2:6" ht="17.25" customHeight="1">
      <c r="B2497" s="15"/>
      <c r="C2497" s="15"/>
      <c r="D2497" s="15"/>
      <c r="E2497" s="15"/>
      <c r="F2497" s="20"/>
    </row>
    <row r="2498" spans="2:6" ht="17.25" customHeight="1">
      <c r="B2498" s="15"/>
      <c r="C2498" s="15"/>
      <c r="D2498" s="15"/>
      <c r="E2498" s="15"/>
      <c r="F2498" s="20"/>
    </row>
    <row r="2499" spans="2:6" ht="17.25" customHeight="1">
      <c r="B2499" s="15"/>
      <c r="C2499" s="15"/>
      <c r="D2499" s="15"/>
      <c r="E2499" s="15"/>
      <c r="F2499" s="20"/>
    </row>
    <row r="2500" spans="2:6" ht="17.25" customHeight="1">
      <c r="B2500" s="15"/>
      <c r="C2500" s="15"/>
      <c r="D2500" s="15"/>
      <c r="E2500" s="15"/>
      <c r="F2500" s="20"/>
    </row>
    <row r="2501" spans="2:6" ht="17.25" customHeight="1">
      <c r="B2501" s="15"/>
      <c r="C2501" s="15"/>
      <c r="D2501" s="15"/>
      <c r="E2501" s="15"/>
      <c r="F2501" s="20"/>
    </row>
    <row r="2502" spans="2:6" ht="17.25" customHeight="1">
      <c r="B2502" s="15"/>
      <c r="C2502" s="15"/>
      <c r="D2502" s="15"/>
      <c r="E2502" s="15"/>
      <c r="F2502" s="20"/>
    </row>
    <row r="2503" spans="2:6" ht="17.25" customHeight="1">
      <c r="B2503" s="15"/>
      <c r="C2503" s="15"/>
      <c r="D2503" s="15"/>
      <c r="E2503" s="15"/>
      <c r="F2503" s="20"/>
    </row>
    <row r="2504" spans="2:6" ht="17.25" customHeight="1">
      <c r="B2504" s="15"/>
      <c r="C2504" s="15"/>
      <c r="D2504" s="15"/>
      <c r="E2504" s="15"/>
      <c r="F2504" s="20"/>
    </row>
    <row r="2505" spans="2:6" ht="17.25" customHeight="1">
      <c r="B2505" s="15"/>
      <c r="C2505" s="15"/>
      <c r="D2505" s="15"/>
      <c r="E2505" s="15"/>
      <c r="F2505" s="20"/>
    </row>
    <row r="2506" spans="2:6" ht="17.25" customHeight="1">
      <c r="B2506" s="15"/>
      <c r="C2506" s="15"/>
      <c r="D2506" s="15"/>
      <c r="E2506" s="15"/>
      <c r="F2506" s="20"/>
    </row>
    <row r="2507" spans="2:6" ht="17.25" customHeight="1">
      <c r="B2507" s="15"/>
      <c r="C2507" s="15"/>
      <c r="D2507" s="15"/>
      <c r="E2507" s="15"/>
      <c r="F2507" s="20"/>
    </row>
    <row r="2508" spans="2:6" ht="17.25" customHeight="1">
      <c r="B2508" s="15"/>
      <c r="C2508" s="15"/>
      <c r="D2508" s="15"/>
      <c r="E2508" s="15"/>
      <c r="F2508" s="20"/>
    </row>
    <row r="2509" spans="2:6" ht="17.25" customHeight="1">
      <c r="B2509" s="15"/>
      <c r="C2509" s="15"/>
      <c r="D2509" s="15"/>
      <c r="E2509" s="15"/>
      <c r="F2509" s="20"/>
    </row>
    <row r="2510" spans="2:6" ht="17.25" customHeight="1">
      <c r="B2510" s="15"/>
      <c r="C2510" s="15"/>
      <c r="D2510" s="15"/>
      <c r="E2510" s="15"/>
      <c r="F2510" s="20"/>
    </row>
    <row r="2511" spans="2:6" ht="17.25" customHeight="1">
      <c r="B2511" s="15"/>
      <c r="C2511" s="15"/>
      <c r="D2511" s="15"/>
      <c r="E2511" s="15"/>
      <c r="F2511" s="20"/>
    </row>
    <row r="2512" spans="2:6" ht="17.25" customHeight="1">
      <c r="B2512" s="15"/>
      <c r="C2512" s="15"/>
      <c r="D2512" s="15"/>
      <c r="E2512" s="15"/>
      <c r="F2512" s="20"/>
    </row>
    <row r="2513" spans="2:6" ht="17.25" customHeight="1">
      <c r="B2513" s="15"/>
      <c r="C2513" s="15"/>
      <c r="D2513" s="15"/>
      <c r="E2513" s="15"/>
      <c r="F2513" s="20"/>
    </row>
    <row r="2514" spans="2:6" ht="17.25" customHeight="1">
      <c r="B2514" s="15"/>
      <c r="C2514" s="15"/>
      <c r="D2514" s="15"/>
      <c r="E2514" s="15"/>
      <c r="F2514" s="20"/>
    </row>
    <row r="2515" spans="2:6" ht="17.25" customHeight="1">
      <c r="B2515" s="15"/>
      <c r="C2515" s="15"/>
      <c r="D2515" s="15"/>
      <c r="E2515" s="15"/>
      <c r="F2515" s="20"/>
    </row>
    <row r="2516" spans="2:6" ht="17.25" customHeight="1">
      <c r="B2516" s="15"/>
      <c r="C2516" s="15"/>
      <c r="D2516" s="15"/>
      <c r="E2516" s="15"/>
      <c r="F2516" s="20"/>
    </row>
    <row r="2517" spans="2:6" ht="17.25" customHeight="1">
      <c r="B2517" s="15"/>
      <c r="C2517" s="15"/>
      <c r="D2517" s="15"/>
      <c r="E2517" s="15"/>
      <c r="F2517" s="20"/>
    </row>
    <row r="2518" spans="2:6" ht="17.25" customHeight="1">
      <c r="B2518" s="15"/>
      <c r="C2518" s="15"/>
      <c r="D2518" s="15"/>
      <c r="E2518" s="15"/>
      <c r="F2518" s="20"/>
    </row>
    <row r="2519" spans="2:6" ht="17.25" customHeight="1">
      <c r="B2519" s="15"/>
      <c r="C2519" s="15"/>
      <c r="D2519" s="15"/>
      <c r="E2519" s="15"/>
      <c r="F2519" s="20"/>
    </row>
    <row r="2520" spans="2:6" ht="17.25" customHeight="1">
      <c r="B2520" s="15"/>
      <c r="C2520" s="15"/>
      <c r="D2520" s="15"/>
      <c r="E2520" s="15"/>
      <c r="F2520" s="20"/>
    </row>
    <row r="2521" spans="2:6" ht="17.25" customHeight="1">
      <c r="B2521" s="15"/>
      <c r="C2521" s="15"/>
      <c r="D2521" s="15"/>
      <c r="E2521" s="15"/>
      <c r="F2521" s="20"/>
    </row>
    <row r="2522" spans="2:6" ht="17.25" customHeight="1">
      <c r="B2522" s="15"/>
      <c r="C2522" s="15"/>
      <c r="D2522" s="15"/>
      <c r="E2522" s="15"/>
      <c r="F2522" s="20"/>
    </row>
    <row r="2523" spans="2:6" ht="17.25" customHeight="1">
      <c r="B2523" s="15"/>
      <c r="C2523" s="15"/>
      <c r="D2523" s="15"/>
      <c r="E2523" s="15"/>
      <c r="F2523" s="20"/>
    </row>
    <row r="2524" spans="2:6" ht="17.25" customHeight="1">
      <c r="B2524" s="15"/>
      <c r="C2524" s="15"/>
      <c r="D2524" s="15"/>
      <c r="E2524" s="15"/>
      <c r="F2524" s="20"/>
    </row>
    <row r="2525" spans="2:6" ht="17.25" customHeight="1">
      <c r="B2525" s="15"/>
      <c r="C2525" s="15"/>
      <c r="D2525" s="15"/>
      <c r="E2525" s="15"/>
      <c r="F2525" s="20"/>
    </row>
    <row r="2526" spans="2:6" ht="17.25" customHeight="1">
      <c r="B2526" s="15"/>
      <c r="C2526" s="15"/>
      <c r="D2526" s="15"/>
      <c r="E2526" s="15"/>
      <c r="F2526" s="20"/>
    </row>
    <row r="2527" spans="2:6" ht="17.25" customHeight="1">
      <c r="B2527" s="15"/>
      <c r="C2527" s="15"/>
      <c r="D2527" s="15"/>
      <c r="E2527" s="15"/>
      <c r="F2527" s="20"/>
    </row>
    <row r="2528" spans="2:6" ht="17.25" customHeight="1">
      <c r="B2528" s="15"/>
      <c r="C2528" s="15"/>
      <c r="D2528" s="15"/>
      <c r="E2528" s="15"/>
      <c r="F2528" s="20"/>
    </row>
    <row r="2529" spans="2:6" ht="17.25" customHeight="1">
      <c r="B2529" s="15"/>
      <c r="C2529" s="15"/>
      <c r="D2529" s="15"/>
      <c r="E2529" s="15"/>
      <c r="F2529" s="20"/>
    </row>
    <row r="2530" spans="2:6" ht="17.25" customHeight="1">
      <c r="B2530" s="15"/>
      <c r="C2530" s="15"/>
      <c r="D2530" s="15"/>
      <c r="E2530" s="15"/>
      <c r="F2530" s="20"/>
    </row>
    <row r="2531" spans="2:6" ht="17.25" customHeight="1">
      <c r="B2531" s="15"/>
      <c r="C2531" s="15"/>
      <c r="D2531" s="15"/>
      <c r="E2531" s="15"/>
      <c r="F2531" s="20"/>
    </row>
    <row r="2532" spans="2:6" ht="17.25" customHeight="1">
      <c r="B2532" s="15"/>
      <c r="C2532" s="15"/>
      <c r="D2532" s="15"/>
      <c r="E2532" s="15"/>
      <c r="F2532" s="20"/>
    </row>
    <row r="2533" spans="2:6" ht="17.25" customHeight="1">
      <c r="B2533" s="15"/>
      <c r="C2533" s="15"/>
      <c r="D2533" s="15"/>
      <c r="E2533" s="15"/>
      <c r="F2533" s="20"/>
    </row>
    <row r="2534" spans="2:6" ht="17.25" customHeight="1">
      <c r="B2534" s="15"/>
      <c r="C2534" s="15"/>
      <c r="D2534" s="15"/>
      <c r="E2534" s="15"/>
      <c r="F2534" s="20"/>
    </row>
    <row r="2535" spans="2:6" ht="17.25" customHeight="1">
      <c r="B2535" s="15"/>
      <c r="C2535" s="15"/>
      <c r="D2535" s="15"/>
      <c r="E2535" s="15"/>
      <c r="F2535" s="20"/>
    </row>
    <row r="2536" spans="2:6" ht="17.25" customHeight="1">
      <c r="B2536" s="15"/>
      <c r="C2536" s="15"/>
      <c r="D2536" s="15"/>
      <c r="E2536" s="15"/>
      <c r="F2536" s="20"/>
    </row>
    <row r="2537" spans="2:6" ht="17.25" customHeight="1">
      <c r="B2537" s="15"/>
      <c r="C2537" s="15"/>
      <c r="D2537" s="15"/>
      <c r="E2537" s="15"/>
      <c r="F2537" s="20"/>
    </row>
    <row r="2538" spans="2:6" ht="17.25" customHeight="1">
      <c r="B2538" s="15"/>
      <c r="C2538" s="15"/>
      <c r="D2538" s="15"/>
      <c r="E2538" s="15"/>
      <c r="F2538" s="20"/>
    </row>
    <row r="2539" spans="2:6" ht="17.25" customHeight="1">
      <c r="B2539" s="15"/>
      <c r="C2539" s="15"/>
      <c r="D2539" s="15"/>
      <c r="E2539" s="15"/>
      <c r="F2539" s="20"/>
    </row>
    <row r="2540" spans="2:6" ht="17.25" customHeight="1">
      <c r="B2540" s="15"/>
      <c r="C2540" s="15"/>
      <c r="D2540" s="15"/>
      <c r="E2540" s="15"/>
      <c r="F2540" s="20"/>
    </row>
    <row r="2541" spans="2:6" ht="17.25" customHeight="1">
      <c r="B2541" s="15"/>
      <c r="C2541" s="15"/>
      <c r="D2541" s="15"/>
      <c r="E2541" s="15"/>
      <c r="F2541" s="20"/>
    </row>
    <row r="2542" spans="2:6" ht="17.25" customHeight="1">
      <c r="B2542" s="15"/>
      <c r="C2542" s="15"/>
      <c r="D2542" s="15"/>
      <c r="E2542" s="15"/>
      <c r="F2542" s="20"/>
    </row>
    <row r="2543" spans="2:6" ht="17.25" customHeight="1">
      <c r="B2543" s="15"/>
      <c r="C2543" s="15"/>
      <c r="D2543" s="15"/>
      <c r="E2543" s="15"/>
      <c r="F2543" s="20"/>
    </row>
    <row r="2544" spans="2:6" ht="17.25" customHeight="1">
      <c r="B2544" s="15"/>
      <c r="C2544" s="15"/>
      <c r="D2544" s="15"/>
      <c r="E2544" s="15"/>
      <c r="F2544" s="20"/>
    </row>
    <row r="2545" spans="2:6" ht="17.25" customHeight="1">
      <c r="B2545" s="15"/>
      <c r="C2545" s="15"/>
      <c r="D2545" s="15"/>
      <c r="E2545" s="15"/>
      <c r="F2545" s="20"/>
    </row>
    <row r="2546" spans="2:6" ht="17.25" customHeight="1">
      <c r="B2546" s="15"/>
      <c r="C2546" s="15"/>
      <c r="D2546" s="15"/>
      <c r="E2546" s="15"/>
      <c r="F2546" s="20"/>
    </row>
    <row r="2547" spans="2:6" ht="17.25" customHeight="1">
      <c r="B2547" s="15"/>
      <c r="C2547" s="15"/>
      <c r="D2547" s="15"/>
      <c r="E2547" s="15"/>
      <c r="F2547" s="20"/>
    </row>
    <row r="2548" spans="2:6" ht="17.25" customHeight="1">
      <c r="B2548" s="15"/>
      <c r="C2548" s="15"/>
      <c r="D2548" s="15"/>
      <c r="E2548" s="15"/>
      <c r="F2548" s="20"/>
    </row>
    <row r="2549" spans="2:6" ht="17.25" customHeight="1">
      <c r="B2549" s="15"/>
      <c r="C2549" s="15"/>
      <c r="D2549" s="15"/>
      <c r="E2549" s="15"/>
      <c r="F2549" s="20"/>
    </row>
    <row r="2550" spans="2:6" ht="17.25" customHeight="1">
      <c r="B2550" s="15"/>
      <c r="C2550" s="15"/>
      <c r="D2550" s="15"/>
      <c r="E2550" s="15"/>
      <c r="F2550" s="20"/>
    </row>
    <row r="2551" spans="2:6" ht="17.25" customHeight="1">
      <c r="B2551" s="15"/>
      <c r="C2551" s="15"/>
      <c r="D2551" s="15"/>
      <c r="E2551" s="15"/>
      <c r="F2551" s="20"/>
    </row>
    <row r="2552" spans="2:6" ht="17.25" customHeight="1">
      <c r="B2552" s="15"/>
      <c r="C2552" s="15"/>
      <c r="D2552" s="15"/>
      <c r="E2552" s="15"/>
      <c r="F2552" s="20"/>
    </row>
    <row r="2553" spans="2:6" ht="17.25" customHeight="1">
      <c r="B2553" s="15"/>
      <c r="C2553" s="15"/>
      <c r="D2553" s="15"/>
      <c r="E2553" s="15"/>
      <c r="F2553" s="20"/>
    </row>
    <row r="2554" spans="2:6" ht="17.25" customHeight="1">
      <c r="B2554" s="15"/>
      <c r="C2554" s="15"/>
      <c r="D2554" s="15"/>
      <c r="E2554" s="15"/>
      <c r="F2554" s="20"/>
    </row>
    <row r="2555" spans="2:6" ht="17.25" customHeight="1">
      <c r="B2555" s="15"/>
      <c r="C2555" s="15"/>
      <c r="D2555" s="15"/>
      <c r="E2555" s="15"/>
      <c r="F2555" s="20"/>
    </row>
    <row r="2556" spans="2:6" ht="17.25" customHeight="1">
      <c r="B2556" s="15"/>
      <c r="C2556" s="15"/>
      <c r="D2556" s="15"/>
      <c r="E2556" s="15"/>
      <c r="F2556" s="20"/>
    </row>
    <row r="2557" spans="2:6" ht="17.25" customHeight="1">
      <c r="B2557" s="15"/>
      <c r="C2557" s="15"/>
      <c r="D2557" s="15"/>
      <c r="E2557" s="15"/>
      <c r="F2557" s="20"/>
    </row>
    <row r="2558" spans="2:6" ht="17.25" customHeight="1">
      <c r="B2558" s="15"/>
      <c r="C2558" s="15"/>
      <c r="D2558" s="15"/>
      <c r="E2558" s="15"/>
      <c r="F2558" s="20"/>
    </row>
    <row r="2559" spans="2:6" ht="17.25" customHeight="1">
      <c r="B2559" s="15"/>
      <c r="C2559" s="15"/>
      <c r="D2559" s="15"/>
      <c r="E2559" s="15"/>
      <c r="F2559" s="20"/>
    </row>
    <row r="2560" spans="2:6" ht="17.25" customHeight="1">
      <c r="B2560" s="15"/>
      <c r="C2560" s="15"/>
      <c r="D2560" s="15"/>
      <c r="E2560" s="15"/>
      <c r="F2560" s="20"/>
    </row>
    <row r="2561" spans="2:6" ht="17.25" customHeight="1">
      <c r="B2561" s="15"/>
      <c r="C2561" s="15"/>
      <c r="D2561" s="15"/>
      <c r="E2561" s="15"/>
      <c r="F2561" s="20"/>
    </row>
    <row r="2562" spans="2:6" ht="17.25" customHeight="1">
      <c r="B2562" s="15"/>
      <c r="C2562" s="15"/>
      <c r="D2562" s="15"/>
      <c r="E2562" s="15"/>
      <c r="F2562" s="20"/>
    </row>
    <row r="2563" spans="2:6" ht="17.25" customHeight="1">
      <c r="B2563" s="15"/>
      <c r="C2563" s="15"/>
      <c r="D2563" s="15"/>
      <c r="E2563" s="15"/>
      <c r="F2563" s="20"/>
    </row>
    <row r="2564" spans="2:6" ht="17.25" customHeight="1">
      <c r="B2564" s="15"/>
      <c r="C2564" s="15"/>
      <c r="D2564" s="15"/>
      <c r="E2564" s="15"/>
      <c r="F2564" s="20"/>
    </row>
    <row r="2565" spans="2:6" ht="17.25" customHeight="1">
      <c r="B2565" s="15"/>
      <c r="C2565" s="15"/>
      <c r="D2565" s="15"/>
      <c r="E2565" s="15"/>
      <c r="F2565" s="20"/>
    </row>
    <row r="2566" spans="2:6" ht="17.25" customHeight="1">
      <c r="B2566" s="15"/>
      <c r="C2566" s="15"/>
      <c r="D2566" s="15"/>
      <c r="E2566" s="15"/>
      <c r="F2566" s="20"/>
    </row>
    <row r="2567" spans="2:6" ht="17.25" customHeight="1">
      <c r="B2567" s="15"/>
      <c r="C2567" s="15"/>
      <c r="D2567" s="15"/>
      <c r="E2567" s="15"/>
      <c r="F2567" s="20"/>
    </row>
    <row r="2568" spans="2:6" ht="17.25" customHeight="1">
      <c r="B2568" s="15"/>
      <c r="C2568" s="15"/>
      <c r="D2568" s="15"/>
      <c r="E2568" s="15"/>
      <c r="F2568" s="20"/>
    </row>
    <row r="2569" spans="2:6" ht="17.25" customHeight="1">
      <c r="B2569" s="15"/>
      <c r="C2569" s="15"/>
      <c r="D2569" s="15"/>
      <c r="E2569" s="15"/>
      <c r="F2569" s="20"/>
    </row>
    <row r="2570" spans="2:6" ht="17.25" customHeight="1">
      <c r="B2570" s="15"/>
      <c r="C2570" s="15"/>
      <c r="D2570" s="15"/>
      <c r="E2570" s="15"/>
      <c r="F2570" s="20"/>
    </row>
    <row r="2571" spans="2:6" ht="17.25" customHeight="1">
      <c r="B2571" s="15"/>
      <c r="C2571" s="15"/>
      <c r="D2571" s="15"/>
      <c r="E2571" s="15"/>
      <c r="F2571" s="20"/>
    </row>
    <row r="2572" spans="2:6" ht="17.25" customHeight="1">
      <c r="B2572" s="15"/>
      <c r="C2572" s="15"/>
      <c r="D2572" s="15"/>
      <c r="E2572" s="15"/>
      <c r="F2572" s="20"/>
    </row>
    <row r="2573" spans="2:6" ht="17.25" customHeight="1">
      <c r="B2573" s="15"/>
      <c r="C2573" s="15"/>
      <c r="D2573" s="15"/>
      <c r="E2573" s="15"/>
      <c r="F2573" s="20"/>
    </row>
    <row r="2574" spans="2:6" ht="17.25" customHeight="1">
      <c r="B2574" s="15"/>
      <c r="C2574" s="15"/>
      <c r="D2574" s="15"/>
      <c r="E2574" s="15"/>
      <c r="F2574" s="20"/>
    </row>
    <row r="2575" spans="2:6" ht="17.25" customHeight="1">
      <c r="B2575" s="15"/>
      <c r="C2575" s="15"/>
      <c r="D2575" s="15"/>
      <c r="E2575" s="15"/>
      <c r="F2575" s="20"/>
    </row>
    <row r="2576" spans="2:6" ht="17.25" customHeight="1">
      <c r="B2576" s="15"/>
      <c r="C2576" s="15"/>
      <c r="D2576" s="15"/>
      <c r="E2576" s="15"/>
      <c r="F2576" s="20"/>
    </row>
    <row r="2577" spans="2:6" ht="17.25" customHeight="1">
      <c r="B2577" s="15"/>
      <c r="C2577" s="15"/>
      <c r="D2577" s="15"/>
      <c r="E2577" s="15"/>
      <c r="F2577" s="20"/>
    </row>
    <row r="2578" spans="2:6" ht="17.25" customHeight="1">
      <c r="B2578" s="15"/>
      <c r="C2578" s="15"/>
      <c r="D2578" s="15"/>
      <c r="E2578" s="15"/>
      <c r="F2578" s="20"/>
    </row>
    <row r="2579" spans="2:6" ht="17.25" customHeight="1">
      <c r="B2579" s="15"/>
      <c r="C2579" s="15"/>
      <c r="D2579" s="15"/>
      <c r="E2579" s="15"/>
      <c r="F2579" s="20"/>
    </row>
    <row r="2580" spans="2:6" ht="17.25" customHeight="1">
      <c r="B2580" s="15"/>
      <c r="C2580" s="15"/>
      <c r="D2580" s="15"/>
      <c r="E2580" s="15"/>
      <c r="F2580" s="20"/>
    </row>
    <row r="2581" spans="2:6" ht="17.25" customHeight="1">
      <c r="B2581" s="15"/>
      <c r="C2581" s="15"/>
      <c r="D2581" s="15"/>
      <c r="E2581" s="15"/>
      <c r="F2581" s="20"/>
    </row>
    <row r="2582" spans="2:6" ht="17.25" customHeight="1">
      <c r="B2582" s="15"/>
      <c r="C2582" s="15"/>
      <c r="D2582" s="15"/>
      <c r="E2582" s="15"/>
      <c r="F2582" s="20"/>
    </row>
    <row r="2583" spans="2:6" ht="17.25" customHeight="1">
      <c r="B2583" s="15"/>
      <c r="C2583" s="15"/>
      <c r="D2583" s="15"/>
      <c r="E2583" s="15"/>
      <c r="F2583" s="20"/>
    </row>
    <row r="2584" spans="2:6" ht="17.25" customHeight="1">
      <c r="B2584" s="15"/>
      <c r="C2584" s="15"/>
      <c r="D2584" s="15"/>
      <c r="E2584" s="15"/>
      <c r="F2584" s="20"/>
    </row>
    <row r="2585" spans="2:6" ht="17.25" customHeight="1">
      <c r="B2585" s="15"/>
      <c r="C2585" s="15"/>
      <c r="D2585" s="15"/>
      <c r="E2585" s="15"/>
      <c r="F2585" s="20"/>
    </row>
    <row r="2586" spans="2:6" ht="17.25" customHeight="1">
      <c r="B2586" s="15"/>
      <c r="C2586" s="15"/>
      <c r="D2586" s="15"/>
      <c r="E2586" s="15"/>
      <c r="F2586" s="20"/>
    </row>
    <row r="2587" spans="2:6" ht="17.25" customHeight="1">
      <c r="B2587" s="15"/>
      <c r="C2587" s="15"/>
      <c r="D2587" s="15"/>
      <c r="E2587" s="15"/>
      <c r="F2587" s="20"/>
    </row>
    <row r="2588" spans="2:6" ht="17.25" customHeight="1">
      <c r="B2588" s="15"/>
      <c r="C2588" s="15"/>
      <c r="D2588" s="15"/>
      <c r="E2588" s="15"/>
      <c r="F2588" s="20"/>
    </row>
    <row r="2589" spans="2:6" ht="17.25" customHeight="1">
      <c r="B2589" s="15"/>
      <c r="C2589" s="15"/>
      <c r="D2589" s="15"/>
      <c r="E2589" s="15"/>
      <c r="F2589" s="20"/>
    </row>
    <row r="2590" spans="2:6" ht="17.25" customHeight="1">
      <c r="B2590" s="15"/>
      <c r="C2590" s="15"/>
      <c r="D2590" s="15"/>
      <c r="E2590" s="15"/>
      <c r="F2590" s="20"/>
    </row>
    <row r="2591" spans="2:6" ht="17.25" customHeight="1">
      <c r="B2591" s="15"/>
      <c r="C2591" s="15"/>
      <c r="D2591" s="15"/>
      <c r="E2591" s="15"/>
      <c r="F2591" s="20"/>
    </row>
    <row r="2592" spans="2:6" ht="17.25" customHeight="1">
      <c r="B2592" s="15"/>
      <c r="C2592" s="15"/>
      <c r="D2592" s="15"/>
      <c r="E2592" s="15"/>
      <c r="F2592" s="20"/>
    </row>
    <row r="2593" spans="2:6" ht="17.25" customHeight="1">
      <c r="B2593" s="15"/>
      <c r="C2593" s="15"/>
      <c r="D2593" s="15"/>
      <c r="E2593" s="15"/>
      <c r="F2593" s="20"/>
    </row>
    <row r="2594" spans="2:6" ht="17.25" customHeight="1">
      <c r="B2594" s="15"/>
      <c r="C2594" s="15"/>
      <c r="D2594" s="15"/>
      <c r="E2594" s="15"/>
      <c r="F2594" s="20"/>
    </row>
    <row r="2595" spans="2:6" ht="17.25" customHeight="1">
      <c r="B2595" s="15"/>
      <c r="C2595" s="15"/>
      <c r="D2595" s="15"/>
      <c r="E2595" s="15"/>
      <c r="F2595" s="20"/>
    </row>
    <row r="2596" spans="2:6" ht="17.25" customHeight="1">
      <c r="B2596" s="15"/>
      <c r="C2596" s="15"/>
      <c r="D2596" s="15"/>
      <c r="E2596" s="15"/>
      <c r="F2596" s="20"/>
    </row>
    <row r="2597" spans="2:6" ht="17.25" customHeight="1">
      <c r="B2597" s="15"/>
      <c r="C2597" s="15"/>
      <c r="D2597" s="15"/>
      <c r="E2597" s="15"/>
      <c r="F2597" s="20"/>
    </row>
    <row r="2598" spans="2:6" ht="17.25" customHeight="1">
      <c r="B2598" s="15"/>
      <c r="C2598" s="15"/>
      <c r="D2598" s="15"/>
      <c r="E2598" s="15"/>
      <c r="F2598" s="20"/>
    </row>
    <row r="2599" spans="2:6" ht="17.25" customHeight="1">
      <c r="B2599" s="15"/>
      <c r="C2599" s="15"/>
      <c r="D2599" s="15"/>
      <c r="E2599" s="15"/>
      <c r="F2599" s="20"/>
    </row>
    <row r="2600" spans="2:6" ht="17.25" customHeight="1">
      <c r="B2600" s="15"/>
      <c r="C2600" s="15"/>
      <c r="D2600" s="15"/>
      <c r="E2600" s="15"/>
      <c r="F2600" s="20"/>
    </row>
    <row r="2601" spans="2:6" ht="17.25" customHeight="1">
      <c r="B2601" s="15"/>
      <c r="C2601" s="15"/>
      <c r="D2601" s="15"/>
      <c r="E2601" s="15"/>
      <c r="F2601" s="20"/>
    </row>
    <row r="2602" spans="2:6" ht="17.25" customHeight="1">
      <c r="B2602" s="15"/>
      <c r="C2602" s="15"/>
      <c r="D2602" s="15"/>
      <c r="E2602" s="15"/>
      <c r="F2602" s="20"/>
    </row>
    <row r="2603" spans="2:6" ht="17.25" customHeight="1">
      <c r="B2603" s="15"/>
      <c r="C2603" s="15"/>
      <c r="D2603" s="15"/>
      <c r="E2603" s="15"/>
      <c r="F2603" s="20"/>
    </row>
    <row r="2604" spans="2:6" ht="17.25" customHeight="1">
      <c r="B2604" s="15"/>
      <c r="C2604" s="15"/>
      <c r="D2604" s="15"/>
      <c r="E2604" s="15"/>
      <c r="F2604" s="20"/>
    </row>
    <row r="2605" spans="2:6" ht="17.25" customHeight="1">
      <c r="B2605" s="15"/>
      <c r="C2605" s="15"/>
      <c r="D2605" s="15"/>
      <c r="E2605" s="15"/>
      <c r="F2605" s="20"/>
    </row>
    <row r="2606" spans="2:6" ht="17.25" customHeight="1">
      <c r="B2606" s="15"/>
      <c r="C2606" s="15"/>
      <c r="D2606" s="15"/>
      <c r="E2606" s="15"/>
      <c r="F2606" s="20"/>
    </row>
    <row r="2607" spans="2:6" ht="17.25" customHeight="1">
      <c r="B2607" s="15"/>
      <c r="C2607" s="15"/>
      <c r="D2607" s="15"/>
      <c r="E2607" s="15"/>
      <c r="F2607" s="20"/>
    </row>
    <row r="2608" spans="2:6" ht="17.25" customHeight="1">
      <c r="B2608" s="15"/>
      <c r="C2608" s="15"/>
      <c r="D2608" s="15"/>
      <c r="E2608" s="15"/>
      <c r="F2608" s="20"/>
    </row>
    <row r="2609" spans="2:6" ht="17.25" customHeight="1">
      <c r="B2609" s="15"/>
      <c r="C2609" s="15"/>
      <c r="D2609" s="15"/>
      <c r="E2609" s="15"/>
      <c r="F2609" s="20"/>
    </row>
    <row r="2610" spans="2:6" ht="17.25" customHeight="1">
      <c r="B2610" s="15"/>
      <c r="C2610" s="15"/>
      <c r="D2610" s="15"/>
      <c r="E2610" s="15"/>
      <c r="F2610" s="20"/>
    </row>
    <row r="2611" spans="2:6" ht="17.25" customHeight="1">
      <c r="B2611" s="15"/>
      <c r="C2611" s="15"/>
      <c r="D2611" s="15"/>
      <c r="E2611" s="15"/>
      <c r="F2611" s="20"/>
    </row>
    <row r="2612" spans="2:6" ht="17.25" customHeight="1">
      <c r="B2612" s="15"/>
      <c r="C2612" s="15"/>
      <c r="D2612" s="15"/>
      <c r="E2612" s="15"/>
      <c r="F2612" s="20"/>
    </row>
    <row r="2613" spans="2:6" ht="17.25" customHeight="1">
      <c r="B2613" s="15"/>
      <c r="C2613" s="15"/>
      <c r="D2613" s="15"/>
      <c r="E2613" s="15"/>
      <c r="F2613" s="20"/>
    </row>
    <row r="2614" spans="2:6" ht="17.25" customHeight="1">
      <c r="B2614" s="15"/>
      <c r="C2614" s="15"/>
      <c r="D2614" s="15"/>
      <c r="E2614" s="15"/>
      <c r="F2614" s="20"/>
    </row>
    <row r="2615" spans="2:6" ht="17.25" customHeight="1">
      <c r="B2615" s="15"/>
      <c r="C2615" s="15"/>
      <c r="D2615" s="15"/>
      <c r="E2615" s="15"/>
      <c r="F2615" s="20"/>
    </row>
    <row r="2616" spans="2:6" ht="17.25" customHeight="1">
      <c r="B2616" s="15"/>
      <c r="C2616" s="15"/>
      <c r="D2616" s="15"/>
      <c r="E2616" s="15"/>
      <c r="F2616" s="20"/>
    </row>
    <row r="2617" spans="2:6" ht="17.25" customHeight="1">
      <c r="B2617" s="15"/>
      <c r="C2617" s="15"/>
      <c r="D2617" s="15"/>
      <c r="E2617" s="15"/>
      <c r="F2617" s="20"/>
    </row>
    <row r="2618" spans="2:6" ht="17.25" customHeight="1">
      <c r="B2618" s="15"/>
      <c r="C2618" s="15"/>
      <c r="D2618" s="15"/>
      <c r="E2618" s="15"/>
      <c r="F2618" s="20"/>
    </row>
    <row r="2619" spans="2:6" ht="17.25" customHeight="1">
      <c r="B2619" s="15"/>
      <c r="C2619" s="15"/>
      <c r="D2619" s="15"/>
      <c r="E2619" s="15"/>
      <c r="F2619" s="20"/>
    </row>
    <row r="2620" spans="2:6" ht="17.25" customHeight="1">
      <c r="B2620" s="15"/>
      <c r="C2620" s="15"/>
      <c r="D2620" s="15"/>
      <c r="E2620" s="15"/>
      <c r="F2620" s="20"/>
    </row>
    <row r="2621" spans="2:6" ht="17.25" customHeight="1">
      <c r="B2621" s="15"/>
      <c r="C2621" s="15"/>
      <c r="D2621" s="15"/>
      <c r="E2621" s="15"/>
      <c r="F2621" s="20"/>
    </row>
    <row r="2622" spans="2:6" ht="17.25" customHeight="1">
      <c r="B2622" s="15"/>
      <c r="C2622" s="15"/>
      <c r="D2622" s="15"/>
      <c r="E2622" s="15"/>
      <c r="F2622" s="20"/>
    </row>
    <row r="2623" spans="2:6" ht="17.25" customHeight="1">
      <c r="B2623" s="15"/>
      <c r="C2623" s="15"/>
      <c r="D2623" s="15"/>
      <c r="E2623" s="15"/>
      <c r="F2623" s="20"/>
    </row>
    <row r="2624" spans="2:6" ht="17.25" customHeight="1">
      <c r="B2624" s="15"/>
      <c r="C2624" s="15"/>
      <c r="D2624" s="15"/>
      <c r="E2624" s="15"/>
      <c r="F2624" s="20"/>
    </row>
    <row r="2625" spans="2:6" ht="17.25" customHeight="1">
      <c r="B2625" s="15"/>
      <c r="C2625" s="15"/>
      <c r="D2625" s="15"/>
      <c r="E2625" s="15"/>
      <c r="F2625" s="20"/>
    </row>
    <row r="2626" spans="2:6" ht="17.25" customHeight="1">
      <c r="B2626" s="15"/>
      <c r="C2626" s="15"/>
      <c r="D2626" s="15"/>
      <c r="E2626" s="15"/>
      <c r="F2626" s="20"/>
    </row>
    <row r="2627" spans="2:6" ht="17.25" customHeight="1">
      <c r="B2627" s="15"/>
      <c r="C2627" s="15"/>
      <c r="D2627" s="15"/>
      <c r="E2627" s="15"/>
      <c r="F2627" s="20"/>
    </row>
    <row r="2628" spans="2:6" ht="17.25" customHeight="1">
      <c r="B2628" s="15"/>
      <c r="C2628" s="15"/>
      <c r="D2628" s="15"/>
      <c r="E2628" s="15"/>
      <c r="F2628" s="20"/>
    </row>
    <row r="2629" spans="2:6" ht="17.25" customHeight="1">
      <c r="B2629" s="15"/>
      <c r="C2629" s="15"/>
      <c r="D2629" s="15"/>
      <c r="E2629" s="15"/>
      <c r="F2629" s="20"/>
    </row>
    <row r="2630" spans="2:6" ht="17.25" customHeight="1">
      <c r="B2630" s="15"/>
      <c r="C2630" s="15"/>
      <c r="D2630" s="15"/>
      <c r="E2630" s="15"/>
      <c r="F2630" s="20"/>
    </row>
    <row r="2631" spans="2:6" ht="17.25" customHeight="1">
      <c r="B2631" s="15"/>
      <c r="C2631" s="15"/>
      <c r="D2631" s="15"/>
      <c r="E2631" s="15"/>
      <c r="F2631" s="20"/>
    </row>
    <row r="2632" spans="2:6" ht="17.25" customHeight="1">
      <c r="B2632" s="15"/>
      <c r="C2632" s="15"/>
      <c r="D2632" s="15"/>
      <c r="E2632" s="15"/>
      <c r="F2632" s="20"/>
    </row>
    <row r="2633" spans="2:6" ht="17.25" customHeight="1">
      <c r="B2633" s="15"/>
      <c r="C2633" s="15"/>
      <c r="D2633" s="15"/>
      <c r="E2633" s="15"/>
      <c r="F2633" s="20"/>
    </row>
    <row r="2634" spans="2:6" ht="17.25" customHeight="1">
      <c r="B2634" s="15"/>
      <c r="C2634" s="15"/>
      <c r="D2634" s="15"/>
      <c r="E2634" s="15"/>
      <c r="F2634" s="20"/>
    </row>
    <row r="2635" spans="2:6" ht="17.25" customHeight="1">
      <c r="B2635" s="15"/>
      <c r="C2635" s="15"/>
      <c r="D2635" s="15"/>
      <c r="E2635" s="15"/>
      <c r="F2635" s="20"/>
    </row>
    <row r="2636" spans="2:6" ht="17.25" customHeight="1">
      <c r="B2636" s="15"/>
      <c r="C2636" s="15"/>
      <c r="D2636" s="15"/>
      <c r="E2636" s="15"/>
      <c r="F2636" s="20"/>
    </row>
    <row r="2637" spans="2:6" ht="17.25" customHeight="1">
      <c r="B2637" s="15"/>
      <c r="C2637" s="15"/>
      <c r="D2637" s="15"/>
      <c r="E2637" s="15"/>
      <c r="F2637" s="20"/>
    </row>
    <row r="2638" spans="2:6" ht="17.25" customHeight="1">
      <c r="B2638" s="15"/>
      <c r="C2638" s="15"/>
      <c r="D2638" s="15"/>
      <c r="E2638" s="15"/>
      <c r="F2638" s="20"/>
    </row>
    <row r="2639" spans="2:6" ht="17.25" customHeight="1">
      <c r="B2639" s="15"/>
      <c r="C2639" s="15"/>
      <c r="D2639" s="15"/>
      <c r="E2639" s="15"/>
      <c r="F2639" s="20"/>
    </row>
    <row r="2640" spans="2:6" ht="17.25" customHeight="1">
      <c r="B2640" s="15"/>
      <c r="C2640" s="15"/>
      <c r="D2640" s="15"/>
      <c r="E2640" s="15"/>
      <c r="F2640" s="20"/>
    </row>
    <row r="2641" spans="2:6" ht="17.25" customHeight="1">
      <c r="B2641" s="15"/>
      <c r="C2641" s="15"/>
      <c r="D2641" s="15"/>
      <c r="E2641" s="15"/>
      <c r="F2641" s="20"/>
    </row>
    <row r="2642" spans="2:6" ht="17.25" customHeight="1">
      <c r="B2642" s="15"/>
      <c r="C2642" s="15"/>
      <c r="D2642" s="15"/>
      <c r="E2642" s="15"/>
      <c r="F2642" s="20"/>
    </row>
    <row r="2643" spans="2:6" ht="17.25" customHeight="1">
      <c r="B2643" s="15"/>
      <c r="C2643" s="15"/>
      <c r="D2643" s="15"/>
      <c r="E2643" s="15"/>
      <c r="F2643" s="20"/>
    </row>
    <row r="2644" spans="2:6" ht="17.25" customHeight="1">
      <c r="B2644" s="15"/>
      <c r="C2644" s="15"/>
      <c r="D2644" s="15"/>
      <c r="E2644" s="15"/>
      <c r="F2644" s="20"/>
    </row>
    <row r="2645" spans="2:6" ht="17.25" customHeight="1">
      <c r="B2645" s="15"/>
      <c r="C2645" s="15"/>
      <c r="D2645" s="15"/>
      <c r="E2645" s="15"/>
      <c r="F2645" s="20"/>
    </row>
    <row r="2646" spans="2:6" ht="17.25" customHeight="1">
      <c r="B2646" s="15"/>
      <c r="C2646" s="15"/>
      <c r="D2646" s="15"/>
      <c r="E2646" s="15"/>
      <c r="F2646" s="20"/>
    </row>
    <row r="2647" spans="2:6" ht="17.25" customHeight="1">
      <c r="B2647" s="15"/>
      <c r="C2647" s="15"/>
      <c r="D2647" s="15"/>
      <c r="E2647" s="15"/>
      <c r="F2647" s="20"/>
    </row>
    <row r="2648" spans="2:6" ht="17.25" customHeight="1">
      <c r="B2648" s="15"/>
      <c r="C2648" s="15"/>
      <c r="D2648" s="15"/>
      <c r="E2648" s="15"/>
      <c r="F2648" s="20"/>
    </row>
    <row r="2649" spans="2:6" ht="17.25" customHeight="1">
      <c r="B2649" s="15"/>
      <c r="C2649" s="15"/>
      <c r="D2649" s="15"/>
      <c r="E2649" s="15"/>
      <c r="F2649" s="20"/>
    </row>
    <row r="2650" spans="2:6" ht="17.25" customHeight="1">
      <c r="B2650" s="15"/>
      <c r="C2650" s="15"/>
      <c r="D2650" s="15"/>
      <c r="E2650" s="15"/>
      <c r="F2650" s="20"/>
    </row>
    <row r="2651" spans="2:6" ht="17.25" customHeight="1">
      <c r="B2651" s="15"/>
      <c r="C2651" s="15"/>
      <c r="D2651" s="15"/>
      <c r="E2651" s="15"/>
      <c r="F2651" s="20"/>
    </row>
    <row r="2652" spans="2:6" ht="17.25" customHeight="1">
      <c r="B2652" s="15"/>
      <c r="C2652" s="15"/>
      <c r="D2652" s="15"/>
      <c r="E2652" s="15"/>
      <c r="F2652" s="20"/>
    </row>
    <row r="2653" spans="2:6" ht="17.25" customHeight="1">
      <c r="B2653" s="15"/>
      <c r="C2653" s="15"/>
      <c r="D2653" s="15"/>
      <c r="E2653" s="15"/>
      <c r="F2653" s="20"/>
    </row>
    <row r="2654" spans="2:6" ht="17.25" customHeight="1">
      <c r="B2654" s="15"/>
      <c r="C2654" s="15"/>
      <c r="D2654" s="15"/>
      <c r="E2654" s="15"/>
      <c r="F2654" s="20"/>
    </row>
    <row r="2655" spans="2:6" ht="17.25" customHeight="1">
      <c r="B2655" s="15"/>
      <c r="C2655" s="15"/>
      <c r="D2655" s="15"/>
      <c r="E2655" s="15"/>
      <c r="F2655" s="20"/>
    </row>
    <row r="2656" spans="2:6" ht="17.25" customHeight="1">
      <c r="B2656" s="15"/>
      <c r="C2656" s="15"/>
      <c r="D2656" s="15"/>
      <c r="E2656" s="15"/>
      <c r="F2656" s="20"/>
    </row>
    <row r="2657" spans="2:6" ht="17.25" customHeight="1">
      <c r="B2657" s="15"/>
      <c r="C2657" s="15"/>
      <c r="D2657" s="15"/>
      <c r="E2657" s="15"/>
      <c r="F2657" s="20"/>
    </row>
    <row r="2658" spans="2:6" ht="17.25" customHeight="1">
      <c r="B2658" s="15"/>
      <c r="C2658" s="15"/>
      <c r="D2658" s="15"/>
      <c r="E2658" s="15"/>
      <c r="F2658" s="20"/>
    </row>
    <row r="2659" spans="2:6" ht="17.25" customHeight="1">
      <c r="B2659" s="15"/>
      <c r="C2659" s="15"/>
      <c r="D2659" s="15"/>
      <c r="E2659" s="15"/>
      <c r="F2659" s="20"/>
    </row>
    <row r="2660" spans="2:6" ht="17.25" customHeight="1">
      <c r="B2660" s="15"/>
      <c r="C2660" s="15"/>
      <c r="D2660" s="15"/>
      <c r="E2660" s="15"/>
      <c r="F2660" s="20"/>
    </row>
    <row r="2661" spans="2:6" ht="17.25" customHeight="1">
      <c r="B2661" s="15"/>
      <c r="C2661" s="15"/>
      <c r="D2661" s="15"/>
      <c r="E2661" s="15"/>
      <c r="F2661" s="20"/>
    </row>
    <row r="2662" spans="2:6" ht="17.25" customHeight="1">
      <c r="B2662" s="15"/>
      <c r="C2662" s="15"/>
      <c r="D2662" s="15"/>
      <c r="E2662" s="15"/>
      <c r="F2662" s="20"/>
    </row>
    <row r="2663" spans="2:6" ht="17.25" customHeight="1">
      <c r="B2663" s="15"/>
      <c r="C2663" s="15"/>
      <c r="D2663" s="15"/>
      <c r="E2663" s="15"/>
      <c r="F2663" s="20"/>
    </row>
    <row r="2664" spans="2:6" ht="17.25" customHeight="1">
      <c r="B2664" s="15"/>
      <c r="C2664" s="15"/>
      <c r="D2664" s="15"/>
      <c r="E2664" s="15"/>
      <c r="F2664" s="20"/>
    </row>
    <row r="2665" spans="2:6" ht="17.25" customHeight="1">
      <c r="B2665" s="15"/>
      <c r="C2665" s="15"/>
      <c r="D2665" s="15"/>
      <c r="E2665" s="15"/>
      <c r="F2665" s="20"/>
    </row>
    <row r="2666" spans="2:6" ht="17.25" customHeight="1">
      <c r="B2666" s="15"/>
      <c r="C2666" s="15"/>
      <c r="D2666" s="15"/>
      <c r="E2666" s="15"/>
      <c r="F2666" s="20"/>
    </row>
    <row r="2667" spans="2:6" ht="17.25" customHeight="1">
      <c r="B2667" s="15"/>
      <c r="C2667" s="15"/>
      <c r="D2667" s="15"/>
      <c r="E2667" s="15"/>
      <c r="F2667" s="20"/>
    </row>
    <row r="2668" spans="2:6" ht="17.25" customHeight="1">
      <c r="B2668" s="15"/>
      <c r="C2668" s="15"/>
      <c r="D2668" s="15"/>
      <c r="E2668" s="15"/>
      <c r="F2668" s="20"/>
    </row>
    <row r="2669" spans="2:6" ht="17.25" customHeight="1">
      <c r="B2669" s="15"/>
      <c r="C2669" s="15"/>
      <c r="D2669" s="15"/>
      <c r="E2669" s="15"/>
      <c r="F2669" s="20"/>
    </row>
    <row r="2670" spans="2:6" ht="17.25" customHeight="1">
      <c r="B2670" s="15"/>
      <c r="C2670" s="15"/>
      <c r="D2670" s="15"/>
      <c r="E2670" s="15"/>
      <c r="F2670" s="20"/>
    </row>
    <row r="2671" spans="2:6" ht="17.25" customHeight="1">
      <c r="B2671" s="15"/>
      <c r="C2671" s="15"/>
      <c r="D2671" s="15"/>
      <c r="E2671" s="15"/>
      <c r="F2671" s="20"/>
    </row>
    <row r="2672" spans="2:6" ht="17.25" customHeight="1">
      <c r="B2672" s="15"/>
      <c r="C2672" s="15"/>
      <c r="D2672" s="15"/>
      <c r="E2672" s="15"/>
      <c r="F2672" s="20"/>
    </row>
    <row r="2673" spans="2:6" ht="17.25" customHeight="1">
      <c r="B2673" s="15"/>
      <c r="C2673" s="15"/>
      <c r="D2673" s="15"/>
      <c r="E2673" s="15"/>
      <c r="F2673" s="20"/>
    </row>
    <row r="2674" spans="2:6" ht="17.25" customHeight="1">
      <c r="B2674" s="15"/>
      <c r="C2674" s="15"/>
      <c r="D2674" s="15"/>
      <c r="E2674" s="15"/>
      <c r="F2674" s="20"/>
    </row>
    <row r="2675" spans="2:6" ht="17.25" customHeight="1">
      <c r="B2675" s="15"/>
      <c r="C2675" s="15"/>
      <c r="D2675" s="15"/>
      <c r="E2675" s="15"/>
      <c r="F2675" s="20"/>
    </row>
    <row r="2676" spans="2:6" ht="17.25" customHeight="1">
      <c r="B2676" s="15"/>
      <c r="C2676" s="15"/>
      <c r="D2676" s="15"/>
      <c r="E2676" s="15"/>
      <c r="F2676" s="20"/>
    </row>
    <row r="2677" spans="2:6" ht="17.25" customHeight="1">
      <c r="B2677" s="15"/>
      <c r="C2677" s="15"/>
      <c r="D2677" s="15"/>
      <c r="E2677" s="15"/>
      <c r="F2677" s="20"/>
    </row>
    <row r="2678" spans="2:6" ht="17.25" customHeight="1">
      <c r="B2678" s="15"/>
      <c r="C2678" s="15"/>
      <c r="D2678" s="15"/>
      <c r="E2678" s="15"/>
      <c r="F2678" s="20"/>
    </row>
    <row r="2679" spans="2:6" ht="17.25" customHeight="1">
      <c r="B2679" s="15"/>
      <c r="C2679" s="15"/>
      <c r="D2679" s="15"/>
      <c r="E2679" s="15"/>
      <c r="F2679" s="20"/>
    </row>
    <row r="2680" spans="2:6" ht="17.25" customHeight="1">
      <c r="B2680" s="15"/>
      <c r="C2680" s="15"/>
      <c r="D2680" s="15"/>
      <c r="E2680" s="15"/>
      <c r="F2680" s="20"/>
    </row>
    <row r="2681" spans="2:6" ht="17.25" customHeight="1">
      <c r="B2681" s="15"/>
      <c r="C2681" s="15"/>
      <c r="D2681" s="15"/>
      <c r="E2681" s="15"/>
      <c r="F2681" s="20"/>
    </row>
    <row r="2682" spans="2:6" ht="17.25" customHeight="1">
      <c r="B2682" s="15"/>
      <c r="C2682" s="15"/>
      <c r="D2682" s="15"/>
      <c r="E2682" s="15"/>
      <c r="F2682" s="20"/>
    </row>
    <row r="2683" spans="2:6" ht="17.25" customHeight="1">
      <c r="B2683" s="15"/>
      <c r="C2683" s="15"/>
      <c r="D2683" s="15"/>
      <c r="E2683" s="15"/>
      <c r="F2683" s="20"/>
    </row>
    <row r="2684" spans="2:6" ht="17.25" customHeight="1">
      <c r="B2684" s="15"/>
      <c r="C2684" s="15"/>
      <c r="D2684" s="15"/>
      <c r="E2684" s="15"/>
      <c r="F2684" s="20"/>
    </row>
    <row r="2685" spans="2:6" ht="17.25" customHeight="1">
      <c r="B2685" s="15"/>
      <c r="C2685" s="15"/>
      <c r="D2685" s="15"/>
      <c r="E2685" s="15"/>
      <c r="F2685" s="20"/>
    </row>
    <row r="2686" spans="2:6" ht="17.25" customHeight="1">
      <c r="B2686" s="15"/>
      <c r="C2686" s="15"/>
      <c r="D2686" s="15"/>
      <c r="E2686" s="15"/>
      <c r="F2686" s="20"/>
    </row>
    <row r="2687" spans="2:6" ht="17.25" customHeight="1">
      <c r="B2687" s="15"/>
      <c r="C2687" s="15"/>
      <c r="D2687" s="15"/>
      <c r="E2687" s="15"/>
      <c r="F2687" s="20"/>
    </row>
    <row r="2688" spans="2:6" ht="17.25" customHeight="1">
      <c r="B2688" s="15"/>
      <c r="C2688" s="15"/>
      <c r="D2688" s="15"/>
      <c r="E2688" s="15"/>
      <c r="F2688" s="20"/>
    </row>
    <row r="2689" spans="2:6" ht="17.25" customHeight="1">
      <c r="B2689" s="15"/>
      <c r="C2689" s="15"/>
      <c r="D2689" s="15"/>
      <c r="E2689" s="15"/>
      <c r="F2689" s="20"/>
    </row>
    <row r="2690" spans="2:6" ht="17.25" customHeight="1">
      <c r="B2690" s="15"/>
      <c r="C2690" s="15"/>
      <c r="D2690" s="15"/>
      <c r="E2690" s="15"/>
      <c r="F2690" s="20"/>
    </row>
    <row r="2691" spans="2:6" ht="17.25" customHeight="1">
      <c r="B2691" s="15"/>
      <c r="C2691" s="15"/>
      <c r="D2691" s="15"/>
      <c r="E2691" s="15"/>
      <c r="F2691" s="20"/>
    </row>
    <row r="2692" spans="2:6" ht="17.25" customHeight="1">
      <c r="B2692" s="15"/>
      <c r="C2692" s="15"/>
      <c r="D2692" s="15"/>
      <c r="E2692" s="15"/>
      <c r="F2692" s="20"/>
    </row>
    <row r="2693" spans="2:6" ht="17.25" customHeight="1">
      <c r="B2693" s="15"/>
      <c r="C2693" s="15"/>
      <c r="D2693" s="15"/>
      <c r="E2693" s="15"/>
      <c r="F2693" s="20"/>
    </row>
    <row r="2694" spans="2:6" ht="17.25" customHeight="1">
      <c r="B2694" s="15"/>
      <c r="C2694" s="15"/>
      <c r="D2694" s="15"/>
      <c r="E2694" s="15"/>
      <c r="F2694" s="20"/>
    </row>
    <row r="2695" spans="2:6" ht="17.25" customHeight="1">
      <c r="B2695" s="15"/>
      <c r="C2695" s="15"/>
      <c r="D2695" s="15"/>
      <c r="E2695" s="15"/>
      <c r="F2695" s="20"/>
    </row>
    <row r="2696" spans="2:6" ht="17.25" customHeight="1">
      <c r="B2696" s="15"/>
      <c r="C2696" s="15"/>
      <c r="D2696" s="15"/>
      <c r="E2696" s="15"/>
      <c r="F2696" s="20"/>
    </row>
    <row r="2697" spans="2:6" ht="17.25" customHeight="1">
      <c r="B2697" s="15"/>
      <c r="C2697" s="15"/>
      <c r="D2697" s="15"/>
      <c r="E2697" s="15"/>
      <c r="F2697" s="20"/>
    </row>
    <row r="2698" spans="2:6" ht="17.25" customHeight="1">
      <c r="B2698" s="15"/>
      <c r="C2698" s="15"/>
      <c r="D2698" s="15"/>
      <c r="E2698" s="15"/>
      <c r="F2698" s="20"/>
    </row>
    <row r="2699" spans="2:6" ht="17.25" customHeight="1">
      <c r="B2699" s="15"/>
      <c r="C2699" s="15"/>
      <c r="D2699" s="15"/>
      <c r="E2699" s="15"/>
      <c r="F2699" s="20"/>
    </row>
    <row r="2700" spans="2:6" ht="17.25" customHeight="1">
      <c r="B2700" s="15"/>
      <c r="C2700" s="15"/>
      <c r="D2700" s="15"/>
      <c r="E2700" s="15"/>
      <c r="F2700" s="20"/>
    </row>
    <row r="2701" spans="2:6" ht="17.25" customHeight="1">
      <c r="B2701" s="15"/>
      <c r="C2701" s="15"/>
      <c r="D2701" s="15"/>
      <c r="E2701" s="15"/>
      <c r="F2701" s="20"/>
    </row>
    <row r="2702" spans="2:6" ht="17.25" customHeight="1">
      <c r="B2702" s="15"/>
      <c r="C2702" s="15"/>
      <c r="D2702" s="15"/>
      <c r="E2702" s="15"/>
      <c r="F2702" s="20"/>
    </row>
    <row r="2703" spans="2:6" ht="17.25" customHeight="1">
      <c r="B2703" s="15"/>
      <c r="C2703" s="15"/>
      <c r="D2703" s="15"/>
      <c r="E2703" s="15"/>
      <c r="F2703" s="20"/>
    </row>
    <row r="2704" spans="2:6" ht="17.25" customHeight="1">
      <c r="B2704" s="15"/>
      <c r="C2704" s="15"/>
      <c r="D2704" s="15"/>
      <c r="E2704" s="15"/>
      <c r="F2704" s="20"/>
    </row>
    <row r="2705" spans="2:6" ht="17.25" customHeight="1">
      <c r="B2705" s="15"/>
      <c r="C2705" s="15"/>
      <c r="D2705" s="15"/>
      <c r="E2705" s="15"/>
      <c r="F2705" s="20"/>
    </row>
    <row r="2706" spans="2:6" ht="17.25" customHeight="1">
      <c r="B2706" s="15"/>
      <c r="C2706" s="15"/>
      <c r="D2706" s="15"/>
      <c r="E2706" s="15"/>
      <c r="F2706" s="20"/>
    </row>
    <row r="2707" spans="2:6" ht="17.25" customHeight="1">
      <c r="B2707" s="15"/>
      <c r="C2707" s="15"/>
      <c r="D2707" s="15"/>
      <c r="E2707" s="15"/>
      <c r="F2707" s="20"/>
    </row>
    <row r="2708" spans="2:6" ht="17.25" customHeight="1">
      <c r="B2708" s="15"/>
      <c r="C2708" s="15"/>
      <c r="D2708" s="15"/>
      <c r="E2708" s="15"/>
      <c r="F2708" s="20"/>
    </row>
    <row r="2709" spans="2:6" ht="17.25" customHeight="1">
      <c r="B2709" s="15"/>
      <c r="C2709" s="15"/>
      <c r="D2709" s="15"/>
      <c r="E2709" s="15"/>
      <c r="F2709" s="20"/>
    </row>
    <row r="2710" spans="2:6" ht="17.25" customHeight="1">
      <c r="B2710" s="15"/>
      <c r="C2710" s="15"/>
      <c r="D2710" s="15"/>
      <c r="E2710" s="15"/>
      <c r="F2710" s="20"/>
    </row>
    <row r="2711" spans="2:6" ht="17.25" customHeight="1">
      <c r="B2711" s="15"/>
      <c r="C2711" s="15"/>
      <c r="D2711" s="15"/>
      <c r="E2711" s="15"/>
      <c r="F2711" s="20"/>
    </row>
    <row r="2712" spans="2:6" ht="17.25" customHeight="1">
      <c r="B2712" s="15"/>
      <c r="C2712" s="15"/>
      <c r="D2712" s="15"/>
      <c r="E2712" s="15"/>
      <c r="F2712" s="20"/>
    </row>
    <row r="2713" spans="2:6" ht="17.25" customHeight="1">
      <c r="B2713" s="15"/>
      <c r="C2713" s="15"/>
      <c r="D2713" s="15"/>
      <c r="E2713" s="15"/>
      <c r="F2713" s="20"/>
    </row>
    <row r="2714" spans="2:6" ht="17.25" customHeight="1">
      <c r="B2714" s="15"/>
      <c r="C2714" s="15"/>
      <c r="D2714" s="15"/>
      <c r="E2714" s="15"/>
      <c r="F2714" s="20"/>
    </row>
    <row r="2715" spans="2:6" ht="17.25" customHeight="1">
      <c r="B2715" s="15"/>
      <c r="C2715" s="15"/>
      <c r="D2715" s="15"/>
      <c r="E2715" s="15"/>
      <c r="F2715" s="20"/>
    </row>
    <row r="2716" spans="2:6" ht="17.25" customHeight="1">
      <c r="B2716" s="15"/>
      <c r="C2716" s="15"/>
      <c r="D2716" s="15"/>
      <c r="E2716" s="15"/>
      <c r="F2716" s="20"/>
    </row>
    <row r="2717" spans="2:6" ht="17.25" customHeight="1">
      <c r="B2717" s="15"/>
      <c r="C2717" s="15"/>
      <c r="D2717" s="15"/>
      <c r="E2717" s="15"/>
      <c r="F2717" s="20"/>
    </row>
    <row r="2718" spans="2:6" ht="17.25" customHeight="1">
      <c r="B2718" s="15"/>
      <c r="C2718" s="15"/>
      <c r="D2718" s="15"/>
      <c r="E2718" s="15"/>
      <c r="F2718" s="20"/>
    </row>
    <row r="2719" spans="2:6" ht="17.25" customHeight="1">
      <c r="B2719" s="15"/>
      <c r="C2719" s="15"/>
      <c r="D2719" s="15"/>
      <c r="E2719" s="15"/>
      <c r="F2719" s="20"/>
    </row>
    <row r="2720" spans="2:6" ht="17.25" customHeight="1">
      <c r="B2720" s="15"/>
      <c r="C2720" s="15"/>
      <c r="D2720" s="15"/>
      <c r="E2720" s="15"/>
      <c r="F2720" s="20"/>
    </row>
    <row r="2721" spans="2:6" ht="17.25" customHeight="1">
      <c r="B2721" s="15"/>
      <c r="C2721" s="15"/>
      <c r="D2721" s="15"/>
      <c r="E2721" s="15"/>
      <c r="F2721" s="20"/>
    </row>
    <row r="2722" spans="2:6" ht="17.25" customHeight="1">
      <c r="B2722" s="15"/>
      <c r="C2722" s="15"/>
      <c r="D2722" s="15"/>
      <c r="E2722" s="15"/>
      <c r="F2722" s="20"/>
    </row>
    <row r="2723" spans="2:6" ht="17.25" customHeight="1">
      <c r="B2723" s="15"/>
      <c r="C2723" s="15"/>
      <c r="D2723" s="15"/>
      <c r="E2723" s="15"/>
      <c r="F2723" s="20"/>
    </row>
    <row r="2724" spans="2:6" ht="17.25" customHeight="1">
      <c r="B2724" s="15"/>
      <c r="C2724" s="15"/>
      <c r="D2724" s="15"/>
      <c r="E2724" s="15"/>
      <c r="F2724" s="20"/>
    </row>
    <row r="2725" spans="2:6" ht="17.25" customHeight="1">
      <c r="B2725" s="15"/>
      <c r="C2725" s="15"/>
      <c r="D2725" s="15"/>
      <c r="E2725" s="15"/>
      <c r="F2725" s="20"/>
    </row>
    <row r="2726" spans="2:6" ht="17.25" customHeight="1">
      <c r="B2726" s="15"/>
      <c r="C2726" s="15"/>
      <c r="D2726" s="15"/>
      <c r="E2726" s="15"/>
      <c r="F2726" s="20"/>
    </row>
    <row r="2727" spans="2:6" ht="17.25" customHeight="1">
      <c r="B2727" s="15"/>
      <c r="C2727" s="15"/>
      <c r="D2727" s="15"/>
      <c r="E2727" s="15"/>
      <c r="F2727" s="20"/>
    </row>
    <row r="2728" spans="2:6" ht="17.25" customHeight="1">
      <c r="B2728" s="15"/>
      <c r="C2728" s="15"/>
      <c r="D2728" s="15"/>
      <c r="E2728" s="15"/>
      <c r="F2728" s="20"/>
    </row>
    <row r="2729" spans="2:6" ht="17.25" customHeight="1">
      <c r="B2729" s="15"/>
      <c r="C2729" s="15"/>
      <c r="D2729" s="15"/>
      <c r="E2729" s="15"/>
      <c r="F2729" s="20"/>
    </row>
    <row r="2730" spans="2:6" ht="17.25" customHeight="1">
      <c r="B2730" s="15"/>
      <c r="C2730" s="15"/>
      <c r="D2730" s="15"/>
      <c r="E2730" s="15"/>
      <c r="F2730" s="20"/>
    </row>
    <row r="2731" spans="2:6" ht="17.25" customHeight="1">
      <c r="B2731" s="15"/>
      <c r="C2731" s="15"/>
      <c r="D2731" s="15"/>
      <c r="E2731" s="15"/>
      <c r="F2731" s="20"/>
    </row>
    <row r="2732" spans="2:6" ht="17.25" customHeight="1">
      <c r="B2732" s="15"/>
      <c r="C2732" s="15"/>
      <c r="D2732" s="15"/>
      <c r="E2732" s="15"/>
      <c r="F2732" s="20"/>
    </row>
    <row r="2733" spans="2:6" ht="17.25" customHeight="1">
      <c r="B2733" s="15"/>
      <c r="C2733" s="15"/>
      <c r="D2733" s="15"/>
      <c r="E2733" s="15"/>
      <c r="F2733" s="20"/>
    </row>
    <row r="2734" spans="2:6" ht="17.25" customHeight="1">
      <c r="B2734" s="15"/>
      <c r="C2734" s="15"/>
      <c r="D2734" s="15"/>
      <c r="E2734" s="15"/>
      <c r="F2734" s="20"/>
    </row>
    <row r="2735" spans="2:6" ht="17.25" customHeight="1">
      <c r="B2735" s="15"/>
      <c r="C2735" s="15"/>
      <c r="D2735" s="15"/>
      <c r="E2735" s="15"/>
      <c r="F2735" s="20"/>
    </row>
    <row r="2736" spans="2:6" ht="17.25" customHeight="1">
      <c r="B2736" s="15"/>
      <c r="C2736" s="15"/>
      <c r="D2736" s="15"/>
      <c r="E2736" s="15"/>
      <c r="F2736" s="20"/>
    </row>
    <row r="2737" spans="2:6" ht="17.25" customHeight="1">
      <c r="B2737" s="15"/>
      <c r="C2737" s="15"/>
      <c r="D2737" s="15"/>
      <c r="E2737" s="15"/>
      <c r="F2737" s="20"/>
    </row>
    <row r="2738" spans="2:6" ht="17.25" customHeight="1">
      <c r="B2738" s="15"/>
      <c r="C2738" s="15"/>
      <c r="D2738" s="15"/>
      <c r="E2738" s="15"/>
      <c r="F2738" s="20"/>
    </row>
    <row r="2739" spans="2:6" ht="17.25" customHeight="1">
      <c r="B2739" s="15"/>
      <c r="C2739" s="15"/>
      <c r="D2739" s="15"/>
      <c r="E2739" s="15"/>
      <c r="F2739" s="20"/>
    </row>
    <row r="2740" spans="2:6" ht="17.25" customHeight="1">
      <c r="B2740" s="15"/>
      <c r="C2740" s="15"/>
      <c r="D2740" s="15"/>
      <c r="E2740" s="15"/>
      <c r="F2740" s="20"/>
    </row>
    <row r="2741" spans="2:6" ht="17.25" customHeight="1">
      <c r="B2741" s="15"/>
      <c r="C2741" s="15"/>
      <c r="D2741" s="15"/>
      <c r="E2741" s="15"/>
      <c r="F2741" s="20"/>
    </row>
    <row r="2742" spans="2:6" ht="17.25" customHeight="1">
      <c r="B2742" s="15"/>
      <c r="C2742" s="15"/>
      <c r="D2742" s="15"/>
      <c r="E2742" s="15"/>
      <c r="F2742" s="20"/>
    </row>
    <row r="2743" spans="2:6" ht="17.25" customHeight="1">
      <c r="B2743" s="15"/>
      <c r="C2743" s="15"/>
      <c r="D2743" s="15"/>
      <c r="E2743" s="15"/>
      <c r="F2743" s="20"/>
    </row>
    <row r="2744" spans="2:6" ht="17.25" customHeight="1">
      <c r="B2744" s="15"/>
      <c r="C2744" s="15"/>
      <c r="D2744" s="15"/>
      <c r="E2744" s="15"/>
      <c r="F2744" s="20"/>
    </row>
    <row r="2745" spans="2:6" ht="17.25" customHeight="1">
      <c r="B2745" s="15"/>
      <c r="C2745" s="15"/>
      <c r="D2745" s="15"/>
      <c r="E2745" s="15"/>
      <c r="F2745" s="20"/>
    </row>
    <row r="2746" spans="2:6" ht="17.25" customHeight="1">
      <c r="B2746" s="15"/>
      <c r="C2746" s="15"/>
      <c r="D2746" s="15"/>
      <c r="E2746" s="15"/>
      <c r="F2746" s="20"/>
    </row>
    <row r="2747" spans="2:6" ht="17.25" customHeight="1">
      <c r="B2747" s="15"/>
      <c r="C2747" s="15"/>
      <c r="D2747" s="15"/>
      <c r="E2747" s="15"/>
      <c r="F2747" s="20"/>
    </row>
    <row r="2748" spans="2:6" ht="17.25" customHeight="1">
      <c r="B2748" s="15"/>
      <c r="C2748" s="15"/>
      <c r="D2748" s="15"/>
      <c r="E2748" s="15"/>
      <c r="F2748" s="20"/>
    </row>
    <row r="2749" spans="2:6" ht="17.25" customHeight="1">
      <c r="B2749" s="15"/>
      <c r="C2749" s="15"/>
      <c r="D2749" s="15"/>
      <c r="E2749" s="15"/>
      <c r="F2749" s="20"/>
    </row>
    <row r="2750" spans="2:6" ht="17.25" customHeight="1">
      <c r="B2750" s="15"/>
      <c r="C2750" s="15"/>
      <c r="D2750" s="15"/>
      <c r="E2750" s="15"/>
      <c r="F2750" s="20"/>
    </row>
    <row r="2751" spans="2:6" ht="17.25" customHeight="1">
      <c r="B2751" s="15"/>
      <c r="C2751" s="15"/>
      <c r="D2751" s="15"/>
      <c r="E2751" s="15"/>
      <c r="F2751" s="20"/>
    </row>
    <row r="2752" spans="2:6" ht="17.25" customHeight="1">
      <c r="B2752" s="15"/>
      <c r="C2752" s="15"/>
      <c r="D2752" s="15"/>
      <c r="E2752" s="15"/>
      <c r="F2752" s="20"/>
    </row>
    <row r="2753" spans="2:6" ht="17.25" customHeight="1">
      <c r="B2753" s="15"/>
      <c r="C2753" s="15"/>
      <c r="D2753" s="15"/>
      <c r="E2753" s="15"/>
      <c r="F2753" s="20"/>
    </row>
    <row r="2754" spans="2:6" ht="17.25" customHeight="1">
      <c r="B2754" s="15"/>
      <c r="C2754" s="15"/>
      <c r="D2754" s="15"/>
      <c r="E2754" s="15"/>
      <c r="F2754" s="20"/>
    </row>
    <row r="2755" spans="2:6" ht="17.25" customHeight="1">
      <c r="B2755" s="15"/>
      <c r="C2755" s="15"/>
      <c r="D2755" s="15"/>
      <c r="E2755" s="15"/>
      <c r="F2755" s="20"/>
    </row>
    <row r="2756" spans="2:6" ht="17.25" customHeight="1">
      <c r="B2756" s="15"/>
      <c r="C2756" s="15"/>
      <c r="D2756" s="15"/>
      <c r="E2756" s="15"/>
      <c r="F2756" s="20"/>
    </row>
    <row r="2757" spans="2:6" ht="17.25" customHeight="1">
      <c r="B2757" s="15"/>
      <c r="C2757" s="15"/>
      <c r="D2757" s="15"/>
      <c r="E2757" s="15"/>
      <c r="F2757" s="20"/>
    </row>
    <row r="2758" spans="2:6" ht="17.25" customHeight="1">
      <c r="B2758" s="15"/>
      <c r="C2758" s="15"/>
      <c r="D2758" s="15"/>
      <c r="E2758" s="15"/>
      <c r="F2758" s="20"/>
    </row>
    <row r="2759" spans="2:6" ht="17.25" customHeight="1">
      <c r="B2759" s="15"/>
      <c r="C2759" s="15"/>
      <c r="D2759" s="15"/>
      <c r="E2759" s="15"/>
      <c r="F2759" s="20"/>
    </row>
    <row r="2760" spans="2:6" ht="17.25" customHeight="1">
      <c r="B2760" s="15"/>
      <c r="C2760" s="15"/>
      <c r="D2760" s="15"/>
      <c r="E2760" s="15"/>
      <c r="F2760" s="20"/>
    </row>
    <row r="2761" spans="2:6" ht="17.25" customHeight="1">
      <c r="B2761" s="15"/>
      <c r="C2761" s="15"/>
      <c r="D2761" s="15"/>
      <c r="E2761" s="15"/>
      <c r="F2761" s="20"/>
    </row>
    <row r="2762" spans="2:6" ht="17.25" customHeight="1">
      <c r="B2762" s="15"/>
      <c r="C2762" s="15"/>
      <c r="D2762" s="15"/>
      <c r="E2762" s="15"/>
      <c r="F2762" s="20"/>
    </row>
    <row r="2763" spans="2:6" ht="17.25" customHeight="1">
      <c r="B2763" s="15"/>
      <c r="C2763" s="15"/>
      <c r="D2763" s="15"/>
      <c r="E2763" s="15"/>
      <c r="F2763" s="20"/>
    </row>
    <row r="2764" spans="2:6" ht="17.25" customHeight="1">
      <c r="B2764" s="15"/>
      <c r="C2764" s="15"/>
      <c r="D2764" s="15"/>
      <c r="E2764" s="15"/>
      <c r="F2764" s="20"/>
    </row>
    <row r="2765" spans="2:6" ht="17.25" customHeight="1">
      <c r="B2765" s="15"/>
      <c r="C2765" s="15"/>
      <c r="D2765" s="15"/>
      <c r="E2765" s="15"/>
      <c r="F2765" s="20"/>
    </row>
    <row r="2766" spans="2:6" ht="17.25" customHeight="1">
      <c r="B2766" s="15"/>
      <c r="C2766" s="15"/>
      <c r="D2766" s="15"/>
      <c r="E2766" s="15"/>
      <c r="F2766" s="20"/>
    </row>
    <row r="2767" spans="2:6" ht="17.25" customHeight="1">
      <c r="B2767" s="15"/>
      <c r="C2767" s="15"/>
      <c r="D2767" s="15"/>
      <c r="E2767" s="15"/>
      <c r="F2767" s="20"/>
    </row>
    <row r="2768" spans="2:6" ht="17.25" customHeight="1">
      <c r="B2768" s="15"/>
      <c r="C2768" s="15"/>
      <c r="D2768" s="15"/>
      <c r="E2768" s="15"/>
      <c r="F2768" s="20"/>
    </row>
    <row r="2769" spans="2:6" ht="17.25" customHeight="1">
      <c r="B2769" s="15"/>
      <c r="C2769" s="15"/>
      <c r="D2769" s="15"/>
      <c r="E2769" s="15"/>
      <c r="F2769" s="20"/>
    </row>
    <row r="2770" spans="2:6" ht="17.25" customHeight="1">
      <c r="B2770" s="15"/>
      <c r="C2770" s="15"/>
      <c r="D2770" s="15"/>
      <c r="E2770" s="15"/>
      <c r="F2770" s="20"/>
    </row>
    <row r="2771" spans="2:6" ht="17.25" customHeight="1">
      <c r="B2771" s="15"/>
      <c r="C2771" s="15"/>
      <c r="D2771" s="15"/>
      <c r="E2771" s="15"/>
      <c r="F2771" s="20"/>
    </row>
    <row r="2772" spans="2:6" ht="17.25" customHeight="1">
      <c r="B2772" s="15"/>
      <c r="C2772" s="15"/>
      <c r="D2772" s="15"/>
      <c r="E2772" s="15"/>
      <c r="F2772" s="20"/>
    </row>
    <row r="2773" spans="2:6" ht="17.25" customHeight="1">
      <c r="B2773" s="15"/>
      <c r="C2773" s="15"/>
      <c r="D2773" s="15"/>
      <c r="E2773" s="15"/>
      <c r="F2773" s="20"/>
    </row>
    <row r="2774" spans="2:6" ht="17.25" customHeight="1">
      <c r="B2774" s="15"/>
      <c r="C2774" s="15"/>
      <c r="D2774" s="15"/>
      <c r="E2774" s="15"/>
      <c r="F2774" s="20"/>
    </row>
    <row r="2775" spans="2:6" ht="17.25" customHeight="1">
      <c r="B2775" s="15"/>
      <c r="C2775" s="15"/>
      <c r="D2775" s="15"/>
      <c r="E2775" s="15"/>
      <c r="F2775" s="20"/>
    </row>
    <row r="2776" spans="2:6" ht="17.25" customHeight="1">
      <c r="B2776" s="15"/>
      <c r="C2776" s="15"/>
      <c r="D2776" s="15"/>
      <c r="E2776" s="15"/>
      <c r="F2776" s="20"/>
    </row>
    <row r="2777" spans="2:6" ht="17.25" customHeight="1">
      <c r="B2777" s="15"/>
      <c r="C2777" s="15"/>
      <c r="D2777" s="15"/>
      <c r="E2777" s="15"/>
      <c r="F2777" s="20"/>
    </row>
    <row r="2778" spans="2:6" ht="17.25" customHeight="1">
      <c r="B2778" s="15"/>
      <c r="C2778" s="15"/>
      <c r="D2778" s="15"/>
      <c r="E2778" s="15"/>
      <c r="F2778" s="20"/>
    </row>
    <row r="2779" spans="2:6" ht="17.25" customHeight="1">
      <c r="B2779" s="15"/>
      <c r="C2779" s="15"/>
      <c r="D2779" s="15"/>
      <c r="E2779" s="15"/>
      <c r="F2779" s="20"/>
    </row>
    <row r="2780" spans="2:6" ht="17.25" customHeight="1">
      <c r="B2780" s="15"/>
      <c r="C2780" s="15"/>
      <c r="D2780" s="15"/>
      <c r="E2780" s="15"/>
      <c r="F2780" s="20"/>
    </row>
    <row r="2781" spans="2:6" ht="17.25" customHeight="1">
      <c r="B2781" s="15"/>
      <c r="C2781" s="15"/>
      <c r="D2781" s="15"/>
      <c r="E2781" s="15"/>
      <c r="F2781" s="20"/>
    </row>
    <row r="2782" spans="2:6" ht="17.25" customHeight="1">
      <c r="B2782" s="15"/>
      <c r="C2782" s="15"/>
      <c r="D2782" s="15"/>
      <c r="E2782" s="15"/>
      <c r="F2782" s="20"/>
    </row>
    <row r="2783" spans="2:6" ht="17.25" customHeight="1">
      <c r="B2783" s="15"/>
      <c r="C2783" s="15"/>
      <c r="D2783" s="15"/>
      <c r="E2783" s="15"/>
      <c r="F2783" s="20"/>
    </row>
    <row r="2784" spans="2:6" ht="17.25" customHeight="1">
      <c r="B2784" s="15"/>
      <c r="C2784" s="15"/>
      <c r="D2784" s="15"/>
      <c r="E2784" s="15"/>
      <c r="F2784" s="20"/>
    </row>
    <row r="2785" spans="2:6" ht="17.25" customHeight="1">
      <c r="B2785" s="15"/>
      <c r="C2785" s="15"/>
      <c r="D2785" s="15"/>
      <c r="E2785" s="15"/>
      <c r="F2785" s="20"/>
    </row>
    <row r="2786" spans="2:6" ht="17.25" customHeight="1">
      <c r="B2786" s="15"/>
      <c r="C2786" s="15"/>
      <c r="D2786" s="15"/>
      <c r="E2786" s="15"/>
      <c r="F2786" s="20"/>
    </row>
    <row r="2787" spans="2:6" ht="17.25" customHeight="1">
      <c r="B2787" s="15"/>
      <c r="C2787" s="15"/>
      <c r="D2787" s="15"/>
      <c r="E2787" s="15"/>
      <c r="F2787" s="20"/>
    </row>
    <row r="2788" spans="2:6" ht="17.25" customHeight="1">
      <c r="B2788" s="15"/>
      <c r="C2788" s="15"/>
      <c r="D2788" s="15"/>
      <c r="E2788" s="15"/>
      <c r="F2788" s="20"/>
    </row>
    <row r="2789" spans="2:6" ht="17.25" customHeight="1">
      <c r="B2789" s="15"/>
      <c r="C2789" s="15"/>
      <c r="D2789" s="15"/>
      <c r="E2789" s="15"/>
      <c r="F2789" s="20"/>
    </row>
    <row r="2790" spans="2:6" ht="17.25" customHeight="1">
      <c r="B2790" s="15"/>
      <c r="C2790" s="15"/>
      <c r="D2790" s="15"/>
      <c r="E2790" s="15"/>
      <c r="F2790" s="20"/>
    </row>
    <row r="2791" spans="2:6" ht="17.25" customHeight="1">
      <c r="B2791" s="15"/>
      <c r="C2791" s="15"/>
      <c r="D2791" s="15"/>
      <c r="E2791" s="15"/>
      <c r="F2791" s="20"/>
    </row>
    <row r="2792" spans="2:6" ht="17.25" customHeight="1">
      <c r="B2792" s="15"/>
      <c r="C2792" s="15"/>
      <c r="D2792" s="15"/>
      <c r="E2792" s="15"/>
      <c r="F2792" s="20"/>
    </row>
    <row r="2793" spans="2:6" ht="17.25" customHeight="1">
      <c r="B2793" s="15"/>
      <c r="C2793" s="15"/>
      <c r="D2793" s="15"/>
      <c r="E2793" s="15"/>
      <c r="F2793" s="20"/>
    </row>
    <row r="2794" spans="2:6" ht="17.25" customHeight="1">
      <c r="B2794" s="15"/>
      <c r="C2794" s="15"/>
      <c r="D2794" s="15"/>
      <c r="E2794" s="15"/>
      <c r="F2794" s="20"/>
    </row>
    <row r="2795" spans="2:6" ht="17.25" customHeight="1">
      <c r="B2795" s="15"/>
      <c r="C2795" s="15"/>
      <c r="D2795" s="15"/>
      <c r="E2795" s="15"/>
      <c r="F2795" s="20"/>
    </row>
    <row r="2796" spans="2:6" ht="17.25" customHeight="1">
      <c r="B2796" s="15"/>
      <c r="C2796" s="15"/>
      <c r="D2796" s="15"/>
      <c r="E2796" s="15"/>
      <c r="F2796" s="20"/>
    </row>
    <row r="2797" spans="2:6" ht="17.25" customHeight="1">
      <c r="B2797" s="15"/>
      <c r="C2797" s="15"/>
      <c r="D2797" s="15"/>
      <c r="E2797" s="15"/>
      <c r="F2797" s="20"/>
    </row>
    <row r="2798" spans="2:6" ht="17.25" customHeight="1">
      <c r="B2798" s="15"/>
      <c r="C2798" s="15"/>
      <c r="D2798" s="15"/>
      <c r="E2798" s="15"/>
      <c r="F2798" s="20"/>
    </row>
    <row r="2799" spans="2:6" ht="17.25" customHeight="1">
      <c r="B2799" s="15"/>
      <c r="C2799" s="15"/>
      <c r="D2799" s="15"/>
      <c r="E2799" s="15"/>
      <c r="F2799" s="20"/>
    </row>
    <row r="2800" spans="2:6" ht="17.25" customHeight="1">
      <c r="B2800" s="15"/>
      <c r="C2800" s="15"/>
      <c r="D2800" s="15"/>
      <c r="E2800" s="15"/>
      <c r="F2800" s="20"/>
    </row>
    <row r="2801" spans="2:6" ht="17.25" customHeight="1">
      <c r="B2801" s="15"/>
      <c r="C2801" s="15"/>
      <c r="D2801" s="15"/>
      <c r="E2801" s="15"/>
      <c r="F2801" s="20"/>
    </row>
    <row r="2802" spans="2:6" ht="17.25" customHeight="1">
      <c r="B2802" s="15"/>
      <c r="C2802" s="15"/>
      <c r="D2802" s="15"/>
      <c r="E2802" s="15"/>
      <c r="F2802" s="20"/>
    </row>
    <row r="2803" spans="2:6" ht="17.25" customHeight="1">
      <c r="B2803" s="15"/>
      <c r="C2803" s="15"/>
      <c r="D2803" s="15"/>
      <c r="E2803" s="15"/>
      <c r="F2803" s="20"/>
    </row>
    <row r="2804" spans="2:6" ht="17.25" customHeight="1">
      <c r="B2804" s="15"/>
      <c r="C2804" s="15"/>
      <c r="D2804" s="15"/>
      <c r="E2804" s="15"/>
      <c r="F2804" s="20"/>
    </row>
    <row r="2805" spans="2:6" ht="17.25" customHeight="1">
      <c r="B2805" s="15"/>
      <c r="C2805" s="15"/>
      <c r="D2805" s="15"/>
      <c r="E2805" s="15"/>
      <c r="F2805" s="20"/>
    </row>
    <row r="2806" spans="2:6" ht="17.25" customHeight="1">
      <c r="B2806" s="15"/>
      <c r="C2806" s="15"/>
      <c r="D2806" s="15"/>
      <c r="E2806" s="15"/>
      <c r="F2806" s="20"/>
    </row>
    <row r="2807" spans="2:6" ht="17.25" customHeight="1">
      <c r="B2807" s="15"/>
      <c r="C2807" s="15"/>
      <c r="D2807" s="15"/>
      <c r="E2807" s="15"/>
      <c r="F2807" s="20"/>
    </row>
    <row r="2808" spans="2:6" ht="17.25" customHeight="1">
      <c r="B2808" s="15"/>
      <c r="C2808" s="15"/>
      <c r="D2808" s="15"/>
      <c r="E2808" s="15"/>
      <c r="F2808" s="20"/>
    </row>
    <row r="2809" spans="2:6" ht="17.25" customHeight="1">
      <c r="B2809" s="15"/>
      <c r="C2809" s="15"/>
      <c r="D2809" s="15"/>
      <c r="E2809" s="15"/>
      <c r="F2809" s="20"/>
    </row>
    <row r="2810" spans="2:6" ht="17.25" customHeight="1">
      <c r="B2810" s="15"/>
      <c r="C2810" s="15"/>
      <c r="D2810" s="15"/>
      <c r="E2810" s="15"/>
      <c r="F2810" s="20"/>
    </row>
    <row r="2811" spans="2:6" ht="17.25" customHeight="1">
      <c r="B2811" s="15"/>
      <c r="C2811" s="15"/>
      <c r="D2811" s="15"/>
      <c r="E2811" s="15"/>
      <c r="F2811" s="20"/>
    </row>
    <row r="2812" spans="2:6" ht="17.25" customHeight="1">
      <c r="B2812" s="15"/>
      <c r="C2812" s="15"/>
      <c r="D2812" s="15"/>
      <c r="E2812" s="15"/>
      <c r="F2812" s="20"/>
    </row>
    <row r="2813" spans="2:6" ht="17.25" customHeight="1">
      <c r="B2813" s="15"/>
      <c r="C2813" s="15"/>
      <c r="D2813" s="15"/>
      <c r="E2813" s="15"/>
      <c r="F2813" s="20"/>
    </row>
    <row r="2814" spans="2:6" ht="17.25" customHeight="1">
      <c r="B2814" s="15"/>
      <c r="C2814" s="15"/>
      <c r="D2814" s="15"/>
      <c r="E2814" s="15"/>
      <c r="F2814" s="20"/>
    </row>
    <row r="2815" spans="2:6" ht="17.25" customHeight="1">
      <c r="B2815" s="15"/>
      <c r="C2815" s="15"/>
      <c r="D2815" s="15"/>
      <c r="E2815" s="15"/>
      <c r="F2815" s="20"/>
    </row>
    <row r="2816" spans="2:6" ht="17.25" customHeight="1">
      <c r="B2816" s="15"/>
      <c r="C2816" s="15"/>
      <c r="D2816" s="15"/>
      <c r="E2816" s="15"/>
      <c r="F2816" s="20"/>
    </row>
    <row r="2817" spans="2:6" ht="17.25" customHeight="1">
      <c r="B2817" s="15"/>
      <c r="C2817" s="15"/>
      <c r="D2817" s="15"/>
      <c r="E2817" s="15"/>
      <c r="F2817" s="20"/>
    </row>
    <row r="2818" spans="2:6" ht="17.25" customHeight="1">
      <c r="B2818" s="15"/>
      <c r="C2818" s="15"/>
      <c r="D2818" s="15"/>
      <c r="E2818" s="15"/>
      <c r="F2818" s="20"/>
    </row>
    <row r="2819" spans="2:6" ht="17.25" customHeight="1">
      <c r="B2819" s="15"/>
      <c r="C2819" s="15"/>
      <c r="D2819" s="15"/>
      <c r="E2819" s="15"/>
      <c r="F2819" s="20"/>
    </row>
    <row r="2820" spans="2:6" ht="17.25" customHeight="1">
      <c r="B2820" s="15"/>
      <c r="C2820" s="15"/>
      <c r="D2820" s="15"/>
      <c r="E2820" s="15"/>
      <c r="F2820" s="20"/>
    </row>
    <row r="2821" spans="2:6" ht="17.25" customHeight="1">
      <c r="B2821" s="15"/>
      <c r="C2821" s="15"/>
      <c r="D2821" s="15"/>
      <c r="E2821" s="15"/>
      <c r="F2821" s="20"/>
    </row>
    <row r="2822" spans="2:6" ht="17.25" customHeight="1">
      <c r="B2822" s="15"/>
      <c r="C2822" s="15"/>
      <c r="D2822" s="15"/>
      <c r="E2822" s="15"/>
      <c r="F2822" s="20"/>
    </row>
    <row r="2823" spans="2:6" ht="17.25" customHeight="1">
      <c r="B2823" s="15"/>
      <c r="C2823" s="15"/>
      <c r="D2823" s="15"/>
      <c r="E2823" s="15"/>
      <c r="F2823" s="20"/>
    </row>
    <row r="2824" spans="2:6" ht="17.25" customHeight="1">
      <c r="B2824" s="15"/>
      <c r="C2824" s="15"/>
      <c r="D2824" s="15"/>
      <c r="E2824" s="15"/>
      <c r="F2824" s="20"/>
    </row>
    <row r="2825" spans="2:6" ht="17.25" customHeight="1">
      <c r="B2825" s="15"/>
      <c r="C2825" s="15"/>
      <c r="D2825" s="15"/>
      <c r="E2825" s="15"/>
      <c r="F2825" s="20"/>
    </row>
    <row r="2826" spans="2:6" ht="17.25" customHeight="1">
      <c r="B2826" s="15"/>
      <c r="C2826" s="15"/>
      <c r="D2826" s="15"/>
      <c r="E2826" s="15"/>
      <c r="F2826" s="20"/>
    </row>
    <row r="2827" spans="2:6" ht="17.25" customHeight="1">
      <c r="B2827" s="15"/>
      <c r="C2827" s="15"/>
      <c r="D2827" s="15"/>
      <c r="E2827" s="15"/>
      <c r="F2827" s="20"/>
    </row>
    <row r="2828" spans="2:6" ht="17.25" customHeight="1">
      <c r="B2828" s="15"/>
      <c r="C2828" s="15"/>
      <c r="D2828" s="15"/>
      <c r="E2828" s="15"/>
      <c r="F2828" s="20"/>
    </row>
    <row r="2829" spans="2:6" ht="17.25" customHeight="1">
      <c r="B2829" s="15"/>
      <c r="C2829" s="15"/>
      <c r="D2829" s="15"/>
      <c r="E2829" s="15"/>
      <c r="F2829" s="20"/>
    </row>
    <row r="2830" spans="2:6" ht="17.25" customHeight="1">
      <c r="B2830" s="15"/>
      <c r="C2830" s="15"/>
      <c r="D2830" s="15"/>
      <c r="E2830" s="15"/>
      <c r="F2830" s="20"/>
    </row>
    <row r="2831" spans="2:6" ht="17.25" customHeight="1">
      <c r="B2831" s="15"/>
      <c r="C2831" s="15"/>
      <c r="D2831" s="15"/>
      <c r="E2831" s="15"/>
      <c r="F2831" s="20"/>
    </row>
    <row r="2832" spans="2:6" ht="17.25" customHeight="1">
      <c r="B2832" s="15"/>
      <c r="C2832" s="15"/>
      <c r="D2832" s="15"/>
      <c r="E2832" s="15"/>
      <c r="F2832" s="20"/>
    </row>
    <row r="2833" spans="2:6" ht="17.25" customHeight="1">
      <c r="B2833" s="15"/>
      <c r="C2833" s="15"/>
      <c r="D2833" s="15"/>
      <c r="E2833" s="15"/>
      <c r="F2833" s="20"/>
    </row>
    <row r="2834" spans="2:6" ht="17.25" customHeight="1">
      <c r="B2834" s="15"/>
      <c r="C2834" s="15"/>
      <c r="D2834" s="15"/>
      <c r="E2834" s="15"/>
      <c r="F2834" s="20"/>
    </row>
    <row r="2835" spans="2:6" ht="17.25" customHeight="1">
      <c r="B2835" s="15"/>
      <c r="C2835" s="15"/>
      <c r="D2835" s="15"/>
      <c r="E2835" s="15"/>
      <c r="F2835" s="20"/>
    </row>
    <row r="2836" spans="2:6" ht="17.25" customHeight="1">
      <c r="B2836" s="15"/>
      <c r="C2836" s="15"/>
      <c r="D2836" s="15"/>
      <c r="E2836" s="15"/>
      <c r="F2836" s="20"/>
    </row>
    <row r="2837" spans="2:6" ht="17.25" customHeight="1">
      <c r="B2837" s="15"/>
      <c r="C2837" s="15"/>
      <c r="D2837" s="15"/>
      <c r="E2837" s="15"/>
      <c r="F2837" s="20"/>
    </row>
    <row r="2838" spans="2:6" ht="17.25" customHeight="1">
      <c r="B2838" s="15"/>
      <c r="C2838" s="15"/>
      <c r="D2838" s="15"/>
      <c r="E2838" s="15"/>
      <c r="F2838" s="20"/>
    </row>
    <row r="2839" spans="2:6" ht="17.25" customHeight="1">
      <c r="B2839" s="15"/>
      <c r="C2839" s="15"/>
      <c r="D2839" s="15"/>
      <c r="E2839" s="15"/>
      <c r="F2839" s="20"/>
    </row>
    <row r="2840" spans="2:6" ht="17.25" customHeight="1">
      <c r="B2840" s="15"/>
      <c r="C2840" s="15"/>
      <c r="D2840" s="15"/>
      <c r="E2840" s="15"/>
      <c r="F2840" s="20"/>
    </row>
    <row r="2841" spans="2:6" ht="17.25" customHeight="1">
      <c r="B2841" s="15"/>
      <c r="C2841" s="15"/>
      <c r="D2841" s="15"/>
      <c r="E2841" s="15"/>
      <c r="F2841" s="20"/>
    </row>
    <row r="2842" spans="2:6" ht="17.25" customHeight="1">
      <c r="B2842" s="15"/>
      <c r="C2842" s="15"/>
      <c r="D2842" s="15"/>
      <c r="E2842" s="15"/>
      <c r="F2842" s="20"/>
    </row>
    <row r="2843" spans="2:6" ht="17.25" customHeight="1">
      <c r="B2843" s="15"/>
      <c r="C2843" s="15"/>
      <c r="D2843" s="15"/>
      <c r="E2843" s="15"/>
      <c r="F2843" s="20"/>
    </row>
    <row r="2844" spans="2:6" ht="17.25" customHeight="1">
      <c r="B2844" s="15"/>
      <c r="C2844" s="15"/>
      <c r="D2844" s="15"/>
      <c r="E2844" s="15"/>
      <c r="F2844" s="20"/>
    </row>
    <row r="2845" spans="2:6" ht="17.25" customHeight="1">
      <c r="B2845" s="15"/>
      <c r="C2845" s="15"/>
      <c r="D2845" s="15"/>
      <c r="E2845" s="15"/>
      <c r="F2845" s="20"/>
    </row>
    <row r="2846" spans="2:6" ht="17.25" customHeight="1">
      <c r="B2846" s="15"/>
      <c r="C2846" s="15"/>
      <c r="D2846" s="15"/>
      <c r="E2846" s="15"/>
      <c r="F2846" s="20"/>
    </row>
    <row r="2847" spans="2:6" ht="17.25" customHeight="1">
      <c r="B2847" s="15"/>
      <c r="C2847" s="15"/>
      <c r="D2847" s="15"/>
      <c r="E2847" s="15"/>
      <c r="F2847" s="20"/>
    </row>
    <row r="2848" spans="2:6" ht="17.25" customHeight="1">
      <c r="B2848" s="15"/>
      <c r="C2848" s="15"/>
      <c r="D2848" s="15"/>
      <c r="E2848" s="15"/>
      <c r="F2848" s="20"/>
    </row>
    <row r="2849" spans="2:6" ht="17.25" customHeight="1">
      <c r="B2849" s="15"/>
      <c r="C2849" s="15"/>
      <c r="D2849" s="15"/>
      <c r="E2849" s="15"/>
      <c r="F2849" s="20"/>
    </row>
    <row r="2850" spans="2:6" ht="17.25" customHeight="1">
      <c r="B2850" s="15"/>
      <c r="C2850" s="15"/>
      <c r="D2850" s="15"/>
      <c r="E2850" s="15"/>
      <c r="F2850" s="20"/>
    </row>
    <row r="2851" spans="2:6" ht="17.25" customHeight="1">
      <c r="B2851" s="15"/>
      <c r="C2851" s="15"/>
      <c r="D2851" s="15"/>
      <c r="E2851" s="15"/>
      <c r="F2851" s="20"/>
    </row>
    <row r="2852" spans="2:6" ht="17.25" customHeight="1">
      <c r="B2852" s="15"/>
      <c r="C2852" s="15"/>
      <c r="D2852" s="15"/>
      <c r="E2852" s="15"/>
      <c r="F2852" s="20"/>
    </row>
    <row r="2853" spans="2:6" ht="17.25" customHeight="1">
      <c r="B2853" s="15"/>
      <c r="C2853" s="15"/>
      <c r="D2853" s="15"/>
      <c r="E2853" s="15"/>
      <c r="F2853" s="20"/>
    </row>
    <row r="2854" spans="2:6" ht="17.25" customHeight="1">
      <c r="B2854" s="15"/>
      <c r="C2854" s="15"/>
      <c r="D2854" s="15"/>
      <c r="E2854" s="15"/>
      <c r="F2854" s="20"/>
    </row>
    <row r="2855" spans="2:6" ht="17.25" customHeight="1">
      <c r="B2855" s="15"/>
      <c r="C2855" s="15"/>
      <c r="D2855" s="15"/>
      <c r="E2855" s="15"/>
      <c r="F2855" s="20"/>
    </row>
    <row r="2856" spans="2:6" ht="17.25" customHeight="1">
      <c r="B2856" s="15"/>
      <c r="C2856" s="15"/>
      <c r="D2856" s="15"/>
      <c r="E2856" s="15"/>
      <c r="F2856" s="20"/>
    </row>
    <row r="2857" spans="2:6" ht="17.25" customHeight="1">
      <c r="B2857" s="15"/>
      <c r="C2857" s="15"/>
      <c r="D2857" s="15"/>
      <c r="E2857" s="15"/>
      <c r="F2857" s="20"/>
    </row>
    <row r="2858" spans="2:6" ht="17.25" customHeight="1">
      <c r="B2858" s="15"/>
      <c r="C2858" s="15"/>
      <c r="D2858" s="15"/>
      <c r="E2858" s="15"/>
      <c r="F2858" s="20"/>
    </row>
    <row r="2859" spans="2:6" ht="17.25" customHeight="1">
      <c r="B2859" s="15"/>
      <c r="C2859" s="15"/>
      <c r="D2859" s="15"/>
      <c r="E2859" s="15"/>
      <c r="F2859" s="20"/>
    </row>
    <row r="2860" spans="2:6" ht="17.25" customHeight="1">
      <c r="B2860" s="15"/>
      <c r="C2860" s="15"/>
      <c r="D2860" s="15"/>
      <c r="E2860" s="15"/>
      <c r="F2860" s="20"/>
    </row>
    <row r="2861" spans="2:6" ht="17.25" customHeight="1">
      <c r="B2861" s="15"/>
      <c r="C2861" s="15"/>
      <c r="D2861" s="15"/>
      <c r="E2861" s="15"/>
      <c r="F2861" s="20"/>
    </row>
    <row r="2862" spans="2:6" ht="17.25" customHeight="1">
      <c r="B2862" s="15"/>
      <c r="C2862" s="15"/>
      <c r="D2862" s="15"/>
      <c r="E2862" s="15"/>
      <c r="F2862" s="20"/>
    </row>
    <row r="2863" spans="2:6" ht="17.25" customHeight="1">
      <c r="B2863" s="15"/>
      <c r="C2863" s="15"/>
      <c r="D2863" s="15"/>
      <c r="E2863" s="15"/>
      <c r="F2863" s="20"/>
    </row>
    <row r="2864" spans="2:6" ht="17.25" customHeight="1">
      <c r="B2864" s="15"/>
      <c r="C2864" s="15"/>
      <c r="D2864" s="15"/>
      <c r="E2864" s="15"/>
      <c r="F2864" s="20"/>
    </row>
    <row r="2865" spans="2:6" ht="17.25" customHeight="1">
      <c r="B2865" s="15"/>
      <c r="C2865" s="15"/>
      <c r="D2865" s="15"/>
      <c r="E2865" s="15"/>
      <c r="F2865" s="20"/>
    </row>
    <row r="2866" spans="2:6" ht="17.25" customHeight="1">
      <c r="B2866" s="15"/>
      <c r="C2866" s="15"/>
      <c r="D2866" s="15"/>
      <c r="E2866" s="15"/>
      <c r="F2866" s="20"/>
    </row>
    <row r="2867" spans="2:6" ht="17.25" customHeight="1">
      <c r="B2867" s="15"/>
      <c r="C2867" s="15"/>
      <c r="D2867" s="15"/>
      <c r="E2867" s="15"/>
      <c r="F2867" s="20"/>
    </row>
    <row r="2868" spans="2:6" ht="17.25" customHeight="1">
      <c r="B2868" s="15"/>
      <c r="C2868" s="15"/>
      <c r="D2868" s="15"/>
      <c r="E2868" s="15"/>
      <c r="F2868" s="20"/>
    </row>
    <row r="2869" spans="2:6" ht="17.25" customHeight="1">
      <c r="B2869" s="15"/>
      <c r="C2869" s="15"/>
      <c r="D2869" s="15"/>
      <c r="E2869" s="15"/>
      <c r="F2869" s="20"/>
    </row>
    <row r="2870" spans="2:6" ht="17.25" customHeight="1">
      <c r="B2870" s="15"/>
      <c r="C2870" s="15"/>
      <c r="D2870" s="15"/>
      <c r="E2870" s="15"/>
      <c r="F2870" s="20"/>
    </row>
    <row r="2871" spans="2:6" ht="17.25" customHeight="1">
      <c r="B2871" s="15"/>
      <c r="C2871" s="15"/>
      <c r="D2871" s="15"/>
      <c r="E2871" s="15"/>
      <c r="F2871" s="20"/>
    </row>
    <row r="2872" spans="2:6" ht="17.25" customHeight="1">
      <c r="B2872" s="15"/>
      <c r="C2872" s="15"/>
      <c r="D2872" s="15"/>
      <c r="E2872" s="15"/>
      <c r="F2872" s="20"/>
    </row>
    <row r="2873" spans="2:6" ht="17.25" customHeight="1">
      <c r="B2873" s="15"/>
      <c r="C2873" s="15"/>
      <c r="D2873" s="15"/>
      <c r="E2873" s="15"/>
      <c r="F2873" s="20"/>
    </row>
    <row r="2874" spans="2:6" ht="17.25" customHeight="1">
      <c r="B2874" s="15"/>
      <c r="C2874" s="15"/>
      <c r="D2874" s="15"/>
      <c r="E2874" s="15"/>
      <c r="F2874" s="20"/>
    </row>
    <row r="2875" spans="2:6" ht="17.25" customHeight="1">
      <c r="B2875" s="15"/>
      <c r="C2875" s="15"/>
      <c r="D2875" s="15"/>
      <c r="E2875" s="15"/>
      <c r="F2875" s="20"/>
    </row>
    <row r="2876" spans="2:6" ht="17.25" customHeight="1">
      <c r="B2876" s="15"/>
      <c r="C2876" s="15"/>
      <c r="D2876" s="15"/>
      <c r="E2876" s="15"/>
      <c r="F2876" s="20"/>
    </row>
    <row r="2877" spans="2:6" ht="17.25" customHeight="1">
      <c r="B2877" s="15"/>
      <c r="C2877" s="15"/>
      <c r="D2877" s="15"/>
      <c r="E2877" s="15"/>
      <c r="F2877" s="20"/>
    </row>
    <row r="2878" spans="2:6" ht="17.25" customHeight="1">
      <c r="B2878" s="15"/>
      <c r="C2878" s="15"/>
      <c r="D2878" s="15"/>
      <c r="E2878" s="15"/>
      <c r="F2878" s="20"/>
    </row>
    <row r="2879" spans="2:6" ht="17.25" customHeight="1">
      <c r="B2879" s="15"/>
      <c r="C2879" s="15"/>
      <c r="D2879" s="15"/>
      <c r="E2879" s="15"/>
      <c r="F2879" s="20"/>
    </row>
    <row r="2880" spans="2:6" ht="17.25" customHeight="1">
      <c r="B2880" s="15"/>
      <c r="C2880" s="15"/>
      <c r="D2880" s="15"/>
      <c r="E2880" s="15"/>
      <c r="F2880" s="20"/>
    </row>
    <row r="2881" spans="2:6" ht="17.25" customHeight="1">
      <c r="B2881" s="15"/>
      <c r="C2881" s="15"/>
      <c r="D2881" s="15"/>
      <c r="E2881" s="15"/>
      <c r="F2881" s="20"/>
    </row>
    <row r="2882" spans="2:6" ht="17.25" customHeight="1">
      <c r="B2882" s="15"/>
      <c r="C2882" s="15"/>
      <c r="D2882" s="15"/>
      <c r="E2882" s="15"/>
      <c r="F2882" s="20"/>
    </row>
    <row r="2883" spans="2:6" ht="17.25" customHeight="1">
      <c r="B2883" s="15"/>
      <c r="C2883" s="15"/>
      <c r="D2883" s="15"/>
      <c r="E2883" s="15"/>
      <c r="F2883" s="20"/>
    </row>
    <row r="2884" spans="2:6" ht="17.25" customHeight="1">
      <c r="B2884" s="15"/>
      <c r="C2884" s="15"/>
      <c r="D2884" s="15"/>
      <c r="E2884" s="15"/>
      <c r="F2884" s="20"/>
    </row>
    <row r="2885" spans="2:6" ht="17.25" customHeight="1">
      <c r="B2885" s="15"/>
      <c r="C2885" s="15"/>
      <c r="D2885" s="15"/>
      <c r="E2885" s="15"/>
      <c r="F2885" s="20"/>
    </row>
    <row r="2886" spans="2:6" ht="17.25" customHeight="1">
      <c r="B2886" s="15"/>
      <c r="C2886" s="15"/>
      <c r="D2886" s="15"/>
      <c r="E2886" s="15"/>
      <c r="F2886" s="20"/>
    </row>
    <row r="2887" spans="2:6" ht="17.25" customHeight="1">
      <c r="B2887" s="15"/>
      <c r="C2887" s="15"/>
      <c r="D2887" s="15"/>
      <c r="E2887" s="15"/>
      <c r="F2887" s="20"/>
    </row>
    <row r="2888" spans="2:6" ht="17.25" customHeight="1">
      <c r="B2888" s="15"/>
      <c r="C2888" s="15"/>
      <c r="D2888" s="15"/>
      <c r="E2888" s="15"/>
      <c r="F2888" s="20"/>
    </row>
    <row r="2889" spans="2:6" ht="17.25" customHeight="1">
      <c r="B2889" s="15"/>
      <c r="C2889" s="15"/>
      <c r="D2889" s="15"/>
      <c r="E2889" s="15"/>
      <c r="F2889" s="20"/>
    </row>
    <row r="2890" spans="2:6" ht="17.25" customHeight="1">
      <c r="B2890" s="15"/>
      <c r="C2890" s="15"/>
      <c r="D2890" s="15"/>
      <c r="E2890" s="15"/>
      <c r="F2890" s="20"/>
    </row>
    <row r="2891" spans="2:6" ht="17.25" customHeight="1">
      <c r="B2891" s="15"/>
      <c r="C2891" s="15"/>
      <c r="D2891" s="15"/>
      <c r="E2891" s="15"/>
      <c r="F2891" s="20"/>
    </row>
    <row r="2892" spans="2:6" ht="17.25" customHeight="1">
      <c r="B2892" s="15"/>
      <c r="C2892" s="15"/>
      <c r="D2892" s="15"/>
      <c r="E2892" s="15"/>
      <c r="F2892" s="20"/>
    </row>
    <row r="2893" spans="2:6" ht="17.25" customHeight="1">
      <c r="B2893" s="15"/>
      <c r="C2893" s="15"/>
      <c r="D2893" s="15"/>
      <c r="E2893" s="15"/>
      <c r="F2893" s="20"/>
    </row>
    <row r="2894" spans="2:6" ht="17.25" customHeight="1">
      <c r="B2894" s="15"/>
      <c r="C2894" s="15"/>
      <c r="D2894" s="15"/>
      <c r="E2894" s="15"/>
      <c r="F2894" s="20"/>
    </row>
    <row r="2895" spans="2:6" ht="17.25" customHeight="1">
      <c r="B2895" s="15"/>
      <c r="C2895" s="15"/>
      <c r="D2895" s="15"/>
      <c r="E2895" s="15"/>
      <c r="F2895" s="20"/>
    </row>
    <row r="2896" spans="2:6" ht="17.25" customHeight="1">
      <c r="B2896" s="15"/>
      <c r="C2896" s="15"/>
      <c r="D2896" s="15"/>
      <c r="E2896" s="15"/>
      <c r="F2896" s="20"/>
    </row>
    <row r="2897" spans="2:6" ht="17.25" customHeight="1">
      <c r="B2897" s="15"/>
      <c r="C2897" s="15"/>
      <c r="D2897" s="15"/>
      <c r="E2897" s="15"/>
      <c r="F2897" s="20"/>
    </row>
    <row r="2898" spans="2:6" ht="17.25" customHeight="1">
      <c r="B2898" s="15"/>
      <c r="C2898" s="15"/>
      <c r="D2898" s="15"/>
      <c r="E2898" s="15"/>
      <c r="F2898" s="20"/>
    </row>
    <row r="2899" spans="2:6" ht="17.25" customHeight="1">
      <c r="B2899" s="15"/>
      <c r="C2899" s="15"/>
      <c r="D2899" s="15"/>
      <c r="E2899" s="15"/>
      <c r="F2899" s="20"/>
    </row>
    <row r="2900" spans="2:6" ht="17.25" customHeight="1">
      <c r="B2900" s="15"/>
      <c r="C2900" s="15"/>
      <c r="D2900" s="15"/>
      <c r="E2900" s="15"/>
      <c r="F2900" s="20"/>
    </row>
    <row r="2901" spans="2:6" ht="17.25" customHeight="1">
      <c r="B2901" s="15"/>
      <c r="C2901" s="15"/>
      <c r="D2901" s="15"/>
      <c r="E2901" s="15"/>
      <c r="F2901" s="20"/>
    </row>
    <row r="2902" spans="2:6" ht="17.25" customHeight="1">
      <c r="B2902" s="15"/>
      <c r="C2902" s="15"/>
      <c r="D2902" s="15"/>
      <c r="E2902" s="15"/>
      <c r="F2902" s="20"/>
    </row>
    <row r="2903" spans="2:6" ht="17.25" customHeight="1">
      <c r="B2903" s="15"/>
      <c r="C2903" s="15"/>
      <c r="D2903" s="15"/>
      <c r="E2903" s="15"/>
      <c r="F2903" s="20"/>
    </row>
    <row r="2904" spans="2:6" ht="17.25" customHeight="1">
      <c r="B2904" s="15"/>
      <c r="C2904" s="15"/>
      <c r="D2904" s="15"/>
      <c r="E2904" s="15"/>
      <c r="F2904" s="20"/>
    </row>
    <row r="2905" spans="2:6" ht="17.25" customHeight="1">
      <c r="B2905" s="15"/>
      <c r="C2905" s="15"/>
      <c r="D2905" s="15"/>
      <c r="E2905" s="15"/>
      <c r="F2905" s="20"/>
    </row>
    <row r="2906" spans="2:6" ht="17.25" customHeight="1">
      <c r="B2906" s="15"/>
      <c r="C2906" s="15"/>
      <c r="D2906" s="15"/>
      <c r="E2906" s="15"/>
      <c r="F2906" s="20"/>
    </row>
    <row r="2907" spans="2:6" ht="17.25" customHeight="1">
      <c r="B2907" s="15"/>
      <c r="C2907" s="15"/>
      <c r="D2907" s="15"/>
      <c r="E2907" s="15"/>
      <c r="F2907" s="20"/>
    </row>
    <row r="2908" spans="2:6" ht="17.25" customHeight="1">
      <c r="B2908" s="15"/>
      <c r="C2908" s="15"/>
      <c r="D2908" s="15"/>
      <c r="E2908" s="15"/>
      <c r="F2908" s="20"/>
    </row>
    <row r="2909" spans="2:6" ht="17.25" customHeight="1">
      <c r="B2909" s="15"/>
      <c r="C2909" s="15"/>
      <c r="D2909" s="15"/>
      <c r="E2909" s="15"/>
      <c r="F2909" s="20"/>
    </row>
    <row r="2910" spans="2:6" ht="17.25" customHeight="1">
      <c r="B2910" s="15"/>
      <c r="C2910" s="15"/>
      <c r="D2910" s="15"/>
      <c r="E2910" s="15"/>
      <c r="F2910" s="20"/>
    </row>
    <row r="2911" spans="2:6" ht="17.25" customHeight="1">
      <c r="B2911" s="15"/>
      <c r="C2911" s="15"/>
      <c r="D2911" s="15"/>
      <c r="E2911" s="15"/>
      <c r="F2911" s="20"/>
    </row>
    <row r="2912" spans="2:6" ht="17.25" customHeight="1">
      <c r="B2912" s="15"/>
      <c r="C2912" s="15"/>
      <c r="D2912" s="15"/>
      <c r="E2912" s="15"/>
      <c r="F2912" s="20"/>
    </row>
    <row r="2913" spans="2:6" ht="17.25" customHeight="1">
      <c r="B2913" s="15"/>
      <c r="C2913" s="15"/>
      <c r="D2913" s="15"/>
      <c r="E2913" s="15"/>
      <c r="F2913" s="20"/>
    </row>
    <row r="2914" spans="2:6" ht="17.25" customHeight="1">
      <c r="B2914" s="15"/>
      <c r="C2914" s="15"/>
      <c r="D2914" s="15"/>
      <c r="E2914" s="15"/>
      <c r="F2914" s="20"/>
    </row>
    <row r="2915" spans="2:6" ht="17.25" customHeight="1">
      <c r="B2915" s="15"/>
      <c r="C2915" s="15"/>
      <c r="D2915" s="15"/>
      <c r="E2915" s="15"/>
      <c r="F2915" s="20"/>
    </row>
    <row r="2916" spans="2:6" ht="17.25" customHeight="1">
      <c r="B2916" s="15"/>
      <c r="C2916" s="15"/>
      <c r="D2916" s="15"/>
      <c r="E2916" s="15"/>
      <c r="F2916" s="20"/>
    </row>
    <row r="2917" spans="2:6" ht="17.25" customHeight="1">
      <c r="B2917" s="15"/>
      <c r="C2917" s="15"/>
      <c r="D2917" s="15"/>
      <c r="E2917" s="15"/>
      <c r="F2917" s="20"/>
    </row>
    <row r="2918" spans="2:6" ht="17.25" customHeight="1">
      <c r="B2918" s="15"/>
      <c r="C2918" s="15"/>
      <c r="D2918" s="15"/>
      <c r="E2918" s="15"/>
      <c r="F2918" s="20"/>
    </row>
    <row r="2919" spans="2:6" ht="17.25" customHeight="1">
      <c r="B2919" s="15"/>
      <c r="C2919" s="15"/>
      <c r="D2919" s="15"/>
      <c r="E2919" s="15"/>
      <c r="F2919" s="20"/>
    </row>
    <row r="2920" spans="2:6" ht="17.25" customHeight="1">
      <c r="B2920" s="15"/>
      <c r="C2920" s="15"/>
      <c r="D2920" s="15"/>
      <c r="E2920" s="15"/>
      <c r="F2920" s="20"/>
    </row>
    <row r="2921" spans="2:6" ht="17.25" customHeight="1">
      <c r="B2921" s="15"/>
      <c r="C2921" s="15"/>
      <c r="D2921" s="15"/>
      <c r="E2921" s="15"/>
      <c r="F2921" s="20"/>
    </row>
    <row r="2922" spans="2:6" ht="17.25" customHeight="1">
      <c r="B2922" s="15"/>
      <c r="C2922" s="15"/>
      <c r="D2922" s="15"/>
      <c r="E2922" s="15"/>
      <c r="F2922" s="20"/>
    </row>
    <row r="2923" spans="2:6" ht="17.25" customHeight="1">
      <c r="B2923" s="15"/>
      <c r="C2923" s="15"/>
      <c r="D2923" s="15"/>
      <c r="E2923" s="15"/>
      <c r="F2923" s="20"/>
    </row>
    <row r="2924" spans="2:6" ht="17.25" customHeight="1">
      <c r="B2924" s="15"/>
      <c r="C2924" s="15"/>
      <c r="D2924" s="15"/>
      <c r="E2924" s="15"/>
      <c r="F2924" s="20"/>
    </row>
    <row r="2925" spans="2:6" ht="17.25" customHeight="1">
      <c r="B2925" s="15"/>
      <c r="C2925" s="15"/>
      <c r="D2925" s="15"/>
      <c r="E2925" s="15"/>
      <c r="F2925" s="20"/>
    </row>
    <row r="2926" spans="2:6" ht="17.25" customHeight="1">
      <c r="B2926" s="15"/>
      <c r="C2926" s="15"/>
      <c r="D2926" s="15"/>
      <c r="E2926" s="15"/>
      <c r="F2926" s="20"/>
    </row>
    <row r="2927" spans="2:6" ht="17.25" customHeight="1">
      <c r="B2927" s="15"/>
      <c r="C2927" s="15"/>
      <c r="D2927" s="15"/>
      <c r="E2927" s="15"/>
      <c r="F2927" s="20"/>
    </row>
    <row r="2928" spans="2:6" ht="17.25" customHeight="1">
      <c r="B2928" s="15"/>
      <c r="C2928" s="15"/>
      <c r="D2928" s="15"/>
      <c r="E2928" s="15"/>
      <c r="F2928" s="20"/>
    </row>
    <row r="2929" spans="2:6" ht="17.25" customHeight="1">
      <c r="B2929" s="15"/>
      <c r="C2929" s="15"/>
      <c r="D2929" s="15"/>
      <c r="E2929" s="15"/>
      <c r="F2929" s="20"/>
    </row>
    <row r="2930" spans="2:6" ht="17.25" customHeight="1">
      <c r="B2930" s="15"/>
      <c r="C2930" s="15"/>
      <c r="D2930" s="15"/>
      <c r="E2930" s="15"/>
      <c r="F2930" s="20"/>
    </row>
    <row r="2931" spans="2:6" ht="17.25" customHeight="1">
      <c r="B2931" s="15"/>
      <c r="C2931" s="15"/>
      <c r="D2931" s="15"/>
      <c r="E2931" s="15"/>
      <c r="F2931" s="20"/>
    </row>
    <row r="2932" spans="2:6" ht="17.25" customHeight="1">
      <c r="B2932" s="15"/>
      <c r="C2932" s="15"/>
      <c r="D2932" s="15"/>
      <c r="E2932" s="15"/>
      <c r="F2932" s="20"/>
    </row>
    <row r="2933" spans="2:6" ht="17.25" customHeight="1">
      <c r="B2933" s="15"/>
      <c r="C2933" s="15"/>
      <c r="D2933" s="15"/>
      <c r="E2933" s="15"/>
      <c r="F2933" s="20"/>
    </row>
    <row r="2934" spans="2:6" ht="17.25" customHeight="1">
      <c r="B2934" s="15"/>
      <c r="C2934" s="15"/>
      <c r="D2934" s="15"/>
      <c r="E2934" s="15"/>
      <c r="F2934" s="20"/>
    </row>
    <row r="2935" spans="2:6" ht="17.25" customHeight="1">
      <c r="B2935" s="15"/>
      <c r="C2935" s="15"/>
      <c r="D2935" s="15"/>
      <c r="E2935" s="15"/>
      <c r="F2935" s="20"/>
    </row>
    <row r="2936" spans="2:6" ht="17.25" customHeight="1">
      <c r="B2936" s="15"/>
      <c r="C2936" s="15"/>
      <c r="D2936" s="15"/>
      <c r="E2936" s="15"/>
      <c r="F2936" s="20"/>
    </row>
    <row r="2937" spans="2:6" ht="17.25" customHeight="1">
      <c r="B2937" s="15"/>
      <c r="C2937" s="15"/>
      <c r="D2937" s="15"/>
      <c r="E2937" s="15"/>
      <c r="F2937" s="20"/>
    </row>
    <row r="2938" spans="2:6" ht="17.25" customHeight="1">
      <c r="B2938" s="15"/>
      <c r="C2938" s="15"/>
      <c r="D2938" s="15"/>
      <c r="E2938" s="15"/>
      <c r="F2938" s="20"/>
    </row>
    <row r="2939" spans="2:6" ht="17.25" customHeight="1">
      <c r="B2939" s="15"/>
      <c r="C2939" s="15"/>
      <c r="D2939" s="15"/>
      <c r="E2939" s="15"/>
      <c r="F2939" s="20"/>
    </row>
    <row r="2940" spans="2:6" ht="17.25" customHeight="1">
      <c r="B2940" s="15"/>
      <c r="C2940" s="15"/>
      <c r="D2940" s="15"/>
      <c r="E2940" s="15"/>
      <c r="F2940" s="20"/>
    </row>
    <row r="2941" spans="2:6" ht="17.25" customHeight="1">
      <c r="B2941" s="15"/>
      <c r="C2941" s="15"/>
      <c r="D2941" s="15"/>
      <c r="E2941" s="15"/>
      <c r="F2941" s="20"/>
    </row>
    <row r="2942" spans="2:6" ht="17.25" customHeight="1">
      <c r="B2942" s="15"/>
      <c r="C2942" s="15"/>
      <c r="D2942" s="15"/>
      <c r="E2942" s="15"/>
      <c r="F2942" s="20"/>
    </row>
    <row r="2943" spans="2:6" ht="17.25" customHeight="1">
      <c r="B2943" s="15"/>
      <c r="C2943" s="15"/>
      <c r="D2943" s="15"/>
      <c r="E2943" s="15"/>
      <c r="F2943" s="20"/>
    </row>
    <row r="2944" spans="2:6" ht="17.25" customHeight="1">
      <c r="B2944" s="15"/>
      <c r="C2944" s="15"/>
      <c r="D2944" s="15"/>
      <c r="E2944" s="15"/>
      <c r="F2944" s="20"/>
    </row>
    <row r="2945" spans="2:6" ht="17.25" customHeight="1">
      <c r="B2945" s="15"/>
      <c r="C2945" s="15"/>
      <c r="D2945" s="15"/>
      <c r="E2945" s="15"/>
      <c r="F2945" s="20"/>
    </row>
    <row r="2946" spans="2:6" ht="17.25" customHeight="1">
      <c r="B2946" s="15"/>
      <c r="C2946" s="15"/>
      <c r="D2946" s="15"/>
      <c r="E2946" s="15"/>
      <c r="F2946" s="20"/>
    </row>
    <row r="2947" spans="2:6" ht="17.25" customHeight="1">
      <c r="B2947" s="15"/>
      <c r="C2947" s="15"/>
      <c r="D2947" s="15"/>
      <c r="E2947" s="15"/>
      <c r="F2947" s="20"/>
    </row>
    <row r="2948" spans="2:6" ht="17.25" customHeight="1">
      <c r="B2948" s="15"/>
      <c r="C2948" s="15"/>
      <c r="D2948" s="15"/>
      <c r="E2948" s="15"/>
      <c r="F2948" s="20"/>
    </row>
    <row r="2949" spans="2:6" ht="17.25" customHeight="1">
      <c r="B2949" s="15"/>
      <c r="C2949" s="15"/>
      <c r="D2949" s="15"/>
      <c r="E2949" s="15"/>
      <c r="F2949" s="20"/>
    </row>
    <row r="2950" spans="2:6" ht="17.25" customHeight="1">
      <c r="B2950" s="15"/>
      <c r="C2950" s="15"/>
      <c r="D2950" s="15"/>
      <c r="E2950" s="15"/>
      <c r="F2950" s="20"/>
    </row>
    <row r="2951" spans="2:6" ht="17.25" customHeight="1">
      <c r="B2951" s="15"/>
      <c r="C2951" s="15"/>
      <c r="D2951" s="15"/>
      <c r="E2951" s="15"/>
      <c r="F2951" s="20"/>
    </row>
    <row r="2952" spans="2:6" ht="17.25" customHeight="1">
      <c r="B2952" s="15"/>
      <c r="C2952" s="15"/>
      <c r="D2952" s="15"/>
      <c r="E2952" s="15"/>
      <c r="F2952" s="20"/>
    </row>
    <row r="2953" spans="2:6" ht="17.25" customHeight="1">
      <c r="B2953" s="15"/>
      <c r="C2953" s="15"/>
      <c r="D2953" s="15"/>
      <c r="E2953" s="15"/>
      <c r="F2953" s="20"/>
    </row>
    <row r="2954" spans="2:6" ht="17.25" customHeight="1">
      <c r="B2954" s="15"/>
      <c r="C2954" s="15"/>
      <c r="D2954" s="15"/>
      <c r="E2954" s="15"/>
      <c r="F2954" s="20"/>
    </row>
    <row r="2955" spans="2:6" ht="17.25" customHeight="1">
      <c r="B2955" s="15"/>
      <c r="C2955" s="15"/>
      <c r="D2955" s="15"/>
      <c r="E2955" s="15"/>
      <c r="F2955" s="20"/>
    </row>
    <row r="2956" spans="2:6" ht="17.25" customHeight="1">
      <c r="B2956" s="15"/>
      <c r="C2956" s="15"/>
      <c r="D2956" s="15"/>
      <c r="E2956" s="15"/>
      <c r="F2956" s="20"/>
    </row>
    <row r="2957" spans="2:6" ht="17.25" customHeight="1">
      <c r="B2957" s="15"/>
      <c r="C2957" s="15"/>
      <c r="D2957" s="15"/>
      <c r="E2957" s="15"/>
      <c r="F2957" s="20"/>
    </row>
    <row r="2958" spans="2:6" ht="17.25" customHeight="1">
      <c r="B2958" s="15"/>
      <c r="C2958" s="15"/>
      <c r="D2958" s="15"/>
      <c r="E2958" s="15"/>
      <c r="F2958" s="20"/>
    </row>
    <row r="2959" spans="2:6" ht="17.25" customHeight="1">
      <c r="B2959" s="15"/>
      <c r="C2959" s="15"/>
      <c r="D2959" s="15"/>
      <c r="E2959" s="15"/>
      <c r="F2959" s="20"/>
    </row>
    <row r="2960" spans="2:6" ht="17.25" customHeight="1">
      <c r="B2960" s="15"/>
      <c r="C2960" s="15"/>
      <c r="D2960" s="15"/>
      <c r="E2960" s="15"/>
      <c r="F2960" s="20"/>
    </row>
    <row r="2961" spans="2:6" ht="17.25" customHeight="1">
      <c r="B2961" s="15"/>
      <c r="C2961" s="15"/>
      <c r="D2961" s="15"/>
      <c r="E2961" s="15"/>
      <c r="F2961" s="20"/>
    </row>
    <row r="2962" spans="2:6" ht="17.25" customHeight="1">
      <c r="B2962" s="15"/>
      <c r="C2962" s="15"/>
      <c r="D2962" s="15"/>
      <c r="E2962" s="15"/>
      <c r="F2962" s="20"/>
    </row>
    <row r="2963" spans="2:6" ht="17.25" customHeight="1">
      <c r="B2963" s="15"/>
      <c r="C2963" s="15"/>
      <c r="D2963" s="15"/>
      <c r="E2963" s="15"/>
      <c r="F2963" s="20"/>
    </row>
    <row r="2964" spans="2:6" ht="17.25" customHeight="1">
      <c r="B2964" s="15"/>
      <c r="C2964" s="15"/>
      <c r="D2964" s="15"/>
      <c r="E2964" s="15"/>
      <c r="F2964" s="20"/>
    </row>
    <row r="2965" spans="2:6" ht="17.25" customHeight="1">
      <c r="B2965" s="15"/>
      <c r="C2965" s="15"/>
      <c r="D2965" s="15"/>
      <c r="E2965" s="15"/>
      <c r="F2965" s="20"/>
    </row>
    <row r="2966" spans="2:6" ht="17.25" customHeight="1">
      <c r="B2966" s="15"/>
      <c r="C2966" s="15"/>
      <c r="D2966" s="15"/>
      <c r="E2966" s="15"/>
      <c r="F2966" s="20"/>
    </row>
    <row r="2967" spans="2:6" ht="17.25" customHeight="1">
      <c r="B2967" s="15"/>
      <c r="C2967" s="15"/>
      <c r="D2967" s="15"/>
      <c r="E2967" s="15"/>
      <c r="F2967" s="20"/>
    </row>
    <row r="2968" spans="2:6" ht="17.25" customHeight="1">
      <c r="B2968" s="15"/>
      <c r="C2968" s="15"/>
      <c r="D2968" s="15"/>
      <c r="E2968" s="15"/>
      <c r="F2968" s="20"/>
    </row>
    <row r="2969" spans="2:6" ht="17.25" customHeight="1">
      <c r="B2969" s="15"/>
      <c r="C2969" s="15"/>
      <c r="D2969" s="15"/>
      <c r="E2969" s="15"/>
      <c r="F2969" s="20"/>
    </row>
    <row r="2970" spans="2:6" ht="17.25" customHeight="1">
      <c r="B2970" s="15"/>
      <c r="C2970" s="15"/>
      <c r="D2970" s="15"/>
      <c r="E2970" s="15"/>
      <c r="F2970" s="20"/>
    </row>
    <row r="2971" spans="2:6" ht="17.25" customHeight="1">
      <c r="B2971" s="15"/>
      <c r="C2971" s="15"/>
      <c r="D2971" s="15"/>
      <c r="E2971" s="15"/>
      <c r="F2971" s="20"/>
    </row>
    <row r="2972" spans="2:6" ht="17.25" customHeight="1">
      <c r="B2972" s="15"/>
      <c r="C2972" s="15"/>
      <c r="D2972" s="15"/>
      <c r="E2972" s="15"/>
      <c r="F2972" s="20"/>
    </row>
    <row r="2973" spans="2:6" ht="17.25" customHeight="1">
      <c r="B2973" s="15"/>
      <c r="C2973" s="15"/>
      <c r="D2973" s="15"/>
      <c r="E2973" s="15"/>
      <c r="F2973" s="20"/>
    </row>
    <row r="2974" spans="2:6" ht="17.25" customHeight="1">
      <c r="B2974" s="15"/>
      <c r="C2974" s="15"/>
      <c r="D2974" s="15"/>
      <c r="E2974" s="15"/>
      <c r="F2974" s="20"/>
    </row>
    <row r="2975" spans="2:6" ht="17.25" customHeight="1">
      <c r="B2975" s="15"/>
      <c r="C2975" s="15"/>
      <c r="D2975" s="15"/>
      <c r="E2975" s="15"/>
      <c r="F2975" s="20"/>
    </row>
    <row r="2976" spans="2:6" ht="17.25" customHeight="1">
      <c r="B2976" s="15"/>
      <c r="C2976" s="15"/>
      <c r="D2976" s="15"/>
      <c r="E2976" s="15"/>
      <c r="F2976" s="20"/>
    </row>
    <row r="2977" spans="2:6" ht="17.25" customHeight="1">
      <c r="B2977" s="15"/>
      <c r="C2977" s="15"/>
      <c r="D2977" s="15"/>
      <c r="E2977" s="15"/>
      <c r="F2977" s="20"/>
    </row>
    <row r="2978" spans="2:6" ht="17.25" customHeight="1">
      <c r="B2978" s="15"/>
      <c r="C2978" s="15"/>
      <c r="D2978" s="15"/>
      <c r="E2978" s="15"/>
      <c r="F2978" s="20"/>
    </row>
    <row r="2979" spans="2:6" ht="17.25" customHeight="1">
      <c r="B2979" s="15"/>
      <c r="C2979" s="15"/>
      <c r="D2979" s="15"/>
      <c r="E2979" s="15"/>
      <c r="F2979" s="20"/>
    </row>
    <row r="2980" spans="2:6" ht="17.25" customHeight="1">
      <c r="B2980" s="15"/>
      <c r="C2980" s="15"/>
      <c r="D2980" s="15"/>
      <c r="E2980" s="15"/>
      <c r="F2980" s="20"/>
    </row>
    <row r="2981" spans="2:6" ht="17.25" customHeight="1">
      <c r="B2981" s="15"/>
      <c r="C2981" s="15"/>
      <c r="D2981" s="15"/>
      <c r="E2981" s="15"/>
      <c r="F2981" s="20"/>
    </row>
    <row r="2982" spans="2:6" ht="17.25" customHeight="1">
      <c r="B2982" s="15"/>
      <c r="C2982" s="15"/>
      <c r="D2982" s="15"/>
      <c r="E2982" s="15"/>
      <c r="F2982" s="20"/>
    </row>
    <row r="2983" spans="2:6" ht="17.25" customHeight="1">
      <c r="B2983" s="15"/>
      <c r="C2983" s="15"/>
      <c r="D2983" s="15"/>
      <c r="E2983" s="15"/>
      <c r="F2983" s="20"/>
    </row>
    <row r="2984" spans="2:6" ht="17.25" customHeight="1">
      <c r="B2984" s="15"/>
      <c r="C2984" s="15"/>
      <c r="D2984" s="15"/>
      <c r="E2984" s="15"/>
      <c r="F2984" s="20"/>
    </row>
    <row r="2985" spans="2:6" ht="17.25" customHeight="1">
      <c r="B2985" s="15"/>
      <c r="C2985" s="15"/>
      <c r="D2985" s="15"/>
      <c r="E2985" s="15"/>
      <c r="F2985" s="20"/>
    </row>
    <row r="2986" spans="2:6" ht="17.25" customHeight="1">
      <c r="B2986" s="15"/>
      <c r="C2986" s="15"/>
      <c r="D2986" s="15"/>
      <c r="E2986" s="15"/>
      <c r="F2986" s="20"/>
    </row>
    <row r="2987" spans="2:6" ht="17.25" customHeight="1">
      <c r="B2987" s="15"/>
      <c r="C2987" s="15"/>
      <c r="D2987" s="15"/>
      <c r="E2987" s="15"/>
      <c r="F2987" s="20"/>
    </row>
    <row r="2988" spans="2:6" ht="17.25" customHeight="1">
      <c r="B2988" s="15"/>
      <c r="C2988" s="15"/>
      <c r="D2988" s="15"/>
      <c r="E2988" s="15"/>
      <c r="F2988" s="20"/>
    </row>
    <row r="2989" spans="2:6" ht="17.25" customHeight="1">
      <c r="B2989" s="15"/>
      <c r="C2989" s="15"/>
      <c r="D2989" s="15"/>
      <c r="E2989" s="15"/>
      <c r="F2989" s="20"/>
    </row>
    <row r="2990" spans="2:6" ht="17.25" customHeight="1">
      <c r="B2990" s="15"/>
      <c r="C2990" s="15"/>
      <c r="D2990" s="15"/>
      <c r="E2990" s="15"/>
      <c r="F2990" s="20"/>
    </row>
    <row r="2991" spans="2:6" ht="17.25" customHeight="1">
      <c r="B2991" s="15"/>
      <c r="C2991" s="15"/>
      <c r="D2991" s="15"/>
      <c r="E2991" s="15"/>
      <c r="F2991" s="20"/>
    </row>
    <row r="2992" spans="2:6" ht="17.25" customHeight="1">
      <c r="B2992" s="15"/>
      <c r="C2992" s="15"/>
      <c r="D2992" s="15"/>
      <c r="E2992" s="15"/>
      <c r="F2992" s="20"/>
    </row>
    <row r="2993" spans="2:6" ht="17.25" customHeight="1">
      <c r="B2993" s="15"/>
      <c r="C2993" s="15"/>
      <c r="D2993" s="15"/>
      <c r="E2993" s="15"/>
      <c r="F2993" s="20"/>
    </row>
    <row r="2994" spans="2:6" ht="17.25" customHeight="1">
      <c r="B2994" s="15"/>
      <c r="C2994" s="15"/>
      <c r="D2994" s="15"/>
      <c r="E2994" s="15"/>
      <c r="F2994" s="20"/>
    </row>
    <row r="2995" spans="2:6" ht="17.25" customHeight="1">
      <c r="B2995" s="15"/>
      <c r="C2995" s="15"/>
      <c r="D2995" s="15"/>
      <c r="E2995" s="15"/>
      <c r="F2995" s="20"/>
    </row>
    <row r="2996" spans="2:6" ht="17.25" customHeight="1">
      <c r="B2996" s="15"/>
      <c r="C2996" s="15"/>
      <c r="D2996" s="15"/>
      <c r="E2996" s="15"/>
      <c r="F2996" s="20"/>
    </row>
    <row r="2997" spans="2:6" ht="17.25" customHeight="1">
      <c r="B2997" s="15"/>
      <c r="C2997" s="15"/>
      <c r="D2997" s="15"/>
      <c r="E2997" s="15"/>
      <c r="F2997" s="20"/>
    </row>
    <row r="2998" spans="2:6" ht="17.25" customHeight="1">
      <c r="B2998" s="15"/>
      <c r="C2998" s="15"/>
      <c r="D2998" s="15"/>
      <c r="E2998" s="15"/>
      <c r="F2998" s="20"/>
    </row>
    <row r="2999" spans="2:6" ht="17.25" customHeight="1">
      <c r="B2999" s="15"/>
      <c r="C2999" s="15"/>
      <c r="D2999" s="15"/>
      <c r="E2999" s="15"/>
      <c r="F2999" s="20"/>
    </row>
    <row r="3000" spans="2:6" ht="17.25" customHeight="1">
      <c r="B3000" s="15"/>
      <c r="C3000" s="15"/>
      <c r="D3000" s="15"/>
      <c r="E3000" s="15"/>
      <c r="F3000" s="20"/>
    </row>
    <row r="3001" spans="2:6" ht="17.25" customHeight="1">
      <c r="B3001" s="15"/>
      <c r="C3001" s="15"/>
      <c r="D3001" s="15"/>
      <c r="E3001" s="15"/>
      <c r="F3001" s="20"/>
    </row>
    <row r="3002" spans="2:6" ht="17.25" customHeight="1">
      <c r="B3002" s="15"/>
      <c r="C3002" s="15"/>
      <c r="D3002" s="15"/>
      <c r="E3002" s="15"/>
      <c r="F3002" s="20"/>
    </row>
    <row r="3003" spans="2:6" ht="17.25" customHeight="1">
      <c r="B3003" s="15"/>
      <c r="C3003" s="15"/>
      <c r="D3003" s="15"/>
      <c r="E3003" s="15"/>
      <c r="F3003" s="20"/>
    </row>
    <row r="3004" spans="2:6" ht="17.25" customHeight="1">
      <c r="B3004" s="15"/>
      <c r="C3004" s="15"/>
      <c r="D3004" s="15"/>
      <c r="E3004" s="15"/>
      <c r="F3004" s="20"/>
    </row>
    <row r="3005" spans="2:6" ht="17.25" customHeight="1">
      <c r="B3005" s="15"/>
      <c r="C3005" s="15"/>
      <c r="D3005" s="15"/>
      <c r="E3005" s="15"/>
      <c r="F3005" s="20"/>
    </row>
    <row r="3006" spans="2:6" ht="17.25" customHeight="1">
      <c r="B3006" s="15"/>
      <c r="C3006" s="15"/>
      <c r="D3006" s="15"/>
      <c r="E3006" s="15"/>
      <c r="F3006" s="20"/>
    </row>
    <row r="3007" spans="2:6" ht="17.25" customHeight="1">
      <c r="B3007" s="15"/>
      <c r="C3007" s="15"/>
      <c r="D3007" s="15"/>
      <c r="E3007" s="15"/>
      <c r="F3007" s="20"/>
    </row>
    <row r="3008" spans="2:6" ht="17.25" customHeight="1">
      <c r="B3008" s="15"/>
      <c r="C3008" s="15"/>
      <c r="D3008" s="15"/>
      <c r="E3008" s="15"/>
      <c r="F3008" s="20"/>
    </row>
    <row r="3009" spans="2:6" ht="17.25" customHeight="1">
      <c r="B3009" s="15"/>
      <c r="C3009" s="15"/>
      <c r="D3009" s="15"/>
      <c r="E3009" s="15"/>
      <c r="F3009" s="20"/>
    </row>
    <row r="3010" spans="2:6" ht="17.25" customHeight="1">
      <c r="B3010" s="15"/>
      <c r="C3010" s="15"/>
      <c r="D3010" s="15"/>
      <c r="E3010" s="15"/>
      <c r="F3010" s="20"/>
    </row>
    <row r="3011" spans="2:6" ht="17.25" customHeight="1">
      <c r="B3011" s="15"/>
      <c r="C3011" s="15"/>
      <c r="D3011" s="15"/>
      <c r="E3011" s="15"/>
      <c r="F3011" s="20"/>
    </row>
    <row r="3012" spans="2:6" ht="17.25" customHeight="1">
      <c r="B3012" s="15"/>
      <c r="C3012" s="15"/>
      <c r="D3012" s="15"/>
      <c r="E3012" s="15"/>
      <c r="F3012" s="20"/>
    </row>
    <row r="3013" spans="2:6" ht="17.25" customHeight="1">
      <c r="B3013" s="15"/>
      <c r="C3013" s="15"/>
      <c r="D3013" s="15"/>
      <c r="E3013" s="15"/>
      <c r="F3013" s="20"/>
    </row>
    <row r="3014" spans="2:6" ht="17.25" customHeight="1">
      <c r="B3014" s="15"/>
      <c r="C3014" s="15"/>
      <c r="D3014" s="15"/>
      <c r="E3014" s="15"/>
      <c r="F3014" s="20"/>
    </row>
    <row r="3015" spans="2:6" ht="17.25" customHeight="1">
      <c r="B3015" s="15"/>
      <c r="C3015" s="15"/>
      <c r="D3015" s="15"/>
      <c r="E3015" s="15"/>
      <c r="F3015" s="20"/>
    </row>
    <row r="3016" spans="2:6" ht="17.25" customHeight="1">
      <c r="B3016" s="15"/>
      <c r="C3016" s="15"/>
      <c r="D3016" s="15"/>
      <c r="E3016" s="15"/>
      <c r="F3016" s="20"/>
    </row>
    <row r="3017" spans="2:6" ht="17.25" customHeight="1">
      <c r="B3017" s="15"/>
      <c r="C3017" s="15"/>
      <c r="D3017" s="15"/>
      <c r="E3017" s="15"/>
      <c r="F3017" s="20"/>
    </row>
    <row r="3018" spans="2:6" ht="17.25" customHeight="1">
      <c r="B3018" s="15"/>
      <c r="C3018" s="15"/>
      <c r="D3018" s="15"/>
      <c r="E3018" s="15"/>
      <c r="F3018" s="20"/>
    </row>
    <row r="3019" spans="2:6" ht="17.25" customHeight="1">
      <c r="B3019" s="15"/>
      <c r="C3019" s="15"/>
      <c r="D3019" s="15"/>
      <c r="E3019" s="15"/>
      <c r="F3019" s="20"/>
    </row>
    <row r="3020" spans="2:6" ht="17.25" customHeight="1">
      <c r="B3020" s="15"/>
      <c r="C3020" s="15"/>
      <c r="D3020" s="15"/>
      <c r="E3020" s="15"/>
      <c r="F3020" s="20"/>
    </row>
    <row r="3021" spans="2:6" ht="17.25" customHeight="1">
      <c r="B3021" s="15"/>
      <c r="C3021" s="15"/>
      <c r="D3021" s="15"/>
      <c r="E3021" s="15"/>
      <c r="F3021" s="20"/>
    </row>
    <row r="3022" spans="2:6" ht="17.25" customHeight="1">
      <c r="B3022" s="15"/>
      <c r="C3022" s="15"/>
      <c r="D3022" s="15"/>
      <c r="E3022" s="15"/>
      <c r="F3022" s="20"/>
    </row>
    <row r="3023" spans="2:6" ht="17.25" customHeight="1">
      <c r="B3023" s="15"/>
      <c r="C3023" s="15"/>
      <c r="D3023" s="15"/>
      <c r="E3023" s="15"/>
      <c r="F3023" s="20"/>
    </row>
    <row r="3024" spans="2:6" ht="17.25" customHeight="1">
      <c r="B3024" s="15"/>
      <c r="C3024" s="15"/>
      <c r="D3024" s="15"/>
      <c r="E3024" s="15"/>
      <c r="F3024" s="20"/>
    </row>
    <row r="3025" spans="2:6" ht="17.25" customHeight="1">
      <c r="B3025" s="15"/>
      <c r="C3025" s="15"/>
      <c r="D3025" s="15"/>
      <c r="E3025" s="15"/>
      <c r="F3025" s="20"/>
    </row>
    <row r="3026" spans="2:6" ht="17.25" customHeight="1">
      <c r="B3026" s="15"/>
      <c r="C3026" s="15"/>
      <c r="D3026" s="15"/>
      <c r="E3026" s="15"/>
      <c r="F3026" s="20"/>
    </row>
    <row r="3027" spans="2:6" ht="17.25" customHeight="1">
      <c r="B3027" s="15"/>
      <c r="C3027" s="15"/>
      <c r="D3027" s="15"/>
      <c r="E3027" s="15"/>
      <c r="F3027" s="20"/>
    </row>
    <row r="3028" spans="2:6" ht="17.25" customHeight="1">
      <c r="B3028" s="15"/>
      <c r="C3028" s="15"/>
      <c r="D3028" s="15"/>
      <c r="E3028" s="15"/>
      <c r="F3028" s="20"/>
    </row>
    <row r="3029" spans="2:6" ht="17.25" customHeight="1">
      <c r="B3029" s="15"/>
      <c r="C3029" s="15"/>
      <c r="D3029" s="15"/>
      <c r="E3029" s="15"/>
      <c r="F3029" s="20"/>
    </row>
    <row r="3030" spans="2:6" ht="17.25" customHeight="1">
      <c r="B3030" s="15"/>
      <c r="C3030" s="15"/>
      <c r="D3030" s="15"/>
      <c r="E3030" s="15"/>
      <c r="F3030" s="20"/>
    </row>
    <row r="3031" spans="2:6" ht="17.25" customHeight="1">
      <c r="B3031" s="15"/>
      <c r="C3031" s="15"/>
      <c r="D3031" s="15"/>
      <c r="E3031" s="15"/>
      <c r="F3031" s="20"/>
    </row>
    <row r="3032" spans="2:6" ht="17.25" customHeight="1">
      <c r="B3032" s="15"/>
      <c r="C3032" s="15"/>
      <c r="D3032" s="15"/>
      <c r="E3032" s="15"/>
      <c r="F3032" s="20"/>
    </row>
    <row r="3033" spans="2:6" ht="17.25" customHeight="1">
      <c r="B3033" s="15"/>
      <c r="C3033" s="15"/>
      <c r="D3033" s="15"/>
      <c r="E3033" s="15"/>
      <c r="F3033" s="20"/>
    </row>
    <row r="3034" spans="2:6" ht="17.25" customHeight="1">
      <c r="B3034" s="15"/>
      <c r="C3034" s="15"/>
      <c r="D3034" s="15"/>
      <c r="E3034" s="15"/>
      <c r="F3034" s="20"/>
    </row>
    <row r="3035" spans="2:6" ht="17.25" customHeight="1">
      <c r="B3035" s="15"/>
      <c r="C3035" s="15"/>
      <c r="D3035" s="15"/>
      <c r="E3035" s="15"/>
      <c r="F3035" s="20"/>
    </row>
    <row r="3036" spans="2:6" ht="17.25" customHeight="1">
      <c r="B3036" s="15"/>
      <c r="C3036" s="15"/>
      <c r="D3036" s="15"/>
      <c r="E3036" s="15"/>
      <c r="F3036" s="20"/>
    </row>
    <row r="3037" spans="2:6" ht="17.25" customHeight="1">
      <c r="B3037" s="15"/>
      <c r="C3037" s="15"/>
      <c r="D3037" s="15"/>
      <c r="E3037" s="15"/>
      <c r="F3037" s="20"/>
    </row>
    <row r="3038" spans="2:6" ht="17.25" customHeight="1">
      <c r="B3038" s="15"/>
      <c r="C3038" s="15"/>
      <c r="D3038" s="15"/>
      <c r="E3038" s="15"/>
      <c r="F3038" s="20"/>
    </row>
    <row r="3039" spans="2:6" ht="17.25" customHeight="1">
      <c r="B3039" s="15"/>
      <c r="C3039" s="15"/>
      <c r="D3039" s="15"/>
      <c r="E3039" s="15"/>
      <c r="F3039" s="20"/>
    </row>
    <row r="3040" spans="2:6" ht="17.25" customHeight="1">
      <c r="B3040" s="15"/>
      <c r="C3040" s="15"/>
      <c r="D3040" s="15"/>
      <c r="E3040" s="15"/>
      <c r="F3040" s="20"/>
    </row>
    <row r="3041" spans="2:6" ht="17.25" customHeight="1">
      <c r="B3041" s="15"/>
      <c r="C3041" s="15"/>
      <c r="D3041" s="15"/>
      <c r="E3041" s="15"/>
      <c r="F3041" s="20"/>
    </row>
    <row r="3042" spans="2:6" ht="17.25" customHeight="1">
      <c r="B3042" s="15"/>
      <c r="C3042" s="15"/>
      <c r="D3042" s="15"/>
      <c r="E3042" s="15"/>
      <c r="F3042" s="20"/>
    </row>
    <row r="3043" spans="2:6" ht="17.25" customHeight="1">
      <c r="B3043" s="15"/>
      <c r="C3043" s="15"/>
      <c r="D3043" s="15"/>
      <c r="E3043" s="15"/>
      <c r="F3043" s="20"/>
    </row>
    <row r="3044" spans="2:6" ht="17.25" customHeight="1">
      <c r="B3044" s="15"/>
      <c r="C3044" s="15"/>
      <c r="D3044" s="15"/>
      <c r="E3044" s="15"/>
      <c r="F3044" s="20"/>
    </row>
    <row r="3045" spans="2:6" ht="17.25" customHeight="1">
      <c r="B3045" s="15"/>
      <c r="C3045" s="15"/>
      <c r="D3045" s="15"/>
      <c r="E3045" s="15"/>
      <c r="F3045" s="20"/>
    </row>
    <row r="3046" spans="2:6" ht="17.25" customHeight="1">
      <c r="B3046" s="15"/>
      <c r="C3046" s="15"/>
      <c r="D3046" s="15"/>
      <c r="E3046" s="15"/>
      <c r="F3046" s="20"/>
    </row>
    <row r="3047" spans="2:6" ht="17.25" customHeight="1">
      <c r="B3047" s="15"/>
      <c r="C3047" s="15"/>
      <c r="D3047" s="15"/>
      <c r="E3047" s="15"/>
      <c r="F3047" s="20"/>
    </row>
    <row r="3048" spans="2:6" ht="17.25" customHeight="1">
      <c r="B3048" s="15"/>
      <c r="C3048" s="15"/>
      <c r="D3048" s="15"/>
      <c r="E3048" s="15"/>
      <c r="F3048" s="20"/>
    </row>
    <row r="3049" spans="2:6" ht="17.25" customHeight="1">
      <c r="B3049" s="15"/>
      <c r="C3049" s="15"/>
      <c r="D3049" s="15"/>
      <c r="E3049" s="15"/>
      <c r="F3049" s="20"/>
    </row>
    <row r="3050" spans="2:6" ht="17.25" customHeight="1">
      <c r="B3050" s="15"/>
      <c r="C3050" s="15"/>
      <c r="D3050" s="15"/>
      <c r="E3050" s="15"/>
      <c r="F3050" s="20"/>
    </row>
    <row r="3051" spans="2:6" ht="17.25" customHeight="1">
      <c r="B3051" s="15"/>
      <c r="C3051" s="15"/>
      <c r="D3051" s="15"/>
      <c r="E3051" s="15"/>
      <c r="F3051" s="20"/>
    </row>
    <row r="3052" spans="2:6" ht="17.25" customHeight="1">
      <c r="B3052" s="15"/>
      <c r="C3052" s="15"/>
      <c r="D3052" s="15"/>
      <c r="E3052" s="15"/>
      <c r="F3052" s="20"/>
    </row>
    <row r="3053" spans="2:6" ht="17.25" customHeight="1">
      <c r="B3053" s="15"/>
      <c r="C3053" s="15"/>
      <c r="D3053" s="15"/>
      <c r="E3053" s="15"/>
      <c r="F3053" s="20"/>
    </row>
    <row r="3054" spans="2:6" ht="17.25" customHeight="1">
      <c r="B3054" s="15"/>
      <c r="C3054" s="15"/>
      <c r="D3054" s="15"/>
      <c r="E3054" s="15"/>
      <c r="F3054" s="20"/>
    </row>
    <row r="3055" spans="2:6" ht="17.25" customHeight="1">
      <c r="B3055" s="15"/>
      <c r="C3055" s="15"/>
      <c r="D3055" s="15"/>
      <c r="E3055" s="15"/>
      <c r="F3055" s="20"/>
    </row>
    <row r="3056" spans="2:6" ht="17.25" customHeight="1">
      <c r="B3056" s="15"/>
      <c r="C3056" s="15"/>
      <c r="D3056" s="15"/>
      <c r="E3056" s="15"/>
      <c r="F3056" s="20"/>
    </row>
    <row r="3057" spans="2:6" ht="17.25" customHeight="1">
      <c r="B3057" s="15"/>
      <c r="C3057" s="15"/>
      <c r="D3057" s="15"/>
      <c r="E3057" s="15"/>
      <c r="F3057" s="20"/>
    </row>
    <row r="3058" spans="2:6" ht="17.25" customHeight="1">
      <c r="B3058" s="15"/>
      <c r="C3058" s="15"/>
      <c r="D3058" s="15"/>
      <c r="E3058" s="15"/>
      <c r="F3058" s="20"/>
    </row>
    <row r="3059" spans="2:6" ht="17.25" customHeight="1">
      <c r="B3059" s="15"/>
      <c r="C3059" s="15"/>
      <c r="D3059" s="15"/>
      <c r="E3059" s="15"/>
      <c r="F3059" s="20"/>
    </row>
    <row r="3060" spans="2:6" ht="17.25" customHeight="1">
      <c r="B3060" s="15"/>
      <c r="C3060" s="15"/>
      <c r="D3060" s="15"/>
      <c r="E3060" s="15"/>
      <c r="F3060" s="20"/>
    </row>
    <row r="3061" spans="2:6" ht="17.25" customHeight="1">
      <c r="B3061" s="15"/>
      <c r="C3061" s="15"/>
      <c r="D3061" s="15"/>
      <c r="E3061" s="15"/>
      <c r="F3061" s="20"/>
    </row>
    <row r="3062" spans="2:6" ht="17.25" customHeight="1">
      <c r="B3062" s="15"/>
      <c r="C3062" s="15"/>
      <c r="D3062" s="15"/>
      <c r="E3062" s="15"/>
      <c r="F3062" s="20"/>
    </row>
    <row r="3063" spans="2:6" ht="17.25" customHeight="1">
      <c r="B3063" s="15"/>
      <c r="C3063" s="15"/>
      <c r="D3063" s="15"/>
      <c r="E3063" s="15"/>
      <c r="F3063" s="20"/>
    </row>
    <row r="3064" spans="2:6" ht="17.25" customHeight="1">
      <c r="B3064" s="15"/>
      <c r="C3064" s="15"/>
      <c r="D3064" s="15"/>
      <c r="E3064" s="15"/>
      <c r="F3064" s="20"/>
    </row>
    <row r="3065" spans="2:6" ht="17.25" customHeight="1">
      <c r="B3065" s="15"/>
      <c r="C3065" s="15"/>
      <c r="D3065" s="15"/>
      <c r="E3065" s="15"/>
      <c r="F3065" s="20"/>
    </row>
    <row r="3066" spans="2:6" ht="17.25" customHeight="1">
      <c r="B3066" s="15"/>
      <c r="C3066" s="15"/>
      <c r="D3066" s="15"/>
      <c r="E3066" s="15"/>
      <c r="F3066" s="20"/>
    </row>
    <row r="3067" spans="2:6" ht="17.25" customHeight="1">
      <c r="B3067" s="15"/>
      <c r="C3067" s="15"/>
      <c r="D3067" s="15"/>
      <c r="E3067" s="15"/>
      <c r="F3067" s="20"/>
    </row>
    <row r="3068" spans="2:6" ht="17.25" customHeight="1">
      <c r="B3068" s="15"/>
      <c r="C3068" s="15"/>
      <c r="D3068" s="15"/>
      <c r="E3068" s="15"/>
      <c r="F3068" s="20"/>
    </row>
    <row r="3069" spans="2:6" ht="17.25" customHeight="1">
      <c r="B3069" s="15"/>
      <c r="C3069" s="15"/>
      <c r="D3069" s="15"/>
      <c r="E3069" s="15"/>
      <c r="F3069" s="20"/>
    </row>
    <row r="3070" spans="2:6" ht="17.25" customHeight="1">
      <c r="B3070" s="15"/>
      <c r="C3070" s="15"/>
      <c r="D3070" s="15"/>
      <c r="E3070" s="15"/>
      <c r="F3070" s="20"/>
    </row>
    <row r="3071" spans="2:6" ht="17.25" customHeight="1">
      <c r="B3071" s="15"/>
      <c r="C3071" s="15"/>
      <c r="D3071" s="15"/>
      <c r="E3071" s="15"/>
      <c r="F3071" s="20"/>
    </row>
    <row r="3072" spans="2:6" ht="17.25" customHeight="1">
      <c r="B3072" s="15"/>
      <c r="C3072" s="15"/>
      <c r="D3072" s="15"/>
      <c r="E3072" s="15"/>
      <c r="F3072" s="20"/>
    </row>
    <row r="3073" spans="2:6" ht="17.25" customHeight="1">
      <c r="B3073" s="15"/>
      <c r="C3073" s="15"/>
      <c r="D3073" s="15"/>
      <c r="E3073" s="15"/>
      <c r="F3073" s="20"/>
    </row>
    <row r="3074" spans="2:6" ht="17.25" customHeight="1">
      <c r="B3074" s="15"/>
      <c r="C3074" s="15"/>
      <c r="D3074" s="15"/>
      <c r="E3074" s="15"/>
      <c r="F3074" s="20"/>
    </row>
    <row r="3075" spans="2:6" ht="17.25" customHeight="1">
      <c r="B3075" s="15"/>
      <c r="C3075" s="15"/>
      <c r="D3075" s="15"/>
      <c r="E3075" s="15"/>
      <c r="F3075" s="20"/>
    </row>
    <row r="3076" spans="2:6" ht="17.25" customHeight="1">
      <c r="B3076" s="15"/>
      <c r="C3076" s="15"/>
      <c r="D3076" s="15"/>
      <c r="E3076" s="15"/>
      <c r="F3076" s="20"/>
    </row>
    <row r="3077" spans="2:6" ht="17.25" customHeight="1">
      <c r="B3077" s="15"/>
      <c r="C3077" s="15"/>
      <c r="D3077" s="15"/>
      <c r="E3077" s="15"/>
      <c r="F3077" s="20"/>
    </row>
    <row r="3078" spans="2:6" ht="17.25" customHeight="1">
      <c r="B3078" s="15"/>
      <c r="C3078" s="15"/>
      <c r="D3078" s="15"/>
      <c r="E3078" s="15"/>
      <c r="F3078" s="20"/>
    </row>
    <row r="3079" spans="2:6" ht="17.25" customHeight="1">
      <c r="B3079" s="15"/>
      <c r="C3079" s="15"/>
      <c r="D3079" s="15"/>
      <c r="E3079" s="15"/>
      <c r="F3079" s="20"/>
    </row>
    <row r="3080" spans="2:6" ht="17.25" customHeight="1">
      <c r="B3080" s="15"/>
      <c r="C3080" s="15"/>
      <c r="D3080" s="15"/>
      <c r="E3080" s="15"/>
      <c r="F3080" s="20"/>
    </row>
    <row r="3081" spans="2:6" ht="17.25" customHeight="1">
      <c r="B3081" s="15"/>
      <c r="C3081" s="15"/>
      <c r="D3081" s="15"/>
      <c r="E3081" s="15"/>
      <c r="F3081" s="20"/>
    </row>
    <row r="3082" spans="2:6" ht="17.25" customHeight="1">
      <c r="B3082" s="15"/>
      <c r="C3082" s="15"/>
      <c r="D3082" s="15"/>
      <c r="E3082" s="15"/>
      <c r="F3082" s="20"/>
    </row>
    <row r="3083" spans="2:6" ht="17.25" customHeight="1">
      <c r="B3083" s="15"/>
      <c r="C3083" s="15"/>
      <c r="D3083" s="15"/>
      <c r="E3083" s="15"/>
      <c r="F3083" s="20"/>
    </row>
    <row r="3084" spans="2:6" ht="17.25" customHeight="1">
      <c r="B3084" s="15"/>
      <c r="C3084" s="15"/>
      <c r="D3084" s="15"/>
      <c r="E3084" s="15"/>
      <c r="F3084" s="20"/>
    </row>
    <row r="3085" spans="2:6" ht="17.25" customHeight="1">
      <c r="B3085" s="15"/>
      <c r="C3085" s="15"/>
      <c r="D3085" s="15"/>
      <c r="E3085" s="15"/>
      <c r="F3085" s="20"/>
    </row>
    <row r="3086" spans="2:6" ht="17.25" customHeight="1">
      <c r="B3086" s="15"/>
      <c r="C3086" s="15"/>
      <c r="D3086" s="15"/>
      <c r="E3086" s="15"/>
      <c r="F3086" s="20"/>
    </row>
    <row r="3087" spans="2:6" ht="17.25" customHeight="1">
      <c r="B3087" s="15"/>
      <c r="C3087" s="15"/>
      <c r="D3087" s="15"/>
      <c r="E3087" s="15"/>
      <c r="F3087" s="20"/>
    </row>
    <row r="3088" spans="2:6" ht="17.25" customHeight="1">
      <c r="B3088" s="15"/>
      <c r="C3088" s="15"/>
      <c r="D3088" s="15"/>
      <c r="E3088" s="15"/>
      <c r="F3088" s="20"/>
    </row>
    <row r="3089" spans="2:6" ht="17.25" customHeight="1">
      <c r="B3089" s="15"/>
      <c r="C3089" s="15"/>
      <c r="D3089" s="15"/>
      <c r="E3089" s="15"/>
      <c r="F3089" s="20"/>
    </row>
    <row r="3090" spans="2:6" ht="17.25" customHeight="1">
      <c r="B3090" s="15"/>
      <c r="C3090" s="15"/>
      <c r="D3090" s="15"/>
      <c r="E3090" s="15"/>
      <c r="F3090" s="20"/>
    </row>
    <row r="3091" spans="2:6" ht="17.25" customHeight="1">
      <c r="B3091" s="15"/>
      <c r="C3091" s="15"/>
      <c r="D3091" s="15"/>
      <c r="E3091" s="15"/>
      <c r="F3091" s="20"/>
    </row>
    <row r="3092" spans="2:6" ht="17.25" customHeight="1">
      <c r="B3092" s="15"/>
      <c r="C3092" s="15"/>
      <c r="D3092" s="15"/>
      <c r="E3092" s="15"/>
      <c r="F3092" s="20"/>
    </row>
    <row r="3093" spans="2:6" ht="17.25" customHeight="1">
      <c r="B3093" s="15"/>
      <c r="C3093" s="15"/>
      <c r="D3093" s="15"/>
      <c r="E3093" s="15"/>
      <c r="F3093" s="20"/>
    </row>
    <row r="3094" spans="2:6" ht="17.25" customHeight="1">
      <c r="B3094" s="15"/>
      <c r="C3094" s="15"/>
      <c r="D3094" s="15"/>
      <c r="E3094" s="15"/>
      <c r="F3094" s="20"/>
    </row>
    <row r="3095" spans="2:6" ht="17.25" customHeight="1">
      <c r="B3095" s="15"/>
      <c r="C3095" s="15"/>
      <c r="D3095" s="15"/>
      <c r="E3095" s="15"/>
      <c r="F3095" s="20"/>
    </row>
    <row r="3096" spans="2:6" ht="17.25" customHeight="1">
      <c r="B3096" s="15"/>
      <c r="C3096" s="15"/>
      <c r="D3096" s="15"/>
      <c r="E3096" s="15"/>
      <c r="F3096" s="20"/>
    </row>
    <row r="3097" spans="2:6" ht="17.25" customHeight="1">
      <c r="B3097" s="15"/>
      <c r="C3097" s="15"/>
      <c r="D3097" s="15"/>
      <c r="E3097" s="15"/>
      <c r="F3097" s="20"/>
    </row>
    <row r="3098" spans="2:6" ht="17.25" customHeight="1">
      <c r="B3098" s="15"/>
      <c r="C3098" s="15"/>
      <c r="D3098" s="15"/>
      <c r="E3098" s="15"/>
      <c r="F3098" s="20"/>
    </row>
    <row r="3099" spans="2:6" ht="17.25" customHeight="1">
      <c r="B3099" s="15"/>
      <c r="C3099" s="15"/>
      <c r="D3099" s="15"/>
      <c r="E3099" s="15"/>
      <c r="F3099" s="20"/>
    </row>
    <row r="3100" spans="2:6" ht="17.25" customHeight="1">
      <c r="B3100" s="15"/>
      <c r="C3100" s="15"/>
      <c r="D3100" s="15"/>
      <c r="E3100" s="15"/>
      <c r="F3100" s="20"/>
    </row>
    <row r="3101" spans="2:6" ht="17.25" customHeight="1">
      <c r="B3101" s="15"/>
      <c r="C3101" s="15"/>
      <c r="D3101" s="15"/>
      <c r="E3101" s="15"/>
      <c r="F3101" s="20"/>
    </row>
    <row r="3102" spans="2:6" ht="17.25" customHeight="1">
      <c r="B3102" s="15"/>
      <c r="C3102" s="15"/>
      <c r="D3102" s="15"/>
      <c r="E3102" s="15"/>
      <c r="F3102" s="20"/>
    </row>
    <row r="3103" spans="2:6" ht="17.25" customHeight="1">
      <c r="B3103" s="15"/>
      <c r="C3103" s="15"/>
      <c r="D3103" s="15"/>
      <c r="E3103" s="15"/>
      <c r="F3103" s="20"/>
    </row>
    <row r="3104" spans="2:6" ht="17.25" customHeight="1">
      <c r="B3104" s="15"/>
      <c r="C3104" s="15"/>
      <c r="D3104" s="15"/>
      <c r="E3104" s="15"/>
      <c r="F3104" s="20"/>
    </row>
    <row r="3105" spans="2:6" ht="17.25" customHeight="1">
      <c r="B3105" s="15"/>
      <c r="C3105" s="15"/>
      <c r="D3105" s="15"/>
      <c r="E3105" s="15"/>
      <c r="F3105" s="20"/>
    </row>
    <row r="3106" spans="2:6" ht="17.25" customHeight="1">
      <c r="B3106" s="15"/>
      <c r="C3106" s="15"/>
      <c r="D3106" s="15"/>
      <c r="E3106" s="15"/>
      <c r="F3106" s="20"/>
    </row>
    <row r="3107" spans="2:6" ht="17.25" customHeight="1">
      <c r="B3107" s="15"/>
      <c r="C3107" s="15"/>
      <c r="D3107" s="15"/>
      <c r="E3107" s="15"/>
      <c r="F3107" s="20"/>
    </row>
    <row r="3108" spans="2:6" ht="17.25" customHeight="1">
      <c r="B3108" s="15"/>
      <c r="C3108" s="15"/>
      <c r="D3108" s="15"/>
      <c r="E3108" s="15"/>
      <c r="F3108" s="20"/>
    </row>
    <row r="3109" spans="2:6" ht="17.25" customHeight="1">
      <c r="B3109" s="15"/>
      <c r="C3109" s="15"/>
      <c r="D3109" s="15"/>
      <c r="E3109" s="15"/>
      <c r="F3109" s="20"/>
    </row>
    <row r="3110" spans="2:6" ht="17.25" customHeight="1">
      <c r="B3110" s="15"/>
      <c r="C3110" s="15"/>
      <c r="D3110" s="15"/>
      <c r="E3110" s="15"/>
      <c r="F3110" s="20"/>
    </row>
    <row r="3111" spans="2:6" ht="17.25" customHeight="1">
      <c r="B3111" s="15"/>
      <c r="C3111" s="15"/>
      <c r="D3111" s="15"/>
      <c r="E3111" s="15"/>
      <c r="F3111" s="20"/>
    </row>
    <row r="3112" spans="2:6" ht="17.25" customHeight="1">
      <c r="B3112" s="15"/>
      <c r="C3112" s="15"/>
      <c r="D3112" s="15"/>
      <c r="E3112" s="15"/>
      <c r="F3112" s="20"/>
    </row>
    <row r="3113" spans="2:6" ht="17.25" customHeight="1">
      <c r="B3113" s="15"/>
      <c r="C3113" s="15"/>
      <c r="D3113" s="15"/>
      <c r="E3113" s="15"/>
      <c r="F3113" s="20"/>
    </row>
    <row r="3114" spans="2:6" ht="17.25" customHeight="1">
      <c r="B3114" s="15"/>
      <c r="C3114" s="15"/>
      <c r="D3114" s="15"/>
      <c r="E3114" s="15"/>
      <c r="F3114" s="20"/>
    </row>
    <row r="3115" spans="2:6" ht="17.25" customHeight="1">
      <c r="B3115" s="15"/>
      <c r="C3115" s="15"/>
      <c r="D3115" s="15"/>
      <c r="E3115" s="15"/>
      <c r="F3115" s="20"/>
    </row>
    <row r="3116" spans="2:6" ht="17.25" customHeight="1">
      <c r="B3116" s="15"/>
      <c r="C3116" s="15"/>
      <c r="D3116" s="15"/>
      <c r="E3116" s="15"/>
      <c r="F3116" s="20"/>
    </row>
    <row r="3117" spans="2:6" ht="17.25" customHeight="1">
      <c r="B3117" s="15"/>
      <c r="C3117" s="15"/>
      <c r="D3117" s="15"/>
      <c r="E3117" s="15"/>
      <c r="F3117" s="20"/>
    </row>
    <row r="3118" spans="2:6" ht="17.25" customHeight="1">
      <c r="B3118" s="15"/>
      <c r="C3118" s="15"/>
      <c r="D3118" s="15"/>
      <c r="E3118" s="15"/>
      <c r="F3118" s="20"/>
    </row>
    <row r="3119" spans="2:6" ht="17.25" customHeight="1">
      <c r="B3119" s="15"/>
      <c r="C3119" s="15"/>
      <c r="D3119" s="15"/>
      <c r="E3119" s="15"/>
      <c r="F3119" s="20"/>
    </row>
    <row r="3120" spans="2:6" ht="17.25" customHeight="1">
      <c r="B3120" s="15"/>
      <c r="C3120" s="15"/>
      <c r="D3120" s="15"/>
      <c r="E3120" s="15"/>
      <c r="F3120" s="20"/>
    </row>
    <row r="3121" spans="2:6" ht="17.25" customHeight="1">
      <c r="B3121" s="15"/>
      <c r="C3121" s="15"/>
      <c r="D3121" s="15"/>
      <c r="E3121" s="15"/>
      <c r="F3121" s="20"/>
    </row>
    <row r="3122" spans="2:6" ht="17.25" customHeight="1">
      <c r="B3122" s="15"/>
      <c r="C3122" s="15"/>
      <c r="D3122" s="15"/>
      <c r="E3122" s="15"/>
      <c r="F3122" s="20"/>
    </row>
    <row r="3123" spans="2:6" ht="17.25" customHeight="1">
      <c r="B3123" s="15"/>
      <c r="C3123" s="15"/>
      <c r="D3123" s="15"/>
      <c r="E3123" s="15"/>
      <c r="F3123" s="20"/>
    </row>
    <row r="3124" spans="2:6" ht="17.25" customHeight="1">
      <c r="B3124" s="15"/>
      <c r="C3124" s="15"/>
      <c r="D3124" s="15"/>
      <c r="E3124" s="15"/>
      <c r="F3124" s="20"/>
    </row>
    <row r="3125" spans="2:6" ht="17.25" customHeight="1">
      <c r="B3125" s="15"/>
      <c r="C3125" s="15"/>
      <c r="D3125" s="15"/>
      <c r="E3125" s="15"/>
      <c r="F3125" s="20"/>
    </row>
    <row r="3126" spans="2:6" ht="17.25" customHeight="1">
      <c r="B3126" s="15"/>
      <c r="C3126" s="15"/>
      <c r="D3126" s="15"/>
      <c r="E3126" s="15"/>
      <c r="F3126" s="20"/>
    </row>
    <row r="3127" spans="2:6" ht="17.25" customHeight="1">
      <c r="B3127" s="15"/>
      <c r="C3127" s="15"/>
      <c r="D3127" s="15"/>
      <c r="E3127" s="15"/>
      <c r="F3127" s="20"/>
    </row>
    <row r="3128" spans="2:6" ht="17.25" customHeight="1">
      <c r="B3128" s="15"/>
      <c r="C3128" s="15"/>
      <c r="D3128" s="15"/>
      <c r="E3128" s="15"/>
      <c r="F3128" s="20"/>
    </row>
    <row r="3129" spans="2:6" ht="17.25" customHeight="1">
      <c r="B3129" s="15"/>
      <c r="C3129" s="15"/>
      <c r="D3129" s="15"/>
      <c r="E3129" s="15"/>
      <c r="F3129" s="20"/>
    </row>
    <row r="3130" spans="2:6" ht="17.25" customHeight="1">
      <c r="B3130" s="15"/>
      <c r="C3130" s="15"/>
      <c r="D3130" s="15"/>
      <c r="E3130" s="15"/>
      <c r="F3130" s="20"/>
    </row>
    <row r="3131" spans="2:6" ht="17.25" customHeight="1">
      <c r="B3131" s="15"/>
      <c r="C3131" s="15"/>
      <c r="D3131" s="15"/>
      <c r="E3131" s="15"/>
      <c r="F3131" s="20"/>
    </row>
    <row r="3132" spans="2:6" ht="17.25" customHeight="1">
      <c r="B3132" s="15"/>
      <c r="C3132" s="15"/>
      <c r="D3132" s="15"/>
      <c r="E3132" s="15"/>
      <c r="F3132" s="20"/>
    </row>
    <row r="3133" spans="2:6" ht="17.25" customHeight="1">
      <c r="B3133" s="15"/>
      <c r="C3133" s="15"/>
      <c r="D3133" s="15"/>
      <c r="E3133" s="15"/>
      <c r="F3133" s="20"/>
    </row>
    <row r="3134" spans="2:6" ht="17.25" customHeight="1">
      <c r="B3134" s="15"/>
      <c r="C3134" s="15"/>
      <c r="D3134" s="15"/>
      <c r="E3134" s="15"/>
      <c r="F3134" s="20"/>
    </row>
    <row r="3135" spans="2:6" ht="17.25" customHeight="1">
      <c r="B3135" s="15"/>
      <c r="C3135" s="15"/>
      <c r="D3135" s="15"/>
      <c r="E3135" s="15"/>
      <c r="F3135" s="20"/>
    </row>
    <row r="3136" spans="2:6" ht="17.25" customHeight="1">
      <c r="B3136" s="15"/>
      <c r="C3136" s="15"/>
      <c r="D3136" s="15"/>
      <c r="E3136" s="15"/>
      <c r="F3136" s="20"/>
    </row>
    <row r="3137" spans="2:6" ht="17.25" customHeight="1">
      <c r="B3137" s="15"/>
      <c r="C3137" s="15"/>
      <c r="D3137" s="15"/>
      <c r="E3137" s="15"/>
      <c r="F3137" s="20"/>
    </row>
    <row r="3138" spans="2:6" ht="17.25" customHeight="1">
      <c r="B3138" s="15"/>
      <c r="C3138" s="15"/>
      <c r="D3138" s="15"/>
      <c r="E3138" s="15"/>
      <c r="F3138" s="20"/>
    </row>
    <row r="3139" spans="2:6" ht="17.25" customHeight="1">
      <c r="B3139" s="15"/>
      <c r="C3139" s="15"/>
      <c r="D3139" s="15"/>
      <c r="E3139" s="15"/>
      <c r="F3139" s="20"/>
    </row>
    <row r="3140" spans="2:6" ht="17.25" customHeight="1">
      <c r="B3140" s="15"/>
      <c r="C3140" s="15"/>
      <c r="D3140" s="15"/>
      <c r="E3140" s="15"/>
      <c r="F3140" s="20"/>
    </row>
    <row r="3141" spans="2:6" ht="17.25" customHeight="1">
      <c r="B3141" s="15"/>
      <c r="C3141" s="15"/>
      <c r="D3141" s="15"/>
      <c r="E3141" s="15"/>
      <c r="F3141" s="20"/>
    </row>
    <row r="3142" spans="2:6" ht="17.25" customHeight="1">
      <c r="B3142" s="15"/>
      <c r="C3142" s="15"/>
      <c r="D3142" s="15"/>
      <c r="E3142" s="15"/>
      <c r="F3142" s="20"/>
    </row>
    <row r="3143" spans="2:6" ht="17.25" customHeight="1">
      <c r="B3143" s="15"/>
      <c r="C3143" s="15"/>
      <c r="D3143" s="15"/>
      <c r="E3143" s="15"/>
      <c r="F3143" s="20"/>
    </row>
    <row r="3144" spans="2:6" ht="17.25" customHeight="1">
      <c r="B3144" s="15"/>
      <c r="C3144" s="15"/>
      <c r="D3144" s="15"/>
      <c r="E3144" s="15"/>
      <c r="F3144" s="20"/>
    </row>
    <row r="3145" spans="2:6" ht="17.25" customHeight="1">
      <c r="B3145" s="15"/>
      <c r="C3145" s="15"/>
      <c r="D3145" s="15"/>
      <c r="E3145" s="15"/>
      <c r="F3145" s="20"/>
    </row>
    <row r="3146" spans="2:6" ht="17.25" customHeight="1">
      <c r="B3146" s="15"/>
      <c r="C3146" s="15"/>
      <c r="D3146" s="15"/>
      <c r="E3146" s="15"/>
      <c r="F3146" s="20"/>
    </row>
    <row r="3147" spans="2:6" ht="17.25" customHeight="1">
      <c r="B3147" s="15"/>
      <c r="C3147" s="15"/>
      <c r="D3147" s="15"/>
      <c r="E3147" s="15"/>
      <c r="F3147" s="20"/>
    </row>
    <row r="3148" spans="2:6" ht="17.25" customHeight="1">
      <c r="B3148" s="15"/>
      <c r="C3148" s="15"/>
      <c r="D3148" s="15"/>
      <c r="E3148" s="15"/>
      <c r="F3148" s="20"/>
    </row>
    <row r="3149" spans="2:6" ht="17.25" customHeight="1">
      <c r="B3149" s="15"/>
      <c r="C3149" s="15"/>
      <c r="D3149" s="15"/>
      <c r="E3149" s="15"/>
      <c r="F3149" s="20"/>
    </row>
    <row r="3150" spans="2:6" ht="17.25" customHeight="1">
      <c r="B3150" s="15"/>
      <c r="C3150" s="15"/>
      <c r="D3150" s="15"/>
      <c r="E3150" s="15"/>
      <c r="F3150" s="20"/>
    </row>
    <row r="3151" spans="2:6" ht="17.25" customHeight="1">
      <c r="B3151" s="15"/>
      <c r="C3151" s="15"/>
      <c r="D3151" s="15"/>
      <c r="E3151" s="15"/>
      <c r="F3151" s="20"/>
    </row>
    <row r="3152" spans="2:6" ht="17.25" customHeight="1">
      <c r="B3152" s="15"/>
      <c r="C3152" s="15"/>
      <c r="D3152" s="15"/>
      <c r="E3152" s="15"/>
      <c r="F3152" s="20"/>
    </row>
    <row r="3153" spans="2:6" ht="17.25" customHeight="1">
      <c r="B3153" s="15"/>
      <c r="C3153" s="15"/>
      <c r="D3153" s="15"/>
      <c r="E3153" s="15"/>
      <c r="F3153" s="20"/>
    </row>
    <row r="3154" spans="2:6" ht="17.25" customHeight="1">
      <c r="B3154" s="15"/>
      <c r="C3154" s="15"/>
      <c r="D3154" s="15"/>
      <c r="E3154" s="15"/>
      <c r="F3154" s="20"/>
    </row>
    <row r="3155" spans="2:6" ht="17.25" customHeight="1">
      <c r="B3155" s="15"/>
      <c r="C3155" s="15"/>
      <c r="D3155" s="15"/>
      <c r="E3155" s="15"/>
      <c r="F3155" s="20"/>
    </row>
    <row r="3156" spans="2:6" ht="17.25" customHeight="1">
      <c r="B3156" s="15"/>
      <c r="C3156" s="15"/>
      <c r="D3156" s="15"/>
      <c r="E3156" s="15"/>
      <c r="F3156" s="20"/>
    </row>
    <row r="3157" spans="2:6" ht="17.25" customHeight="1">
      <c r="B3157" s="15"/>
      <c r="C3157" s="15"/>
      <c r="D3157" s="15"/>
      <c r="E3157" s="15"/>
      <c r="F3157" s="20"/>
    </row>
    <row r="3158" spans="2:6" ht="17.25" customHeight="1">
      <c r="B3158" s="15"/>
      <c r="C3158" s="15"/>
      <c r="D3158" s="15"/>
      <c r="E3158" s="15"/>
      <c r="F3158" s="20"/>
    </row>
    <row r="3159" spans="2:6" ht="17.25" customHeight="1">
      <c r="B3159" s="15"/>
      <c r="C3159" s="15"/>
      <c r="D3159" s="15"/>
      <c r="E3159" s="15"/>
      <c r="F3159" s="20"/>
    </row>
    <row r="3160" spans="2:6" ht="17.25" customHeight="1">
      <c r="B3160" s="15"/>
      <c r="C3160" s="15"/>
      <c r="D3160" s="15"/>
      <c r="E3160" s="15"/>
      <c r="F3160" s="20"/>
    </row>
    <row r="3161" spans="2:6" ht="17.25" customHeight="1">
      <c r="B3161" s="15"/>
      <c r="C3161" s="15"/>
      <c r="D3161" s="15"/>
      <c r="E3161" s="15"/>
      <c r="F3161" s="20"/>
    </row>
    <row r="3162" spans="2:6" ht="17.25" customHeight="1">
      <c r="B3162" s="15"/>
      <c r="C3162" s="15"/>
      <c r="D3162" s="15"/>
      <c r="E3162" s="15"/>
      <c r="F3162" s="20"/>
    </row>
    <row r="3163" spans="2:6" ht="17.25" customHeight="1">
      <c r="B3163" s="15"/>
      <c r="C3163" s="15"/>
      <c r="D3163" s="15"/>
      <c r="E3163" s="15"/>
      <c r="F3163" s="20"/>
    </row>
    <row r="3164" spans="2:6" ht="17.25" customHeight="1">
      <c r="B3164" s="15"/>
      <c r="C3164" s="15"/>
      <c r="D3164" s="15"/>
      <c r="E3164" s="15"/>
      <c r="F3164" s="20"/>
    </row>
    <row r="3165" spans="2:6" ht="17.25" customHeight="1">
      <c r="B3165" s="15"/>
      <c r="C3165" s="15"/>
      <c r="D3165" s="15"/>
      <c r="E3165" s="15"/>
      <c r="F3165" s="20"/>
    </row>
    <row r="3166" spans="2:6" ht="17.25" customHeight="1">
      <c r="B3166" s="15"/>
      <c r="C3166" s="15"/>
      <c r="D3166" s="15"/>
      <c r="E3166" s="15"/>
      <c r="F3166" s="20"/>
    </row>
    <row r="3167" spans="2:6" ht="17.25" customHeight="1">
      <c r="B3167" s="15"/>
      <c r="C3167" s="15"/>
      <c r="D3167" s="15"/>
      <c r="E3167" s="15"/>
      <c r="F3167" s="20"/>
    </row>
    <row r="3168" spans="2:6" ht="17.25" customHeight="1">
      <c r="B3168" s="15"/>
      <c r="C3168" s="15"/>
      <c r="D3168" s="15"/>
      <c r="E3168" s="15"/>
      <c r="F3168" s="20"/>
    </row>
    <row r="3169" spans="2:6" ht="17.25" customHeight="1">
      <c r="B3169" s="15"/>
      <c r="C3169" s="15"/>
      <c r="D3169" s="15"/>
      <c r="E3169" s="15"/>
      <c r="F3169" s="20"/>
    </row>
    <row r="3170" spans="2:6" ht="17.25" customHeight="1">
      <c r="B3170" s="15"/>
      <c r="C3170" s="15"/>
      <c r="D3170" s="15"/>
      <c r="E3170" s="15"/>
      <c r="F3170" s="20"/>
    </row>
    <row r="3171" spans="2:6" ht="17.25" customHeight="1">
      <c r="B3171" s="15"/>
      <c r="C3171" s="15"/>
      <c r="D3171" s="15"/>
      <c r="E3171" s="15"/>
      <c r="F3171" s="20"/>
    </row>
    <row r="3172" spans="2:6" ht="17.25" customHeight="1">
      <c r="B3172" s="15"/>
      <c r="C3172" s="15"/>
      <c r="D3172" s="15"/>
      <c r="E3172" s="15"/>
      <c r="F3172" s="20"/>
    </row>
    <row r="3173" spans="2:6" ht="17.25" customHeight="1">
      <c r="B3173" s="15"/>
      <c r="C3173" s="15"/>
      <c r="D3173" s="15"/>
      <c r="E3173" s="15"/>
      <c r="F3173" s="20"/>
    </row>
    <row r="3174" spans="2:6" ht="17.25" customHeight="1">
      <c r="B3174" s="15"/>
      <c r="C3174" s="15"/>
      <c r="D3174" s="15"/>
      <c r="E3174" s="15"/>
      <c r="F3174" s="20"/>
    </row>
    <row r="3175" spans="2:6" ht="17.25" customHeight="1">
      <c r="B3175" s="15"/>
      <c r="C3175" s="15"/>
      <c r="D3175" s="15"/>
      <c r="E3175" s="15"/>
      <c r="F3175" s="20"/>
    </row>
    <row r="3176" spans="2:6" ht="17.25" customHeight="1">
      <c r="B3176" s="15"/>
      <c r="C3176" s="15"/>
      <c r="D3176" s="15"/>
      <c r="E3176" s="15"/>
      <c r="F3176" s="20"/>
    </row>
    <row r="3177" spans="2:6" ht="17.25" customHeight="1">
      <c r="B3177" s="15"/>
      <c r="C3177" s="15"/>
      <c r="D3177" s="15"/>
      <c r="E3177" s="15"/>
      <c r="F3177" s="20"/>
    </row>
    <row r="3178" spans="2:6" ht="17.25" customHeight="1">
      <c r="B3178" s="15"/>
      <c r="C3178" s="15"/>
      <c r="D3178" s="15"/>
      <c r="E3178" s="15"/>
      <c r="F3178" s="20"/>
    </row>
    <row r="3179" spans="2:6" ht="17.25" customHeight="1">
      <c r="B3179" s="15"/>
      <c r="C3179" s="15"/>
      <c r="D3179" s="15"/>
      <c r="E3179" s="15"/>
      <c r="F3179" s="20"/>
    </row>
    <row r="3180" spans="2:6" ht="17.25" customHeight="1">
      <c r="B3180" s="15"/>
      <c r="C3180" s="15"/>
      <c r="D3180" s="15"/>
      <c r="E3180" s="15"/>
      <c r="F3180" s="20"/>
    </row>
    <row r="3181" spans="2:6" ht="17.25" customHeight="1">
      <c r="B3181" s="15"/>
      <c r="C3181" s="15"/>
      <c r="D3181" s="15"/>
      <c r="E3181" s="15"/>
      <c r="F3181" s="20"/>
    </row>
    <row r="3182" spans="2:6" ht="17.25" customHeight="1">
      <c r="B3182" s="15"/>
      <c r="C3182" s="15"/>
      <c r="D3182" s="15"/>
      <c r="E3182" s="15"/>
      <c r="F3182" s="20"/>
    </row>
    <row r="3183" spans="2:6" ht="17.25" customHeight="1">
      <c r="B3183" s="15"/>
      <c r="C3183" s="15"/>
      <c r="D3183" s="15"/>
      <c r="E3183" s="15"/>
      <c r="F3183" s="20"/>
    </row>
    <row r="3184" spans="2:6" ht="17.25" customHeight="1">
      <c r="B3184" s="15"/>
      <c r="C3184" s="15"/>
      <c r="D3184" s="15"/>
      <c r="E3184" s="15"/>
      <c r="F3184" s="20"/>
    </row>
    <row r="3185" spans="2:6" ht="17.25" customHeight="1">
      <c r="B3185" s="15"/>
      <c r="C3185" s="15"/>
      <c r="D3185" s="15"/>
      <c r="E3185" s="15"/>
      <c r="F3185" s="20"/>
    </row>
    <row r="3186" spans="2:6" ht="17.25" customHeight="1">
      <c r="B3186" s="15"/>
      <c r="C3186" s="15"/>
      <c r="D3186" s="15"/>
      <c r="E3186" s="15"/>
      <c r="F3186" s="20"/>
    </row>
    <row r="3187" spans="2:6" ht="17.25" customHeight="1">
      <c r="B3187" s="15"/>
      <c r="C3187" s="15"/>
      <c r="D3187" s="15"/>
      <c r="E3187" s="15"/>
      <c r="F3187" s="20"/>
    </row>
    <row r="3188" spans="2:6" ht="17.25" customHeight="1">
      <c r="B3188" s="15"/>
      <c r="C3188" s="15"/>
      <c r="D3188" s="15"/>
      <c r="E3188" s="15"/>
      <c r="F3188" s="20"/>
    </row>
    <row r="3189" spans="2:6" ht="17.25" customHeight="1">
      <c r="B3189" s="15"/>
      <c r="C3189" s="15"/>
      <c r="D3189" s="15"/>
      <c r="E3189" s="15"/>
      <c r="F3189" s="20"/>
    </row>
    <row r="3190" spans="2:6" ht="17.25" customHeight="1">
      <c r="B3190" s="15"/>
      <c r="C3190" s="15"/>
      <c r="D3190" s="15"/>
      <c r="E3190" s="15"/>
      <c r="F3190" s="20"/>
    </row>
    <row r="3191" spans="2:6" ht="17.25" customHeight="1">
      <c r="B3191" s="15"/>
      <c r="C3191" s="15"/>
      <c r="D3191" s="15"/>
      <c r="E3191" s="15"/>
      <c r="F3191" s="20"/>
    </row>
    <row r="3192" spans="2:6" ht="17.25" customHeight="1">
      <c r="B3192" s="15"/>
      <c r="C3192" s="15"/>
      <c r="D3192" s="15"/>
      <c r="E3192" s="15"/>
      <c r="F3192" s="20"/>
    </row>
    <row r="3193" spans="2:6" ht="17.25" customHeight="1">
      <c r="B3193" s="15"/>
      <c r="C3193" s="15"/>
      <c r="D3193" s="15"/>
      <c r="E3193" s="15"/>
      <c r="F3193" s="20"/>
    </row>
    <row r="3194" spans="2:6" ht="17.25" customHeight="1">
      <c r="B3194" s="15"/>
      <c r="C3194" s="15"/>
      <c r="D3194" s="15"/>
      <c r="E3194" s="15"/>
      <c r="F3194" s="20"/>
    </row>
    <row r="3195" spans="2:6" ht="17.25" customHeight="1">
      <c r="B3195" s="15"/>
      <c r="C3195" s="15"/>
      <c r="D3195" s="15"/>
      <c r="E3195" s="15"/>
      <c r="F3195" s="20"/>
    </row>
    <row r="3196" spans="2:6" ht="17.25" customHeight="1">
      <c r="B3196" s="15"/>
      <c r="C3196" s="15"/>
      <c r="D3196" s="15"/>
      <c r="E3196" s="15"/>
      <c r="F3196" s="20"/>
    </row>
    <row r="3197" spans="2:6" ht="17.25" customHeight="1">
      <c r="B3197" s="15"/>
      <c r="C3197" s="15"/>
      <c r="D3197" s="15"/>
      <c r="E3197" s="15"/>
      <c r="F3197" s="20"/>
    </row>
    <row r="3198" spans="2:6" ht="17.25" customHeight="1">
      <c r="B3198" s="15"/>
      <c r="C3198" s="15"/>
      <c r="D3198" s="15"/>
      <c r="E3198" s="15"/>
      <c r="F3198" s="20"/>
    </row>
    <row r="3199" spans="2:6" ht="17.25" customHeight="1">
      <c r="B3199" s="15"/>
      <c r="C3199" s="15"/>
      <c r="D3199" s="15"/>
      <c r="E3199" s="15"/>
      <c r="F3199" s="20"/>
    </row>
    <row r="3200" spans="2:6" ht="17.25" customHeight="1">
      <c r="B3200" s="15"/>
      <c r="C3200" s="15"/>
      <c r="D3200" s="15"/>
      <c r="E3200" s="15"/>
      <c r="F3200" s="20"/>
    </row>
    <row r="3201" spans="2:6" ht="17.25" customHeight="1">
      <c r="B3201" s="15"/>
      <c r="C3201" s="15"/>
      <c r="D3201" s="15"/>
      <c r="E3201" s="15"/>
      <c r="F3201" s="20"/>
    </row>
    <row r="3202" spans="2:6" ht="17.25" customHeight="1">
      <c r="B3202" s="15"/>
      <c r="C3202" s="15"/>
      <c r="D3202" s="15"/>
      <c r="E3202" s="15"/>
      <c r="F3202" s="20"/>
    </row>
    <row r="3203" spans="2:6" ht="17.25" customHeight="1">
      <c r="B3203" s="15"/>
      <c r="C3203" s="15"/>
      <c r="D3203" s="15"/>
      <c r="E3203" s="15"/>
      <c r="F3203" s="20"/>
    </row>
    <row r="3204" spans="2:6" ht="17.25" customHeight="1">
      <c r="B3204" s="15"/>
      <c r="C3204" s="15"/>
      <c r="D3204" s="15"/>
      <c r="E3204" s="15"/>
      <c r="F3204" s="20"/>
    </row>
    <row r="3205" spans="2:6" ht="17.25" customHeight="1">
      <c r="B3205" s="15"/>
      <c r="C3205" s="15"/>
      <c r="D3205" s="15"/>
      <c r="E3205" s="15"/>
      <c r="F3205" s="20"/>
    </row>
    <row r="3206" spans="2:6" ht="17.25" customHeight="1">
      <c r="B3206" s="15"/>
      <c r="C3206" s="15"/>
      <c r="D3206" s="15"/>
      <c r="E3206" s="15"/>
      <c r="F3206" s="20"/>
    </row>
    <row r="3207" spans="2:6" ht="17.25" customHeight="1">
      <c r="B3207" s="15"/>
      <c r="C3207" s="15"/>
      <c r="D3207" s="15"/>
      <c r="E3207" s="15"/>
      <c r="F3207" s="20"/>
    </row>
    <row r="3208" spans="2:6" ht="17.25" customHeight="1">
      <c r="B3208" s="15"/>
      <c r="C3208" s="15"/>
      <c r="D3208" s="15"/>
      <c r="E3208" s="15"/>
      <c r="F3208" s="20"/>
    </row>
    <row r="3209" spans="2:6" ht="17.25" customHeight="1">
      <c r="B3209" s="15"/>
      <c r="C3209" s="15"/>
      <c r="D3209" s="15"/>
      <c r="E3209" s="15"/>
      <c r="F3209" s="20"/>
    </row>
    <row r="3210" spans="2:6" ht="17.25" customHeight="1">
      <c r="B3210" s="15"/>
      <c r="C3210" s="15"/>
      <c r="D3210" s="15"/>
      <c r="E3210" s="15"/>
      <c r="F3210" s="20"/>
    </row>
    <row r="3211" spans="2:6" ht="17.25" customHeight="1">
      <c r="B3211" s="15"/>
      <c r="C3211" s="15"/>
      <c r="D3211" s="15"/>
      <c r="E3211" s="15"/>
      <c r="F3211" s="20"/>
    </row>
    <row r="3212" spans="2:6" ht="17.25" customHeight="1">
      <c r="B3212" s="15"/>
      <c r="C3212" s="15"/>
      <c r="D3212" s="15"/>
      <c r="E3212" s="15"/>
      <c r="F3212" s="20"/>
    </row>
    <row r="3213" spans="2:6" ht="17.25" customHeight="1">
      <c r="B3213" s="15"/>
      <c r="C3213" s="15"/>
      <c r="D3213" s="15"/>
      <c r="E3213" s="15"/>
      <c r="F3213" s="20"/>
    </row>
    <row r="3214" spans="2:6" ht="17.25" customHeight="1">
      <c r="B3214" s="15"/>
      <c r="C3214" s="15"/>
      <c r="D3214" s="15"/>
      <c r="E3214" s="15"/>
      <c r="F3214" s="20"/>
    </row>
    <row r="3215" spans="2:6" ht="17.25" customHeight="1">
      <c r="B3215" s="15"/>
      <c r="C3215" s="15"/>
      <c r="D3215" s="15"/>
      <c r="E3215" s="15"/>
      <c r="F3215" s="20"/>
    </row>
    <row r="3216" spans="2:6" ht="17.25" customHeight="1">
      <c r="B3216" s="15"/>
      <c r="C3216" s="15"/>
      <c r="D3216" s="15"/>
      <c r="E3216" s="15"/>
      <c r="F3216" s="20"/>
    </row>
    <row r="3217" spans="2:6" ht="17.25" customHeight="1">
      <c r="B3217" s="15"/>
      <c r="C3217" s="15"/>
      <c r="D3217" s="15"/>
      <c r="E3217" s="15"/>
      <c r="F3217" s="20"/>
    </row>
    <row r="3218" spans="2:6" ht="17.25" customHeight="1">
      <c r="B3218" s="15"/>
      <c r="C3218" s="15"/>
      <c r="D3218" s="15"/>
      <c r="E3218" s="15"/>
      <c r="F3218" s="20"/>
    </row>
    <row r="3219" spans="2:6" ht="17.25" customHeight="1">
      <c r="B3219" s="15"/>
      <c r="C3219" s="15"/>
      <c r="D3219" s="15"/>
      <c r="E3219" s="15"/>
      <c r="F3219" s="20"/>
    </row>
    <row r="3220" spans="2:6" ht="17.25" customHeight="1">
      <c r="B3220" s="15"/>
      <c r="C3220" s="15"/>
      <c r="D3220" s="15"/>
      <c r="E3220" s="15"/>
      <c r="F3220" s="20"/>
    </row>
    <row r="3221" spans="2:6" ht="17.25" customHeight="1">
      <c r="B3221" s="15"/>
      <c r="C3221" s="15"/>
      <c r="D3221" s="15"/>
      <c r="E3221" s="15"/>
      <c r="F3221" s="20"/>
    </row>
    <row r="3222" spans="2:6" ht="17.25" customHeight="1">
      <c r="B3222" s="15"/>
      <c r="C3222" s="15"/>
      <c r="D3222" s="15"/>
      <c r="E3222" s="15"/>
      <c r="F3222" s="20"/>
    </row>
    <row r="3223" spans="2:6" ht="17.25" customHeight="1">
      <c r="B3223" s="15"/>
      <c r="C3223" s="15"/>
      <c r="D3223" s="15"/>
      <c r="E3223" s="15"/>
      <c r="F3223" s="20"/>
    </row>
    <row r="3224" spans="2:6" ht="17.25" customHeight="1">
      <c r="B3224" s="15"/>
      <c r="C3224" s="15"/>
      <c r="D3224" s="15"/>
      <c r="E3224" s="15"/>
      <c r="F3224" s="20"/>
    </row>
    <row r="3225" spans="2:6" ht="17.25" customHeight="1">
      <c r="B3225" s="15"/>
      <c r="C3225" s="15"/>
      <c r="D3225" s="15"/>
      <c r="E3225" s="15"/>
      <c r="F3225" s="20"/>
    </row>
    <row r="3226" spans="2:6" ht="17.25" customHeight="1">
      <c r="B3226" s="15"/>
      <c r="C3226" s="15"/>
      <c r="D3226" s="15"/>
      <c r="E3226" s="15"/>
      <c r="F3226" s="20"/>
    </row>
    <row r="3227" spans="2:6" ht="17.25" customHeight="1">
      <c r="B3227" s="15"/>
      <c r="C3227" s="15"/>
      <c r="D3227" s="15"/>
      <c r="E3227" s="15"/>
      <c r="F3227" s="20"/>
    </row>
    <row r="3228" spans="2:6" ht="17.25" customHeight="1">
      <c r="B3228" s="15"/>
      <c r="C3228" s="15"/>
      <c r="D3228" s="15"/>
      <c r="E3228" s="15"/>
      <c r="F3228" s="20"/>
    </row>
    <row r="3229" spans="2:6" ht="17.25" customHeight="1">
      <c r="B3229" s="15"/>
      <c r="C3229" s="15"/>
      <c r="D3229" s="15"/>
      <c r="E3229" s="15"/>
      <c r="F3229" s="20"/>
    </row>
    <row r="3230" spans="2:6" ht="17.25" customHeight="1">
      <c r="B3230" s="15"/>
      <c r="C3230" s="15"/>
      <c r="D3230" s="15"/>
      <c r="E3230" s="15"/>
      <c r="F3230" s="20"/>
    </row>
    <row r="3231" spans="2:6" ht="17.25" customHeight="1">
      <c r="B3231" s="15"/>
      <c r="C3231" s="15"/>
      <c r="D3231" s="15"/>
      <c r="E3231" s="15"/>
      <c r="F3231" s="20"/>
    </row>
    <row r="3232" spans="2:6" ht="17.25" customHeight="1">
      <c r="B3232" s="15"/>
      <c r="C3232" s="15"/>
      <c r="D3232" s="15"/>
      <c r="E3232" s="15"/>
      <c r="F3232" s="20"/>
    </row>
    <row r="3233" spans="2:6" ht="17.25" customHeight="1">
      <c r="B3233" s="15"/>
      <c r="C3233" s="15"/>
      <c r="D3233" s="15"/>
      <c r="E3233" s="15"/>
      <c r="F3233" s="20"/>
    </row>
    <row r="3234" spans="2:6" ht="17.25" customHeight="1">
      <c r="B3234" s="15"/>
      <c r="C3234" s="15"/>
      <c r="D3234" s="15"/>
      <c r="E3234" s="15"/>
      <c r="F3234" s="20"/>
    </row>
    <row r="3235" spans="2:6" ht="17.25" customHeight="1">
      <c r="B3235" s="15"/>
      <c r="C3235" s="15"/>
      <c r="D3235" s="15"/>
      <c r="E3235" s="15"/>
      <c r="F3235" s="20"/>
    </row>
    <row r="3236" spans="2:6" ht="17.25" customHeight="1">
      <c r="B3236" s="15"/>
      <c r="C3236" s="15"/>
      <c r="D3236" s="15"/>
      <c r="E3236" s="15"/>
      <c r="F3236" s="20"/>
    </row>
    <row r="3237" spans="2:6" ht="17.25" customHeight="1">
      <c r="B3237" s="15"/>
      <c r="C3237" s="15"/>
      <c r="D3237" s="15"/>
      <c r="E3237" s="15"/>
      <c r="F3237" s="20"/>
    </row>
    <row r="3238" spans="2:6" ht="17.25" customHeight="1">
      <c r="B3238" s="15"/>
      <c r="C3238" s="15"/>
      <c r="D3238" s="15"/>
      <c r="E3238" s="15"/>
      <c r="F3238" s="20"/>
    </row>
    <row r="3239" spans="2:6" ht="17.25" customHeight="1">
      <c r="B3239" s="15"/>
      <c r="C3239" s="15"/>
      <c r="D3239" s="15"/>
      <c r="E3239" s="15"/>
      <c r="F3239" s="20"/>
    </row>
    <row r="3240" spans="2:6" ht="17.25" customHeight="1">
      <c r="B3240" s="15"/>
      <c r="C3240" s="15"/>
      <c r="D3240" s="15"/>
      <c r="E3240" s="15"/>
      <c r="F3240" s="20"/>
    </row>
    <row r="3241" spans="2:6" ht="17.25" customHeight="1">
      <c r="B3241" s="15"/>
      <c r="C3241" s="15"/>
      <c r="D3241" s="15"/>
      <c r="E3241" s="15"/>
      <c r="F3241" s="20"/>
    </row>
    <row r="3242" spans="2:6" ht="17.25" customHeight="1">
      <c r="B3242" s="15"/>
      <c r="C3242" s="15"/>
      <c r="D3242" s="15"/>
      <c r="E3242" s="15"/>
      <c r="F3242" s="20"/>
    </row>
    <row r="3243" spans="2:6" ht="17.25" customHeight="1">
      <c r="B3243" s="15"/>
      <c r="C3243" s="15"/>
      <c r="D3243" s="15"/>
      <c r="E3243" s="15"/>
      <c r="F3243" s="20"/>
    </row>
    <row r="3244" spans="2:6" ht="17.25" customHeight="1">
      <c r="B3244" s="15"/>
      <c r="C3244" s="15"/>
      <c r="D3244" s="15"/>
      <c r="E3244" s="15"/>
      <c r="F3244" s="20"/>
    </row>
    <row r="3245" spans="2:6" ht="17.25" customHeight="1">
      <c r="B3245" s="15"/>
      <c r="C3245" s="15"/>
      <c r="D3245" s="15"/>
      <c r="E3245" s="15"/>
      <c r="F3245" s="20"/>
    </row>
    <row r="3246" spans="2:6" ht="17.25" customHeight="1">
      <c r="B3246" s="15"/>
      <c r="C3246" s="15"/>
      <c r="D3246" s="15"/>
      <c r="E3246" s="15"/>
      <c r="F3246" s="20"/>
    </row>
    <row r="3247" spans="2:6" ht="17.25" customHeight="1">
      <c r="B3247" s="15"/>
      <c r="C3247" s="15"/>
      <c r="D3247" s="15"/>
      <c r="E3247" s="15"/>
      <c r="F3247" s="20"/>
    </row>
    <row r="3248" spans="2:6" ht="17.25" customHeight="1">
      <c r="B3248" s="15"/>
      <c r="C3248" s="15"/>
      <c r="D3248" s="15"/>
      <c r="E3248" s="15"/>
      <c r="F3248" s="20"/>
    </row>
    <row r="3249" spans="2:6" ht="17.25" customHeight="1">
      <c r="B3249" s="15"/>
      <c r="C3249" s="15"/>
      <c r="D3249" s="15"/>
      <c r="E3249" s="15"/>
      <c r="F3249" s="20"/>
    </row>
    <row r="3250" spans="2:6" ht="17.25" customHeight="1">
      <c r="B3250" s="15"/>
      <c r="C3250" s="15"/>
      <c r="D3250" s="15"/>
      <c r="E3250" s="15"/>
      <c r="F3250" s="20"/>
    </row>
    <row r="3251" spans="2:6" ht="17.25" customHeight="1">
      <c r="B3251" s="15"/>
      <c r="C3251" s="15"/>
      <c r="D3251" s="15"/>
      <c r="E3251" s="15"/>
      <c r="F3251" s="20"/>
    </row>
    <row r="3252" spans="2:6" ht="17.25" customHeight="1">
      <c r="B3252" s="15"/>
      <c r="C3252" s="15"/>
      <c r="D3252" s="15"/>
      <c r="E3252" s="15"/>
      <c r="F3252" s="20"/>
    </row>
    <row r="3253" spans="2:6" ht="17.25" customHeight="1">
      <c r="B3253" s="15"/>
      <c r="C3253" s="15"/>
      <c r="D3253" s="15"/>
      <c r="E3253" s="15"/>
      <c r="F3253" s="20"/>
    </row>
    <row r="3254" spans="2:6" ht="17.25" customHeight="1">
      <c r="B3254" s="15"/>
      <c r="C3254" s="15"/>
      <c r="D3254" s="15"/>
      <c r="E3254" s="15"/>
      <c r="F3254" s="20"/>
    </row>
    <row r="3255" spans="2:6" ht="17.25" customHeight="1">
      <c r="B3255" s="15"/>
      <c r="C3255" s="15"/>
      <c r="D3255" s="15"/>
      <c r="E3255" s="15"/>
      <c r="F3255" s="20"/>
    </row>
    <row r="3256" spans="2:6" ht="17.25" customHeight="1">
      <c r="B3256" s="15"/>
      <c r="C3256" s="15"/>
      <c r="D3256" s="15"/>
      <c r="E3256" s="15"/>
      <c r="F3256" s="20"/>
    </row>
    <row r="3257" spans="2:6" ht="17.25" customHeight="1">
      <c r="B3257" s="15"/>
      <c r="C3257" s="15"/>
      <c r="D3257" s="15"/>
      <c r="E3257" s="15"/>
      <c r="F3257" s="20"/>
    </row>
    <row r="3258" spans="2:6" ht="17.25" customHeight="1">
      <c r="B3258" s="15"/>
      <c r="C3258" s="15"/>
      <c r="D3258" s="15"/>
      <c r="E3258" s="15"/>
      <c r="F3258" s="20"/>
    </row>
    <row r="3259" spans="2:6" ht="17.25" customHeight="1">
      <c r="B3259" s="15"/>
      <c r="C3259" s="15"/>
      <c r="D3259" s="15"/>
      <c r="E3259" s="15"/>
      <c r="F3259" s="20"/>
    </row>
    <row r="3260" spans="2:6" ht="17.25" customHeight="1">
      <c r="B3260" s="15"/>
      <c r="C3260" s="15"/>
      <c r="D3260" s="15"/>
      <c r="E3260" s="15"/>
      <c r="F3260" s="20"/>
    </row>
    <row r="3261" spans="2:6" ht="17.25" customHeight="1">
      <c r="B3261" s="15"/>
      <c r="C3261" s="15"/>
      <c r="D3261" s="15"/>
      <c r="E3261" s="15"/>
      <c r="F3261" s="20"/>
    </row>
    <row r="3262" spans="2:6" ht="17.25" customHeight="1">
      <c r="B3262" s="15"/>
      <c r="C3262" s="15"/>
      <c r="D3262" s="15"/>
      <c r="E3262" s="15"/>
      <c r="F3262" s="20"/>
    </row>
    <row r="3263" spans="2:6" ht="17.25" customHeight="1">
      <c r="B3263" s="15"/>
      <c r="C3263" s="15"/>
      <c r="D3263" s="15"/>
      <c r="E3263" s="15"/>
      <c r="F3263" s="20"/>
    </row>
    <row r="3264" spans="2:6" ht="17.25" customHeight="1">
      <c r="B3264" s="15"/>
      <c r="C3264" s="15"/>
      <c r="D3264" s="15"/>
      <c r="E3264" s="15"/>
      <c r="F3264" s="20"/>
    </row>
    <row r="3265" spans="2:6" ht="17.25" customHeight="1">
      <c r="B3265" s="15"/>
      <c r="C3265" s="15"/>
      <c r="D3265" s="15"/>
      <c r="E3265" s="15"/>
      <c r="F3265" s="20"/>
    </row>
    <row r="3266" spans="2:6" ht="17.25" customHeight="1">
      <c r="B3266" s="15"/>
      <c r="C3266" s="15"/>
      <c r="D3266" s="15"/>
      <c r="E3266" s="15"/>
      <c r="F3266" s="20"/>
    </row>
    <row r="3267" spans="2:6" ht="17.25" customHeight="1">
      <c r="B3267" s="15"/>
      <c r="C3267" s="15"/>
      <c r="D3267" s="15"/>
      <c r="E3267" s="15"/>
      <c r="F3267" s="20"/>
    </row>
    <row r="3268" spans="2:6" ht="17.25" customHeight="1">
      <c r="B3268" s="15"/>
      <c r="C3268" s="15"/>
      <c r="D3268" s="15"/>
      <c r="E3268" s="15"/>
      <c r="F3268" s="20"/>
    </row>
    <row r="3269" spans="2:6" ht="17.25" customHeight="1">
      <c r="B3269" s="15"/>
      <c r="C3269" s="15"/>
      <c r="D3269" s="15"/>
      <c r="E3269" s="15"/>
      <c r="F3269" s="20"/>
    </row>
    <row r="3270" spans="2:6" ht="17.25" customHeight="1">
      <c r="B3270" s="15"/>
      <c r="C3270" s="15"/>
      <c r="D3270" s="15"/>
      <c r="E3270" s="15"/>
      <c r="F3270" s="20"/>
    </row>
    <row r="3271" spans="2:6" ht="17.25" customHeight="1">
      <c r="B3271" s="15"/>
      <c r="C3271" s="15"/>
      <c r="D3271" s="15"/>
      <c r="E3271" s="15"/>
      <c r="F3271" s="20"/>
    </row>
    <row r="3272" spans="2:6" ht="17.25" customHeight="1">
      <c r="B3272" s="15"/>
      <c r="C3272" s="15"/>
      <c r="D3272" s="15"/>
      <c r="E3272" s="15"/>
      <c r="F3272" s="20"/>
    </row>
    <row r="3273" spans="2:6" ht="17.25" customHeight="1">
      <c r="B3273" s="15"/>
      <c r="C3273" s="15"/>
      <c r="D3273" s="15"/>
      <c r="E3273" s="15"/>
      <c r="F3273" s="20"/>
    </row>
    <row r="3274" spans="2:6" ht="17.25" customHeight="1">
      <c r="B3274" s="15"/>
      <c r="C3274" s="15"/>
      <c r="D3274" s="15"/>
      <c r="E3274" s="15"/>
      <c r="F3274" s="20"/>
    </row>
    <row r="3275" spans="2:6" ht="17.25" customHeight="1">
      <c r="B3275" s="15"/>
      <c r="C3275" s="15"/>
      <c r="D3275" s="15"/>
      <c r="E3275" s="15"/>
      <c r="F3275" s="20"/>
    </row>
    <row r="3276" spans="2:6" ht="17.25" customHeight="1">
      <c r="B3276" s="15"/>
      <c r="C3276" s="15"/>
      <c r="D3276" s="15"/>
      <c r="E3276" s="15"/>
      <c r="F3276" s="20"/>
    </row>
    <row r="3277" spans="2:6" ht="17.25" customHeight="1">
      <c r="B3277" s="15"/>
      <c r="C3277" s="15"/>
      <c r="D3277" s="15"/>
      <c r="E3277" s="15"/>
      <c r="F3277" s="20"/>
    </row>
    <row r="3278" spans="2:6" ht="17.25" customHeight="1">
      <c r="B3278" s="15"/>
      <c r="C3278" s="15"/>
      <c r="D3278" s="15"/>
      <c r="E3278" s="15"/>
      <c r="F3278" s="20"/>
    </row>
    <row r="3279" spans="2:6" ht="17.25" customHeight="1">
      <c r="B3279" s="15"/>
      <c r="C3279" s="15"/>
      <c r="D3279" s="15"/>
      <c r="E3279" s="15"/>
      <c r="F3279" s="20"/>
    </row>
    <row r="3280" spans="2:6" ht="17.25" customHeight="1">
      <c r="B3280" s="15"/>
      <c r="C3280" s="15"/>
      <c r="D3280" s="15"/>
      <c r="E3280" s="15"/>
      <c r="F3280" s="20"/>
    </row>
    <row r="3281" spans="2:6" ht="17.25" customHeight="1">
      <c r="B3281" s="15"/>
      <c r="C3281" s="15"/>
      <c r="D3281" s="15"/>
      <c r="E3281" s="15"/>
      <c r="F3281" s="20"/>
    </row>
    <row r="3282" spans="2:6" ht="17.25" customHeight="1">
      <c r="B3282" s="15"/>
      <c r="C3282" s="15"/>
      <c r="D3282" s="15"/>
      <c r="E3282" s="15"/>
      <c r="F3282" s="20"/>
    </row>
    <row r="3283" spans="2:6" ht="17.25" customHeight="1">
      <c r="B3283" s="15"/>
      <c r="C3283" s="15"/>
      <c r="D3283" s="15"/>
      <c r="E3283" s="15"/>
      <c r="F3283" s="20"/>
    </row>
    <row r="3284" spans="2:6" ht="17.25" customHeight="1">
      <c r="B3284" s="15"/>
      <c r="C3284" s="15"/>
      <c r="D3284" s="15"/>
      <c r="E3284" s="15"/>
      <c r="F3284" s="20"/>
    </row>
    <row r="3285" spans="2:6" ht="17.25" customHeight="1">
      <c r="B3285" s="15"/>
      <c r="C3285" s="15"/>
      <c r="D3285" s="15"/>
      <c r="E3285" s="15"/>
      <c r="F3285" s="20"/>
    </row>
    <row r="3286" spans="2:6" ht="17.25" customHeight="1">
      <c r="B3286" s="15"/>
      <c r="C3286" s="15"/>
      <c r="D3286" s="15"/>
      <c r="E3286" s="15"/>
      <c r="F3286" s="20"/>
    </row>
    <row r="3287" spans="2:6" ht="17.25" customHeight="1">
      <c r="B3287" s="15"/>
      <c r="C3287" s="15"/>
      <c r="D3287" s="15"/>
      <c r="E3287" s="15"/>
      <c r="F3287" s="20"/>
    </row>
    <row r="3288" spans="2:6" ht="17.25" customHeight="1">
      <c r="B3288" s="15"/>
      <c r="C3288" s="15"/>
      <c r="D3288" s="15"/>
      <c r="E3288" s="15"/>
      <c r="F3288" s="20"/>
    </row>
    <row r="3289" spans="2:6" ht="17.25" customHeight="1">
      <c r="B3289" s="15"/>
      <c r="C3289" s="15"/>
      <c r="D3289" s="15"/>
      <c r="E3289" s="15"/>
      <c r="F3289" s="20"/>
    </row>
    <row r="3290" spans="2:6" ht="17.25" customHeight="1">
      <c r="B3290" s="15"/>
      <c r="C3290" s="15"/>
      <c r="D3290" s="15"/>
      <c r="E3290" s="15"/>
      <c r="F3290" s="20"/>
    </row>
    <row r="3291" spans="2:6" ht="17.25" customHeight="1">
      <c r="B3291" s="15"/>
      <c r="C3291" s="15"/>
      <c r="D3291" s="15"/>
      <c r="E3291" s="15"/>
      <c r="F3291" s="20"/>
    </row>
    <row r="3292" spans="2:6" ht="17.25" customHeight="1">
      <c r="B3292" s="15"/>
      <c r="C3292" s="15"/>
      <c r="D3292" s="15"/>
      <c r="E3292" s="15"/>
      <c r="F3292" s="20"/>
    </row>
    <row r="3293" spans="2:6" ht="17.25" customHeight="1">
      <c r="B3293" s="15"/>
      <c r="C3293" s="15"/>
      <c r="D3293" s="15"/>
      <c r="E3293" s="15"/>
      <c r="F3293" s="20"/>
    </row>
    <row r="3294" spans="2:6" ht="17.25" customHeight="1">
      <c r="B3294" s="15"/>
      <c r="C3294" s="15"/>
      <c r="D3294" s="15"/>
      <c r="E3294" s="15"/>
      <c r="F3294" s="20"/>
    </row>
    <row r="3295" spans="2:6" ht="17.25" customHeight="1">
      <c r="B3295" s="15"/>
      <c r="C3295" s="15"/>
      <c r="D3295" s="15"/>
      <c r="E3295" s="15"/>
      <c r="F3295" s="20"/>
    </row>
    <row r="3296" spans="2:6" ht="17.25" customHeight="1">
      <c r="B3296" s="15"/>
      <c r="C3296" s="15"/>
      <c r="D3296" s="15"/>
      <c r="E3296" s="15"/>
      <c r="F3296" s="20"/>
    </row>
    <row r="3297" spans="2:6" ht="17.25" customHeight="1">
      <c r="B3297" s="15"/>
      <c r="C3297" s="15"/>
      <c r="D3297" s="15"/>
      <c r="E3297" s="15"/>
      <c r="F3297" s="20"/>
    </row>
    <row r="3298" spans="2:6" ht="17.25" customHeight="1">
      <c r="B3298" s="15"/>
      <c r="C3298" s="15"/>
      <c r="D3298" s="15"/>
      <c r="E3298" s="15"/>
      <c r="F3298" s="20"/>
    </row>
    <row r="3299" spans="2:6" ht="17.25" customHeight="1">
      <c r="B3299" s="15"/>
      <c r="C3299" s="15"/>
      <c r="D3299" s="15"/>
      <c r="E3299" s="15"/>
      <c r="F3299" s="20"/>
    </row>
    <row r="3300" spans="2:6" ht="17.25" customHeight="1">
      <c r="B3300" s="15"/>
      <c r="C3300" s="15"/>
      <c r="D3300" s="15"/>
      <c r="E3300" s="15"/>
      <c r="F3300" s="20"/>
    </row>
    <row r="3301" spans="2:6" ht="17.25" customHeight="1">
      <c r="B3301" s="15"/>
      <c r="C3301" s="15"/>
      <c r="D3301" s="15"/>
      <c r="E3301" s="15"/>
      <c r="F3301" s="20"/>
    </row>
    <row r="3302" spans="2:6" ht="17.25" customHeight="1">
      <c r="B3302" s="15"/>
      <c r="C3302" s="15"/>
      <c r="D3302" s="15"/>
      <c r="E3302" s="15"/>
      <c r="F3302" s="20"/>
    </row>
    <row r="3303" spans="2:6" ht="17.25" customHeight="1">
      <c r="B3303" s="15"/>
      <c r="C3303" s="15"/>
      <c r="D3303" s="15"/>
      <c r="E3303" s="15"/>
      <c r="F3303" s="20"/>
    </row>
    <row r="3304" spans="2:6" ht="17.25" customHeight="1">
      <c r="B3304" s="15"/>
      <c r="C3304" s="15"/>
      <c r="D3304" s="15"/>
      <c r="E3304" s="15"/>
      <c r="F3304" s="20"/>
    </row>
    <row r="3305" spans="2:6" ht="17.25" customHeight="1">
      <c r="B3305" s="15"/>
      <c r="C3305" s="15"/>
      <c r="D3305" s="15"/>
      <c r="E3305" s="15"/>
      <c r="F3305" s="20"/>
    </row>
    <row r="3306" spans="2:6" ht="17.25" customHeight="1">
      <c r="B3306" s="15"/>
      <c r="C3306" s="15"/>
      <c r="D3306" s="15"/>
      <c r="E3306" s="15"/>
      <c r="F3306" s="20"/>
    </row>
    <row r="3307" spans="2:6" ht="17.25" customHeight="1">
      <c r="B3307" s="15"/>
      <c r="C3307" s="15"/>
      <c r="D3307" s="15"/>
      <c r="E3307" s="15"/>
      <c r="F3307" s="20"/>
    </row>
    <row r="3308" spans="2:6" ht="17.25" customHeight="1">
      <c r="B3308" s="15"/>
      <c r="C3308" s="15"/>
      <c r="D3308" s="15"/>
      <c r="E3308" s="15"/>
      <c r="F3308" s="20"/>
    </row>
    <row r="3309" spans="2:6" ht="17.25" customHeight="1">
      <c r="B3309" s="15"/>
      <c r="C3309" s="15"/>
      <c r="D3309" s="15"/>
      <c r="E3309" s="15"/>
      <c r="F3309" s="20"/>
    </row>
    <row r="3310" spans="2:6" ht="17.25" customHeight="1">
      <c r="B3310" s="15"/>
      <c r="C3310" s="15"/>
      <c r="D3310" s="15"/>
      <c r="E3310" s="15"/>
      <c r="F3310" s="20"/>
    </row>
    <row r="3311" spans="2:6" ht="17.25" customHeight="1">
      <c r="B3311" s="15"/>
      <c r="C3311" s="15"/>
      <c r="D3311" s="15"/>
      <c r="E3311" s="15"/>
      <c r="F3311" s="20"/>
    </row>
    <row r="3312" spans="2:6" ht="17.25" customHeight="1">
      <c r="B3312" s="15"/>
      <c r="C3312" s="15"/>
      <c r="D3312" s="15"/>
      <c r="E3312" s="15"/>
      <c r="F3312" s="20"/>
    </row>
    <row r="3313" spans="2:6" ht="17.25" customHeight="1">
      <c r="B3313" s="15"/>
      <c r="C3313" s="15"/>
      <c r="D3313" s="15"/>
      <c r="E3313" s="15"/>
      <c r="F3313" s="20"/>
    </row>
    <row r="3314" spans="2:6" ht="17.25" customHeight="1">
      <c r="B3314" s="15"/>
      <c r="C3314" s="15"/>
      <c r="D3314" s="15"/>
      <c r="E3314" s="15"/>
      <c r="F3314" s="20"/>
    </row>
    <row r="3315" spans="2:6" ht="17.25" customHeight="1">
      <c r="B3315" s="15"/>
      <c r="C3315" s="15"/>
      <c r="D3315" s="15"/>
      <c r="E3315" s="15"/>
      <c r="F3315" s="20"/>
    </row>
    <row r="3316" spans="2:6" ht="17.25" customHeight="1">
      <c r="B3316" s="15"/>
      <c r="C3316" s="15"/>
      <c r="D3316" s="15"/>
      <c r="E3316" s="15"/>
      <c r="F3316" s="20"/>
    </row>
    <row r="3317" spans="2:6" ht="17.25" customHeight="1">
      <c r="B3317" s="15"/>
      <c r="C3317" s="15"/>
      <c r="D3317" s="15"/>
      <c r="E3317" s="15"/>
      <c r="F3317" s="20"/>
    </row>
    <row r="3318" spans="2:6" ht="17.25" customHeight="1">
      <c r="B3318" s="15"/>
      <c r="C3318" s="15"/>
      <c r="D3318" s="15"/>
      <c r="E3318" s="15"/>
      <c r="F3318" s="20"/>
    </row>
    <row r="3319" spans="2:6" ht="17.25" customHeight="1">
      <c r="B3319" s="15"/>
      <c r="C3319" s="15"/>
      <c r="D3319" s="15"/>
      <c r="E3319" s="15"/>
      <c r="F3319" s="20"/>
    </row>
    <row r="3320" spans="2:6" ht="17.25" customHeight="1">
      <c r="B3320" s="15"/>
      <c r="C3320" s="15"/>
      <c r="D3320" s="15"/>
      <c r="E3320" s="15"/>
      <c r="F3320" s="20"/>
    </row>
    <row r="3321" spans="2:6" ht="17.25" customHeight="1">
      <c r="B3321" s="15"/>
      <c r="C3321" s="15"/>
      <c r="D3321" s="15"/>
      <c r="E3321" s="15"/>
      <c r="F3321" s="20"/>
    </row>
    <row r="3322" spans="2:6" ht="17.25" customHeight="1">
      <c r="B3322" s="15"/>
      <c r="C3322" s="15"/>
      <c r="D3322" s="15"/>
      <c r="E3322" s="15"/>
      <c r="F3322" s="20"/>
    </row>
    <row r="3323" spans="2:6" ht="17.25" customHeight="1">
      <c r="B3323" s="15"/>
      <c r="C3323" s="15"/>
      <c r="D3323" s="15"/>
      <c r="E3323" s="15"/>
      <c r="F3323" s="20"/>
    </row>
    <row r="3324" spans="2:6" ht="17.25" customHeight="1">
      <c r="B3324" s="15"/>
      <c r="C3324" s="15"/>
      <c r="D3324" s="15"/>
      <c r="E3324" s="15"/>
      <c r="F3324" s="20"/>
    </row>
    <row r="3325" spans="2:6" ht="17.25" customHeight="1">
      <c r="B3325" s="15"/>
      <c r="C3325" s="15"/>
      <c r="D3325" s="15"/>
      <c r="E3325" s="15"/>
      <c r="F3325" s="20"/>
    </row>
    <row r="3326" spans="2:6" ht="17.25" customHeight="1">
      <c r="B3326" s="15"/>
      <c r="C3326" s="15"/>
      <c r="D3326" s="15"/>
      <c r="E3326" s="15"/>
      <c r="F3326" s="20"/>
    </row>
    <row r="3327" spans="2:6" ht="17.25" customHeight="1">
      <c r="B3327" s="15"/>
      <c r="C3327" s="15"/>
      <c r="D3327" s="15"/>
      <c r="E3327" s="15"/>
      <c r="F3327" s="20"/>
    </row>
    <row r="3328" spans="2:6" ht="17.25" customHeight="1">
      <c r="B3328" s="15"/>
      <c r="C3328" s="15"/>
      <c r="D3328" s="15"/>
      <c r="E3328" s="15"/>
      <c r="F3328" s="20"/>
    </row>
    <row r="3329" spans="2:6" ht="17.25" customHeight="1">
      <c r="B3329" s="15"/>
      <c r="C3329" s="15"/>
      <c r="D3329" s="15"/>
      <c r="E3329" s="15"/>
      <c r="F3329" s="20"/>
    </row>
    <row r="3330" spans="2:6" ht="17.25" customHeight="1">
      <c r="B3330" s="15"/>
      <c r="C3330" s="15"/>
      <c r="D3330" s="15"/>
      <c r="E3330" s="15"/>
      <c r="F3330" s="20"/>
    </row>
    <row r="3331" spans="2:6" ht="17.25" customHeight="1">
      <c r="B3331" s="15"/>
      <c r="C3331" s="15"/>
      <c r="D3331" s="15"/>
      <c r="E3331" s="15"/>
      <c r="F3331" s="20"/>
    </row>
    <row r="3332" spans="2:6" ht="17.25" customHeight="1">
      <c r="B3332" s="15"/>
      <c r="C3332" s="15"/>
      <c r="D3332" s="15"/>
      <c r="E3332" s="15"/>
      <c r="F3332" s="20"/>
    </row>
    <row r="3333" spans="2:6" ht="17.25" customHeight="1">
      <c r="B3333" s="15"/>
      <c r="C3333" s="15"/>
      <c r="D3333" s="15"/>
      <c r="E3333" s="15"/>
      <c r="F3333" s="20"/>
    </row>
    <row r="3334" spans="2:6" ht="17.25" customHeight="1">
      <c r="B3334" s="15"/>
      <c r="C3334" s="15"/>
      <c r="D3334" s="15"/>
      <c r="E3334" s="15"/>
      <c r="F3334" s="20"/>
    </row>
    <row r="3335" spans="2:6" ht="17.25" customHeight="1">
      <c r="B3335" s="15"/>
      <c r="C3335" s="15"/>
      <c r="D3335" s="15"/>
      <c r="E3335" s="15"/>
      <c r="F3335" s="20"/>
    </row>
    <row r="3336" spans="2:6" ht="17.25" customHeight="1">
      <c r="B3336" s="15"/>
      <c r="C3336" s="15"/>
      <c r="D3336" s="15"/>
      <c r="E3336" s="15"/>
      <c r="F3336" s="20"/>
    </row>
    <row r="3337" spans="2:6" ht="17.25" customHeight="1">
      <c r="B3337" s="15"/>
      <c r="C3337" s="15"/>
      <c r="D3337" s="15"/>
      <c r="E3337" s="15"/>
      <c r="F3337" s="20"/>
    </row>
    <row r="3338" spans="2:6" ht="17.25" customHeight="1">
      <c r="B3338" s="15"/>
      <c r="C3338" s="15"/>
      <c r="D3338" s="15"/>
      <c r="E3338" s="15"/>
      <c r="F3338" s="20"/>
    </row>
    <row r="3339" spans="2:6" ht="17.25" customHeight="1">
      <c r="B3339" s="15"/>
      <c r="C3339" s="15"/>
      <c r="D3339" s="15"/>
      <c r="E3339" s="15"/>
      <c r="F3339" s="20"/>
    </row>
    <row r="3340" spans="2:6" ht="17.25" customHeight="1">
      <c r="B3340" s="15"/>
      <c r="C3340" s="15"/>
      <c r="D3340" s="15"/>
      <c r="E3340" s="15"/>
      <c r="F3340" s="20"/>
    </row>
    <row r="3341" spans="2:6" ht="17.25" customHeight="1">
      <c r="B3341" s="15"/>
      <c r="C3341" s="15"/>
      <c r="D3341" s="15"/>
      <c r="E3341" s="15"/>
      <c r="F3341" s="20"/>
    </row>
    <row r="3342" spans="2:6" ht="17.25" customHeight="1">
      <c r="B3342" s="15"/>
      <c r="C3342" s="15"/>
      <c r="D3342" s="15"/>
      <c r="E3342" s="15"/>
      <c r="F3342" s="20"/>
    </row>
    <row r="3343" spans="2:6" ht="17.25" customHeight="1">
      <c r="B3343" s="15"/>
      <c r="C3343" s="15"/>
      <c r="D3343" s="15"/>
      <c r="E3343" s="15"/>
      <c r="F3343" s="20"/>
    </row>
    <row r="3344" spans="2:6" ht="17.25" customHeight="1">
      <c r="B3344" s="15"/>
      <c r="C3344" s="15"/>
      <c r="D3344" s="15"/>
      <c r="E3344" s="15"/>
      <c r="F3344" s="20"/>
    </row>
    <row r="3345" spans="2:6" ht="17.25" customHeight="1">
      <c r="B3345" s="15"/>
      <c r="C3345" s="15"/>
      <c r="D3345" s="15"/>
      <c r="E3345" s="15"/>
      <c r="F3345" s="20"/>
    </row>
    <row r="3346" spans="2:6" ht="17.25" customHeight="1">
      <c r="B3346" s="15"/>
      <c r="C3346" s="15"/>
      <c r="D3346" s="15"/>
      <c r="E3346" s="15"/>
      <c r="F3346" s="20"/>
    </row>
    <row r="3347" spans="2:6" ht="17.25" customHeight="1">
      <c r="B3347" s="15"/>
      <c r="C3347" s="15"/>
      <c r="D3347" s="15"/>
      <c r="E3347" s="15"/>
      <c r="F3347" s="20"/>
    </row>
    <row r="3348" spans="2:6" ht="17.25" customHeight="1">
      <c r="B3348" s="15"/>
      <c r="C3348" s="15"/>
      <c r="D3348" s="15"/>
      <c r="E3348" s="15"/>
      <c r="F3348" s="20"/>
    </row>
    <row r="3349" spans="2:6" ht="17.25" customHeight="1">
      <c r="B3349" s="15"/>
      <c r="C3349" s="15"/>
      <c r="D3349" s="15"/>
      <c r="E3349" s="15"/>
      <c r="F3349" s="20"/>
    </row>
    <row r="3350" spans="2:6" ht="17.25" customHeight="1">
      <c r="B3350" s="15"/>
      <c r="C3350" s="15"/>
      <c r="D3350" s="15"/>
      <c r="E3350" s="15"/>
      <c r="F3350" s="20"/>
    </row>
    <row r="3351" spans="2:6" ht="17.25" customHeight="1">
      <c r="B3351" s="15"/>
      <c r="C3351" s="15"/>
      <c r="D3351" s="15"/>
      <c r="E3351" s="15"/>
      <c r="F3351" s="20"/>
    </row>
    <row r="3352" spans="2:6" ht="17.25" customHeight="1">
      <c r="B3352" s="15"/>
      <c r="C3352" s="15"/>
      <c r="D3352" s="15"/>
      <c r="E3352" s="15"/>
      <c r="F3352" s="20"/>
    </row>
    <row r="3353" spans="2:6" ht="17.25" customHeight="1">
      <c r="B3353" s="15"/>
      <c r="C3353" s="15"/>
      <c r="D3353" s="15"/>
      <c r="E3353" s="15"/>
      <c r="F3353" s="20"/>
    </row>
    <row r="3354" spans="2:6" ht="17.25" customHeight="1">
      <c r="B3354" s="15"/>
      <c r="C3354" s="15"/>
      <c r="D3354" s="15"/>
      <c r="E3354" s="15"/>
      <c r="F3354" s="20"/>
    </row>
    <row r="3355" spans="2:6" ht="17.25" customHeight="1">
      <c r="B3355" s="15"/>
      <c r="C3355" s="15"/>
      <c r="D3355" s="15"/>
      <c r="E3355" s="15"/>
      <c r="F3355" s="20"/>
    </row>
    <row r="3356" spans="2:6" ht="17.25" customHeight="1">
      <c r="B3356" s="15"/>
      <c r="C3356" s="15"/>
      <c r="D3356" s="15"/>
      <c r="E3356" s="15"/>
      <c r="F3356" s="20"/>
    </row>
    <row r="3357" spans="2:6" ht="17.25" customHeight="1">
      <c r="B3357" s="15"/>
      <c r="C3357" s="15"/>
      <c r="D3357" s="15"/>
      <c r="E3357" s="15"/>
      <c r="F3357" s="20"/>
    </row>
    <row r="3358" spans="2:6" ht="17.25" customHeight="1">
      <c r="B3358" s="15"/>
      <c r="C3358" s="15"/>
      <c r="D3358" s="15"/>
      <c r="E3358" s="15"/>
      <c r="F3358" s="20"/>
    </row>
    <row r="3359" spans="2:6" ht="17.25" customHeight="1">
      <c r="B3359" s="15"/>
      <c r="C3359" s="15"/>
      <c r="D3359" s="15"/>
      <c r="E3359" s="15"/>
      <c r="F3359" s="20"/>
    </row>
    <row r="3360" spans="2:6" ht="17.25" customHeight="1">
      <c r="B3360" s="15"/>
      <c r="C3360" s="15"/>
      <c r="D3360" s="15"/>
      <c r="E3360" s="15"/>
      <c r="F3360" s="20"/>
    </row>
    <row r="3361" spans="2:6" ht="17.25" customHeight="1">
      <c r="B3361" s="15"/>
      <c r="C3361" s="15"/>
      <c r="D3361" s="15"/>
      <c r="E3361" s="15"/>
      <c r="F3361" s="20"/>
    </row>
    <row r="3362" spans="2:6" ht="17.25" customHeight="1">
      <c r="B3362" s="15"/>
      <c r="C3362" s="15"/>
      <c r="D3362" s="15"/>
      <c r="E3362" s="15"/>
      <c r="F3362" s="20"/>
    </row>
    <row r="3363" spans="2:6" ht="17.25" customHeight="1">
      <c r="B3363" s="15"/>
      <c r="C3363" s="15"/>
      <c r="D3363" s="15"/>
      <c r="E3363" s="15"/>
      <c r="F3363" s="20"/>
    </row>
    <row r="3364" spans="2:6" ht="17.25" customHeight="1">
      <c r="B3364" s="15"/>
      <c r="C3364" s="15"/>
      <c r="D3364" s="15"/>
      <c r="E3364" s="15"/>
      <c r="F3364" s="20"/>
    </row>
    <row r="3365" spans="2:6" ht="17.25" customHeight="1">
      <c r="B3365" s="15"/>
      <c r="C3365" s="15"/>
      <c r="D3365" s="15"/>
      <c r="E3365" s="15"/>
      <c r="F3365" s="20"/>
    </row>
    <row r="3366" spans="2:6" ht="17.25" customHeight="1">
      <c r="B3366" s="15"/>
      <c r="C3366" s="15"/>
      <c r="D3366" s="15"/>
      <c r="E3366" s="15"/>
      <c r="F3366" s="20"/>
    </row>
    <row r="3367" spans="2:6" ht="17.25" customHeight="1">
      <c r="B3367" s="15"/>
      <c r="C3367" s="15"/>
      <c r="D3367" s="15"/>
      <c r="E3367" s="15"/>
      <c r="F3367" s="20"/>
    </row>
    <row r="3368" spans="2:6" ht="17.25" customHeight="1">
      <c r="B3368" s="15"/>
      <c r="C3368" s="15"/>
      <c r="D3368" s="15"/>
      <c r="E3368" s="15"/>
      <c r="F3368" s="20"/>
    </row>
    <row r="3369" spans="2:6" ht="17.25" customHeight="1">
      <c r="B3369" s="15"/>
      <c r="C3369" s="15"/>
      <c r="D3369" s="15"/>
      <c r="E3369" s="15"/>
      <c r="F3369" s="20"/>
    </row>
    <row r="3370" spans="2:6" ht="17.25" customHeight="1">
      <c r="B3370" s="15"/>
      <c r="C3370" s="15"/>
      <c r="D3370" s="15"/>
      <c r="E3370" s="15"/>
      <c r="F3370" s="20"/>
    </row>
    <row r="3371" spans="2:6" ht="17.25" customHeight="1">
      <c r="B3371" s="15"/>
      <c r="C3371" s="15"/>
      <c r="D3371" s="15"/>
      <c r="E3371" s="15"/>
      <c r="F3371" s="20"/>
    </row>
    <row r="3372" spans="2:6" ht="17.25" customHeight="1">
      <c r="B3372" s="15"/>
      <c r="C3372" s="15"/>
      <c r="D3372" s="15"/>
      <c r="E3372" s="15"/>
      <c r="F3372" s="20"/>
    </row>
    <row r="3373" spans="2:6" ht="17.25" customHeight="1">
      <c r="B3373" s="15"/>
      <c r="C3373" s="15"/>
      <c r="D3373" s="15"/>
      <c r="E3373" s="15"/>
      <c r="F3373" s="20"/>
    </row>
    <row r="3374" spans="2:6" ht="17.25" customHeight="1">
      <c r="B3374" s="15"/>
      <c r="C3374" s="15"/>
      <c r="D3374" s="15"/>
      <c r="E3374" s="15"/>
      <c r="F3374" s="20"/>
    </row>
    <row r="3375" spans="2:6" ht="17.25" customHeight="1">
      <c r="B3375" s="15"/>
      <c r="C3375" s="15"/>
      <c r="D3375" s="15"/>
      <c r="E3375" s="15"/>
      <c r="F3375" s="20"/>
    </row>
    <row r="3376" spans="2:6" ht="17.25" customHeight="1">
      <c r="B3376" s="15"/>
      <c r="C3376" s="15"/>
      <c r="D3376" s="15"/>
      <c r="E3376" s="15"/>
      <c r="F3376" s="20"/>
    </row>
    <row r="3377" spans="2:6" ht="17.25" customHeight="1">
      <c r="B3377" s="15"/>
      <c r="C3377" s="15"/>
      <c r="D3377" s="15"/>
      <c r="E3377" s="15"/>
      <c r="F3377" s="20"/>
    </row>
    <row r="3378" spans="2:6" ht="17.25" customHeight="1">
      <c r="B3378" s="15"/>
      <c r="C3378" s="15"/>
      <c r="D3378" s="15"/>
      <c r="E3378" s="15"/>
      <c r="F3378" s="20"/>
    </row>
    <row r="3379" spans="2:6" ht="17.25" customHeight="1">
      <c r="B3379" s="15"/>
      <c r="C3379" s="15"/>
      <c r="D3379" s="15"/>
      <c r="E3379" s="15"/>
      <c r="F3379" s="20"/>
    </row>
    <row r="3380" spans="2:6" ht="17.25" customHeight="1">
      <c r="B3380" s="15"/>
      <c r="C3380" s="15"/>
      <c r="D3380" s="15"/>
      <c r="E3380" s="15"/>
      <c r="F3380" s="20"/>
    </row>
    <row r="3381" spans="2:6" ht="17.25" customHeight="1">
      <c r="B3381" s="15"/>
      <c r="C3381" s="15"/>
      <c r="D3381" s="15"/>
      <c r="E3381" s="15"/>
      <c r="F3381" s="20"/>
    </row>
    <row r="3382" spans="2:6" ht="17.25" customHeight="1">
      <c r="B3382" s="15"/>
      <c r="C3382" s="15"/>
      <c r="D3382" s="15"/>
      <c r="E3382" s="15"/>
      <c r="F3382" s="20"/>
    </row>
    <row r="3383" spans="2:6" ht="17.25" customHeight="1">
      <c r="B3383" s="15"/>
      <c r="C3383" s="15"/>
      <c r="D3383" s="15"/>
      <c r="E3383" s="15"/>
      <c r="F3383" s="20"/>
    </row>
    <row r="3384" spans="2:6" ht="17.25" customHeight="1">
      <c r="B3384" s="15"/>
      <c r="C3384" s="15"/>
      <c r="D3384" s="15"/>
      <c r="E3384" s="15"/>
      <c r="F3384" s="20"/>
    </row>
    <row r="3385" spans="2:6" ht="17.25" customHeight="1">
      <c r="B3385" s="15"/>
      <c r="C3385" s="15"/>
      <c r="D3385" s="15"/>
      <c r="E3385" s="15"/>
      <c r="F3385" s="20"/>
    </row>
    <row r="3386" spans="2:6" ht="17.25" customHeight="1">
      <c r="B3386" s="15"/>
      <c r="C3386" s="15"/>
      <c r="D3386" s="15"/>
      <c r="E3386" s="15"/>
      <c r="F3386" s="20"/>
    </row>
    <row r="3387" spans="2:6" ht="17.25" customHeight="1">
      <c r="B3387" s="15"/>
      <c r="C3387" s="15"/>
      <c r="D3387" s="15"/>
      <c r="E3387" s="15"/>
      <c r="F3387" s="20"/>
    </row>
    <row r="3388" spans="2:6" ht="17.25" customHeight="1">
      <c r="B3388" s="15"/>
      <c r="C3388" s="15"/>
      <c r="D3388" s="15"/>
      <c r="E3388" s="15"/>
      <c r="F3388" s="20"/>
    </row>
    <row r="3389" spans="2:6" ht="17.25" customHeight="1">
      <c r="B3389" s="15"/>
      <c r="C3389" s="15"/>
      <c r="D3389" s="15"/>
      <c r="E3389" s="15"/>
      <c r="F3389" s="20"/>
    </row>
    <row r="3390" spans="2:6" ht="17.25" customHeight="1">
      <c r="B3390" s="15"/>
      <c r="C3390" s="15"/>
      <c r="D3390" s="15"/>
      <c r="E3390" s="15"/>
      <c r="F3390" s="20"/>
    </row>
    <row r="3391" spans="2:6" ht="17.25" customHeight="1">
      <c r="B3391" s="15"/>
      <c r="C3391" s="15"/>
      <c r="D3391" s="15"/>
      <c r="E3391" s="15"/>
      <c r="F3391" s="20"/>
    </row>
    <row r="3392" spans="2:6" ht="17.25" customHeight="1">
      <c r="B3392" s="15"/>
      <c r="C3392" s="15"/>
      <c r="D3392" s="15"/>
      <c r="E3392" s="15"/>
      <c r="F3392" s="20"/>
    </row>
    <row r="3393" spans="2:6" ht="17.25" customHeight="1">
      <c r="B3393" s="15"/>
      <c r="C3393" s="15"/>
      <c r="D3393" s="15"/>
      <c r="E3393" s="15"/>
      <c r="F3393" s="20"/>
    </row>
    <row r="3394" spans="2:6" ht="17.25" customHeight="1">
      <c r="B3394" s="15"/>
      <c r="C3394" s="15"/>
      <c r="D3394" s="15"/>
      <c r="E3394" s="15"/>
      <c r="F3394" s="20"/>
    </row>
    <row r="3395" spans="2:6" ht="17.25" customHeight="1">
      <c r="B3395" s="15"/>
      <c r="C3395" s="15"/>
      <c r="D3395" s="15"/>
      <c r="E3395" s="15"/>
      <c r="F3395" s="20"/>
    </row>
    <row r="3396" spans="2:6" ht="17.25" customHeight="1">
      <c r="B3396" s="15"/>
      <c r="C3396" s="15"/>
      <c r="D3396" s="15"/>
      <c r="E3396" s="15"/>
      <c r="F3396" s="20"/>
    </row>
    <row r="3397" spans="2:6" ht="17.25" customHeight="1">
      <c r="B3397" s="15"/>
      <c r="C3397" s="15"/>
      <c r="D3397" s="15"/>
      <c r="E3397" s="15"/>
      <c r="F3397" s="20"/>
    </row>
    <row r="3398" spans="2:6" ht="17.25" customHeight="1">
      <c r="B3398" s="15"/>
      <c r="C3398" s="15"/>
      <c r="D3398" s="15"/>
      <c r="E3398" s="15"/>
      <c r="F3398" s="20"/>
    </row>
    <row r="3399" spans="2:6" ht="17.25" customHeight="1">
      <c r="B3399" s="15"/>
      <c r="C3399" s="15"/>
      <c r="D3399" s="15"/>
      <c r="E3399" s="15"/>
      <c r="F3399" s="20"/>
    </row>
    <row r="3400" spans="2:6" ht="17.25" customHeight="1">
      <c r="B3400" s="15"/>
      <c r="C3400" s="15"/>
      <c r="D3400" s="15"/>
      <c r="E3400" s="15"/>
      <c r="F3400" s="20"/>
    </row>
    <row r="3401" spans="2:6" ht="17.25" customHeight="1">
      <c r="B3401" s="15"/>
      <c r="C3401" s="15"/>
      <c r="D3401" s="15"/>
      <c r="E3401" s="15"/>
      <c r="F3401" s="20"/>
    </row>
    <row r="3402" spans="2:6" ht="17.25" customHeight="1">
      <c r="B3402" s="15"/>
      <c r="C3402" s="15"/>
      <c r="D3402" s="15"/>
      <c r="E3402" s="15"/>
      <c r="F3402" s="20"/>
    </row>
    <row r="3403" spans="2:6" ht="17.25" customHeight="1">
      <c r="B3403" s="15"/>
      <c r="C3403" s="15"/>
      <c r="D3403" s="15"/>
      <c r="E3403" s="15"/>
      <c r="F3403" s="20"/>
    </row>
    <row r="3404" spans="2:6" ht="17.25" customHeight="1">
      <c r="B3404" s="15"/>
      <c r="C3404" s="15"/>
      <c r="D3404" s="15"/>
      <c r="E3404" s="15"/>
      <c r="F3404" s="20"/>
    </row>
    <row r="3405" spans="2:6" ht="17.25" customHeight="1">
      <c r="B3405" s="15"/>
      <c r="C3405" s="15"/>
      <c r="D3405" s="15"/>
      <c r="E3405" s="15"/>
      <c r="F3405" s="20"/>
    </row>
    <row r="3406" spans="2:6" ht="17.25" customHeight="1">
      <c r="B3406" s="15"/>
      <c r="C3406" s="15"/>
      <c r="D3406" s="15"/>
      <c r="E3406" s="15"/>
      <c r="F3406" s="20"/>
    </row>
    <row r="3407" spans="2:6" ht="17.25" customHeight="1">
      <c r="B3407" s="15"/>
      <c r="C3407" s="15"/>
      <c r="D3407" s="15"/>
      <c r="E3407" s="15"/>
      <c r="F3407" s="20"/>
    </row>
    <row r="3408" spans="2:6" ht="17.25" customHeight="1">
      <c r="B3408" s="15"/>
      <c r="C3408" s="15"/>
      <c r="D3408" s="15"/>
      <c r="E3408" s="15"/>
      <c r="F3408" s="20"/>
    </row>
    <row r="3409" spans="2:6" ht="17.25" customHeight="1">
      <c r="B3409" s="15"/>
      <c r="C3409" s="15"/>
      <c r="D3409" s="15"/>
      <c r="E3409" s="15"/>
      <c r="F3409" s="20"/>
    </row>
    <row r="3410" spans="2:6" ht="17.25" customHeight="1">
      <c r="B3410" s="15"/>
      <c r="C3410" s="15"/>
      <c r="D3410" s="15"/>
      <c r="E3410" s="15"/>
      <c r="F3410" s="20"/>
    </row>
    <row r="3411" spans="2:6" ht="17.25" customHeight="1">
      <c r="B3411" s="15"/>
      <c r="C3411" s="15"/>
      <c r="D3411" s="15"/>
      <c r="E3411" s="15"/>
      <c r="F3411" s="20"/>
    </row>
    <row r="3412" spans="2:6" ht="17.25" customHeight="1">
      <c r="B3412" s="15"/>
      <c r="C3412" s="15"/>
      <c r="D3412" s="15"/>
      <c r="E3412" s="15"/>
      <c r="F3412" s="20"/>
    </row>
    <row r="3413" spans="2:6" ht="17.25" customHeight="1">
      <c r="B3413" s="15"/>
      <c r="C3413" s="15"/>
      <c r="D3413" s="15"/>
      <c r="E3413" s="15"/>
      <c r="F3413" s="20"/>
    </row>
    <row r="3414" spans="2:6" ht="17.25" customHeight="1">
      <c r="B3414" s="15"/>
      <c r="C3414" s="15"/>
      <c r="D3414" s="15"/>
      <c r="E3414" s="15"/>
      <c r="F3414" s="20"/>
    </row>
    <row r="3415" spans="2:6" ht="17.25" customHeight="1">
      <c r="B3415" s="15"/>
      <c r="C3415" s="15"/>
      <c r="D3415" s="15"/>
      <c r="E3415" s="15"/>
      <c r="F3415" s="20"/>
    </row>
    <row r="3416" spans="2:6" ht="17.25" customHeight="1">
      <c r="B3416" s="15"/>
      <c r="C3416" s="15"/>
      <c r="D3416" s="15"/>
      <c r="E3416" s="15"/>
      <c r="F3416" s="20"/>
    </row>
    <row r="3417" spans="2:6" ht="17.25" customHeight="1">
      <c r="B3417" s="15"/>
      <c r="C3417" s="15"/>
      <c r="D3417" s="15"/>
      <c r="E3417" s="15"/>
      <c r="F3417" s="20"/>
    </row>
    <row r="3418" spans="2:6" ht="17.25" customHeight="1">
      <c r="B3418" s="15"/>
      <c r="C3418" s="15"/>
      <c r="D3418" s="15"/>
      <c r="E3418" s="15"/>
      <c r="F3418" s="20"/>
    </row>
    <row r="3419" spans="2:6" ht="17.25" customHeight="1">
      <c r="B3419" s="15"/>
      <c r="C3419" s="15"/>
      <c r="D3419" s="15"/>
      <c r="E3419" s="15"/>
      <c r="F3419" s="20"/>
    </row>
    <row r="3420" spans="2:6" ht="17.25" customHeight="1">
      <c r="B3420" s="15"/>
      <c r="C3420" s="15"/>
      <c r="D3420" s="15"/>
      <c r="E3420" s="15"/>
      <c r="F3420" s="20"/>
    </row>
    <row r="3421" spans="2:6" ht="17.25" customHeight="1">
      <c r="B3421" s="15"/>
      <c r="C3421" s="15"/>
      <c r="D3421" s="15"/>
      <c r="E3421" s="15"/>
      <c r="F3421" s="20"/>
    </row>
    <row r="3422" spans="2:6" ht="17.25" customHeight="1">
      <c r="B3422" s="15"/>
      <c r="C3422" s="15"/>
      <c r="D3422" s="15"/>
      <c r="E3422" s="15"/>
      <c r="F3422" s="20"/>
    </row>
    <row r="3423" spans="2:6" ht="17.25" customHeight="1">
      <c r="B3423" s="15"/>
      <c r="C3423" s="15"/>
      <c r="D3423" s="15"/>
      <c r="E3423" s="15"/>
      <c r="F3423" s="20"/>
    </row>
    <row r="3424" spans="2:6" ht="17.25" customHeight="1">
      <c r="B3424" s="15"/>
      <c r="C3424" s="15"/>
      <c r="D3424" s="15"/>
      <c r="E3424" s="15"/>
      <c r="F3424" s="20"/>
    </row>
    <row r="3425" spans="2:6" ht="17.25" customHeight="1">
      <c r="B3425" s="15"/>
      <c r="C3425" s="15"/>
      <c r="D3425" s="15"/>
      <c r="E3425" s="15"/>
      <c r="F3425" s="20"/>
    </row>
    <row r="3426" spans="2:6" ht="17.25" customHeight="1">
      <c r="B3426" s="15"/>
      <c r="C3426" s="15"/>
      <c r="D3426" s="15"/>
      <c r="E3426" s="15"/>
      <c r="F3426" s="20"/>
    </row>
    <row r="3427" spans="2:6" ht="17.25" customHeight="1">
      <c r="B3427" s="15"/>
      <c r="C3427" s="15"/>
      <c r="D3427" s="15"/>
      <c r="E3427" s="15"/>
      <c r="F3427" s="20"/>
    </row>
    <row r="3428" spans="2:6" ht="17.25" customHeight="1">
      <c r="B3428" s="15"/>
      <c r="C3428" s="15"/>
      <c r="D3428" s="15"/>
      <c r="E3428" s="15"/>
      <c r="F3428" s="20"/>
    </row>
    <row r="3429" spans="2:6" ht="17.25" customHeight="1">
      <c r="B3429" s="15"/>
      <c r="C3429" s="15"/>
      <c r="D3429" s="15"/>
      <c r="E3429" s="15"/>
      <c r="F3429" s="20"/>
    </row>
    <row r="3430" spans="2:6" ht="17.25" customHeight="1">
      <c r="B3430" s="15"/>
      <c r="C3430" s="15"/>
      <c r="D3430" s="15"/>
      <c r="E3430" s="15"/>
      <c r="F3430" s="20"/>
    </row>
    <row r="3431" spans="2:6" ht="17.25" customHeight="1">
      <c r="B3431" s="15"/>
      <c r="C3431" s="15"/>
      <c r="D3431" s="15"/>
      <c r="E3431" s="15"/>
      <c r="F3431" s="20"/>
    </row>
    <row r="3432" spans="2:6" ht="17.25" customHeight="1">
      <c r="B3432" s="15"/>
      <c r="C3432" s="15"/>
      <c r="D3432" s="15"/>
      <c r="E3432" s="15"/>
      <c r="F3432" s="20"/>
    </row>
    <row r="3433" spans="2:6" ht="17.25" customHeight="1">
      <c r="B3433" s="15"/>
      <c r="C3433" s="15"/>
      <c r="D3433" s="15"/>
      <c r="E3433" s="15"/>
      <c r="F3433" s="20"/>
    </row>
    <row r="3434" spans="2:6" ht="17.25" customHeight="1">
      <c r="B3434" s="15"/>
      <c r="C3434" s="15"/>
      <c r="D3434" s="15"/>
      <c r="E3434" s="15"/>
      <c r="F3434" s="20"/>
    </row>
    <row r="3435" spans="2:6" ht="17.25" customHeight="1">
      <c r="B3435" s="15"/>
      <c r="C3435" s="15"/>
      <c r="D3435" s="15"/>
      <c r="E3435" s="15"/>
      <c r="F3435" s="20"/>
    </row>
    <row r="3436" spans="2:6" ht="17.25" customHeight="1">
      <c r="B3436" s="15"/>
      <c r="C3436" s="15"/>
      <c r="D3436" s="15"/>
      <c r="E3436" s="15"/>
      <c r="F3436" s="20"/>
    </row>
    <row r="3437" spans="2:6" ht="17.25" customHeight="1">
      <c r="B3437" s="15"/>
      <c r="C3437" s="15"/>
      <c r="D3437" s="15"/>
      <c r="E3437" s="15"/>
      <c r="F3437" s="20"/>
    </row>
    <row r="3438" spans="2:6" ht="17.25" customHeight="1">
      <c r="B3438" s="15"/>
      <c r="C3438" s="15"/>
      <c r="D3438" s="15"/>
      <c r="E3438" s="15"/>
      <c r="F3438" s="20"/>
    </row>
    <row r="3439" spans="2:6" ht="17.25" customHeight="1">
      <c r="B3439" s="15"/>
      <c r="C3439" s="15"/>
      <c r="D3439" s="15"/>
      <c r="E3439" s="15"/>
      <c r="F3439" s="20"/>
    </row>
    <row r="3440" spans="2:6" ht="17.25" customHeight="1">
      <c r="B3440" s="15"/>
      <c r="C3440" s="15"/>
      <c r="D3440" s="15"/>
      <c r="E3440" s="15"/>
      <c r="F3440" s="20"/>
    </row>
    <row r="3441" spans="2:6" ht="17.25" customHeight="1">
      <c r="B3441" s="15"/>
      <c r="C3441" s="15"/>
      <c r="D3441" s="15"/>
      <c r="E3441" s="15"/>
      <c r="F3441" s="20"/>
    </row>
    <row r="3442" spans="2:6" ht="17.25" customHeight="1">
      <c r="B3442" s="15"/>
      <c r="C3442" s="15"/>
      <c r="D3442" s="15"/>
      <c r="E3442" s="15"/>
      <c r="F3442" s="20"/>
    </row>
    <row r="3443" spans="2:6" ht="17.25" customHeight="1">
      <c r="B3443" s="15"/>
      <c r="C3443" s="15"/>
      <c r="D3443" s="15"/>
      <c r="E3443" s="15"/>
      <c r="F3443" s="20"/>
    </row>
    <row r="3444" spans="2:6" ht="17.25" customHeight="1">
      <c r="B3444" s="15"/>
      <c r="C3444" s="15"/>
      <c r="D3444" s="15"/>
      <c r="E3444" s="15"/>
      <c r="F3444" s="20"/>
    </row>
    <row r="3445" spans="2:6" ht="17.25" customHeight="1">
      <c r="B3445" s="15"/>
      <c r="C3445" s="15"/>
      <c r="D3445" s="15"/>
      <c r="E3445" s="15"/>
      <c r="F3445" s="20"/>
    </row>
    <row r="3446" spans="2:6" ht="17.25" customHeight="1">
      <c r="B3446" s="15"/>
      <c r="C3446" s="15"/>
      <c r="D3446" s="15"/>
      <c r="E3446" s="15"/>
      <c r="F3446" s="20"/>
    </row>
    <row r="3447" spans="2:6" ht="17.25" customHeight="1">
      <c r="B3447" s="15"/>
      <c r="C3447" s="15"/>
      <c r="D3447" s="15"/>
      <c r="E3447" s="15"/>
      <c r="F3447" s="20"/>
    </row>
    <row r="3448" spans="2:6" ht="17.25" customHeight="1">
      <c r="B3448" s="15"/>
      <c r="C3448" s="15"/>
      <c r="D3448" s="15"/>
      <c r="E3448" s="15"/>
      <c r="F3448" s="20"/>
    </row>
    <row r="3449" spans="2:6" ht="17.25" customHeight="1">
      <c r="B3449" s="15"/>
      <c r="C3449" s="15"/>
      <c r="D3449" s="15"/>
      <c r="E3449" s="15"/>
      <c r="F3449" s="20"/>
    </row>
    <row r="3450" spans="2:6" ht="17.25" customHeight="1">
      <c r="B3450" s="15"/>
      <c r="C3450" s="15"/>
      <c r="D3450" s="15"/>
      <c r="E3450" s="15"/>
      <c r="F3450" s="20"/>
    </row>
    <row r="3451" spans="2:6" ht="17.25" customHeight="1">
      <c r="B3451" s="15"/>
      <c r="C3451" s="15"/>
      <c r="D3451" s="15"/>
      <c r="E3451" s="15"/>
      <c r="F3451" s="20"/>
    </row>
    <row r="3452" spans="2:6" ht="17.25" customHeight="1">
      <c r="B3452" s="15"/>
      <c r="C3452" s="15"/>
      <c r="D3452" s="15"/>
      <c r="E3452" s="15"/>
      <c r="F3452" s="20"/>
    </row>
    <row r="3453" spans="2:6" ht="17.25" customHeight="1">
      <c r="B3453" s="15"/>
      <c r="C3453" s="15"/>
      <c r="D3453" s="15"/>
      <c r="E3453" s="15"/>
      <c r="F3453" s="20"/>
    </row>
    <row r="3454" spans="2:6" ht="17.25" customHeight="1">
      <c r="B3454" s="15"/>
      <c r="C3454" s="15"/>
      <c r="D3454" s="15"/>
      <c r="E3454" s="15"/>
      <c r="F3454" s="20"/>
    </row>
    <row r="3455" spans="2:6" ht="17.25" customHeight="1">
      <c r="B3455" s="15"/>
      <c r="C3455" s="15"/>
      <c r="D3455" s="15"/>
      <c r="E3455" s="15"/>
      <c r="F3455" s="20"/>
    </row>
    <row r="3456" spans="2:6" ht="17.25" customHeight="1">
      <c r="B3456" s="15"/>
      <c r="C3456" s="15"/>
      <c r="D3456" s="15"/>
      <c r="E3456" s="15"/>
      <c r="F3456" s="20"/>
    </row>
    <row r="3457" spans="2:6" ht="17.25" customHeight="1">
      <c r="B3457" s="15"/>
      <c r="C3457" s="15"/>
      <c r="D3457" s="15"/>
      <c r="E3457" s="15"/>
      <c r="F3457" s="20"/>
    </row>
    <row r="3458" spans="2:6" ht="17.25" customHeight="1">
      <c r="B3458" s="15"/>
      <c r="C3458" s="15"/>
      <c r="D3458" s="15"/>
      <c r="E3458" s="15"/>
      <c r="F3458" s="20"/>
    </row>
    <row r="3459" spans="2:6" ht="17.25" customHeight="1">
      <c r="B3459" s="15"/>
      <c r="C3459" s="15"/>
      <c r="D3459" s="15"/>
      <c r="E3459" s="15"/>
      <c r="F3459" s="20"/>
    </row>
    <row r="3460" spans="2:6" ht="17.25" customHeight="1">
      <c r="B3460" s="15"/>
      <c r="C3460" s="15"/>
      <c r="D3460" s="15"/>
      <c r="E3460" s="15"/>
      <c r="F3460" s="20"/>
    </row>
    <row r="3461" spans="2:6" ht="17.25" customHeight="1">
      <c r="B3461" s="15"/>
      <c r="C3461" s="15"/>
      <c r="D3461" s="15"/>
      <c r="E3461" s="15"/>
      <c r="F3461" s="20"/>
    </row>
    <row r="3462" spans="2:6" ht="17.25" customHeight="1">
      <c r="B3462" s="15"/>
      <c r="C3462" s="15"/>
      <c r="D3462" s="15"/>
      <c r="E3462" s="15"/>
      <c r="F3462" s="20"/>
    </row>
    <row r="3463" spans="2:6" ht="17.25" customHeight="1">
      <c r="B3463" s="15"/>
      <c r="C3463" s="15"/>
      <c r="D3463" s="15"/>
      <c r="E3463" s="15"/>
      <c r="F3463" s="20"/>
    </row>
    <row r="3464" spans="2:6" ht="17.25" customHeight="1">
      <c r="B3464" s="15"/>
      <c r="C3464" s="15"/>
      <c r="D3464" s="15"/>
      <c r="E3464" s="15"/>
      <c r="F3464" s="20"/>
    </row>
    <row r="3465" spans="2:6" ht="17.25" customHeight="1">
      <c r="B3465" s="15"/>
      <c r="C3465" s="15"/>
      <c r="D3465" s="15"/>
      <c r="E3465" s="15"/>
      <c r="F3465" s="20"/>
    </row>
    <row r="3466" spans="2:6" ht="17.25" customHeight="1">
      <c r="B3466" s="15"/>
      <c r="C3466" s="15"/>
      <c r="D3466" s="15"/>
      <c r="E3466" s="15"/>
      <c r="F3466" s="20"/>
    </row>
    <row r="3467" spans="2:6" ht="17.25" customHeight="1">
      <c r="B3467" s="15"/>
      <c r="C3467" s="15"/>
      <c r="D3467" s="15"/>
      <c r="E3467" s="15"/>
      <c r="F3467" s="20"/>
    </row>
    <row r="3468" spans="2:6" ht="17.25" customHeight="1">
      <c r="B3468" s="15"/>
      <c r="C3468" s="15"/>
      <c r="D3468" s="15"/>
      <c r="E3468" s="15"/>
      <c r="F3468" s="20"/>
    </row>
    <row r="3469" spans="2:6" ht="17.25" customHeight="1">
      <c r="B3469" s="15"/>
      <c r="C3469" s="15"/>
      <c r="D3469" s="15"/>
      <c r="E3469" s="15"/>
      <c r="F3469" s="20"/>
    </row>
    <row r="3470" spans="2:6" ht="17.25" customHeight="1">
      <c r="B3470" s="15"/>
      <c r="C3470" s="15"/>
      <c r="D3470" s="15"/>
      <c r="E3470" s="15"/>
      <c r="F3470" s="20"/>
    </row>
    <row r="3471" spans="2:6" ht="17.25" customHeight="1">
      <c r="B3471" s="15"/>
      <c r="C3471" s="15"/>
      <c r="D3471" s="15"/>
      <c r="E3471" s="15"/>
      <c r="F3471" s="20"/>
    </row>
    <row r="3472" spans="2:6" ht="17.25" customHeight="1">
      <c r="B3472" s="15"/>
      <c r="C3472" s="15"/>
      <c r="D3472" s="15"/>
      <c r="E3472" s="15"/>
      <c r="F3472" s="20"/>
    </row>
    <row r="3473" spans="2:6" ht="17.25" customHeight="1">
      <c r="B3473" s="15"/>
      <c r="C3473" s="15"/>
      <c r="D3473" s="15"/>
      <c r="E3473" s="15"/>
      <c r="F3473" s="20"/>
    </row>
    <row r="3474" spans="2:6" ht="17.25" customHeight="1">
      <c r="B3474" s="15"/>
      <c r="C3474" s="15"/>
      <c r="D3474" s="15"/>
      <c r="E3474" s="15"/>
      <c r="F3474" s="20"/>
    </row>
    <row r="3475" spans="2:6" ht="17.25" customHeight="1">
      <c r="B3475" s="15"/>
      <c r="C3475" s="15"/>
      <c r="D3475" s="15"/>
      <c r="E3475" s="15"/>
      <c r="F3475" s="20"/>
    </row>
    <row r="3476" spans="2:6" ht="17.25" customHeight="1">
      <c r="B3476" s="15"/>
      <c r="C3476" s="15"/>
      <c r="D3476" s="15"/>
      <c r="E3476" s="15"/>
      <c r="F3476" s="20"/>
    </row>
    <row r="3477" spans="2:6" ht="17.25" customHeight="1">
      <c r="B3477" s="15"/>
      <c r="C3477" s="15"/>
      <c r="D3477" s="15"/>
      <c r="E3477" s="15"/>
      <c r="F3477" s="20"/>
    </row>
    <row r="3478" spans="2:6" ht="17.25" customHeight="1">
      <c r="B3478" s="15"/>
      <c r="C3478" s="15"/>
      <c r="D3478" s="15"/>
      <c r="E3478" s="15"/>
      <c r="F3478" s="20"/>
    </row>
    <row r="3479" spans="2:6" ht="17.25" customHeight="1">
      <c r="B3479" s="15"/>
      <c r="C3479" s="15"/>
      <c r="D3479" s="15"/>
      <c r="E3479" s="15"/>
      <c r="F3479" s="20"/>
    </row>
    <row r="3480" spans="2:6" ht="17.25" customHeight="1">
      <c r="B3480" s="15"/>
      <c r="C3480" s="15"/>
      <c r="D3480" s="15"/>
      <c r="E3480" s="15"/>
      <c r="F3480" s="20"/>
    </row>
    <row r="3481" spans="2:6" ht="17.25" customHeight="1">
      <c r="B3481" s="15"/>
      <c r="C3481" s="15"/>
      <c r="D3481" s="15"/>
      <c r="E3481" s="15"/>
      <c r="F3481" s="20"/>
    </row>
    <row r="3482" spans="2:6" ht="17.25" customHeight="1">
      <c r="B3482" s="15"/>
      <c r="C3482" s="15"/>
      <c r="D3482" s="15"/>
      <c r="E3482" s="15"/>
      <c r="F3482" s="20"/>
    </row>
    <row r="3483" spans="2:6" ht="17.25" customHeight="1">
      <c r="B3483" s="15"/>
      <c r="C3483" s="15"/>
      <c r="D3483" s="15"/>
      <c r="E3483" s="15"/>
      <c r="F3483" s="20"/>
    </row>
    <row r="3484" spans="2:6" ht="17.25" customHeight="1">
      <c r="B3484" s="15"/>
      <c r="C3484" s="15"/>
      <c r="D3484" s="15"/>
      <c r="E3484" s="15"/>
      <c r="F3484" s="20"/>
    </row>
    <row r="3485" spans="2:6" ht="17.25" customHeight="1">
      <c r="B3485" s="15"/>
      <c r="C3485" s="15"/>
      <c r="D3485" s="15"/>
      <c r="E3485" s="15"/>
      <c r="F3485" s="20"/>
    </row>
    <row r="3486" spans="2:6" ht="17.25" customHeight="1">
      <c r="B3486" s="15"/>
      <c r="C3486" s="15"/>
      <c r="D3486" s="15"/>
      <c r="E3486" s="15"/>
      <c r="F3486" s="20"/>
    </row>
    <row r="3487" spans="2:6" ht="17.25" customHeight="1">
      <c r="B3487" s="15"/>
      <c r="C3487" s="15"/>
      <c r="D3487" s="15"/>
      <c r="E3487" s="15"/>
      <c r="F3487" s="20"/>
    </row>
    <row r="3488" spans="2:6" ht="17.25" customHeight="1">
      <c r="B3488" s="15"/>
      <c r="C3488" s="15"/>
      <c r="D3488" s="15"/>
      <c r="E3488" s="15"/>
      <c r="F3488" s="20"/>
    </row>
    <row r="3489" spans="2:6" ht="17.25" customHeight="1">
      <c r="B3489" s="15"/>
      <c r="C3489" s="15"/>
      <c r="D3489" s="15"/>
      <c r="E3489" s="15"/>
      <c r="F3489" s="20"/>
    </row>
    <row r="3490" spans="2:6" ht="17.25" customHeight="1">
      <c r="B3490" s="15"/>
      <c r="C3490" s="15"/>
      <c r="D3490" s="15"/>
      <c r="E3490" s="15"/>
      <c r="F3490" s="20"/>
    </row>
    <row r="3491" spans="2:6" ht="17.25" customHeight="1">
      <c r="B3491" s="15"/>
      <c r="C3491" s="15"/>
      <c r="D3491" s="15"/>
      <c r="E3491" s="15"/>
      <c r="F3491" s="20"/>
    </row>
    <row r="3492" spans="2:6" ht="17.25" customHeight="1">
      <c r="B3492" s="15"/>
      <c r="C3492" s="15"/>
      <c r="D3492" s="15"/>
      <c r="E3492" s="15"/>
      <c r="F3492" s="20"/>
    </row>
    <row r="3493" spans="2:6" ht="17.25" customHeight="1">
      <c r="B3493" s="15"/>
      <c r="C3493" s="15"/>
      <c r="D3493" s="15"/>
      <c r="E3493" s="15"/>
      <c r="F3493" s="20"/>
    </row>
    <row r="3494" spans="2:6" ht="17.25" customHeight="1">
      <c r="B3494" s="15"/>
      <c r="C3494" s="15"/>
      <c r="D3494" s="15"/>
      <c r="E3494" s="15"/>
      <c r="F3494" s="20"/>
    </row>
    <row r="3495" spans="2:6" ht="17.25" customHeight="1">
      <c r="B3495" s="15"/>
      <c r="C3495" s="15"/>
      <c r="D3495" s="15"/>
      <c r="E3495" s="15"/>
      <c r="F3495" s="20"/>
    </row>
    <row r="3496" spans="2:6" ht="17.25" customHeight="1">
      <c r="B3496" s="15"/>
      <c r="C3496" s="15"/>
      <c r="D3496" s="15"/>
      <c r="E3496" s="15"/>
      <c r="F3496" s="20"/>
    </row>
    <row r="3497" spans="2:6" ht="17.25" customHeight="1">
      <c r="B3497" s="15"/>
      <c r="C3497" s="15"/>
      <c r="D3497" s="15"/>
      <c r="E3497" s="15"/>
      <c r="F3497" s="20"/>
    </row>
    <row r="3498" spans="2:6" ht="17.25" customHeight="1">
      <c r="B3498" s="15"/>
      <c r="C3498" s="15"/>
      <c r="D3498" s="15"/>
      <c r="E3498" s="15"/>
      <c r="F3498" s="20"/>
    </row>
    <row r="3499" spans="2:6" ht="17.25" customHeight="1">
      <c r="B3499" s="15"/>
      <c r="C3499" s="15"/>
      <c r="D3499" s="15"/>
      <c r="E3499" s="15"/>
      <c r="F3499" s="20"/>
    </row>
    <row r="3500" spans="2:6" ht="17.25" customHeight="1">
      <c r="B3500" s="15"/>
      <c r="C3500" s="15"/>
      <c r="D3500" s="15"/>
      <c r="E3500" s="15"/>
      <c r="F3500" s="20"/>
    </row>
    <row r="3501" spans="2:6" ht="17.25" customHeight="1">
      <c r="B3501" s="15"/>
      <c r="C3501" s="15"/>
      <c r="D3501" s="15"/>
      <c r="E3501" s="15"/>
      <c r="F3501" s="20"/>
    </row>
    <row r="3502" spans="2:6" ht="17.25" customHeight="1">
      <c r="B3502" s="15"/>
      <c r="C3502" s="15"/>
      <c r="D3502" s="15"/>
      <c r="E3502" s="15"/>
      <c r="F3502" s="20"/>
    </row>
    <row r="3503" spans="2:6" ht="17.25" customHeight="1">
      <c r="B3503" s="15"/>
      <c r="C3503" s="15"/>
      <c r="D3503" s="15"/>
      <c r="E3503" s="15"/>
      <c r="F3503" s="20"/>
    </row>
    <row r="3504" spans="2:6" ht="17.25" customHeight="1">
      <c r="B3504" s="15"/>
      <c r="C3504" s="15"/>
      <c r="D3504" s="15"/>
      <c r="E3504" s="15"/>
      <c r="F3504" s="20"/>
    </row>
    <row r="3505" spans="2:6" ht="17.25" customHeight="1">
      <c r="B3505" s="15"/>
      <c r="C3505" s="15"/>
      <c r="D3505" s="15"/>
      <c r="E3505" s="15"/>
      <c r="F3505" s="20"/>
    </row>
    <row r="3506" spans="2:6" ht="17.25" customHeight="1">
      <c r="B3506" s="15"/>
      <c r="C3506" s="15"/>
      <c r="D3506" s="15"/>
      <c r="E3506" s="15"/>
      <c r="F3506" s="20"/>
    </row>
    <row r="3507" spans="2:6" ht="17.25" customHeight="1">
      <c r="B3507" s="15"/>
      <c r="C3507" s="15"/>
      <c r="D3507" s="15"/>
      <c r="E3507" s="15"/>
      <c r="F3507" s="20"/>
    </row>
    <row r="3508" spans="2:6" ht="17.25" customHeight="1">
      <c r="B3508" s="15"/>
      <c r="C3508" s="15"/>
      <c r="D3508" s="15"/>
      <c r="E3508" s="15"/>
      <c r="F3508" s="20"/>
    </row>
    <row r="3509" spans="2:6" ht="17.25" customHeight="1">
      <c r="B3509" s="15"/>
      <c r="C3509" s="15"/>
      <c r="D3509" s="15"/>
      <c r="E3509" s="15"/>
      <c r="F3509" s="20"/>
    </row>
    <row r="3510" spans="2:6" ht="17.25" customHeight="1">
      <c r="B3510" s="15"/>
      <c r="C3510" s="15"/>
      <c r="D3510" s="15"/>
      <c r="E3510" s="15"/>
      <c r="F3510" s="20"/>
    </row>
    <row r="3511" spans="2:6" ht="17.25" customHeight="1">
      <c r="B3511" s="15"/>
      <c r="C3511" s="15"/>
      <c r="D3511" s="15"/>
      <c r="E3511" s="15"/>
      <c r="F3511" s="20"/>
    </row>
    <row r="3512" spans="2:6" ht="17.25" customHeight="1">
      <c r="B3512" s="15"/>
      <c r="C3512" s="15"/>
      <c r="D3512" s="15"/>
      <c r="E3512" s="15"/>
      <c r="F3512" s="20"/>
    </row>
    <row r="3513" spans="2:6" ht="17.25" customHeight="1">
      <c r="B3513" s="15"/>
      <c r="C3513" s="15"/>
      <c r="D3513" s="15"/>
      <c r="E3513" s="15"/>
      <c r="F3513" s="20"/>
    </row>
    <row r="3514" spans="2:6" ht="17.25" customHeight="1">
      <c r="B3514" s="15"/>
      <c r="C3514" s="15"/>
      <c r="D3514" s="15"/>
      <c r="E3514" s="15"/>
      <c r="F3514" s="20"/>
    </row>
    <row r="3515" spans="2:6" ht="17.25" customHeight="1">
      <c r="B3515" s="15"/>
      <c r="C3515" s="15"/>
      <c r="D3515" s="15"/>
      <c r="E3515" s="15"/>
      <c r="F3515" s="20"/>
    </row>
    <row r="3516" spans="2:6" ht="17.25" customHeight="1">
      <c r="B3516" s="15"/>
      <c r="C3516" s="15"/>
      <c r="D3516" s="15"/>
      <c r="E3516" s="15"/>
      <c r="F3516" s="20"/>
    </row>
    <row r="3517" spans="2:6" ht="17.25" customHeight="1">
      <c r="B3517" s="15"/>
      <c r="C3517" s="15"/>
      <c r="D3517" s="15"/>
      <c r="E3517" s="15"/>
      <c r="F3517" s="20"/>
    </row>
    <row r="3518" spans="2:6" ht="17.25" customHeight="1">
      <c r="B3518" s="15"/>
      <c r="C3518" s="15"/>
      <c r="D3518" s="15"/>
      <c r="E3518" s="15"/>
      <c r="F3518" s="20"/>
    </row>
    <row r="3519" spans="2:6" ht="17.25" customHeight="1">
      <c r="B3519" s="15"/>
      <c r="C3519" s="15"/>
      <c r="D3519" s="15"/>
      <c r="E3519" s="15"/>
      <c r="F3519" s="20"/>
    </row>
    <row r="3520" spans="2:6" ht="17.25" customHeight="1">
      <c r="B3520" s="15"/>
      <c r="C3520" s="15"/>
      <c r="D3520" s="15"/>
      <c r="E3520" s="15"/>
      <c r="F3520" s="20"/>
    </row>
    <row r="3521" spans="2:6" ht="17.25" customHeight="1">
      <c r="B3521" s="15"/>
      <c r="C3521" s="15"/>
      <c r="D3521" s="15"/>
      <c r="E3521" s="15"/>
      <c r="F3521" s="20"/>
    </row>
    <row r="3522" spans="2:6" ht="17.25" customHeight="1">
      <c r="B3522" s="15"/>
      <c r="C3522" s="15"/>
      <c r="D3522" s="15"/>
      <c r="E3522" s="15"/>
      <c r="F3522" s="20"/>
    </row>
    <row r="3523" spans="2:6" ht="17.25" customHeight="1">
      <c r="B3523" s="15"/>
      <c r="C3523" s="15"/>
      <c r="D3523" s="15"/>
      <c r="E3523" s="15"/>
      <c r="F3523" s="20"/>
    </row>
    <row r="3524" spans="2:6" ht="17.25" customHeight="1">
      <c r="B3524" s="15"/>
      <c r="C3524" s="15"/>
      <c r="D3524" s="15"/>
      <c r="E3524" s="15"/>
      <c r="F3524" s="20"/>
    </row>
    <row r="3525" spans="2:6" ht="17.25" customHeight="1">
      <c r="B3525" s="15"/>
      <c r="C3525" s="15"/>
      <c r="D3525" s="15"/>
      <c r="E3525" s="15"/>
      <c r="F3525" s="20"/>
    </row>
    <row r="3526" spans="2:6" ht="17.25" customHeight="1">
      <c r="B3526" s="15"/>
      <c r="C3526" s="15"/>
      <c r="D3526" s="15"/>
      <c r="E3526" s="15"/>
      <c r="F3526" s="20"/>
    </row>
    <row r="3527" spans="2:6" ht="17.25" customHeight="1">
      <c r="B3527" s="15"/>
      <c r="C3527" s="15"/>
      <c r="D3527" s="15"/>
      <c r="E3527" s="15"/>
      <c r="F3527" s="20"/>
    </row>
    <row r="3528" spans="2:6" ht="17.25" customHeight="1">
      <c r="B3528" s="15"/>
      <c r="C3528" s="15"/>
      <c r="D3528" s="15"/>
      <c r="E3528" s="15"/>
      <c r="F3528" s="20"/>
    </row>
    <row r="3529" spans="2:6" ht="17.25" customHeight="1">
      <c r="B3529" s="15"/>
      <c r="C3529" s="15"/>
      <c r="D3529" s="15"/>
      <c r="E3529" s="15"/>
      <c r="F3529" s="20"/>
    </row>
    <row r="3530" spans="2:6" ht="17.25" customHeight="1">
      <c r="B3530" s="15"/>
      <c r="C3530" s="15"/>
      <c r="D3530" s="15"/>
      <c r="E3530" s="15"/>
      <c r="F3530" s="20"/>
    </row>
    <row r="3531" spans="2:6" ht="17.25" customHeight="1">
      <c r="B3531" s="15"/>
      <c r="C3531" s="15"/>
      <c r="D3531" s="15"/>
      <c r="E3531" s="15"/>
      <c r="F3531" s="20"/>
    </row>
    <row r="3532" spans="2:6" ht="17.25" customHeight="1">
      <c r="B3532" s="15"/>
      <c r="C3532" s="15"/>
      <c r="D3532" s="15"/>
      <c r="E3532" s="15"/>
      <c r="F3532" s="20"/>
    </row>
    <row r="3533" spans="2:6" ht="17.25" customHeight="1">
      <c r="B3533" s="15"/>
      <c r="C3533" s="15"/>
      <c r="D3533" s="15"/>
      <c r="E3533" s="15"/>
      <c r="F3533" s="20"/>
    </row>
    <row r="3534" spans="2:6" ht="17.25" customHeight="1">
      <c r="B3534" s="15"/>
      <c r="C3534" s="15"/>
      <c r="D3534" s="15"/>
      <c r="E3534" s="15"/>
      <c r="F3534" s="20"/>
    </row>
    <row r="3535" spans="2:6" ht="17.25" customHeight="1">
      <c r="B3535" s="15"/>
      <c r="C3535" s="15"/>
      <c r="D3535" s="15"/>
      <c r="E3535" s="15"/>
      <c r="F3535" s="20"/>
    </row>
    <row r="3536" spans="2:6" ht="17.25" customHeight="1">
      <c r="B3536" s="15"/>
      <c r="C3536" s="15"/>
      <c r="D3536" s="15"/>
      <c r="E3536" s="15"/>
      <c r="F3536" s="20"/>
    </row>
    <row r="3537" spans="2:6" ht="17.25" customHeight="1">
      <c r="B3537" s="15"/>
      <c r="C3537" s="15"/>
      <c r="D3537" s="15"/>
      <c r="E3537" s="15"/>
      <c r="F3537" s="20"/>
    </row>
    <row r="3538" spans="2:6" ht="17.25" customHeight="1">
      <c r="B3538" s="15"/>
      <c r="C3538" s="15"/>
      <c r="D3538" s="15"/>
      <c r="E3538" s="15"/>
      <c r="F3538" s="20"/>
    </row>
    <row r="3539" spans="2:6" ht="17.25" customHeight="1">
      <c r="B3539" s="15"/>
      <c r="C3539" s="15"/>
      <c r="D3539" s="15"/>
      <c r="E3539" s="15"/>
      <c r="F3539" s="20"/>
    </row>
    <row r="3540" spans="2:6" ht="17.25" customHeight="1">
      <c r="B3540" s="15"/>
      <c r="C3540" s="15"/>
      <c r="D3540" s="15"/>
      <c r="E3540" s="15"/>
      <c r="F3540" s="20"/>
    </row>
    <row r="3541" spans="2:6" ht="17.25" customHeight="1">
      <c r="B3541" s="15"/>
      <c r="C3541" s="15"/>
      <c r="D3541" s="15"/>
      <c r="E3541" s="15"/>
      <c r="F3541" s="20"/>
    </row>
    <row r="3542" spans="2:6" ht="17.25" customHeight="1">
      <c r="B3542" s="15"/>
      <c r="C3542" s="15"/>
      <c r="D3542" s="15"/>
      <c r="E3542" s="15"/>
      <c r="F3542" s="20"/>
    </row>
    <row r="3543" spans="2:6" ht="17.25" customHeight="1">
      <c r="B3543" s="15"/>
      <c r="C3543" s="15"/>
      <c r="D3543" s="15"/>
      <c r="E3543" s="15"/>
      <c r="F3543" s="20"/>
    </row>
    <row r="3544" spans="2:6" ht="17.25" customHeight="1">
      <c r="B3544" s="15"/>
      <c r="C3544" s="15"/>
      <c r="D3544" s="15"/>
      <c r="E3544" s="15"/>
      <c r="F3544" s="20"/>
    </row>
    <row r="3545" spans="2:6" ht="17.25" customHeight="1">
      <c r="B3545" s="15"/>
      <c r="C3545" s="15"/>
      <c r="D3545" s="15"/>
      <c r="E3545" s="15"/>
      <c r="F3545" s="20"/>
    </row>
    <row r="3546" spans="2:6" ht="17.25" customHeight="1">
      <c r="B3546" s="15"/>
      <c r="C3546" s="15"/>
      <c r="D3546" s="15"/>
      <c r="E3546" s="15"/>
      <c r="F3546" s="20"/>
    </row>
    <row r="3547" spans="2:6" ht="17.25" customHeight="1">
      <c r="B3547" s="15"/>
      <c r="C3547" s="15"/>
      <c r="D3547" s="15"/>
      <c r="E3547" s="15"/>
      <c r="F3547" s="20"/>
    </row>
    <row r="3548" spans="2:6" ht="17.25" customHeight="1">
      <c r="B3548" s="15"/>
      <c r="C3548" s="15"/>
      <c r="D3548" s="15"/>
      <c r="E3548" s="15"/>
      <c r="F3548" s="20"/>
    </row>
    <row r="3549" spans="2:6" ht="17.25" customHeight="1">
      <c r="B3549" s="15"/>
      <c r="C3549" s="15"/>
      <c r="D3549" s="15"/>
      <c r="E3549" s="15"/>
      <c r="F3549" s="20"/>
    </row>
    <row r="3550" spans="2:6" ht="17.25" customHeight="1">
      <c r="B3550" s="15"/>
      <c r="C3550" s="15"/>
      <c r="D3550" s="15"/>
      <c r="E3550" s="15"/>
      <c r="F3550" s="20"/>
    </row>
    <row r="3551" spans="2:6" ht="17.25" customHeight="1">
      <c r="B3551" s="15"/>
      <c r="C3551" s="15"/>
      <c r="D3551" s="15"/>
      <c r="E3551" s="15"/>
      <c r="F3551" s="20"/>
    </row>
    <row r="3552" spans="2:6" ht="17.25" customHeight="1">
      <c r="B3552" s="15"/>
      <c r="C3552" s="15"/>
      <c r="D3552" s="15"/>
      <c r="E3552" s="15"/>
      <c r="F3552" s="20"/>
    </row>
    <row r="3553" spans="2:6" ht="17.25" customHeight="1">
      <c r="B3553" s="15"/>
      <c r="C3553" s="15"/>
      <c r="D3553" s="15"/>
      <c r="E3553" s="15"/>
      <c r="F3553" s="20"/>
    </row>
    <row r="3554" spans="2:6" ht="17.25" customHeight="1">
      <c r="B3554" s="15"/>
      <c r="C3554" s="15"/>
      <c r="D3554" s="15"/>
      <c r="E3554" s="15"/>
      <c r="F3554" s="20"/>
    </row>
    <row r="3555" spans="2:6" ht="17.25" customHeight="1">
      <c r="B3555" s="15"/>
      <c r="C3555" s="15"/>
      <c r="D3555" s="15"/>
      <c r="E3555" s="15"/>
      <c r="F3555" s="20"/>
    </row>
    <row r="3556" spans="2:6" ht="17.25" customHeight="1">
      <c r="B3556" s="15"/>
      <c r="C3556" s="15"/>
      <c r="D3556" s="15"/>
      <c r="E3556" s="15"/>
      <c r="F3556" s="20"/>
    </row>
    <row r="3557" spans="2:6" ht="17.25" customHeight="1">
      <c r="B3557" s="15"/>
      <c r="C3557" s="15"/>
      <c r="D3557" s="15"/>
      <c r="E3557" s="15"/>
      <c r="F3557" s="20"/>
    </row>
    <row r="3558" spans="2:6" ht="17.25" customHeight="1">
      <c r="B3558" s="15"/>
      <c r="C3558" s="15"/>
      <c r="D3558" s="15"/>
      <c r="E3558" s="15"/>
      <c r="F3558" s="20"/>
    </row>
    <row r="3559" spans="2:6" ht="17.25" customHeight="1">
      <c r="B3559" s="15"/>
      <c r="C3559" s="15"/>
      <c r="D3559" s="15"/>
      <c r="E3559" s="15"/>
      <c r="F3559" s="20"/>
    </row>
    <row r="3560" spans="2:6" ht="17.25" customHeight="1">
      <c r="B3560" s="15"/>
      <c r="C3560" s="15"/>
      <c r="D3560" s="15"/>
      <c r="E3560" s="15"/>
      <c r="F3560" s="20"/>
    </row>
    <row r="3561" spans="2:6" ht="17.25" customHeight="1">
      <c r="B3561" s="15"/>
      <c r="C3561" s="15"/>
      <c r="D3561" s="15"/>
      <c r="E3561" s="15"/>
      <c r="F3561" s="20"/>
    </row>
    <row r="3562" spans="2:6" ht="17.25" customHeight="1">
      <c r="B3562" s="15"/>
      <c r="C3562" s="15"/>
      <c r="D3562" s="15"/>
      <c r="E3562" s="15"/>
      <c r="F3562" s="20"/>
    </row>
    <row r="3563" spans="2:6" ht="17.25" customHeight="1">
      <c r="B3563" s="15"/>
      <c r="C3563" s="15"/>
      <c r="D3563" s="15"/>
      <c r="E3563" s="15"/>
      <c r="F3563" s="20"/>
    </row>
    <row r="3564" spans="2:6" ht="17.25" customHeight="1">
      <c r="B3564" s="15"/>
      <c r="C3564" s="15"/>
      <c r="D3564" s="15"/>
      <c r="E3564" s="15"/>
      <c r="F3564" s="20"/>
    </row>
    <row r="3565" spans="2:6" ht="17.25" customHeight="1">
      <c r="B3565" s="15"/>
      <c r="C3565" s="15"/>
      <c r="D3565" s="15"/>
      <c r="E3565" s="15"/>
      <c r="F3565" s="20"/>
    </row>
    <row r="3566" spans="2:6" ht="17.25" customHeight="1">
      <c r="B3566" s="15"/>
      <c r="C3566" s="15"/>
      <c r="D3566" s="15"/>
      <c r="E3566" s="15"/>
      <c r="F3566" s="20"/>
    </row>
    <row r="3567" spans="2:6" ht="17.25" customHeight="1">
      <c r="B3567" s="15"/>
      <c r="C3567" s="15"/>
      <c r="D3567" s="15"/>
      <c r="E3567" s="15"/>
      <c r="F3567" s="20"/>
    </row>
    <row r="3568" spans="2:6" ht="17.25" customHeight="1">
      <c r="B3568" s="15"/>
      <c r="C3568" s="15"/>
      <c r="D3568" s="15"/>
      <c r="E3568" s="15"/>
      <c r="F3568" s="20"/>
    </row>
    <row r="3569" spans="2:6" ht="17.25" customHeight="1">
      <c r="B3569" s="15"/>
      <c r="C3569" s="15"/>
      <c r="D3569" s="15"/>
      <c r="E3569" s="15"/>
      <c r="F3569" s="20"/>
    </row>
    <row r="3570" spans="2:6" ht="17.25" customHeight="1">
      <c r="B3570" s="15"/>
      <c r="C3570" s="15"/>
      <c r="D3570" s="15"/>
      <c r="E3570" s="15"/>
      <c r="F3570" s="20"/>
    </row>
    <row r="3571" spans="2:6" ht="17.25" customHeight="1">
      <c r="B3571" s="15"/>
      <c r="C3571" s="15"/>
      <c r="D3571" s="15"/>
      <c r="E3571" s="15"/>
      <c r="F3571" s="20"/>
    </row>
    <row r="3572" spans="2:6" ht="17.25" customHeight="1">
      <c r="B3572" s="15"/>
      <c r="C3572" s="15"/>
      <c r="D3572" s="15"/>
      <c r="E3572" s="15"/>
      <c r="F3572" s="20"/>
    </row>
    <row r="3573" spans="2:6" ht="17.25" customHeight="1">
      <c r="B3573" s="15"/>
      <c r="C3573" s="15"/>
      <c r="D3573" s="15"/>
      <c r="E3573" s="15"/>
      <c r="F3573" s="20"/>
    </row>
    <row r="3574" spans="2:6" ht="17.25" customHeight="1">
      <c r="B3574" s="15"/>
      <c r="C3574" s="15"/>
      <c r="D3574" s="15"/>
      <c r="E3574" s="15"/>
      <c r="F3574" s="20"/>
    </row>
    <row r="3575" spans="2:6" ht="17.25" customHeight="1">
      <c r="B3575" s="15"/>
      <c r="C3575" s="15"/>
      <c r="D3575" s="15"/>
      <c r="E3575" s="15"/>
      <c r="F3575" s="20"/>
    </row>
    <row r="3576" spans="2:6" ht="17.25" customHeight="1">
      <c r="B3576" s="15"/>
      <c r="C3576" s="15"/>
      <c r="D3576" s="15"/>
      <c r="E3576" s="15"/>
      <c r="F3576" s="20"/>
    </row>
    <row r="3577" spans="2:6" ht="17.25" customHeight="1">
      <c r="B3577" s="15"/>
      <c r="C3577" s="15"/>
      <c r="D3577" s="15"/>
      <c r="E3577" s="15"/>
      <c r="F3577" s="20"/>
    </row>
    <row r="3578" spans="2:6" ht="17.25" customHeight="1">
      <c r="B3578" s="15"/>
      <c r="C3578" s="15"/>
      <c r="D3578" s="15"/>
      <c r="E3578" s="15"/>
      <c r="F3578" s="20"/>
    </row>
    <row r="3579" spans="2:6" ht="17.25" customHeight="1">
      <c r="B3579" s="15"/>
      <c r="C3579" s="15"/>
      <c r="D3579" s="15"/>
      <c r="E3579" s="15"/>
      <c r="F3579" s="20"/>
    </row>
    <row r="3580" spans="2:6" ht="17.25" customHeight="1">
      <c r="B3580" s="15"/>
      <c r="C3580" s="15"/>
      <c r="D3580" s="15"/>
      <c r="E3580" s="15"/>
      <c r="F3580" s="20"/>
    </row>
    <row r="3581" spans="2:6" ht="17.25" customHeight="1">
      <c r="B3581" s="15"/>
      <c r="C3581" s="15"/>
      <c r="D3581" s="15"/>
      <c r="E3581" s="15"/>
      <c r="F3581" s="20"/>
    </row>
    <row r="3582" spans="2:6" ht="17.25" customHeight="1">
      <c r="B3582" s="15"/>
      <c r="C3582" s="15"/>
      <c r="D3582" s="15"/>
      <c r="E3582" s="15"/>
      <c r="F3582" s="20"/>
    </row>
    <row r="3583" spans="2:6" ht="17.25" customHeight="1">
      <c r="B3583" s="15"/>
      <c r="C3583" s="15"/>
      <c r="D3583" s="15"/>
      <c r="E3583" s="15"/>
      <c r="F3583" s="20"/>
    </row>
    <row r="3584" spans="2:6" ht="17.25" customHeight="1">
      <c r="B3584" s="15"/>
      <c r="C3584" s="15"/>
      <c r="D3584" s="15"/>
      <c r="E3584" s="15"/>
      <c r="F3584" s="20"/>
    </row>
    <row r="3585" spans="2:6" ht="17.25" customHeight="1">
      <c r="B3585" s="15"/>
      <c r="C3585" s="15"/>
      <c r="D3585" s="15"/>
      <c r="E3585" s="15"/>
      <c r="F3585" s="20"/>
    </row>
    <row r="3586" spans="2:6" ht="17.25" customHeight="1">
      <c r="B3586" s="15"/>
      <c r="C3586" s="15"/>
      <c r="D3586" s="15"/>
      <c r="E3586" s="15"/>
      <c r="F3586" s="20"/>
    </row>
    <row r="3587" spans="2:6" ht="17.25" customHeight="1">
      <c r="B3587" s="15"/>
      <c r="C3587" s="15"/>
      <c r="D3587" s="15"/>
      <c r="E3587" s="15"/>
      <c r="F3587" s="20"/>
    </row>
    <row r="3588" spans="2:6" ht="17.25" customHeight="1">
      <c r="B3588" s="15"/>
      <c r="C3588" s="15"/>
      <c r="D3588" s="15"/>
      <c r="E3588" s="15"/>
      <c r="F3588" s="20"/>
    </row>
    <row r="3589" spans="2:6" ht="17.25" customHeight="1">
      <c r="B3589" s="15"/>
      <c r="C3589" s="15"/>
      <c r="D3589" s="15"/>
      <c r="E3589" s="15"/>
      <c r="F3589" s="20"/>
    </row>
    <row r="3590" spans="2:6" ht="17.25" customHeight="1">
      <c r="B3590" s="15"/>
      <c r="C3590" s="15"/>
      <c r="D3590" s="15"/>
      <c r="E3590" s="15"/>
      <c r="F3590" s="20"/>
    </row>
    <row r="3591" spans="2:6" ht="17.25" customHeight="1">
      <c r="B3591" s="15"/>
      <c r="C3591" s="15"/>
      <c r="D3591" s="15"/>
      <c r="E3591" s="15"/>
      <c r="F3591" s="20"/>
    </row>
    <row r="3592" spans="2:6" ht="17.25" customHeight="1">
      <c r="B3592" s="15"/>
      <c r="C3592" s="15"/>
      <c r="D3592" s="15"/>
      <c r="E3592" s="15"/>
      <c r="F3592" s="20"/>
    </row>
    <row r="3593" spans="2:6" ht="17.25" customHeight="1">
      <c r="B3593" s="15"/>
      <c r="C3593" s="15"/>
      <c r="D3593" s="15"/>
      <c r="E3593" s="15"/>
      <c r="F3593" s="20"/>
    </row>
    <row r="3594" spans="2:6" ht="17.25" customHeight="1">
      <c r="B3594" s="15"/>
      <c r="C3594" s="15"/>
      <c r="D3594" s="15"/>
      <c r="E3594" s="15"/>
      <c r="F3594" s="20"/>
    </row>
    <row r="3595" spans="2:6" ht="17.25" customHeight="1">
      <c r="B3595" s="15"/>
      <c r="C3595" s="15"/>
      <c r="D3595" s="15"/>
      <c r="E3595" s="15"/>
      <c r="F3595" s="20"/>
    </row>
    <row r="3596" spans="2:6" ht="17.25" customHeight="1">
      <c r="B3596" s="15"/>
      <c r="C3596" s="15"/>
      <c r="D3596" s="15"/>
      <c r="E3596" s="15"/>
      <c r="F3596" s="20"/>
    </row>
    <row r="3597" spans="2:6" ht="17.25" customHeight="1">
      <c r="B3597" s="15"/>
      <c r="C3597" s="15"/>
      <c r="D3597" s="15"/>
      <c r="E3597" s="15"/>
      <c r="F3597" s="20"/>
    </row>
    <row r="3598" spans="2:6" ht="17.25" customHeight="1">
      <c r="B3598" s="15"/>
      <c r="C3598" s="15"/>
      <c r="D3598" s="15"/>
      <c r="E3598" s="15"/>
      <c r="F3598" s="20"/>
    </row>
    <row r="3599" spans="2:6" ht="17.25" customHeight="1">
      <c r="B3599" s="15"/>
      <c r="C3599" s="15"/>
      <c r="D3599" s="15"/>
      <c r="E3599" s="15"/>
      <c r="F3599" s="20"/>
    </row>
    <row r="3600" spans="2:6" ht="17.25" customHeight="1">
      <c r="B3600" s="15"/>
      <c r="C3600" s="15"/>
      <c r="D3600" s="15"/>
      <c r="E3600" s="15"/>
      <c r="F3600" s="20"/>
    </row>
    <row r="3601" spans="2:6" ht="17.25" customHeight="1">
      <c r="B3601" s="15"/>
      <c r="C3601" s="15"/>
      <c r="D3601" s="15"/>
      <c r="E3601" s="15"/>
      <c r="F3601" s="20"/>
    </row>
    <row r="3602" spans="2:6" ht="17.25" customHeight="1">
      <c r="B3602" s="15"/>
      <c r="C3602" s="15"/>
      <c r="D3602" s="15"/>
      <c r="E3602" s="15"/>
      <c r="F3602" s="20"/>
    </row>
    <row r="3603" spans="2:6" ht="17.25" customHeight="1">
      <c r="B3603" s="15"/>
      <c r="C3603" s="15"/>
      <c r="D3603" s="15"/>
      <c r="E3603" s="15"/>
      <c r="F3603" s="20"/>
    </row>
    <row r="3604" spans="2:6" ht="17.25" customHeight="1">
      <c r="B3604" s="15"/>
      <c r="C3604" s="15"/>
      <c r="D3604" s="15"/>
      <c r="E3604" s="15"/>
      <c r="F3604" s="20"/>
    </row>
    <row r="3605" spans="2:6" ht="17.25" customHeight="1">
      <c r="B3605" s="15"/>
      <c r="C3605" s="15"/>
      <c r="D3605" s="15"/>
      <c r="E3605" s="15"/>
      <c r="F3605" s="20"/>
    </row>
    <row r="3606" spans="2:6" ht="17.25" customHeight="1">
      <c r="B3606" s="15"/>
      <c r="C3606" s="15"/>
      <c r="D3606" s="15"/>
      <c r="E3606" s="15"/>
      <c r="F3606" s="20"/>
    </row>
    <row r="3607" spans="2:6" ht="17.25" customHeight="1">
      <c r="B3607" s="15"/>
      <c r="C3607" s="15"/>
      <c r="D3607" s="15"/>
      <c r="E3607" s="15"/>
      <c r="F3607" s="20"/>
    </row>
    <row r="3608" spans="2:6" ht="17.25" customHeight="1">
      <c r="B3608" s="15"/>
      <c r="C3608" s="15"/>
      <c r="D3608" s="15"/>
      <c r="E3608" s="15"/>
      <c r="F3608" s="20"/>
    </row>
    <row r="3609" spans="2:6" ht="17.25" customHeight="1">
      <c r="B3609" s="15"/>
      <c r="C3609" s="15"/>
      <c r="D3609" s="15"/>
      <c r="E3609" s="15"/>
      <c r="F3609" s="20"/>
    </row>
    <row r="3610" spans="2:6" ht="17.25" customHeight="1">
      <c r="B3610" s="15"/>
      <c r="C3610" s="15"/>
      <c r="D3610" s="15"/>
      <c r="E3610" s="15"/>
      <c r="F3610" s="20"/>
    </row>
    <row r="3611" spans="2:6" ht="17.25" customHeight="1">
      <c r="B3611" s="15"/>
      <c r="C3611" s="15"/>
      <c r="D3611" s="15"/>
      <c r="E3611" s="15"/>
      <c r="F3611" s="20"/>
    </row>
    <row r="3612" spans="2:6" ht="17.25" customHeight="1">
      <c r="B3612" s="15"/>
      <c r="C3612" s="15"/>
      <c r="D3612" s="15"/>
      <c r="E3612" s="15"/>
      <c r="F3612" s="20"/>
    </row>
    <row r="3613" spans="2:6" ht="17.25" customHeight="1">
      <c r="B3613" s="15"/>
      <c r="C3613" s="15"/>
      <c r="D3613" s="15"/>
      <c r="E3613" s="15"/>
      <c r="F3613" s="20"/>
    </row>
    <row r="3614" spans="2:6" ht="17.25" customHeight="1">
      <c r="B3614" s="15"/>
      <c r="C3614" s="15"/>
      <c r="D3614" s="15"/>
      <c r="E3614" s="15"/>
      <c r="F3614" s="20"/>
    </row>
    <row r="3615" spans="2:6" ht="17.25" customHeight="1">
      <c r="B3615" s="15"/>
      <c r="C3615" s="15"/>
      <c r="D3615" s="15"/>
      <c r="E3615" s="15"/>
      <c r="F3615" s="20"/>
    </row>
    <row r="3616" spans="2:6" ht="17.25" customHeight="1">
      <c r="B3616" s="15"/>
      <c r="C3616" s="15"/>
      <c r="D3616" s="15"/>
      <c r="E3616" s="15"/>
      <c r="F3616" s="20"/>
    </row>
    <row r="3617" spans="2:6" ht="17.25" customHeight="1">
      <c r="B3617" s="15"/>
      <c r="C3617" s="15"/>
      <c r="D3617" s="15"/>
      <c r="E3617" s="15"/>
      <c r="F3617" s="20"/>
    </row>
    <row r="3618" spans="2:6" ht="17.25" customHeight="1">
      <c r="B3618" s="15"/>
      <c r="C3618" s="15"/>
      <c r="D3618" s="15"/>
      <c r="E3618" s="15"/>
      <c r="F3618" s="20"/>
    </row>
    <row r="3619" spans="2:6" ht="17.25" customHeight="1">
      <c r="B3619" s="15"/>
      <c r="C3619" s="15"/>
      <c r="D3619" s="15"/>
      <c r="E3619" s="15"/>
      <c r="F3619" s="20"/>
    </row>
    <row r="3620" spans="2:6" ht="17.25" customHeight="1">
      <c r="B3620" s="15"/>
      <c r="C3620" s="15"/>
      <c r="D3620" s="15"/>
      <c r="E3620" s="15"/>
      <c r="F3620" s="20"/>
    </row>
    <row r="3621" spans="2:6" ht="17.25" customHeight="1">
      <c r="B3621" s="15"/>
      <c r="C3621" s="15"/>
      <c r="D3621" s="15"/>
      <c r="E3621" s="15"/>
      <c r="F3621" s="20"/>
    </row>
    <row r="3622" spans="2:6" ht="17.25" customHeight="1">
      <c r="B3622" s="15"/>
      <c r="C3622" s="15"/>
      <c r="D3622" s="15"/>
      <c r="E3622" s="15"/>
      <c r="F3622" s="20"/>
    </row>
    <row r="3623" spans="2:6" ht="17.25" customHeight="1">
      <c r="B3623" s="15"/>
      <c r="C3623" s="15"/>
      <c r="D3623" s="15"/>
      <c r="E3623" s="15"/>
      <c r="F3623" s="20"/>
    </row>
    <row r="3624" spans="2:6" ht="17.25" customHeight="1">
      <c r="B3624" s="15"/>
      <c r="C3624" s="15"/>
      <c r="D3624" s="15"/>
      <c r="E3624" s="15"/>
      <c r="F3624" s="20"/>
    </row>
    <row r="3625" spans="2:6" ht="17.25" customHeight="1">
      <c r="B3625" s="15"/>
      <c r="C3625" s="15"/>
      <c r="D3625" s="15"/>
      <c r="E3625" s="15"/>
      <c r="F3625" s="20"/>
    </row>
    <row r="3626" spans="2:6" ht="17.25" customHeight="1">
      <c r="B3626" s="15"/>
      <c r="C3626" s="15"/>
      <c r="D3626" s="15"/>
      <c r="E3626" s="15"/>
      <c r="F3626" s="20"/>
    </row>
    <row r="3627" spans="2:6" ht="17.25" customHeight="1">
      <c r="B3627" s="15"/>
      <c r="C3627" s="15"/>
      <c r="D3627" s="15"/>
      <c r="E3627" s="15"/>
      <c r="F3627" s="20"/>
    </row>
    <row r="3628" spans="2:6" ht="17.25" customHeight="1">
      <c r="B3628" s="15"/>
      <c r="C3628" s="15"/>
      <c r="D3628" s="15"/>
      <c r="E3628" s="15"/>
      <c r="F3628" s="20"/>
    </row>
    <row r="3629" spans="2:6" ht="17.25" customHeight="1">
      <c r="B3629" s="15"/>
      <c r="C3629" s="15"/>
      <c r="D3629" s="15"/>
      <c r="E3629" s="15"/>
      <c r="F3629" s="20"/>
    </row>
    <row r="3630" spans="2:6" ht="17.25" customHeight="1">
      <c r="B3630" s="15"/>
      <c r="C3630" s="15"/>
      <c r="D3630" s="15"/>
      <c r="E3630" s="15"/>
      <c r="F3630" s="20"/>
    </row>
    <row r="3631" spans="2:6" ht="17.25" customHeight="1">
      <c r="B3631" s="15"/>
      <c r="C3631" s="15"/>
      <c r="D3631" s="15"/>
      <c r="E3631" s="15"/>
      <c r="F3631" s="20"/>
    </row>
    <row r="3632" spans="2:6" ht="17.25" customHeight="1">
      <c r="B3632" s="15"/>
      <c r="C3632" s="15"/>
      <c r="D3632" s="15"/>
      <c r="E3632" s="15"/>
      <c r="F3632" s="20"/>
    </row>
    <row r="3633" spans="2:6" ht="17.25" customHeight="1">
      <c r="B3633" s="15"/>
      <c r="C3633" s="15"/>
      <c r="D3633" s="15"/>
      <c r="E3633" s="15"/>
      <c r="F3633" s="20"/>
    </row>
    <row r="3634" spans="2:6" ht="17.25" customHeight="1">
      <c r="B3634" s="15"/>
      <c r="C3634" s="15"/>
      <c r="D3634" s="15"/>
      <c r="E3634" s="15"/>
      <c r="F3634" s="20"/>
    </row>
    <row r="3635" spans="2:6" ht="17.25" customHeight="1">
      <c r="B3635" s="15"/>
      <c r="C3635" s="15"/>
      <c r="D3635" s="15"/>
      <c r="E3635" s="15"/>
      <c r="F3635" s="20"/>
    </row>
    <row r="3636" spans="2:6" ht="17.25" customHeight="1">
      <c r="B3636" s="15"/>
      <c r="C3636" s="15"/>
      <c r="D3636" s="15"/>
      <c r="E3636" s="15"/>
      <c r="F3636" s="20"/>
    </row>
    <row r="3637" spans="2:6" ht="17.25" customHeight="1">
      <c r="B3637" s="15"/>
      <c r="C3637" s="15"/>
      <c r="D3637" s="15"/>
      <c r="E3637" s="15"/>
      <c r="F3637" s="20"/>
    </row>
    <row r="3638" spans="2:6" ht="17.25" customHeight="1">
      <c r="B3638" s="15"/>
      <c r="C3638" s="15"/>
      <c r="D3638" s="15"/>
      <c r="E3638" s="15"/>
      <c r="F3638" s="20"/>
    </row>
    <row r="3639" spans="2:6" ht="17.25" customHeight="1">
      <c r="B3639" s="15"/>
      <c r="C3639" s="15"/>
      <c r="D3639" s="15"/>
      <c r="E3639" s="15"/>
      <c r="F3639" s="20"/>
    </row>
    <row r="3640" spans="2:6" ht="17.25" customHeight="1">
      <c r="B3640" s="15"/>
      <c r="C3640" s="15"/>
      <c r="D3640" s="15"/>
      <c r="E3640" s="15"/>
      <c r="F3640" s="20"/>
    </row>
    <row r="3641" spans="2:6" ht="17.25" customHeight="1">
      <c r="B3641" s="15"/>
      <c r="C3641" s="15"/>
      <c r="D3641" s="15"/>
      <c r="E3641" s="15"/>
      <c r="F3641" s="20"/>
    </row>
    <row r="3642" spans="2:6" ht="17.25" customHeight="1">
      <c r="B3642" s="15"/>
      <c r="C3642" s="15"/>
      <c r="D3642" s="15"/>
      <c r="E3642" s="15"/>
      <c r="F3642" s="20"/>
    </row>
    <row r="3643" spans="2:6" ht="17.25" customHeight="1">
      <c r="B3643" s="15"/>
      <c r="C3643" s="15"/>
      <c r="D3643" s="15"/>
      <c r="E3643" s="15"/>
      <c r="F3643" s="20"/>
    </row>
    <row r="3644" spans="2:6" ht="17.25" customHeight="1">
      <c r="B3644" s="15"/>
      <c r="C3644" s="15"/>
      <c r="D3644" s="15"/>
      <c r="E3644" s="15"/>
      <c r="F3644" s="20"/>
    </row>
    <row r="3645" spans="2:6" ht="17.25" customHeight="1">
      <c r="B3645" s="15"/>
      <c r="C3645" s="15"/>
      <c r="D3645" s="15"/>
      <c r="E3645" s="15"/>
      <c r="F3645" s="20"/>
    </row>
    <row r="3646" spans="2:6" ht="17.25" customHeight="1">
      <c r="B3646" s="15"/>
      <c r="C3646" s="15"/>
      <c r="D3646" s="15"/>
      <c r="E3646" s="15"/>
      <c r="F3646" s="20"/>
    </row>
    <row r="3647" spans="2:6" ht="17.25" customHeight="1">
      <c r="B3647" s="15"/>
      <c r="C3647" s="15"/>
      <c r="D3647" s="15"/>
      <c r="E3647" s="15"/>
      <c r="F3647" s="20"/>
    </row>
    <row r="3648" spans="2:6" ht="17.25" customHeight="1">
      <c r="B3648" s="15"/>
      <c r="C3648" s="15"/>
      <c r="D3648" s="15"/>
      <c r="E3648" s="15"/>
      <c r="F3648" s="20"/>
    </row>
    <row r="3649" spans="2:6" ht="17.25" customHeight="1">
      <c r="B3649" s="15"/>
      <c r="C3649" s="15"/>
      <c r="D3649" s="15"/>
      <c r="E3649" s="15"/>
      <c r="F3649" s="20"/>
    </row>
    <row r="3650" spans="2:6" ht="17.25" customHeight="1">
      <c r="B3650" s="15"/>
      <c r="C3650" s="15"/>
      <c r="D3650" s="15"/>
      <c r="E3650" s="15"/>
      <c r="F3650" s="20"/>
    </row>
    <row r="3651" spans="2:6" ht="17.25" customHeight="1">
      <c r="B3651" s="15"/>
      <c r="C3651" s="15"/>
      <c r="D3651" s="15"/>
      <c r="E3651" s="15"/>
      <c r="F3651" s="20"/>
    </row>
    <row r="3652" spans="2:6" ht="17.25" customHeight="1">
      <c r="B3652" s="15"/>
      <c r="C3652" s="15"/>
      <c r="D3652" s="15"/>
      <c r="E3652" s="15"/>
      <c r="F3652" s="20"/>
    </row>
    <row r="3653" spans="2:6" ht="17.25" customHeight="1">
      <c r="B3653" s="15"/>
      <c r="C3653" s="15"/>
      <c r="D3653" s="15"/>
      <c r="E3653" s="15"/>
      <c r="F3653" s="20"/>
    </row>
    <row r="3654" spans="2:6" ht="17.25" customHeight="1">
      <c r="B3654" s="15"/>
      <c r="C3654" s="15"/>
      <c r="D3654" s="15"/>
      <c r="E3654" s="15"/>
      <c r="F3654" s="20"/>
    </row>
    <row r="3655" spans="2:6" ht="17.25" customHeight="1">
      <c r="B3655" s="15"/>
      <c r="C3655" s="15"/>
      <c r="D3655" s="15"/>
      <c r="E3655" s="15"/>
      <c r="F3655" s="20"/>
    </row>
    <row r="3656" spans="2:6" ht="17.25" customHeight="1">
      <c r="B3656" s="15"/>
      <c r="C3656" s="15"/>
      <c r="D3656" s="15"/>
      <c r="E3656" s="15"/>
      <c r="F3656" s="20"/>
    </row>
    <row r="3657" spans="2:6" ht="17.25" customHeight="1">
      <c r="B3657" s="15"/>
      <c r="C3657" s="15"/>
      <c r="D3657" s="15"/>
      <c r="E3657" s="15"/>
      <c r="F3657" s="20"/>
    </row>
    <row r="3658" spans="2:6" ht="17.25" customHeight="1">
      <c r="B3658" s="15"/>
      <c r="C3658" s="15"/>
      <c r="D3658" s="15"/>
      <c r="E3658" s="15"/>
      <c r="F3658" s="20"/>
    </row>
    <row r="3659" spans="2:6" ht="17.25" customHeight="1">
      <c r="B3659" s="15"/>
      <c r="C3659" s="15"/>
      <c r="D3659" s="15"/>
      <c r="E3659" s="15"/>
      <c r="F3659" s="20"/>
    </row>
    <row r="3660" spans="2:6" ht="17.25" customHeight="1">
      <c r="B3660" s="15"/>
      <c r="C3660" s="15"/>
      <c r="D3660" s="15"/>
      <c r="E3660" s="15"/>
      <c r="F3660" s="20"/>
    </row>
    <row r="3661" spans="2:6" ht="17.25" customHeight="1">
      <c r="B3661" s="15"/>
      <c r="C3661" s="15"/>
      <c r="D3661" s="15"/>
      <c r="E3661" s="15"/>
      <c r="F3661" s="20"/>
    </row>
    <row r="3662" spans="2:6" ht="17.25" customHeight="1">
      <c r="B3662" s="15"/>
      <c r="C3662" s="15"/>
      <c r="D3662" s="15"/>
      <c r="E3662" s="15"/>
      <c r="F3662" s="20"/>
    </row>
    <row r="3663" spans="2:6" ht="17.25" customHeight="1">
      <c r="B3663" s="15"/>
      <c r="C3663" s="15"/>
      <c r="D3663" s="15"/>
      <c r="E3663" s="15"/>
      <c r="F3663" s="20"/>
    </row>
    <row r="3664" spans="2:6" ht="17.25" customHeight="1">
      <c r="B3664" s="15"/>
      <c r="C3664" s="15"/>
      <c r="D3664" s="15"/>
      <c r="E3664" s="15"/>
      <c r="F3664" s="20"/>
    </row>
    <row r="3665" spans="2:6" ht="17.25" customHeight="1">
      <c r="B3665" s="15"/>
      <c r="C3665" s="15"/>
      <c r="D3665" s="15"/>
      <c r="E3665" s="15"/>
      <c r="F3665" s="20"/>
    </row>
    <row r="3666" spans="2:6" ht="17.25" customHeight="1">
      <c r="B3666" s="15"/>
      <c r="C3666" s="15"/>
      <c r="D3666" s="15"/>
      <c r="E3666" s="15"/>
      <c r="F3666" s="20"/>
    </row>
    <row r="3667" spans="2:6" ht="17.25" customHeight="1">
      <c r="B3667" s="15"/>
      <c r="C3667" s="15"/>
      <c r="D3667" s="15"/>
      <c r="E3667" s="15"/>
      <c r="F3667" s="20"/>
    </row>
    <row r="3668" spans="2:6" ht="17.25" customHeight="1">
      <c r="B3668" s="15"/>
      <c r="C3668" s="15"/>
      <c r="D3668" s="15"/>
      <c r="E3668" s="15"/>
      <c r="F3668" s="20"/>
    </row>
    <row r="3669" spans="2:6" ht="17.25" customHeight="1">
      <c r="B3669" s="15"/>
      <c r="C3669" s="15"/>
      <c r="D3669" s="15"/>
      <c r="E3669" s="15"/>
      <c r="F3669" s="20"/>
    </row>
    <row r="3670" spans="2:6" ht="17.25" customHeight="1">
      <c r="B3670" s="15"/>
      <c r="C3670" s="15"/>
      <c r="D3670" s="15"/>
      <c r="E3670" s="15"/>
      <c r="F3670" s="20"/>
    </row>
    <row r="3671" spans="2:6" ht="17.25" customHeight="1">
      <c r="B3671" s="15"/>
      <c r="C3671" s="15"/>
      <c r="D3671" s="15"/>
      <c r="E3671" s="15"/>
      <c r="F3671" s="20"/>
    </row>
    <row r="3672" spans="2:6" ht="17.25" customHeight="1">
      <c r="B3672" s="15"/>
      <c r="C3672" s="15"/>
      <c r="D3672" s="15"/>
      <c r="E3672" s="15"/>
      <c r="F3672" s="20"/>
    </row>
    <row r="3673" spans="2:6" ht="17.25" customHeight="1">
      <c r="B3673" s="15"/>
      <c r="C3673" s="15"/>
      <c r="D3673" s="15"/>
      <c r="E3673" s="15"/>
      <c r="F3673" s="20"/>
    </row>
    <row r="3674" spans="2:6" ht="17.25" customHeight="1">
      <c r="B3674" s="15"/>
      <c r="C3674" s="15"/>
      <c r="D3674" s="15"/>
      <c r="E3674" s="15"/>
      <c r="F3674" s="20"/>
    </row>
    <row r="3675" spans="2:6" ht="17.25" customHeight="1">
      <c r="B3675" s="15"/>
      <c r="C3675" s="15"/>
      <c r="D3675" s="15"/>
      <c r="E3675" s="15"/>
      <c r="F3675" s="20"/>
    </row>
    <row r="3676" spans="2:6" ht="17.25" customHeight="1">
      <c r="B3676" s="15"/>
      <c r="C3676" s="15"/>
      <c r="D3676" s="15"/>
      <c r="E3676" s="15"/>
      <c r="F3676" s="20"/>
    </row>
    <row r="3677" spans="2:6" ht="17.25" customHeight="1">
      <c r="B3677" s="15"/>
      <c r="C3677" s="15"/>
      <c r="D3677" s="15"/>
      <c r="E3677" s="15"/>
      <c r="F3677" s="20"/>
    </row>
    <row r="3678" spans="2:6" ht="17.25" customHeight="1">
      <c r="B3678" s="15"/>
      <c r="C3678" s="15"/>
      <c r="D3678" s="15"/>
      <c r="E3678" s="15"/>
      <c r="F3678" s="20"/>
    </row>
    <row r="3679" spans="2:6" ht="17.25" customHeight="1">
      <c r="B3679" s="15"/>
      <c r="C3679" s="15"/>
      <c r="D3679" s="15"/>
      <c r="E3679" s="15"/>
      <c r="F3679" s="20"/>
    </row>
    <row r="3680" spans="2:6" ht="17.25" customHeight="1">
      <c r="B3680" s="15"/>
      <c r="C3680" s="15"/>
      <c r="D3680" s="15"/>
      <c r="E3680" s="15"/>
      <c r="F3680" s="20"/>
    </row>
    <row r="3681" spans="2:6" ht="17.25" customHeight="1">
      <c r="B3681" s="15"/>
      <c r="C3681" s="15"/>
      <c r="D3681" s="15"/>
      <c r="E3681" s="15"/>
      <c r="F3681" s="20"/>
    </row>
    <row r="3682" spans="2:6" ht="17.25" customHeight="1">
      <c r="B3682" s="15"/>
      <c r="C3682" s="15"/>
      <c r="D3682" s="15"/>
      <c r="E3682" s="15"/>
      <c r="F3682" s="20"/>
    </row>
    <row r="3683" spans="2:6" ht="17.25" customHeight="1">
      <c r="B3683" s="15"/>
      <c r="C3683" s="15"/>
      <c r="D3683" s="15"/>
      <c r="E3683" s="15"/>
      <c r="F3683" s="20"/>
    </row>
    <row r="3684" spans="2:6" ht="17.25" customHeight="1">
      <c r="B3684" s="15"/>
      <c r="C3684" s="15"/>
      <c r="D3684" s="15"/>
      <c r="E3684" s="15"/>
      <c r="F3684" s="20"/>
    </row>
    <row r="3685" spans="2:6" ht="17.25" customHeight="1">
      <c r="B3685" s="15"/>
      <c r="C3685" s="15"/>
      <c r="D3685" s="15"/>
      <c r="E3685" s="15"/>
      <c r="F3685" s="20"/>
    </row>
    <row r="3686" spans="2:6" ht="17.25" customHeight="1">
      <c r="B3686" s="15"/>
      <c r="C3686" s="15"/>
      <c r="D3686" s="15"/>
      <c r="E3686" s="15"/>
      <c r="F3686" s="20"/>
    </row>
    <row r="3687" spans="2:6" ht="17.25" customHeight="1">
      <c r="B3687" s="15"/>
      <c r="C3687" s="15"/>
      <c r="D3687" s="15"/>
      <c r="E3687" s="15"/>
      <c r="F3687" s="20"/>
    </row>
    <row r="3688" spans="2:6" ht="17.25" customHeight="1">
      <c r="B3688" s="15"/>
      <c r="C3688" s="15"/>
      <c r="D3688" s="15"/>
      <c r="E3688" s="15"/>
      <c r="F3688" s="20"/>
    </row>
    <row r="3689" spans="2:6" ht="17.25" customHeight="1">
      <c r="B3689" s="15"/>
      <c r="C3689" s="15"/>
      <c r="D3689" s="15"/>
      <c r="E3689" s="15"/>
      <c r="F3689" s="20"/>
    </row>
    <row r="3690" spans="2:6" ht="17.25" customHeight="1">
      <c r="B3690" s="15"/>
      <c r="C3690" s="15"/>
      <c r="D3690" s="15"/>
      <c r="E3690" s="15"/>
      <c r="F3690" s="20"/>
    </row>
    <row r="3691" spans="2:6" ht="17.25" customHeight="1">
      <c r="B3691" s="15"/>
      <c r="C3691" s="15"/>
      <c r="D3691" s="15"/>
      <c r="E3691" s="15"/>
      <c r="F3691" s="20"/>
    </row>
    <row r="3692" spans="2:6" ht="17.25" customHeight="1">
      <c r="B3692" s="15"/>
      <c r="C3692" s="15"/>
      <c r="D3692" s="15"/>
      <c r="E3692" s="15"/>
      <c r="F3692" s="20"/>
    </row>
    <row r="3693" spans="2:6" ht="17.25" customHeight="1">
      <c r="B3693" s="15"/>
      <c r="C3693" s="15"/>
      <c r="D3693" s="15"/>
      <c r="E3693" s="15"/>
      <c r="F3693" s="20"/>
    </row>
    <row r="3694" spans="2:6" ht="17.25" customHeight="1">
      <c r="B3694" s="15"/>
      <c r="C3694" s="15"/>
      <c r="D3694" s="15"/>
      <c r="E3694" s="15"/>
      <c r="F3694" s="20"/>
    </row>
    <row r="3695" spans="2:6" ht="17.25" customHeight="1">
      <c r="B3695" s="15"/>
      <c r="C3695" s="15"/>
      <c r="D3695" s="15"/>
      <c r="E3695" s="15"/>
      <c r="F3695" s="20"/>
    </row>
    <row r="3696" spans="2:6" ht="17.25" customHeight="1">
      <c r="B3696" s="15"/>
      <c r="C3696" s="15"/>
      <c r="D3696" s="15"/>
      <c r="E3696" s="15"/>
      <c r="F3696" s="20"/>
    </row>
    <row r="3697" spans="2:6" ht="17.25" customHeight="1">
      <c r="B3697" s="15"/>
      <c r="C3697" s="15"/>
      <c r="D3697" s="15"/>
      <c r="E3697" s="15"/>
      <c r="F3697" s="20"/>
    </row>
    <row r="3698" spans="2:6" ht="17.25" customHeight="1">
      <c r="B3698" s="15"/>
      <c r="C3698" s="15"/>
      <c r="D3698" s="15"/>
      <c r="E3698" s="15"/>
      <c r="F3698" s="20"/>
    </row>
    <row r="3699" spans="2:6" ht="17.25" customHeight="1">
      <c r="B3699" s="15"/>
      <c r="C3699" s="15"/>
      <c r="D3699" s="15"/>
      <c r="E3699" s="15"/>
      <c r="F3699" s="20"/>
    </row>
    <row r="3700" spans="2:6" ht="17.25" customHeight="1">
      <c r="B3700" s="15"/>
      <c r="C3700" s="15"/>
      <c r="D3700" s="15"/>
      <c r="E3700" s="15"/>
      <c r="F3700" s="20"/>
    </row>
    <row r="3701" spans="2:6" ht="17.25" customHeight="1">
      <c r="B3701" s="15"/>
      <c r="C3701" s="15"/>
      <c r="D3701" s="15"/>
      <c r="E3701" s="15"/>
      <c r="F3701" s="20"/>
    </row>
    <row r="3702" spans="2:6" ht="17.25" customHeight="1">
      <c r="B3702" s="15"/>
      <c r="C3702" s="15"/>
      <c r="D3702" s="15"/>
      <c r="E3702" s="15"/>
      <c r="F3702" s="20"/>
    </row>
    <row r="3703" spans="2:6" ht="17.25" customHeight="1">
      <c r="B3703" s="15"/>
      <c r="C3703" s="15"/>
      <c r="D3703" s="15"/>
      <c r="E3703" s="15"/>
      <c r="F3703" s="20"/>
    </row>
    <row r="3704" spans="2:6" ht="17.25" customHeight="1">
      <c r="B3704" s="15"/>
      <c r="C3704" s="15"/>
      <c r="D3704" s="15"/>
      <c r="E3704" s="15"/>
      <c r="F3704" s="20"/>
    </row>
    <row r="3705" spans="2:6" ht="17.25" customHeight="1">
      <c r="B3705" s="15"/>
      <c r="C3705" s="15"/>
      <c r="D3705" s="15"/>
      <c r="E3705" s="15"/>
      <c r="F3705" s="20"/>
    </row>
    <row r="3706" spans="2:6" ht="17.25" customHeight="1">
      <c r="B3706" s="15"/>
      <c r="C3706" s="15"/>
      <c r="D3706" s="15"/>
      <c r="E3706" s="15"/>
      <c r="F3706" s="20"/>
    </row>
    <row r="3707" spans="2:6" ht="17.25" customHeight="1">
      <c r="B3707" s="15"/>
      <c r="C3707" s="15"/>
      <c r="D3707" s="15"/>
      <c r="E3707" s="15"/>
      <c r="F3707" s="20"/>
    </row>
    <row r="3708" spans="2:6" ht="17.25" customHeight="1">
      <c r="B3708" s="15"/>
      <c r="C3708" s="15"/>
      <c r="D3708" s="15"/>
      <c r="E3708" s="15"/>
      <c r="F3708" s="20"/>
    </row>
    <row r="3709" spans="2:6" ht="17.25" customHeight="1">
      <c r="B3709" s="15"/>
      <c r="C3709" s="15"/>
      <c r="D3709" s="15"/>
      <c r="E3709" s="15"/>
      <c r="F3709" s="20"/>
    </row>
    <row r="3710" spans="2:6" ht="17.25" customHeight="1">
      <c r="B3710" s="15"/>
      <c r="C3710" s="15"/>
      <c r="D3710" s="15"/>
      <c r="E3710" s="15"/>
      <c r="F3710" s="20"/>
    </row>
    <row r="3711" spans="2:6" ht="17.25" customHeight="1">
      <c r="B3711" s="15"/>
      <c r="C3711" s="15"/>
      <c r="D3711" s="15"/>
      <c r="E3711" s="15"/>
      <c r="F3711" s="20"/>
    </row>
    <row r="3712" spans="2:6" ht="17.25" customHeight="1">
      <c r="B3712" s="15"/>
      <c r="C3712" s="15"/>
      <c r="D3712" s="15"/>
      <c r="E3712" s="15"/>
      <c r="F3712" s="20"/>
    </row>
    <row r="3713" spans="2:6" ht="17.25" customHeight="1">
      <c r="B3713" s="15"/>
      <c r="C3713" s="15"/>
      <c r="D3713" s="15"/>
      <c r="E3713" s="15"/>
      <c r="F3713" s="20"/>
    </row>
    <row r="3714" spans="2:6" ht="17.25" customHeight="1">
      <c r="B3714" s="15"/>
      <c r="C3714" s="15"/>
      <c r="D3714" s="15"/>
      <c r="E3714" s="15"/>
      <c r="F3714" s="20"/>
    </row>
    <row r="3715" spans="2:6" ht="17.25" customHeight="1">
      <c r="B3715" s="15"/>
      <c r="C3715" s="15"/>
      <c r="D3715" s="15"/>
      <c r="E3715" s="15"/>
      <c r="F3715" s="20"/>
    </row>
    <row r="3716" spans="2:6" ht="17.25" customHeight="1">
      <c r="B3716" s="15"/>
      <c r="C3716" s="15"/>
      <c r="D3716" s="15"/>
      <c r="E3716" s="15"/>
      <c r="F3716" s="20"/>
    </row>
    <row r="3717" spans="2:6" ht="17.25" customHeight="1">
      <c r="B3717" s="15"/>
      <c r="C3717" s="15"/>
      <c r="D3717" s="15"/>
      <c r="E3717" s="15"/>
      <c r="F3717" s="20"/>
    </row>
    <row r="3718" spans="2:6" ht="17.25" customHeight="1">
      <c r="B3718" s="15"/>
      <c r="C3718" s="15"/>
      <c r="D3718" s="15"/>
      <c r="E3718" s="15"/>
      <c r="F3718" s="20"/>
    </row>
    <row r="3719" spans="2:6" ht="17.25" customHeight="1">
      <c r="B3719" s="15"/>
      <c r="C3719" s="15"/>
      <c r="D3719" s="15"/>
      <c r="E3719" s="15"/>
      <c r="F3719" s="20"/>
    </row>
    <row r="3720" spans="2:6" ht="17.25" customHeight="1">
      <c r="B3720" s="15"/>
      <c r="C3720" s="15"/>
      <c r="D3720" s="15"/>
      <c r="E3720" s="15"/>
      <c r="F3720" s="20"/>
    </row>
    <row r="3721" spans="2:6" ht="17.25" customHeight="1">
      <c r="B3721" s="15"/>
      <c r="C3721" s="15"/>
      <c r="D3721" s="15"/>
      <c r="E3721" s="15"/>
      <c r="F3721" s="20"/>
    </row>
    <row r="3722" spans="2:6" ht="17.25" customHeight="1">
      <c r="B3722" s="15"/>
      <c r="C3722" s="15"/>
      <c r="D3722" s="15"/>
      <c r="E3722" s="15"/>
      <c r="F3722" s="20"/>
    </row>
    <row r="3723" spans="2:6" ht="17.25" customHeight="1">
      <c r="B3723" s="15"/>
      <c r="C3723" s="15"/>
      <c r="D3723" s="15"/>
      <c r="E3723" s="15"/>
      <c r="F3723" s="20"/>
    </row>
    <row r="3724" spans="2:6" ht="17.25" customHeight="1">
      <c r="B3724" s="15"/>
      <c r="C3724" s="15"/>
      <c r="D3724" s="15"/>
      <c r="E3724" s="15"/>
      <c r="F3724" s="20"/>
    </row>
    <row r="3725" spans="2:6" ht="17.25" customHeight="1">
      <c r="B3725" s="15"/>
      <c r="C3725" s="15"/>
      <c r="D3725" s="15"/>
      <c r="E3725" s="15"/>
      <c r="F3725" s="20"/>
    </row>
    <row r="3726" spans="2:6" ht="17.25" customHeight="1">
      <c r="B3726" s="15"/>
      <c r="C3726" s="15"/>
      <c r="D3726" s="15"/>
      <c r="E3726" s="15"/>
      <c r="F3726" s="20"/>
    </row>
    <row r="3727" spans="2:6" ht="17.25" customHeight="1">
      <c r="B3727" s="15"/>
      <c r="C3727" s="15"/>
      <c r="D3727" s="15"/>
      <c r="E3727" s="15"/>
      <c r="F3727" s="20"/>
    </row>
    <row r="3728" spans="2:6" ht="17.25" customHeight="1">
      <c r="B3728" s="15"/>
      <c r="C3728" s="15"/>
      <c r="D3728" s="15"/>
      <c r="E3728" s="15"/>
      <c r="F3728" s="20"/>
    </row>
    <row r="3729" spans="2:6" ht="17.25" customHeight="1">
      <c r="B3729" s="15"/>
      <c r="C3729" s="15"/>
      <c r="D3729" s="15"/>
      <c r="E3729" s="15"/>
      <c r="F3729" s="20"/>
    </row>
    <row r="3730" spans="2:6" ht="17.25" customHeight="1">
      <c r="B3730" s="15"/>
      <c r="C3730" s="15"/>
      <c r="D3730" s="15"/>
      <c r="E3730" s="15"/>
      <c r="F3730" s="20"/>
    </row>
    <row r="3731" spans="2:6" ht="17.25" customHeight="1">
      <c r="B3731" s="15"/>
      <c r="C3731" s="15"/>
      <c r="D3731" s="15"/>
      <c r="E3731" s="15"/>
      <c r="F3731" s="20"/>
    </row>
    <row r="3732" spans="2:6" ht="17.25" customHeight="1">
      <c r="B3732" s="15"/>
      <c r="C3732" s="15"/>
      <c r="D3732" s="15"/>
      <c r="E3732" s="15"/>
      <c r="F3732" s="20"/>
    </row>
    <row r="3733" spans="2:6" ht="17.25" customHeight="1">
      <c r="B3733" s="15"/>
      <c r="C3733" s="15"/>
      <c r="D3733" s="15"/>
      <c r="E3733" s="15"/>
      <c r="F3733" s="20"/>
    </row>
    <row r="3734" spans="2:6" ht="17.25" customHeight="1">
      <c r="B3734" s="15"/>
      <c r="C3734" s="15"/>
      <c r="D3734" s="15"/>
      <c r="E3734" s="15"/>
      <c r="F3734" s="20"/>
    </row>
    <row r="3735" spans="2:6" ht="17.25" customHeight="1">
      <c r="B3735" s="15"/>
      <c r="C3735" s="15"/>
      <c r="D3735" s="15"/>
      <c r="E3735" s="15"/>
      <c r="F3735" s="20"/>
    </row>
    <row r="3736" spans="2:6" ht="17.25" customHeight="1">
      <c r="B3736" s="15"/>
      <c r="C3736" s="15"/>
      <c r="D3736" s="15"/>
      <c r="E3736" s="15"/>
      <c r="F3736" s="20"/>
    </row>
    <row r="3737" spans="2:6" ht="17.25" customHeight="1">
      <c r="B3737" s="15"/>
      <c r="C3737" s="15"/>
      <c r="D3737" s="15"/>
      <c r="E3737" s="15"/>
      <c r="F3737" s="20"/>
    </row>
    <row r="3738" spans="2:6" ht="17.25" customHeight="1">
      <c r="B3738" s="15"/>
      <c r="C3738" s="15"/>
      <c r="D3738" s="15"/>
      <c r="E3738" s="15"/>
      <c r="F3738" s="20"/>
    </row>
    <row r="3739" spans="2:6" ht="17.25" customHeight="1">
      <c r="B3739" s="15"/>
      <c r="C3739" s="15"/>
      <c r="D3739" s="15"/>
      <c r="E3739" s="15"/>
      <c r="F3739" s="20"/>
    </row>
    <row r="3740" spans="2:6" ht="17.25" customHeight="1">
      <c r="B3740" s="15"/>
      <c r="C3740" s="15"/>
      <c r="D3740" s="15"/>
      <c r="E3740" s="15"/>
      <c r="F3740" s="20"/>
    </row>
    <row r="3741" spans="2:6" ht="17.25" customHeight="1">
      <c r="B3741" s="15"/>
      <c r="C3741" s="15"/>
      <c r="D3741" s="15"/>
      <c r="E3741" s="15"/>
      <c r="F3741" s="20"/>
    </row>
    <row r="3742" spans="2:6" ht="17.25" customHeight="1">
      <c r="B3742" s="15"/>
      <c r="C3742" s="15"/>
      <c r="D3742" s="15"/>
      <c r="E3742" s="15"/>
      <c r="F3742" s="20"/>
    </row>
    <row r="3743" spans="2:6" ht="17.25" customHeight="1">
      <c r="B3743" s="15"/>
      <c r="C3743" s="15"/>
      <c r="D3743" s="15"/>
      <c r="E3743" s="15"/>
      <c r="F3743" s="20"/>
    </row>
    <row r="3744" spans="2:6" ht="17.25" customHeight="1">
      <c r="B3744" s="15"/>
      <c r="C3744" s="15"/>
      <c r="D3744" s="15"/>
      <c r="E3744" s="15"/>
      <c r="F3744" s="20"/>
    </row>
    <row r="3745" spans="2:6" ht="17.25" customHeight="1">
      <c r="B3745" s="15"/>
      <c r="C3745" s="15"/>
      <c r="D3745" s="15"/>
      <c r="E3745" s="15"/>
      <c r="F3745" s="20"/>
    </row>
    <row r="3746" spans="2:6" ht="17.25" customHeight="1">
      <c r="B3746" s="15"/>
      <c r="C3746" s="15"/>
      <c r="D3746" s="15"/>
      <c r="E3746" s="15"/>
      <c r="F3746" s="20"/>
    </row>
    <row r="3747" spans="2:6" ht="17.25" customHeight="1">
      <c r="B3747" s="15"/>
      <c r="C3747" s="15"/>
      <c r="D3747" s="15"/>
      <c r="E3747" s="15"/>
      <c r="F3747" s="20"/>
    </row>
    <row r="3748" spans="2:6" ht="17.25" customHeight="1">
      <c r="B3748" s="15"/>
      <c r="C3748" s="15"/>
      <c r="D3748" s="15"/>
      <c r="E3748" s="15"/>
      <c r="F3748" s="20"/>
    </row>
    <row r="3749" spans="2:6" ht="17.25" customHeight="1">
      <c r="B3749" s="15"/>
      <c r="C3749" s="15"/>
      <c r="D3749" s="15"/>
      <c r="E3749" s="15"/>
      <c r="F3749" s="20"/>
    </row>
    <row r="3750" spans="2:6" ht="17.25" customHeight="1">
      <c r="B3750" s="15"/>
      <c r="C3750" s="15"/>
      <c r="D3750" s="15"/>
      <c r="E3750" s="15"/>
      <c r="F3750" s="20"/>
    </row>
    <row r="3751" spans="2:6" ht="17.25" customHeight="1">
      <c r="B3751" s="15"/>
      <c r="C3751" s="15"/>
      <c r="D3751" s="15"/>
      <c r="E3751" s="15"/>
      <c r="F3751" s="20"/>
    </row>
    <row r="3752" spans="2:6" ht="17.25" customHeight="1">
      <c r="B3752" s="15"/>
      <c r="C3752" s="15"/>
      <c r="D3752" s="15"/>
      <c r="E3752" s="15"/>
      <c r="F3752" s="20"/>
    </row>
    <row r="3753" spans="2:6" ht="17.25" customHeight="1">
      <c r="B3753" s="15"/>
      <c r="C3753" s="15"/>
      <c r="D3753" s="15"/>
      <c r="E3753" s="15"/>
      <c r="F3753" s="20"/>
    </row>
    <row r="3754" spans="2:6" ht="17.25" customHeight="1">
      <c r="B3754" s="15"/>
      <c r="C3754" s="15"/>
      <c r="D3754" s="15"/>
      <c r="E3754" s="15"/>
      <c r="F3754" s="20"/>
    </row>
    <row r="3755" spans="2:6" ht="17.25" customHeight="1">
      <c r="B3755" s="15"/>
      <c r="C3755" s="15"/>
      <c r="D3755" s="15"/>
      <c r="E3755" s="15"/>
      <c r="F3755" s="20"/>
    </row>
    <row r="3756" spans="2:6" ht="17.25" customHeight="1">
      <c r="B3756" s="15"/>
      <c r="C3756" s="15"/>
      <c r="D3756" s="15"/>
      <c r="E3756" s="15"/>
      <c r="F3756" s="20"/>
    </row>
    <row r="3757" spans="2:6" ht="17.25" customHeight="1">
      <c r="B3757" s="15"/>
      <c r="C3757" s="15"/>
      <c r="D3757" s="15"/>
      <c r="E3757" s="15"/>
      <c r="F3757" s="20"/>
    </row>
    <row r="3758" spans="2:6" ht="17.25" customHeight="1">
      <c r="B3758" s="15"/>
      <c r="C3758" s="15"/>
      <c r="D3758" s="15"/>
      <c r="E3758" s="15"/>
      <c r="F3758" s="20"/>
    </row>
    <row r="3759" spans="2:6" ht="17.25" customHeight="1">
      <c r="B3759" s="15"/>
      <c r="C3759" s="15"/>
      <c r="D3759" s="15"/>
      <c r="E3759" s="15"/>
      <c r="F3759" s="20"/>
    </row>
    <row r="3760" spans="2:6" ht="17.25" customHeight="1">
      <c r="B3760" s="15"/>
      <c r="C3760" s="15"/>
      <c r="D3760" s="15"/>
      <c r="E3760" s="15"/>
      <c r="F3760" s="20"/>
    </row>
    <row r="3761" spans="2:6" ht="17.25" customHeight="1">
      <c r="B3761" s="15"/>
      <c r="C3761" s="15"/>
      <c r="D3761" s="15"/>
      <c r="E3761" s="15"/>
      <c r="F3761" s="20"/>
    </row>
    <row r="3762" spans="2:6" ht="17.25" customHeight="1">
      <c r="B3762" s="15"/>
      <c r="C3762" s="15"/>
      <c r="D3762" s="15"/>
      <c r="E3762" s="15"/>
      <c r="F3762" s="20"/>
    </row>
    <row r="3763" spans="2:6" ht="17.25" customHeight="1">
      <c r="B3763" s="15"/>
      <c r="C3763" s="15"/>
      <c r="D3763" s="15"/>
      <c r="E3763" s="15"/>
      <c r="F3763" s="20"/>
    </row>
    <row r="3764" spans="2:6" ht="17.25" customHeight="1">
      <c r="B3764" s="15"/>
      <c r="C3764" s="15"/>
      <c r="D3764" s="15"/>
      <c r="E3764" s="15"/>
      <c r="F3764" s="20"/>
    </row>
    <row r="3765" spans="2:6" ht="17.25" customHeight="1">
      <c r="B3765" s="15"/>
      <c r="C3765" s="15"/>
      <c r="D3765" s="15"/>
      <c r="E3765" s="15"/>
      <c r="F3765" s="20"/>
    </row>
    <row r="3766" spans="2:6" ht="17.25" customHeight="1">
      <c r="B3766" s="15"/>
      <c r="C3766" s="15"/>
      <c r="D3766" s="15"/>
      <c r="E3766" s="15"/>
      <c r="F3766" s="20"/>
    </row>
    <row r="3767" spans="2:6" ht="17.25" customHeight="1">
      <c r="B3767" s="15"/>
      <c r="C3767" s="15"/>
      <c r="D3767" s="15"/>
      <c r="E3767" s="15"/>
      <c r="F3767" s="20"/>
    </row>
    <row r="3768" spans="2:6" ht="17.25" customHeight="1">
      <c r="B3768" s="15"/>
      <c r="C3768" s="15"/>
      <c r="D3768" s="15"/>
      <c r="E3768" s="15"/>
      <c r="F3768" s="20"/>
    </row>
    <row r="3769" spans="2:6" ht="17.25" customHeight="1">
      <c r="B3769" s="15"/>
      <c r="C3769" s="15"/>
      <c r="D3769" s="15"/>
      <c r="E3769" s="15"/>
      <c r="F3769" s="20"/>
    </row>
    <row r="3770" spans="2:6" ht="17.25" customHeight="1">
      <c r="B3770" s="15"/>
      <c r="C3770" s="15"/>
      <c r="D3770" s="15"/>
      <c r="E3770" s="15"/>
      <c r="F3770" s="20"/>
    </row>
    <row r="3771" spans="2:6" ht="17.25" customHeight="1">
      <c r="B3771" s="15"/>
      <c r="C3771" s="15"/>
      <c r="D3771" s="15"/>
      <c r="E3771" s="15"/>
      <c r="F3771" s="20"/>
    </row>
    <row r="3772" spans="2:6" ht="17.25" customHeight="1">
      <c r="B3772" s="15"/>
      <c r="C3772" s="15"/>
      <c r="D3772" s="15"/>
      <c r="E3772" s="15"/>
      <c r="F3772" s="20"/>
    </row>
    <row r="3773" spans="2:6" ht="17.25" customHeight="1">
      <c r="B3773" s="15"/>
      <c r="C3773" s="15"/>
      <c r="D3773" s="15"/>
      <c r="E3773" s="15"/>
      <c r="F3773" s="20"/>
    </row>
    <row r="3774" spans="2:6" ht="17.25" customHeight="1">
      <c r="B3774" s="15"/>
      <c r="C3774" s="15"/>
      <c r="D3774" s="15"/>
      <c r="E3774" s="15"/>
      <c r="F3774" s="20"/>
    </row>
    <row r="3775" spans="2:6" ht="17.25" customHeight="1">
      <c r="B3775" s="15"/>
      <c r="C3775" s="15"/>
      <c r="D3775" s="15"/>
      <c r="E3775" s="15"/>
      <c r="F3775" s="20"/>
    </row>
    <row r="3776" spans="2:6" ht="17.25" customHeight="1">
      <c r="B3776" s="15"/>
      <c r="C3776" s="15"/>
      <c r="D3776" s="15"/>
      <c r="E3776" s="15"/>
      <c r="F3776" s="20"/>
    </row>
    <row r="3777" spans="2:6" ht="17.25" customHeight="1">
      <c r="B3777" s="15"/>
      <c r="C3777" s="15"/>
      <c r="D3777" s="15"/>
      <c r="E3777" s="15"/>
      <c r="F3777" s="20"/>
    </row>
    <row r="3778" spans="2:6" ht="17.25" customHeight="1">
      <c r="B3778" s="15"/>
      <c r="C3778" s="15"/>
      <c r="D3778" s="15"/>
      <c r="E3778" s="15"/>
      <c r="F3778" s="20"/>
    </row>
    <row r="3779" spans="2:6" ht="17.25" customHeight="1">
      <c r="B3779" s="15"/>
      <c r="C3779" s="15"/>
      <c r="D3779" s="15"/>
      <c r="E3779" s="15"/>
      <c r="F3779" s="20"/>
    </row>
    <row r="3780" spans="2:6" ht="17.25" customHeight="1">
      <c r="B3780" s="15"/>
      <c r="C3780" s="15"/>
      <c r="D3780" s="15"/>
      <c r="E3780" s="15"/>
      <c r="F3780" s="20"/>
    </row>
    <row r="3781" spans="2:6" ht="17.25" customHeight="1">
      <c r="B3781" s="15"/>
      <c r="C3781" s="15"/>
      <c r="D3781" s="15"/>
      <c r="E3781" s="15"/>
      <c r="F3781" s="20"/>
    </row>
    <row r="3782" spans="2:6" ht="17.25" customHeight="1">
      <c r="B3782" s="15"/>
      <c r="C3782" s="15"/>
      <c r="D3782" s="15"/>
      <c r="E3782" s="15"/>
      <c r="F3782" s="20"/>
    </row>
    <row r="3783" spans="2:6" ht="17.25" customHeight="1">
      <c r="B3783" s="15"/>
      <c r="C3783" s="15"/>
      <c r="D3783" s="15"/>
      <c r="E3783" s="15"/>
      <c r="F3783" s="20"/>
    </row>
    <row r="3784" spans="2:6" ht="17.25" customHeight="1">
      <c r="B3784" s="15"/>
      <c r="C3784" s="15"/>
      <c r="D3784" s="15"/>
      <c r="E3784" s="15"/>
      <c r="F3784" s="20"/>
    </row>
    <row r="3785" spans="2:6" ht="17.25" customHeight="1">
      <c r="B3785" s="15"/>
      <c r="C3785" s="15"/>
      <c r="D3785" s="15"/>
      <c r="E3785" s="15"/>
      <c r="F3785" s="20"/>
    </row>
    <row r="3786" spans="2:6" ht="17.25" customHeight="1">
      <c r="B3786" s="15"/>
      <c r="C3786" s="15"/>
      <c r="D3786" s="15"/>
      <c r="E3786" s="15"/>
      <c r="F3786" s="20"/>
    </row>
    <row r="3787" spans="2:6" ht="17.25" customHeight="1">
      <c r="B3787" s="15"/>
      <c r="C3787" s="15"/>
      <c r="D3787" s="15"/>
      <c r="E3787" s="15"/>
      <c r="F3787" s="20"/>
    </row>
    <row r="3788" spans="2:6" ht="17.25" customHeight="1">
      <c r="B3788" s="15"/>
      <c r="C3788" s="15"/>
      <c r="D3788" s="15"/>
      <c r="E3788" s="15"/>
      <c r="F3788" s="20"/>
    </row>
    <row r="3789" spans="2:6" ht="17.25" customHeight="1">
      <c r="B3789" s="15"/>
      <c r="C3789" s="15"/>
      <c r="D3789" s="15"/>
      <c r="E3789" s="15"/>
      <c r="F3789" s="20"/>
    </row>
    <row r="3790" spans="2:6" ht="17.25" customHeight="1">
      <c r="B3790" s="15"/>
      <c r="C3790" s="15"/>
      <c r="D3790" s="15"/>
      <c r="E3790" s="15"/>
      <c r="F3790" s="20"/>
    </row>
    <row r="3791" spans="2:6" ht="17.25" customHeight="1">
      <c r="B3791" s="15"/>
      <c r="C3791" s="15"/>
      <c r="D3791" s="15"/>
      <c r="E3791" s="15"/>
      <c r="F3791" s="20"/>
    </row>
    <row r="3792" spans="2:6" ht="17.25" customHeight="1">
      <c r="B3792" s="15"/>
      <c r="C3792" s="15"/>
      <c r="D3792" s="15"/>
      <c r="E3792" s="15"/>
      <c r="F3792" s="20"/>
    </row>
    <row r="3793" spans="2:6" ht="17.25" customHeight="1">
      <c r="B3793" s="15"/>
      <c r="C3793" s="15"/>
      <c r="D3793" s="15"/>
      <c r="E3793" s="15"/>
      <c r="F3793" s="20"/>
    </row>
    <row r="3794" spans="2:6" ht="17.25" customHeight="1">
      <c r="B3794" s="15"/>
      <c r="C3794" s="15"/>
      <c r="D3794" s="15"/>
      <c r="E3794" s="15"/>
      <c r="F3794" s="20"/>
    </row>
    <row r="3795" spans="2:6" ht="17.25" customHeight="1">
      <c r="B3795" s="15"/>
      <c r="C3795" s="15"/>
      <c r="D3795" s="15"/>
      <c r="E3795" s="15"/>
      <c r="F3795" s="20"/>
    </row>
    <row r="3796" spans="2:6" ht="17.25" customHeight="1">
      <c r="B3796" s="15"/>
      <c r="C3796" s="15"/>
      <c r="D3796" s="15"/>
      <c r="E3796" s="15"/>
      <c r="F3796" s="20"/>
    </row>
    <row r="3797" spans="2:6" ht="17.25" customHeight="1">
      <c r="B3797" s="15"/>
      <c r="C3797" s="15"/>
      <c r="D3797" s="15"/>
      <c r="E3797" s="15"/>
      <c r="F3797" s="20"/>
    </row>
    <row r="3798" spans="2:6" ht="17.25" customHeight="1">
      <c r="B3798" s="15"/>
      <c r="C3798" s="15"/>
      <c r="D3798" s="15"/>
      <c r="E3798" s="15"/>
      <c r="F3798" s="20"/>
    </row>
    <row r="3799" spans="2:6" ht="17.25" customHeight="1">
      <c r="B3799" s="15"/>
      <c r="C3799" s="15"/>
      <c r="D3799" s="15"/>
      <c r="E3799" s="15"/>
      <c r="F3799" s="20"/>
    </row>
    <row r="3800" spans="2:6" ht="17.25" customHeight="1">
      <c r="B3800" s="15"/>
      <c r="C3800" s="15"/>
      <c r="D3800" s="15"/>
      <c r="E3800" s="15"/>
      <c r="F3800" s="20"/>
    </row>
    <row r="3801" spans="2:6" ht="17.25" customHeight="1">
      <c r="B3801" s="15"/>
      <c r="C3801" s="15"/>
      <c r="D3801" s="15"/>
      <c r="E3801" s="15"/>
      <c r="F3801" s="20"/>
    </row>
    <row r="3802" spans="2:6" ht="17.25" customHeight="1">
      <c r="B3802" s="15"/>
      <c r="C3802" s="15"/>
      <c r="D3802" s="15"/>
      <c r="E3802" s="15"/>
      <c r="F3802" s="20"/>
    </row>
    <row r="3803" spans="2:6" ht="17.25" customHeight="1">
      <c r="B3803" s="15"/>
      <c r="C3803" s="15"/>
      <c r="D3803" s="15"/>
      <c r="E3803" s="15"/>
      <c r="F3803" s="20"/>
    </row>
    <row r="3804" spans="2:6" ht="17.25" customHeight="1">
      <c r="B3804" s="15"/>
      <c r="C3804" s="15"/>
      <c r="D3804" s="15"/>
      <c r="E3804" s="15"/>
      <c r="F3804" s="20"/>
    </row>
    <row r="3805" spans="2:6" ht="17.25" customHeight="1">
      <c r="B3805" s="15"/>
      <c r="C3805" s="15"/>
      <c r="D3805" s="15"/>
      <c r="E3805" s="15"/>
      <c r="F3805" s="20"/>
    </row>
    <row r="3806" spans="2:6" ht="17.25" customHeight="1">
      <c r="B3806" s="15"/>
      <c r="C3806" s="15"/>
      <c r="D3806" s="15"/>
      <c r="E3806" s="15"/>
      <c r="F3806" s="20"/>
    </row>
    <row r="3807" spans="2:6" ht="17.25" customHeight="1">
      <c r="B3807" s="15"/>
      <c r="C3807" s="15"/>
      <c r="D3807" s="15"/>
      <c r="E3807" s="15"/>
      <c r="F3807" s="20"/>
    </row>
    <row r="3808" spans="2:6" ht="17.25" customHeight="1">
      <c r="B3808" s="15"/>
      <c r="C3808" s="15"/>
      <c r="D3808" s="15"/>
      <c r="E3808" s="15"/>
      <c r="F3808" s="20"/>
    </row>
    <row r="3809" spans="2:6" ht="17.25" customHeight="1">
      <c r="B3809" s="15"/>
      <c r="C3809" s="15"/>
      <c r="D3809" s="15"/>
      <c r="E3809" s="15"/>
      <c r="F3809" s="20"/>
    </row>
    <row r="3810" spans="2:6" ht="17.25" customHeight="1">
      <c r="B3810" s="15"/>
      <c r="C3810" s="15"/>
      <c r="D3810" s="15"/>
      <c r="E3810" s="15"/>
      <c r="F3810" s="20"/>
    </row>
    <row r="3811" spans="2:6" ht="17.25" customHeight="1">
      <c r="B3811" s="15"/>
      <c r="C3811" s="15"/>
      <c r="D3811" s="15"/>
      <c r="E3811" s="15"/>
      <c r="F3811" s="20"/>
    </row>
    <row r="3812" spans="2:6" ht="17.25" customHeight="1">
      <c r="B3812" s="15"/>
      <c r="C3812" s="15"/>
      <c r="D3812" s="15"/>
      <c r="E3812" s="15"/>
      <c r="F3812" s="20"/>
    </row>
    <row r="3813" spans="2:6" ht="17.25" customHeight="1">
      <c r="B3813" s="15"/>
      <c r="C3813" s="15"/>
      <c r="D3813" s="15"/>
      <c r="E3813" s="15"/>
      <c r="F3813" s="20"/>
    </row>
    <row r="3814" spans="2:6" ht="17.25" customHeight="1">
      <c r="B3814" s="15"/>
      <c r="C3814" s="15"/>
      <c r="D3814" s="15"/>
      <c r="E3814" s="15"/>
      <c r="F3814" s="20"/>
    </row>
    <row r="3815" spans="2:6" ht="17.25" customHeight="1">
      <c r="B3815" s="15"/>
      <c r="C3815" s="15"/>
      <c r="D3815" s="15"/>
      <c r="E3815" s="15"/>
      <c r="F3815" s="20"/>
    </row>
    <row r="3816" spans="2:6" ht="17.25" customHeight="1">
      <c r="B3816" s="15"/>
      <c r="C3816" s="15"/>
      <c r="D3816" s="15"/>
      <c r="E3816" s="15"/>
      <c r="F3816" s="20"/>
    </row>
    <row r="3817" spans="2:6" ht="17.25" customHeight="1">
      <c r="B3817" s="15"/>
      <c r="C3817" s="15"/>
      <c r="D3817" s="15"/>
      <c r="E3817" s="15"/>
      <c r="F3817" s="20"/>
    </row>
    <row r="3818" spans="2:6" ht="17.25" customHeight="1">
      <c r="B3818" s="15"/>
      <c r="C3818" s="15"/>
      <c r="D3818" s="15"/>
      <c r="E3818" s="15"/>
      <c r="F3818" s="20"/>
    </row>
    <row r="3819" spans="2:6" ht="17.25" customHeight="1">
      <c r="B3819" s="15"/>
      <c r="C3819" s="15"/>
      <c r="D3819" s="15"/>
      <c r="E3819" s="15"/>
      <c r="F3819" s="20"/>
    </row>
    <row r="3820" spans="2:6" ht="17.25" customHeight="1">
      <c r="B3820" s="15"/>
      <c r="C3820" s="15"/>
      <c r="D3820" s="15"/>
      <c r="E3820" s="15"/>
      <c r="F3820" s="20"/>
    </row>
    <row r="3821" spans="2:6" ht="17.25" customHeight="1">
      <c r="B3821" s="15"/>
      <c r="C3821" s="15"/>
      <c r="D3821" s="15"/>
      <c r="E3821" s="15"/>
      <c r="F3821" s="20"/>
    </row>
    <row r="3822" spans="2:6" ht="17.25" customHeight="1">
      <c r="B3822" s="15"/>
      <c r="C3822" s="15"/>
      <c r="D3822" s="15"/>
      <c r="E3822" s="15"/>
      <c r="F3822" s="20"/>
    </row>
    <row r="3823" spans="2:6" ht="17.25" customHeight="1">
      <c r="B3823" s="15"/>
      <c r="C3823" s="15"/>
      <c r="D3823" s="15"/>
      <c r="E3823" s="15"/>
      <c r="F3823" s="20"/>
    </row>
    <row r="3824" spans="2:6" ht="17.25" customHeight="1">
      <c r="B3824" s="15"/>
      <c r="C3824" s="15"/>
      <c r="D3824" s="15"/>
      <c r="E3824" s="15"/>
      <c r="F3824" s="20"/>
    </row>
    <row r="3825" spans="2:6" ht="17.25" customHeight="1">
      <c r="B3825" s="15"/>
      <c r="C3825" s="15"/>
      <c r="D3825" s="15"/>
      <c r="E3825" s="15"/>
      <c r="F3825" s="20"/>
    </row>
    <row r="3826" spans="2:6" ht="17.25" customHeight="1">
      <c r="B3826" s="15"/>
      <c r="C3826" s="15"/>
      <c r="D3826" s="15"/>
      <c r="E3826" s="15"/>
      <c r="F3826" s="20"/>
    </row>
    <row r="3827" spans="2:6" ht="17.25" customHeight="1">
      <c r="B3827" s="15"/>
      <c r="C3827" s="15"/>
      <c r="D3827" s="15"/>
      <c r="E3827" s="15"/>
      <c r="F3827" s="20"/>
    </row>
    <row r="3828" spans="2:6" ht="17.25" customHeight="1">
      <c r="B3828" s="15"/>
      <c r="C3828" s="15"/>
      <c r="D3828" s="15"/>
      <c r="E3828" s="15"/>
      <c r="F3828" s="20"/>
    </row>
    <row r="3829" spans="2:6" ht="17.25" customHeight="1">
      <c r="B3829" s="15"/>
      <c r="C3829" s="15"/>
      <c r="D3829" s="15"/>
      <c r="E3829" s="15"/>
      <c r="F3829" s="20"/>
    </row>
    <row r="3830" spans="2:6" ht="17.25" customHeight="1">
      <c r="B3830" s="15"/>
      <c r="C3830" s="15"/>
      <c r="D3830" s="15"/>
      <c r="E3830" s="15"/>
      <c r="F3830" s="20"/>
    </row>
    <row r="3831" spans="2:6" ht="17.25" customHeight="1">
      <c r="B3831" s="15"/>
      <c r="C3831" s="15"/>
      <c r="D3831" s="15"/>
      <c r="E3831" s="15"/>
      <c r="F3831" s="20"/>
    </row>
    <row r="3832" spans="2:6" ht="17.25" customHeight="1">
      <c r="B3832" s="15"/>
      <c r="C3832" s="15"/>
      <c r="D3832" s="15"/>
      <c r="E3832" s="15"/>
      <c r="F3832" s="20"/>
    </row>
    <row r="3833" spans="2:6" ht="17.25" customHeight="1">
      <c r="B3833" s="15"/>
      <c r="C3833" s="15"/>
      <c r="D3833" s="15"/>
      <c r="E3833" s="15"/>
      <c r="F3833" s="20"/>
    </row>
    <row r="3834" spans="2:6" ht="17.25" customHeight="1">
      <c r="B3834" s="15"/>
      <c r="C3834" s="15"/>
      <c r="D3834" s="15"/>
      <c r="E3834" s="15"/>
      <c r="F3834" s="20"/>
    </row>
    <row r="3835" spans="2:6" ht="17.25" customHeight="1">
      <c r="B3835" s="15"/>
      <c r="C3835" s="15"/>
      <c r="D3835" s="15"/>
      <c r="E3835" s="15"/>
      <c r="F3835" s="20"/>
    </row>
    <row r="3836" spans="2:6" ht="17.25" customHeight="1">
      <c r="B3836" s="15"/>
      <c r="C3836" s="15"/>
      <c r="D3836" s="15"/>
      <c r="E3836" s="15"/>
      <c r="F3836" s="20"/>
    </row>
    <row r="3837" spans="2:6" ht="17.25" customHeight="1">
      <c r="B3837" s="15"/>
      <c r="C3837" s="15"/>
      <c r="D3837" s="15"/>
      <c r="E3837" s="15"/>
      <c r="F3837" s="20"/>
    </row>
    <row r="3838" spans="2:6" ht="17.25" customHeight="1">
      <c r="B3838" s="15"/>
      <c r="C3838" s="15"/>
      <c r="D3838" s="15"/>
      <c r="E3838" s="15"/>
      <c r="F3838" s="20"/>
    </row>
    <row r="3839" spans="2:6" ht="17.25" customHeight="1">
      <c r="B3839" s="15"/>
      <c r="C3839" s="15"/>
      <c r="D3839" s="15"/>
      <c r="E3839" s="15"/>
      <c r="F3839" s="20"/>
    </row>
    <row r="3840" spans="2:6" ht="17.25" customHeight="1">
      <c r="B3840" s="15"/>
      <c r="C3840" s="15"/>
      <c r="D3840" s="15"/>
      <c r="E3840" s="15"/>
      <c r="F3840" s="20"/>
    </row>
    <row r="3841" spans="2:6" ht="17.25" customHeight="1">
      <c r="B3841" s="15"/>
      <c r="C3841" s="15"/>
      <c r="D3841" s="15"/>
      <c r="E3841" s="15"/>
      <c r="F3841" s="20"/>
    </row>
    <row r="3842" spans="2:6" ht="17.25" customHeight="1">
      <c r="B3842" s="15"/>
      <c r="C3842" s="15"/>
      <c r="D3842" s="15"/>
      <c r="E3842" s="15"/>
      <c r="F3842" s="20"/>
    </row>
    <row r="3843" spans="2:6" ht="17.25" customHeight="1">
      <c r="B3843" s="15"/>
      <c r="C3843" s="15"/>
      <c r="D3843" s="15"/>
      <c r="E3843" s="15"/>
      <c r="F3843" s="20"/>
    </row>
    <row r="3844" spans="2:6" ht="17.25" customHeight="1">
      <c r="B3844" s="15"/>
      <c r="C3844" s="15"/>
      <c r="D3844" s="15"/>
      <c r="E3844" s="15"/>
      <c r="F3844" s="20"/>
    </row>
    <row r="3845" spans="2:6" ht="17.25" customHeight="1">
      <c r="B3845" s="15"/>
      <c r="C3845" s="15"/>
      <c r="D3845" s="15"/>
      <c r="E3845" s="15"/>
      <c r="F3845" s="20"/>
    </row>
    <row r="3846" spans="2:6" ht="17.25" customHeight="1">
      <c r="B3846" s="15"/>
      <c r="C3846" s="15"/>
      <c r="D3846" s="15"/>
      <c r="E3846" s="15"/>
      <c r="F3846" s="20"/>
    </row>
    <row r="3847" spans="2:6" ht="17.25" customHeight="1">
      <c r="B3847" s="15"/>
      <c r="C3847" s="15"/>
      <c r="D3847" s="15"/>
      <c r="E3847" s="15"/>
      <c r="F3847" s="20"/>
    </row>
    <row r="3848" spans="2:6" ht="17.25" customHeight="1">
      <c r="B3848" s="15"/>
      <c r="C3848" s="15"/>
      <c r="D3848" s="15"/>
      <c r="E3848" s="15"/>
      <c r="F3848" s="20"/>
    </row>
    <row r="3849" spans="2:6" ht="17.25" customHeight="1">
      <c r="B3849" s="15"/>
      <c r="C3849" s="15"/>
      <c r="D3849" s="15"/>
      <c r="E3849" s="15"/>
      <c r="F3849" s="20"/>
    </row>
    <row r="3850" spans="2:6" ht="17.25" customHeight="1">
      <c r="B3850" s="15"/>
      <c r="C3850" s="15"/>
      <c r="D3850" s="15"/>
      <c r="E3850" s="15"/>
      <c r="F3850" s="20"/>
    </row>
    <row r="3851" spans="2:6" ht="17.25" customHeight="1">
      <c r="B3851" s="15"/>
      <c r="C3851" s="15"/>
      <c r="D3851" s="15"/>
      <c r="E3851" s="15"/>
      <c r="F3851" s="20"/>
    </row>
    <row r="3852" spans="2:6" ht="17.25" customHeight="1">
      <c r="B3852" s="15"/>
      <c r="C3852" s="15"/>
      <c r="D3852" s="15"/>
      <c r="E3852" s="15"/>
      <c r="F3852" s="20"/>
    </row>
    <row r="3853" spans="2:6" ht="17.25" customHeight="1">
      <c r="B3853" s="15"/>
      <c r="C3853" s="15"/>
      <c r="D3853" s="15"/>
      <c r="E3853" s="15"/>
      <c r="F3853" s="20"/>
    </row>
    <row r="3854" spans="2:6" ht="17.25" customHeight="1">
      <c r="B3854" s="15"/>
      <c r="C3854" s="15"/>
      <c r="D3854" s="15"/>
      <c r="E3854" s="15"/>
      <c r="F3854" s="20"/>
    </row>
    <row r="3855" spans="2:6" ht="17.25" customHeight="1">
      <c r="B3855" s="15"/>
      <c r="C3855" s="15"/>
      <c r="D3855" s="15"/>
      <c r="E3855" s="15"/>
      <c r="F3855" s="20"/>
    </row>
    <row r="3856" spans="2:6" ht="17.25" customHeight="1">
      <c r="B3856" s="15"/>
      <c r="C3856" s="15"/>
      <c r="D3856" s="15"/>
      <c r="E3856" s="15"/>
      <c r="F3856" s="20"/>
    </row>
    <row r="3857" spans="2:6" ht="17.25" customHeight="1">
      <c r="B3857" s="15"/>
      <c r="C3857" s="15"/>
      <c r="D3857" s="15"/>
      <c r="E3857" s="15"/>
      <c r="F3857" s="20"/>
    </row>
    <row r="3858" spans="2:6" ht="17.25" customHeight="1">
      <c r="B3858" s="15"/>
      <c r="C3858" s="15"/>
      <c r="D3858" s="15"/>
      <c r="E3858" s="15"/>
      <c r="F3858" s="20"/>
    </row>
    <row r="3859" spans="2:6" ht="17.25" customHeight="1">
      <c r="B3859" s="15"/>
      <c r="C3859" s="15"/>
      <c r="D3859" s="15"/>
      <c r="E3859" s="15"/>
      <c r="F3859" s="20"/>
    </row>
    <row r="3860" spans="2:6" ht="17.25" customHeight="1">
      <c r="B3860" s="15"/>
      <c r="C3860" s="15"/>
      <c r="D3860" s="15"/>
      <c r="E3860" s="15"/>
      <c r="F3860" s="20"/>
    </row>
    <row r="3861" spans="2:6" ht="17.25" customHeight="1">
      <c r="B3861" s="15"/>
      <c r="C3861" s="15"/>
      <c r="D3861" s="15"/>
      <c r="E3861" s="15"/>
      <c r="F3861" s="20"/>
    </row>
    <row r="3862" spans="2:6" ht="17.25" customHeight="1">
      <c r="B3862" s="15"/>
      <c r="C3862" s="15"/>
      <c r="D3862" s="15"/>
      <c r="E3862" s="15"/>
      <c r="F3862" s="20"/>
    </row>
    <row r="3863" spans="2:6" ht="17.25" customHeight="1">
      <c r="B3863" s="15"/>
      <c r="C3863" s="15"/>
      <c r="D3863" s="15"/>
      <c r="E3863" s="15"/>
      <c r="F3863" s="20"/>
    </row>
    <row r="3864" spans="2:6" ht="17.25" customHeight="1">
      <c r="B3864" s="15"/>
      <c r="C3864" s="15"/>
      <c r="D3864" s="15"/>
      <c r="E3864" s="15"/>
      <c r="F3864" s="20"/>
    </row>
    <row r="3865" spans="2:6" ht="17.25" customHeight="1">
      <c r="B3865" s="15"/>
      <c r="C3865" s="15"/>
      <c r="D3865" s="15"/>
      <c r="E3865" s="15"/>
      <c r="F3865" s="20"/>
    </row>
    <row r="3866" spans="2:6" ht="17.25" customHeight="1">
      <c r="B3866" s="15"/>
      <c r="C3866" s="15"/>
      <c r="D3866" s="15"/>
      <c r="E3866" s="15"/>
      <c r="F3866" s="20"/>
    </row>
    <row r="3867" spans="2:6" ht="17.25" customHeight="1">
      <c r="B3867" s="15"/>
      <c r="C3867" s="15"/>
      <c r="D3867" s="15"/>
      <c r="E3867" s="15"/>
      <c r="F3867" s="20"/>
    </row>
    <row r="3868" spans="2:6" ht="17.25" customHeight="1">
      <c r="B3868" s="15"/>
      <c r="C3868" s="15"/>
      <c r="D3868" s="15"/>
      <c r="E3868" s="15"/>
      <c r="F3868" s="20"/>
    </row>
    <row r="3869" spans="2:6" ht="17.25" customHeight="1">
      <c r="B3869" s="15"/>
      <c r="C3869" s="15"/>
      <c r="D3869" s="15"/>
      <c r="E3869" s="15"/>
      <c r="F3869" s="20"/>
    </row>
    <row r="3870" spans="2:6" ht="17.25" customHeight="1">
      <c r="B3870" s="15"/>
      <c r="C3870" s="15"/>
      <c r="D3870" s="15"/>
      <c r="E3870" s="15"/>
      <c r="F3870" s="20"/>
    </row>
    <row r="3871" spans="2:6" ht="17.25" customHeight="1">
      <c r="B3871" s="15"/>
      <c r="C3871" s="15"/>
      <c r="D3871" s="15"/>
      <c r="E3871" s="15"/>
      <c r="F3871" s="20"/>
    </row>
    <row r="3872" spans="2:6" ht="17.25" customHeight="1">
      <c r="B3872" s="15"/>
      <c r="C3872" s="15"/>
      <c r="D3872" s="15"/>
      <c r="E3872" s="15"/>
      <c r="F3872" s="20"/>
    </row>
    <row r="3873" spans="2:6" ht="17.25" customHeight="1">
      <c r="B3873" s="15"/>
      <c r="C3873" s="15"/>
      <c r="D3873" s="15"/>
      <c r="E3873" s="15"/>
      <c r="F3873" s="20"/>
    </row>
    <row r="3874" spans="2:6" ht="17.25" customHeight="1">
      <c r="B3874" s="15"/>
      <c r="C3874" s="15"/>
      <c r="D3874" s="15"/>
      <c r="E3874" s="15"/>
      <c r="F3874" s="20"/>
    </row>
    <row r="3875" spans="2:6" ht="17.25" customHeight="1">
      <c r="B3875" s="15"/>
      <c r="C3875" s="15"/>
      <c r="D3875" s="15"/>
      <c r="E3875" s="15"/>
      <c r="F3875" s="20"/>
    </row>
    <row r="3876" spans="2:6" ht="17.25" customHeight="1">
      <c r="B3876" s="15"/>
      <c r="C3876" s="15"/>
      <c r="D3876" s="15"/>
      <c r="E3876" s="15"/>
      <c r="F3876" s="20"/>
    </row>
    <row r="3877" spans="2:6" ht="17.25" customHeight="1">
      <c r="B3877" s="15"/>
      <c r="C3877" s="15"/>
      <c r="D3877" s="15"/>
      <c r="E3877" s="15"/>
      <c r="F3877" s="20"/>
    </row>
    <row r="3878" spans="2:6" ht="17.25" customHeight="1">
      <c r="B3878" s="15"/>
      <c r="C3878" s="15"/>
      <c r="D3878" s="15"/>
      <c r="E3878" s="15"/>
      <c r="F3878" s="20"/>
    </row>
    <row r="3879" spans="2:6" ht="17.25" customHeight="1">
      <c r="B3879" s="15"/>
      <c r="C3879" s="15"/>
      <c r="D3879" s="15"/>
      <c r="E3879" s="15"/>
      <c r="F3879" s="20"/>
    </row>
    <row r="3880" spans="2:6" ht="17.25" customHeight="1">
      <c r="B3880" s="15"/>
      <c r="C3880" s="15"/>
      <c r="D3880" s="15"/>
      <c r="E3880" s="15"/>
      <c r="F3880" s="20"/>
    </row>
    <row r="3881" spans="2:6" ht="17.25" customHeight="1">
      <c r="B3881" s="15"/>
      <c r="C3881" s="15"/>
      <c r="D3881" s="15"/>
      <c r="E3881" s="15"/>
      <c r="F3881" s="20"/>
    </row>
    <row r="3882" spans="2:6" ht="17.25" customHeight="1">
      <c r="B3882" s="15"/>
      <c r="C3882" s="15"/>
      <c r="D3882" s="15"/>
      <c r="E3882" s="15"/>
      <c r="F3882" s="20"/>
    </row>
    <row r="3883" spans="2:6" ht="17.25" customHeight="1">
      <c r="B3883" s="15"/>
      <c r="C3883" s="15"/>
      <c r="D3883" s="15"/>
      <c r="E3883" s="15"/>
      <c r="F3883" s="20"/>
    </row>
    <row r="3884" spans="2:6" ht="17.25" customHeight="1">
      <c r="B3884" s="15"/>
      <c r="C3884" s="15"/>
      <c r="D3884" s="15"/>
      <c r="E3884" s="15"/>
      <c r="F3884" s="20"/>
    </row>
    <row r="3885" spans="2:6" ht="17.25" customHeight="1">
      <c r="B3885" s="15"/>
      <c r="C3885" s="15"/>
      <c r="D3885" s="15"/>
      <c r="E3885" s="15"/>
      <c r="F3885" s="20"/>
    </row>
    <row r="3886" spans="2:6" ht="17.25" customHeight="1">
      <c r="B3886" s="15"/>
      <c r="C3886" s="15"/>
      <c r="D3886" s="15"/>
      <c r="E3886" s="15"/>
      <c r="F3886" s="20"/>
    </row>
    <row r="3887" spans="2:6" ht="17.25" customHeight="1">
      <c r="B3887" s="15"/>
      <c r="C3887" s="15"/>
      <c r="D3887" s="15"/>
      <c r="E3887" s="15"/>
      <c r="F3887" s="20"/>
    </row>
    <row r="3888" spans="2:6" ht="17.25" customHeight="1">
      <c r="B3888" s="15"/>
      <c r="C3888" s="15"/>
      <c r="D3888" s="15"/>
      <c r="E3888" s="15"/>
      <c r="F3888" s="20"/>
    </row>
    <row r="3889" spans="2:6" ht="17.25" customHeight="1">
      <c r="B3889" s="15"/>
      <c r="C3889" s="15"/>
      <c r="D3889" s="15"/>
      <c r="E3889" s="15"/>
      <c r="F3889" s="20"/>
    </row>
    <row r="3890" spans="2:6" ht="17.25" customHeight="1">
      <c r="B3890" s="15"/>
      <c r="C3890" s="15"/>
      <c r="D3890" s="15"/>
      <c r="E3890" s="15"/>
      <c r="F3890" s="20"/>
    </row>
    <row r="3891" spans="2:6" ht="17.25" customHeight="1">
      <c r="B3891" s="15"/>
      <c r="C3891" s="15"/>
      <c r="D3891" s="15"/>
      <c r="E3891" s="15"/>
      <c r="F3891" s="20"/>
    </row>
    <row r="3892" spans="2:6" ht="17.25" customHeight="1">
      <c r="B3892" s="15"/>
      <c r="C3892" s="15"/>
      <c r="D3892" s="15"/>
      <c r="E3892" s="15"/>
      <c r="F3892" s="20"/>
    </row>
    <row r="3893" spans="2:6" ht="17.25" customHeight="1">
      <c r="B3893" s="15"/>
      <c r="C3893" s="15"/>
      <c r="D3893" s="15"/>
      <c r="E3893" s="15"/>
      <c r="F3893" s="20"/>
    </row>
    <row r="3894" spans="2:6" ht="17.25" customHeight="1">
      <c r="B3894" s="15"/>
      <c r="C3894" s="15"/>
      <c r="D3894" s="15"/>
      <c r="E3894" s="15"/>
      <c r="F3894" s="20"/>
    </row>
    <row r="3895" spans="2:6" ht="17.25" customHeight="1">
      <c r="B3895" s="15"/>
      <c r="C3895" s="15"/>
      <c r="D3895" s="15"/>
      <c r="E3895" s="15"/>
      <c r="F3895" s="20"/>
    </row>
    <row r="3896" spans="2:6" ht="17.25" customHeight="1">
      <c r="B3896" s="15"/>
      <c r="C3896" s="15"/>
      <c r="D3896" s="15"/>
      <c r="E3896" s="15"/>
      <c r="F3896" s="20"/>
    </row>
    <row r="3897" spans="2:6" ht="17.25" customHeight="1">
      <c r="B3897" s="15"/>
      <c r="C3897" s="15"/>
      <c r="D3897" s="15"/>
      <c r="E3897" s="15"/>
      <c r="F3897" s="20"/>
    </row>
    <row r="3898" spans="2:6" ht="17.25" customHeight="1">
      <c r="B3898" s="15"/>
      <c r="C3898" s="15"/>
      <c r="D3898" s="15"/>
      <c r="E3898" s="15"/>
      <c r="F3898" s="20"/>
    </row>
    <row r="3899" spans="2:6" ht="17.25" customHeight="1">
      <c r="B3899" s="15"/>
      <c r="C3899" s="15"/>
      <c r="D3899" s="15"/>
      <c r="E3899" s="15"/>
      <c r="F3899" s="20"/>
    </row>
    <row r="3900" spans="2:6" ht="17.25" customHeight="1">
      <c r="B3900" s="15"/>
      <c r="C3900" s="15"/>
      <c r="D3900" s="15"/>
      <c r="E3900" s="15"/>
      <c r="F3900" s="20"/>
    </row>
    <row r="3901" spans="2:6" ht="17.25" customHeight="1">
      <c r="B3901" s="15"/>
      <c r="C3901" s="15"/>
      <c r="D3901" s="15"/>
      <c r="E3901" s="15"/>
      <c r="F3901" s="20"/>
    </row>
    <row r="3902" spans="2:6" ht="17.25" customHeight="1">
      <c r="B3902" s="15"/>
      <c r="C3902" s="15"/>
      <c r="D3902" s="15"/>
      <c r="E3902" s="15"/>
      <c r="F3902" s="20"/>
    </row>
    <row r="3903" spans="2:6" ht="17.25" customHeight="1">
      <c r="B3903" s="15"/>
      <c r="C3903" s="15"/>
      <c r="D3903" s="15"/>
      <c r="E3903" s="15"/>
      <c r="F3903" s="20"/>
    </row>
    <row r="3904" spans="2:6" ht="17.25" customHeight="1">
      <c r="B3904" s="15"/>
      <c r="C3904" s="15"/>
      <c r="D3904" s="15"/>
      <c r="E3904" s="15"/>
      <c r="F3904" s="20"/>
    </row>
    <row r="3905" spans="2:6" ht="17.25" customHeight="1">
      <c r="B3905" s="15"/>
      <c r="C3905" s="15"/>
      <c r="D3905" s="15"/>
      <c r="E3905" s="15"/>
      <c r="F3905" s="20"/>
    </row>
    <row r="3906" spans="2:6" ht="17.25" customHeight="1">
      <c r="B3906" s="15"/>
      <c r="C3906" s="15"/>
      <c r="D3906" s="15"/>
      <c r="E3906" s="15"/>
      <c r="F3906" s="20"/>
    </row>
    <row r="3907" spans="2:6" ht="17.25" customHeight="1">
      <c r="B3907" s="15"/>
      <c r="C3907" s="15"/>
      <c r="D3907" s="15"/>
      <c r="E3907" s="15"/>
      <c r="F3907" s="20"/>
    </row>
    <row r="3908" spans="2:6" ht="17.25" customHeight="1">
      <c r="B3908" s="15"/>
      <c r="C3908" s="15"/>
      <c r="D3908" s="15"/>
      <c r="E3908" s="15"/>
      <c r="F3908" s="20"/>
    </row>
    <row r="3909" spans="2:6" ht="17.25" customHeight="1">
      <c r="B3909" s="15"/>
      <c r="C3909" s="15"/>
      <c r="D3909" s="15"/>
      <c r="E3909" s="15"/>
      <c r="F3909" s="20"/>
    </row>
    <row r="3910" spans="2:6" ht="17.25" customHeight="1">
      <c r="B3910" s="15"/>
      <c r="C3910" s="15"/>
      <c r="D3910" s="15"/>
      <c r="E3910" s="15"/>
      <c r="F3910" s="20"/>
    </row>
    <row r="3911" spans="2:6" ht="17.25" customHeight="1">
      <c r="B3911" s="15"/>
      <c r="C3911" s="15"/>
      <c r="D3911" s="15"/>
      <c r="E3911" s="15"/>
      <c r="F3911" s="20"/>
    </row>
    <row r="3912" spans="2:6" ht="17.25" customHeight="1">
      <c r="B3912" s="15"/>
      <c r="C3912" s="15"/>
      <c r="D3912" s="15"/>
      <c r="E3912" s="15"/>
      <c r="F3912" s="20"/>
    </row>
    <row r="3913" spans="2:6" ht="17.25" customHeight="1">
      <c r="B3913" s="15"/>
      <c r="C3913" s="15"/>
      <c r="D3913" s="15"/>
      <c r="E3913" s="15"/>
      <c r="F3913" s="20"/>
    </row>
    <row r="3914" spans="2:6" ht="17.25" customHeight="1">
      <c r="B3914" s="15"/>
      <c r="C3914" s="15"/>
      <c r="D3914" s="15"/>
      <c r="E3914" s="15"/>
      <c r="F3914" s="20"/>
    </row>
    <row r="3915" spans="2:6" ht="17.25" customHeight="1">
      <c r="B3915" s="15"/>
      <c r="C3915" s="15"/>
      <c r="D3915" s="15"/>
      <c r="E3915" s="15"/>
      <c r="F3915" s="20"/>
    </row>
    <row r="3916" spans="2:6" ht="17.25" customHeight="1">
      <c r="B3916" s="15"/>
      <c r="C3916" s="15"/>
      <c r="D3916" s="15"/>
      <c r="E3916" s="15"/>
      <c r="F3916" s="20"/>
    </row>
    <row r="3917" spans="2:6" ht="17.25" customHeight="1">
      <c r="B3917" s="15"/>
      <c r="C3917" s="15"/>
      <c r="D3917" s="15"/>
      <c r="E3917" s="15"/>
      <c r="F3917" s="20"/>
    </row>
    <row r="3918" spans="2:6" ht="17.25" customHeight="1">
      <c r="B3918" s="15"/>
      <c r="C3918" s="15"/>
      <c r="D3918" s="15"/>
      <c r="E3918" s="15"/>
      <c r="F3918" s="20"/>
    </row>
    <row r="3919" spans="2:6" ht="17.25" customHeight="1">
      <c r="B3919" s="15"/>
      <c r="C3919" s="15"/>
      <c r="D3919" s="15"/>
      <c r="E3919" s="15"/>
      <c r="F3919" s="20"/>
    </row>
    <row r="3920" spans="2:6" ht="17.25" customHeight="1">
      <c r="B3920" s="15"/>
      <c r="C3920" s="15"/>
      <c r="D3920" s="15"/>
      <c r="E3920" s="15"/>
      <c r="F3920" s="20"/>
    </row>
    <row r="3921" spans="2:6" ht="17.25" customHeight="1">
      <c r="B3921" s="15"/>
      <c r="C3921" s="15"/>
      <c r="D3921" s="15"/>
      <c r="E3921" s="15"/>
      <c r="F3921" s="20"/>
    </row>
    <row r="3922" spans="2:6" ht="17.25" customHeight="1">
      <c r="B3922" s="15"/>
      <c r="C3922" s="15"/>
      <c r="D3922" s="15"/>
      <c r="E3922" s="15"/>
      <c r="F3922" s="20"/>
    </row>
    <row r="3923" spans="2:6" ht="17.25" customHeight="1">
      <c r="B3923" s="15"/>
      <c r="C3923" s="15"/>
      <c r="D3923" s="15"/>
      <c r="E3923" s="15"/>
      <c r="F3923" s="20"/>
    </row>
    <row r="3924" spans="2:6" ht="17.25" customHeight="1">
      <c r="B3924" s="15"/>
      <c r="C3924" s="15"/>
      <c r="D3924" s="15"/>
      <c r="E3924" s="15"/>
      <c r="F3924" s="20"/>
    </row>
    <row r="3925" spans="2:6" ht="17.25" customHeight="1">
      <c r="B3925" s="15"/>
      <c r="C3925" s="15"/>
      <c r="D3925" s="15"/>
      <c r="E3925" s="15"/>
      <c r="F3925" s="20"/>
    </row>
    <row r="3926" spans="2:6" ht="17.25" customHeight="1">
      <c r="B3926" s="15"/>
      <c r="C3926" s="15"/>
      <c r="D3926" s="15"/>
      <c r="E3926" s="15"/>
      <c r="F3926" s="20"/>
    </row>
    <row r="3927" spans="2:6" ht="17.25" customHeight="1">
      <c r="B3927" s="15"/>
      <c r="C3927" s="15"/>
      <c r="D3927" s="15"/>
      <c r="E3927" s="15"/>
      <c r="F3927" s="20"/>
    </row>
    <row r="3928" spans="2:6" ht="17.25" customHeight="1">
      <c r="B3928" s="15"/>
      <c r="C3928" s="15"/>
      <c r="D3928" s="15"/>
      <c r="E3928" s="15"/>
      <c r="F3928" s="20"/>
    </row>
    <row r="3929" spans="2:6" ht="17.25" customHeight="1">
      <c r="B3929" s="15"/>
      <c r="C3929" s="15"/>
      <c r="D3929" s="15"/>
      <c r="E3929" s="15"/>
      <c r="F3929" s="20"/>
    </row>
    <row r="3930" spans="2:6" ht="17.25" customHeight="1">
      <c r="B3930" s="15"/>
      <c r="C3930" s="15"/>
      <c r="D3930" s="15"/>
      <c r="E3930" s="15"/>
      <c r="F3930" s="20"/>
    </row>
    <row r="3931" spans="2:6" ht="17.25" customHeight="1">
      <c r="B3931" s="15"/>
      <c r="C3931" s="15"/>
      <c r="D3931" s="15"/>
      <c r="E3931" s="15"/>
      <c r="F3931" s="20"/>
    </row>
    <row r="3932" spans="2:6" ht="17.25" customHeight="1">
      <c r="B3932" s="15"/>
      <c r="C3932" s="15"/>
      <c r="D3932" s="15"/>
      <c r="E3932" s="15"/>
      <c r="F3932" s="20"/>
    </row>
    <row r="3933" spans="2:6" ht="17.25" customHeight="1">
      <c r="B3933" s="15"/>
      <c r="C3933" s="15"/>
      <c r="D3933" s="15"/>
      <c r="E3933" s="15"/>
      <c r="F3933" s="20"/>
    </row>
    <row r="3934" spans="2:6" ht="17.25" customHeight="1">
      <c r="B3934" s="15"/>
      <c r="C3934" s="15"/>
      <c r="D3934" s="15"/>
      <c r="E3934" s="15"/>
      <c r="F3934" s="20"/>
    </row>
    <row r="3935" spans="2:6" ht="17.25" customHeight="1">
      <c r="B3935" s="15"/>
      <c r="C3935" s="15"/>
      <c r="D3935" s="15"/>
      <c r="E3935" s="15"/>
      <c r="F3935" s="20"/>
    </row>
    <row r="3936" spans="2:6" ht="17.25" customHeight="1">
      <c r="B3936" s="15"/>
      <c r="C3936" s="15"/>
      <c r="D3936" s="15"/>
      <c r="E3936" s="15"/>
      <c r="F3936" s="20"/>
    </row>
    <row r="3937" spans="2:6" ht="17.25" customHeight="1">
      <c r="B3937" s="15"/>
      <c r="C3937" s="15"/>
      <c r="D3937" s="15"/>
      <c r="E3937" s="15"/>
      <c r="F3937" s="20"/>
    </row>
    <row r="3938" spans="2:6" ht="17.25" customHeight="1">
      <c r="B3938" s="15"/>
      <c r="C3938" s="15"/>
      <c r="D3938" s="15"/>
      <c r="E3938" s="15"/>
      <c r="F3938" s="20"/>
    </row>
    <row r="3939" spans="2:6" ht="17.25" customHeight="1">
      <c r="B3939" s="15"/>
      <c r="C3939" s="15"/>
      <c r="D3939" s="15"/>
      <c r="E3939" s="15"/>
      <c r="F3939" s="20"/>
    </row>
    <row r="3940" spans="2:6" ht="17.25" customHeight="1">
      <c r="B3940" s="15"/>
      <c r="C3940" s="15"/>
      <c r="D3940" s="15"/>
      <c r="E3940" s="15"/>
      <c r="F3940" s="20"/>
    </row>
    <row r="3941" spans="2:6" ht="17.25" customHeight="1">
      <c r="B3941" s="15"/>
      <c r="C3941" s="15"/>
      <c r="D3941" s="15"/>
      <c r="E3941" s="15"/>
      <c r="F3941" s="20"/>
    </row>
    <row r="3942" spans="2:6" ht="17.25" customHeight="1">
      <c r="B3942" s="15"/>
      <c r="C3942" s="15"/>
      <c r="D3942" s="15"/>
      <c r="E3942" s="15"/>
      <c r="F3942" s="20"/>
    </row>
    <row r="3943" spans="2:6" ht="17.25" customHeight="1">
      <c r="B3943" s="15"/>
      <c r="C3943" s="15"/>
      <c r="D3943" s="15"/>
      <c r="E3943" s="15"/>
      <c r="F3943" s="20"/>
    </row>
    <row r="3944" spans="2:6" ht="17.25" customHeight="1">
      <c r="B3944" s="15"/>
      <c r="C3944" s="15"/>
      <c r="D3944" s="15"/>
      <c r="E3944" s="15"/>
      <c r="F3944" s="20"/>
    </row>
    <row r="3945" spans="2:6" ht="17.25" customHeight="1">
      <c r="B3945" s="15"/>
      <c r="C3945" s="15"/>
      <c r="D3945" s="15"/>
      <c r="E3945" s="15"/>
      <c r="F3945" s="20"/>
    </row>
    <row r="3946" spans="2:6" ht="17.25" customHeight="1">
      <c r="B3946" s="15"/>
      <c r="C3946" s="15"/>
      <c r="D3946" s="15"/>
      <c r="E3946" s="15"/>
      <c r="F3946" s="20"/>
    </row>
    <row r="3947" spans="2:6" ht="17.25" customHeight="1">
      <c r="B3947" s="15"/>
      <c r="C3947" s="15"/>
      <c r="D3947" s="15"/>
      <c r="E3947" s="15"/>
      <c r="F3947" s="20"/>
    </row>
    <row r="3948" spans="2:6" ht="17.25" customHeight="1">
      <c r="B3948" s="15"/>
      <c r="C3948" s="15"/>
      <c r="D3948" s="15"/>
      <c r="E3948" s="15"/>
      <c r="F3948" s="20"/>
    </row>
    <row r="3949" spans="2:6" ht="17.25" customHeight="1">
      <c r="B3949" s="15"/>
      <c r="C3949" s="15"/>
      <c r="D3949" s="15"/>
      <c r="E3949" s="15"/>
      <c r="F3949" s="20"/>
    </row>
    <row r="3950" spans="2:6" ht="17.25" customHeight="1">
      <c r="B3950" s="15"/>
      <c r="C3950" s="15"/>
      <c r="D3950" s="15"/>
      <c r="E3950" s="15"/>
      <c r="F3950" s="20"/>
    </row>
    <row r="3951" spans="2:6" ht="17.25" customHeight="1">
      <c r="B3951" s="15"/>
      <c r="C3951" s="15"/>
      <c r="D3951" s="15"/>
      <c r="E3951" s="15"/>
      <c r="F3951" s="20"/>
    </row>
    <row r="3952" spans="2:6" ht="17.25" customHeight="1">
      <c r="B3952" s="15"/>
      <c r="C3952" s="15"/>
      <c r="D3952" s="15"/>
      <c r="E3952" s="15"/>
      <c r="F3952" s="20"/>
    </row>
    <row r="3953" spans="2:6" ht="17.25" customHeight="1">
      <c r="B3953" s="15"/>
      <c r="C3953" s="15"/>
      <c r="D3953" s="15"/>
      <c r="E3953" s="15"/>
      <c r="F3953" s="20"/>
    </row>
    <row r="3954" spans="2:6" ht="17.25" customHeight="1">
      <c r="B3954" s="15"/>
      <c r="C3954" s="15"/>
      <c r="D3954" s="15"/>
      <c r="E3954" s="15"/>
      <c r="F3954" s="20"/>
    </row>
    <row r="3955" spans="2:6" ht="17.25" customHeight="1">
      <c r="B3955" s="15"/>
      <c r="C3955" s="15"/>
      <c r="D3955" s="15"/>
      <c r="E3955" s="15"/>
      <c r="F3955" s="20"/>
    </row>
    <row r="3956" spans="2:6" ht="17.25" customHeight="1">
      <c r="B3956" s="15"/>
      <c r="C3956" s="15"/>
      <c r="D3956" s="15"/>
      <c r="E3956" s="15"/>
      <c r="F3956" s="20"/>
    </row>
    <row r="3957" spans="2:6" ht="17.25" customHeight="1">
      <c r="B3957" s="15"/>
      <c r="C3957" s="15"/>
      <c r="D3957" s="15"/>
      <c r="E3957" s="15"/>
      <c r="F3957" s="20"/>
    </row>
    <row r="3958" spans="2:6" ht="17.25" customHeight="1">
      <c r="B3958" s="15"/>
      <c r="C3958" s="15"/>
      <c r="D3958" s="15"/>
      <c r="E3958" s="15"/>
      <c r="F3958" s="20"/>
    </row>
    <row r="3959" spans="2:6" ht="17.25" customHeight="1">
      <c r="B3959" s="15"/>
      <c r="C3959" s="15"/>
      <c r="D3959" s="15"/>
      <c r="E3959" s="15"/>
      <c r="F3959" s="20"/>
    </row>
    <row r="3960" spans="2:6" ht="17.25" customHeight="1">
      <c r="B3960" s="15"/>
      <c r="C3960" s="15"/>
      <c r="D3960" s="15"/>
      <c r="E3960" s="15"/>
      <c r="F3960" s="20"/>
    </row>
    <row r="3961" spans="2:6" ht="17.25" customHeight="1">
      <c r="B3961" s="15"/>
      <c r="C3961" s="15"/>
      <c r="D3961" s="15"/>
      <c r="E3961" s="15"/>
      <c r="F3961" s="20"/>
    </row>
    <row r="3962" spans="2:6" ht="17.25" customHeight="1">
      <c r="B3962" s="15"/>
      <c r="C3962" s="15"/>
      <c r="D3962" s="15"/>
      <c r="E3962" s="15"/>
      <c r="F3962" s="20"/>
    </row>
    <row r="3963" spans="2:6" ht="17.25" customHeight="1">
      <c r="B3963" s="15"/>
      <c r="C3963" s="15"/>
      <c r="D3963" s="15"/>
      <c r="E3963" s="15"/>
      <c r="F3963" s="20"/>
    </row>
    <row r="3964" spans="2:6" ht="17.25" customHeight="1">
      <c r="B3964" s="15"/>
      <c r="C3964" s="15"/>
      <c r="D3964" s="15"/>
      <c r="E3964" s="15"/>
      <c r="F3964" s="20"/>
    </row>
    <row r="3965" spans="2:6" ht="17.25" customHeight="1">
      <c r="B3965" s="15"/>
      <c r="C3965" s="15"/>
      <c r="D3965" s="15"/>
      <c r="E3965" s="15"/>
      <c r="F3965" s="20"/>
    </row>
    <row r="3966" spans="2:6" ht="17.25" customHeight="1">
      <c r="B3966" s="15"/>
      <c r="C3966" s="15"/>
      <c r="D3966" s="15"/>
      <c r="E3966" s="15"/>
      <c r="F3966" s="20"/>
    </row>
    <row r="3967" spans="2:6" ht="17.25" customHeight="1">
      <c r="B3967" s="15"/>
      <c r="C3967" s="15"/>
      <c r="D3967" s="15"/>
      <c r="E3967" s="15"/>
      <c r="F3967" s="20"/>
    </row>
    <row r="3968" spans="2:6" ht="17.25" customHeight="1">
      <c r="B3968" s="15"/>
      <c r="C3968" s="15"/>
      <c r="D3968" s="15"/>
      <c r="E3968" s="15"/>
      <c r="F3968" s="20"/>
    </row>
    <row r="3969" spans="2:6" ht="17.25" customHeight="1">
      <c r="B3969" s="15"/>
      <c r="C3969" s="15"/>
      <c r="D3969" s="15"/>
      <c r="E3969" s="15"/>
      <c r="F3969" s="20"/>
    </row>
    <row r="3970" spans="2:6" ht="17.25" customHeight="1">
      <c r="B3970" s="15"/>
      <c r="C3970" s="15"/>
      <c r="D3970" s="15"/>
      <c r="E3970" s="15"/>
      <c r="F3970" s="20"/>
    </row>
    <row r="3971" spans="2:6" ht="17.25" customHeight="1">
      <c r="B3971" s="15"/>
      <c r="C3971" s="15"/>
      <c r="D3971" s="15"/>
      <c r="E3971" s="15"/>
      <c r="F3971" s="20"/>
    </row>
    <row r="3972" spans="2:6" ht="17.25" customHeight="1">
      <c r="B3972" s="15"/>
      <c r="C3972" s="15"/>
      <c r="D3972" s="15"/>
      <c r="E3972" s="15"/>
      <c r="F3972" s="20"/>
    </row>
    <row r="3973" spans="2:6" ht="17.25" customHeight="1">
      <c r="B3973" s="15"/>
      <c r="C3973" s="15"/>
      <c r="D3973" s="15"/>
      <c r="E3973" s="15"/>
      <c r="F3973" s="20"/>
    </row>
    <row r="3974" spans="2:6" ht="17.25" customHeight="1">
      <c r="B3974" s="15"/>
      <c r="C3974" s="15"/>
      <c r="D3974" s="15"/>
      <c r="E3974" s="15"/>
      <c r="F3974" s="20"/>
    </row>
    <row r="3975" spans="2:6" ht="17.25" customHeight="1">
      <c r="B3975" s="15"/>
      <c r="C3975" s="15"/>
      <c r="D3975" s="15"/>
      <c r="E3975" s="15"/>
      <c r="F3975" s="20"/>
    </row>
    <row r="3976" spans="2:6" ht="17.25" customHeight="1">
      <c r="B3976" s="15"/>
      <c r="C3976" s="15"/>
      <c r="D3976" s="15"/>
      <c r="E3976" s="15"/>
      <c r="F3976" s="20"/>
    </row>
    <row r="3977" spans="2:6" ht="17.25" customHeight="1">
      <c r="B3977" s="15"/>
      <c r="C3977" s="15"/>
      <c r="D3977" s="15"/>
      <c r="E3977" s="15"/>
      <c r="F3977" s="20"/>
    </row>
    <row r="3978" spans="2:6" ht="17.25" customHeight="1">
      <c r="B3978" s="15"/>
      <c r="C3978" s="15"/>
      <c r="D3978" s="15"/>
      <c r="E3978" s="15"/>
      <c r="F3978" s="20"/>
    </row>
    <row r="3979" spans="2:6" ht="17.25" customHeight="1">
      <c r="B3979" s="15"/>
      <c r="C3979" s="15"/>
      <c r="D3979" s="15"/>
      <c r="E3979" s="15"/>
      <c r="F3979" s="20"/>
    </row>
    <row r="3980" spans="2:6" ht="17.25" customHeight="1">
      <c r="B3980" s="15"/>
      <c r="C3980" s="15"/>
      <c r="D3980" s="15"/>
      <c r="E3980" s="15"/>
      <c r="F3980" s="20"/>
    </row>
    <row r="3981" spans="2:6" ht="17.25" customHeight="1">
      <c r="B3981" s="15"/>
      <c r="C3981" s="15"/>
      <c r="D3981" s="15"/>
      <c r="E3981" s="15"/>
      <c r="F3981" s="20"/>
    </row>
    <row r="3982" spans="2:6" ht="17.25" customHeight="1">
      <c r="B3982" s="15"/>
      <c r="C3982" s="15"/>
      <c r="D3982" s="15"/>
      <c r="E3982" s="15"/>
      <c r="F3982" s="20"/>
    </row>
    <row r="3983" spans="2:6" ht="17.25" customHeight="1">
      <c r="B3983" s="15"/>
      <c r="C3983" s="15"/>
      <c r="D3983" s="15"/>
      <c r="E3983" s="15"/>
      <c r="F3983" s="20"/>
    </row>
    <row r="3984" spans="2:6" ht="17.25" customHeight="1">
      <c r="B3984" s="15"/>
      <c r="C3984" s="15"/>
      <c r="D3984" s="15"/>
      <c r="E3984" s="15"/>
      <c r="F3984" s="20"/>
    </row>
    <row r="3985" spans="2:6" ht="17.25" customHeight="1">
      <c r="B3985" s="15"/>
      <c r="C3985" s="15"/>
      <c r="D3985" s="15"/>
      <c r="E3985" s="15"/>
      <c r="F3985" s="20"/>
    </row>
    <row r="3986" spans="2:6" ht="17.25" customHeight="1">
      <c r="B3986" s="15"/>
      <c r="C3986" s="15"/>
      <c r="D3986" s="15"/>
      <c r="E3986" s="15"/>
      <c r="F3986" s="20"/>
    </row>
    <row r="3987" spans="2:6" ht="17.25" customHeight="1">
      <c r="B3987" s="15"/>
      <c r="C3987" s="15"/>
      <c r="D3987" s="15"/>
      <c r="E3987" s="15"/>
      <c r="F3987" s="20"/>
    </row>
    <row r="3988" spans="2:6" ht="17.25" customHeight="1">
      <c r="B3988" s="15"/>
      <c r="C3988" s="15"/>
      <c r="D3988" s="15"/>
      <c r="E3988" s="15"/>
      <c r="F3988" s="20"/>
    </row>
    <row r="3989" spans="2:6" ht="17.25" customHeight="1">
      <c r="B3989" s="15"/>
      <c r="C3989" s="15"/>
      <c r="D3989" s="15"/>
      <c r="E3989" s="15"/>
      <c r="F3989" s="20"/>
    </row>
    <row r="3990" spans="2:6" ht="17.25" customHeight="1">
      <c r="B3990" s="15"/>
      <c r="C3990" s="15"/>
      <c r="D3990" s="15"/>
      <c r="E3990" s="15"/>
      <c r="F3990" s="20"/>
    </row>
    <row r="3991" spans="2:6" ht="17.25" customHeight="1">
      <c r="B3991" s="15"/>
      <c r="C3991" s="15"/>
      <c r="D3991" s="15"/>
      <c r="E3991" s="15"/>
      <c r="F3991" s="20"/>
    </row>
    <row r="3992" spans="2:6" ht="17.25" customHeight="1">
      <c r="B3992" s="15"/>
      <c r="C3992" s="15"/>
      <c r="D3992" s="15"/>
      <c r="E3992" s="15"/>
      <c r="F3992" s="20"/>
    </row>
    <row r="3993" spans="2:6" ht="17.25" customHeight="1">
      <c r="B3993" s="15"/>
      <c r="C3993" s="15"/>
      <c r="D3993" s="15"/>
      <c r="E3993" s="15"/>
      <c r="F3993" s="20"/>
    </row>
    <row r="3994" spans="2:6" ht="17.25" customHeight="1">
      <c r="B3994" s="15"/>
      <c r="C3994" s="15"/>
      <c r="D3994" s="15"/>
      <c r="E3994" s="15"/>
      <c r="F3994" s="20"/>
    </row>
    <row r="3995" spans="2:6" ht="17.25" customHeight="1">
      <c r="B3995" s="15"/>
      <c r="C3995" s="15"/>
      <c r="D3995" s="15"/>
      <c r="E3995" s="15"/>
      <c r="F3995" s="20"/>
    </row>
    <row r="3996" spans="2:6" ht="17.25" customHeight="1">
      <c r="B3996" s="15"/>
      <c r="C3996" s="15"/>
      <c r="D3996" s="15"/>
      <c r="E3996" s="15"/>
      <c r="F3996" s="20"/>
    </row>
    <row r="3997" spans="2:6" ht="17.25" customHeight="1">
      <c r="B3997" s="15"/>
      <c r="C3997" s="15"/>
      <c r="D3997" s="15"/>
      <c r="E3997" s="15"/>
      <c r="F3997" s="20"/>
    </row>
    <row r="3998" spans="2:6" ht="17.25" customHeight="1">
      <c r="B3998" s="15"/>
      <c r="C3998" s="15"/>
      <c r="D3998" s="15"/>
      <c r="E3998" s="15"/>
      <c r="F3998" s="20"/>
    </row>
    <row r="3999" spans="2:6" ht="17.25" customHeight="1">
      <c r="B3999" s="15"/>
      <c r="C3999" s="15"/>
      <c r="D3999" s="15"/>
      <c r="E3999" s="15"/>
      <c r="F3999" s="20"/>
    </row>
    <row r="4000" spans="2:6" ht="17.25" customHeight="1">
      <c r="B4000" s="15"/>
      <c r="C4000" s="15"/>
      <c r="D4000" s="15"/>
      <c r="E4000" s="15"/>
      <c r="F4000" s="20"/>
    </row>
    <row r="4001" spans="2:6" ht="17.25" customHeight="1">
      <c r="B4001" s="15"/>
      <c r="C4001" s="15"/>
      <c r="D4001" s="15"/>
      <c r="E4001" s="15"/>
      <c r="F4001" s="20"/>
    </row>
    <row r="4002" spans="2:6" ht="17.25" customHeight="1">
      <c r="B4002" s="15"/>
      <c r="C4002" s="15"/>
      <c r="D4002" s="15"/>
      <c r="E4002" s="15"/>
      <c r="F4002" s="20"/>
    </row>
    <row r="4003" spans="2:6" ht="17.25" customHeight="1">
      <c r="B4003" s="15"/>
      <c r="C4003" s="15"/>
      <c r="D4003" s="15"/>
      <c r="E4003" s="15"/>
      <c r="F4003" s="20"/>
    </row>
    <row r="4004" spans="2:6" ht="17.25" customHeight="1">
      <c r="B4004" s="15"/>
      <c r="C4004" s="15"/>
      <c r="D4004" s="15"/>
      <c r="E4004" s="15"/>
      <c r="F4004" s="20"/>
    </row>
    <row r="4005" spans="2:6" ht="17.25" customHeight="1">
      <c r="B4005" s="15"/>
      <c r="C4005" s="15"/>
      <c r="D4005" s="15"/>
      <c r="E4005" s="15"/>
      <c r="F4005" s="20"/>
    </row>
    <row r="4006" spans="2:6" ht="17.25" customHeight="1">
      <c r="B4006" s="15"/>
      <c r="C4006" s="15"/>
      <c r="D4006" s="15"/>
      <c r="E4006" s="15"/>
      <c r="F4006" s="20"/>
    </row>
    <row r="4007" spans="2:6" ht="17.25" customHeight="1">
      <c r="B4007" s="15"/>
      <c r="C4007" s="15"/>
      <c r="D4007" s="15"/>
      <c r="E4007" s="15"/>
      <c r="F4007" s="20"/>
    </row>
    <row r="4008" spans="2:6" ht="17.25" customHeight="1">
      <c r="B4008" s="15"/>
      <c r="C4008" s="15"/>
      <c r="D4008" s="15"/>
      <c r="E4008" s="15"/>
      <c r="F4008" s="20"/>
    </row>
    <row r="4009" spans="2:6" ht="17.25" customHeight="1">
      <c r="B4009" s="15"/>
      <c r="C4009" s="15"/>
      <c r="D4009" s="15"/>
      <c r="E4009" s="15"/>
      <c r="F4009" s="20"/>
    </row>
    <row r="4010" spans="2:6" ht="17.25" customHeight="1">
      <c r="B4010" s="15"/>
      <c r="C4010" s="15"/>
      <c r="D4010" s="15"/>
      <c r="E4010" s="15"/>
      <c r="F4010" s="20"/>
    </row>
    <row r="4011" spans="2:6" ht="17.25" customHeight="1">
      <c r="B4011" s="15"/>
      <c r="C4011" s="15"/>
      <c r="D4011" s="15"/>
      <c r="E4011" s="15"/>
      <c r="F4011" s="20"/>
    </row>
    <row r="4012" spans="2:6" ht="17.25" customHeight="1">
      <c r="B4012" s="15"/>
      <c r="C4012" s="15"/>
      <c r="D4012" s="15"/>
      <c r="E4012" s="15"/>
      <c r="F4012" s="20"/>
    </row>
    <row r="4013" spans="2:6" ht="17.25" customHeight="1">
      <c r="B4013" s="15"/>
      <c r="C4013" s="15"/>
      <c r="D4013" s="15"/>
      <c r="E4013" s="15"/>
      <c r="F4013" s="20"/>
    </row>
    <row r="4014" spans="2:6" ht="17.25" customHeight="1">
      <c r="B4014" s="15"/>
      <c r="C4014" s="15"/>
      <c r="D4014" s="15"/>
      <c r="E4014" s="15"/>
      <c r="F4014" s="20"/>
    </row>
    <row r="4015" spans="2:6" ht="17.25" customHeight="1">
      <c r="B4015" s="15"/>
      <c r="C4015" s="15"/>
      <c r="D4015" s="15"/>
      <c r="E4015" s="15"/>
      <c r="F4015" s="20"/>
    </row>
    <row r="4016" spans="2:6" ht="17.25" customHeight="1">
      <c r="B4016" s="15"/>
      <c r="C4016" s="15"/>
      <c r="D4016" s="15"/>
      <c r="E4016" s="15"/>
      <c r="F4016" s="20"/>
    </row>
    <row r="4017" spans="2:6" ht="17.25" customHeight="1">
      <c r="B4017" s="15"/>
      <c r="C4017" s="15"/>
      <c r="D4017" s="15"/>
      <c r="E4017" s="15"/>
      <c r="F4017" s="20"/>
    </row>
    <row r="4018" spans="2:6" ht="17.25" customHeight="1">
      <c r="B4018" s="15"/>
      <c r="C4018" s="15"/>
      <c r="D4018" s="15"/>
      <c r="E4018" s="15"/>
      <c r="F4018" s="20"/>
    </row>
    <row r="4019" spans="2:6" ht="17.25" customHeight="1">
      <c r="B4019" s="15"/>
      <c r="C4019" s="15"/>
      <c r="D4019" s="15"/>
      <c r="E4019" s="15"/>
      <c r="F4019" s="20"/>
    </row>
    <row r="4020" spans="2:6" ht="17.25" customHeight="1">
      <c r="B4020" s="15"/>
      <c r="C4020" s="15"/>
      <c r="D4020" s="15"/>
      <c r="E4020" s="15"/>
      <c r="F4020" s="20"/>
    </row>
    <row r="4021" spans="2:6" ht="17.25" customHeight="1">
      <c r="B4021" s="15"/>
      <c r="C4021" s="15"/>
      <c r="D4021" s="15"/>
      <c r="E4021" s="15"/>
      <c r="F4021" s="20"/>
    </row>
    <row r="4022" spans="2:6" ht="17.25" customHeight="1">
      <c r="B4022" s="15"/>
      <c r="C4022" s="15"/>
      <c r="D4022" s="15"/>
      <c r="E4022" s="15"/>
      <c r="F4022" s="20"/>
    </row>
    <row r="4023" spans="2:6" ht="17.25" customHeight="1">
      <c r="B4023" s="15"/>
      <c r="C4023" s="15"/>
      <c r="D4023" s="15"/>
      <c r="E4023" s="15"/>
      <c r="F4023" s="20"/>
    </row>
    <row r="4024" spans="2:6" ht="17.25" customHeight="1">
      <c r="B4024" s="15"/>
      <c r="C4024" s="15"/>
      <c r="D4024" s="15"/>
      <c r="E4024" s="15"/>
      <c r="F4024" s="20"/>
    </row>
    <row r="4025" spans="2:6" ht="17.25" customHeight="1">
      <c r="B4025" s="15"/>
      <c r="C4025" s="15"/>
      <c r="D4025" s="15"/>
      <c r="E4025" s="15"/>
      <c r="F4025" s="20"/>
    </row>
    <row r="4026" spans="2:6" ht="17.25" customHeight="1">
      <c r="B4026" s="15"/>
      <c r="C4026" s="15"/>
      <c r="D4026" s="15"/>
      <c r="E4026" s="15"/>
      <c r="F4026" s="20"/>
    </row>
    <row r="4027" spans="2:6" ht="17.25" customHeight="1">
      <c r="B4027" s="15"/>
      <c r="C4027" s="15"/>
      <c r="D4027" s="15"/>
      <c r="E4027" s="15"/>
      <c r="F4027" s="20"/>
    </row>
    <row r="4028" spans="2:6" ht="17.25" customHeight="1">
      <c r="B4028" s="15"/>
      <c r="C4028" s="15"/>
      <c r="D4028" s="15"/>
      <c r="E4028" s="15"/>
      <c r="F4028" s="20"/>
    </row>
    <row r="4029" spans="2:6" ht="17.25" customHeight="1">
      <c r="B4029" s="15"/>
      <c r="C4029" s="15"/>
      <c r="D4029" s="15"/>
      <c r="E4029" s="15"/>
      <c r="F4029" s="20"/>
    </row>
    <row r="4030" spans="2:6" ht="17.25" customHeight="1">
      <c r="B4030" s="15"/>
      <c r="C4030" s="15"/>
      <c r="D4030" s="15"/>
      <c r="E4030" s="15"/>
      <c r="F4030" s="20"/>
    </row>
    <row r="4031" spans="2:6" ht="17.25" customHeight="1">
      <c r="B4031" s="15"/>
      <c r="C4031" s="15"/>
      <c r="D4031" s="15"/>
      <c r="E4031" s="15"/>
      <c r="F4031" s="20"/>
    </row>
    <row r="4032" spans="2:6" ht="17.25" customHeight="1">
      <c r="B4032" s="15"/>
      <c r="C4032" s="15"/>
      <c r="D4032" s="15"/>
      <c r="E4032" s="15"/>
      <c r="F4032" s="20"/>
    </row>
    <row r="4033" spans="2:6" ht="17.25" customHeight="1">
      <c r="B4033" s="15"/>
      <c r="C4033" s="15"/>
      <c r="D4033" s="15"/>
      <c r="E4033" s="15"/>
      <c r="F4033" s="20"/>
    </row>
    <row r="4034" spans="2:6" ht="17.25" customHeight="1">
      <c r="B4034" s="15"/>
      <c r="C4034" s="15"/>
      <c r="D4034" s="15"/>
      <c r="E4034" s="15"/>
      <c r="F4034" s="20"/>
    </row>
    <row r="4035" spans="2:6" ht="17.25" customHeight="1">
      <c r="B4035" s="15"/>
      <c r="C4035" s="15"/>
      <c r="D4035" s="15"/>
      <c r="E4035" s="15"/>
      <c r="F4035" s="20"/>
    </row>
    <row r="4036" spans="2:6" ht="17.25" customHeight="1">
      <c r="B4036" s="15"/>
      <c r="C4036" s="15"/>
      <c r="D4036" s="15"/>
      <c r="E4036" s="15"/>
      <c r="F4036" s="20"/>
    </row>
    <row r="4037" spans="2:6" ht="17.25" customHeight="1">
      <c r="B4037" s="15"/>
      <c r="C4037" s="15"/>
      <c r="D4037" s="15"/>
      <c r="E4037" s="15"/>
      <c r="F4037" s="20"/>
    </row>
    <row r="4038" spans="2:6" ht="17.25" customHeight="1">
      <c r="B4038" s="15"/>
      <c r="C4038" s="15"/>
      <c r="D4038" s="15"/>
      <c r="E4038" s="15"/>
      <c r="F4038" s="20"/>
    </row>
    <row r="4039" spans="2:6" ht="17.25" customHeight="1">
      <c r="B4039" s="15"/>
      <c r="C4039" s="15"/>
      <c r="D4039" s="15"/>
      <c r="E4039" s="15"/>
      <c r="F4039" s="20"/>
    </row>
    <row r="4040" spans="2:6" ht="17.25" customHeight="1">
      <c r="B4040" s="15"/>
      <c r="C4040" s="15"/>
      <c r="D4040" s="15"/>
      <c r="E4040" s="15"/>
      <c r="F4040" s="20"/>
    </row>
    <row r="4041" spans="2:6" ht="17.25" customHeight="1">
      <c r="B4041" s="15"/>
      <c r="C4041" s="15"/>
      <c r="D4041" s="15"/>
      <c r="E4041" s="15"/>
      <c r="F4041" s="20"/>
    </row>
    <row r="4042" spans="2:6" ht="17.25" customHeight="1">
      <c r="B4042" s="15"/>
      <c r="C4042" s="15"/>
      <c r="D4042" s="15"/>
      <c r="E4042" s="15"/>
      <c r="F4042" s="20"/>
    </row>
    <row r="4043" spans="2:6" ht="17.25" customHeight="1">
      <c r="B4043" s="15"/>
      <c r="C4043" s="15"/>
      <c r="D4043" s="15"/>
      <c r="E4043" s="15"/>
      <c r="F4043" s="20"/>
    </row>
    <row r="4044" spans="2:6" ht="17.25" customHeight="1">
      <c r="B4044" s="15"/>
      <c r="C4044" s="15"/>
      <c r="D4044" s="15"/>
      <c r="E4044" s="15"/>
      <c r="F4044" s="20"/>
    </row>
    <row r="4045" spans="2:6" ht="17.25" customHeight="1">
      <c r="B4045" s="15"/>
      <c r="C4045" s="15"/>
      <c r="D4045" s="15"/>
      <c r="E4045" s="15"/>
      <c r="F4045" s="20"/>
    </row>
    <row r="4046" spans="2:6" ht="17.25" customHeight="1">
      <c r="B4046" s="15"/>
      <c r="C4046" s="15"/>
      <c r="D4046" s="15"/>
      <c r="E4046" s="15"/>
      <c r="F4046" s="20"/>
    </row>
    <row r="4047" spans="2:6" ht="17.25" customHeight="1">
      <c r="B4047" s="15"/>
      <c r="C4047" s="15"/>
      <c r="D4047" s="15"/>
      <c r="E4047" s="15"/>
      <c r="F4047" s="20"/>
    </row>
    <row r="4048" spans="2:6" ht="17.25" customHeight="1">
      <c r="B4048" s="15"/>
      <c r="C4048" s="15"/>
      <c r="D4048" s="15"/>
      <c r="E4048" s="15"/>
      <c r="F4048" s="20"/>
    </row>
    <row r="4049" spans="2:6" ht="17.25" customHeight="1">
      <c r="B4049" s="15"/>
      <c r="C4049" s="15"/>
      <c r="D4049" s="15"/>
      <c r="E4049" s="15"/>
      <c r="F4049" s="20"/>
    </row>
    <row r="4050" spans="2:6" ht="17.25" customHeight="1">
      <c r="B4050" s="15"/>
      <c r="C4050" s="15"/>
      <c r="D4050" s="15"/>
      <c r="E4050" s="15"/>
      <c r="F4050" s="20"/>
    </row>
    <row r="4051" spans="2:6" ht="17.25" customHeight="1">
      <c r="B4051" s="15"/>
      <c r="C4051" s="15"/>
      <c r="D4051" s="15"/>
      <c r="E4051" s="15"/>
      <c r="F4051" s="20"/>
    </row>
    <row r="4052" spans="2:6" ht="17.25" customHeight="1">
      <c r="B4052" s="15"/>
      <c r="C4052" s="15"/>
      <c r="D4052" s="15"/>
      <c r="E4052" s="15"/>
      <c r="F4052" s="20"/>
    </row>
    <row r="4053" spans="2:6" ht="17.25" customHeight="1">
      <c r="B4053" s="15"/>
      <c r="C4053" s="15"/>
      <c r="D4053" s="15"/>
      <c r="E4053" s="15"/>
      <c r="F4053" s="20"/>
    </row>
    <row r="4054" spans="2:6" ht="17.25" customHeight="1">
      <c r="B4054" s="15"/>
      <c r="C4054" s="15"/>
      <c r="D4054" s="15"/>
      <c r="E4054" s="15"/>
      <c r="F4054" s="20"/>
    </row>
    <row r="4055" spans="2:6" ht="17.25" customHeight="1">
      <c r="B4055" s="15"/>
      <c r="C4055" s="15"/>
      <c r="D4055" s="15"/>
      <c r="E4055" s="15"/>
      <c r="F4055" s="20"/>
    </row>
    <row r="4056" spans="2:6" ht="17.25" customHeight="1">
      <c r="B4056" s="15"/>
      <c r="C4056" s="15"/>
      <c r="D4056" s="15"/>
      <c r="E4056" s="15"/>
      <c r="F4056" s="20"/>
    </row>
    <row r="4057" spans="2:6" ht="17.25" customHeight="1">
      <c r="B4057" s="15"/>
      <c r="C4057" s="15"/>
      <c r="D4057" s="15"/>
      <c r="E4057" s="15"/>
      <c r="F4057" s="20"/>
    </row>
    <row r="4058" spans="2:6" ht="17.25" customHeight="1">
      <c r="B4058" s="15"/>
      <c r="C4058" s="15"/>
      <c r="D4058" s="15"/>
      <c r="E4058" s="15"/>
      <c r="F4058" s="20"/>
    </row>
    <row r="4059" spans="2:6" ht="17.25" customHeight="1">
      <c r="B4059" s="15"/>
      <c r="C4059" s="15"/>
      <c r="D4059" s="15"/>
      <c r="E4059" s="15"/>
      <c r="F4059" s="20"/>
    </row>
    <row r="4060" spans="2:6" ht="17.25" customHeight="1">
      <c r="B4060" s="15"/>
      <c r="C4060" s="15"/>
      <c r="D4060" s="15"/>
      <c r="E4060" s="15"/>
      <c r="F4060" s="20"/>
    </row>
    <row r="4061" spans="2:6" ht="17.25" customHeight="1">
      <c r="B4061" s="15"/>
      <c r="C4061" s="15"/>
      <c r="D4061" s="15"/>
      <c r="E4061" s="15"/>
      <c r="F4061" s="20"/>
    </row>
    <row r="4062" spans="2:6" ht="17.25" customHeight="1">
      <c r="B4062" s="15"/>
      <c r="C4062" s="15"/>
      <c r="D4062" s="15"/>
      <c r="E4062" s="15"/>
      <c r="F4062" s="20"/>
    </row>
    <row r="4063" spans="2:6" ht="17.25" customHeight="1">
      <c r="B4063" s="15"/>
      <c r="C4063" s="15"/>
      <c r="D4063" s="15"/>
      <c r="E4063" s="15"/>
      <c r="F4063" s="20"/>
    </row>
    <row r="4064" spans="2:6" ht="17.25" customHeight="1">
      <c r="B4064" s="15"/>
      <c r="C4064" s="15"/>
      <c r="D4064" s="15"/>
      <c r="E4064" s="15"/>
      <c r="F4064" s="20"/>
    </row>
    <row r="4065" spans="2:6" ht="17.25" customHeight="1">
      <c r="B4065" s="15"/>
      <c r="C4065" s="15"/>
      <c r="D4065" s="15"/>
      <c r="E4065" s="15"/>
      <c r="F4065" s="20"/>
    </row>
    <row r="4066" spans="2:6" ht="17.25" customHeight="1">
      <c r="B4066" s="15"/>
      <c r="C4066" s="15"/>
      <c r="D4066" s="15"/>
      <c r="E4066" s="15"/>
      <c r="F4066" s="20"/>
    </row>
    <row r="4067" spans="2:6" ht="17.25" customHeight="1">
      <c r="B4067" s="15"/>
      <c r="C4067" s="15"/>
      <c r="D4067" s="15"/>
      <c r="E4067" s="15"/>
      <c r="F4067" s="20"/>
    </row>
    <row r="4068" spans="2:6" ht="17.25" customHeight="1">
      <c r="B4068" s="15"/>
      <c r="C4068" s="15"/>
      <c r="D4068" s="15"/>
      <c r="E4068" s="15"/>
      <c r="F4068" s="20"/>
    </row>
    <row r="4069" spans="2:6" ht="17.25" customHeight="1">
      <c r="B4069" s="15"/>
      <c r="C4069" s="15"/>
      <c r="D4069" s="15"/>
      <c r="E4069" s="15"/>
      <c r="F4069" s="20"/>
    </row>
    <row r="4070" spans="2:6" ht="17.25" customHeight="1">
      <c r="B4070" s="15"/>
      <c r="C4070" s="15"/>
      <c r="D4070" s="15"/>
      <c r="E4070" s="15"/>
      <c r="F4070" s="20"/>
    </row>
    <row r="4071" spans="2:6" ht="17.25" customHeight="1">
      <c r="B4071" s="15"/>
      <c r="C4071" s="15"/>
      <c r="D4071" s="15"/>
      <c r="E4071" s="15"/>
      <c r="F4071" s="20"/>
    </row>
    <row r="4072" spans="2:6" ht="17.25" customHeight="1">
      <c r="B4072" s="15"/>
      <c r="C4072" s="15"/>
      <c r="D4072" s="15"/>
      <c r="E4072" s="15"/>
      <c r="F4072" s="20"/>
    </row>
    <row r="4073" spans="2:6" ht="17.25" customHeight="1">
      <c r="B4073" s="15"/>
      <c r="C4073" s="15"/>
      <c r="D4073" s="15"/>
      <c r="E4073" s="15"/>
      <c r="F4073" s="20"/>
    </row>
    <row r="4074" spans="2:6" ht="17.25" customHeight="1">
      <c r="B4074" s="15"/>
      <c r="C4074" s="15"/>
      <c r="D4074" s="15"/>
      <c r="E4074" s="15"/>
      <c r="F4074" s="20"/>
    </row>
    <row r="4075" spans="2:6" ht="17.25" customHeight="1">
      <c r="B4075" s="15"/>
      <c r="C4075" s="15"/>
      <c r="D4075" s="15"/>
      <c r="E4075" s="15"/>
      <c r="F4075" s="20"/>
    </row>
    <row r="4076" spans="2:6" ht="17.25" customHeight="1">
      <c r="B4076" s="15"/>
      <c r="C4076" s="15"/>
      <c r="D4076" s="15"/>
      <c r="E4076" s="15"/>
      <c r="F4076" s="20"/>
    </row>
    <row r="4077" spans="2:6" ht="17.25" customHeight="1">
      <c r="B4077" s="15"/>
      <c r="C4077" s="15"/>
      <c r="D4077" s="15"/>
      <c r="E4077" s="15"/>
      <c r="F4077" s="20"/>
    </row>
    <row r="4078" spans="2:6" ht="17.25" customHeight="1">
      <c r="B4078" s="15"/>
      <c r="C4078" s="15"/>
      <c r="D4078" s="15"/>
      <c r="E4078" s="15"/>
      <c r="F4078" s="20"/>
    </row>
    <row r="4079" spans="2:6" ht="17.25" customHeight="1">
      <c r="B4079" s="15"/>
      <c r="C4079" s="15"/>
      <c r="D4079" s="15"/>
      <c r="E4079" s="15"/>
      <c r="F4079" s="20"/>
    </row>
    <row r="4080" spans="2:6" ht="17.25" customHeight="1">
      <c r="B4080" s="15"/>
      <c r="C4080" s="15"/>
      <c r="D4080" s="15"/>
      <c r="E4080" s="15"/>
      <c r="F4080" s="20"/>
    </row>
    <row r="4081" spans="2:6" ht="17.25" customHeight="1">
      <c r="B4081" s="15"/>
      <c r="C4081" s="15"/>
      <c r="D4081" s="15"/>
      <c r="E4081" s="15"/>
      <c r="F4081" s="20"/>
    </row>
    <row r="4082" spans="2:6" ht="17.25" customHeight="1">
      <c r="B4082" s="15"/>
      <c r="C4082" s="15"/>
      <c r="D4082" s="15"/>
      <c r="E4082" s="15"/>
      <c r="F4082" s="20"/>
    </row>
    <row r="4083" spans="2:6" ht="17.25" customHeight="1">
      <c r="B4083" s="15"/>
      <c r="C4083" s="15"/>
      <c r="D4083" s="15"/>
      <c r="E4083" s="15"/>
      <c r="F4083" s="20"/>
    </row>
    <row r="4084" spans="2:6" ht="17.25" customHeight="1">
      <c r="B4084" s="15"/>
      <c r="C4084" s="15"/>
      <c r="D4084" s="15"/>
      <c r="E4084" s="15"/>
      <c r="F4084" s="20"/>
    </row>
    <row r="4085" spans="2:6" ht="17.25" customHeight="1">
      <c r="B4085" s="15"/>
      <c r="C4085" s="15"/>
      <c r="D4085" s="15"/>
      <c r="E4085" s="15"/>
      <c r="F4085" s="20"/>
    </row>
    <row r="4086" spans="2:6" ht="17.25" customHeight="1">
      <c r="B4086" s="15"/>
      <c r="C4086" s="15"/>
      <c r="D4086" s="15"/>
      <c r="E4086" s="15"/>
      <c r="F4086" s="20"/>
    </row>
    <row r="4087" spans="2:6" ht="17.25" customHeight="1">
      <c r="B4087" s="15"/>
      <c r="C4087" s="15"/>
      <c r="D4087" s="15"/>
      <c r="E4087" s="15"/>
      <c r="F4087" s="20"/>
    </row>
    <row r="4088" spans="2:6" ht="17.25" customHeight="1">
      <c r="B4088" s="15"/>
      <c r="C4088" s="15"/>
      <c r="D4088" s="15"/>
      <c r="E4088" s="15"/>
      <c r="F4088" s="20"/>
    </row>
    <row r="4089" spans="2:6" ht="17.25" customHeight="1">
      <c r="B4089" s="15"/>
      <c r="C4089" s="15"/>
      <c r="D4089" s="15"/>
      <c r="E4089" s="15"/>
      <c r="F4089" s="20"/>
    </row>
    <row r="4090" spans="2:6" ht="17.25" customHeight="1">
      <c r="B4090" s="15"/>
      <c r="C4090" s="15"/>
      <c r="D4090" s="15"/>
      <c r="E4090" s="15"/>
      <c r="F4090" s="20"/>
    </row>
    <row r="4091" spans="2:6" ht="17.25" customHeight="1">
      <c r="B4091" s="15"/>
      <c r="C4091" s="15"/>
      <c r="D4091" s="15"/>
      <c r="E4091" s="15"/>
      <c r="F4091" s="20"/>
    </row>
    <row r="4092" spans="2:6" ht="17.25" customHeight="1">
      <c r="B4092" s="15"/>
      <c r="C4092" s="15"/>
      <c r="D4092" s="15"/>
      <c r="E4092" s="15"/>
      <c r="F4092" s="20"/>
    </row>
    <row r="4093" spans="2:6" ht="17.25" customHeight="1">
      <c r="B4093" s="15"/>
      <c r="C4093" s="15"/>
      <c r="D4093" s="15"/>
      <c r="E4093" s="15"/>
      <c r="F4093" s="20"/>
    </row>
    <row r="4094" spans="2:6" ht="17.25" customHeight="1">
      <c r="B4094" s="15"/>
      <c r="C4094" s="15"/>
      <c r="D4094" s="15"/>
      <c r="E4094" s="15"/>
      <c r="F4094" s="20"/>
    </row>
    <row r="4095" spans="2:6" ht="17.25" customHeight="1">
      <c r="B4095" s="15"/>
      <c r="C4095" s="15"/>
      <c r="D4095" s="15"/>
      <c r="E4095" s="15"/>
      <c r="F4095" s="20"/>
    </row>
    <row r="4096" spans="2:6" ht="17.25" customHeight="1">
      <c r="B4096" s="15"/>
      <c r="C4096" s="15"/>
      <c r="D4096" s="15"/>
      <c r="E4096" s="15"/>
      <c r="F4096" s="20"/>
    </row>
    <row r="4097" spans="2:6" ht="17.25" customHeight="1">
      <c r="B4097" s="15"/>
      <c r="C4097" s="15"/>
      <c r="D4097" s="15"/>
      <c r="E4097" s="15"/>
      <c r="F4097" s="20"/>
    </row>
    <row r="4098" spans="2:6" ht="17.25" customHeight="1">
      <c r="B4098" s="15"/>
      <c r="C4098" s="15"/>
      <c r="D4098" s="15"/>
      <c r="E4098" s="15"/>
      <c r="F4098" s="20"/>
    </row>
    <row r="4099" spans="2:6" ht="17.25" customHeight="1">
      <c r="B4099" s="15"/>
      <c r="C4099" s="15"/>
      <c r="D4099" s="15"/>
      <c r="E4099" s="15"/>
      <c r="F4099" s="20"/>
    </row>
    <row r="4100" spans="2:6" ht="17.25" customHeight="1">
      <c r="B4100" s="15"/>
      <c r="C4100" s="15"/>
      <c r="D4100" s="15"/>
      <c r="E4100" s="15"/>
      <c r="F4100" s="20"/>
    </row>
    <row r="4101" spans="2:6" ht="17.25" customHeight="1">
      <c r="B4101" s="15"/>
      <c r="C4101" s="15"/>
      <c r="D4101" s="15"/>
      <c r="E4101" s="15"/>
      <c r="F4101" s="20"/>
    </row>
    <row r="4102" spans="2:6" ht="17.25" customHeight="1">
      <c r="B4102" s="15"/>
      <c r="C4102" s="15"/>
      <c r="D4102" s="15"/>
      <c r="E4102" s="15"/>
      <c r="F4102" s="20"/>
    </row>
    <row r="4103" spans="2:6" ht="17.25" customHeight="1">
      <c r="B4103" s="15"/>
      <c r="C4103" s="15"/>
      <c r="D4103" s="15"/>
      <c r="E4103" s="15"/>
      <c r="F4103" s="20"/>
    </row>
    <row r="4104" spans="2:6" ht="17.25" customHeight="1">
      <c r="B4104" s="15"/>
      <c r="C4104" s="15"/>
      <c r="D4104" s="15"/>
      <c r="E4104" s="15"/>
      <c r="F4104" s="20"/>
    </row>
    <row r="4105" spans="2:6" ht="17.25" customHeight="1">
      <c r="B4105" s="15"/>
      <c r="C4105" s="15"/>
      <c r="D4105" s="15"/>
      <c r="E4105" s="15"/>
      <c r="F4105" s="20"/>
    </row>
    <row r="4106" spans="2:6" ht="17.25" customHeight="1">
      <c r="B4106" s="15"/>
      <c r="C4106" s="15"/>
      <c r="D4106" s="15"/>
      <c r="E4106" s="15"/>
      <c r="F4106" s="20"/>
    </row>
    <row r="4107" spans="2:6" ht="17.25" customHeight="1">
      <c r="B4107" s="15"/>
      <c r="C4107" s="15"/>
      <c r="D4107" s="15"/>
      <c r="E4107" s="15"/>
      <c r="F4107" s="20"/>
    </row>
    <row r="4108" spans="2:6" ht="17.25" customHeight="1">
      <c r="B4108" s="15"/>
      <c r="C4108" s="15"/>
      <c r="D4108" s="15"/>
      <c r="E4108" s="15"/>
      <c r="F4108" s="20"/>
    </row>
    <row r="4109" spans="2:6" ht="17.25" customHeight="1">
      <c r="B4109" s="15"/>
      <c r="C4109" s="15"/>
      <c r="D4109" s="15"/>
      <c r="E4109" s="15"/>
      <c r="F4109" s="20"/>
    </row>
    <row r="4110" spans="2:6" ht="17.25" customHeight="1">
      <c r="B4110" s="15"/>
      <c r="C4110" s="15"/>
      <c r="D4110" s="15"/>
      <c r="E4110" s="15"/>
      <c r="F4110" s="20"/>
    </row>
    <row r="4111" spans="2:6" ht="17.25" customHeight="1">
      <c r="B4111" s="15"/>
      <c r="C4111" s="15"/>
      <c r="D4111" s="15"/>
      <c r="E4111" s="15"/>
      <c r="F4111" s="20"/>
    </row>
    <row r="4112" spans="2:6" ht="17.25" customHeight="1">
      <c r="B4112" s="15"/>
      <c r="C4112" s="15"/>
      <c r="D4112" s="15"/>
      <c r="E4112" s="15"/>
      <c r="F4112" s="20"/>
    </row>
    <row r="4113" spans="2:6" ht="17.25" customHeight="1">
      <c r="B4113" s="15"/>
      <c r="C4113" s="15"/>
      <c r="D4113" s="15"/>
      <c r="E4113" s="15"/>
      <c r="F4113" s="20"/>
    </row>
    <row r="4114" spans="2:6" ht="17.25" customHeight="1">
      <c r="B4114" s="15"/>
      <c r="C4114" s="15"/>
      <c r="D4114" s="15"/>
      <c r="E4114" s="15"/>
      <c r="F4114" s="20"/>
    </row>
    <row r="4115" spans="2:6" ht="17.25" customHeight="1">
      <c r="B4115" s="15"/>
      <c r="C4115" s="15"/>
      <c r="D4115" s="15"/>
      <c r="E4115" s="15"/>
      <c r="F4115" s="20"/>
    </row>
    <row r="4116" spans="2:6" ht="17.25" customHeight="1">
      <c r="B4116" s="15"/>
      <c r="C4116" s="15"/>
      <c r="D4116" s="15"/>
      <c r="E4116" s="15"/>
      <c r="F4116" s="20"/>
    </row>
    <row r="4117" spans="2:6" ht="17.25" customHeight="1">
      <c r="B4117" s="15"/>
      <c r="C4117" s="15"/>
      <c r="D4117" s="15"/>
      <c r="E4117" s="15"/>
      <c r="F4117" s="20"/>
    </row>
    <row r="4118" spans="2:6" ht="17.25" customHeight="1">
      <c r="B4118" s="15"/>
      <c r="C4118" s="15"/>
      <c r="D4118" s="15"/>
      <c r="E4118" s="15"/>
      <c r="F4118" s="20"/>
    </row>
    <row r="4119" spans="2:6" ht="17.25" customHeight="1">
      <c r="B4119" s="15"/>
      <c r="C4119" s="15"/>
      <c r="D4119" s="15"/>
      <c r="E4119" s="15"/>
      <c r="F4119" s="20"/>
    </row>
    <row r="4120" spans="2:6" ht="17.25" customHeight="1">
      <c r="B4120" s="15"/>
      <c r="C4120" s="15"/>
      <c r="D4120" s="15"/>
      <c r="E4120" s="15"/>
      <c r="F4120" s="20"/>
    </row>
    <row r="4121" spans="2:6" ht="17.25" customHeight="1">
      <c r="B4121" s="15"/>
      <c r="C4121" s="15"/>
      <c r="D4121" s="15"/>
      <c r="E4121" s="15"/>
      <c r="F4121" s="20"/>
    </row>
    <row r="4122" spans="2:6" ht="17.25" customHeight="1">
      <c r="B4122" s="15"/>
      <c r="C4122" s="15"/>
      <c r="D4122" s="15"/>
      <c r="E4122" s="15"/>
      <c r="F4122" s="20"/>
    </row>
    <row r="4123" spans="2:6" ht="17.25" customHeight="1">
      <c r="B4123" s="15"/>
      <c r="C4123" s="15"/>
      <c r="D4123" s="15"/>
      <c r="E4123" s="15"/>
      <c r="F4123" s="20"/>
    </row>
    <row r="4124" spans="2:6" ht="17.25" customHeight="1">
      <c r="B4124" s="15"/>
      <c r="C4124" s="15"/>
      <c r="D4124" s="15"/>
      <c r="E4124" s="15"/>
      <c r="F4124" s="20"/>
    </row>
    <row r="4125" spans="2:6" ht="17.25" customHeight="1">
      <c r="B4125" s="15"/>
      <c r="C4125" s="15"/>
      <c r="D4125" s="15"/>
      <c r="E4125" s="15"/>
      <c r="F4125" s="20"/>
    </row>
    <row r="4126" spans="2:6" ht="17.25" customHeight="1">
      <c r="B4126" s="15"/>
      <c r="C4126" s="15"/>
      <c r="D4126" s="15"/>
      <c r="E4126" s="15"/>
      <c r="F4126" s="20"/>
    </row>
    <row r="4127" spans="2:6" ht="17.25" customHeight="1">
      <c r="B4127" s="15"/>
      <c r="C4127" s="15"/>
      <c r="D4127" s="15"/>
      <c r="E4127" s="15"/>
      <c r="F4127" s="20"/>
    </row>
    <row r="4128" spans="2:6" ht="17.25" customHeight="1">
      <c r="B4128" s="15"/>
      <c r="C4128" s="15"/>
      <c r="D4128" s="15"/>
      <c r="E4128" s="15"/>
      <c r="F4128" s="20"/>
    </row>
    <row r="4129" spans="2:6" ht="17.25" customHeight="1">
      <c r="B4129" s="15"/>
      <c r="C4129" s="15"/>
      <c r="D4129" s="15"/>
      <c r="E4129" s="15"/>
      <c r="F4129" s="20"/>
    </row>
    <row r="4130" spans="2:6" ht="17.25" customHeight="1">
      <c r="B4130" s="15"/>
      <c r="C4130" s="15"/>
      <c r="D4130" s="15"/>
      <c r="E4130" s="15"/>
      <c r="F4130" s="20"/>
    </row>
    <row r="4131" spans="2:6" ht="17.25" customHeight="1">
      <c r="B4131" s="15"/>
      <c r="C4131" s="15"/>
      <c r="D4131" s="15"/>
      <c r="E4131" s="15"/>
      <c r="F4131" s="20"/>
    </row>
    <row r="4132" spans="2:6" ht="17.25" customHeight="1">
      <c r="B4132" s="15"/>
      <c r="C4132" s="15"/>
      <c r="D4132" s="15"/>
      <c r="E4132" s="15"/>
      <c r="F4132" s="20"/>
    </row>
    <row r="4133" spans="2:6" ht="17.25" customHeight="1">
      <c r="B4133" s="15"/>
      <c r="C4133" s="15"/>
      <c r="D4133" s="15"/>
      <c r="E4133" s="15"/>
      <c r="F4133" s="20"/>
    </row>
    <row r="4134" spans="2:6" ht="17.25" customHeight="1">
      <c r="B4134" s="15"/>
      <c r="C4134" s="15"/>
      <c r="D4134" s="15"/>
      <c r="E4134" s="15"/>
      <c r="F4134" s="20"/>
    </row>
    <row r="4135" spans="2:6" ht="17.25" customHeight="1">
      <c r="B4135" s="15"/>
      <c r="C4135" s="15"/>
      <c r="D4135" s="15"/>
      <c r="E4135" s="15"/>
      <c r="F4135" s="20"/>
    </row>
    <row r="4136" spans="2:6" ht="17.25" customHeight="1">
      <c r="B4136" s="15"/>
      <c r="C4136" s="15"/>
      <c r="D4136" s="15"/>
      <c r="E4136" s="15"/>
      <c r="F4136" s="20"/>
    </row>
    <row r="4137" spans="2:6" ht="17.25" customHeight="1">
      <c r="B4137" s="15"/>
      <c r="C4137" s="15"/>
      <c r="D4137" s="15"/>
      <c r="E4137" s="15"/>
      <c r="F4137" s="20"/>
    </row>
    <row r="4138" spans="2:6" ht="17.25" customHeight="1">
      <c r="B4138" s="15"/>
      <c r="C4138" s="15"/>
      <c r="D4138" s="15"/>
      <c r="E4138" s="15"/>
      <c r="F4138" s="20"/>
    </row>
    <row r="4139" spans="2:6" ht="17.25" customHeight="1">
      <c r="B4139" s="15"/>
      <c r="C4139" s="15"/>
      <c r="D4139" s="15"/>
      <c r="E4139" s="15"/>
      <c r="F4139" s="20"/>
    </row>
    <row r="4140" spans="2:6" ht="17.25" customHeight="1">
      <c r="B4140" s="15"/>
      <c r="C4140" s="15"/>
      <c r="D4140" s="15"/>
      <c r="E4140" s="15"/>
      <c r="F4140" s="20"/>
    </row>
    <row r="4141" spans="2:6" ht="17.25" customHeight="1">
      <c r="B4141" s="15"/>
      <c r="C4141" s="15"/>
      <c r="D4141" s="15"/>
      <c r="E4141" s="15"/>
      <c r="F4141" s="20"/>
    </row>
    <row r="4142" spans="2:6" ht="17.25" customHeight="1">
      <c r="B4142" s="15"/>
      <c r="C4142" s="15"/>
      <c r="D4142" s="15"/>
      <c r="E4142" s="15"/>
      <c r="F4142" s="20"/>
    </row>
    <row r="4143" spans="2:6" ht="17.25" customHeight="1">
      <c r="B4143" s="15"/>
      <c r="C4143" s="15"/>
      <c r="D4143" s="15"/>
      <c r="E4143" s="15"/>
      <c r="F4143" s="20"/>
    </row>
    <row r="4144" spans="2:6" ht="17.25" customHeight="1">
      <c r="B4144" s="15"/>
      <c r="C4144" s="15"/>
      <c r="D4144" s="15"/>
      <c r="E4144" s="15"/>
      <c r="F4144" s="20"/>
    </row>
    <row r="4145" spans="2:6" ht="17.25" customHeight="1">
      <c r="B4145" s="15"/>
      <c r="C4145" s="15"/>
      <c r="D4145" s="15"/>
      <c r="E4145" s="15"/>
      <c r="F4145" s="20"/>
    </row>
    <row r="4146" spans="2:6" ht="17.25" customHeight="1">
      <c r="B4146" s="15"/>
      <c r="C4146" s="15"/>
      <c r="D4146" s="15"/>
      <c r="E4146" s="15"/>
      <c r="F4146" s="20"/>
    </row>
    <row r="4147" spans="2:6" ht="17.25" customHeight="1">
      <c r="B4147" s="15"/>
      <c r="C4147" s="15"/>
      <c r="D4147" s="15"/>
      <c r="E4147" s="15"/>
      <c r="F4147" s="20"/>
    </row>
    <row r="4148" spans="2:6" ht="17.25" customHeight="1">
      <c r="B4148" s="15"/>
      <c r="C4148" s="15"/>
      <c r="D4148" s="15"/>
      <c r="E4148" s="15"/>
      <c r="F4148" s="20"/>
    </row>
    <row r="4149" spans="2:6" ht="17.25" customHeight="1">
      <c r="B4149" s="15"/>
      <c r="C4149" s="15"/>
      <c r="D4149" s="15"/>
      <c r="E4149" s="15"/>
      <c r="F4149" s="20"/>
    </row>
    <row r="4150" spans="2:6" ht="17.25" customHeight="1">
      <c r="B4150" s="15"/>
      <c r="C4150" s="15"/>
      <c r="D4150" s="15"/>
      <c r="E4150" s="15"/>
      <c r="F4150" s="20"/>
    </row>
    <row r="4151" spans="2:6" ht="17.25" customHeight="1">
      <c r="B4151" s="15"/>
      <c r="C4151" s="15"/>
      <c r="D4151" s="15"/>
      <c r="E4151" s="15"/>
      <c r="F4151" s="20"/>
    </row>
    <row r="4152" spans="2:6" ht="17.25" customHeight="1">
      <c r="B4152" s="15"/>
      <c r="C4152" s="15"/>
      <c r="D4152" s="15"/>
      <c r="E4152" s="15"/>
      <c r="F4152" s="20"/>
    </row>
    <row r="4153" spans="2:6" ht="17.25" customHeight="1">
      <c r="B4153" s="15"/>
      <c r="C4153" s="15"/>
      <c r="D4153" s="15"/>
      <c r="E4153" s="15"/>
      <c r="F4153" s="20"/>
    </row>
    <row r="4154" spans="2:6" ht="17.25" customHeight="1">
      <c r="B4154" s="15"/>
      <c r="C4154" s="15"/>
      <c r="D4154" s="15"/>
      <c r="E4154" s="15"/>
      <c r="F4154" s="20"/>
    </row>
    <row r="4155" spans="2:6" ht="17.25" customHeight="1">
      <c r="B4155" s="15"/>
      <c r="C4155" s="15"/>
      <c r="D4155" s="15"/>
      <c r="E4155" s="15"/>
      <c r="F4155" s="20"/>
    </row>
    <row r="4156" spans="2:6" ht="17.25" customHeight="1">
      <c r="B4156" s="15"/>
      <c r="C4156" s="15"/>
      <c r="D4156" s="15"/>
      <c r="E4156" s="15"/>
      <c r="F4156" s="20"/>
    </row>
    <row r="4157" spans="2:6" ht="17.25" customHeight="1">
      <c r="B4157" s="15"/>
      <c r="C4157" s="15"/>
      <c r="D4157" s="15"/>
      <c r="E4157" s="15"/>
      <c r="F4157" s="20"/>
    </row>
    <row r="4158" spans="2:6" ht="17.25" customHeight="1">
      <c r="B4158" s="15"/>
      <c r="C4158" s="15"/>
      <c r="D4158" s="15"/>
      <c r="E4158" s="15"/>
      <c r="F4158" s="20"/>
    </row>
    <row r="4159" spans="2:6" ht="17.25" customHeight="1">
      <c r="B4159" s="15"/>
      <c r="C4159" s="15"/>
      <c r="D4159" s="15"/>
      <c r="E4159" s="15"/>
      <c r="F4159" s="20"/>
    </row>
    <row r="4160" spans="2:6" ht="17.25" customHeight="1">
      <c r="B4160" s="15"/>
      <c r="C4160" s="15"/>
      <c r="D4160" s="15"/>
      <c r="E4160" s="15"/>
      <c r="F4160" s="20"/>
    </row>
    <row r="4161" spans="2:6" ht="17.25" customHeight="1">
      <c r="B4161" s="15"/>
      <c r="C4161" s="15"/>
      <c r="D4161" s="15"/>
      <c r="E4161" s="15"/>
      <c r="F4161" s="20"/>
    </row>
    <row r="4162" spans="2:6" ht="17.25" customHeight="1">
      <c r="B4162" s="15"/>
      <c r="C4162" s="15"/>
      <c r="D4162" s="15"/>
      <c r="E4162" s="15"/>
      <c r="F4162" s="20"/>
    </row>
    <row r="4163" spans="2:6" ht="17.25" customHeight="1">
      <c r="B4163" s="15"/>
      <c r="C4163" s="15"/>
      <c r="D4163" s="15"/>
      <c r="E4163" s="15"/>
      <c r="F4163" s="20"/>
    </row>
    <row r="4164" spans="2:6" ht="17.25" customHeight="1">
      <c r="B4164" s="15"/>
      <c r="C4164" s="15"/>
      <c r="D4164" s="15"/>
      <c r="E4164" s="15"/>
      <c r="F4164" s="20"/>
    </row>
    <row r="4165" spans="2:6" ht="17.25" customHeight="1">
      <c r="B4165" s="15"/>
      <c r="C4165" s="15"/>
      <c r="D4165" s="15"/>
      <c r="E4165" s="15"/>
      <c r="F4165" s="20"/>
    </row>
    <row r="4166" spans="2:6" ht="17.25" customHeight="1">
      <c r="B4166" s="15"/>
      <c r="C4166" s="15"/>
      <c r="D4166" s="15"/>
      <c r="E4166" s="15"/>
      <c r="F4166" s="20"/>
    </row>
    <row r="4167" spans="2:6" ht="17.25" customHeight="1">
      <c r="B4167" s="15"/>
      <c r="C4167" s="15"/>
      <c r="D4167" s="15"/>
      <c r="E4167" s="15"/>
      <c r="F4167" s="20"/>
    </row>
    <row r="4168" spans="2:6" ht="17.25" customHeight="1">
      <c r="B4168" s="15"/>
      <c r="C4168" s="15"/>
      <c r="D4168" s="15"/>
      <c r="E4168" s="15"/>
      <c r="F4168" s="20"/>
    </row>
    <row r="4169" spans="2:6" ht="17.25" customHeight="1">
      <c r="B4169" s="15"/>
      <c r="C4169" s="15"/>
      <c r="D4169" s="15"/>
      <c r="E4169" s="15"/>
      <c r="F4169" s="20"/>
    </row>
    <row r="4170" spans="2:6" ht="17.25" customHeight="1">
      <c r="B4170" s="15"/>
      <c r="C4170" s="15"/>
      <c r="D4170" s="15"/>
      <c r="E4170" s="15"/>
      <c r="F4170" s="20"/>
    </row>
    <row r="4171" spans="2:6" ht="17.25" customHeight="1">
      <c r="B4171" s="15"/>
      <c r="C4171" s="15"/>
      <c r="D4171" s="15"/>
      <c r="E4171" s="15"/>
      <c r="F4171" s="20"/>
    </row>
    <row r="4172" spans="2:6" ht="17.25" customHeight="1">
      <c r="B4172" s="15"/>
      <c r="C4172" s="15"/>
      <c r="D4172" s="15"/>
      <c r="E4172" s="15"/>
      <c r="F4172" s="20"/>
    </row>
    <row r="4173" spans="2:6" ht="17.25" customHeight="1">
      <c r="B4173" s="15"/>
      <c r="C4173" s="15"/>
      <c r="D4173" s="15"/>
      <c r="E4173" s="15"/>
      <c r="F4173" s="20"/>
    </row>
    <row r="4174" spans="2:6" ht="17.25" customHeight="1">
      <c r="B4174" s="15"/>
      <c r="C4174" s="15"/>
      <c r="D4174" s="15"/>
      <c r="E4174" s="15"/>
      <c r="F4174" s="20"/>
    </row>
    <row r="4175" spans="2:6" ht="17.25" customHeight="1">
      <c r="B4175" s="15"/>
      <c r="C4175" s="15"/>
      <c r="D4175" s="15"/>
      <c r="E4175" s="15"/>
      <c r="F4175" s="20"/>
    </row>
    <row r="4176" spans="2:6" ht="17.25" customHeight="1">
      <c r="B4176" s="15"/>
      <c r="C4176" s="15"/>
      <c r="D4176" s="15"/>
      <c r="E4176" s="15"/>
      <c r="F4176" s="20"/>
    </row>
    <row r="4177" spans="2:6" ht="17.25" customHeight="1">
      <c r="B4177" s="15"/>
      <c r="C4177" s="15"/>
      <c r="D4177" s="15"/>
      <c r="E4177" s="15"/>
      <c r="F4177" s="20"/>
    </row>
    <row r="4178" spans="2:6" ht="17.25" customHeight="1">
      <c r="B4178" s="15"/>
      <c r="C4178" s="15"/>
      <c r="D4178" s="15"/>
      <c r="E4178" s="15"/>
      <c r="F4178" s="20"/>
    </row>
    <row r="4179" spans="2:6" ht="17.25" customHeight="1">
      <c r="B4179" s="15"/>
      <c r="C4179" s="15"/>
      <c r="D4179" s="15"/>
      <c r="E4179" s="15"/>
      <c r="F4179" s="20"/>
    </row>
    <row r="4180" spans="2:6" ht="17.25" customHeight="1">
      <c r="B4180" s="15"/>
      <c r="C4180" s="15"/>
      <c r="D4180" s="15"/>
      <c r="E4180" s="15"/>
      <c r="F4180" s="20"/>
    </row>
    <row r="4181" spans="2:6" ht="17.25" customHeight="1">
      <c r="B4181" s="15"/>
      <c r="C4181" s="15"/>
      <c r="D4181" s="15"/>
      <c r="E4181" s="15"/>
      <c r="F4181" s="20"/>
    </row>
    <row r="4182" spans="2:6" ht="17.25" customHeight="1">
      <c r="B4182" s="15"/>
      <c r="C4182" s="15"/>
      <c r="D4182" s="15"/>
      <c r="E4182" s="15"/>
      <c r="F4182" s="20"/>
    </row>
    <row r="4183" spans="2:6" ht="17.25" customHeight="1">
      <c r="B4183" s="15"/>
      <c r="C4183" s="15"/>
      <c r="D4183" s="15"/>
      <c r="E4183" s="15"/>
      <c r="F4183" s="20"/>
    </row>
    <row r="4184" spans="2:6" ht="17.25" customHeight="1">
      <c r="B4184" s="15"/>
      <c r="C4184" s="15"/>
      <c r="D4184" s="15"/>
      <c r="E4184" s="15"/>
      <c r="F4184" s="20"/>
    </row>
    <row r="4185" spans="2:6" ht="17.25" customHeight="1">
      <c r="B4185" s="15"/>
      <c r="C4185" s="15"/>
      <c r="D4185" s="15"/>
      <c r="E4185" s="15"/>
      <c r="F4185" s="20"/>
    </row>
    <row r="4186" spans="2:6" ht="17.25" customHeight="1">
      <c r="B4186" s="15"/>
      <c r="C4186" s="15"/>
      <c r="D4186" s="15"/>
      <c r="E4186" s="15"/>
      <c r="F4186" s="20"/>
    </row>
    <row r="4187" spans="2:6" ht="17.25" customHeight="1">
      <c r="B4187" s="15"/>
      <c r="C4187" s="15"/>
      <c r="D4187" s="15"/>
      <c r="E4187" s="15"/>
      <c r="F4187" s="20"/>
    </row>
    <row r="4188" spans="2:6" ht="17.25" customHeight="1">
      <c r="B4188" s="15"/>
      <c r="C4188" s="15"/>
      <c r="D4188" s="15"/>
      <c r="E4188" s="15"/>
      <c r="F4188" s="20"/>
    </row>
    <row r="4189" spans="2:6" ht="17.25" customHeight="1">
      <c r="B4189" s="15"/>
      <c r="C4189" s="15"/>
      <c r="D4189" s="15"/>
      <c r="E4189" s="15"/>
      <c r="F4189" s="20"/>
    </row>
    <row r="4190" spans="2:6" ht="17.25" customHeight="1">
      <c r="B4190" s="15"/>
      <c r="C4190" s="15"/>
      <c r="D4190" s="15"/>
      <c r="E4190" s="15"/>
      <c r="F4190" s="20"/>
    </row>
    <row r="4191" spans="2:6" ht="17.25" customHeight="1">
      <c r="B4191" s="15"/>
      <c r="C4191" s="15"/>
      <c r="D4191" s="15"/>
      <c r="E4191" s="15"/>
      <c r="F4191" s="20"/>
    </row>
    <row r="4192" spans="2:6" ht="17.25" customHeight="1">
      <c r="B4192" s="15"/>
      <c r="C4192" s="15"/>
      <c r="D4192" s="15"/>
      <c r="E4192" s="15"/>
      <c r="F4192" s="20"/>
    </row>
    <row r="4193" spans="2:6" ht="17.25" customHeight="1">
      <c r="B4193" s="15"/>
      <c r="C4193" s="15"/>
      <c r="D4193" s="15"/>
      <c r="E4193" s="15"/>
      <c r="F4193" s="20"/>
    </row>
    <row r="4194" spans="2:6" ht="17.25" customHeight="1">
      <c r="B4194" s="15"/>
      <c r="C4194" s="15"/>
      <c r="D4194" s="15"/>
      <c r="E4194" s="15"/>
      <c r="F4194" s="20"/>
    </row>
    <row r="4195" spans="2:6" ht="17.25" customHeight="1">
      <c r="B4195" s="15"/>
      <c r="C4195" s="15"/>
      <c r="D4195" s="15"/>
      <c r="E4195" s="15"/>
      <c r="F4195" s="20"/>
    </row>
    <row r="4196" spans="2:6" ht="17.25" customHeight="1">
      <c r="B4196" s="15"/>
      <c r="C4196" s="15"/>
      <c r="D4196" s="15"/>
      <c r="E4196" s="15"/>
      <c r="F4196" s="20"/>
    </row>
    <row r="4197" spans="2:6" ht="17.25" customHeight="1">
      <c r="B4197" s="15"/>
      <c r="C4197" s="15"/>
      <c r="D4197" s="15"/>
      <c r="E4197" s="15"/>
      <c r="F4197" s="20"/>
    </row>
    <row r="4198" spans="2:6" ht="17.25" customHeight="1">
      <c r="B4198" s="15"/>
      <c r="C4198" s="15"/>
      <c r="D4198" s="15"/>
      <c r="E4198" s="15"/>
      <c r="F4198" s="20"/>
    </row>
    <row r="4199" spans="2:6" ht="17.25" customHeight="1">
      <c r="B4199" s="15"/>
      <c r="C4199" s="15"/>
      <c r="D4199" s="15"/>
      <c r="E4199" s="15"/>
      <c r="F4199" s="20"/>
    </row>
    <row r="4200" spans="2:6" ht="17.25" customHeight="1">
      <c r="B4200" s="15"/>
      <c r="C4200" s="15"/>
      <c r="D4200" s="15"/>
      <c r="E4200" s="15"/>
      <c r="F4200" s="20"/>
    </row>
    <row r="4201" spans="2:6" ht="17.25" customHeight="1">
      <c r="B4201" s="15"/>
      <c r="C4201" s="15"/>
      <c r="D4201" s="15"/>
      <c r="E4201" s="15"/>
      <c r="F4201" s="20"/>
    </row>
    <row r="4202" spans="2:6" ht="17.25" customHeight="1">
      <c r="B4202" s="15"/>
      <c r="C4202" s="15"/>
      <c r="D4202" s="15"/>
      <c r="E4202" s="15"/>
      <c r="F4202" s="20"/>
    </row>
    <row r="4203" spans="2:6" ht="17.25" customHeight="1">
      <c r="B4203" s="15"/>
      <c r="C4203" s="15"/>
      <c r="D4203" s="15"/>
      <c r="E4203" s="15"/>
      <c r="F4203" s="20"/>
    </row>
    <row r="4204" spans="2:6" ht="17.25" customHeight="1">
      <c r="B4204" s="15"/>
      <c r="C4204" s="15"/>
      <c r="D4204" s="15"/>
      <c r="E4204" s="15"/>
      <c r="F4204" s="20"/>
    </row>
    <row r="4205" spans="2:6" ht="17.25" customHeight="1">
      <c r="B4205" s="15"/>
      <c r="C4205" s="15"/>
      <c r="D4205" s="15"/>
      <c r="E4205" s="15"/>
      <c r="F4205" s="20"/>
    </row>
    <row r="4206" spans="2:6" ht="17.25" customHeight="1">
      <c r="B4206" s="15"/>
      <c r="C4206" s="15"/>
      <c r="D4206" s="15"/>
      <c r="E4206" s="15"/>
      <c r="F4206" s="20"/>
    </row>
    <row r="4207" spans="2:6" ht="17.25" customHeight="1">
      <c r="B4207" s="15"/>
      <c r="C4207" s="15"/>
      <c r="D4207" s="15"/>
      <c r="E4207" s="15"/>
      <c r="F4207" s="20"/>
    </row>
    <row r="4208" spans="2:6" ht="17.25" customHeight="1">
      <c r="B4208" s="15"/>
      <c r="C4208" s="15"/>
      <c r="D4208" s="15"/>
      <c r="E4208" s="15"/>
      <c r="F4208" s="20"/>
    </row>
    <row r="4209" spans="2:6" ht="17.25" customHeight="1">
      <c r="B4209" s="15"/>
      <c r="C4209" s="15"/>
      <c r="D4209" s="15"/>
      <c r="E4209" s="15"/>
      <c r="F4209" s="20"/>
    </row>
    <row r="4210" spans="2:6" ht="17.25" customHeight="1">
      <c r="B4210" s="15"/>
      <c r="C4210" s="15"/>
      <c r="D4210" s="15"/>
      <c r="E4210" s="15"/>
      <c r="F4210" s="20"/>
    </row>
    <row r="4211" spans="2:6" ht="17.25" customHeight="1">
      <c r="B4211" s="15"/>
      <c r="C4211" s="15"/>
      <c r="D4211" s="15"/>
      <c r="E4211" s="15"/>
      <c r="F4211" s="20"/>
    </row>
    <row r="4212" spans="2:6" ht="17.25" customHeight="1">
      <c r="B4212" s="15"/>
      <c r="C4212" s="15"/>
      <c r="D4212" s="15"/>
      <c r="E4212" s="15"/>
      <c r="F4212" s="20"/>
    </row>
    <row r="4213" spans="2:6" ht="17.25" customHeight="1">
      <c r="B4213" s="15"/>
      <c r="C4213" s="15"/>
      <c r="D4213" s="15"/>
      <c r="E4213" s="15"/>
      <c r="F4213" s="20"/>
    </row>
    <row r="4214" spans="2:6" ht="17.25" customHeight="1">
      <c r="B4214" s="15"/>
      <c r="C4214" s="15"/>
      <c r="D4214" s="15"/>
      <c r="E4214" s="15"/>
      <c r="F4214" s="20"/>
    </row>
    <row r="4215" spans="2:6" ht="17.25" customHeight="1">
      <c r="B4215" s="15"/>
      <c r="C4215" s="15"/>
      <c r="D4215" s="15"/>
      <c r="E4215" s="15"/>
      <c r="F4215" s="20"/>
    </row>
    <row r="4216" spans="2:6" ht="17.25" customHeight="1">
      <c r="B4216" s="15"/>
      <c r="C4216" s="15"/>
      <c r="D4216" s="15"/>
      <c r="E4216" s="15"/>
      <c r="F4216" s="20"/>
    </row>
    <row r="4217" spans="2:6" ht="17.25" customHeight="1">
      <c r="B4217" s="15"/>
      <c r="C4217" s="15"/>
      <c r="D4217" s="15"/>
      <c r="E4217" s="15"/>
      <c r="F4217" s="20"/>
    </row>
    <row r="4218" spans="2:6" ht="17.25" customHeight="1">
      <c r="B4218" s="15"/>
      <c r="C4218" s="15"/>
      <c r="D4218" s="15"/>
      <c r="E4218" s="15"/>
      <c r="F4218" s="20"/>
    </row>
    <row r="4219" spans="2:6" ht="17.25" customHeight="1">
      <c r="B4219" s="15"/>
      <c r="C4219" s="15"/>
      <c r="D4219" s="15"/>
      <c r="E4219" s="15"/>
      <c r="F4219" s="20"/>
    </row>
    <row r="4220" spans="2:6" ht="17.25" customHeight="1">
      <c r="B4220" s="15"/>
      <c r="C4220" s="15"/>
      <c r="D4220" s="15"/>
      <c r="E4220" s="15"/>
      <c r="F4220" s="20"/>
    </row>
    <row r="4221" spans="2:6" ht="17.25" customHeight="1">
      <c r="B4221" s="15"/>
      <c r="C4221" s="15"/>
      <c r="D4221" s="15"/>
      <c r="E4221" s="15"/>
      <c r="F4221" s="20"/>
    </row>
    <row r="4222" spans="2:6" ht="17.25" customHeight="1">
      <c r="B4222" s="15"/>
      <c r="C4222" s="15"/>
      <c r="D4222" s="15"/>
      <c r="E4222" s="15"/>
      <c r="F4222" s="20"/>
    </row>
    <row r="4223" spans="2:6" ht="17.25" customHeight="1">
      <c r="B4223" s="15"/>
      <c r="C4223" s="15"/>
      <c r="D4223" s="15"/>
      <c r="E4223" s="15"/>
      <c r="F4223" s="20"/>
    </row>
    <row r="4224" spans="2:6" ht="17.25" customHeight="1">
      <c r="B4224" s="15"/>
      <c r="C4224" s="15"/>
      <c r="D4224" s="15"/>
      <c r="E4224" s="15"/>
      <c r="F4224" s="20"/>
    </row>
    <row r="4225" spans="2:6" ht="17.25" customHeight="1">
      <c r="B4225" s="15"/>
      <c r="C4225" s="15"/>
      <c r="D4225" s="15"/>
      <c r="E4225" s="15"/>
      <c r="F4225" s="20"/>
    </row>
    <row r="4226" spans="2:6" ht="17.25" customHeight="1">
      <c r="B4226" s="15"/>
      <c r="C4226" s="15"/>
      <c r="D4226" s="15"/>
      <c r="E4226" s="15"/>
      <c r="F4226" s="20"/>
    </row>
    <row r="4227" spans="2:6" ht="17.25" customHeight="1">
      <c r="B4227" s="15"/>
      <c r="C4227" s="15"/>
      <c r="D4227" s="15"/>
      <c r="E4227" s="15"/>
      <c r="F4227" s="20"/>
    </row>
    <row r="4228" spans="2:6" ht="17.25" customHeight="1">
      <c r="B4228" s="15"/>
      <c r="C4228" s="15"/>
      <c r="D4228" s="15"/>
      <c r="E4228" s="15"/>
      <c r="F4228" s="20"/>
    </row>
    <row r="4229" spans="2:6" ht="17.25" customHeight="1">
      <c r="B4229" s="15"/>
      <c r="C4229" s="15"/>
      <c r="D4229" s="15"/>
      <c r="E4229" s="15"/>
      <c r="F4229" s="20"/>
    </row>
    <row r="4230" spans="2:6" ht="17.25" customHeight="1">
      <c r="B4230" s="15"/>
      <c r="C4230" s="15"/>
      <c r="D4230" s="15"/>
      <c r="E4230" s="15"/>
      <c r="F4230" s="20"/>
    </row>
    <row r="4231" spans="2:6" ht="17.25" customHeight="1">
      <c r="B4231" s="15"/>
      <c r="C4231" s="15"/>
      <c r="D4231" s="15"/>
      <c r="E4231" s="15"/>
      <c r="F4231" s="20"/>
    </row>
    <row r="4232" spans="2:6" ht="17.25" customHeight="1">
      <c r="B4232" s="15"/>
      <c r="C4232" s="15"/>
      <c r="D4232" s="15"/>
      <c r="E4232" s="15"/>
      <c r="F4232" s="20"/>
    </row>
    <row r="4233" spans="2:6" ht="17.25" customHeight="1">
      <c r="B4233" s="15"/>
      <c r="C4233" s="15"/>
      <c r="D4233" s="15"/>
      <c r="E4233" s="15"/>
      <c r="F4233" s="20"/>
    </row>
    <row r="4234" spans="2:6" ht="17.25" customHeight="1">
      <c r="B4234" s="15"/>
      <c r="C4234" s="15"/>
      <c r="D4234" s="15"/>
      <c r="E4234" s="15"/>
      <c r="F4234" s="20"/>
    </row>
    <row r="4235" spans="2:6" ht="17.25" customHeight="1">
      <c r="B4235" s="15"/>
      <c r="C4235" s="15"/>
      <c r="D4235" s="15"/>
      <c r="E4235" s="15"/>
      <c r="F4235" s="20"/>
    </row>
    <row r="4236" spans="2:6" ht="17.25" customHeight="1">
      <c r="B4236" s="15"/>
      <c r="C4236" s="15"/>
      <c r="D4236" s="15"/>
      <c r="E4236" s="15"/>
      <c r="F4236" s="20"/>
    </row>
    <row r="4237" spans="2:6" ht="17.25" customHeight="1">
      <c r="B4237" s="15"/>
      <c r="C4237" s="15"/>
      <c r="D4237" s="15"/>
      <c r="E4237" s="15"/>
      <c r="F4237" s="20"/>
    </row>
    <row r="4238" spans="2:6" ht="17.25" customHeight="1">
      <c r="B4238" s="15"/>
      <c r="C4238" s="15"/>
      <c r="D4238" s="15"/>
      <c r="E4238" s="15"/>
      <c r="F4238" s="20"/>
    </row>
    <row r="4239" spans="2:6" ht="17.25" customHeight="1">
      <c r="B4239" s="15"/>
      <c r="C4239" s="15"/>
      <c r="D4239" s="15"/>
      <c r="E4239" s="15"/>
      <c r="F4239" s="20"/>
    </row>
    <row r="4240" spans="2:6" ht="17.25" customHeight="1">
      <c r="B4240" s="15"/>
      <c r="C4240" s="15"/>
      <c r="D4240" s="15"/>
      <c r="E4240" s="15"/>
      <c r="F4240" s="20"/>
    </row>
    <row r="4241" spans="2:6" ht="17.25" customHeight="1">
      <c r="B4241" s="15"/>
      <c r="C4241" s="15"/>
      <c r="D4241" s="15"/>
      <c r="E4241" s="15"/>
      <c r="F4241" s="20"/>
    </row>
    <row r="4242" spans="2:6" ht="17.25" customHeight="1">
      <c r="B4242" s="15"/>
      <c r="C4242" s="15"/>
      <c r="D4242" s="15"/>
      <c r="E4242" s="15"/>
      <c r="F4242" s="20"/>
    </row>
    <row r="4243" spans="2:6" ht="17.25" customHeight="1">
      <c r="B4243" s="15"/>
      <c r="C4243" s="15"/>
      <c r="D4243" s="15"/>
      <c r="E4243" s="15"/>
      <c r="F4243" s="20"/>
    </row>
    <row r="4244" spans="2:6" ht="17.25" customHeight="1">
      <c r="B4244" s="15"/>
      <c r="C4244" s="15"/>
      <c r="D4244" s="15"/>
      <c r="E4244" s="15"/>
      <c r="F4244" s="20"/>
    </row>
    <row r="4245" spans="2:6" ht="17.25" customHeight="1">
      <c r="B4245" s="15"/>
      <c r="C4245" s="15"/>
      <c r="D4245" s="15"/>
      <c r="E4245" s="15"/>
      <c r="F4245" s="20"/>
    </row>
    <row r="4246" spans="2:6" ht="17.25" customHeight="1">
      <c r="B4246" s="15"/>
      <c r="C4246" s="15"/>
      <c r="D4246" s="15"/>
      <c r="E4246" s="15"/>
      <c r="F4246" s="20"/>
    </row>
    <row r="4247" spans="2:6" ht="17.25" customHeight="1">
      <c r="B4247" s="15"/>
      <c r="C4247" s="15"/>
      <c r="D4247" s="15"/>
      <c r="E4247" s="15"/>
      <c r="F4247" s="20"/>
    </row>
    <row r="4248" spans="2:6" ht="17.25" customHeight="1">
      <c r="B4248" s="15"/>
      <c r="C4248" s="15"/>
      <c r="D4248" s="15"/>
      <c r="E4248" s="15"/>
      <c r="F4248" s="20"/>
    </row>
    <row r="4249" spans="2:6" ht="17.25" customHeight="1">
      <c r="B4249" s="15"/>
      <c r="C4249" s="15"/>
      <c r="D4249" s="15"/>
      <c r="E4249" s="15"/>
      <c r="F4249" s="20"/>
    </row>
    <row r="4250" spans="2:6" ht="17.25" customHeight="1">
      <c r="B4250" s="15"/>
      <c r="C4250" s="15"/>
      <c r="D4250" s="15"/>
      <c r="E4250" s="15"/>
      <c r="F4250" s="20"/>
    </row>
    <row r="4251" spans="2:6" ht="17.25" customHeight="1">
      <c r="B4251" s="15"/>
      <c r="C4251" s="15"/>
      <c r="D4251" s="15"/>
      <c r="E4251" s="15"/>
      <c r="F4251" s="20"/>
    </row>
    <row r="4252" spans="2:6" ht="17.25" customHeight="1">
      <c r="B4252" s="15"/>
      <c r="C4252" s="15"/>
      <c r="D4252" s="15"/>
      <c r="E4252" s="15"/>
      <c r="F4252" s="20"/>
    </row>
    <row r="4253" spans="2:6" ht="17.25" customHeight="1">
      <c r="B4253" s="15"/>
      <c r="C4253" s="15"/>
      <c r="D4253" s="15"/>
      <c r="E4253" s="15"/>
      <c r="F4253" s="20"/>
    </row>
    <row r="4254" spans="2:6" ht="17.25" customHeight="1">
      <c r="B4254" s="15"/>
      <c r="C4254" s="15"/>
      <c r="D4254" s="15"/>
      <c r="E4254" s="15"/>
      <c r="F4254" s="20"/>
    </row>
    <row r="4255" spans="2:6" ht="17.25" customHeight="1">
      <c r="B4255" s="15"/>
      <c r="C4255" s="15"/>
      <c r="D4255" s="15"/>
      <c r="E4255" s="15"/>
      <c r="F4255" s="20"/>
    </row>
    <row r="4256" spans="2:6" ht="17.25" customHeight="1">
      <c r="B4256" s="15"/>
      <c r="C4256" s="15"/>
      <c r="D4256" s="15"/>
      <c r="E4256" s="15"/>
      <c r="F4256" s="20"/>
    </row>
    <row r="4257" spans="2:6" ht="17.25" customHeight="1">
      <c r="B4257" s="15"/>
      <c r="C4257" s="15"/>
      <c r="D4257" s="15"/>
      <c r="E4257" s="15"/>
      <c r="F4257" s="20"/>
    </row>
    <row r="4258" spans="2:6" ht="17.25" customHeight="1">
      <c r="B4258" s="15"/>
      <c r="C4258" s="15"/>
      <c r="D4258" s="15"/>
      <c r="E4258" s="15"/>
      <c r="F4258" s="20"/>
    </row>
    <row r="4259" spans="2:6" ht="17.25" customHeight="1">
      <c r="B4259" s="15"/>
      <c r="C4259" s="15"/>
      <c r="D4259" s="15"/>
      <c r="E4259" s="15"/>
      <c r="F4259" s="20"/>
    </row>
    <row r="4260" spans="2:6" ht="17.25" customHeight="1">
      <c r="B4260" s="15"/>
      <c r="C4260" s="15"/>
      <c r="D4260" s="15"/>
      <c r="E4260" s="15"/>
      <c r="F4260" s="20"/>
    </row>
    <row r="4261" spans="2:6" ht="17.25" customHeight="1">
      <c r="B4261" s="15"/>
      <c r="C4261" s="15"/>
      <c r="D4261" s="15"/>
      <c r="E4261" s="15"/>
      <c r="F4261" s="20"/>
    </row>
    <row r="4262" spans="2:6" ht="17.25" customHeight="1">
      <c r="B4262" s="15"/>
      <c r="C4262" s="15"/>
      <c r="D4262" s="15"/>
      <c r="E4262" s="15"/>
      <c r="F4262" s="20"/>
    </row>
    <row r="4263" spans="2:6" ht="17.25" customHeight="1">
      <c r="B4263" s="15"/>
      <c r="C4263" s="15"/>
      <c r="D4263" s="15"/>
      <c r="E4263" s="15"/>
      <c r="F4263" s="20"/>
    </row>
    <row r="4264" spans="2:6" ht="17.25" customHeight="1">
      <c r="B4264" s="15"/>
      <c r="C4264" s="15"/>
      <c r="D4264" s="15"/>
      <c r="E4264" s="15"/>
      <c r="F4264" s="20"/>
    </row>
    <row r="4265" spans="2:6" ht="17.25" customHeight="1">
      <c r="B4265" s="15"/>
      <c r="C4265" s="15"/>
      <c r="D4265" s="15"/>
      <c r="E4265" s="15"/>
      <c r="F4265" s="20"/>
    </row>
    <row r="4266" spans="2:6" ht="17.25" customHeight="1">
      <c r="B4266" s="15"/>
      <c r="C4266" s="15"/>
      <c r="D4266" s="15"/>
      <c r="E4266" s="15"/>
      <c r="F4266" s="20"/>
    </row>
    <row r="4267" spans="2:6" ht="17.25" customHeight="1">
      <c r="B4267" s="15"/>
      <c r="C4267" s="15"/>
      <c r="D4267" s="15"/>
      <c r="E4267" s="15"/>
      <c r="F4267" s="20"/>
    </row>
    <row r="4268" spans="2:6" ht="17.25" customHeight="1">
      <c r="B4268" s="15"/>
      <c r="C4268" s="15"/>
      <c r="D4268" s="15"/>
      <c r="E4268" s="15"/>
      <c r="F4268" s="20"/>
    </row>
    <row r="4269" spans="2:6" ht="17.25" customHeight="1">
      <c r="B4269" s="15"/>
      <c r="C4269" s="15"/>
      <c r="D4269" s="15"/>
      <c r="E4269" s="15"/>
      <c r="F4269" s="20"/>
    </row>
    <row r="4270" spans="2:6" ht="17.25" customHeight="1">
      <c r="B4270" s="15"/>
      <c r="C4270" s="15"/>
      <c r="D4270" s="15"/>
      <c r="E4270" s="15"/>
      <c r="F4270" s="20"/>
    </row>
    <row r="4271" spans="2:6" ht="17.25" customHeight="1">
      <c r="B4271" s="15"/>
      <c r="C4271" s="15"/>
      <c r="D4271" s="15"/>
      <c r="E4271" s="15"/>
      <c r="F4271" s="20"/>
    </row>
    <row r="4272" spans="2:6" ht="17.25" customHeight="1">
      <c r="B4272" s="15"/>
      <c r="C4272" s="15"/>
      <c r="D4272" s="15"/>
      <c r="E4272" s="15"/>
      <c r="F4272" s="20"/>
    </row>
    <row r="4273" spans="2:6" ht="17.25" customHeight="1">
      <c r="B4273" s="15"/>
      <c r="C4273" s="15"/>
      <c r="D4273" s="15"/>
      <c r="E4273" s="15"/>
      <c r="F4273" s="20"/>
    </row>
    <row r="4274" spans="2:6" ht="17.25" customHeight="1">
      <c r="B4274" s="15"/>
      <c r="C4274" s="15"/>
      <c r="D4274" s="15"/>
      <c r="E4274" s="15"/>
      <c r="F4274" s="20"/>
    </row>
    <row r="4275" spans="2:6" ht="17.25" customHeight="1">
      <c r="B4275" s="15"/>
      <c r="C4275" s="15"/>
      <c r="D4275" s="15"/>
      <c r="E4275" s="15"/>
      <c r="F4275" s="20"/>
    </row>
    <row r="4276" spans="2:6" ht="17.25" customHeight="1">
      <c r="B4276" s="15"/>
      <c r="C4276" s="15"/>
      <c r="D4276" s="15"/>
      <c r="E4276" s="15"/>
      <c r="F4276" s="20"/>
    </row>
    <row r="4277" spans="2:6" ht="17.25" customHeight="1">
      <c r="B4277" s="15"/>
      <c r="C4277" s="15"/>
      <c r="D4277" s="15"/>
      <c r="E4277" s="15"/>
      <c r="F4277" s="20"/>
    </row>
    <row r="4278" spans="2:6" ht="17.25" customHeight="1">
      <c r="B4278" s="15"/>
      <c r="C4278" s="15"/>
      <c r="D4278" s="15"/>
      <c r="E4278" s="15"/>
      <c r="F4278" s="20"/>
    </row>
    <row r="4279" spans="2:6" ht="17.25" customHeight="1">
      <c r="B4279" s="15"/>
      <c r="C4279" s="15"/>
      <c r="D4279" s="15"/>
      <c r="E4279" s="15"/>
      <c r="F4279" s="20"/>
    </row>
    <row r="4280" spans="2:6" ht="17.25" customHeight="1">
      <c r="B4280" s="15"/>
      <c r="C4280" s="15"/>
      <c r="D4280" s="15"/>
      <c r="E4280" s="15"/>
      <c r="F4280" s="20"/>
    </row>
    <row r="4281" spans="2:6" ht="17.25" customHeight="1">
      <c r="B4281" s="15"/>
      <c r="C4281" s="15"/>
      <c r="D4281" s="15"/>
      <c r="E4281" s="15"/>
      <c r="F4281" s="20"/>
    </row>
    <row r="4282" spans="2:6" ht="17.25" customHeight="1">
      <c r="B4282" s="15"/>
      <c r="C4282" s="15"/>
      <c r="D4282" s="15"/>
      <c r="E4282" s="15"/>
      <c r="F4282" s="20"/>
    </row>
    <row r="4283" spans="2:6" ht="17.25" customHeight="1">
      <c r="B4283" s="15"/>
      <c r="C4283" s="15"/>
      <c r="D4283" s="15"/>
      <c r="E4283" s="15"/>
      <c r="F4283" s="20"/>
    </row>
    <row r="4284" spans="2:6" ht="17.25" customHeight="1">
      <c r="B4284" s="15"/>
      <c r="C4284" s="15"/>
      <c r="D4284" s="15"/>
      <c r="E4284" s="15"/>
      <c r="F4284" s="20"/>
    </row>
    <row r="4285" spans="2:6" ht="17.25" customHeight="1">
      <c r="B4285" s="15"/>
      <c r="C4285" s="15"/>
      <c r="D4285" s="15"/>
      <c r="E4285" s="15"/>
      <c r="F4285" s="20"/>
    </row>
    <row r="4286" spans="2:6" ht="17.25" customHeight="1">
      <c r="B4286" s="15"/>
      <c r="C4286" s="15"/>
      <c r="D4286" s="15"/>
      <c r="E4286" s="15"/>
      <c r="F4286" s="20"/>
    </row>
    <row r="4287" spans="2:6" ht="17.25" customHeight="1">
      <c r="B4287" s="15"/>
      <c r="C4287" s="15"/>
      <c r="D4287" s="15"/>
      <c r="E4287" s="15"/>
      <c r="F4287" s="20"/>
    </row>
    <row r="4288" spans="2:6" ht="17.25" customHeight="1">
      <c r="B4288" s="15"/>
      <c r="C4288" s="15"/>
      <c r="D4288" s="15"/>
      <c r="E4288" s="15"/>
      <c r="F4288" s="20"/>
    </row>
    <row r="4289" spans="2:6" ht="17.25" customHeight="1">
      <c r="B4289" s="15"/>
      <c r="C4289" s="15"/>
      <c r="D4289" s="15"/>
      <c r="E4289" s="15"/>
      <c r="F4289" s="20"/>
    </row>
    <row r="4290" spans="2:6" ht="17.25" customHeight="1">
      <c r="B4290" s="15"/>
      <c r="C4290" s="15"/>
      <c r="D4290" s="15"/>
      <c r="E4290" s="15"/>
      <c r="F4290" s="20"/>
    </row>
    <row r="4291" spans="2:6" ht="17.25" customHeight="1">
      <c r="B4291" s="15"/>
      <c r="C4291" s="15"/>
      <c r="D4291" s="15"/>
      <c r="E4291" s="15"/>
      <c r="F4291" s="20"/>
    </row>
    <row r="4292" spans="2:6" ht="17.25" customHeight="1">
      <c r="B4292" s="15"/>
      <c r="C4292" s="15"/>
      <c r="D4292" s="15"/>
      <c r="E4292" s="15"/>
      <c r="F4292" s="20"/>
    </row>
    <row r="4293" spans="2:6" ht="17.25" customHeight="1">
      <c r="B4293" s="15"/>
      <c r="C4293" s="15"/>
      <c r="D4293" s="15"/>
      <c r="E4293" s="15"/>
      <c r="F4293" s="20"/>
    </row>
    <row r="4294" spans="2:6" ht="17.25" customHeight="1">
      <c r="B4294" s="15"/>
      <c r="C4294" s="15"/>
      <c r="D4294" s="15"/>
      <c r="E4294" s="15"/>
      <c r="F4294" s="20"/>
    </row>
    <row r="4295" spans="2:6" ht="17.25" customHeight="1">
      <c r="B4295" s="15"/>
      <c r="C4295" s="15"/>
      <c r="D4295" s="15"/>
      <c r="E4295" s="15"/>
      <c r="F4295" s="20"/>
    </row>
    <row r="4296" spans="2:6" ht="17.25" customHeight="1">
      <c r="B4296" s="15"/>
      <c r="C4296" s="15"/>
      <c r="D4296" s="15"/>
      <c r="E4296" s="15"/>
      <c r="F4296" s="20"/>
    </row>
    <row r="4297" spans="2:6" ht="17.25" customHeight="1">
      <c r="B4297" s="15"/>
      <c r="C4297" s="15"/>
      <c r="D4297" s="15"/>
      <c r="E4297" s="15"/>
      <c r="F4297" s="20"/>
    </row>
    <row r="4298" spans="2:6" ht="17.25" customHeight="1">
      <c r="B4298" s="15"/>
      <c r="C4298" s="15"/>
      <c r="D4298" s="15"/>
      <c r="E4298" s="15"/>
      <c r="F4298" s="20"/>
    </row>
    <row r="4299" spans="2:6" ht="17.25" customHeight="1">
      <c r="B4299" s="15"/>
      <c r="C4299" s="15"/>
      <c r="D4299" s="15"/>
      <c r="E4299" s="15"/>
      <c r="F4299" s="20"/>
    </row>
    <row r="4300" spans="2:6" ht="17.25" customHeight="1">
      <c r="B4300" s="15"/>
      <c r="C4300" s="15"/>
      <c r="D4300" s="15"/>
      <c r="E4300" s="15"/>
      <c r="F4300" s="20"/>
    </row>
    <row r="4301" spans="2:6" ht="17.25" customHeight="1">
      <c r="B4301" s="15"/>
      <c r="C4301" s="15"/>
      <c r="D4301" s="15"/>
      <c r="E4301" s="15"/>
      <c r="F4301" s="20"/>
    </row>
    <row r="4302" spans="2:6" ht="17.25" customHeight="1">
      <c r="B4302" s="15"/>
      <c r="C4302" s="15"/>
      <c r="D4302" s="15"/>
      <c r="E4302" s="15"/>
      <c r="F4302" s="20"/>
    </row>
    <row r="4303" spans="2:6" ht="17.25" customHeight="1">
      <c r="B4303" s="15"/>
      <c r="C4303" s="15"/>
      <c r="D4303" s="15"/>
      <c r="E4303" s="15"/>
      <c r="F4303" s="20"/>
    </row>
    <row r="4304" spans="2:6" ht="17.25" customHeight="1">
      <c r="B4304" s="15"/>
      <c r="C4304" s="15"/>
      <c r="D4304" s="15"/>
      <c r="E4304" s="15"/>
      <c r="F4304" s="20"/>
    </row>
    <row r="4305" spans="2:6" ht="17.25" customHeight="1">
      <c r="B4305" s="15"/>
      <c r="C4305" s="15"/>
      <c r="D4305" s="15"/>
      <c r="E4305" s="15"/>
      <c r="F4305" s="20"/>
    </row>
    <row r="4306" spans="2:6" ht="17.25" customHeight="1">
      <c r="B4306" s="15"/>
      <c r="C4306" s="15"/>
      <c r="D4306" s="15"/>
      <c r="E4306" s="15"/>
      <c r="F4306" s="20"/>
    </row>
    <row r="4307" spans="2:6" ht="17.25" customHeight="1">
      <c r="B4307" s="15"/>
      <c r="C4307" s="15"/>
      <c r="D4307" s="15"/>
      <c r="E4307" s="15"/>
      <c r="F4307" s="20"/>
    </row>
    <row r="4308" spans="2:6" ht="17.25" customHeight="1">
      <c r="B4308" s="15"/>
      <c r="C4308" s="15"/>
      <c r="D4308" s="15"/>
      <c r="E4308" s="15"/>
      <c r="F4308" s="20"/>
    </row>
    <row r="4309" spans="2:6" ht="17.25" customHeight="1">
      <c r="B4309" s="15"/>
      <c r="C4309" s="15"/>
      <c r="D4309" s="15"/>
      <c r="E4309" s="15"/>
      <c r="F4309" s="20"/>
    </row>
    <row r="4310" spans="2:6" ht="17.25" customHeight="1">
      <c r="B4310" s="15"/>
      <c r="C4310" s="15"/>
      <c r="D4310" s="15"/>
      <c r="E4310" s="15"/>
      <c r="F4310" s="20"/>
    </row>
    <row r="4311" spans="2:6" ht="17.25" customHeight="1">
      <c r="B4311" s="15"/>
      <c r="C4311" s="15"/>
      <c r="D4311" s="15"/>
      <c r="E4311" s="15"/>
      <c r="F4311" s="20"/>
    </row>
    <row r="4312" spans="2:6" ht="17.25" customHeight="1">
      <c r="B4312" s="15"/>
      <c r="C4312" s="15"/>
      <c r="D4312" s="15"/>
      <c r="E4312" s="15"/>
      <c r="F4312" s="20"/>
    </row>
    <row r="4313" spans="2:6" ht="17.25" customHeight="1">
      <c r="B4313" s="15"/>
      <c r="C4313" s="15"/>
      <c r="D4313" s="15"/>
      <c r="E4313" s="15"/>
      <c r="F4313" s="20"/>
    </row>
    <row r="4314" spans="2:6" ht="17.25" customHeight="1">
      <c r="B4314" s="15"/>
      <c r="C4314" s="15"/>
      <c r="D4314" s="15"/>
      <c r="E4314" s="15"/>
      <c r="F4314" s="20"/>
    </row>
    <row r="4315" spans="2:6" ht="17.25" customHeight="1">
      <c r="B4315" s="15"/>
      <c r="C4315" s="15"/>
      <c r="D4315" s="15"/>
      <c r="E4315" s="15"/>
      <c r="F4315" s="20"/>
    </row>
    <row r="4316" spans="2:6" ht="17.25" customHeight="1">
      <c r="B4316" s="15"/>
      <c r="C4316" s="15"/>
      <c r="D4316" s="15"/>
      <c r="E4316" s="15"/>
      <c r="F4316" s="20"/>
    </row>
    <row r="4317" spans="2:6" ht="17.25" customHeight="1">
      <c r="B4317" s="15"/>
      <c r="C4317" s="15"/>
      <c r="D4317" s="15"/>
      <c r="E4317" s="15"/>
      <c r="F4317" s="20"/>
    </row>
    <row r="4318" spans="2:6" ht="17.25" customHeight="1">
      <c r="B4318" s="15"/>
      <c r="C4318" s="15"/>
      <c r="D4318" s="15"/>
      <c r="E4318" s="15"/>
      <c r="F4318" s="20"/>
    </row>
    <row r="4319" spans="2:6" ht="17.25" customHeight="1">
      <c r="B4319" s="15"/>
      <c r="C4319" s="15"/>
      <c r="D4319" s="15"/>
      <c r="E4319" s="15"/>
      <c r="F4319" s="20"/>
    </row>
    <row r="4320" spans="2:6" ht="17.25" customHeight="1">
      <c r="B4320" s="15"/>
      <c r="C4320" s="15"/>
      <c r="D4320" s="15"/>
      <c r="E4320" s="15"/>
      <c r="F4320" s="20"/>
    </row>
    <row r="4321" spans="2:6" ht="17.25" customHeight="1">
      <c r="B4321" s="15"/>
      <c r="C4321" s="15"/>
      <c r="D4321" s="15"/>
      <c r="E4321" s="15"/>
      <c r="F4321" s="20"/>
    </row>
    <row r="4322" spans="2:6" ht="17.25" customHeight="1">
      <c r="B4322" s="15"/>
      <c r="C4322" s="15"/>
      <c r="D4322" s="15"/>
      <c r="E4322" s="15"/>
      <c r="F4322" s="20"/>
    </row>
    <row r="4323" spans="2:6" ht="17.25" customHeight="1">
      <c r="B4323" s="15"/>
      <c r="C4323" s="15"/>
      <c r="D4323" s="15"/>
      <c r="E4323" s="15"/>
      <c r="F4323" s="20"/>
    </row>
    <row r="4324" spans="2:6" ht="17.25" customHeight="1">
      <c r="B4324" s="15"/>
      <c r="C4324" s="15"/>
      <c r="D4324" s="15"/>
      <c r="E4324" s="15"/>
      <c r="F4324" s="20"/>
    </row>
    <row r="4325" spans="2:6" ht="17.25" customHeight="1">
      <c r="B4325" s="15"/>
      <c r="C4325" s="15"/>
      <c r="D4325" s="15"/>
      <c r="E4325" s="15"/>
      <c r="F4325" s="20"/>
    </row>
    <row r="4326" spans="2:6" ht="17.25" customHeight="1">
      <c r="B4326" s="15"/>
      <c r="C4326" s="15"/>
      <c r="D4326" s="15"/>
      <c r="E4326" s="15"/>
      <c r="F4326" s="20"/>
    </row>
    <row r="4327" spans="2:6" ht="17.25" customHeight="1">
      <c r="B4327" s="15"/>
      <c r="C4327" s="15"/>
      <c r="D4327" s="15"/>
      <c r="E4327" s="15"/>
      <c r="F4327" s="20"/>
    </row>
    <row r="4328" spans="2:6" ht="17.25" customHeight="1">
      <c r="B4328" s="15"/>
      <c r="C4328" s="15"/>
      <c r="D4328" s="15"/>
      <c r="E4328" s="15"/>
      <c r="F4328" s="20"/>
    </row>
    <row r="4329" spans="2:6" ht="17.25" customHeight="1">
      <c r="B4329" s="15"/>
      <c r="C4329" s="15"/>
      <c r="D4329" s="15"/>
      <c r="E4329" s="15"/>
      <c r="F4329" s="20"/>
    </row>
    <row r="4330" spans="2:6" ht="17.25" customHeight="1">
      <c r="B4330" s="15"/>
      <c r="C4330" s="15"/>
      <c r="D4330" s="15"/>
      <c r="E4330" s="15"/>
      <c r="F4330" s="20"/>
    </row>
    <row r="4331" spans="2:6" ht="17.25" customHeight="1">
      <c r="B4331" s="15"/>
      <c r="C4331" s="15"/>
      <c r="D4331" s="15"/>
      <c r="E4331" s="15"/>
      <c r="F4331" s="20"/>
    </row>
    <row r="4332" spans="2:6" ht="17.25" customHeight="1">
      <c r="B4332" s="15"/>
      <c r="C4332" s="15"/>
      <c r="D4332" s="15"/>
      <c r="E4332" s="15"/>
      <c r="F4332" s="20"/>
    </row>
    <row r="4333" spans="2:6" ht="17.25" customHeight="1">
      <c r="B4333" s="15"/>
      <c r="C4333" s="15"/>
      <c r="D4333" s="15"/>
      <c r="E4333" s="15"/>
      <c r="F4333" s="20"/>
    </row>
    <row r="4334" spans="2:6" ht="17.25" customHeight="1">
      <c r="B4334" s="15"/>
      <c r="C4334" s="15"/>
      <c r="D4334" s="15"/>
      <c r="E4334" s="15"/>
      <c r="F4334" s="20"/>
    </row>
    <row r="4335" spans="2:6" ht="17.25" customHeight="1">
      <c r="B4335" s="15"/>
      <c r="C4335" s="15"/>
      <c r="D4335" s="15"/>
      <c r="E4335" s="15"/>
      <c r="F4335" s="20"/>
    </row>
    <row r="4336" spans="2:6" ht="17.25" customHeight="1">
      <c r="B4336" s="15"/>
      <c r="C4336" s="15"/>
      <c r="D4336" s="15"/>
      <c r="E4336" s="15"/>
      <c r="F4336" s="20"/>
    </row>
    <row r="4337" spans="2:6" ht="17.25" customHeight="1">
      <c r="B4337" s="15"/>
      <c r="C4337" s="15"/>
      <c r="D4337" s="15"/>
      <c r="E4337" s="15"/>
      <c r="F4337" s="20"/>
    </row>
    <row r="4338" spans="2:6" ht="17.25" customHeight="1">
      <c r="B4338" s="15"/>
      <c r="C4338" s="15"/>
      <c r="D4338" s="15"/>
      <c r="E4338" s="15"/>
      <c r="F4338" s="20"/>
    </row>
    <row r="4339" spans="2:6" ht="17.25" customHeight="1">
      <c r="B4339" s="15"/>
      <c r="C4339" s="15"/>
      <c r="D4339" s="15"/>
      <c r="E4339" s="15"/>
      <c r="F4339" s="20"/>
    </row>
    <row r="4340" spans="2:6" ht="17.25" customHeight="1">
      <c r="B4340" s="15"/>
      <c r="C4340" s="15"/>
      <c r="D4340" s="15"/>
      <c r="E4340" s="15"/>
      <c r="F4340" s="20"/>
    </row>
    <row r="4341" spans="2:6" ht="17.25" customHeight="1">
      <c r="B4341" s="15"/>
      <c r="C4341" s="15"/>
      <c r="D4341" s="15"/>
      <c r="E4341" s="15"/>
      <c r="F4341" s="20"/>
    </row>
    <row r="4342" spans="2:6" ht="17.25" customHeight="1">
      <c r="B4342" s="15"/>
      <c r="C4342" s="15"/>
      <c r="D4342" s="15"/>
      <c r="E4342" s="15"/>
      <c r="F4342" s="20"/>
    </row>
    <row r="4343" spans="2:6" ht="17.25" customHeight="1">
      <c r="B4343" s="15"/>
      <c r="C4343" s="15"/>
      <c r="D4343" s="15"/>
      <c r="E4343" s="15"/>
      <c r="F4343" s="20"/>
    </row>
    <row r="4344" spans="2:6" ht="17.25" customHeight="1">
      <c r="B4344" s="15"/>
      <c r="C4344" s="15"/>
      <c r="D4344" s="15"/>
      <c r="E4344" s="15"/>
      <c r="F4344" s="20"/>
    </row>
    <row r="4345" spans="2:6" ht="17.25" customHeight="1">
      <c r="B4345" s="15"/>
      <c r="C4345" s="15"/>
      <c r="D4345" s="15"/>
      <c r="E4345" s="15"/>
      <c r="F4345" s="20"/>
    </row>
    <row r="4346" spans="2:6" ht="17.25" customHeight="1">
      <c r="B4346" s="15"/>
      <c r="C4346" s="15"/>
      <c r="D4346" s="15"/>
      <c r="E4346" s="15"/>
      <c r="F4346" s="20"/>
    </row>
    <row r="4347" spans="2:6" ht="17.25" customHeight="1">
      <c r="B4347" s="15"/>
      <c r="C4347" s="15"/>
      <c r="D4347" s="15"/>
      <c r="E4347" s="15"/>
      <c r="F4347" s="20"/>
    </row>
    <row r="4348" spans="2:6" ht="17.25" customHeight="1">
      <c r="B4348" s="15"/>
      <c r="C4348" s="15"/>
      <c r="D4348" s="15"/>
      <c r="E4348" s="15"/>
      <c r="F4348" s="20"/>
    </row>
    <row r="4349" spans="2:6" ht="17.25" customHeight="1">
      <c r="B4349" s="15"/>
      <c r="C4349" s="15"/>
      <c r="D4349" s="15"/>
      <c r="E4349" s="15"/>
      <c r="F4349" s="20"/>
    </row>
    <row r="4350" spans="2:6" ht="17.25" customHeight="1">
      <c r="B4350" s="15"/>
      <c r="C4350" s="15"/>
      <c r="D4350" s="15"/>
      <c r="E4350" s="15"/>
      <c r="F4350" s="20"/>
    </row>
    <row r="4351" spans="2:6" ht="17.25" customHeight="1">
      <c r="B4351" s="15"/>
      <c r="C4351" s="15"/>
      <c r="D4351" s="15"/>
      <c r="E4351" s="15"/>
      <c r="F4351" s="20"/>
    </row>
    <row r="4352" spans="2:6" ht="17.25" customHeight="1">
      <c r="B4352" s="15"/>
      <c r="C4352" s="15"/>
      <c r="D4352" s="15"/>
      <c r="E4352" s="15"/>
      <c r="F4352" s="20"/>
    </row>
    <row r="4353" spans="2:6" ht="17.25" customHeight="1">
      <c r="B4353" s="15"/>
      <c r="C4353" s="15"/>
      <c r="D4353" s="15"/>
      <c r="E4353" s="15"/>
      <c r="F4353" s="20"/>
    </row>
    <row r="4354" spans="2:6" ht="17.25" customHeight="1">
      <c r="B4354" s="15"/>
      <c r="C4354" s="15"/>
      <c r="D4354" s="15"/>
      <c r="E4354" s="15"/>
      <c r="F4354" s="20"/>
    </row>
    <row r="4355" spans="2:6" ht="17.25" customHeight="1">
      <c r="B4355" s="15"/>
      <c r="C4355" s="15"/>
      <c r="D4355" s="15"/>
      <c r="E4355" s="15"/>
      <c r="F4355" s="20"/>
    </row>
    <row r="4356" spans="2:6" ht="17.25" customHeight="1">
      <c r="B4356" s="15"/>
      <c r="C4356" s="15"/>
      <c r="D4356" s="15"/>
      <c r="E4356" s="15"/>
      <c r="F4356" s="20"/>
    </row>
    <row r="4357" spans="2:6" ht="17.25" customHeight="1">
      <c r="B4357" s="15"/>
      <c r="C4357" s="15"/>
      <c r="D4357" s="15"/>
      <c r="E4357" s="15"/>
      <c r="F4357" s="20"/>
    </row>
    <row r="4358" spans="2:6" ht="17.25" customHeight="1">
      <c r="B4358" s="15"/>
      <c r="C4358" s="15"/>
      <c r="D4358" s="15"/>
      <c r="E4358" s="15"/>
      <c r="F4358" s="20"/>
    </row>
    <row r="4359" spans="2:6" ht="17.25" customHeight="1">
      <c r="B4359" s="15"/>
      <c r="C4359" s="15"/>
      <c r="D4359" s="15"/>
      <c r="E4359" s="15"/>
      <c r="F4359" s="20"/>
    </row>
    <row r="4360" spans="2:6" ht="17.25" customHeight="1">
      <c r="B4360" s="15"/>
      <c r="C4360" s="15"/>
      <c r="D4360" s="15"/>
      <c r="E4360" s="15"/>
      <c r="F4360" s="20"/>
    </row>
    <row r="4361" spans="2:6" ht="17.25" customHeight="1">
      <c r="B4361" s="15"/>
      <c r="C4361" s="15"/>
      <c r="D4361" s="15"/>
      <c r="E4361" s="15"/>
      <c r="F4361" s="20"/>
    </row>
    <row r="4362" spans="2:6" ht="17.25" customHeight="1">
      <c r="B4362" s="15"/>
      <c r="C4362" s="15"/>
      <c r="D4362" s="15"/>
      <c r="E4362" s="15"/>
      <c r="F4362" s="20"/>
    </row>
    <row r="4363" spans="2:6" ht="17.25" customHeight="1">
      <c r="B4363" s="15"/>
      <c r="C4363" s="15"/>
      <c r="D4363" s="15"/>
      <c r="E4363" s="15"/>
      <c r="F4363" s="20"/>
    </row>
    <row r="4364" spans="2:6" ht="17.25" customHeight="1">
      <c r="B4364" s="15"/>
      <c r="C4364" s="15"/>
      <c r="D4364" s="15"/>
      <c r="E4364" s="15"/>
      <c r="F4364" s="20"/>
    </row>
    <row r="4365" spans="2:6" ht="17.25" customHeight="1">
      <c r="B4365" s="15"/>
      <c r="C4365" s="15"/>
      <c r="D4365" s="15"/>
      <c r="E4365" s="15"/>
      <c r="F4365" s="20"/>
    </row>
    <row r="4366" spans="2:6" ht="17.25" customHeight="1">
      <c r="B4366" s="15"/>
      <c r="C4366" s="15"/>
      <c r="D4366" s="15"/>
      <c r="E4366" s="15"/>
      <c r="F4366" s="20"/>
    </row>
    <row r="4367" spans="2:6" ht="17.25" customHeight="1">
      <c r="B4367" s="15"/>
      <c r="C4367" s="15"/>
      <c r="D4367" s="15"/>
      <c r="E4367" s="15"/>
      <c r="F4367" s="20"/>
    </row>
    <row r="4368" spans="2:6" ht="17.25" customHeight="1">
      <c r="B4368" s="15"/>
      <c r="C4368" s="15"/>
      <c r="D4368" s="15"/>
      <c r="E4368" s="15"/>
      <c r="F4368" s="20"/>
    </row>
    <row r="4369" spans="2:6" ht="17.25" customHeight="1">
      <c r="B4369" s="15"/>
      <c r="C4369" s="15"/>
      <c r="D4369" s="15"/>
      <c r="E4369" s="15"/>
      <c r="F4369" s="20"/>
    </row>
    <row r="4370" spans="2:6" ht="17.25" customHeight="1">
      <c r="B4370" s="15"/>
      <c r="C4370" s="15"/>
      <c r="D4370" s="15"/>
      <c r="E4370" s="15"/>
      <c r="F4370" s="20"/>
    </row>
    <row r="4371" spans="2:6" ht="17.25" customHeight="1">
      <c r="B4371" s="15"/>
      <c r="C4371" s="15"/>
      <c r="D4371" s="15"/>
      <c r="E4371" s="15"/>
      <c r="F4371" s="20"/>
    </row>
    <row r="4372" spans="2:6" ht="17.25" customHeight="1">
      <c r="B4372" s="15"/>
      <c r="C4372" s="15"/>
      <c r="D4372" s="15"/>
      <c r="E4372" s="15"/>
      <c r="F4372" s="20"/>
    </row>
    <row r="4373" spans="2:6" ht="17.25" customHeight="1">
      <c r="B4373" s="15"/>
      <c r="C4373" s="15"/>
      <c r="D4373" s="15"/>
      <c r="E4373" s="15"/>
      <c r="F4373" s="20"/>
    </row>
    <row r="4374" spans="2:6" ht="17.25" customHeight="1">
      <c r="B4374" s="15"/>
      <c r="C4374" s="15"/>
      <c r="D4374" s="15"/>
      <c r="E4374" s="15"/>
      <c r="F4374" s="20"/>
    </row>
    <row r="4375" spans="2:6" ht="17.25" customHeight="1">
      <c r="B4375" s="15"/>
      <c r="C4375" s="15"/>
      <c r="D4375" s="15"/>
      <c r="E4375" s="15"/>
      <c r="F4375" s="20"/>
    </row>
    <row r="4376" spans="2:6" ht="17.25" customHeight="1">
      <c r="B4376" s="15"/>
      <c r="C4376" s="15"/>
      <c r="D4376" s="15"/>
      <c r="E4376" s="15"/>
      <c r="F4376" s="20"/>
    </row>
    <row r="4377" spans="2:6" ht="17.25" customHeight="1">
      <c r="B4377" s="15"/>
      <c r="C4377" s="15"/>
      <c r="D4377" s="15"/>
      <c r="E4377" s="15"/>
      <c r="F4377" s="20"/>
    </row>
    <row r="4378" spans="2:6" ht="17.25" customHeight="1">
      <c r="B4378" s="15"/>
      <c r="C4378" s="15"/>
      <c r="D4378" s="15"/>
      <c r="E4378" s="15"/>
      <c r="F4378" s="20"/>
    </row>
    <row r="4379" spans="2:6" ht="17.25" customHeight="1">
      <c r="B4379" s="15"/>
      <c r="C4379" s="15"/>
      <c r="D4379" s="15"/>
      <c r="E4379" s="15"/>
      <c r="F4379" s="20"/>
    </row>
    <row r="4380" spans="2:6" ht="17.25" customHeight="1">
      <c r="B4380" s="15"/>
      <c r="C4380" s="15"/>
      <c r="D4380" s="15"/>
      <c r="E4380" s="15"/>
      <c r="F4380" s="20"/>
    </row>
    <row r="4381" spans="2:6" ht="17.25" customHeight="1">
      <c r="B4381" s="15"/>
      <c r="C4381" s="15"/>
      <c r="D4381" s="15"/>
      <c r="E4381" s="15"/>
      <c r="F4381" s="20"/>
    </row>
    <row r="4382" spans="2:6" ht="17.25" customHeight="1">
      <c r="B4382" s="15"/>
      <c r="C4382" s="15"/>
      <c r="D4382" s="15"/>
      <c r="E4382" s="15"/>
      <c r="F4382" s="20"/>
    </row>
    <row r="4383" spans="2:6" ht="17.25" customHeight="1">
      <c r="B4383" s="15"/>
      <c r="C4383" s="15"/>
      <c r="D4383" s="15"/>
      <c r="E4383" s="15"/>
      <c r="F4383" s="20"/>
    </row>
    <row r="4384" spans="2:6" ht="17.25" customHeight="1">
      <c r="B4384" s="15"/>
      <c r="C4384" s="15"/>
      <c r="D4384" s="15"/>
      <c r="E4384" s="15"/>
      <c r="F4384" s="20"/>
    </row>
    <row r="4385" spans="2:6" ht="17.25" customHeight="1">
      <c r="B4385" s="15"/>
      <c r="C4385" s="15"/>
      <c r="D4385" s="15"/>
      <c r="E4385" s="15"/>
      <c r="F4385" s="20"/>
    </row>
    <row r="4386" spans="2:6" ht="17.25" customHeight="1">
      <c r="B4386" s="15"/>
      <c r="C4386" s="15"/>
      <c r="D4386" s="15"/>
      <c r="E4386" s="15"/>
      <c r="F4386" s="20"/>
    </row>
    <row r="4387" spans="2:6" ht="17.25" customHeight="1">
      <c r="B4387" s="15"/>
      <c r="C4387" s="15"/>
      <c r="D4387" s="15"/>
      <c r="E4387" s="15"/>
      <c r="F4387" s="20"/>
    </row>
    <row r="4388" spans="2:6" ht="17.25" customHeight="1">
      <c r="B4388" s="15"/>
      <c r="C4388" s="15"/>
      <c r="D4388" s="15"/>
      <c r="E4388" s="15"/>
      <c r="F4388" s="20"/>
    </row>
    <row r="4389" spans="2:6" ht="17.25" customHeight="1">
      <c r="B4389" s="15"/>
      <c r="C4389" s="15"/>
      <c r="D4389" s="15"/>
      <c r="E4389" s="15"/>
      <c r="F4389" s="20"/>
    </row>
    <row r="4390" spans="2:6" ht="17.25" customHeight="1">
      <c r="B4390" s="15"/>
      <c r="C4390" s="15"/>
      <c r="D4390" s="15"/>
      <c r="E4390" s="15"/>
      <c r="F4390" s="20"/>
    </row>
    <row r="4391" spans="2:6" ht="17.25" customHeight="1">
      <c r="B4391" s="15"/>
      <c r="C4391" s="15"/>
      <c r="D4391" s="15"/>
      <c r="E4391" s="15"/>
      <c r="F4391" s="20"/>
    </row>
    <row r="4392" spans="2:6" ht="17.25" customHeight="1">
      <c r="B4392" s="15"/>
      <c r="C4392" s="15"/>
      <c r="D4392" s="15"/>
      <c r="E4392" s="15"/>
      <c r="F4392" s="20"/>
    </row>
    <row r="4393" spans="2:6" ht="17.25" customHeight="1">
      <c r="B4393" s="15"/>
      <c r="C4393" s="15"/>
      <c r="D4393" s="15"/>
      <c r="E4393" s="15"/>
      <c r="F4393" s="20"/>
    </row>
    <row r="4394" spans="2:6" ht="17.25" customHeight="1">
      <c r="B4394" s="15"/>
      <c r="C4394" s="15"/>
      <c r="D4394" s="15"/>
      <c r="E4394" s="15"/>
      <c r="F4394" s="20"/>
    </row>
    <row r="4395" spans="2:6" ht="17.25" customHeight="1">
      <c r="B4395" s="15"/>
      <c r="C4395" s="15"/>
      <c r="D4395" s="15"/>
      <c r="E4395" s="15"/>
      <c r="F4395" s="20"/>
    </row>
    <row r="4396" spans="2:6" ht="17.25" customHeight="1">
      <c r="B4396" s="15"/>
      <c r="C4396" s="15"/>
      <c r="D4396" s="15"/>
      <c r="E4396" s="15"/>
      <c r="F4396" s="20"/>
    </row>
    <row r="4397" spans="2:6" ht="17.25" customHeight="1">
      <c r="B4397" s="15"/>
      <c r="C4397" s="15"/>
      <c r="D4397" s="15"/>
      <c r="E4397" s="15"/>
      <c r="F4397" s="20"/>
    </row>
    <row r="4398" spans="2:6" ht="17.25" customHeight="1">
      <c r="B4398" s="15"/>
      <c r="C4398" s="15"/>
      <c r="D4398" s="15"/>
      <c r="E4398" s="15"/>
      <c r="F4398" s="20"/>
    </row>
    <row r="4399" spans="2:6" ht="17.25" customHeight="1">
      <c r="B4399" s="15"/>
      <c r="C4399" s="15"/>
      <c r="D4399" s="15"/>
      <c r="E4399" s="15"/>
      <c r="F4399" s="20"/>
    </row>
    <row r="4400" spans="2:6" ht="17.25" customHeight="1">
      <c r="B4400" s="15"/>
      <c r="C4400" s="15"/>
      <c r="D4400" s="15"/>
      <c r="E4400" s="15"/>
      <c r="F4400" s="20"/>
    </row>
    <row r="4401" spans="2:6" ht="17.25" customHeight="1">
      <c r="B4401" s="15"/>
      <c r="C4401" s="15"/>
      <c r="D4401" s="15"/>
      <c r="E4401" s="15"/>
      <c r="F4401" s="20"/>
    </row>
    <row r="4402" spans="2:6" ht="17.25" customHeight="1">
      <c r="B4402" s="15"/>
      <c r="C4402" s="15"/>
      <c r="D4402" s="15"/>
      <c r="E4402" s="15"/>
      <c r="F4402" s="20"/>
    </row>
    <row r="4403" spans="2:6" ht="17.25" customHeight="1">
      <c r="B4403" s="15"/>
      <c r="C4403" s="15"/>
      <c r="D4403" s="15"/>
      <c r="E4403" s="15"/>
      <c r="F4403" s="20"/>
    </row>
    <row r="4404" spans="2:6" ht="17.25" customHeight="1">
      <c r="B4404" s="15"/>
      <c r="C4404" s="15"/>
      <c r="D4404" s="15"/>
      <c r="E4404" s="15"/>
      <c r="F4404" s="20"/>
    </row>
    <row r="4405" spans="2:6" ht="17.25" customHeight="1">
      <c r="B4405" s="15"/>
      <c r="C4405" s="15"/>
      <c r="D4405" s="15"/>
      <c r="E4405" s="15"/>
      <c r="F4405" s="20"/>
    </row>
    <row r="4406" spans="2:6" ht="17.25" customHeight="1">
      <c r="B4406" s="15"/>
      <c r="C4406" s="15"/>
      <c r="D4406" s="15"/>
      <c r="E4406" s="15"/>
      <c r="F4406" s="20"/>
    </row>
    <row r="4407" spans="2:6" ht="17.25" customHeight="1">
      <c r="B4407" s="15"/>
      <c r="C4407" s="15"/>
      <c r="D4407" s="15"/>
      <c r="E4407" s="15"/>
      <c r="F4407" s="20"/>
    </row>
    <row r="4408" spans="2:6" ht="17.25" customHeight="1">
      <c r="B4408" s="15"/>
      <c r="C4408" s="15"/>
      <c r="D4408" s="15"/>
      <c r="E4408" s="15"/>
      <c r="F4408" s="20"/>
    </row>
    <row r="4409" spans="2:6" ht="17.25" customHeight="1">
      <c r="B4409" s="15"/>
      <c r="C4409" s="15"/>
      <c r="D4409" s="15"/>
      <c r="E4409" s="15"/>
      <c r="F4409" s="20"/>
    </row>
    <row r="4410" spans="2:6" ht="17.25" customHeight="1">
      <c r="B4410" s="15"/>
      <c r="C4410" s="15"/>
      <c r="D4410" s="15"/>
      <c r="E4410" s="15"/>
      <c r="F4410" s="20"/>
    </row>
    <row r="4411" spans="2:6" ht="17.25" customHeight="1">
      <c r="B4411" s="15"/>
      <c r="C4411" s="15"/>
      <c r="D4411" s="15"/>
      <c r="E4411" s="15"/>
      <c r="F4411" s="20"/>
    </row>
    <row r="4412" spans="2:6" ht="17.25" customHeight="1">
      <c r="B4412" s="15"/>
      <c r="C4412" s="15"/>
      <c r="D4412" s="15"/>
      <c r="E4412" s="15"/>
      <c r="F4412" s="20"/>
    </row>
    <row r="4413" spans="2:6" ht="17.25" customHeight="1">
      <c r="B4413" s="15"/>
      <c r="C4413" s="15"/>
      <c r="D4413" s="15"/>
      <c r="E4413" s="15"/>
      <c r="F4413" s="20"/>
    </row>
    <row r="4414" spans="2:6" ht="17.25" customHeight="1">
      <c r="B4414" s="15"/>
      <c r="C4414" s="15"/>
      <c r="D4414" s="15"/>
      <c r="E4414" s="15"/>
      <c r="F4414" s="20"/>
    </row>
    <row r="4415" spans="2:6" ht="17.25" customHeight="1">
      <c r="B4415" s="15"/>
      <c r="C4415" s="15"/>
      <c r="D4415" s="15"/>
      <c r="E4415" s="15"/>
      <c r="F4415" s="20"/>
    </row>
    <row r="4416" spans="2:6" ht="17.25" customHeight="1">
      <c r="B4416" s="15"/>
      <c r="C4416" s="15"/>
      <c r="D4416" s="15"/>
      <c r="E4416" s="15"/>
      <c r="F4416" s="20"/>
    </row>
    <row r="4417" spans="2:6" ht="17.25" customHeight="1">
      <c r="B4417" s="15"/>
      <c r="C4417" s="15"/>
      <c r="D4417" s="15"/>
      <c r="E4417" s="15"/>
      <c r="F4417" s="20"/>
    </row>
    <row r="4418" spans="2:6" ht="17.25" customHeight="1">
      <c r="B4418" s="15"/>
      <c r="C4418" s="15"/>
      <c r="D4418" s="15"/>
      <c r="E4418" s="15"/>
      <c r="F4418" s="20"/>
    </row>
    <row r="4419" spans="2:6" ht="17.25" customHeight="1">
      <c r="B4419" s="15"/>
      <c r="C4419" s="15"/>
      <c r="D4419" s="15"/>
      <c r="E4419" s="15"/>
      <c r="F4419" s="20"/>
    </row>
    <row r="4420" spans="2:6" ht="17.25" customHeight="1">
      <c r="B4420" s="15"/>
      <c r="C4420" s="15"/>
      <c r="D4420" s="15"/>
      <c r="E4420" s="15"/>
      <c r="F4420" s="20"/>
    </row>
    <row r="4421" spans="2:6" ht="17.25" customHeight="1">
      <c r="B4421" s="15"/>
      <c r="C4421" s="15"/>
      <c r="D4421" s="15"/>
      <c r="E4421" s="15"/>
      <c r="F4421" s="20"/>
    </row>
    <row r="4422" spans="2:6" ht="17.25" customHeight="1">
      <c r="B4422" s="15"/>
      <c r="C4422" s="15"/>
      <c r="D4422" s="15"/>
      <c r="E4422" s="15"/>
      <c r="F4422" s="20"/>
    </row>
    <row r="4423" spans="2:6" ht="17.25" customHeight="1">
      <c r="B4423" s="15"/>
      <c r="C4423" s="15"/>
      <c r="D4423" s="15"/>
      <c r="E4423" s="15"/>
      <c r="F4423" s="20"/>
    </row>
    <row r="4424" spans="2:6" ht="17.25" customHeight="1">
      <c r="B4424" s="15"/>
      <c r="C4424" s="15"/>
      <c r="D4424" s="15"/>
      <c r="E4424" s="15"/>
      <c r="F4424" s="20"/>
    </row>
    <row r="4425" spans="2:6" ht="17.25" customHeight="1">
      <c r="B4425" s="15"/>
      <c r="C4425" s="15"/>
      <c r="D4425" s="15"/>
      <c r="E4425" s="15"/>
      <c r="F4425" s="20"/>
    </row>
    <row r="4426" spans="2:6" ht="17.25" customHeight="1">
      <c r="B4426" s="15"/>
      <c r="C4426" s="15"/>
      <c r="D4426" s="15"/>
      <c r="E4426" s="15"/>
      <c r="F4426" s="20"/>
    </row>
    <row r="4427" spans="2:6" ht="17.25" customHeight="1">
      <c r="B4427" s="15"/>
      <c r="C4427" s="15"/>
      <c r="D4427" s="15"/>
      <c r="E4427" s="15"/>
      <c r="F4427" s="20"/>
    </row>
    <row r="4428" spans="2:6" ht="17.25" customHeight="1">
      <c r="B4428" s="15"/>
      <c r="C4428" s="15"/>
      <c r="D4428" s="15"/>
      <c r="E4428" s="15"/>
      <c r="F4428" s="20"/>
    </row>
    <row r="4429" spans="2:6" ht="17.25" customHeight="1">
      <c r="B4429" s="15"/>
      <c r="C4429" s="15"/>
      <c r="D4429" s="15"/>
      <c r="E4429" s="15"/>
      <c r="F4429" s="20"/>
    </row>
    <row r="4430" spans="2:6" ht="17.25" customHeight="1">
      <c r="B4430" s="15"/>
      <c r="C4430" s="15"/>
      <c r="D4430" s="15"/>
      <c r="E4430" s="15"/>
      <c r="F4430" s="20"/>
    </row>
    <row r="4431" spans="2:6" ht="17.25" customHeight="1">
      <c r="B4431" s="15"/>
      <c r="C4431" s="15"/>
      <c r="D4431" s="15"/>
      <c r="E4431" s="15"/>
      <c r="F4431" s="20"/>
    </row>
    <row r="4432" spans="2:6" ht="17.25" customHeight="1">
      <c r="B4432" s="15"/>
      <c r="C4432" s="15"/>
      <c r="D4432" s="15"/>
      <c r="E4432" s="15"/>
      <c r="F4432" s="20"/>
    </row>
    <row r="4433" spans="2:6" ht="17.25" customHeight="1">
      <c r="B4433" s="15"/>
      <c r="C4433" s="15"/>
      <c r="D4433" s="15"/>
      <c r="E4433" s="15"/>
      <c r="F4433" s="20"/>
    </row>
    <row r="4434" spans="2:6" ht="17.25" customHeight="1">
      <c r="B4434" s="15"/>
      <c r="C4434" s="15"/>
      <c r="D4434" s="15"/>
      <c r="E4434" s="15"/>
      <c r="F4434" s="20"/>
    </row>
    <row r="4435" spans="2:6" ht="17.25" customHeight="1">
      <c r="B4435" s="15"/>
      <c r="C4435" s="15"/>
      <c r="D4435" s="15"/>
      <c r="E4435" s="15"/>
      <c r="F4435" s="20"/>
    </row>
    <row r="4436" spans="2:6" ht="17.25" customHeight="1">
      <c r="B4436" s="15"/>
      <c r="C4436" s="15"/>
      <c r="D4436" s="15"/>
      <c r="E4436" s="15"/>
      <c r="F4436" s="20"/>
    </row>
    <row r="4437" spans="2:6" ht="17.25" customHeight="1">
      <c r="B4437" s="15"/>
      <c r="C4437" s="15"/>
      <c r="D4437" s="15"/>
      <c r="E4437" s="15"/>
      <c r="F4437" s="20"/>
    </row>
    <row r="4438" spans="2:6" ht="17.25" customHeight="1">
      <c r="B4438" s="15"/>
      <c r="C4438" s="15"/>
      <c r="D4438" s="15"/>
      <c r="E4438" s="15"/>
      <c r="F4438" s="20"/>
    </row>
    <row r="4439" spans="2:6" ht="17.25" customHeight="1">
      <c r="B4439" s="15"/>
      <c r="C4439" s="15"/>
      <c r="D4439" s="15"/>
      <c r="E4439" s="15"/>
      <c r="F4439" s="20"/>
    </row>
    <row r="4440" spans="2:6" ht="17.25" customHeight="1">
      <c r="B4440" s="15"/>
      <c r="C4440" s="15"/>
      <c r="D4440" s="15"/>
      <c r="E4440" s="15"/>
      <c r="F4440" s="20"/>
    </row>
    <row r="4441" spans="2:6" ht="17.25" customHeight="1">
      <c r="B4441" s="15"/>
      <c r="C4441" s="15"/>
      <c r="D4441" s="15"/>
      <c r="E4441" s="15"/>
      <c r="F4441" s="20"/>
    </row>
    <row r="4442" spans="2:6" ht="17.25" customHeight="1">
      <c r="B4442" s="15"/>
      <c r="C4442" s="15"/>
      <c r="D4442" s="15"/>
      <c r="E4442" s="15"/>
      <c r="F4442" s="20"/>
    </row>
    <row r="4443" spans="2:6" ht="17.25" customHeight="1">
      <c r="B4443" s="15"/>
      <c r="C4443" s="15"/>
      <c r="D4443" s="15"/>
      <c r="E4443" s="15"/>
      <c r="F4443" s="20"/>
    </row>
    <row r="4444" spans="2:6" ht="17.25" customHeight="1">
      <c r="B4444" s="15"/>
      <c r="C4444" s="15"/>
      <c r="D4444" s="15"/>
      <c r="E4444" s="15"/>
      <c r="F4444" s="20"/>
    </row>
    <row r="4445" spans="2:6" ht="17.25" customHeight="1">
      <c r="B4445" s="15"/>
      <c r="C4445" s="15"/>
      <c r="D4445" s="15"/>
      <c r="E4445" s="15"/>
      <c r="F4445" s="20"/>
    </row>
    <row r="4446" spans="2:6" ht="17.25" customHeight="1">
      <c r="B4446" s="15"/>
      <c r="C4446" s="15"/>
      <c r="D4446" s="15"/>
      <c r="E4446" s="15"/>
      <c r="F4446" s="20"/>
    </row>
    <row r="4447" spans="2:6" ht="17.25" customHeight="1">
      <c r="B4447" s="15"/>
      <c r="C4447" s="15"/>
      <c r="D4447" s="15"/>
      <c r="E4447" s="15"/>
      <c r="F4447" s="20"/>
    </row>
    <row r="4448" spans="2:6" ht="17.25" customHeight="1">
      <c r="B4448" s="15"/>
      <c r="C4448" s="15"/>
      <c r="D4448" s="15"/>
      <c r="E4448" s="15"/>
      <c r="F4448" s="20"/>
    </row>
    <row r="4449" spans="2:6" ht="17.25" customHeight="1">
      <c r="B4449" s="15"/>
      <c r="C4449" s="15"/>
      <c r="D4449" s="15"/>
      <c r="E4449" s="15"/>
      <c r="F4449" s="20"/>
    </row>
    <row r="4450" spans="2:6" ht="17.25" customHeight="1">
      <c r="B4450" s="15"/>
      <c r="C4450" s="15"/>
      <c r="D4450" s="15"/>
      <c r="E4450" s="15"/>
      <c r="F4450" s="20"/>
    </row>
    <row r="4451" spans="2:6" ht="17.25" customHeight="1">
      <c r="B4451" s="15"/>
      <c r="C4451" s="15"/>
      <c r="D4451" s="15"/>
      <c r="E4451" s="15"/>
      <c r="F4451" s="20"/>
    </row>
    <row r="4452" spans="2:6" ht="17.25" customHeight="1">
      <c r="B4452" s="15"/>
      <c r="C4452" s="15"/>
      <c r="D4452" s="15"/>
      <c r="E4452" s="15"/>
      <c r="F4452" s="20"/>
    </row>
    <row r="4453" spans="2:6" ht="17.25" customHeight="1">
      <c r="B4453" s="15"/>
      <c r="C4453" s="15"/>
      <c r="D4453" s="15"/>
      <c r="E4453" s="15"/>
      <c r="F4453" s="20"/>
    </row>
    <row r="4454" spans="2:6" ht="17.25" customHeight="1">
      <c r="B4454" s="15"/>
      <c r="C4454" s="15"/>
      <c r="D4454" s="15"/>
      <c r="E4454" s="15"/>
      <c r="F4454" s="20"/>
    </row>
    <row r="4455" spans="2:6" ht="17.25" customHeight="1">
      <c r="B4455" s="15"/>
      <c r="C4455" s="15"/>
      <c r="D4455" s="15"/>
      <c r="E4455" s="15"/>
      <c r="F4455" s="20"/>
    </row>
    <row r="4456" spans="2:6" ht="17.25" customHeight="1">
      <c r="B4456" s="15"/>
      <c r="C4456" s="15"/>
      <c r="D4456" s="15"/>
      <c r="E4456" s="15"/>
      <c r="F4456" s="20"/>
    </row>
    <row r="4457" spans="2:6" ht="17.25" customHeight="1">
      <c r="B4457" s="15"/>
      <c r="C4457" s="15"/>
      <c r="D4457" s="15"/>
      <c r="E4457" s="15"/>
      <c r="F4457" s="20"/>
    </row>
    <row r="4458" spans="2:6" ht="17.25" customHeight="1">
      <c r="B4458" s="15"/>
      <c r="C4458" s="15"/>
      <c r="D4458" s="15"/>
      <c r="E4458" s="15"/>
      <c r="F4458" s="20"/>
    </row>
    <row r="4459" spans="2:6" ht="17.25" customHeight="1">
      <c r="B4459" s="15"/>
      <c r="C4459" s="15"/>
      <c r="D4459" s="15"/>
      <c r="E4459" s="15"/>
      <c r="F4459" s="20"/>
    </row>
    <row r="4460" spans="2:6" ht="17.25" customHeight="1">
      <c r="B4460" s="15"/>
      <c r="C4460" s="15"/>
      <c r="D4460" s="15"/>
      <c r="E4460" s="15"/>
      <c r="F4460" s="20"/>
    </row>
    <row r="4461" spans="2:6" ht="17.25" customHeight="1">
      <c r="B4461" s="15"/>
      <c r="C4461" s="15"/>
      <c r="D4461" s="15"/>
      <c r="E4461" s="15"/>
      <c r="F4461" s="20"/>
    </row>
    <row r="4462" spans="2:6" ht="17.25" customHeight="1">
      <c r="B4462" s="15"/>
      <c r="C4462" s="15"/>
      <c r="D4462" s="15"/>
      <c r="E4462" s="15"/>
      <c r="F4462" s="20"/>
    </row>
    <row r="4463" spans="2:6" ht="17.25" customHeight="1">
      <c r="B4463" s="15"/>
      <c r="C4463" s="15"/>
      <c r="D4463" s="15"/>
      <c r="E4463" s="15"/>
      <c r="F4463" s="20"/>
    </row>
    <row r="4464" spans="2:6" ht="17.25" customHeight="1">
      <c r="B4464" s="15"/>
      <c r="C4464" s="15"/>
      <c r="D4464" s="15"/>
      <c r="E4464" s="15"/>
      <c r="F4464" s="20"/>
    </row>
    <row r="4465" spans="2:6" ht="17.25" customHeight="1">
      <c r="B4465" s="15"/>
      <c r="C4465" s="15"/>
      <c r="D4465" s="15"/>
      <c r="E4465" s="15"/>
      <c r="F4465" s="20"/>
    </row>
    <row r="4466" spans="2:6" ht="17.25" customHeight="1">
      <c r="B4466" s="15"/>
      <c r="C4466" s="15"/>
      <c r="D4466" s="15"/>
      <c r="E4466" s="15"/>
      <c r="F4466" s="20"/>
    </row>
    <row r="4467" spans="2:6" ht="17.25" customHeight="1">
      <c r="B4467" s="15"/>
      <c r="C4467" s="15"/>
      <c r="D4467" s="15"/>
      <c r="E4467" s="15"/>
      <c r="F4467" s="20"/>
    </row>
    <row r="4468" spans="2:6" ht="17.25" customHeight="1">
      <c r="B4468" s="15"/>
      <c r="C4468" s="15"/>
      <c r="D4468" s="15"/>
      <c r="E4468" s="15"/>
      <c r="F4468" s="20"/>
    </row>
    <row r="4469" spans="2:6" ht="17.25" customHeight="1">
      <c r="B4469" s="15"/>
      <c r="C4469" s="15"/>
      <c r="D4469" s="15"/>
      <c r="E4469" s="15"/>
      <c r="F4469" s="20"/>
    </row>
    <row r="4470" spans="2:6" ht="17.25" customHeight="1">
      <c r="B4470" s="15"/>
      <c r="C4470" s="15"/>
      <c r="D4470" s="15"/>
      <c r="E4470" s="15"/>
      <c r="F4470" s="20"/>
    </row>
    <row r="4471" spans="2:6" ht="17.25" customHeight="1">
      <c r="B4471" s="15"/>
      <c r="C4471" s="15"/>
      <c r="D4471" s="15"/>
      <c r="E4471" s="15"/>
      <c r="F4471" s="20"/>
    </row>
    <row r="4472" spans="2:6" ht="17.25" customHeight="1">
      <c r="B4472" s="15"/>
      <c r="C4472" s="15"/>
      <c r="D4472" s="15"/>
      <c r="E4472" s="15"/>
      <c r="F4472" s="20"/>
    </row>
    <row r="4473" spans="2:6" ht="17.25" customHeight="1">
      <c r="B4473" s="15"/>
      <c r="C4473" s="15"/>
      <c r="D4473" s="15"/>
      <c r="E4473" s="15"/>
      <c r="F4473" s="20"/>
    </row>
    <row r="4474" spans="2:6" ht="17.25" customHeight="1">
      <c r="B4474" s="15"/>
      <c r="C4474" s="15"/>
      <c r="D4474" s="15"/>
      <c r="E4474" s="15"/>
      <c r="F4474" s="20"/>
    </row>
    <row r="4475" spans="2:6" ht="17.25" customHeight="1">
      <c r="B4475" s="15"/>
      <c r="C4475" s="15"/>
      <c r="D4475" s="15"/>
      <c r="E4475" s="15"/>
      <c r="F4475" s="20"/>
    </row>
    <row r="4476" spans="2:6" ht="17.25" customHeight="1">
      <c r="B4476" s="15"/>
      <c r="C4476" s="15"/>
      <c r="D4476" s="15"/>
      <c r="E4476" s="15"/>
      <c r="F4476" s="20"/>
    </row>
    <row r="4477" spans="2:6" ht="17.25" customHeight="1">
      <c r="B4477" s="15"/>
      <c r="C4477" s="15"/>
      <c r="D4477" s="15"/>
      <c r="E4477" s="15"/>
      <c r="F4477" s="20"/>
    </row>
    <row r="4478" spans="2:6" ht="17.25" customHeight="1">
      <c r="B4478" s="15"/>
      <c r="C4478" s="15"/>
      <c r="D4478" s="15"/>
      <c r="E4478" s="15"/>
      <c r="F4478" s="20"/>
    </row>
    <row r="4479" spans="2:6" ht="17.25" customHeight="1">
      <c r="B4479" s="15"/>
      <c r="C4479" s="15"/>
      <c r="D4479" s="15"/>
      <c r="E4479" s="15"/>
      <c r="F4479" s="20"/>
    </row>
    <row r="4480" spans="2:6" ht="17.25" customHeight="1">
      <c r="B4480" s="15"/>
      <c r="C4480" s="15"/>
      <c r="D4480" s="15"/>
      <c r="E4480" s="15"/>
      <c r="F4480" s="20"/>
    </row>
    <row r="4481" spans="2:6" ht="17.25" customHeight="1">
      <c r="B4481" s="15"/>
      <c r="C4481" s="15"/>
      <c r="D4481" s="15"/>
      <c r="E4481" s="15"/>
      <c r="F4481" s="20"/>
    </row>
    <row r="4482" spans="2:6" ht="17.25" customHeight="1">
      <c r="B4482" s="15"/>
      <c r="C4482" s="15"/>
      <c r="D4482" s="15"/>
      <c r="E4482" s="15"/>
      <c r="F4482" s="20"/>
    </row>
    <row r="4483" spans="2:6" ht="17.25" customHeight="1">
      <c r="B4483" s="15"/>
      <c r="C4483" s="15"/>
      <c r="D4483" s="15"/>
      <c r="E4483" s="15"/>
      <c r="F4483" s="20"/>
    </row>
    <row r="4484" spans="2:6" ht="17.25" customHeight="1">
      <c r="B4484" s="15"/>
      <c r="C4484" s="15"/>
      <c r="D4484" s="15"/>
      <c r="E4484" s="15"/>
      <c r="F4484" s="20"/>
    </row>
    <row r="4485" spans="2:6" ht="17.25" customHeight="1">
      <c r="B4485" s="15"/>
      <c r="C4485" s="15"/>
      <c r="D4485" s="15"/>
      <c r="E4485" s="15"/>
      <c r="F4485" s="20"/>
    </row>
    <row r="4486" spans="2:6" ht="17.25" customHeight="1">
      <c r="B4486" s="15"/>
      <c r="C4486" s="15"/>
      <c r="D4486" s="15"/>
      <c r="E4486" s="15"/>
      <c r="F4486" s="20"/>
    </row>
    <row r="4487" spans="2:6" ht="17.25" customHeight="1">
      <c r="B4487" s="15"/>
      <c r="C4487" s="15"/>
      <c r="D4487" s="15"/>
      <c r="E4487" s="15"/>
      <c r="F4487" s="20"/>
    </row>
    <row r="4488" spans="2:6" ht="17.25" customHeight="1">
      <c r="B4488" s="15"/>
      <c r="C4488" s="15"/>
      <c r="D4488" s="15"/>
      <c r="E4488" s="15"/>
      <c r="F4488" s="20"/>
    </row>
    <row r="4489" spans="2:6" ht="17.25" customHeight="1">
      <c r="B4489" s="15"/>
      <c r="C4489" s="15"/>
      <c r="D4489" s="15"/>
      <c r="E4489" s="15"/>
      <c r="F4489" s="20"/>
    </row>
    <row r="4490" spans="2:6" ht="17.25" customHeight="1">
      <c r="B4490" s="15"/>
      <c r="C4490" s="15"/>
      <c r="D4490" s="15"/>
      <c r="E4490" s="15"/>
      <c r="F4490" s="20"/>
    </row>
    <row r="4491" spans="2:6" ht="17.25" customHeight="1">
      <c r="B4491" s="15"/>
      <c r="C4491" s="15"/>
      <c r="D4491" s="15"/>
      <c r="E4491" s="15"/>
      <c r="F4491" s="20"/>
    </row>
    <row r="4492" spans="2:6" ht="17.25" customHeight="1">
      <c r="B4492" s="15"/>
      <c r="C4492" s="15"/>
      <c r="D4492" s="15"/>
      <c r="E4492" s="15"/>
      <c r="F4492" s="20"/>
    </row>
    <row r="4493" spans="2:6" ht="17.25" customHeight="1">
      <c r="B4493" s="15"/>
      <c r="C4493" s="15"/>
      <c r="D4493" s="15"/>
      <c r="E4493" s="15"/>
      <c r="F4493" s="20"/>
    </row>
    <row r="4494" spans="2:6" ht="17.25" customHeight="1">
      <c r="B4494" s="15"/>
      <c r="C4494" s="15"/>
      <c r="D4494" s="15"/>
      <c r="E4494" s="15"/>
      <c r="F4494" s="20"/>
    </row>
    <row r="4495" spans="2:6" ht="17.25" customHeight="1">
      <c r="B4495" s="15"/>
      <c r="C4495" s="15"/>
      <c r="D4495" s="15"/>
      <c r="E4495" s="15"/>
      <c r="F4495" s="20"/>
    </row>
    <row r="4496" spans="2:6" ht="17.25" customHeight="1">
      <c r="B4496" s="15"/>
      <c r="C4496" s="15"/>
      <c r="D4496" s="15"/>
      <c r="E4496" s="15"/>
      <c r="F4496" s="20"/>
    </row>
    <row r="4497" spans="2:6" ht="17.25" customHeight="1">
      <c r="B4497" s="15"/>
      <c r="C4497" s="15"/>
      <c r="D4497" s="15"/>
      <c r="E4497" s="15"/>
      <c r="F4497" s="20"/>
    </row>
    <row r="4498" spans="2:6" ht="17.25" customHeight="1">
      <c r="B4498" s="15"/>
      <c r="C4498" s="15"/>
      <c r="D4498" s="15"/>
      <c r="E4498" s="15"/>
      <c r="F4498" s="20"/>
    </row>
    <row r="4499" spans="2:6" ht="17.25" customHeight="1">
      <c r="B4499" s="15"/>
      <c r="C4499" s="15"/>
      <c r="D4499" s="15"/>
      <c r="E4499" s="15"/>
      <c r="F4499" s="20"/>
    </row>
    <row r="4500" spans="2:6" ht="17.25" customHeight="1">
      <c r="B4500" s="15"/>
      <c r="C4500" s="15"/>
      <c r="D4500" s="15"/>
      <c r="E4500" s="15"/>
      <c r="F4500" s="20"/>
    </row>
    <row r="4501" spans="2:6" ht="17.25" customHeight="1">
      <c r="B4501" s="15"/>
      <c r="C4501" s="15"/>
      <c r="D4501" s="15"/>
      <c r="E4501" s="15"/>
      <c r="F4501" s="20"/>
    </row>
    <row r="4502" spans="2:6" ht="17.25" customHeight="1">
      <c r="B4502" s="15"/>
      <c r="C4502" s="15"/>
      <c r="D4502" s="15"/>
      <c r="E4502" s="15"/>
      <c r="F4502" s="20"/>
    </row>
    <row r="4503" spans="2:6" ht="17.25" customHeight="1">
      <c r="B4503" s="15"/>
      <c r="C4503" s="15"/>
      <c r="D4503" s="15"/>
      <c r="E4503" s="15"/>
      <c r="F4503" s="20"/>
    </row>
    <row r="4504" spans="2:6" ht="17.25" customHeight="1">
      <c r="B4504" s="15"/>
      <c r="C4504" s="15"/>
      <c r="D4504" s="15"/>
      <c r="E4504" s="15"/>
      <c r="F4504" s="20"/>
    </row>
    <row r="4505" spans="2:6" ht="17.25" customHeight="1">
      <c r="B4505" s="15"/>
      <c r="C4505" s="15"/>
      <c r="D4505" s="15"/>
      <c r="E4505" s="15"/>
      <c r="F4505" s="20"/>
    </row>
    <row r="4506" spans="2:6" ht="17.25" customHeight="1">
      <c r="B4506" s="15"/>
      <c r="C4506" s="15"/>
      <c r="D4506" s="15"/>
      <c r="E4506" s="15"/>
      <c r="F4506" s="20"/>
    </row>
    <row r="4507" spans="2:6" ht="17.25" customHeight="1">
      <c r="B4507" s="15"/>
      <c r="C4507" s="15"/>
      <c r="D4507" s="15"/>
      <c r="E4507" s="15"/>
      <c r="F4507" s="20"/>
    </row>
    <row r="4508" spans="2:6" ht="17.25" customHeight="1">
      <c r="B4508" s="15"/>
      <c r="C4508" s="15"/>
      <c r="D4508" s="15"/>
      <c r="E4508" s="15"/>
      <c r="F4508" s="20"/>
    </row>
    <row r="4509" spans="2:6" ht="17.25" customHeight="1">
      <c r="B4509" s="15"/>
      <c r="C4509" s="15"/>
      <c r="D4509" s="15"/>
      <c r="E4509" s="15"/>
      <c r="F4509" s="20"/>
    </row>
    <row r="4510" spans="2:6" ht="17.25" customHeight="1">
      <c r="B4510" s="15"/>
      <c r="C4510" s="15"/>
      <c r="D4510" s="15"/>
      <c r="E4510" s="15"/>
      <c r="F4510" s="20"/>
    </row>
    <row r="4511" spans="2:6" ht="17.25" customHeight="1">
      <c r="B4511" s="15"/>
      <c r="C4511" s="15"/>
      <c r="D4511" s="15"/>
      <c r="E4511" s="15"/>
      <c r="F4511" s="20"/>
    </row>
    <row r="4512" spans="2:6" ht="17.25" customHeight="1">
      <c r="B4512" s="15"/>
      <c r="C4512" s="15"/>
      <c r="D4512" s="15"/>
      <c r="E4512" s="15"/>
      <c r="F4512" s="20"/>
    </row>
    <row r="4513" spans="2:6" ht="17.25" customHeight="1">
      <c r="B4513" s="15"/>
      <c r="C4513" s="15"/>
      <c r="D4513" s="15"/>
      <c r="E4513" s="15"/>
      <c r="F4513" s="20"/>
    </row>
    <row r="4514" spans="2:6" ht="17.25" customHeight="1">
      <c r="B4514" s="15"/>
      <c r="C4514" s="15"/>
      <c r="D4514" s="15"/>
      <c r="E4514" s="15"/>
      <c r="F4514" s="20"/>
    </row>
    <row r="4515" spans="2:6" ht="17.25" customHeight="1">
      <c r="B4515" s="15"/>
      <c r="C4515" s="15"/>
      <c r="D4515" s="15"/>
      <c r="E4515" s="15"/>
      <c r="F4515" s="20"/>
    </row>
    <row r="4516" spans="2:6" ht="17.25" customHeight="1">
      <c r="B4516" s="15"/>
      <c r="C4516" s="15"/>
      <c r="D4516" s="15"/>
      <c r="E4516" s="15"/>
      <c r="F4516" s="20"/>
    </row>
    <row r="4517" spans="2:6" ht="17.25" customHeight="1">
      <c r="B4517" s="15"/>
      <c r="C4517" s="15"/>
      <c r="D4517" s="15"/>
      <c r="E4517" s="15"/>
      <c r="F4517" s="20"/>
    </row>
    <row r="4518" spans="2:6" ht="17.25" customHeight="1">
      <c r="B4518" s="15"/>
      <c r="C4518" s="15"/>
      <c r="D4518" s="15"/>
      <c r="E4518" s="15"/>
      <c r="F4518" s="20"/>
    </row>
    <row r="4519" spans="2:6" ht="17.25" customHeight="1">
      <c r="B4519" s="15"/>
      <c r="C4519" s="15"/>
      <c r="D4519" s="15"/>
      <c r="E4519" s="15"/>
      <c r="F4519" s="20"/>
    </row>
    <row r="4520" spans="2:6" ht="17.25" customHeight="1">
      <c r="B4520" s="15"/>
      <c r="C4520" s="15"/>
      <c r="D4520" s="15"/>
      <c r="E4520" s="15"/>
      <c r="F4520" s="20"/>
    </row>
    <row r="4521" spans="2:6" ht="17.25" customHeight="1">
      <c r="B4521" s="15"/>
      <c r="C4521" s="15"/>
      <c r="D4521" s="15"/>
      <c r="E4521" s="15"/>
      <c r="F4521" s="20"/>
    </row>
    <row r="4522" spans="2:6" ht="17.25" customHeight="1">
      <c r="B4522" s="15"/>
      <c r="C4522" s="15"/>
      <c r="D4522" s="15"/>
      <c r="E4522" s="15"/>
      <c r="F4522" s="20"/>
    </row>
    <row r="4523" spans="2:6" ht="17.25" customHeight="1">
      <c r="B4523" s="15"/>
      <c r="C4523" s="15"/>
      <c r="D4523" s="15"/>
      <c r="E4523" s="15"/>
      <c r="F4523" s="20"/>
    </row>
    <row r="4524" spans="2:6" ht="17.25" customHeight="1">
      <c r="B4524" s="15"/>
      <c r="C4524" s="15"/>
      <c r="D4524" s="15"/>
      <c r="E4524" s="15"/>
      <c r="F4524" s="20"/>
    </row>
    <row r="4525" spans="2:6" ht="17.25" customHeight="1">
      <c r="B4525" s="15"/>
      <c r="C4525" s="15"/>
      <c r="D4525" s="15"/>
      <c r="E4525" s="15"/>
      <c r="F4525" s="20"/>
    </row>
    <row r="4526" spans="2:6" ht="17.25" customHeight="1">
      <c r="B4526" s="15"/>
      <c r="C4526" s="15"/>
      <c r="D4526" s="15"/>
      <c r="E4526" s="15"/>
      <c r="F4526" s="20"/>
    </row>
    <row r="4527" spans="2:6" ht="17.25" customHeight="1">
      <c r="B4527" s="15"/>
      <c r="C4527" s="15"/>
      <c r="D4527" s="15"/>
      <c r="E4527" s="15"/>
      <c r="F4527" s="20"/>
    </row>
    <row r="4528" spans="2:6" ht="17.25" customHeight="1">
      <c r="B4528" s="15"/>
      <c r="C4528" s="15"/>
      <c r="D4528" s="15"/>
      <c r="E4528" s="15"/>
      <c r="F4528" s="20"/>
    </row>
    <row r="4529" spans="2:6" ht="17.25" customHeight="1">
      <c r="B4529" s="15"/>
      <c r="C4529" s="15"/>
      <c r="D4529" s="15"/>
      <c r="E4529" s="15"/>
      <c r="F4529" s="20"/>
    </row>
    <row r="4530" spans="2:6" ht="17.25" customHeight="1">
      <c r="B4530" s="15"/>
      <c r="C4530" s="15"/>
      <c r="D4530" s="15"/>
      <c r="E4530" s="15"/>
      <c r="F4530" s="20"/>
    </row>
    <row r="4531" spans="2:6" ht="17.25" customHeight="1">
      <c r="B4531" s="15"/>
      <c r="C4531" s="15"/>
      <c r="D4531" s="15"/>
      <c r="E4531" s="15"/>
      <c r="F4531" s="20"/>
    </row>
    <row r="4532" spans="2:6" ht="17.25" customHeight="1">
      <c r="B4532" s="15"/>
      <c r="C4532" s="15"/>
      <c r="D4532" s="15"/>
      <c r="E4532" s="15"/>
      <c r="F4532" s="20"/>
    </row>
    <row r="4533" spans="2:6" ht="17.25" customHeight="1">
      <c r="B4533" s="15"/>
      <c r="C4533" s="15"/>
      <c r="D4533" s="15"/>
      <c r="E4533" s="15"/>
      <c r="F4533" s="20"/>
    </row>
    <row r="4534" spans="2:6" ht="17.25" customHeight="1">
      <c r="B4534" s="15"/>
      <c r="C4534" s="15"/>
      <c r="D4534" s="15"/>
      <c r="E4534" s="15"/>
      <c r="F4534" s="20"/>
    </row>
    <row r="4535" spans="2:6" ht="17.25" customHeight="1">
      <c r="B4535" s="15"/>
      <c r="C4535" s="15"/>
      <c r="D4535" s="15"/>
      <c r="E4535" s="15"/>
      <c r="F4535" s="20"/>
    </row>
    <row r="4536" spans="2:6" ht="17.25" customHeight="1">
      <c r="B4536" s="15"/>
      <c r="C4536" s="15"/>
      <c r="D4536" s="15"/>
      <c r="E4536" s="15"/>
      <c r="F4536" s="20"/>
    </row>
    <row r="4537" spans="2:6" ht="17.25" customHeight="1">
      <c r="B4537" s="15"/>
      <c r="C4537" s="15"/>
      <c r="D4537" s="15"/>
      <c r="E4537" s="15"/>
      <c r="F4537" s="20"/>
    </row>
    <row r="4538" spans="2:6" ht="17.25" customHeight="1">
      <c r="B4538" s="15"/>
      <c r="C4538" s="15"/>
      <c r="D4538" s="15"/>
      <c r="E4538" s="15"/>
      <c r="F4538" s="20"/>
    </row>
    <row r="4539" spans="2:6" ht="17.25" customHeight="1">
      <c r="B4539" s="15"/>
      <c r="C4539" s="15"/>
      <c r="D4539" s="15"/>
      <c r="E4539" s="15"/>
      <c r="F4539" s="20"/>
    </row>
    <row r="4540" spans="2:6" ht="17.25" customHeight="1">
      <c r="B4540" s="15"/>
      <c r="C4540" s="15"/>
      <c r="D4540" s="15"/>
      <c r="E4540" s="15"/>
      <c r="F4540" s="20"/>
    </row>
    <row r="4541" spans="2:6" ht="17.25" customHeight="1">
      <c r="B4541" s="15"/>
      <c r="C4541" s="15"/>
      <c r="D4541" s="15"/>
      <c r="E4541" s="15"/>
      <c r="F4541" s="20"/>
    </row>
    <row r="4542" spans="2:6" ht="17.25" customHeight="1">
      <c r="B4542" s="15"/>
      <c r="C4542" s="15"/>
      <c r="D4542" s="15"/>
      <c r="E4542" s="15"/>
      <c r="F4542" s="20"/>
    </row>
    <row r="4543" spans="2:6" ht="17.25" customHeight="1">
      <c r="B4543" s="15"/>
      <c r="C4543" s="15"/>
      <c r="D4543" s="15"/>
      <c r="E4543" s="15"/>
      <c r="F4543" s="20"/>
    </row>
    <row r="4544" spans="2:6" ht="17.25" customHeight="1">
      <c r="B4544" s="15"/>
      <c r="C4544" s="15"/>
      <c r="D4544" s="15"/>
      <c r="E4544" s="15"/>
      <c r="F4544" s="20"/>
    </row>
    <row r="4545" spans="2:6" ht="17.25" customHeight="1">
      <c r="B4545" s="15"/>
      <c r="C4545" s="15"/>
      <c r="D4545" s="15"/>
      <c r="E4545" s="15"/>
      <c r="F4545" s="20"/>
    </row>
    <row r="4546" spans="2:6" ht="17.25" customHeight="1">
      <c r="B4546" s="15"/>
      <c r="C4546" s="15"/>
      <c r="D4546" s="15"/>
      <c r="E4546" s="15"/>
      <c r="F4546" s="20"/>
    </row>
    <row r="4547" spans="2:6" ht="17.25" customHeight="1">
      <c r="B4547" s="15"/>
      <c r="C4547" s="15"/>
      <c r="D4547" s="15"/>
      <c r="E4547" s="15"/>
      <c r="F4547" s="20"/>
    </row>
    <row r="4548" spans="2:6" ht="17.25" customHeight="1">
      <c r="B4548" s="15"/>
      <c r="C4548" s="15"/>
      <c r="D4548" s="15"/>
      <c r="E4548" s="15"/>
      <c r="F4548" s="20"/>
    </row>
    <row r="4549" spans="2:6" ht="17.25" customHeight="1">
      <c r="B4549" s="15"/>
      <c r="C4549" s="15"/>
      <c r="D4549" s="15"/>
      <c r="E4549" s="15"/>
      <c r="F4549" s="20"/>
    </row>
    <row r="4550" spans="2:6" ht="17.25" customHeight="1">
      <c r="B4550" s="15"/>
      <c r="C4550" s="15"/>
      <c r="D4550" s="15"/>
      <c r="E4550" s="15"/>
      <c r="F4550" s="20"/>
    </row>
    <row r="4551" spans="2:6" ht="17.25" customHeight="1">
      <c r="B4551" s="15"/>
      <c r="C4551" s="15"/>
      <c r="D4551" s="15"/>
      <c r="E4551" s="15"/>
      <c r="F4551" s="20"/>
    </row>
    <row r="4552" spans="2:6" ht="17.25" customHeight="1">
      <c r="B4552" s="15"/>
      <c r="C4552" s="15"/>
      <c r="D4552" s="15"/>
      <c r="E4552" s="15"/>
      <c r="F4552" s="20"/>
    </row>
    <row r="4553" spans="2:6" ht="17.25" customHeight="1">
      <c r="B4553" s="15"/>
      <c r="C4553" s="15"/>
      <c r="D4553" s="15"/>
      <c r="E4553" s="15"/>
      <c r="F4553" s="20"/>
    </row>
    <row r="4554" spans="2:6" ht="17.25" customHeight="1">
      <c r="B4554" s="15"/>
      <c r="C4554" s="15"/>
      <c r="D4554" s="15"/>
      <c r="E4554" s="15"/>
      <c r="F4554" s="20"/>
    </row>
    <row r="4555" spans="2:6" ht="17.25" customHeight="1">
      <c r="B4555" s="15"/>
      <c r="C4555" s="15"/>
      <c r="D4555" s="15"/>
      <c r="E4555" s="15"/>
      <c r="F4555" s="20"/>
    </row>
    <row r="4556" spans="2:6" ht="17.25" customHeight="1">
      <c r="B4556" s="15"/>
      <c r="C4556" s="15"/>
      <c r="D4556" s="15"/>
      <c r="E4556" s="15"/>
      <c r="F4556" s="20"/>
    </row>
    <row r="4557" spans="2:6" ht="17.25" customHeight="1">
      <c r="B4557" s="15"/>
      <c r="C4557" s="15"/>
      <c r="D4557" s="15"/>
      <c r="E4557" s="15"/>
      <c r="F4557" s="20"/>
    </row>
    <row r="4558" spans="2:6" ht="17.25" customHeight="1">
      <c r="B4558" s="15"/>
      <c r="C4558" s="15"/>
      <c r="D4558" s="15"/>
      <c r="E4558" s="15"/>
      <c r="F4558" s="20"/>
    </row>
    <row r="4559" spans="2:6" ht="17.25" customHeight="1">
      <c r="B4559" s="15"/>
      <c r="C4559" s="15"/>
      <c r="D4559" s="15"/>
      <c r="E4559" s="15"/>
      <c r="F4559" s="20"/>
    </row>
    <row r="4560" spans="2:6" ht="17.25" customHeight="1">
      <c r="B4560" s="15"/>
      <c r="C4560" s="15"/>
      <c r="D4560" s="15"/>
      <c r="E4560" s="15"/>
      <c r="F4560" s="20"/>
    </row>
    <row r="4561" spans="2:6" ht="17.25" customHeight="1">
      <c r="B4561" s="15"/>
      <c r="C4561" s="15"/>
      <c r="D4561" s="15"/>
      <c r="E4561" s="15"/>
      <c r="F4561" s="20"/>
    </row>
    <row r="4562" spans="2:6" ht="17.25" customHeight="1">
      <c r="B4562" s="15"/>
      <c r="C4562" s="15"/>
      <c r="D4562" s="15"/>
      <c r="E4562" s="15"/>
      <c r="F4562" s="20"/>
    </row>
    <row r="4563" spans="2:6" ht="17.25" customHeight="1">
      <c r="B4563" s="15"/>
      <c r="C4563" s="15"/>
      <c r="D4563" s="15"/>
      <c r="E4563" s="15"/>
      <c r="F4563" s="20"/>
    </row>
    <row r="4564" spans="2:6" ht="17.25" customHeight="1">
      <c r="B4564" s="15"/>
      <c r="C4564" s="15"/>
      <c r="D4564" s="15"/>
      <c r="E4564" s="15"/>
      <c r="F4564" s="20"/>
    </row>
    <row r="4565" spans="2:6" ht="17.25" customHeight="1">
      <c r="B4565" s="15"/>
      <c r="C4565" s="15"/>
      <c r="D4565" s="15"/>
      <c r="E4565" s="15"/>
      <c r="F4565" s="20"/>
    </row>
    <row r="4566" spans="2:6" ht="17.25" customHeight="1">
      <c r="B4566" s="15"/>
      <c r="C4566" s="15"/>
      <c r="D4566" s="15"/>
      <c r="E4566" s="15"/>
      <c r="F4566" s="20"/>
    </row>
    <row r="4567" spans="2:6" ht="17.25" customHeight="1">
      <c r="B4567" s="15"/>
      <c r="C4567" s="15"/>
      <c r="D4567" s="15"/>
      <c r="E4567" s="15"/>
      <c r="F4567" s="20"/>
    </row>
    <row r="4568" spans="2:6" ht="17.25" customHeight="1">
      <c r="B4568" s="15"/>
      <c r="C4568" s="15"/>
      <c r="D4568" s="15"/>
      <c r="E4568" s="15"/>
      <c r="F4568" s="20"/>
    </row>
    <row r="4569" spans="2:6" ht="17.25" customHeight="1">
      <c r="B4569" s="15"/>
      <c r="C4569" s="15"/>
      <c r="D4569" s="15"/>
      <c r="E4569" s="15"/>
      <c r="F4569" s="20"/>
    </row>
    <row r="4570" spans="2:6" ht="17.25" customHeight="1">
      <c r="B4570" s="15"/>
      <c r="C4570" s="15"/>
      <c r="D4570" s="15"/>
      <c r="E4570" s="15"/>
      <c r="F4570" s="20"/>
    </row>
    <row r="4571" spans="2:6" ht="17.25" customHeight="1">
      <c r="B4571" s="15"/>
      <c r="C4571" s="15"/>
      <c r="D4571" s="15"/>
      <c r="E4571" s="15"/>
      <c r="F4571" s="20"/>
    </row>
    <row r="4572" spans="2:6" ht="17.25" customHeight="1">
      <c r="B4572" s="15"/>
      <c r="C4572" s="15"/>
      <c r="D4572" s="15"/>
      <c r="E4572" s="15"/>
      <c r="F4572" s="20"/>
    </row>
    <row r="4573" spans="2:6" ht="17.25" customHeight="1">
      <c r="B4573" s="15"/>
      <c r="C4573" s="15"/>
      <c r="D4573" s="15"/>
      <c r="E4573" s="15"/>
      <c r="F4573" s="20"/>
    </row>
    <row r="4574" spans="2:6" ht="17.25" customHeight="1">
      <c r="B4574" s="15"/>
      <c r="C4574" s="15"/>
      <c r="D4574" s="15"/>
      <c r="E4574" s="15"/>
      <c r="F4574" s="20"/>
    </row>
    <row r="4575" spans="2:6" ht="17.25" customHeight="1">
      <c r="B4575" s="15"/>
      <c r="C4575" s="15"/>
      <c r="D4575" s="15"/>
      <c r="E4575" s="15"/>
      <c r="F4575" s="20"/>
    </row>
    <row r="4576" spans="2:6" ht="17.25" customHeight="1">
      <c r="B4576" s="15"/>
      <c r="C4576" s="15"/>
      <c r="D4576" s="15"/>
      <c r="E4576" s="15"/>
      <c r="F4576" s="20"/>
    </row>
    <row r="4577" spans="2:6" ht="17.25" customHeight="1">
      <c r="B4577" s="15"/>
      <c r="C4577" s="15"/>
      <c r="D4577" s="15"/>
      <c r="E4577" s="15"/>
      <c r="F4577" s="20"/>
    </row>
    <row r="4578" spans="2:6" ht="17.25" customHeight="1">
      <c r="B4578" s="15"/>
      <c r="C4578" s="15"/>
      <c r="D4578" s="15"/>
      <c r="E4578" s="15"/>
      <c r="F4578" s="20"/>
    </row>
    <row r="4579" spans="2:6" ht="17.25" customHeight="1">
      <c r="B4579" s="15"/>
      <c r="C4579" s="15"/>
      <c r="D4579" s="15"/>
      <c r="E4579" s="15"/>
      <c r="F4579" s="20"/>
    </row>
    <row r="4580" spans="2:6" ht="17.25" customHeight="1">
      <c r="B4580" s="15"/>
      <c r="C4580" s="15"/>
      <c r="D4580" s="15"/>
      <c r="E4580" s="15"/>
      <c r="F4580" s="20"/>
    </row>
    <row r="4581" spans="2:6" ht="17.25" customHeight="1">
      <c r="B4581" s="15"/>
      <c r="C4581" s="15"/>
      <c r="D4581" s="15"/>
      <c r="E4581" s="15"/>
      <c r="F4581" s="20"/>
    </row>
    <row r="4582" spans="2:6" ht="17.25" customHeight="1">
      <c r="B4582" s="15"/>
      <c r="C4582" s="15"/>
      <c r="D4582" s="15"/>
      <c r="E4582" s="15"/>
      <c r="F4582" s="20"/>
    </row>
    <row r="4583" spans="2:6" ht="17.25" customHeight="1">
      <c r="B4583" s="15"/>
      <c r="C4583" s="15"/>
      <c r="D4583" s="15"/>
      <c r="E4583" s="15"/>
      <c r="F4583" s="20"/>
    </row>
    <row r="4584" spans="2:6" ht="17.25" customHeight="1">
      <c r="B4584" s="15"/>
      <c r="C4584" s="15"/>
      <c r="D4584" s="15"/>
      <c r="E4584" s="15"/>
      <c r="F4584" s="20"/>
    </row>
    <row r="4585" spans="2:6" ht="17.25" customHeight="1">
      <c r="B4585" s="15"/>
      <c r="C4585" s="15"/>
      <c r="D4585" s="15"/>
      <c r="E4585" s="15"/>
      <c r="F4585" s="20"/>
    </row>
    <row r="4586" spans="2:6" ht="17.25" customHeight="1">
      <c r="B4586" s="15"/>
      <c r="C4586" s="15"/>
      <c r="D4586" s="15"/>
      <c r="E4586" s="15"/>
      <c r="F4586" s="20"/>
    </row>
    <row r="4587" spans="2:6" ht="17.25" customHeight="1">
      <c r="B4587" s="15"/>
      <c r="C4587" s="15"/>
      <c r="D4587" s="15"/>
      <c r="E4587" s="15"/>
      <c r="F4587" s="20"/>
    </row>
    <row r="4588" spans="2:6" ht="17.25" customHeight="1">
      <c r="B4588" s="15"/>
      <c r="C4588" s="15"/>
      <c r="D4588" s="15"/>
      <c r="E4588" s="15"/>
      <c r="F4588" s="20"/>
    </row>
    <row r="4589" spans="2:6" ht="17.25" customHeight="1">
      <c r="B4589" s="15"/>
      <c r="C4589" s="15"/>
      <c r="D4589" s="15"/>
      <c r="E4589" s="15"/>
      <c r="F4589" s="20"/>
    </row>
    <row r="4590" spans="2:6" ht="17.25" customHeight="1">
      <c r="B4590" s="15"/>
      <c r="C4590" s="15"/>
      <c r="D4590" s="15"/>
      <c r="E4590" s="15"/>
      <c r="F4590" s="20"/>
    </row>
    <row r="4591" spans="2:6" ht="17.25" customHeight="1">
      <c r="B4591" s="15"/>
      <c r="C4591" s="15"/>
      <c r="D4591" s="15"/>
      <c r="E4591" s="15"/>
      <c r="F4591" s="20"/>
    </row>
    <row r="4592" spans="2:6" ht="17.25" customHeight="1">
      <c r="B4592" s="15"/>
      <c r="C4592" s="15"/>
      <c r="D4592" s="15"/>
      <c r="E4592" s="15"/>
      <c r="F4592" s="20"/>
    </row>
    <row r="4593" spans="2:6" ht="17.25" customHeight="1">
      <c r="B4593" s="15"/>
      <c r="C4593" s="15"/>
      <c r="D4593" s="15"/>
      <c r="E4593" s="15"/>
      <c r="F4593" s="20"/>
    </row>
    <row r="4594" spans="2:6" ht="17.25" customHeight="1">
      <c r="B4594" s="15"/>
      <c r="C4594" s="15"/>
      <c r="D4594" s="15"/>
      <c r="E4594" s="15"/>
      <c r="F4594" s="20"/>
    </row>
    <row r="4595" spans="2:6" ht="17.25" customHeight="1">
      <c r="B4595" s="15"/>
      <c r="C4595" s="15"/>
      <c r="D4595" s="15"/>
      <c r="E4595" s="15"/>
      <c r="F4595" s="20"/>
    </row>
    <row r="4596" spans="2:6" ht="17.25" customHeight="1">
      <c r="B4596" s="15"/>
      <c r="C4596" s="15"/>
      <c r="D4596" s="15"/>
      <c r="E4596" s="15"/>
      <c r="F4596" s="20"/>
    </row>
    <row r="4597" spans="2:6" ht="17.25" customHeight="1">
      <c r="B4597" s="15"/>
      <c r="C4597" s="15"/>
      <c r="D4597" s="15"/>
      <c r="E4597" s="15"/>
      <c r="F4597" s="20"/>
    </row>
    <row r="4598" spans="2:6" ht="17.25" customHeight="1">
      <c r="B4598" s="15"/>
      <c r="C4598" s="15"/>
      <c r="D4598" s="15"/>
      <c r="E4598" s="15"/>
      <c r="F4598" s="20"/>
    </row>
    <row r="4599" spans="2:6" ht="17.25" customHeight="1">
      <c r="B4599" s="15"/>
      <c r="C4599" s="15"/>
      <c r="D4599" s="15"/>
      <c r="E4599" s="15"/>
      <c r="F4599" s="20"/>
    </row>
    <row r="4600" spans="2:6" ht="17.25" customHeight="1">
      <c r="B4600" s="15"/>
      <c r="C4600" s="15"/>
      <c r="D4600" s="15"/>
      <c r="E4600" s="15"/>
      <c r="F4600" s="20"/>
    </row>
    <row r="4601" spans="2:6" ht="17.25" customHeight="1">
      <c r="B4601" s="15"/>
      <c r="C4601" s="15"/>
      <c r="D4601" s="15"/>
      <c r="E4601" s="15"/>
      <c r="F4601" s="20"/>
    </row>
    <row r="4602" spans="2:6" ht="17.25" customHeight="1">
      <c r="B4602" s="15"/>
      <c r="C4602" s="15"/>
      <c r="D4602" s="15"/>
      <c r="E4602" s="15"/>
      <c r="F4602" s="20"/>
    </row>
    <row r="4603" spans="2:6" ht="17.25" customHeight="1">
      <c r="B4603" s="15"/>
      <c r="C4603" s="15"/>
      <c r="D4603" s="15"/>
      <c r="E4603" s="15"/>
      <c r="F4603" s="20"/>
    </row>
    <row r="4604" spans="2:6" ht="17.25" customHeight="1">
      <c r="B4604" s="15"/>
      <c r="C4604" s="15"/>
      <c r="D4604" s="15"/>
      <c r="E4604" s="15"/>
      <c r="F4604" s="20"/>
    </row>
    <row r="4605" spans="2:6" ht="17.25" customHeight="1">
      <c r="B4605" s="15"/>
      <c r="C4605" s="15"/>
      <c r="D4605" s="15"/>
      <c r="E4605" s="15"/>
      <c r="F4605" s="20"/>
    </row>
    <row r="4606" spans="2:6" ht="17.25" customHeight="1">
      <c r="B4606" s="15"/>
      <c r="C4606" s="15"/>
      <c r="D4606" s="15"/>
      <c r="E4606" s="15"/>
      <c r="F4606" s="20"/>
    </row>
    <row r="4607" spans="2:6" ht="17.25" customHeight="1">
      <c r="B4607" s="15"/>
      <c r="C4607" s="15"/>
      <c r="D4607" s="15"/>
      <c r="E4607" s="15"/>
      <c r="F4607" s="20"/>
    </row>
    <row r="4608" spans="2:6" ht="17.25" customHeight="1">
      <c r="B4608" s="15"/>
      <c r="C4608" s="15"/>
      <c r="D4608" s="15"/>
      <c r="E4608" s="15"/>
      <c r="F4608" s="20"/>
    </row>
    <row r="4609" spans="2:6" ht="17.25" customHeight="1">
      <c r="B4609" s="15"/>
      <c r="C4609" s="15"/>
      <c r="D4609" s="15"/>
      <c r="E4609" s="15"/>
      <c r="F4609" s="20"/>
    </row>
    <row r="4610" spans="2:6" ht="17.25" customHeight="1">
      <c r="B4610" s="15"/>
      <c r="C4610" s="15"/>
      <c r="D4610" s="15"/>
      <c r="E4610" s="15"/>
      <c r="F4610" s="20"/>
    </row>
    <row r="4611" spans="2:6" ht="17.25" customHeight="1">
      <c r="B4611" s="15"/>
      <c r="C4611" s="15"/>
      <c r="D4611" s="15"/>
      <c r="E4611" s="15"/>
      <c r="F4611" s="20"/>
    </row>
    <row r="4612" spans="2:6" ht="17.25" customHeight="1">
      <c r="B4612" s="15"/>
      <c r="C4612" s="15"/>
      <c r="D4612" s="15"/>
      <c r="E4612" s="15"/>
      <c r="F4612" s="20"/>
    </row>
    <row r="4613" spans="2:6" ht="17.25" customHeight="1">
      <c r="B4613" s="15"/>
      <c r="C4613" s="15"/>
      <c r="D4613" s="15"/>
      <c r="E4613" s="15"/>
      <c r="F4613" s="20"/>
    </row>
    <row r="4614" spans="2:6" ht="17.25" customHeight="1">
      <c r="B4614" s="15"/>
      <c r="C4614" s="15"/>
      <c r="D4614" s="15"/>
      <c r="E4614" s="15"/>
      <c r="F4614" s="20"/>
    </row>
    <row r="4615" spans="2:6" ht="17.25" customHeight="1">
      <c r="B4615" s="15"/>
      <c r="C4615" s="15"/>
      <c r="D4615" s="15"/>
      <c r="E4615" s="15"/>
      <c r="F4615" s="20"/>
    </row>
    <row r="4616" spans="2:6" ht="17.25" customHeight="1">
      <c r="B4616" s="15"/>
      <c r="C4616" s="15"/>
      <c r="D4616" s="15"/>
      <c r="E4616" s="15"/>
      <c r="F4616" s="20"/>
    </row>
    <row r="4617" spans="2:6" ht="17.25" customHeight="1">
      <c r="B4617" s="15"/>
      <c r="C4617" s="15"/>
      <c r="D4617" s="15"/>
      <c r="E4617" s="15"/>
      <c r="F4617" s="20"/>
    </row>
    <row r="4618" spans="2:6" ht="17.25" customHeight="1">
      <c r="B4618" s="15"/>
      <c r="C4618" s="15"/>
      <c r="D4618" s="15"/>
      <c r="E4618" s="15"/>
      <c r="F4618" s="20"/>
    </row>
    <row r="4619" spans="2:6" ht="17.25" customHeight="1">
      <c r="B4619" s="15"/>
      <c r="C4619" s="15"/>
      <c r="D4619" s="15"/>
      <c r="E4619" s="15"/>
      <c r="F4619" s="20"/>
    </row>
    <row r="4620" spans="2:6" ht="17.25" customHeight="1">
      <c r="B4620" s="15"/>
      <c r="C4620" s="15"/>
      <c r="D4620" s="15"/>
      <c r="E4620" s="15"/>
      <c r="F4620" s="20"/>
    </row>
    <row r="4621" spans="2:6" ht="17.25" customHeight="1">
      <c r="B4621" s="15"/>
      <c r="C4621" s="15"/>
      <c r="D4621" s="15"/>
      <c r="E4621" s="15"/>
      <c r="F4621" s="20"/>
    </row>
    <row r="4622" spans="2:6" ht="17.25" customHeight="1">
      <c r="B4622" s="15"/>
      <c r="C4622" s="15"/>
      <c r="D4622" s="15"/>
      <c r="E4622" s="15"/>
      <c r="F4622" s="20"/>
    </row>
    <row r="4623" spans="2:6" ht="17.25" customHeight="1">
      <c r="B4623" s="15"/>
      <c r="C4623" s="15"/>
      <c r="D4623" s="15"/>
      <c r="E4623" s="15"/>
      <c r="F4623" s="20"/>
    </row>
    <row r="4624" spans="2:6" ht="17.25" customHeight="1">
      <c r="B4624" s="15"/>
      <c r="C4624" s="15"/>
      <c r="D4624" s="15"/>
      <c r="E4624" s="15"/>
      <c r="F4624" s="20"/>
    </row>
    <row r="4625" spans="2:6" ht="17.25" customHeight="1">
      <c r="B4625" s="15"/>
      <c r="C4625" s="15"/>
      <c r="D4625" s="15"/>
      <c r="E4625" s="15"/>
      <c r="F4625" s="20"/>
    </row>
    <row r="4626" spans="2:6" ht="17.25" customHeight="1">
      <c r="B4626" s="15"/>
      <c r="C4626" s="15"/>
      <c r="D4626" s="15"/>
      <c r="E4626" s="15"/>
      <c r="F4626" s="20"/>
    </row>
    <row r="4627" spans="2:6" ht="17.25" customHeight="1">
      <c r="B4627" s="15"/>
      <c r="C4627" s="15"/>
      <c r="D4627" s="15"/>
      <c r="E4627" s="15"/>
      <c r="F4627" s="20"/>
    </row>
    <row r="4628" spans="2:6" ht="17.25" customHeight="1">
      <c r="B4628" s="15"/>
      <c r="C4628" s="15"/>
      <c r="D4628" s="15"/>
      <c r="E4628" s="15"/>
      <c r="F4628" s="20"/>
    </row>
    <row r="4629" spans="2:6" ht="17.25" customHeight="1">
      <c r="B4629" s="15"/>
      <c r="C4629" s="15"/>
      <c r="D4629" s="15"/>
      <c r="E4629" s="15"/>
      <c r="F4629" s="20"/>
    </row>
    <row r="4630" spans="2:6" ht="17.25" customHeight="1">
      <c r="B4630" s="15"/>
      <c r="C4630" s="15"/>
      <c r="D4630" s="15"/>
      <c r="E4630" s="15"/>
      <c r="F4630" s="20"/>
    </row>
    <row r="4631" spans="2:6" ht="17.25" customHeight="1">
      <c r="B4631" s="15"/>
      <c r="C4631" s="15"/>
      <c r="D4631" s="15"/>
      <c r="E4631" s="15"/>
      <c r="F4631" s="20"/>
    </row>
    <row r="4632" spans="2:6" ht="17.25" customHeight="1">
      <c r="B4632" s="15"/>
      <c r="C4632" s="15"/>
      <c r="D4632" s="15"/>
      <c r="E4632" s="15"/>
      <c r="F4632" s="20"/>
    </row>
    <row r="4633" spans="2:6" ht="17.25" customHeight="1">
      <c r="B4633" s="15"/>
      <c r="C4633" s="15"/>
      <c r="D4633" s="15"/>
      <c r="E4633" s="15"/>
      <c r="F4633" s="20"/>
    </row>
    <row r="4634" spans="2:6" ht="17.25" customHeight="1">
      <c r="B4634" s="15"/>
      <c r="C4634" s="15"/>
      <c r="D4634" s="15"/>
      <c r="E4634" s="15"/>
      <c r="F4634" s="20"/>
    </row>
    <row r="4635" spans="2:6" ht="17.25" customHeight="1">
      <c r="B4635" s="15"/>
      <c r="C4635" s="15"/>
      <c r="D4635" s="15"/>
      <c r="E4635" s="15"/>
      <c r="F4635" s="20"/>
    </row>
    <row r="4636" spans="2:6" ht="17.25" customHeight="1">
      <c r="B4636" s="15"/>
      <c r="C4636" s="15"/>
      <c r="D4636" s="15"/>
      <c r="E4636" s="15"/>
      <c r="F4636" s="20"/>
    </row>
    <row r="4637" spans="2:6" ht="17.25" customHeight="1">
      <c r="B4637" s="15"/>
      <c r="C4637" s="15"/>
      <c r="D4637" s="15"/>
      <c r="E4637" s="15"/>
      <c r="F4637" s="20"/>
    </row>
    <row r="4638" spans="2:6" ht="17.25" customHeight="1">
      <c r="B4638" s="15"/>
      <c r="C4638" s="15"/>
      <c r="D4638" s="15"/>
      <c r="E4638" s="15"/>
      <c r="F4638" s="20"/>
    </row>
    <row r="4639" spans="2:6" ht="17.25" customHeight="1">
      <c r="B4639" s="15"/>
      <c r="C4639" s="15"/>
      <c r="D4639" s="15"/>
      <c r="E4639" s="15"/>
      <c r="F4639" s="20"/>
    </row>
    <row r="4640" spans="2:6" ht="17.25" customHeight="1">
      <c r="B4640" s="15"/>
      <c r="C4640" s="15"/>
      <c r="D4640" s="15"/>
      <c r="E4640" s="15"/>
      <c r="F4640" s="20"/>
    </row>
    <row r="4641" spans="2:6" ht="17.25" customHeight="1">
      <c r="B4641" s="15"/>
      <c r="C4641" s="15"/>
      <c r="D4641" s="15"/>
      <c r="E4641" s="15"/>
      <c r="F4641" s="20"/>
    </row>
    <row r="4642" spans="2:6" ht="17.25" customHeight="1">
      <c r="B4642" s="15"/>
      <c r="C4642" s="15"/>
      <c r="D4642" s="15"/>
      <c r="E4642" s="15"/>
      <c r="F4642" s="20"/>
    </row>
    <row r="4643" spans="2:6" ht="17.25" customHeight="1">
      <c r="B4643" s="15"/>
      <c r="C4643" s="15"/>
      <c r="D4643" s="15"/>
      <c r="E4643" s="15"/>
      <c r="F4643" s="20"/>
    </row>
    <row r="4644" spans="2:6" ht="17.25" customHeight="1">
      <c r="B4644" s="15"/>
      <c r="C4644" s="15"/>
      <c r="D4644" s="15"/>
      <c r="E4644" s="15"/>
      <c r="F4644" s="20"/>
    </row>
    <row r="4645" spans="2:6" ht="17.25" customHeight="1">
      <c r="B4645" s="15"/>
      <c r="C4645" s="15"/>
      <c r="D4645" s="15"/>
      <c r="E4645" s="15"/>
      <c r="F4645" s="20"/>
    </row>
    <row r="4646" spans="2:6" ht="17.25" customHeight="1">
      <c r="B4646" s="15"/>
      <c r="C4646" s="15"/>
      <c r="D4646" s="15"/>
      <c r="E4646" s="15"/>
      <c r="F4646" s="20"/>
    </row>
    <row r="4647" spans="2:6" ht="17.25" customHeight="1">
      <c r="B4647" s="15"/>
      <c r="C4647" s="15"/>
      <c r="D4647" s="15"/>
      <c r="E4647" s="15"/>
      <c r="F4647" s="20"/>
    </row>
    <row r="4648" spans="2:6" ht="17.25" customHeight="1">
      <c r="B4648" s="15"/>
      <c r="C4648" s="15"/>
      <c r="D4648" s="15"/>
      <c r="E4648" s="15"/>
      <c r="F4648" s="20"/>
    </row>
    <row r="4649" spans="2:6" ht="17.25" customHeight="1">
      <c r="B4649" s="15"/>
      <c r="C4649" s="15"/>
      <c r="D4649" s="15"/>
      <c r="E4649" s="15"/>
      <c r="F4649" s="20"/>
    </row>
    <row r="4650" spans="2:6" ht="17.25" customHeight="1">
      <c r="B4650" s="15"/>
      <c r="C4650" s="15"/>
      <c r="D4650" s="15"/>
      <c r="E4650" s="15"/>
      <c r="F4650" s="20"/>
    </row>
    <row r="4651" spans="2:6" ht="17.25" customHeight="1">
      <c r="B4651" s="15"/>
      <c r="C4651" s="15"/>
      <c r="D4651" s="15"/>
      <c r="E4651" s="15"/>
      <c r="F4651" s="20"/>
    </row>
    <row r="4652" spans="2:6" ht="17.25" customHeight="1">
      <c r="B4652" s="15"/>
      <c r="C4652" s="15"/>
      <c r="D4652" s="15"/>
      <c r="E4652" s="15"/>
      <c r="F4652" s="20"/>
    </row>
    <row r="4653" spans="2:6" ht="17.25" customHeight="1">
      <c r="B4653" s="15"/>
      <c r="C4653" s="15"/>
      <c r="D4653" s="15"/>
      <c r="E4653" s="15"/>
      <c r="F4653" s="20"/>
    </row>
    <row r="4654" spans="2:6" ht="17.25" customHeight="1">
      <c r="B4654" s="15"/>
      <c r="C4654" s="15"/>
      <c r="D4654" s="15"/>
      <c r="E4654" s="15"/>
      <c r="F4654" s="20"/>
    </row>
    <row r="4655" spans="2:6" ht="17.25" customHeight="1">
      <c r="B4655" s="15"/>
      <c r="C4655" s="15"/>
      <c r="D4655" s="15"/>
      <c r="E4655" s="15"/>
      <c r="F4655" s="20"/>
    </row>
    <row r="4656" spans="2:6" ht="17.25" customHeight="1">
      <c r="B4656" s="15"/>
      <c r="C4656" s="15"/>
      <c r="D4656" s="15"/>
      <c r="E4656" s="15"/>
      <c r="F4656" s="20"/>
    </row>
    <row r="4657" spans="2:6" ht="17.25" customHeight="1">
      <c r="B4657" s="15"/>
      <c r="C4657" s="15"/>
      <c r="D4657" s="15"/>
      <c r="E4657" s="15"/>
      <c r="F4657" s="20"/>
    </row>
    <row r="4658" spans="2:6" ht="17.25" customHeight="1">
      <c r="B4658" s="15"/>
      <c r="C4658" s="15"/>
      <c r="D4658" s="15"/>
      <c r="E4658" s="15"/>
      <c r="F4658" s="20"/>
    </row>
    <row r="4659" spans="2:6" ht="17.25" customHeight="1">
      <c r="B4659" s="15"/>
      <c r="C4659" s="15"/>
      <c r="D4659" s="15"/>
      <c r="E4659" s="15"/>
      <c r="F4659" s="20"/>
    </row>
    <row r="4660" spans="2:6" ht="17.25" customHeight="1">
      <c r="B4660" s="15"/>
      <c r="C4660" s="15"/>
      <c r="D4660" s="15"/>
      <c r="E4660" s="15"/>
      <c r="F4660" s="20"/>
    </row>
    <row r="4661" spans="2:6" ht="17.25" customHeight="1">
      <c r="B4661" s="15"/>
      <c r="C4661" s="15"/>
      <c r="D4661" s="15"/>
      <c r="E4661" s="15"/>
      <c r="F4661" s="20"/>
    </row>
    <row r="4662" spans="2:6" ht="17.25" customHeight="1">
      <c r="B4662" s="15"/>
      <c r="C4662" s="15"/>
      <c r="D4662" s="15"/>
      <c r="E4662" s="15"/>
      <c r="F4662" s="20"/>
    </row>
    <row r="4663" spans="2:6" ht="17.25" customHeight="1">
      <c r="B4663" s="15"/>
      <c r="C4663" s="15"/>
      <c r="D4663" s="15"/>
      <c r="E4663" s="15"/>
      <c r="F4663" s="20"/>
    </row>
    <row r="4664" spans="2:6" ht="17.25" customHeight="1">
      <c r="B4664" s="15"/>
      <c r="C4664" s="15"/>
      <c r="D4664" s="15"/>
      <c r="E4664" s="15"/>
      <c r="F4664" s="20"/>
    </row>
    <row r="4665" spans="2:6" ht="17.25" customHeight="1">
      <c r="B4665" s="15"/>
      <c r="C4665" s="15"/>
      <c r="D4665" s="15"/>
      <c r="E4665" s="15"/>
      <c r="F4665" s="20"/>
    </row>
    <row r="4666" spans="2:6" ht="17.25" customHeight="1">
      <c r="B4666" s="15"/>
      <c r="C4666" s="15"/>
      <c r="D4666" s="15"/>
      <c r="E4666" s="15"/>
      <c r="F4666" s="20"/>
    </row>
    <row r="4667" spans="2:6" ht="17.25" customHeight="1">
      <c r="B4667" s="15"/>
      <c r="C4667" s="15"/>
      <c r="D4667" s="15"/>
      <c r="E4667" s="15"/>
      <c r="F4667" s="20"/>
    </row>
    <row r="4668" spans="2:6" ht="17.25" customHeight="1">
      <c r="B4668" s="15"/>
      <c r="C4668" s="15"/>
      <c r="D4668" s="15"/>
      <c r="E4668" s="15"/>
      <c r="F4668" s="20"/>
    </row>
    <row r="4669" spans="2:6" ht="17.25" customHeight="1">
      <c r="B4669" s="15"/>
      <c r="C4669" s="15"/>
      <c r="D4669" s="15"/>
      <c r="E4669" s="15"/>
      <c r="F4669" s="20"/>
    </row>
    <row r="4670" spans="2:6" ht="17.25" customHeight="1">
      <c r="B4670" s="15"/>
      <c r="C4670" s="15"/>
      <c r="D4670" s="15"/>
      <c r="E4670" s="15"/>
      <c r="F4670" s="20"/>
    </row>
    <row r="4671" spans="2:6" ht="17.25" customHeight="1">
      <c r="B4671" s="15"/>
      <c r="C4671" s="15"/>
      <c r="D4671" s="15"/>
      <c r="E4671" s="15"/>
      <c r="F4671" s="20"/>
    </row>
    <row r="4672" spans="2:6" ht="17.25" customHeight="1">
      <c r="B4672" s="15"/>
      <c r="C4672" s="15"/>
      <c r="D4672" s="15"/>
      <c r="E4672" s="15"/>
      <c r="F4672" s="20"/>
    </row>
    <row r="4673" spans="2:6" ht="17.25" customHeight="1">
      <c r="B4673" s="15"/>
      <c r="C4673" s="15"/>
      <c r="D4673" s="15"/>
      <c r="E4673" s="15"/>
      <c r="F4673" s="20"/>
    </row>
    <row r="4674" spans="2:6" ht="17.25" customHeight="1">
      <c r="B4674" s="15"/>
      <c r="C4674" s="15"/>
      <c r="D4674" s="15"/>
      <c r="E4674" s="15"/>
      <c r="F4674" s="20"/>
    </row>
    <row r="4675" spans="2:6" ht="17.25" customHeight="1">
      <c r="B4675" s="15"/>
      <c r="C4675" s="15"/>
      <c r="D4675" s="15"/>
      <c r="E4675" s="15"/>
      <c r="F4675" s="20"/>
    </row>
    <row r="4676" spans="2:6" ht="17.25" customHeight="1">
      <c r="B4676" s="15"/>
      <c r="C4676" s="15"/>
      <c r="D4676" s="15"/>
      <c r="E4676" s="15"/>
      <c r="F4676" s="20"/>
    </row>
    <row r="4677" spans="2:6" ht="17.25" customHeight="1">
      <c r="B4677" s="15"/>
      <c r="C4677" s="15"/>
      <c r="D4677" s="15"/>
      <c r="E4677" s="15"/>
      <c r="F4677" s="20"/>
    </row>
    <row r="4678" spans="2:6" ht="17.25" customHeight="1">
      <c r="B4678" s="15"/>
      <c r="C4678" s="15"/>
      <c r="D4678" s="15"/>
      <c r="E4678" s="15"/>
      <c r="F4678" s="20"/>
    </row>
    <row r="4679" spans="2:6" ht="17.25" customHeight="1">
      <c r="B4679" s="15"/>
      <c r="C4679" s="15"/>
      <c r="D4679" s="15"/>
      <c r="E4679" s="15"/>
      <c r="F4679" s="20"/>
    </row>
    <row r="4680" spans="2:6" ht="17.25" customHeight="1">
      <c r="B4680" s="15"/>
      <c r="C4680" s="15"/>
      <c r="D4680" s="15"/>
      <c r="E4680" s="15"/>
      <c r="F4680" s="20"/>
    </row>
    <row r="4681" spans="2:6" ht="17.25" customHeight="1">
      <c r="B4681" s="15"/>
      <c r="C4681" s="15"/>
      <c r="D4681" s="15"/>
      <c r="E4681" s="15"/>
      <c r="F4681" s="20"/>
    </row>
    <row r="4682" spans="2:6" ht="17.25" customHeight="1">
      <c r="B4682" s="15"/>
      <c r="C4682" s="15"/>
      <c r="D4682" s="15"/>
      <c r="E4682" s="15"/>
      <c r="F4682" s="20"/>
    </row>
    <row r="4683" spans="2:6" ht="17.25" customHeight="1">
      <c r="B4683" s="15"/>
      <c r="C4683" s="15"/>
      <c r="D4683" s="15"/>
      <c r="E4683" s="15"/>
      <c r="F4683" s="20"/>
    </row>
    <row r="4684" spans="2:6" ht="17.25" customHeight="1">
      <c r="B4684" s="15"/>
      <c r="C4684" s="15"/>
      <c r="D4684" s="15"/>
      <c r="E4684" s="15"/>
      <c r="F4684" s="20"/>
    </row>
    <row r="4685" spans="2:6" ht="17.25" customHeight="1">
      <c r="B4685" s="15"/>
      <c r="C4685" s="15"/>
      <c r="D4685" s="15"/>
      <c r="E4685" s="15"/>
      <c r="F4685" s="20"/>
    </row>
    <row r="4686" spans="2:6" ht="17.25" customHeight="1">
      <c r="B4686" s="15"/>
      <c r="C4686" s="15"/>
      <c r="D4686" s="15"/>
      <c r="E4686" s="15"/>
      <c r="F4686" s="20"/>
    </row>
    <row r="4687" spans="2:6" ht="17.25" customHeight="1">
      <c r="B4687" s="15"/>
      <c r="C4687" s="15"/>
      <c r="D4687" s="15"/>
      <c r="E4687" s="15"/>
      <c r="F4687" s="20"/>
    </row>
    <row r="4688" spans="2:6" ht="17.25" customHeight="1">
      <c r="B4688" s="15"/>
      <c r="C4688" s="15"/>
      <c r="D4688" s="15"/>
      <c r="E4688" s="15"/>
      <c r="F4688" s="20"/>
    </row>
    <row r="4689" spans="2:6" ht="17.25" customHeight="1">
      <c r="B4689" s="15"/>
      <c r="C4689" s="15"/>
      <c r="D4689" s="15"/>
      <c r="E4689" s="15"/>
      <c r="F4689" s="20"/>
    </row>
    <row r="4690" spans="2:6" ht="17.25" customHeight="1">
      <c r="B4690" s="15"/>
      <c r="C4690" s="15"/>
      <c r="D4690" s="15"/>
      <c r="E4690" s="15"/>
      <c r="F4690" s="20"/>
    </row>
    <row r="4691" spans="2:6" ht="17.25" customHeight="1">
      <c r="B4691" s="15"/>
      <c r="C4691" s="15"/>
      <c r="D4691" s="15"/>
      <c r="E4691" s="15"/>
      <c r="F4691" s="20"/>
    </row>
    <row r="4692" spans="2:6" ht="17.25" customHeight="1">
      <c r="B4692" s="15"/>
      <c r="C4692" s="15"/>
      <c r="D4692" s="15"/>
      <c r="E4692" s="15"/>
      <c r="F4692" s="20"/>
    </row>
    <row r="4693" spans="2:6" ht="17.25" customHeight="1">
      <c r="B4693" s="15"/>
      <c r="C4693" s="15"/>
      <c r="D4693" s="15"/>
      <c r="E4693" s="15"/>
      <c r="F4693" s="20"/>
    </row>
    <row r="4694" spans="2:6" ht="17.25" customHeight="1">
      <c r="B4694" s="15"/>
      <c r="C4694" s="15"/>
      <c r="D4694" s="15"/>
      <c r="E4694" s="15"/>
      <c r="F4694" s="20"/>
    </row>
    <row r="4695" spans="2:6" ht="17.25" customHeight="1">
      <c r="B4695" s="15"/>
      <c r="C4695" s="15"/>
      <c r="D4695" s="15"/>
      <c r="E4695" s="15"/>
      <c r="F4695" s="20"/>
    </row>
    <row r="4696" spans="2:6" ht="17.25" customHeight="1">
      <c r="B4696" s="15"/>
      <c r="C4696" s="15"/>
      <c r="D4696" s="15"/>
      <c r="E4696" s="15"/>
      <c r="F4696" s="20"/>
    </row>
    <row r="4697" spans="2:6" ht="17.25" customHeight="1">
      <c r="B4697" s="15"/>
      <c r="C4697" s="15"/>
      <c r="D4697" s="15"/>
      <c r="E4697" s="15"/>
      <c r="F4697" s="20"/>
    </row>
    <row r="4698" spans="2:6" ht="17.25" customHeight="1">
      <c r="B4698" s="15"/>
      <c r="C4698" s="15"/>
      <c r="D4698" s="15"/>
      <c r="E4698" s="15"/>
      <c r="F4698" s="20"/>
    </row>
    <row r="4699" spans="2:6" ht="17.25" customHeight="1">
      <c r="B4699" s="15"/>
      <c r="C4699" s="15"/>
      <c r="D4699" s="15"/>
      <c r="E4699" s="15"/>
      <c r="F4699" s="20"/>
    </row>
    <row r="4700" spans="2:6" ht="17.25" customHeight="1">
      <c r="B4700" s="15"/>
      <c r="C4700" s="15"/>
      <c r="D4700" s="15"/>
      <c r="E4700" s="15"/>
      <c r="F4700" s="20"/>
    </row>
    <row r="4701" spans="2:6" ht="17.25" customHeight="1">
      <c r="B4701" s="15"/>
      <c r="C4701" s="15"/>
      <c r="D4701" s="15"/>
      <c r="E4701" s="15"/>
      <c r="F4701" s="20"/>
    </row>
    <row r="4702" spans="2:6" ht="17.25" customHeight="1">
      <c r="B4702" s="15"/>
      <c r="C4702" s="15"/>
      <c r="D4702" s="15"/>
      <c r="E4702" s="15"/>
      <c r="F4702" s="20"/>
    </row>
    <row r="4703" spans="2:6" ht="17.25" customHeight="1">
      <c r="B4703" s="15"/>
      <c r="C4703" s="15"/>
      <c r="D4703" s="15"/>
      <c r="E4703" s="15"/>
      <c r="F4703" s="20"/>
    </row>
    <row r="4704" spans="2:6" ht="17.25" customHeight="1">
      <c r="B4704" s="15"/>
      <c r="C4704" s="15"/>
      <c r="D4704" s="15"/>
      <c r="E4704" s="15"/>
      <c r="F4704" s="20"/>
    </row>
    <row r="4705" spans="2:6" ht="17.25" customHeight="1">
      <c r="B4705" s="15"/>
      <c r="C4705" s="15"/>
      <c r="D4705" s="15"/>
      <c r="E4705" s="15"/>
      <c r="F4705" s="20"/>
    </row>
    <row r="4706" spans="2:6" ht="17.25" customHeight="1">
      <c r="B4706" s="15"/>
      <c r="C4706" s="15"/>
      <c r="D4706" s="15"/>
      <c r="E4706" s="15"/>
      <c r="F4706" s="20"/>
    </row>
    <row r="4707" spans="2:6" ht="17.25" customHeight="1">
      <c r="B4707" s="15"/>
      <c r="C4707" s="15"/>
      <c r="D4707" s="15"/>
      <c r="E4707" s="15"/>
      <c r="F4707" s="20"/>
    </row>
    <row r="4708" spans="2:6" ht="17.25" customHeight="1">
      <c r="B4708" s="15"/>
      <c r="C4708" s="15"/>
      <c r="D4708" s="15"/>
      <c r="E4708" s="15"/>
      <c r="F4708" s="20"/>
    </row>
    <row r="4709" spans="2:6" ht="17.25" customHeight="1">
      <c r="B4709" s="15"/>
      <c r="C4709" s="15"/>
      <c r="D4709" s="15"/>
      <c r="E4709" s="15"/>
      <c r="F4709" s="20"/>
    </row>
    <row r="4710" spans="2:6" ht="17.25" customHeight="1">
      <c r="B4710" s="15"/>
      <c r="C4710" s="15"/>
      <c r="D4710" s="15"/>
      <c r="E4710" s="15"/>
      <c r="F4710" s="20"/>
    </row>
    <row r="4711" spans="2:6" ht="17.25" customHeight="1">
      <c r="B4711" s="15"/>
      <c r="C4711" s="15"/>
      <c r="D4711" s="15"/>
      <c r="E4711" s="15"/>
      <c r="F4711" s="20"/>
    </row>
    <row r="4712" spans="2:6" ht="17.25" customHeight="1">
      <c r="B4712" s="15"/>
      <c r="C4712" s="15"/>
      <c r="D4712" s="15"/>
      <c r="E4712" s="15"/>
      <c r="F4712" s="20"/>
    </row>
    <row r="4713" spans="2:6" ht="17.25" customHeight="1">
      <c r="B4713" s="15"/>
      <c r="C4713" s="15"/>
      <c r="D4713" s="15"/>
      <c r="E4713" s="15"/>
      <c r="F4713" s="20"/>
    </row>
    <row r="4714" spans="2:6" ht="17.25" customHeight="1">
      <c r="B4714" s="15"/>
      <c r="C4714" s="15"/>
      <c r="D4714" s="15"/>
      <c r="E4714" s="15"/>
      <c r="F4714" s="20"/>
    </row>
    <row r="4715" spans="2:6" ht="17.25" customHeight="1">
      <c r="B4715" s="15"/>
      <c r="C4715" s="15"/>
      <c r="D4715" s="15"/>
      <c r="E4715" s="15"/>
      <c r="F4715" s="20"/>
    </row>
    <row r="4716" spans="2:6" ht="17.25" customHeight="1">
      <c r="B4716" s="15"/>
      <c r="C4716" s="15"/>
      <c r="D4716" s="15"/>
      <c r="E4716" s="15"/>
      <c r="F4716" s="20"/>
    </row>
    <row r="4717" spans="2:6" ht="17.25" customHeight="1">
      <c r="B4717" s="15"/>
      <c r="C4717" s="15"/>
      <c r="D4717" s="15"/>
      <c r="E4717" s="15"/>
      <c r="F4717" s="20"/>
    </row>
    <row r="4718" spans="2:6" ht="17.25" customHeight="1">
      <c r="B4718" s="15"/>
      <c r="C4718" s="15"/>
      <c r="D4718" s="15"/>
      <c r="E4718" s="15"/>
      <c r="F4718" s="20"/>
    </row>
    <row r="4719" spans="2:6" ht="17.25" customHeight="1">
      <c r="B4719" s="15"/>
      <c r="C4719" s="15"/>
      <c r="D4719" s="15"/>
      <c r="E4719" s="15"/>
      <c r="F4719" s="20"/>
    </row>
    <row r="4720" spans="2:6" ht="17.25" customHeight="1">
      <c r="B4720" s="15"/>
      <c r="C4720" s="15"/>
      <c r="D4720" s="15"/>
      <c r="E4720" s="15"/>
      <c r="F4720" s="20"/>
    </row>
    <row r="4721" spans="2:6" ht="17.25" customHeight="1">
      <c r="B4721" s="15"/>
      <c r="C4721" s="15"/>
      <c r="D4721" s="15"/>
      <c r="E4721" s="15"/>
      <c r="F4721" s="20"/>
    </row>
    <row r="4722" spans="2:6" ht="17.25" customHeight="1">
      <c r="B4722" s="15"/>
      <c r="C4722" s="15"/>
      <c r="D4722" s="15"/>
      <c r="E4722" s="15"/>
      <c r="F4722" s="20"/>
    </row>
    <row r="4723" spans="2:6" ht="17.25" customHeight="1">
      <c r="B4723" s="15"/>
      <c r="C4723" s="15"/>
      <c r="D4723" s="15"/>
      <c r="E4723" s="15"/>
      <c r="F4723" s="20"/>
    </row>
    <row r="4724" spans="2:6" ht="17.25" customHeight="1">
      <c r="B4724" s="15"/>
      <c r="C4724" s="15"/>
      <c r="D4724" s="15"/>
      <c r="E4724" s="15"/>
      <c r="F4724" s="20"/>
    </row>
    <row r="4725" spans="2:6" ht="17.25" customHeight="1">
      <c r="B4725" s="15"/>
      <c r="C4725" s="15"/>
      <c r="D4725" s="15"/>
      <c r="E4725" s="15"/>
      <c r="F4725" s="20"/>
    </row>
    <row r="4726" spans="2:6" ht="17.25" customHeight="1">
      <c r="B4726" s="15"/>
      <c r="C4726" s="15"/>
      <c r="D4726" s="15"/>
      <c r="E4726" s="15"/>
      <c r="F4726" s="20"/>
    </row>
    <row r="4727" spans="2:6" ht="17.25" customHeight="1">
      <c r="B4727" s="15"/>
      <c r="C4727" s="15"/>
      <c r="D4727" s="15"/>
      <c r="E4727" s="15"/>
      <c r="F4727" s="20"/>
    </row>
    <row r="4728" spans="2:6" ht="17.25" customHeight="1">
      <c r="B4728" s="15"/>
      <c r="C4728" s="15"/>
      <c r="D4728" s="15"/>
      <c r="E4728" s="15"/>
      <c r="F4728" s="20"/>
    </row>
    <row r="4729" spans="2:6" ht="17.25" customHeight="1">
      <c r="B4729" s="15"/>
      <c r="C4729" s="15"/>
      <c r="D4729" s="15"/>
      <c r="E4729" s="15"/>
      <c r="F4729" s="20"/>
    </row>
    <row r="4730" spans="2:6" ht="17.25" customHeight="1">
      <c r="B4730" s="15"/>
      <c r="C4730" s="15"/>
      <c r="D4730" s="15"/>
      <c r="E4730" s="15"/>
      <c r="F4730" s="20"/>
    </row>
    <row r="4731" spans="2:6" ht="17.25" customHeight="1">
      <c r="B4731" s="15"/>
      <c r="C4731" s="15"/>
      <c r="D4731" s="15"/>
      <c r="E4731" s="15"/>
      <c r="F4731" s="20"/>
    </row>
    <row r="4732" spans="2:6" ht="17.25" customHeight="1">
      <c r="B4732" s="15"/>
      <c r="C4732" s="15"/>
      <c r="D4732" s="15"/>
      <c r="E4732" s="15"/>
      <c r="F4732" s="20"/>
    </row>
    <row r="4733" spans="2:6" ht="17.25" customHeight="1">
      <c r="B4733" s="15"/>
      <c r="C4733" s="15"/>
      <c r="D4733" s="15"/>
      <c r="E4733" s="15"/>
      <c r="F4733" s="20"/>
    </row>
    <row r="4734" spans="2:6" ht="17.25" customHeight="1">
      <c r="B4734" s="15"/>
      <c r="C4734" s="15"/>
      <c r="D4734" s="15"/>
      <c r="E4734" s="15"/>
      <c r="F4734" s="20"/>
    </row>
    <row r="4735" spans="2:6" ht="17.25" customHeight="1">
      <c r="B4735" s="15"/>
      <c r="C4735" s="15"/>
      <c r="D4735" s="15"/>
      <c r="E4735" s="15"/>
      <c r="F4735" s="20"/>
    </row>
    <row r="4736" spans="2:6" ht="17.25" customHeight="1">
      <c r="B4736" s="15"/>
      <c r="C4736" s="15"/>
      <c r="D4736" s="15"/>
      <c r="E4736" s="15"/>
      <c r="F4736" s="20"/>
    </row>
    <row r="4737" spans="2:6" ht="17.25" customHeight="1">
      <c r="B4737" s="15"/>
      <c r="C4737" s="15"/>
      <c r="D4737" s="15"/>
      <c r="E4737" s="15"/>
      <c r="F4737" s="20"/>
    </row>
    <row r="4738" spans="2:6" ht="17.25" customHeight="1">
      <c r="B4738" s="15"/>
      <c r="C4738" s="15"/>
      <c r="D4738" s="15"/>
      <c r="E4738" s="15"/>
      <c r="F4738" s="20"/>
    </row>
    <row r="4739" spans="2:6" ht="17.25" customHeight="1">
      <c r="B4739" s="15"/>
      <c r="C4739" s="15"/>
      <c r="D4739" s="15"/>
      <c r="E4739" s="15"/>
      <c r="F4739" s="20"/>
    </row>
    <row r="4740" spans="2:6" ht="17.25" customHeight="1">
      <c r="B4740" s="15"/>
      <c r="C4740" s="15"/>
      <c r="D4740" s="15"/>
      <c r="E4740" s="15"/>
      <c r="F4740" s="20"/>
    </row>
    <row r="4741" spans="2:6" ht="17.25" customHeight="1">
      <c r="B4741" s="15"/>
      <c r="C4741" s="15"/>
      <c r="D4741" s="15"/>
      <c r="E4741" s="15"/>
      <c r="F4741" s="20"/>
    </row>
    <row r="4742" spans="2:6" ht="17.25" customHeight="1">
      <c r="B4742" s="15"/>
      <c r="C4742" s="15"/>
      <c r="D4742" s="15"/>
      <c r="E4742" s="15"/>
      <c r="F4742" s="20"/>
    </row>
    <row r="4743" spans="2:6" ht="17.25" customHeight="1">
      <c r="B4743" s="15"/>
      <c r="C4743" s="15"/>
      <c r="D4743" s="15"/>
      <c r="E4743" s="15"/>
      <c r="F4743" s="20"/>
    </row>
    <row r="4744" spans="2:6" ht="17.25" customHeight="1">
      <c r="B4744" s="15"/>
      <c r="C4744" s="15"/>
      <c r="D4744" s="15"/>
      <c r="E4744" s="15"/>
      <c r="F4744" s="20"/>
    </row>
    <row r="4745" spans="2:6" ht="17.25" customHeight="1">
      <c r="B4745" s="15"/>
      <c r="C4745" s="15"/>
      <c r="D4745" s="15"/>
      <c r="E4745" s="15"/>
      <c r="F4745" s="20"/>
    </row>
    <row r="4746" spans="2:6" ht="17.25" customHeight="1">
      <c r="B4746" s="15"/>
      <c r="C4746" s="15"/>
      <c r="D4746" s="15"/>
      <c r="E4746" s="15"/>
      <c r="F4746" s="20"/>
    </row>
    <row r="4747" spans="2:6" ht="17.25" customHeight="1">
      <c r="B4747" s="15"/>
      <c r="C4747" s="15"/>
      <c r="D4747" s="15"/>
      <c r="E4747" s="15"/>
      <c r="F4747" s="20"/>
    </row>
    <row r="4748" spans="2:6" ht="17.25" customHeight="1">
      <c r="B4748" s="15"/>
      <c r="C4748" s="15"/>
      <c r="D4748" s="15"/>
      <c r="E4748" s="15"/>
      <c r="F4748" s="20"/>
    </row>
    <row r="4749" spans="2:6" ht="17.25" customHeight="1">
      <c r="B4749" s="15"/>
      <c r="C4749" s="15"/>
      <c r="D4749" s="15"/>
      <c r="E4749" s="15"/>
      <c r="F4749" s="20"/>
    </row>
    <row r="4750" spans="2:6" ht="17.25" customHeight="1">
      <c r="B4750" s="15"/>
      <c r="C4750" s="15"/>
      <c r="D4750" s="15"/>
      <c r="E4750" s="15"/>
      <c r="F4750" s="20"/>
    </row>
    <row r="4751" spans="2:6" ht="17.25" customHeight="1">
      <c r="B4751" s="15"/>
      <c r="C4751" s="15"/>
      <c r="D4751" s="15"/>
      <c r="E4751" s="15"/>
      <c r="F4751" s="20"/>
    </row>
    <row r="4752" spans="2:6" ht="17.25" customHeight="1">
      <c r="B4752" s="15"/>
      <c r="C4752" s="15"/>
      <c r="D4752" s="15"/>
      <c r="E4752" s="15"/>
      <c r="F4752" s="20"/>
    </row>
    <row r="4753" spans="2:6" ht="17.25" customHeight="1">
      <c r="B4753" s="15"/>
      <c r="C4753" s="15"/>
      <c r="D4753" s="15"/>
      <c r="E4753" s="15"/>
      <c r="F4753" s="20"/>
    </row>
    <row r="4754" spans="2:6" ht="17.25" customHeight="1">
      <c r="B4754" s="15"/>
      <c r="C4754" s="15"/>
      <c r="D4754" s="15"/>
      <c r="E4754" s="15"/>
      <c r="F4754" s="20"/>
    </row>
    <row r="4755" spans="2:6" ht="17.25" customHeight="1">
      <c r="B4755" s="15"/>
      <c r="C4755" s="15"/>
      <c r="D4755" s="15"/>
      <c r="E4755" s="15"/>
      <c r="F4755" s="20"/>
    </row>
    <row r="4756" spans="2:6" ht="17.25" customHeight="1">
      <c r="B4756" s="15"/>
      <c r="C4756" s="15"/>
      <c r="D4756" s="15"/>
      <c r="E4756" s="15"/>
      <c r="F4756" s="20"/>
    </row>
    <row r="4757" spans="2:6" ht="17.25" customHeight="1">
      <c r="B4757" s="15"/>
      <c r="C4757" s="15"/>
      <c r="D4757" s="15"/>
      <c r="E4757" s="15"/>
      <c r="F4757" s="20"/>
    </row>
    <row r="4758" spans="2:6" ht="17.25" customHeight="1">
      <c r="B4758" s="15"/>
      <c r="C4758" s="15"/>
      <c r="D4758" s="15"/>
      <c r="E4758" s="15"/>
      <c r="F4758" s="20"/>
    </row>
    <row r="4759" spans="2:6" ht="17.25" customHeight="1">
      <c r="B4759" s="15"/>
      <c r="C4759" s="15"/>
      <c r="D4759" s="15"/>
      <c r="E4759" s="15"/>
      <c r="F4759" s="20"/>
    </row>
    <row r="4760" spans="2:6" ht="17.25" customHeight="1">
      <c r="B4760" s="15"/>
      <c r="C4760" s="15"/>
      <c r="D4760" s="15"/>
      <c r="E4760" s="15"/>
      <c r="F4760" s="20"/>
    </row>
    <row r="4761" spans="2:6" ht="17.25" customHeight="1">
      <c r="B4761" s="15"/>
      <c r="C4761" s="15"/>
      <c r="D4761" s="15"/>
      <c r="E4761" s="15"/>
      <c r="F4761" s="20"/>
    </row>
    <row r="4762" spans="2:6" ht="17.25" customHeight="1">
      <c r="B4762" s="15"/>
      <c r="C4762" s="15"/>
      <c r="D4762" s="15"/>
      <c r="E4762" s="15"/>
      <c r="F4762" s="20"/>
    </row>
    <row r="4763" spans="2:6" ht="17.25" customHeight="1">
      <c r="B4763" s="15"/>
      <c r="C4763" s="15"/>
      <c r="D4763" s="15"/>
      <c r="E4763" s="15"/>
      <c r="F4763" s="20"/>
    </row>
    <row r="4764" spans="2:6" ht="17.25" customHeight="1">
      <c r="B4764" s="15"/>
      <c r="C4764" s="15"/>
      <c r="D4764" s="15"/>
      <c r="E4764" s="15"/>
      <c r="F4764" s="20"/>
    </row>
    <row r="4765" spans="2:6" ht="17.25" customHeight="1">
      <c r="B4765" s="15"/>
      <c r="C4765" s="15"/>
      <c r="D4765" s="15"/>
      <c r="E4765" s="15"/>
      <c r="F4765" s="20"/>
    </row>
    <row r="4766" spans="2:6" ht="17.25" customHeight="1">
      <c r="B4766" s="15"/>
      <c r="C4766" s="15"/>
      <c r="D4766" s="15"/>
      <c r="E4766" s="15"/>
      <c r="F4766" s="20"/>
    </row>
    <row r="4767" spans="2:6" ht="17.25" customHeight="1">
      <c r="B4767" s="15"/>
      <c r="C4767" s="15"/>
      <c r="D4767" s="15"/>
      <c r="E4767" s="15"/>
      <c r="F4767" s="20"/>
    </row>
    <row r="4768" spans="2:6" ht="17.25" customHeight="1">
      <c r="B4768" s="15"/>
      <c r="C4768" s="15"/>
      <c r="D4768" s="15"/>
      <c r="E4768" s="15"/>
      <c r="F4768" s="20"/>
    </row>
    <row r="4769" spans="2:6" ht="17.25" customHeight="1">
      <c r="B4769" s="15"/>
      <c r="C4769" s="15"/>
      <c r="D4769" s="15"/>
      <c r="E4769" s="15"/>
      <c r="F4769" s="20"/>
    </row>
    <row r="4770" spans="2:6" ht="17.25" customHeight="1">
      <c r="B4770" s="15"/>
      <c r="C4770" s="15"/>
      <c r="D4770" s="15"/>
      <c r="E4770" s="15"/>
      <c r="F4770" s="20"/>
    </row>
    <row r="4771" spans="2:6" ht="17.25" customHeight="1">
      <c r="B4771" s="15"/>
      <c r="C4771" s="15"/>
      <c r="D4771" s="15"/>
      <c r="E4771" s="15"/>
      <c r="F4771" s="20"/>
    </row>
    <row r="4772" spans="2:6" ht="17.25" customHeight="1">
      <c r="B4772" s="15"/>
      <c r="C4772" s="15"/>
      <c r="D4772" s="15"/>
      <c r="E4772" s="15"/>
      <c r="F4772" s="20"/>
    </row>
    <row r="4773" spans="2:6" ht="17.25" customHeight="1">
      <c r="B4773" s="15"/>
      <c r="C4773" s="15"/>
      <c r="D4773" s="15"/>
      <c r="E4773" s="15"/>
      <c r="F4773" s="20"/>
    </row>
    <row r="4774" spans="2:6" ht="17.25" customHeight="1">
      <c r="B4774" s="15"/>
      <c r="C4774" s="15"/>
      <c r="D4774" s="15"/>
      <c r="E4774" s="15"/>
      <c r="F4774" s="20"/>
    </row>
    <row r="4775" spans="2:6" ht="17.25" customHeight="1">
      <c r="B4775" s="15"/>
      <c r="C4775" s="15"/>
      <c r="D4775" s="15"/>
      <c r="E4775" s="15"/>
      <c r="F4775" s="20"/>
    </row>
    <row r="4776" spans="2:6" ht="17.25" customHeight="1">
      <c r="B4776" s="15"/>
      <c r="C4776" s="15"/>
      <c r="D4776" s="15"/>
      <c r="E4776" s="15"/>
      <c r="F4776" s="20"/>
    </row>
    <row r="4777" spans="2:6" ht="17.25" customHeight="1">
      <c r="B4777" s="15"/>
      <c r="C4777" s="15"/>
      <c r="D4777" s="15"/>
      <c r="E4777" s="15"/>
      <c r="F4777" s="20"/>
    </row>
    <row r="4778" spans="2:6" ht="17.25" customHeight="1">
      <c r="B4778" s="15"/>
      <c r="C4778" s="15"/>
      <c r="D4778" s="15"/>
      <c r="E4778" s="15"/>
      <c r="F4778" s="20"/>
    </row>
    <row r="4779" spans="2:6" ht="17.25" customHeight="1">
      <c r="B4779" s="15"/>
      <c r="C4779" s="15"/>
      <c r="D4779" s="15"/>
      <c r="E4779" s="15"/>
      <c r="F4779" s="20"/>
    </row>
    <row r="4780" spans="2:6" ht="17.25" customHeight="1">
      <c r="B4780" s="15"/>
      <c r="C4780" s="15"/>
      <c r="D4780" s="15"/>
      <c r="E4780" s="15"/>
      <c r="F4780" s="20"/>
    </row>
    <row r="4781" spans="2:6" ht="17.25" customHeight="1">
      <c r="B4781" s="15"/>
      <c r="C4781" s="15"/>
      <c r="D4781" s="15"/>
      <c r="E4781" s="15"/>
      <c r="F4781" s="20"/>
    </row>
    <row r="4782" spans="2:6" ht="17.25" customHeight="1">
      <c r="B4782" s="15"/>
      <c r="C4782" s="15"/>
      <c r="D4782" s="15"/>
      <c r="E4782" s="15"/>
      <c r="F4782" s="20"/>
    </row>
    <row r="4783" spans="2:6" ht="17.25" customHeight="1">
      <c r="B4783" s="15"/>
      <c r="C4783" s="15"/>
      <c r="D4783" s="15"/>
      <c r="E4783" s="15"/>
      <c r="F4783" s="20"/>
    </row>
    <row r="4784" spans="2:6" ht="17.25" customHeight="1">
      <c r="B4784" s="15"/>
      <c r="C4784" s="15"/>
      <c r="D4784" s="15"/>
      <c r="E4784" s="15"/>
      <c r="F4784" s="20"/>
    </row>
    <row r="4785" spans="2:6" ht="17.25" customHeight="1">
      <c r="B4785" s="15"/>
      <c r="C4785" s="15"/>
      <c r="D4785" s="15"/>
      <c r="E4785" s="15"/>
      <c r="F4785" s="20"/>
    </row>
    <row r="4786" spans="2:6" ht="17.25" customHeight="1">
      <c r="B4786" s="15"/>
      <c r="C4786" s="15"/>
      <c r="D4786" s="15"/>
      <c r="E4786" s="15"/>
      <c r="F4786" s="20"/>
    </row>
    <row r="4787" spans="2:6" ht="17.25" customHeight="1">
      <c r="B4787" s="15"/>
      <c r="C4787" s="15"/>
      <c r="D4787" s="15"/>
      <c r="E4787" s="15"/>
      <c r="F4787" s="20"/>
    </row>
    <row r="4788" spans="2:6" ht="17.25" customHeight="1">
      <c r="B4788" s="15"/>
      <c r="C4788" s="15"/>
      <c r="D4788" s="15"/>
      <c r="E4788" s="15"/>
      <c r="F4788" s="20"/>
    </row>
    <row r="4789" spans="2:6" ht="17.25" customHeight="1">
      <c r="B4789" s="15"/>
      <c r="C4789" s="15"/>
      <c r="D4789" s="15"/>
      <c r="E4789" s="15"/>
      <c r="F4789" s="20"/>
    </row>
    <row r="4790" spans="2:6" ht="17.25" customHeight="1">
      <c r="B4790" s="15"/>
      <c r="C4790" s="15"/>
      <c r="D4790" s="15"/>
      <c r="E4790" s="15"/>
      <c r="F4790" s="20"/>
    </row>
    <row r="4791" spans="2:6" ht="17.25" customHeight="1">
      <c r="B4791" s="15"/>
      <c r="C4791" s="15"/>
      <c r="D4791" s="15"/>
      <c r="E4791" s="15"/>
      <c r="F4791" s="20"/>
    </row>
    <row r="4792" spans="2:6" ht="17.25" customHeight="1">
      <c r="B4792" s="15"/>
      <c r="C4792" s="15"/>
      <c r="D4792" s="15"/>
      <c r="E4792" s="15"/>
      <c r="F4792" s="20"/>
    </row>
    <row r="4793" spans="2:6" ht="17.25" customHeight="1">
      <c r="B4793" s="15"/>
      <c r="C4793" s="15"/>
      <c r="D4793" s="15"/>
      <c r="E4793" s="15"/>
      <c r="F4793" s="20"/>
    </row>
    <row r="4794" spans="2:6" ht="17.25" customHeight="1">
      <c r="B4794" s="15"/>
      <c r="C4794" s="15"/>
      <c r="D4794" s="15"/>
      <c r="E4794" s="15"/>
      <c r="F4794" s="20"/>
    </row>
    <row r="4795" spans="2:6" ht="17.25" customHeight="1">
      <c r="B4795" s="15"/>
      <c r="C4795" s="15"/>
      <c r="D4795" s="15"/>
      <c r="E4795" s="15"/>
      <c r="F4795" s="20"/>
    </row>
    <row r="4796" spans="2:6" ht="17.25" customHeight="1">
      <c r="B4796" s="15"/>
      <c r="C4796" s="15"/>
      <c r="D4796" s="15"/>
      <c r="E4796" s="15"/>
      <c r="F4796" s="20"/>
    </row>
    <row r="4797" spans="2:6" ht="17.25" customHeight="1">
      <c r="B4797" s="15"/>
      <c r="C4797" s="15"/>
      <c r="D4797" s="15"/>
      <c r="E4797" s="15"/>
      <c r="F4797" s="20"/>
    </row>
    <row r="4798" spans="2:6" ht="17.25" customHeight="1">
      <c r="B4798" s="15"/>
      <c r="C4798" s="15"/>
      <c r="D4798" s="15"/>
      <c r="E4798" s="15"/>
      <c r="F4798" s="20"/>
    </row>
    <row r="4799" spans="2:6" ht="17.25" customHeight="1">
      <c r="B4799" s="15"/>
      <c r="C4799" s="15"/>
      <c r="D4799" s="15"/>
      <c r="E4799" s="15"/>
      <c r="F4799" s="20"/>
    </row>
    <row r="4800" spans="2:6" ht="17.25" customHeight="1">
      <c r="B4800" s="15"/>
      <c r="C4800" s="15"/>
      <c r="D4800" s="15"/>
      <c r="E4800" s="15"/>
      <c r="F4800" s="20"/>
    </row>
    <row r="4801" spans="2:6" ht="17.25" customHeight="1">
      <c r="B4801" s="15"/>
      <c r="C4801" s="15"/>
      <c r="D4801" s="15"/>
      <c r="E4801" s="15"/>
      <c r="F4801" s="20"/>
    </row>
    <row r="4802" spans="2:6" ht="17.25" customHeight="1">
      <c r="B4802" s="15"/>
      <c r="C4802" s="15"/>
      <c r="D4802" s="15"/>
      <c r="E4802" s="15"/>
      <c r="F4802" s="20"/>
    </row>
    <row r="4803" spans="2:6" ht="17.25" customHeight="1">
      <c r="B4803" s="15"/>
      <c r="C4803" s="15"/>
      <c r="D4803" s="15"/>
      <c r="E4803" s="15"/>
      <c r="F4803" s="20"/>
    </row>
    <row r="4804" spans="2:6" ht="17.25" customHeight="1">
      <c r="B4804" s="15"/>
      <c r="C4804" s="15"/>
      <c r="D4804" s="15"/>
      <c r="E4804" s="15"/>
      <c r="F4804" s="20"/>
    </row>
    <row r="4805" spans="2:6" ht="17.25" customHeight="1">
      <c r="B4805" s="15"/>
      <c r="C4805" s="15"/>
      <c r="D4805" s="15"/>
      <c r="E4805" s="15"/>
      <c r="F4805" s="20"/>
    </row>
    <row r="4806" spans="2:6" ht="17.25" customHeight="1">
      <c r="B4806" s="15"/>
      <c r="C4806" s="15"/>
      <c r="D4806" s="15"/>
      <c r="E4806" s="15"/>
      <c r="F4806" s="20"/>
    </row>
    <row r="4807" spans="2:6" ht="17.25" customHeight="1">
      <c r="B4807" s="15"/>
      <c r="C4807" s="15"/>
      <c r="D4807" s="15"/>
      <c r="E4807" s="15"/>
      <c r="F4807" s="20"/>
    </row>
    <row r="4808" spans="2:6" ht="17.25" customHeight="1">
      <c r="B4808" s="15"/>
      <c r="C4808" s="15"/>
      <c r="D4808" s="15"/>
      <c r="E4808" s="15"/>
      <c r="F4808" s="20"/>
    </row>
    <row r="4809" spans="2:6" ht="17.25" customHeight="1">
      <c r="B4809" s="15"/>
      <c r="C4809" s="15"/>
      <c r="D4809" s="15"/>
      <c r="E4809" s="15"/>
      <c r="F4809" s="20"/>
    </row>
    <row r="4810" spans="2:6" ht="17.25" customHeight="1">
      <c r="B4810" s="15"/>
      <c r="C4810" s="15"/>
      <c r="D4810" s="15"/>
      <c r="E4810" s="15"/>
      <c r="F4810" s="20"/>
    </row>
    <row r="4811" spans="2:6" ht="17.25" customHeight="1">
      <c r="B4811" s="15"/>
      <c r="C4811" s="15"/>
      <c r="D4811" s="15"/>
      <c r="E4811" s="15"/>
      <c r="F4811" s="20"/>
    </row>
    <row r="4812" spans="2:6" ht="17.25" customHeight="1">
      <c r="B4812" s="15"/>
      <c r="C4812" s="15"/>
      <c r="D4812" s="15"/>
      <c r="E4812" s="15"/>
      <c r="F4812" s="20"/>
    </row>
    <row r="4813" spans="2:6" ht="17.25" customHeight="1">
      <c r="B4813" s="15"/>
      <c r="C4813" s="15"/>
      <c r="D4813" s="15"/>
      <c r="E4813" s="15"/>
      <c r="F4813" s="20"/>
    </row>
    <row r="4814" spans="2:6" ht="17.25" customHeight="1">
      <c r="B4814" s="15"/>
      <c r="C4814" s="15"/>
      <c r="D4814" s="15"/>
      <c r="E4814" s="15"/>
      <c r="F4814" s="20"/>
    </row>
    <row r="4815" spans="2:6" ht="17.25" customHeight="1">
      <c r="B4815" s="15"/>
      <c r="C4815" s="15"/>
      <c r="D4815" s="15"/>
      <c r="E4815" s="15"/>
      <c r="F4815" s="20"/>
    </row>
    <row r="4816" spans="2:6" ht="17.25" customHeight="1">
      <c r="B4816" s="15"/>
      <c r="C4816" s="15"/>
      <c r="D4816" s="15"/>
      <c r="E4816" s="15"/>
      <c r="F4816" s="20"/>
    </row>
    <row r="4817" spans="2:6" ht="17.25" customHeight="1">
      <c r="B4817" s="15"/>
      <c r="C4817" s="15"/>
      <c r="D4817" s="15"/>
      <c r="E4817" s="15"/>
      <c r="F4817" s="20"/>
    </row>
    <row r="4818" spans="2:6" ht="17.25" customHeight="1">
      <c r="B4818" s="15"/>
      <c r="C4818" s="15"/>
      <c r="D4818" s="15"/>
      <c r="E4818" s="15"/>
      <c r="F4818" s="20"/>
    </row>
    <row r="4819" spans="2:6" ht="17.25" customHeight="1">
      <c r="B4819" s="15"/>
      <c r="C4819" s="15"/>
      <c r="D4819" s="15"/>
      <c r="E4819" s="15"/>
      <c r="F4819" s="20"/>
    </row>
    <row r="4820" spans="2:6" ht="17.25" customHeight="1">
      <c r="B4820" s="15"/>
      <c r="C4820" s="15"/>
      <c r="D4820" s="15"/>
      <c r="E4820" s="15"/>
      <c r="F4820" s="20"/>
    </row>
    <row r="4821" spans="2:6" ht="17.25" customHeight="1">
      <c r="B4821" s="15"/>
      <c r="C4821" s="15"/>
      <c r="D4821" s="15"/>
      <c r="E4821" s="15"/>
      <c r="F4821" s="20"/>
    </row>
    <row r="4822" spans="2:6" ht="17.25" customHeight="1">
      <c r="B4822" s="15"/>
      <c r="C4822" s="15"/>
      <c r="D4822" s="15"/>
      <c r="E4822" s="15"/>
      <c r="F4822" s="20"/>
    </row>
    <row r="4823" spans="2:6" ht="17.25" customHeight="1">
      <c r="B4823" s="15"/>
      <c r="C4823" s="15"/>
      <c r="D4823" s="15"/>
      <c r="E4823" s="15"/>
      <c r="F4823" s="20"/>
    </row>
    <row r="4824" spans="2:6" ht="17.25" customHeight="1">
      <c r="B4824" s="15"/>
      <c r="C4824" s="15"/>
      <c r="D4824" s="15"/>
      <c r="E4824" s="15"/>
      <c r="F4824" s="20"/>
    </row>
    <row r="4825" spans="2:6" ht="17.25" customHeight="1">
      <c r="B4825" s="15"/>
      <c r="C4825" s="15"/>
      <c r="D4825" s="15"/>
      <c r="E4825" s="15"/>
      <c r="F4825" s="20"/>
    </row>
    <row r="4826" spans="2:6" ht="17.25" customHeight="1">
      <c r="B4826" s="15"/>
      <c r="C4826" s="15"/>
      <c r="D4826" s="15"/>
      <c r="E4826" s="15"/>
      <c r="F4826" s="20"/>
    </row>
    <row r="4827" spans="2:6" ht="17.25" customHeight="1">
      <c r="B4827" s="15"/>
      <c r="C4827" s="15"/>
      <c r="D4827" s="15"/>
      <c r="E4827" s="15"/>
      <c r="F4827" s="20"/>
    </row>
    <row r="4828" spans="2:6" ht="17.25" customHeight="1">
      <c r="B4828" s="15"/>
      <c r="C4828" s="15"/>
      <c r="D4828" s="15"/>
      <c r="E4828" s="15"/>
      <c r="F4828" s="20"/>
    </row>
    <row r="4829" spans="2:6" ht="17.25" customHeight="1">
      <c r="B4829" s="15"/>
      <c r="C4829" s="15"/>
      <c r="D4829" s="15"/>
      <c r="E4829" s="15"/>
      <c r="F4829" s="20"/>
    </row>
    <row r="4830" spans="2:6" ht="17.25" customHeight="1">
      <c r="B4830" s="15"/>
      <c r="C4830" s="15"/>
      <c r="D4830" s="15"/>
      <c r="E4830" s="15"/>
      <c r="F4830" s="20"/>
    </row>
    <row r="4831" spans="2:6" ht="17.25" customHeight="1">
      <c r="B4831" s="15"/>
      <c r="C4831" s="15"/>
      <c r="D4831" s="15"/>
      <c r="E4831" s="15"/>
      <c r="F4831" s="20"/>
    </row>
    <row r="4832" spans="2:6" ht="17.25" customHeight="1">
      <c r="B4832" s="15"/>
      <c r="C4832" s="15"/>
      <c r="D4832" s="15"/>
      <c r="E4832" s="15"/>
      <c r="F4832" s="20"/>
    </row>
    <row r="4833" spans="2:6" ht="17.25" customHeight="1">
      <c r="B4833" s="15"/>
      <c r="C4833" s="15"/>
      <c r="D4833" s="15"/>
      <c r="E4833" s="15"/>
      <c r="F4833" s="20"/>
    </row>
    <row r="4834" spans="2:6" ht="17.25" customHeight="1">
      <c r="B4834" s="15"/>
      <c r="C4834" s="15"/>
      <c r="D4834" s="15"/>
      <c r="E4834" s="15"/>
      <c r="F4834" s="20"/>
    </row>
    <row r="4835" spans="2:6" ht="17.25" customHeight="1">
      <c r="B4835" s="15"/>
      <c r="C4835" s="15"/>
      <c r="D4835" s="15"/>
      <c r="E4835" s="15"/>
      <c r="F4835" s="20"/>
    </row>
    <row r="4836" spans="2:6" ht="17.25" customHeight="1">
      <c r="B4836" s="15"/>
      <c r="C4836" s="15"/>
      <c r="D4836" s="15"/>
      <c r="E4836" s="15"/>
      <c r="F4836" s="20"/>
    </row>
    <row r="4837" spans="2:6" ht="17.25" customHeight="1">
      <c r="B4837" s="15"/>
      <c r="C4837" s="15"/>
      <c r="D4837" s="15"/>
      <c r="E4837" s="15"/>
      <c r="F4837" s="20"/>
    </row>
    <row r="4838" spans="2:6" ht="17.25" customHeight="1">
      <c r="B4838" s="15"/>
      <c r="C4838" s="15"/>
      <c r="D4838" s="15"/>
      <c r="E4838" s="15"/>
      <c r="F4838" s="20"/>
    </row>
    <row r="4839" spans="2:6" ht="17.25" customHeight="1">
      <c r="B4839" s="15"/>
      <c r="C4839" s="15"/>
      <c r="D4839" s="15"/>
      <c r="E4839" s="15"/>
      <c r="F4839" s="20"/>
    </row>
    <row r="4840" spans="2:6" ht="17.25" customHeight="1">
      <c r="B4840" s="15"/>
      <c r="C4840" s="15"/>
      <c r="D4840" s="15"/>
      <c r="E4840" s="15"/>
      <c r="F4840" s="20"/>
    </row>
    <row r="4841" spans="2:6" ht="17.25" customHeight="1">
      <c r="B4841" s="15"/>
      <c r="C4841" s="15"/>
      <c r="D4841" s="15"/>
      <c r="E4841" s="15"/>
      <c r="F4841" s="20"/>
    </row>
    <row r="4842" spans="2:6" ht="17.25" customHeight="1">
      <c r="B4842" s="15"/>
      <c r="C4842" s="15"/>
      <c r="D4842" s="15"/>
      <c r="E4842" s="15"/>
      <c r="F4842" s="20"/>
    </row>
    <row r="4843" spans="2:6" ht="17.25" customHeight="1">
      <c r="B4843" s="15"/>
      <c r="C4843" s="15"/>
      <c r="D4843" s="15"/>
      <c r="E4843" s="15"/>
      <c r="F4843" s="20"/>
    </row>
    <row r="4844" spans="2:6" ht="17.25" customHeight="1">
      <c r="B4844" s="15"/>
      <c r="C4844" s="15"/>
      <c r="D4844" s="15"/>
      <c r="E4844" s="15"/>
      <c r="F4844" s="20"/>
    </row>
    <row r="4845" spans="2:6" ht="17.25" customHeight="1">
      <c r="B4845" s="15"/>
      <c r="C4845" s="15"/>
      <c r="D4845" s="15"/>
      <c r="E4845" s="15"/>
      <c r="F4845" s="20"/>
    </row>
    <row r="4846" spans="2:6" ht="17.25" customHeight="1">
      <c r="B4846" s="15"/>
      <c r="C4846" s="15"/>
      <c r="D4846" s="15"/>
      <c r="E4846" s="15"/>
      <c r="F4846" s="20"/>
    </row>
    <row r="4847" spans="2:6" ht="17.25" customHeight="1">
      <c r="B4847" s="15"/>
      <c r="C4847" s="15"/>
      <c r="D4847" s="15"/>
      <c r="E4847" s="15"/>
      <c r="F4847" s="20"/>
    </row>
    <row r="4848" spans="2:6" ht="17.25" customHeight="1">
      <c r="B4848" s="15"/>
      <c r="C4848" s="15"/>
      <c r="D4848" s="15"/>
      <c r="E4848" s="15"/>
      <c r="F4848" s="20"/>
    </row>
    <row r="4849" spans="2:6" ht="17.25" customHeight="1">
      <c r="B4849" s="15"/>
      <c r="C4849" s="15"/>
      <c r="D4849" s="15"/>
      <c r="E4849" s="15"/>
      <c r="F4849" s="20"/>
    </row>
    <row r="4850" spans="2:6" ht="17.25" customHeight="1">
      <c r="B4850" s="15"/>
      <c r="C4850" s="15"/>
      <c r="D4850" s="15"/>
      <c r="E4850" s="15"/>
      <c r="F4850" s="20"/>
    </row>
    <row r="4851" spans="2:6" ht="17.25" customHeight="1">
      <c r="B4851" s="15"/>
      <c r="C4851" s="15"/>
      <c r="D4851" s="15"/>
      <c r="E4851" s="15"/>
      <c r="F4851" s="20"/>
    </row>
    <row r="4852" spans="2:6" ht="17.25" customHeight="1">
      <c r="B4852" s="15"/>
      <c r="C4852" s="15"/>
      <c r="D4852" s="15"/>
      <c r="E4852" s="15"/>
      <c r="F4852" s="20"/>
    </row>
    <row r="4853" spans="2:6" ht="17.25" customHeight="1">
      <c r="B4853" s="15"/>
      <c r="C4853" s="15"/>
      <c r="D4853" s="15"/>
      <c r="E4853" s="15"/>
      <c r="F4853" s="20"/>
    </row>
    <row r="4854" spans="2:6" ht="17.25" customHeight="1">
      <c r="B4854" s="15"/>
      <c r="C4854" s="15"/>
      <c r="D4854" s="15"/>
      <c r="E4854" s="15"/>
      <c r="F4854" s="20"/>
    </row>
    <row r="4855" spans="2:6" ht="17.25" customHeight="1">
      <c r="B4855" s="15"/>
      <c r="C4855" s="15"/>
      <c r="D4855" s="15"/>
      <c r="E4855" s="15"/>
      <c r="F4855" s="20"/>
    </row>
    <row r="4856" spans="2:6" ht="17.25" customHeight="1">
      <c r="B4856" s="15"/>
      <c r="C4856" s="15"/>
      <c r="D4856" s="15"/>
      <c r="E4856" s="15"/>
      <c r="F4856" s="20"/>
    </row>
    <row r="4857" spans="2:6" ht="17.25" customHeight="1">
      <c r="B4857" s="15"/>
      <c r="C4857" s="15"/>
      <c r="D4857" s="15"/>
      <c r="E4857" s="15"/>
      <c r="F4857" s="20"/>
    </row>
    <row r="4858" spans="2:6" ht="17.25" customHeight="1">
      <c r="B4858" s="15"/>
      <c r="C4858" s="15"/>
      <c r="D4858" s="15"/>
      <c r="E4858" s="15"/>
      <c r="F4858" s="20"/>
    </row>
    <row r="4859" spans="2:6" ht="17.25" customHeight="1">
      <c r="B4859" s="15"/>
      <c r="C4859" s="15"/>
      <c r="D4859" s="15"/>
      <c r="E4859" s="15"/>
      <c r="F4859" s="20"/>
    </row>
    <row r="4860" spans="2:6" ht="17.25" customHeight="1">
      <c r="B4860" s="15"/>
      <c r="C4860" s="15"/>
      <c r="D4860" s="15"/>
      <c r="E4860" s="15"/>
      <c r="F4860" s="20"/>
    </row>
    <row r="4861" spans="2:6" ht="17.25" customHeight="1">
      <c r="B4861" s="15"/>
      <c r="C4861" s="15"/>
      <c r="D4861" s="15"/>
      <c r="E4861" s="15"/>
      <c r="F4861" s="20"/>
    </row>
    <row r="4862" spans="2:6" ht="17.25" customHeight="1">
      <c r="B4862" s="15"/>
      <c r="C4862" s="15"/>
      <c r="D4862" s="15"/>
      <c r="E4862" s="15"/>
      <c r="F4862" s="20"/>
    </row>
    <row r="4863" spans="2:6" ht="17.25" customHeight="1">
      <c r="B4863" s="15"/>
      <c r="C4863" s="15"/>
      <c r="D4863" s="15"/>
      <c r="E4863" s="15"/>
      <c r="F4863" s="20"/>
    </row>
    <row r="4864" spans="2:6" ht="17.25" customHeight="1">
      <c r="B4864" s="15"/>
      <c r="C4864" s="15"/>
      <c r="D4864" s="15"/>
      <c r="E4864" s="15"/>
      <c r="F4864" s="20"/>
    </row>
    <row r="4865" spans="2:6" ht="17.25" customHeight="1">
      <c r="B4865" s="15"/>
      <c r="C4865" s="15"/>
      <c r="D4865" s="15"/>
      <c r="E4865" s="15"/>
      <c r="F4865" s="20"/>
    </row>
    <row r="4866" spans="2:6" ht="17.25" customHeight="1">
      <c r="B4866" s="15"/>
      <c r="C4866" s="15"/>
      <c r="D4866" s="15"/>
      <c r="E4866" s="15"/>
      <c r="F4866" s="20"/>
    </row>
    <row r="4867" spans="2:6" ht="17.25" customHeight="1">
      <c r="B4867" s="15"/>
      <c r="C4867" s="15"/>
      <c r="D4867" s="15"/>
      <c r="E4867" s="15"/>
      <c r="F4867" s="20"/>
    </row>
    <row r="4868" spans="2:6" ht="17.25" customHeight="1">
      <c r="B4868" s="15"/>
      <c r="C4868" s="15"/>
      <c r="D4868" s="15"/>
      <c r="E4868" s="15"/>
      <c r="F4868" s="20"/>
    </row>
    <row r="4869" spans="2:6" ht="17.25" customHeight="1">
      <c r="B4869" s="15"/>
      <c r="C4869" s="15"/>
      <c r="D4869" s="15"/>
      <c r="E4869" s="15"/>
      <c r="F4869" s="20"/>
    </row>
    <row r="4870" spans="2:6" ht="17.25" customHeight="1">
      <c r="B4870" s="15"/>
      <c r="C4870" s="15"/>
      <c r="D4870" s="15"/>
      <c r="E4870" s="15"/>
      <c r="F4870" s="20"/>
    </row>
    <row r="4871" spans="2:6" ht="17.25" customHeight="1">
      <c r="B4871" s="15"/>
      <c r="C4871" s="15"/>
      <c r="D4871" s="15"/>
      <c r="E4871" s="15"/>
      <c r="F4871" s="20"/>
    </row>
    <row r="4872" spans="2:6" ht="17.25" customHeight="1">
      <c r="B4872" s="15"/>
      <c r="C4872" s="15"/>
      <c r="D4872" s="15"/>
      <c r="E4872" s="15"/>
      <c r="F4872" s="20"/>
    </row>
    <row r="4873" spans="2:6" ht="17.25" customHeight="1">
      <c r="B4873" s="15"/>
      <c r="C4873" s="15"/>
      <c r="D4873" s="15"/>
      <c r="E4873" s="15"/>
      <c r="F4873" s="20"/>
    </row>
    <row r="4874" spans="2:6" ht="17.25" customHeight="1">
      <c r="B4874" s="15"/>
      <c r="C4874" s="15"/>
      <c r="D4874" s="15"/>
      <c r="E4874" s="15"/>
      <c r="F4874" s="20"/>
    </row>
    <row r="4875" spans="2:6" ht="17.25" customHeight="1">
      <c r="B4875" s="15"/>
      <c r="C4875" s="15"/>
      <c r="D4875" s="15"/>
      <c r="E4875" s="15"/>
      <c r="F4875" s="20"/>
    </row>
    <row r="4876" spans="2:6" ht="17.25" customHeight="1">
      <c r="B4876" s="15"/>
      <c r="C4876" s="15"/>
      <c r="D4876" s="15"/>
      <c r="E4876" s="15"/>
      <c r="F4876" s="20"/>
    </row>
    <row r="4877" spans="2:6" ht="17.25" customHeight="1">
      <c r="B4877" s="15"/>
      <c r="C4877" s="15"/>
      <c r="D4877" s="15"/>
      <c r="E4877" s="15"/>
      <c r="F4877" s="20"/>
    </row>
    <row r="4878" spans="2:6" ht="17.25" customHeight="1">
      <c r="B4878" s="15"/>
      <c r="C4878" s="15"/>
      <c r="D4878" s="15"/>
      <c r="E4878" s="15"/>
      <c r="F4878" s="20"/>
    </row>
    <row r="4879" spans="2:6" ht="17.25" customHeight="1">
      <c r="B4879" s="15"/>
      <c r="C4879" s="15"/>
      <c r="D4879" s="15"/>
      <c r="E4879" s="15"/>
      <c r="F4879" s="20"/>
    </row>
    <row r="4880" spans="2:6" ht="17.25" customHeight="1">
      <c r="B4880" s="15"/>
      <c r="C4880" s="15"/>
      <c r="D4880" s="15"/>
      <c r="E4880" s="15"/>
      <c r="F4880" s="20"/>
    </row>
    <row r="4881" spans="2:6" ht="17.25" customHeight="1">
      <c r="B4881" s="15"/>
      <c r="C4881" s="15"/>
      <c r="D4881" s="15"/>
      <c r="E4881" s="15"/>
      <c r="F4881" s="20"/>
    </row>
    <row r="4882" spans="2:6" ht="17.25" customHeight="1">
      <c r="B4882" s="15"/>
      <c r="C4882" s="15"/>
      <c r="D4882" s="15"/>
      <c r="E4882" s="15"/>
      <c r="F4882" s="20"/>
    </row>
    <row r="4883" spans="2:6" ht="17.25" customHeight="1">
      <c r="B4883" s="15"/>
      <c r="C4883" s="15"/>
      <c r="D4883" s="15"/>
      <c r="E4883" s="15"/>
      <c r="F4883" s="20"/>
    </row>
    <row r="4884" spans="2:6" ht="17.25" customHeight="1">
      <c r="B4884" s="15"/>
      <c r="C4884" s="15"/>
      <c r="D4884" s="15"/>
      <c r="E4884" s="15"/>
      <c r="F4884" s="20"/>
    </row>
    <row r="4885" spans="2:6" ht="17.25" customHeight="1">
      <c r="B4885" s="15"/>
      <c r="C4885" s="15"/>
      <c r="D4885" s="15"/>
      <c r="E4885" s="15"/>
      <c r="F4885" s="20"/>
    </row>
    <row r="4886" spans="2:6" ht="17.25" customHeight="1">
      <c r="B4886" s="15"/>
      <c r="C4886" s="15"/>
      <c r="D4886" s="15"/>
      <c r="E4886" s="15"/>
      <c r="F4886" s="20"/>
    </row>
    <row r="4887" spans="2:6" ht="17.25" customHeight="1">
      <c r="B4887" s="15"/>
      <c r="C4887" s="15"/>
      <c r="D4887" s="15"/>
      <c r="E4887" s="15"/>
      <c r="F4887" s="20"/>
    </row>
    <row r="4888" spans="2:6" ht="17.25" customHeight="1">
      <c r="B4888" s="15"/>
      <c r="C4888" s="15"/>
      <c r="D4888" s="15"/>
      <c r="E4888" s="15"/>
      <c r="F4888" s="20"/>
    </row>
    <row r="4889" spans="2:6" ht="17.25" customHeight="1">
      <c r="B4889" s="15"/>
      <c r="C4889" s="15"/>
      <c r="D4889" s="15"/>
      <c r="E4889" s="15"/>
      <c r="F4889" s="20"/>
    </row>
    <row r="4890" spans="2:6" ht="17.25" customHeight="1">
      <c r="B4890" s="15"/>
      <c r="C4890" s="15"/>
      <c r="D4890" s="15"/>
      <c r="E4890" s="15"/>
      <c r="F4890" s="20"/>
    </row>
    <row r="4891" spans="2:6" ht="17.25" customHeight="1">
      <c r="B4891" s="15"/>
      <c r="C4891" s="15"/>
      <c r="D4891" s="15"/>
      <c r="E4891" s="15"/>
      <c r="F4891" s="20"/>
    </row>
    <row r="4892" spans="2:6" ht="17.25" customHeight="1">
      <c r="B4892" s="15"/>
      <c r="C4892" s="15"/>
      <c r="D4892" s="15"/>
      <c r="E4892" s="15"/>
      <c r="F4892" s="20"/>
    </row>
    <row r="4893" spans="2:6" ht="17.25" customHeight="1">
      <c r="B4893" s="15"/>
      <c r="C4893" s="15"/>
      <c r="D4893" s="15"/>
      <c r="E4893" s="15"/>
      <c r="F4893" s="20"/>
    </row>
    <row r="4894" spans="2:6" ht="17.25" customHeight="1">
      <c r="B4894" s="15"/>
      <c r="C4894" s="15"/>
      <c r="D4894" s="15"/>
      <c r="E4894" s="15"/>
      <c r="F4894" s="20"/>
    </row>
    <row r="4895" spans="2:6" ht="17.25" customHeight="1">
      <c r="B4895" s="15"/>
      <c r="C4895" s="15"/>
      <c r="D4895" s="15"/>
      <c r="E4895" s="15"/>
      <c r="F4895" s="20"/>
    </row>
    <row r="4896" spans="2:6" ht="17.25" customHeight="1">
      <c r="B4896" s="15"/>
      <c r="C4896" s="15"/>
      <c r="D4896" s="15"/>
      <c r="E4896" s="15"/>
      <c r="F4896" s="20"/>
    </row>
    <row r="4897" spans="2:6" ht="17.25" customHeight="1">
      <c r="B4897" s="15"/>
      <c r="C4897" s="15"/>
      <c r="D4897" s="15"/>
      <c r="E4897" s="15"/>
      <c r="F4897" s="20"/>
    </row>
    <row r="4898" spans="2:6" ht="17.25" customHeight="1">
      <c r="B4898" s="15"/>
      <c r="C4898" s="15"/>
      <c r="D4898" s="15"/>
      <c r="E4898" s="15"/>
      <c r="F4898" s="20"/>
    </row>
    <row r="4899" spans="2:6" ht="17.25" customHeight="1">
      <c r="B4899" s="15"/>
      <c r="C4899" s="15"/>
      <c r="D4899" s="15"/>
      <c r="E4899" s="15"/>
      <c r="F4899" s="20"/>
    </row>
    <row r="4900" spans="2:6" ht="17.25" customHeight="1">
      <c r="B4900" s="15"/>
      <c r="C4900" s="15"/>
      <c r="D4900" s="15"/>
      <c r="E4900" s="15"/>
      <c r="F4900" s="20"/>
    </row>
    <row r="4901" spans="2:6" ht="17.25" customHeight="1">
      <c r="B4901" s="15"/>
      <c r="C4901" s="15"/>
      <c r="D4901" s="15"/>
      <c r="E4901" s="15"/>
      <c r="F4901" s="20"/>
    </row>
    <row r="4902" spans="2:6" ht="17.25" customHeight="1">
      <c r="B4902" s="15"/>
      <c r="C4902" s="15"/>
      <c r="D4902" s="15"/>
      <c r="E4902" s="15"/>
      <c r="F4902" s="20"/>
    </row>
    <row r="4903" spans="2:6" ht="17.25" customHeight="1">
      <c r="B4903" s="15"/>
      <c r="C4903" s="15"/>
      <c r="D4903" s="15"/>
      <c r="E4903" s="15"/>
      <c r="F4903" s="20"/>
    </row>
    <row r="4904" spans="2:6" ht="17.25" customHeight="1">
      <c r="B4904" s="15"/>
      <c r="C4904" s="15"/>
      <c r="D4904" s="15"/>
      <c r="E4904" s="15"/>
      <c r="F4904" s="20"/>
    </row>
    <row r="4905" spans="2:6" ht="17.25" customHeight="1">
      <c r="B4905" s="15"/>
      <c r="C4905" s="15"/>
      <c r="D4905" s="15"/>
      <c r="E4905" s="15"/>
      <c r="F4905" s="20"/>
    </row>
    <row r="4906" spans="2:6" ht="17.25" customHeight="1">
      <c r="B4906" s="15"/>
      <c r="C4906" s="15"/>
      <c r="D4906" s="15"/>
      <c r="E4906" s="15"/>
      <c r="F4906" s="20"/>
    </row>
    <row r="4907" spans="2:6" ht="17.25" customHeight="1">
      <c r="B4907" s="15"/>
      <c r="C4907" s="15"/>
      <c r="D4907" s="15"/>
      <c r="E4907" s="15"/>
      <c r="F4907" s="20"/>
    </row>
    <row r="4908" spans="2:6" ht="17.25" customHeight="1">
      <c r="B4908" s="15"/>
      <c r="C4908" s="15"/>
      <c r="D4908" s="15"/>
      <c r="E4908" s="15"/>
      <c r="F4908" s="20"/>
    </row>
    <row r="4909" spans="2:6" ht="17.25" customHeight="1">
      <c r="B4909" s="15"/>
      <c r="C4909" s="15"/>
      <c r="D4909" s="15"/>
      <c r="E4909" s="15"/>
      <c r="F4909" s="20"/>
    </row>
    <row r="4910" spans="2:6" ht="17.25" customHeight="1">
      <c r="B4910" s="15"/>
      <c r="C4910" s="15"/>
      <c r="D4910" s="15"/>
      <c r="E4910" s="15"/>
      <c r="F4910" s="20"/>
    </row>
    <row r="4911" spans="2:6" ht="17.25" customHeight="1">
      <c r="B4911" s="15"/>
      <c r="C4911" s="15"/>
      <c r="D4911" s="15"/>
      <c r="E4911" s="15"/>
      <c r="F4911" s="20"/>
    </row>
    <row r="4912" spans="2:6" ht="17.25" customHeight="1">
      <c r="B4912" s="15"/>
      <c r="C4912" s="15"/>
      <c r="D4912" s="15"/>
      <c r="E4912" s="15"/>
      <c r="F4912" s="20"/>
    </row>
    <row r="4913" spans="2:6" ht="17.25" customHeight="1">
      <c r="B4913" s="15"/>
      <c r="C4913" s="15"/>
      <c r="D4913" s="15"/>
      <c r="E4913" s="15"/>
      <c r="F4913" s="20"/>
    </row>
    <row r="4914" spans="2:6" ht="17.25" customHeight="1">
      <c r="B4914" s="15"/>
      <c r="C4914" s="15"/>
      <c r="D4914" s="15"/>
      <c r="E4914" s="15"/>
      <c r="F4914" s="20"/>
    </row>
    <row r="4915" spans="2:6" ht="17.25" customHeight="1">
      <c r="B4915" s="15"/>
      <c r="C4915" s="15"/>
      <c r="D4915" s="15"/>
      <c r="E4915" s="15"/>
      <c r="F4915" s="20"/>
    </row>
    <row r="4916" spans="2:6" ht="17.25" customHeight="1">
      <c r="B4916" s="15"/>
      <c r="C4916" s="15"/>
      <c r="D4916" s="15"/>
      <c r="E4916" s="15"/>
      <c r="F4916" s="20"/>
    </row>
    <row r="4917" spans="2:6" ht="17.25" customHeight="1">
      <c r="B4917" s="15"/>
      <c r="C4917" s="15"/>
      <c r="D4917" s="15"/>
      <c r="E4917" s="15"/>
      <c r="F4917" s="20"/>
    </row>
    <row r="4918" spans="2:6" ht="17.25" customHeight="1">
      <c r="B4918" s="15"/>
      <c r="C4918" s="15"/>
      <c r="D4918" s="15"/>
      <c r="E4918" s="15"/>
      <c r="F4918" s="20"/>
    </row>
    <row r="4919" spans="2:6" ht="17.25" customHeight="1">
      <c r="B4919" s="15"/>
      <c r="C4919" s="15"/>
      <c r="D4919" s="15"/>
      <c r="E4919" s="15"/>
      <c r="F4919" s="20"/>
    </row>
    <row r="4920" spans="2:6" ht="17.25" customHeight="1">
      <c r="B4920" s="15"/>
      <c r="C4920" s="15"/>
      <c r="D4920" s="15"/>
      <c r="E4920" s="15"/>
      <c r="F4920" s="20"/>
    </row>
    <row r="4921" spans="2:6" ht="17.25" customHeight="1">
      <c r="B4921" s="15"/>
      <c r="C4921" s="15"/>
      <c r="D4921" s="15"/>
      <c r="E4921" s="15"/>
      <c r="F4921" s="20"/>
    </row>
    <row r="4922" spans="2:6" ht="17.25" customHeight="1">
      <c r="B4922" s="15"/>
      <c r="C4922" s="15"/>
      <c r="D4922" s="15"/>
      <c r="E4922" s="15"/>
      <c r="F4922" s="20"/>
    </row>
    <row r="4923" spans="2:6" ht="17.25" customHeight="1">
      <c r="B4923" s="15"/>
      <c r="C4923" s="15"/>
      <c r="D4923" s="15"/>
      <c r="E4923" s="15"/>
      <c r="F4923" s="20"/>
    </row>
    <row r="4924" spans="2:6" ht="17.25" customHeight="1">
      <c r="B4924" s="15"/>
      <c r="C4924" s="15"/>
      <c r="D4924" s="15"/>
      <c r="E4924" s="15"/>
      <c r="F4924" s="20"/>
    </row>
    <row r="4925" spans="2:6" ht="17.25" customHeight="1">
      <c r="B4925" s="15"/>
      <c r="C4925" s="15"/>
      <c r="D4925" s="15"/>
      <c r="E4925" s="15"/>
      <c r="F4925" s="20"/>
    </row>
    <row r="4926" spans="2:6" ht="17.25" customHeight="1">
      <c r="B4926" s="15"/>
      <c r="C4926" s="15"/>
      <c r="D4926" s="15"/>
      <c r="E4926" s="15"/>
      <c r="F4926" s="20"/>
    </row>
    <row r="4927" spans="2:6" ht="17.25" customHeight="1">
      <c r="B4927" s="15"/>
      <c r="C4927" s="15"/>
      <c r="D4927" s="15"/>
      <c r="E4927" s="15"/>
      <c r="F4927" s="20"/>
    </row>
    <row r="4928" spans="2:6" ht="17.25" customHeight="1">
      <c r="B4928" s="15"/>
      <c r="C4928" s="15"/>
      <c r="D4928" s="15"/>
      <c r="E4928" s="15"/>
      <c r="F4928" s="20"/>
    </row>
    <row r="4929" spans="2:6" ht="17.25" customHeight="1">
      <c r="B4929" s="15"/>
      <c r="C4929" s="15"/>
      <c r="D4929" s="15"/>
      <c r="E4929" s="15"/>
      <c r="F4929" s="20"/>
    </row>
    <row r="4930" spans="2:6" ht="17.25" customHeight="1">
      <c r="B4930" s="15"/>
      <c r="C4930" s="15"/>
      <c r="D4930" s="15"/>
      <c r="E4930" s="15"/>
      <c r="F4930" s="20"/>
    </row>
    <row r="4931" spans="2:6" ht="17.25" customHeight="1">
      <c r="B4931" s="15"/>
      <c r="C4931" s="15"/>
      <c r="D4931" s="15"/>
      <c r="E4931" s="15"/>
      <c r="F4931" s="20"/>
    </row>
    <row r="4932" spans="2:6" ht="17.25" customHeight="1">
      <c r="B4932" s="15"/>
      <c r="C4932" s="15"/>
      <c r="D4932" s="15"/>
      <c r="E4932" s="15"/>
      <c r="F4932" s="20"/>
    </row>
    <row r="4933" spans="2:6" ht="17.25" customHeight="1">
      <c r="B4933" s="15"/>
      <c r="C4933" s="15"/>
      <c r="D4933" s="15"/>
      <c r="E4933" s="15"/>
      <c r="F4933" s="20"/>
    </row>
    <row r="4934" spans="2:6" ht="17.25" customHeight="1">
      <c r="B4934" s="15"/>
      <c r="C4934" s="15"/>
      <c r="D4934" s="15"/>
      <c r="E4934" s="15"/>
      <c r="F4934" s="20"/>
    </row>
    <row r="4935" spans="2:6" ht="17.25" customHeight="1">
      <c r="B4935" s="15"/>
      <c r="C4935" s="15"/>
      <c r="D4935" s="15"/>
      <c r="E4935" s="15"/>
      <c r="F4935" s="20"/>
    </row>
    <row r="4936" spans="2:6" ht="17.25" customHeight="1">
      <c r="B4936" s="15"/>
      <c r="C4936" s="15"/>
      <c r="D4936" s="15"/>
      <c r="E4936" s="15"/>
      <c r="F4936" s="20"/>
    </row>
    <row r="4937" spans="2:6" ht="17.25" customHeight="1">
      <c r="B4937" s="15"/>
      <c r="C4937" s="15"/>
      <c r="D4937" s="15"/>
      <c r="E4937" s="15"/>
      <c r="F4937" s="20"/>
    </row>
    <row r="4938" spans="2:6" ht="17.25" customHeight="1">
      <c r="B4938" s="15"/>
      <c r="C4938" s="15"/>
      <c r="D4938" s="15"/>
      <c r="E4938" s="15"/>
      <c r="F4938" s="20"/>
    </row>
    <row r="4939" spans="2:6" ht="17.25" customHeight="1">
      <c r="B4939" s="15"/>
      <c r="C4939" s="15"/>
      <c r="D4939" s="15"/>
      <c r="E4939" s="15"/>
      <c r="F4939" s="20"/>
    </row>
    <row r="4940" spans="2:6" ht="17.25" customHeight="1">
      <c r="B4940" s="15"/>
      <c r="C4940" s="15"/>
      <c r="D4940" s="15"/>
      <c r="E4940" s="15"/>
      <c r="F4940" s="20"/>
    </row>
    <row r="4941" spans="2:6" ht="17.25" customHeight="1">
      <c r="B4941" s="15"/>
      <c r="C4941" s="15"/>
      <c r="D4941" s="15"/>
      <c r="E4941" s="15"/>
      <c r="F4941" s="20"/>
    </row>
    <row r="4942" spans="2:6" ht="17.25" customHeight="1">
      <c r="B4942" s="15"/>
      <c r="C4942" s="15"/>
      <c r="D4942" s="15"/>
      <c r="E4942" s="15"/>
      <c r="F4942" s="20"/>
    </row>
    <row r="4943" spans="2:6" ht="17.25" customHeight="1">
      <c r="B4943" s="15"/>
      <c r="C4943" s="15"/>
      <c r="D4943" s="15"/>
      <c r="E4943" s="15"/>
      <c r="F4943" s="20"/>
    </row>
    <row r="4944" spans="2:6" ht="17.25" customHeight="1">
      <c r="B4944" s="15"/>
      <c r="C4944" s="15"/>
      <c r="D4944" s="15"/>
      <c r="E4944" s="15"/>
      <c r="F4944" s="20"/>
    </row>
    <row r="4945" spans="2:6" ht="17.25" customHeight="1">
      <c r="B4945" s="15"/>
      <c r="C4945" s="15"/>
      <c r="D4945" s="15"/>
      <c r="E4945" s="15"/>
      <c r="F4945" s="20"/>
    </row>
    <row r="4946" spans="2:6" ht="17.25" customHeight="1">
      <c r="B4946" s="15"/>
      <c r="C4946" s="15"/>
      <c r="D4946" s="15"/>
      <c r="E4946" s="15"/>
      <c r="F4946" s="20"/>
    </row>
    <row r="4947" spans="2:6" ht="17.25" customHeight="1">
      <c r="B4947" s="15"/>
      <c r="C4947" s="15"/>
      <c r="D4947" s="15"/>
      <c r="E4947" s="15"/>
      <c r="F4947" s="20"/>
    </row>
    <row r="4948" spans="2:6" ht="17.25" customHeight="1">
      <c r="B4948" s="15"/>
      <c r="C4948" s="15"/>
      <c r="D4948" s="15"/>
      <c r="E4948" s="15"/>
      <c r="F4948" s="20"/>
    </row>
    <row r="4949" spans="2:6" ht="17.25" customHeight="1">
      <c r="B4949" s="15"/>
      <c r="C4949" s="15"/>
      <c r="D4949" s="15"/>
      <c r="E4949" s="15"/>
      <c r="F4949" s="20"/>
    </row>
    <row r="4950" spans="2:6" ht="17.25" customHeight="1">
      <c r="B4950" s="15"/>
      <c r="C4950" s="15"/>
      <c r="D4950" s="15"/>
      <c r="E4950" s="15"/>
      <c r="F4950" s="20"/>
    </row>
    <row r="4951" spans="2:6" ht="17.25" customHeight="1">
      <c r="B4951" s="15"/>
      <c r="C4951" s="15"/>
      <c r="D4951" s="15"/>
      <c r="E4951" s="15"/>
      <c r="F4951" s="20"/>
    </row>
    <row r="4952" spans="2:6" ht="17.25" customHeight="1">
      <c r="B4952" s="15"/>
      <c r="C4952" s="15"/>
      <c r="D4952" s="15"/>
      <c r="E4952" s="15"/>
      <c r="F4952" s="20"/>
    </row>
    <row r="4953" spans="2:6" ht="17.25" customHeight="1">
      <c r="B4953" s="15"/>
      <c r="C4953" s="15"/>
      <c r="D4953" s="15"/>
      <c r="E4953" s="15"/>
      <c r="F4953" s="20"/>
    </row>
    <row r="4954" spans="2:6" ht="17.25" customHeight="1">
      <c r="B4954" s="15"/>
      <c r="C4954" s="15"/>
      <c r="D4954" s="15"/>
      <c r="E4954" s="15"/>
      <c r="F4954" s="20"/>
    </row>
    <row r="4955" spans="2:6" ht="17.25" customHeight="1">
      <c r="B4955" s="15"/>
      <c r="C4955" s="15"/>
      <c r="D4955" s="15"/>
      <c r="E4955" s="15"/>
      <c r="F4955" s="20"/>
    </row>
    <row r="4956" spans="2:6" ht="17.25" customHeight="1">
      <c r="B4956" s="15"/>
      <c r="C4956" s="15"/>
      <c r="D4956" s="15"/>
      <c r="E4956" s="15"/>
      <c r="F4956" s="20"/>
    </row>
    <row r="4957" spans="2:6" ht="17.25" customHeight="1">
      <c r="B4957" s="15"/>
      <c r="C4957" s="15"/>
      <c r="D4957" s="15"/>
      <c r="E4957" s="15"/>
      <c r="F4957" s="20"/>
    </row>
    <row r="4958" spans="2:6" ht="17.25" customHeight="1">
      <c r="B4958" s="15"/>
      <c r="C4958" s="15"/>
      <c r="D4958" s="15"/>
      <c r="E4958" s="15"/>
      <c r="F4958" s="20"/>
    </row>
    <row r="4959" spans="2:6" ht="17.25" customHeight="1">
      <c r="B4959" s="15"/>
      <c r="C4959" s="15"/>
      <c r="D4959" s="15"/>
      <c r="E4959" s="15"/>
      <c r="F4959" s="20"/>
    </row>
    <row r="4960" spans="2:6" ht="17.25" customHeight="1">
      <c r="B4960" s="15"/>
      <c r="C4960" s="15"/>
      <c r="D4960" s="15"/>
      <c r="E4960" s="15"/>
      <c r="F4960" s="20"/>
    </row>
    <row r="4961" spans="2:6" ht="17.25" customHeight="1">
      <c r="B4961" s="15"/>
      <c r="C4961" s="15"/>
      <c r="D4961" s="15"/>
      <c r="E4961" s="15"/>
      <c r="F4961" s="20"/>
    </row>
    <row r="4962" spans="2:6" ht="17.25" customHeight="1">
      <c r="B4962" s="15"/>
      <c r="C4962" s="15"/>
      <c r="D4962" s="15"/>
      <c r="E4962" s="15"/>
      <c r="F4962" s="20"/>
    </row>
    <row r="4963" spans="2:6" ht="17.25" customHeight="1">
      <c r="B4963" s="15"/>
      <c r="C4963" s="15"/>
      <c r="D4963" s="15"/>
      <c r="E4963" s="15"/>
      <c r="F4963" s="20"/>
    </row>
    <row r="4964" spans="2:6" ht="17.25" customHeight="1">
      <c r="B4964" s="15"/>
      <c r="C4964" s="15"/>
      <c r="D4964" s="15"/>
      <c r="E4964" s="15"/>
      <c r="F4964" s="20"/>
    </row>
    <row r="4965" spans="2:6" ht="17.25" customHeight="1">
      <c r="B4965" s="15"/>
      <c r="C4965" s="15"/>
      <c r="D4965" s="15"/>
      <c r="E4965" s="15"/>
      <c r="F4965" s="20"/>
    </row>
    <row r="4966" spans="2:6" ht="17.25" customHeight="1">
      <c r="B4966" s="15"/>
      <c r="C4966" s="15"/>
      <c r="D4966" s="15"/>
      <c r="E4966" s="15"/>
      <c r="F4966" s="20"/>
    </row>
    <row r="4967" spans="2:6" ht="17.25" customHeight="1">
      <c r="B4967" s="15"/>
      <c r="C4967" s="15"/>
      <c r="D4967" s="15"/>
      <c r="E4967" s="15"/>
      <c r="F4967" s="20"/>
    </row>
    <row r="4968" spans="2:6" ht="17.25" customHeight="1">
      <c r="B4968" s="15"/>
      <c r="C4968" s="15"/>
      <c r="D4968" s="15"/>
      <c r="E4968" s="15"/>
      <c r="F4968" s="20"/>
    </row>
    <row r="4969" spans="2:6" ht="17.25" customHeight="1">
      <c r="B4969" s="15"/>
      <c r="C4969" s="15"/>
      <c r="D4969" s="15"/>
      <c r="E4969" s="15"/>
      <c r="F4969" s="20"/>
    </row>
    <row r="4970" spans="2:6" ht="17.25" customHeight="1">
      <c r="B4970" s="15"/>
      <c r="C4970" s="15"/>
      <c r="D4970" s="15"/>
      <c r="E4970" s="15"/>
      <c r="F4970" s="20"/>
    </row>
    <row r="4971" spans="2:6" ht="17.25" customHeight="1">
      <c r="B4971" s="15"/>
      <c r="C4971" s="15"/>
      <c r="D4971" s="15"/>
      <c r="E4971" s="15"/>
      <c r="F4971" s="20"/>
    </row>
    <row r="4972" spans="2:6" ht="17.25" customHeight="1">
      <c r="B4972" s="15"/>
      <c r="C4972" s="15"/>
      <c r="D4972" s="15"/>
      <c r="E4972" s="15"/>
      <c r="F4972" s="20"/>
    </row>
    <row r="4973" spans="2:6" ht="17.25" customHeight="1">
      <c r="B4973" s="15"/>
      <c r="C4973" s="15"/>
      <c r="D4973" s="15"/>
      <c r="E4973" s="15"/>
      <c r="F4973" s="20"/>
    </row>
    <row r="4974" spans="2:6" ht="17.25" customHeight="1">
      <c r="B4974" s="15"/>
      <c r="C4974" s="15"/>
      <c r="D4974" s="15"/>
      <c r="E4974" s="15"/>
      <c r="F4974" s="20"/>
    </row>
    <row r="4975" spans="2:6" ht="17.25" customHeight="1">
      <c r="B4975" s="15"/>
      <c r="C4975" s="15"/>
      <c r="D4975" s="15"/>
      <c r="E4975" s="15"/>
      <c r="F4975" s="20"/>
    </row>
    <row r="4976" spans="2:6" ht="17.25" customHeight="1">
      <c r="B4976" s="15"/>
      <c r="C4976" s="15"/>
      <c r="D4976" s="15"/>
      <c r="E4976" s="15"/>
      <c r="F4976" s="20"/>
    </row>
    <row r="4977" spans="2:6" ht="17.25" customHeight="1">
      <c r="B4977" s="15"/>
      <c r="C4977" s="15"/>
      <c r="D4977" s="15"/>
      <c r="E4977" s="15"/>
      <c r="F4977" s="20"/>
    </row>
    <row r="4978" spans="2:6" ht="17.25" customHeight="1">
      <c r="B4978" s="15"/>
      <c r="C4978" s="15"/>
      <c r="D4978" s="15"/>
      <c r="E4978" s="15"/>
      <c r="F4978" s="20"/>
    </row>
    <row r="4979" spans="2:6" ht="17.25" customHeight="1">
      <c r="B4979" s="15"/>
      <c r="C4979" s="15"/>
      <c r="D4979" s="15"/>
      <c r="E4979" s="15"/>
      <c r="F4979" s="20"/>
    </row>
    <row r="4980" spans="2:6" ht="17.25" customHeight="1">
      <c r="B4980" s="15"/>
      <c r="C4980" s="15"/>
      <c r="D4980" s="15"/>
      <c r="E4980" s="15"/>
      <c r="F4980" s="20"/>
    </row>
    <row r="4981" spans="2:6" ht="17.25" customHeight="1">
      <c r="B4981" s="15"/>
      <c r="C4981" s="15"/>
      <c r="D4981" s="15"/>
      <c r="E4981" s="15"/>
      <c r="F4981" s="20"/>
    </row>
    <row r="4982" spans="2:6" ht="17.25" customHeight="1">
      <c r="B4982" s="15"/>
      <c r="C4982" s="15"/>
      <c r="D4982" s="15"/>
      <c r="E4982" s="15"/>
      <c r="F4982" s="20"/>
    </row>
    <row r="4983" spans="2:6" ht="17.25" customHeight="1">
      <c r="B4983" s="15"/>
      <c r="C4983" s="15"/>
      <c r="D4983" s="15"/>
      <c r="E4983" s="15"/>
      <c r="F4983" s="20"/>
    </row>
    <row r="4984" spans="2:6" ht="17.25" customHeight="1">
      <c r="B4984" s="15"/>
      <c r="C4984" s="15"/>
      <c r="D4984" s="15"/>
      <c r="E4984" s="15"/>
      <c r="F4984" s="20"/>
    </row>
    <row r="4985" spans="2:6" ht="17.25" customHeight="1">
      <c r="B4985" s="15"/>
      <c r="C4985" s="15"/>
      <c r="D4985" s="15"/>
      <c r="E4985" s="15"/>
      <c r="F4985" s="20"/>
    </row>
    <row r="4986" spans="2:6" ht="17.25" customHeight="1">
      <c r="B4986" s="15"/>
      <c r="C4986" s="15"/>
      <c r="D4986" s="15"/>
      <c r="E4986" s="15"/>
      <c r="F4986" s="20"/>
    </row>
    <row r="4987" spans="2:6" ht="17.25" customHeight="1">
      <c r="B4987" s="15"/>
      <c r="C4987" s="15"/>
      <c r="D4987" s="15"/>
      <c r="E4987" s="15"/>
      <c r="F4987" s="20"/>
    </row>
    <row r="4988" spans="2:6" ht="17.25" customHeight="1">
      <c r="B4988" s="15"/>
      <c r="C4988" s="15"/>
      <c r="D4988" s="15"/>
      <c r="E4988" s="15"/>
      <c r="F4988" s="20"/>
    </row>
    <row r="4989" spans="2:6" ht="17.25" customHeight="1">
      <c r="B4989" s="15"/>
      <c r="C4989" s="15"/>
      <c r="D4989" s="15"/>
      <c r="E4989" s="15"/>
      <c r="F4989" s="20"/>
    </row>
    <row r="4990" spans="2:6" ht="17.25" customHeight="1">
      <c r="B4990" s="15"/>
      <c r="C4990" s="15"/>
      <c r="D4990" s="15"/>
      <c r="E4990" s="15"/>
      <c r="F4990" s="20"/>
    </row>
    <row r="4991" spans="2:6" ht="17.25" customHeight="1">
      <c r="B4991" s="15"/>
      <c r="C4991" s="15"/>
      <c r="D4991" s="15"/>
      <c r="E4991" s="15"/>
      <c r="F4991" s="20"/>
    </row>
    <row r="4992" spans="2:6" ht="17.25" customHeight="1">
      <c r="B4992" s="15"/>
      <c r="C4992" s="15"/>
      <c r="D4992" s="15"/>
      <c r="E4992" s="15"/>
      <c r="F4992" s="20"/>
    </row>
    <row r="4993" spans="2:6" ht="17.25" customHeight="1">
      <c r="B4993" s="15"/>
      <c r="C4993" s="15"/>
      <c r="D4993" s="15"/>
      <c r="E4993" s="15"/>
      <c r="F4993" s="20"/>
    </row>
    <row r="4994" spans="2:6" ht="17.25" customHeight="1">
      <c r="B4994" s="15"/>
      <c r="C4994" s="15"/>
      <c r="D4994" s="15"/>
      <c r="E4994" s="15"/>
      <c r="F4994" s="20"/>
    </row>
    <row r="4995" spans="2:6" ht="17.25" customHeight="1">
      <c r="B4995" s="15"/>
      <c r="C4995" s="15"/>
      <c r="D4995" s="15"/>
      <c r="E4995" s="15"/>
      <c r="F4995" s="20"/>
    </row>
    <row r="4996" spans="2:6" ht="17.25" customHeight="1">
      <c r="B4996" s="15"/>
      <c r="C4996" s="15"/>
      <c r="D4996" s="15"/>
      <c r="E4996" s="15"/>
      <c r="F4996" s="20"/>
    </row>
    <row r="4997" spans="2:6" ht="17.25" customHeight="1">
      <c r="B4997" s="15"/>
      <c r="C4997" s="15"/>
      <c r="D4997" s="15"/>
      <c r="E4997" s="15"/>
      <c r="F4997" s="20"/>
    </row>
    <row r="4998" spans="2:6" ht="17.25" customHeight="1">
      <c r="B4998" s="15"/>
      <c r="C4998" s="15"/>
      <c r="D4998" s="15"/>
      <c r="E4998" s="15"/>
      <c r="F4998" s="20"/>
    </row>
    <row r="4999" spans="2:6" ht="17.25" customHeight="1">
      <c r="B4999" s="15"/>
      <c r="C4999" s="15"/>
      <c r="D4999" s="15"/>
      <c r="E4999" s="15"/>
      <c r="F4999" s="20"/>
    </row>
    <row r="5000" spans="2:6" ht="17.25" customHeight="1">
      <c r="B5000" s="15"/>
      <c r="C5000" s="15"/>
      <c r="D5000" s="15"/>
      <c r="E5000" s="15"/>
      <c r="F5000" s="20"/>
    </row>
    <row r="5001" spans="2:6" ht="17.25" customHeight="1">
      <c r="B5001" s="15"/>
      <c r="C5001" s="15"/>
      <c r="D5001" s="15"/>
      <c r="E5001" s="15"/>
      <c r="F5001" s="20"/>
    </row>
    <row r="5002" spans="2:6" ht="17.25" customHeight="1">
      <c r="B5002" s="15"/>
      <c r="C5002" s="15"/>
      <c r="D5002" s="15"/>
      <c r="E5002" s="15"/>
      <c r="F5002" s="20"/>
    </row>
    <row r="5003" spans="2:6" ht="17.25" customHeight="1">
      <c r="B5003" s="15"/>
      <c r="C5003" s="15"/>
      <c r="D5003" s="15"/>
      <c r="E5003" s="15"/>
      <c r="F5003" s="20"/>
    </row>
    <row r="5004" spans="2:6" ht="17.25" customHeight="1">
      <c r="B5004" s="15"/>
      <c r="C5004" s="15"/>
      <c r="D5004" s="15"/>
      <c r="E5004" s="15"/>
      <c r="F5004" s="20"/>
    </row>
    <row r="5005" spans="2:6" ht="17.25" customHeight="1">
      <c r="B5005" s="15"/>
      <c r="C5005" s="15"/>
      <c r="D5005" s="15"/>
      <c r="E5005" s="15"/>
      <c r="F5005" s="20"/>
    </row>
    <row r="5006" spans="2:6" ht="17.25" customHeight="1">
      <c r="B5006" s="15"/>
      <c r="C5006" s="15"/>
      <c r="D5006" s="15"/>
      <c r="E5006" s="15"/>
      <c r="F5006" s="20"/>
    </row>
    <row r="5007" spans="2:6" ht="17.25" customHeight="1">
      <c r="B5007" s="15"/>
      <c r="C5007" s="15"/>
      <c r="D5007" s="15"/>
      <c r="E5007" s="15"/>
      <c r="F5007" s="20"/>
    </row>
    <row r="5008" spans="2:6" ht="17.25" customHeight="1">
      <c r="B5008" s="15"/>
      <c r="C5008" s="15"/>
      <c r="D5008" s="15"/>
      <c r="E5008" s="15"/>
      <c r="F5008" s="20"/>
    </row>
    <row r="5009" spans="2:6" ht="17.25" customHeight="1">
      <c r="B5009" s="15"/>
      <c r="C5009" s="15"/>
      <c r="D5009" s="15"/>
      <c r="E5009" s="15"/>
      <c r="F5009" s="20"/>
    </row>
    <row r="5010" spans="2:6" ht="17.25" customHeight="1">
      <c r="B5010" s="15"/>
      <c r="C5010" s="15"/>
      <c r="D5010" s="15"/>
      <c r="E5010" s="15"/>
      <c r="F5010" s="20"/>
    </row>
    <row r="5011" spans="2:6" ht="17.25" customHeight="1">
      <c r="B5011" s="15"/>
      <c r="C5011" s="15"/>
      <c r="D5011" s="15"/>
      <c r="E5011" s="15"/>
      <c r="F5011" s="20"/>
    </row>
    <row r="5012" spans="2:6" ht="17.25" customHeight="1">
      <c r="B5012" s="15"/>
      <c r="C5012" s="15"/>
      <c r="D5012" s="15"/>
      <c r="E5012" s="15"/>
      <c r="F5012" s="20"/>
    </row>
    <row r="5013" spans="2:6" ht="17.25" customHeight="1">
      <c r="B5013" s="15"/>
      <c r="C5013" s="15"/>
      <c r="D5013" s="15"/>
      <c r="E5013" s="15"/>
      <c r="F5013" s="20"/>
    </row>
    <row r="5014" spans="2:6" ht="17.25" customHeight="1">
      <c r="B5014" s="15"/>
      <c r="C5014" s="15"/>
      <c r="D5014" s="15"/>
      <c r="E5014" s="15"/>
      <c r="F5014" s="20"/>
    </row>
    <row r="5015" spans="2:6" ht="17.25" customHeight="1">
      <c r="B5015" s="15"/>
      <c r="C5015" s="15"/>
      <c r="D5015" s="15"/>
      <c r="E5015" s="15"/>
      <c r="F5015" s="20"/>
    </row>
    <row r="5016" spans="2:6" ht="17.25" customHeight="1">
      <c r="B5016" s="15"/>
      <c r="C5016" s="15"/>
      <c r="D5016" s="15"/>
      <c r="E5016" s="15"/>
      <c r="F5016" s="20"/>
    </row>
    <row r="5017" spans="2:6" ht="17.25" customHeight="1">
      <c r="B5017" s="15"/>
      <c r="C5017" s="15"/>
      <c r="D5017" s="15"/>
      <c r="E5017" s="15"/>
      <c r="F5017" s="20"/>
    </row>
    <row r="5018" spans="2:6" ht="17.25" customHeight="1">
      <c r="B5018" s="15"/>
      <c r="C5018" s="15"/>
      <c r="D5018" s="15"/>
      <c r="E5018" s="15"/>
      <c r="F5018" s="20"/>
    </row>
    <row r="5019" spans="2:6" ht="17.25" customHeight="1">
      <c r="B5019" s="15"/>
      <c r="C5019" s="15"/>
      <c r="D5019" s="15"/>
      <c r="E5019" s="15"/>
      <c r="F5019" s="20"/>
    </row>
    <row r="5020" spans="2:6" ht="17.25" customHeight="1">
      <c r="B5020" s="15"/>
      <c r="C5020" s="15"/>
      <c r="D5020" s="15"/>
      <c r="E5020" s="15"/>
      <c r="F5020" s="20"/>
    </row>
    <row r="5021" spans="2:6" ht="17.25" customHeight="1">
      <c r="B5021" s="15"/>
      <c r="C5021" s="15"/>
      <c r="D5021" s="15"/>
      <c r="E5021" s="15"/>
      <c r="F5021" s="20"/>
    </row>
    <row r="5022" spans="2:6" ht="17.25" customHeight="1">
      <c r="B5022" s="15"/>
      <c r="C5022" s="15"/>
      <c r="D5022" s="15"/>
      <c r="E5022" s="15"/>
      <c r="F5022" s="20"/>
    </row>
    <row r="5023" spans="2:6" ht="17.25" customHeight="1">
      <c r="B5023" s="15"/>
      <c r="C5023" s="15"/>
      <c r="D5023" s="15"/>
      <c r="E5023" s="15"/>
      <c r="F5023" s="20"/>
    </row>
    <row r="5024" spans="2:6" ht="17.25" customHeight="1">
      <c r="B5024" s="15"/>
      <c r="C5024" s="15"/>
      <c r="D5024" s="15"/>
      <c r="E5024" s="15"/>
      <c r="F5024" s="20"/>
    </row>
    <row r="5025" spans="2:6" ht="17.25" customHeight="1">
      <c r="B5025" s="15"/>
      <c r="C5025" s="15"/>
      <c r="D5025" s="15"/>
      <c r="E5025" s="15"/>
      <c r="F5025" s="20"/>
    </row>
    <row r="5026" spans="2:6" ht="17.25" customHeight="1">
      <c r="B5026" s="15"/>
      <c r="C5026" s="15"/>
      <c r="D5026" s="15"/>
      <c r="E5026" s="15"/>
      <c r="F5026" s="20"/>
    </row>
    <row r="5027" spans="2:6" ht="17.25" customHeight="1">
      <c r="B5027" s="15"/>
      <c r="C5027" s="15"/>
      <c r="D5027" s="15"/>
      <c r="E5027" s="15"/>
      <c r="F5027" s="20"/>
    </row>
    <row r="5028" spans="2:6" ht="17.25" customHeight="1">
      <c r="B5028" s="15"/>
      <c r="C5028" s="15"/>
      <c r="D5028" s="15"/>
      <c r="E5028" s="15"/>
      <c r="F5028" s="20"/>
    </row>
    <row r="5029" spans="2:6" ht="17.25" customHeight="1">
      <c r="B5029" s="15"/>
      <c r="C5029" s="15"/>
      <c r="D5029" s="15"/>
      <c r="E5029" s="15"/>
      <c r="F5029" s="20"/>
    </row>
    <row r="5030" spans="2:6" ht="17.25" customHeight="1">
      <c r="B5030" s="15"/>
      <c r="C5030" s="15"/>
      <c r="D5030" s="15"/>
      <c r="E5030" s="15"/>
      <c r="F5030" s="20"/>
    </row>
    <row r="5031" spans="2:6" ht="17.25" customHeight="1">
      <c r="B5031" s="15"/>
      <c r="C5031" s="15"/>
      <c r="D5031" s="15"/>
      <c r="E5031" s="15"/>
      <c r="F5031" s="20"/>
    </row>
    <row r="5032" spans="2:6" ht="17.25" customHeight="1">
      <c r="B5032" s="15"/>
      <c r="C5032" s="15"/>
      <c r="D5032" s="15"/>
      <c r="E5032" s="15"/>
      <c r="F5032" s="20"/>
    </row>
    <row r="5033" spans="2:6" ht="17.25" customHeight="1">
      <c r="B5033" s="15"/>
      <c r="C5033" s="15"/>
      <c r="D5033" s="15"/>
      <c r="E5033" s="15"/>
      <c r="F5033" s="20"/>
    </row>
    <row r="5034" spans="2:6" ht="17.25" customHeight="1">
      <c r="B5034" s="15"/>
      <c r="C5034" s="15"/>
      <c r="D5034" s="15"/>
      <c r="E5034" s="15"/>
      <c r="F5034" s="20"/>
    </row>
    <row r="5035" spans="2:6" ht="17.25" customHeight="1">
      <c r="B5035" s="15"/>
      <c r="C5035" s="15"/>
      <c r="D5035" s="15"/>
      <c r="E5035" s="15"/>
      <c r="F5035" s="20"/>
    </row>
    <row r="5036" spans="2:6" ht="17.25" customHeight="1">
      <c r="B5036" s="15"/>
      <c r="C5036" s="15"/>
      <c r="D5036" s="15"/>
      <c r="E5036" s="15"/>
      <c r="F5036" s="20"/>
    </row>
    <row r="5037" spans="2:6" ht="17.25" customHeight="1">
      <c r="B5037" s="15"/>
      <c r="C5037" s="15"/>
      <c r="D5037" s="15"/>
      <c r="E5037" s="15"/>
      <c r="F5037" s="20"/>
    </row>
    <row r="5038" spans="2:6" ht="17.25" customHeight="1">
      <c r="B5038" s="15"/>
      <c r="C5038" s="15"/>
      <c r="D5038" s="15"/>
      <c r="E5038" s="15"/>
      <c r="F5038" s="20"/>
    </row>
    <row r="5039" spans="2:6" ht="17.25" customHeight="1">
      <c r="B5039" s="15"/>
      <c r="C5039" s="15"/>
      <c r="D5039" s="15"/>
      <c r="E5039" s="15"/>
      <c r="F5039" s="20"/>
    </row>
    <row r="5040" spans="2:6" ht="17.25" customHeight="1">
      <c r="B5040" s="15"/>
      <c r="C5040" s="15"/>
      <c r="D5040" s="15"/>
      <c r="E5040" s="15"/>
      <c r="F5040" s="20"/>
    </row>
    <row r="5041" spans="2:6" ht="17.25" customHeight="1">
      <c r="B5041" s="15"/>
      <c r="C5041" s="15"/>
      <c r="D5041" s="15"/>
      <c r="E5041" s="15"/>
      <c r="F5041" s="20"/>
    </row>
    <row r="5042" spans="2:6" ht="17.25" customHeight="1">
      <c r="B5042" s="15"/>
      <c r="C5042" s="15"/>
      <c r="D5042" s="15"/>
      <c r="E5042" s="15"/>
      <c r="F5042" s="20"/>
    </row>
    <row r="5043" spans="2:6" ht="17.25" customHeight="1">
      <c r="B5043" s="15"/>
      <c r="C5043" s="15"/>
      <c r="D5043" s="15"/>
      <c r="E5043" s="15"/>
      <c r="F5043" s="20"/>
    </row>
    <row r="5044" spans="2:6" ht="17.25" customHeight="1">
      <c r="B5044" s="15"/>
      <c r="C5044" s="15"/>
      <c r="D5044" s="15"/>
      <c r="E5044" s="15"/>
      <c r="F5044" s="20"/>
    </row>
    <row r="5045" spans="2:6" ht="17.25" customHeight="1">
      <c r="B5045" s="15"/>
      <c r="C5045" s="15"/>
      <c r="D5045" s="15"/>
      <c r="E5045" s="15"/>
      <c r="F5045" s="20"/>
    </row>
    <row r="5046" spans="2:6" ht="17.25" customHeight="1">
      <c r="B5046" s="15"/>
      <c r="C5046" s="15"/>
      <c r="D5046" s="15"/>
      <c r="E5046" s="15"/>
      <c r="F5046" s="20"/>
    </row>
    <row r="5047" spans="2:6" ht="17.25" customHeight="1">
      <c r="B5047" s="15"/>
      <c r="C5047" s="15"/>
      <c r="D5047" s="15"/>
      <c r="E5047" s="15"/>
      <c r="F5047" s="20"/>
    </row>
    <row r="5048" spans="2:6" ht="17.25" customHeight="1">
      <c r="B5048" s="15"/>
      <c r="C5048" s="15"/>
      <c r="D5048" s="15"/>
      <c r="E5048" s="15"/>
      <c r="F5048" s="20"/>
    </row>
    <row r="5049" spans="2:6" ht="17.25" customHeight="1">
      <c r="B5049" s="15"/>
      <c r="C5049" s="15"/>
      <c r="D5049" s="15"/>
      <c r="E5049" s="15"/>
      <c r="F5049" s="20"/>
    </row>
    <row r="5050" spans="2:6" ht="17.25" customHeight="1">
      <c r="B5050" s="15"/>
      <c r="C5050" s="15"/>
      <c r="D5050" s="15"/>
      <c r="E5050" s="15"/>
      <c r="F5050" s="20"/>
    </row>
    <row r="5051" spans="2:6" ht="17.25" customHeight="1">
      <c r="B5051" s="15"/>
      <c r="C5051" s="15"/>
      <c r="D5051" s="15"/>
      <c r="E5051" s="15"/>
      <c r="F5051" s="20"/>
    </row>
    <row r="5052" spans="2:6" ht="17.25" customHeight="1">
      <c r="B5052" s="15"/>
      <c r="C5052" s="15"/>
      <c r="D5052" s="15"/>
      <c r="E5052" s="15"/>
      <c r="F5052" s="20"/>
    </row>
    <row r="5053" spans="2:6" ht="17.25" customHeight="1">
      <c r="B5053" s="15"/>
      <c r="C5053" s="15"/>
      <c r="D5053" s="15"/>
      <c r="E5053" s="15"/>
      <c r="F5053" s="20"/>
    </row>
    <row r="5054" spans="2:6" ht="17.25" customHeight="1">
      <c r="B5054" s="15"/>
      <c r="C5054" s="15"/>
      <c r="D5054" s="15"/>
      <c r="E5054" s="15"/>
      <c r="F5054" s="20"/>
    </row>
    <row r="5055" spans="2:6" ht="17.25" customHeight="1">
      <c r="B5055" s="15"/>
      <c r="C5055" s="15"/>
      <c r="D5055" s="15"/>
      <c r="E5055" s="15"/>
      <c r="F5055" s="20"/>
    </row>
    <row r="5056" spans="2:6" ht="17.25" customHeight="1">
      <c r="B5056" s="15"/>
      <c r="C5056" s="15"/>
      <c r="D5056" s="15"/>
      <c r="E5056" s="15"/>
      <c r="F5056" s="20"/>
    </row>
    <row r="5057" spans="2:6" ht="17.25" customHeight="1">
      <c r="B5057" s="15"/>
      <c r="C5057" s="15"/>
      <c r="D5057" s="15"/>
      <c r="E5057" s="15"/>
      <c r="F5057" s="20"/>
    </row>
    <row r="5058" spans="2:6" ht="17.25" customHeight="1">
      <c r="B5058" s="15"/>
      <c r="C5058" s="15"/>
      <c r="D5058" s="15"/>
      <c r="E5058" s="15"/>
      <c r="F5058" s="20"/>
    </row>
    <row r="5059" spans="2:6" ht="17.25" customHeight="1">
      <c r="B5059" s="15"/>
      <c r="C5059" s="15"/>
      <c r="D5059" s="15"/>
      <c r="E5059" s="15"/>
      <c r="F5059" s="20"/>
    </row>
    <row r="5060" spans="2:6" ht="17.25" customHeight="1">
      <c r="B5060" s="15"/>
      <c r="C5060" s="15"/>
      <c r="D5060" s="15"/>
      <c r="E5060" s="15"/>
      <c r="F5060" s="20"/>
    </row>
    <row r="5061" spans="2:6" ht="17.25" customHeight="1">
      <c r="B5061" s="15"/>
      <c r="C5061" s="15"/>
      <c r="D5061" s="15"/>
      <c r="E5061" s="15"/>
      <c r="F5061" s="20"/>
    </row>
    <row r="5062" spans="2:6" ht="17.25" customHeight="1">
      <c r="B5062" s="15"/>
      <c r="C5062" s="15"/>
      <c r="D5062" s="15"/>
      <c r="E5062" s="15"/>
      <c r="F5062" s="20"/>
    </row>
    <row r="5063" spans="2:6" ht="17.25" customHeight="1">
      <c r="B5063" s="15"/>
      <c r="C5063" s="15"/>
      <c r="D5063" s="15"/>
      <c r="E5063" s="15"/>
      <c r="F5063" s="20"/>
    </row>
    <row r="5064" spans="2:6" ht="17.25" customHeight="1">
      <c r="B5064" s="15"/>
      <c r="C5064" s="15"/>
      <c r="D5064" s="15"/>
      <c r="E5064" s="15"/>
      <c r="F5064" s="20"/>
    </row>
    <row r="5065" spans="2:6" ht="17.25" customHeight="1">
      <c r="B5065" s="15"/>
      <c r="C5065" s="15"/>
      <c r="D5065" s="15"/>
      <c r="E5065" s="15"/>
      <c r="F5065" s="20"/>
    </row>
    <row r="5066" spans="2:6" ht="17.25" customHeight="1">
      <c r="B5066" s="15"/>
      <c r="C5066" s="15"/>
      <c r="D5066" s="15"/>
      <c r="E5066" s="15"/>
      <c r="F5066" s="20"/>
    </row>
    <row r="5067" spans="2:6" ht="17.25" customHeight="1">
      <c r="B5067" s="15"/>
      <c r="C5067" s="15"/>
      <c r="D5067" s="15"/>
      <c r="E5067" s="15"/>
      <c r="F5067" s="20"/>
    </row>
    <row r="5068" spans="2:6" ht="17.25" customHeight="1">
      <c r="B5068" s="15"/>
      <c r="C5068" s="15"/>
      <c r="D5068" s="15"/>
      <c r="E5068" s="15"/>
      <c r="F5068" s="20"/>
    </row>
    <row r="5069" spans="2:6" ht="17.25" customHeight="1">
      <c r="B5069" s="15"/>
      <c r="C5069" s="15"/>
      <c r="D5069" s="15"/>
      <c r="E5069" s="15"/>
      <c r="F5069" s="20"/>
    </row>
    <row r="5070" spans="2:6" ht="17.25" customHeight="1">
      <c r="B5070" s="15"/>
      <c r="C5070" s="15"/>
      <c r="D5070" s="15"/>
      <c r="E5070" s="15"/>
      <c r="F5070" s="20"/>
    </row>
    <row r="5071" spans="2:6" ht="17.25" customHeight="1">
      <c r="B5071" s="15"/>
      <c r="C5071" s="15"/>
      <c r="D5071" s="15"/>
      <c r="E5071" s="15"/>
      <c r="F5071" s="20"/>
    </row>
    <row r="5072" spans="2:6" ht="17.25" customHeight="1">
      <c r="B5072" s="15"/>
      <c r="C5072" s="15"/>
      <c r="D5072" s="15"/>
      <c r="E5072" s="15"/>
      <c r="F5072" s="20"/>
    </row>
    <row r="5073" spans="2:6" ht="17.25" customHeight="1">
      <c r="B5073" s="15"/>
      <c r="C5073" s="15"/>
      <c r="D5073" s="15"/>
      <c r="E5073" s="15"/>
      <c r="F5073" s="20"/>
    </row>
    <row r="5074" spans="2:6" ht="17.25" customHeight="1">
      <c r="B5074" s="15"/>
      <c r="C5074" s="15"/>
      <c r="D5074" s="15"/>
      <c r="E5074" s="15"/>
      <c r="F5074" s="20"/>
    </row>
    <row r="5075" spans="2:6" ht="17.25" customHeight="1">
      <c r="B5075" s="15"/>
      <c r="C5075" s="15"/>
      <c r="D5075" s="15"/>
      <c r="E5075" s="15"/>
      <c r="F5075" s="20"/>
    </row>
    <row r="5076" spans="2:6" ht="17.25" customHeight="1">
      <c r="B5076" s="15"/>
      <c r="C5076" s="15"/>
      <c r="D5076" s="15"/>
      <c r="E5076" s="15"/>
      <c r="F5076" s="20"/>
    </row>
    <row r="5077" spans="2:6" ht="17.25" customHeight="1">
      <c r="B5077" s="15"/>
      <c r="C5077" s="15"/>
      <c r="D5077" s="15"/>
      <c r="E5077" s="15"/>
      <c r="F5077" s="20"/>
    </row>
    <row r="5078" spans="2:6" ht="17.25" customHeight="1">
      <c r="B5078" s="15"/>
      <c r="C5078" s="15"/>
      <c r="D5078" s="15"/>
      <c r="E5078" s="15"/>
      <c r="F5078" s="20"/>
    </row>
    <row r="5079" spans="2:6" ht="17.25" customHeight="1">
      <c r="B5079" s="15"/>
      <c r="C5079" s="15"/>
      <c r="D5079" s="15"/>
      <c r="E5079" s="15"/>
      <c r="F5079" s="20"/>
    </row>
    <row r="5080" spans="2:6" ht="17.25" customHeight="1">
      <c r="B5080" s="15"/>
      <c r="C5080" s="15"/>
      <c r="D5080" s="15"/>
      <c r="E5080" s="15"/>
      <c r="F5080" s="20"/>
    </row>
    <row r="5081" spans="2:6" ht="17.25" customHeight="1">
      <c r="B5081" s="15"/>
      <c r="C5081" s="15"/>
      <c r="D5081" s="15"/>
      <c r="E5081" s="15"/>
      <c r="F5081" s="20"/>
    </row>
    <row r="5082" spans="2:6" ht="17.25" customHeight="1">
      <c r="B5082" s="15"/>
      <c r="C5082" s="15"/>
      <c r="D5082" s="15"/>
      <c r="E5082" s="15"/>
      <c r="F5082" s="20"/>
    </row>
    <row r="5083" spans="2:6" ht="17.25" customHeight="1">
      <c r="B5083" s="15"/>
      <c r="C5083" s="15"/>
      <c r="D5083" s="15"/>
      <c r="E5083" s="15"/>
      <c r="F5083" s="20"/>
    </row>
    <row r="5084" spans="2:6" ht="17.25" customHeight="1">
      <c r="B5084" s="15"/>
      <c r="C5084" s="15"/>
      <c r="D5084" s="15"/>
      <c r="E5084" s="15"/>
      <c r="F5084" s="20"/>
    </row>
    <row r="5085" spans="2:6" ht="17.25" customHeight="1">
      <c r="B5085" s="15"/>
      <c r="C5085" s="15"/>
      <c r="D5085" s="15"/>
      <c r="E5085" s="15"/>
      <c r="F5085" s="20"/>
    </row>
    <row r="5086" spans="2:6" ht="17.25" customHeight="1">
      <c r="B5086" s="15"/>
      <c r="C5086" s="15"/>
      <c r="D5086" s="15"/>
      <c r="E5086" s="15"/>
      <c r="F5086" s="20"/>
    </row>
    <row r="5087" spans="2:6" ht="17.25" customHeight="1">
      <c r="B5087" s="15"/>
      <c r="C5087" s="15"/>
      <c r="D5087" s="15"/>
      <c r="E5087" s="15"/>
      <c r="F5087" s="20"/>
    </row>
    <row r="5088" spans="2:6" ht="17.25" customHeight="1">
      <c r="B5088" s="15"/>
      <c r="C5088" s="15"/>
      <c r="D5088" s="15"/>
      <c r="E5088" s="15"/>
      <c r="F5088" s="20"/>
    </row>
    <row r="5089" spans="2:6" ht="17.25" customHeight="1">
      <c r="B5089" s="15"/>
      <c r="C5089" s="15"/>
      <c r="D5089" s="15"/>
      <c r="E5089" s="15"/>
      <c r="F5089" s="20"/>
    </row>
    <row r="5090" spans="2:6" ht="17.25" customHeight="1">
      <c r="B5090" s="15"/>
      <c r="C5090" s="15"/>
      <c r="D5090" s="15"/>
      <c r="E5090" s="15"/>
      <c r="F5090" s="20"/>
    </row>
    <row r="5091" spans="2:6" ht="17.25" customHeight="1">
      <c r="B5091" s="15"/>
      <c r="C5091" s="15"/>
      <c r="D5091" s="15"/>
      <c r="E5091" s="15"/>
      <c r="F5091" s="20"/>
    </row>
    <row r="5092" spans="2:6" ht="17.25" customHeight="1">
      <c r="B5092" s="15"/>
      <c r="C5092" s="15"/>
      <c r="D5092" s="15"/>
      <c r="E5092" s="15"/>
      <c r="F5092" s="20"/>
    </row>
    <row r="5093" spans="2:6" ht="17.25" customHeight="1">
      <c r="B5093" s="15"/>
      <c r="C5093" s="15"/>
      <c r="D5093" s="15"/>
      <c r="E5093" s="15"/>
      <c r="F5093" s="20"/>
    </row>
    <row r="5094" spans="2:6" ht="17.25" customHeight="1">
      <c r="B5094" s="15"/>
      <c r="C5094" s="15"/>
      <c r="D5094" s="15"/>
      <c r="E5094" s="15"/>
      <c r="F5094" s="20"/>
    </row>
    <row r="5095" spans="2:6" ht="17.25" customHeight="1">
      <c r="B5095" s="15"/>
      <c r="C5095" s="15"/>
      <c r="D5095" s="15"/>
      <c r="E5095" s="15"/>
      <c r="F5095" s="20"/>
    </row>
    <row r="5096" spans="2:6" ht="17.25" customHeight="1">
      <c r="B5096" s="15"/>
      <c r="C5096" s="15"/>
      <c r="D5096" s="15"/>
      <c r="E5096" s="15"/>
      <c r="F5096" s="20"/>
    </row>
    <row r="5097" spans="2:6" ht="17.25" customHeight="1">
      <c r="B5097" s="15"/>
      <c r="C5097" s="15"/>
      <c r="D5097" s="15"/>
      <c r="E5097" s="15"/>
      <c r="F5097" s="20"/>
    </row>
    <row r="5098" spans="2:6" ht="17.25" customHeight="1">
      <c r="B5098" s="15"/>
      <c r="C5098" s="15"/>
      <c r="D5098" s="15"/>
      <c r="E5098" s="15"/>
      <c r="F5098" s="20"/>
    </row>
    <row r="5099" spans="2:6" ht="17.25" customHeight="1">
      <c r="B5099" s="15"/>
      <c r="C5099" s="15"/>
      <c r="D5099" s="15"/>
      <c r="E5099" s="15"/>
      <c r="F5099" s="20"/>
    </row>
    <row r="5100" spans="2:6" ht="17.25" customHeight="1">
      <c r="B5100" s="15"/>
      <c r="C5100" s="15"/>
      <c r="D5100" s="15"/>
      <c r="E5100" s="15"/>
      <c r="F5100" s="20"/>
    </row>
    <row r="5101" spans="2:6" ht="17.25" customHeight="1">
      <c r="B5101" s="15"/>
      <c r="C5101" s="15"/>
      <c r="D5101" s="15"/>
      <c r="E5101" s="15"/>
      <c r="F5101" s="20"/>
    </row>
    <row r="5102" spans="2:6" ht="17.25" customHeight="1">
      <c r="B5102" s="15"/>
      <c r="C5102" s="15"/>
      <c r="D5102" s="15"/>
      <c r="E5102" s="15"/>
      <c r="F5102" s="20"/>
    </row>
    <row r="5103" spans="2:6" ht="17.25" customHeight="1">
      <c r="B5103" s="15"/>
      <c r="C5103" s="15"/>
      <c r="D5103" s="15"/>
      <c r="E5103" s="15"/>
      <c r="F5103" s="20"/>
    </row>
    <row r="5104" spans="2:6" ht="17.25" customHeight="1">
      <c r="B5104" s="15"/>
      <c r="C5104" s="15"/>
      <c r="D5104" s="15"/>
      <c r="E5104" s="15"/>
      <c r="F5104" s="20"/>
    </row>
    <row r="5105" spans="2:6" ht="17.25" customHeight="1">
      <c r="B5105" s="15"/>
      <c r="C5105" s="15"/>
      <c r="D5105" s="15"/>
      <c r="E5105" s="15"/>
      <c r="F5105" s="20"/>
    </row>
    <row r="5106" spans="2:6" ht="17.25" customHeight="1">
      <c r="B5106" s="15"/>
      <c r="C5106" s="15"/>
      <c r="D5106" s="15"/>
      <c r="E5106" s="15"/>
      <c r="F5106" s="20"/>
    </row>
    <row r="5107" spans="2:6" ht="17.25" customHeight="1">
      <c r="B5107" s="15"/>
      <c r="C5107" s="15"/>
      <c r="D5107" s="15"/>
      <c r="E5107" s="15"/>
      <c r="F5107" s="20"/>
    </row>
    <row r="5108" spans="2:6" ht="17.25" customHeight="1">
      <c r="B5108" s="15"/>
      <c r="C5108" s="15"/>
      <c r="D5108" s="15"/>
      <c r="E5108" s="15"/>
      <c r="F5108" s="20"/>
    </row>
    <row r="5109" spans="2:6" ht="17.25" customHeight="1">
      <c r="B5109" s="15"/>
      <c r="C5109" s="15"/>
      <c r="D5109" s="15"/>
      <c r="E5109" s="15"/>
      <c r="F5109" s="20"/>
    </row>
    <row r="5110" spans="2:6" ht="17.25" customHeight="1">
      <c r="B5110" s="15"/>
      <c r="C5110" s="15"/>
      <c r="D5110" s="15"/>
      <c r="E5110" s="15"/>
      <c r="F5110" s="20"/>
    </row>
    <row r="5111" spans="2:6" ht="17.25" customHeight="1">
      <c r="B5111" s="15"/>
      <c r="C5111" s="15"/>
      <c r="D5111" s="15"/>
      <c r="E5111" s="15"/>
      <c r="F5111" s="20"/>
    </row>
    <row r="5112" spans="2:6" ht="17.25" customHeight="1">
      <c r="B5112" s="15"/>
      <c r="C5112" s="15"/>
      <c r="D5112" s="15"/>
      <c r="E5112" s="15"/>
      <c r="F5112" s="20"/>
    </row>
    <row r="5113" spans="2:6" ht="17.25" customHeight="1">
      <c r="B5113" s="15"/>
      <c r="C5113" s="15"/>
      <c r="D5113" s="15"/>
      <c r="E5113" s="15"/>
      <c r="F5113" s="20"/>
    </row>
    <row r="5114" spans="2:6" ht="17.25" customHeight="1">
      <c r="B5114" s="15"/>
      <c r="C5114" s="15"/>
      <c r="D5114" s="15"/>
      <c r="E5114" s="15"/>
      <c r="F5114" s="20"/>
    </row>
    <row r="5115" spans="2:6" ht="17.25" customHeight="1">
      <c r="B5115" s="15"/>
      <c r="C5115" s="15"/>
      <c r="D5115" s="15"/>
      <c r="E5115" s="15"/>
      <c r="F5115" s="20"/>
    </row>
    <row r="5116" spans="2:6" ht="17.25" customHeight="1">
      <c r="B5116" s="15"/>
      <c r="C5116" s="15"/>
      <c r="D5116" s="15"/>
      <c r="E5116" s="15"/>
      <c r="F5116" s="20"/>
    </row>
    <row r="5117" spans="2:6" ht="17.25" customHeight="1">
      <c r="B5117" s="15"/>
      <c r="C5117" s="15"/>
      <c r="D5117" s="15"/>
      <c r="E5117" s="15"/>
      <c r="F5117" s="20"/>
    </row>
    <row r="5118" spans="2:6" ht="17.25" customHeight="1">
      <c r="B5118" s="15"/>
      <c r="C5118" s="15"/>
      <c r="D5118" s="15"/>
      <c r="E5118" s="15"/>
      <c r="F5118" s="20"/>
    </row>
    <row r="5119" spans="2:6" ht="17.25" customHeight="1">
      <c r="B5119" s="15"/>
      <c r="C5119" s="15"/>
      <c r="D5119" s="15"/>
      <c r="E5119" s="15"/>
      <c r="F5119" s="20"/>
    </row>
    <row r="5120" spans="2:6" ht="17.25" customHeight="1">
      <c r="B5120" s="15"/>
      <c r="C5120" s="15"/>
      <c r="D5120" s="15"/>
      <c r="E5120" s="15"/>
      <c r="F5120" s="20"/>
    </row>
    <row r="5121" spans="2:6" ht="17.25" customHeight="1">
      <c r="B5121" s="15"/>
      <c r="C5121" s="15"/>
      <c r="D5121" s="15"/>
      <c r="E5121" s="15"/>
      <c r="F5121" s="20"/>
    </row>
    <row r="5122" spans="2:6" ht="17.25" customHeight="1">
      <c r="B5122" s="15"/>
      <c r="C5122" s="15"/>
      <c r="D5122" s="15"/>
      <c r="E5122" s="15"/>
      <c r="F5122" s="20"/>
    </row>
    <row r="5123" spans="2:6" ht="17.25" customHeight="1">
      <c r="B5123" s="15"/>
      <c r="C5123" s="15"/>
      <c r="D5123" s="15"/>
      <c r="E5123" s="15"/>
      <c r="F5123" s="20"/>
    </row>
    <row r="5124" spans="2:6" ht="17.25" customHeight="1">
      <c r="B5124" s="15"/>
      <c r="C5124" s="15"/>
      <c r="D5124" s="15"/>
      <c r="E5124" s="15"/>
      <c r="F5124" s="20"/>
    </row>
    <row r="5125" spans="2:6" ht="17.25" customHeight="1">
      <c r="B5125" s="15"/>
      <c r="C5125" s="15"/>
      <c r="D5125" s="15"/>
      <c r="E5125" s="15"/>
      <c r="F5125" s="20"/>
    </row>
    <row r="5126" spans="2:6" ht="17.25" customHeight="1">
      <c r="B5126" s="15"/>
      <c r="C5126" s="15"/>
      <c r="D5126" s="15"/>
      <c r="E5126" s="15"/>
      <c r="F5126" s="20"/>
    </row>
    <row r="5127" spans="2:6" ht="17.25" customHeight="1">
      <c r="B5127" s="15"/>
      <c r="C5127" s="15"/>
      <c r="D5127" s="15"/>
      <c r="E5127" s="15"/>
      <c r="F5127" s="20"/>
    </row>
    <row r="5128" spans="2:6" ht="17.25" customHeight="1">
      <c r="B5128" s="15"/>
      <c r="C5128" s="15"/>
      <c r="D5128" s="15"/>
      <c r="E5128" s="15"/>
      <c r="F5128" s="20"/>
    </row>
    <row r="5129" spans="2:6" ht="17.25" customHeight="1">
      <c r="B5129" s="15"/>
      <c r="C5129" s="15"/>
      <c r="D5129" s="15"/>
      <c r="E5129" s="15"/>
      <c r="F5129" s="20"/>
    </row>
    <row r="5130" spans="2:6" ht="17.25" customHeight="1">
      <c r="B5130" s="15"/>
      <c r="C5130" s="15"/>
      <c r="D5130" s="15"/>
      <c r="E5130" s="15"/>
      <c r="F5130" s="20"/>
    </row>
    <row r="5131" spans="2:6" ht="17.25" customHeight="1">
      <c r="B5131" s="15"/>
      <c r="C5131" s="15"/>
      <c r="D5131" s="15"/>
      <c r="E5131" s="15"/>
      <c r="F5131" s="20"/>
    </row>
    <row r="5132" spans="2:6" ht="17.25" customHeight="1">
      <c r="B5132" s="15"/>
      <c r="C5132" s="15"/>
      <c r="D5132" s="15"/>
      <c r="E5132" s="15"/>
      <c r="F5132" s="20"/>
    </row>
    <row r="5133" spans="2:6" ht="17.25" customHeight="1">
      <c r="B5133" s="15"/>
      <c r="C5133" s="15"/>
      <c r="D5133" s="15"/>
      <c r="E5133" s="15"/>
      <c r="F5133" s="20"/>
    </row>
    <row r="5134" spans="2:6" ht="17.25" customHeight="1">
      <c r="B5134" s="15"/>
      <c r="C5134" s="15"/>
      <c r="D5134" s="15"/>
      <c r="E5134" s="15"/>
      <c r="F5134" s="20"/>
    </row>
    <row r="5135" spans="2:6" ht="17.25" customHeight="1">
      <c r="B5135" s="15"/>
      <c r="C5135" s="15"/>
      <c r="D5135" s="15"/>
      <c r="E5135" s="15"/>
      <c r="F5135" s="20"/>
    </row>
    <row r="5136" spans="2:6" ht="17.25" customHeight="1">
      <c r="B5136" s="15"/>
      <c r="C5136" s="15"/>
      <c r="D5136" s="15"/>
      <c r="E5136" s="15"/>
      <c r="F5136" s="20"/>
    </row>
    <row r="5137" spans="2:6" ht="17.25" customHeight="1">
      <c r="B5137" s="15"/>
      <c r="C5137" s="15"/>
      <c r="D5137" s="15"/>
      <c r="E5137" s="15"/>
      <c r="F5137" s="20"/>
    </row>
    <row r="5138" spans="2:6" ht="17.25" customHeight="1">
      <c r="B5138" s="15"/>
      <c r="C5138" s="15"/>
      <c r="D5138" s="15"/>
      <c r="E5138" s="15"/>
      <c r="F5138" s="20"/>
    </row>
    <row r="5139" spans="2:6" ht="17.25" customHeight="1">
      <c r="B5139" s="15"/>
      <c r="C5139" s="15"/>
      <c r="D5139" s="15"/>
      <c r="E5139" s="15"/>
      <c r="F5139" s="20"/>
    </row>
    <row r="5140" spans="2:6" ht="17.25" customHeight="1">
      <c r="B5140" s="15"/>
      <c r="C5140" s="15"/>
      <c r="D5140" s="15"/>
      <c r="E5140" s="15"/>
      <c r="F5140" s="20"/>
    </row>
    <row r="5141" spans="2:6" ht="17.25" customHeight="1">
      <c r="B5141" s="15"/>
      <c r="C5141" s="15"/>
      <c r="D5141" s="15"/>
      <c r="E5141" s="15"/>
      <c r="F5141" s="20"/>
    </row>
    <row r="5142" spans="2:6" ht="17.25" customHeight="1">
      <c r="B5142" s="15"/>
      <c r="C5142" s="15"/>
      <c r="D5142" s="15"/>
      <c r="E5142" s="15"/>
      <c r="F5142" s="20"/>
    </row>
    <row r="5143" spans="2:6" ht="17.25" customHeight="1">
      <c r="B5143" s="15"/>
      <c r="C5143" s="15"/>
      <c r="D5143" s="15"/>
      <c r="E5143" s="15"/>
      <c r="F5143" s="20"/>
    </row>
    <row r="5144" spans="2:6" ht="17.25" customHeight="1">
      <c r="B5144" s="15"/>
      <c r="C5144" s="15"/>
      <c r="D5144" s="15"/>
      <c r="E5144" s="15"/>
      <c r="F5144" s="20"/>
    </row>
    <row r="5145" spans="2:6" ht="17.25" customHeight="1">
      <c r="B5145" s="15"/>
      <c r="C5145" s="15"/>
      <c r="D5145" s="15"/>
      <c r="E5145" s="15"/>
      <c r="F5145" s="20"/>
    </row>
    <row r="5146" spans="2:6" ht="17.25" customHeight="1">
      <c r="B5146" s="15"/>
      <c r="C5146" s="15"/>
      <c r="D5146" s="15"/>
      <c r="E5146" s="15"/>
      <c r="F5146" s="20"/>
    </row>
    <row r="5147" spans="2:6" ht="17.25" customHeight="1">
      <c r="B5147" s="15"/>
      <c r="C5147" s="15"/>
      <c r="D5147" s="15"/>
      <c r="E5147" s="15"/>
      <c r="F5147" s="20"/>
    </row>
    <row r="5148" spans="2:6" ht="17.25" customHeight="1">
      <c r="B5148" s="15"/>
      <c r="C5148" s="15"/>
      <c r="D5148" s="15"/>
      <c r="E5148" s="15"/>
      <c r="F5148" s="20"/>
    </row>
    <row r="5149" spans="2:6" ht="17.25" customHeight="1">
      <c r="B5149" s="15"/>
      <c r="C5149" s="15"/>
      <c r="D5149" s="15"/>
      <c r="E5149" s="15"/>
      <c r="F5149" s="20"/>
    </row>
    <row r="5150" spans="2:6" ht="17.25" customHeight="1">
      <c r="B5150" s="15"/>
      <c r="C5150" s="15"/>
      <c r="D5150" s="15"/>
      <c r="E5150" s="15"/>
      <c r="F5150" s="20"/>
    </row>
    <row r="5151" spans="2:6" ht="17.25" customHeight="1">
      <c r="B5151" s="15"/>
      <c r="C5151" s="15"/>
      <c r="D5151" s="15"/>
      <c r="E5151" s="15"/>
      <c r="F5151" s="20"/>
    </row>
    <row r="5152" spans="2:6" ht="17.25" customHeight="1">
      <c r="B5152" s="15"/>
      <c r="C5152" s="15"/>
      <c r="D5152" s="15"/>
      <c r="E5152" s="15"/>
      <c r="F5152" s="20"/>
    </row>
    <row r="5153" spans="2:6" ht="17.25" customHeight="1">
      <c r="B5153" s="15"/>
      <c r="C5153" s="15"/>
      <c r="D5153" s="15"/>
      <c r="E5153" s="15"/>
      <c r="F5153" s="20"/>
    </row>
    <row r="5154" spans="2:6" ht="17.25" customHeight="1">
      <c r="B5154" s="15"/>
      <c r="C5154" s="15"/>
      <c r="D5154" s="15"/>
      <c r="E5154" s="15"/>
      <c r="F5154" s="20"/>
    </row>
    <row r="5155" spans="2:6" ht="17.25" customHeight="1">
      <c r="B5155" s="15"/>
      <c r="C5155" s="15"/>
      <c r="D5155" s="15"/>
      <c r="E5155" s="15"/>
      <c r="F5155" s="20"/>
    </row>
    <row r="5156" spans="2:6" ht="17.25" customHeight="1">
      <c r="B5156" s="15"/>
      <c r="C5156" s="15"/>
      <c r="D5156" s="15"/>
      <c r="E5156" s="15"/>
      <c r="F5156" s="20"/>
    </row>
    <row r="5157" spans="2:6" ht="17.25" customHeight="1">
      <c r="B5157" s="15"/>
      <c r="C5157" s="15"/>
      <c r="D5157" s="15"/>
      <c r="E5157" s="15"/>
      <c r="F5157" s="20"/>
    </row>
    <row r="5158" spans="2:6" ht="17.25" customHeight="1">
      <c r="B5158" s="15"/>
      <c r="C5158" s="15"/>
      <c r="D5158" s="15"/>
      <c r="E5158" s="15"/>
      <c r="F5158" s="20"/>
    </row>
    <row r="5159" spans="2:6" ht="17.25" customHeight="1">
      <c r="B5159" s="15"/>
      <c r="C5159" s="15"/>
      <c r="D5159" s="15"/>
      <c r="E5159" s="15"/>
      <c r="F5159" s="20"/>
    </row>
    <row r="5160" spans="2:6" ht="17.25" customHeight="1">
      <c r="B5160" s="15"/>
      <c r="C5160" s="15"/>
      <c r="D5160" s="15"/>
      <c r="E5160" s="15"/>
      <c r="F5160" s="20"/>
    </row>
    <row r="5161" spans="2:6" ht="17.25" customHeight="1">
      <c r="B5161" s="15"/>
      <c r="C5161" s="15"/>
      <c r="D5161" s="15"/>
      <c r="E5161" s="15"/>
      <c r="F5161" s="20"/>
    </row>
    <row r="5162" spans="2:6" ht="17.25" customHeight="1">
      <c r="B5162" s="15"/>
      <c r="C5162" s="15"/>
      <c r="D5162" s="15"/>
      <c r="E5162" s="15"/>
      <c r="F5162" s="20"/>
    </row>
    <row r="5163" spans="2:6" ht="17.25" customHeight="1">
      <c r="B5163" s="15"/>
      <c r="C5163" s="15"/>
      <c r="D5163" s="15"/>
      <c r="E5163" s="15"/>
      <c r="F5163" s="20"/>
    </row>
    <row r="5164" spans="2:6" ht="17.25" customHeight="1">
      <c r="B5164" s="15"/>
      <c r="C5164" s="15"/>
      <c r="D5164" s="15"/>
      <c r="E5164" s="15"/>
      <c r="F5164" s="20"/>
    </row>
    <row r="5165" spans="2:6" ht="17.25" customHeight="1">
      <c r="B5165" s="15"/>
      <c r="C5165" s="15"/>
      <c r="D5165" s="15"/>
      <c r="E5165" s="15"/>
      <c r="F5165" s="20"/>
    </row>
    <row r="5166" spans="2:6" ht="17.25" customHeight="1">
      <c r="B5166" s="15"/>
      <c r="C5166" s="15"/>
      <c r="D5166" s="15"/>
      <c r="E5166" s="15"/>
      <c r="F5166" s="20"/>
    </row>
    <row r="5167" spans="2:6" ht="17.25" customHeight="1">
      <c r="B5167" s="15"/>
      <c r="C5167" s="15"/>
      <c r="D5167" s="15"/>
      <c r="E5167" s="15"/>
      <c r="F5167" s="20"/>
    </row>
    <row r="5168" spans="2:6" ht="17.25" customHeight="1">
      <c r="B5168" s="15"/>
      <c r="C5168" s="15"/>
      <c r="D5168" s="15"/>
      <c r="E5168" s="15"/>
      <c r="F5168" s="20"/>
    </row>
    <row r="5169" spans="2:6" ht="17.25" customHeight="1">
      <c r="B5169" s="15"/>
      <c r="C5169" s="15"/>
      <c r="D5169" s="15"/>
      <c r="E5169" s="15"/>
      <c r="F5169" s="20"/>
    </row>
    <row r="5170" spans="2:6" ht="17.25" customHeight="1">
      <c r="B5170" s="15"/>
      <c r="C5170" s="15"/>
      <c r="D5170" s="15"/>
      <c r="E5170" s="15"/>
      <c r="F5170" s="20"/>
    </row>
    <row r="5171" spans="2:6" ht="17.25" customHeight="1">
      <c r="B5171" s="15"/>
      <c r="C5171" s="15"/>
      <c r="D5171" s="15"/>
      <c r="E5171" s="15"/>
      <c r="F5171" s="20"/>
    </row>
    <row r="5172" spans="2:6" ht="17.25" customHeight="1">
      <c r="B5172" s="15"/>
      <c r="C5172" s="15"/>
      <c r="D5172" s="15"/>
      <c r="E5172" s="15"/>
      <c r="F5172" s="20"/>
    </row>
    <row r="5173" spans="2:6" ht="17.25" customHeight="1">
      <c r="B5173" s="15"/>
      <c r="C5173" s="15"/>
      <c r="D5173" s="15"/>
      <c r="E5173" s="15"/>
      <c r="F5173" s="20"/>
    </row>
    <row r="5174" spans="2:6" ht="17.25" customHeight="1">
      <c r="B5174" s="15"/>
      <c r="C5174" s="15"/>
      <c r="D5174" s="15"/>
      <c r="E5174" s="15"/>
      <c r="F5174" s="20"/>
    </row>
    <row r="5175" spans="2:6" ht="17.25" customHeight="1">
      <c r="B5175" s="15"/>
      <c r="C5175" s="15"/>
      <c r="D5175" s="15"/>
      <c r="E5175" s="15"/>
      <c r="F5175" s="20"/>
    </row>
    <row r="5176" spans="2:6" ht="17.25" customHeight="1">
      <c r="B5176" s="15"/>
      <c r="C5176" s="15"/>
      <c r="D5176" s="15"/>
      <c r="E5176" s="15"/>
      <c r="F5176" s="20"/>
    </row>
    <row r="5177" spans="2:6" ht="17.25" customHeight="1">
      <c r="B5177" s="15"/>
      <c r="C5177" s="15"/>
      <c r="D5177" s="15"/>
      <c r="E5177" s="15"/>
      <c r="F5177" s="20"/>
    </row>
    <row r="5178" spans="2:6" ht="17.25" customHeight="1">
      <c r="B5178" s="15"/>
      <c r="C5178" s="15"/>
      <c r="D5178" s="15"/>
      <c r="E5178" s="15"/>
      <c r="F5178" s="20"/>
    </row>
    <row r="5179" spans="2:6" ht="17.25" customHeight="1">
      <c r="B5179" s="15"/>
      <c r="C5179" s="15"/>
      <c r="D5179" s="15"/>
      <c r="E5179" s="15"/>
      <c r="F5179" s="20"/>
    </row>
    <row r="5180" spans="2:6" ht="17.25" customHeight="1">
      <c r="B5180" s="15"/>
      <c r="C5180" s="15"/>
      <c r="D5180" s="15"/>
      <c r="E5180" s="15"/>
      <c r="F5180" s="20"/>
    </row>
    <row r="5181" spans="2:6" ht="17.25" customHeight="1">
      <c r="B5181" s="15"/>
      <c r="C5181" s="15"/>
      <c r="D5181" s="15"/>
      <c r="E5181" s="15"/>
      <c r="F5181" s="20"/>
    </row>
    <row r="5182" spans="2:6" ht="17.25" customHeight="1">
      <c r="B5182" s="15"/>
      <c r="C5182" s="15"/>
      <c r="D5182" s="15"/>
      <c r="E5182" s="15"/>
      <c r="F5182" s="20"/>
    </row>
    <row r="5183" spans="2:6" ht="17.25" customHeight="1">
      <c r="B5183" s="15"/>
      <c r="C5183" s="15"/>
      <c r="D5183" s="15"/>
      <c r="E5183" s="15"/>
      <c r="F5183" s="20"/>
    </row>
    <row r="5184" spans="2:6" ht="17.25" customHeight="1">
      <c r="B5184" s="15"/>
      <c r="C5184" s="15"/>
      <c r="D5184" s="15"/>
      <c r="E5184" s="15"/>
      <c r="F5184" s="20"/>
    </row>
    <row r="5185" spans="2:6" ht="17.25" customHeight="1">
      <c r="B5185" s="15"/>
      <c r="C5185" s="15"/>
      <c r="D5185" s="15"/>
      <c r="E5185" s="15"/>
      <c r="F5185" s="20"/>
    </row>
    <row r="5186" spans="2:6" ht="17.25" customHeight="1">
      <c r="B5186" s="15"/>
      <c r="C5186" s="15"/>
      <c r="D5186" s="15"/>
      <c r="E5186" s="15"/>
      <c r="F5186" s="20"/>
    </row>
    <row r="5187" spans="2:6" ht="17.25" customHeight="1">
      <c r="B5187" s="15"/>
      <c r="C5187" s="15"/>
      <c r="D5187" s="15"/>
      <c r="E5187" s="15"/>
      <c r="F5187" s="20"/>
    </row>
    <row r="5188" spans="2:6" ht="17.25" customHeight="1">
      <c r="B5188" s="15"/>
      <c r="C5188" s="15"/>
      <c r="D5188" s="15"/>
      <c r="E5188" s="15"/>
      <c r="F5188" s="20"/>
    </row>
    <row r="5189" spans="2:6" ht="17.25" customHeight="1">
      <c r="B5189" s="15"/>
      <c r="C5189" s="15"/>
      <c r="D5189" s="15"/>
      <c r="E5189" s="15"/>
      <c r="F5189" s="20"/>
    </row>
    <row r="5190" spans="2:6" ht="17.25" customHeight="1">
      <c r="B5190" s="15"/>
      <c r="C5190" s="15"/>
      <c r="D5190" s="15"/>
      <c r="E5190" s="15"/>
      <c r="F5190" s="20"/>
    </row>
    <row r="5191" spans="2:6" ht="17.25" customHeight="1">
      <c r="B5191" s="15"/>
      <c r="C5191" s="15"/>
      <c r="D5191" s="15"/>
      <c r="E5191" s="15"/>
      <c r="F5191" s="20"/>
    </row>
    <row r="5192" spans="2:6" ht="17.25" customHeight="1">
      <c r="B5192" s="15"/>
      <c r="C5192" s="15"/>
      <c r="D5192" s="15"/>
      <c r="E5192" s="15"/>
      <c r="F5192" s="20"/>
    </row>
    <row r="5193" spans="2:6" ht="17.25" customHeight="1">
      <c r="B5193" s="15"/>
      <c r="C5193" s="15"/>
      <c r="D5193" s="15"/>
      <c r="E5193" s="15"/>
      <c r="F5193" s="20"/>
    </row>
    <row r="5194" spans="2:6" ht="17.25" customHeight="1">
      <c r="B5194" s="15"/>
      <c r="C5194" s="15"/>
      <c r="D5194" s="15"/>
      <c r="E5194" s="15"/>
      <c r="F5194" s="20"/>
    </row>
    <row r="5195" spans="2:6" ht="17.25" customHeight="1">
      <c r="B5195" s="15"/>
      <c r="C5195" s="15"/>
      <c r="D5195" s="15"/>
      <c r="E5195" s="15"/>
      <c r="F5195" s="20"/>
    </row>
    <row r="5196" spans="2:6" ht="17.25" customHeight="1">
      <c r="B5196" s="15"/>
      <c r="C5196" s="15"/>
      <c r="D5196" s="15"/>
      <c r="E5196" s="15"/>
      <c r="F5196" s="20"/>
    </row>
    <row r="5197" spans="2:6" ht="17.25" customHeight="1">
      <c r="B5197" s="15"/>
      <c r="C5197" s="15"/>
      <c r="D5197" s="15"/>
      <c r="E5197" s="15"/>
      <c r="F5197" s="20"/>
    </row>
    <row r="5198" spans="2:6" ht="17.25" customHeight="1">
      <c r="B5198" s="15"/>
      <c r="C5198" s="15"/>
      <c r="D5198" s="15"/>
      <c r="E5198" s="15"/>
      <c r="F5198" s="20"/>
    </row>
    <row r="5199" spans="2:6" ht="17.25" customHeight="1">
      <c r="B5199" s="15"/>
      <c r="C5199" s="15"/>
      <c r="D5199" s="15"/>
      <c r="E5199" s="15"/>
      <c r="F5199" s="20"/>
    </row>
    <row r="5200" spans="2:6" ht="17.25" customHeight="1">
      <c r="B5200" s="15"/>
      <c r="C5200" s="15"/>
      <c r="D5200" s="15"/>
      <c r="E5200" s="15"/>
      <c r="F5200" s="20"/>
    </row>
    <row r="5201" spans="2:6" ht="17.25" customHeight="1">
      <c r="B5201" s="15"/>
      <c r="C5201" s="15"/>
      <c r="D5201" s="15"/>
      <c r="E5201" s="15"/>
      <c r="F5201" s="20"/>
    </row>
    <row r="5202" spans="2:6" ht="17.25" customHeight="1">
      <c r="B5202" s="15"/>
      <c r="C5202" s="15"/>
      <c r="D5202" s="15"/>
      <c r="E5202" s="15"/>
      <c r="F5202" s="20"/>
    </row>
    <row r="5203" spans="2:6" ht="17.25" customHeight="1">
      <c r="B5203" s="15"/>
      <c r="C5203" s="15"/>
      <c r="D5203" s="15"/>
      <c r="E5203" s="15"/>
      <c r="F5203" s="20"/>
    </row>
    <row r="5204" spans="2:6" ht="17.25" customHeight="1">
      <c r="B5204" s="15"/>
      <c r="C5204" s="15"/>
      <c r="D5204" s="15"/>
      <c r="E5204" s="15"/>
      <c r="F5204" s="20"/>
    </row>
    <row r="5205" spans="2:6" ht="17.25" customHeight="1">
      <c r="B5205" s="15"/>
      <c r="C5205" s="15"/>
      <c r="D5205" s="15"/>
      <c r="E5205" s="15"/>
      <c r="F5205" s="20"/>
    </row>
    <row r="5206" spans="2:6" ht="17.25" customHeight="1">
      <c r="B5206" s="15"/>
      <c r="C5206" s="15"/>
      <c r="D5206" s="15"/>
      <c r="E5206" s="15"/>
      <c r="F5206" s="20"/>
    </row>
    <row r="5207" spans="2:6" ht="17.25" customHeight="1">
      <c r="B5207" s="15"/>
      <c r="C5207" s="15"/>
      <c r="D5207" s="15"/>
      <c r="E5207" s="15"/>
      <c r="F5207" s="20"/>
    </row>
    <row r="5208" spans="2:6" ht="17.25" customHeight="1">
      <c r="B5208" s="15"/>
      <c r="C5208" s="15"/>
      <c r="D5208" s="15"/>
      <c r="E5208" s="15"/>
      <c r="F5208" s="20"/>
    </row>
    <row r="5209" spans="2:6" ht="17.25" customHeight="1">
      <c r="B5209" s="15"/>
      <c r="C5209" s="15"/>
      <c r="D5209" s="15"/>
      <c r="E5209" s="15"/>
      <c r="F5209" s="20"/>
    </row>
    <row r="5210" spans="2:6" ht="17.25" customHeight="1">
      <c r="B5210" s="15"/>
      <c r="C5210" s="15"/>
      <c r="D5210" s="15"/>
      <c r="E5210" s="15"/>
      <c r="F5210" s="20"/>
    </row>
    <row r="5211" spans="2:6" ht="17.25" customHeight="1">
      <c r="B5211" s="15"/>
      <c r="C5211" s="15"/>
      <c r="D5211" s="15"/>
      <c r="E5211" s="15"/>
      <c r="F5211" s="20"/>
    </row>
    <row r="5212" spans="2:6" ht="17.25" customHeight="1">
      <c r="B5212" s="15"/>
      <c r="C5212" s="15"/>
      <c r="D5212" s="15"/>
      <c r="E5212" s="15"/>
      <c r="F5212" s="20"/>
    </row>
    <row r="5213" spans="2:6" ht="17.25" customHeight="1">
      <c r="B5213" s="15"/>
      <c r="C5213" s="15"/>
      <c r="D5213" s="15"/>
      <c r="E5213" s="15"/>
      <c r="F5213" s="20"/>
    </row>
    <row r="5214" spans="2:6" ht="17.25" customHeight="1">
      <c r="B5214" s="15"/>
      <c r="C5214" s="15"/>
      <c r="D5214" s="15"/>
      <c r="E5214" s="15"/>
      <c r="F5214" s="20"/>
    </row>
    <row r="5215" spans="2:6" ht="17.25" customHeight="1">
      <c r="B5215" s="15"/>
      <c r="C5215" s="15"/>
      <c r="D5215" s="15"/>
      <c r="E5215" s="15"/>
      <c r="F5215" s="20"/>
    </row>
    <row r="5216" spans="2:6" ht="17.25" customHeight="1">
      <c r="B5216" s="15"/>
      <c r="C5216" s="15"/>
      <c r="D5216" s="15"/>
      <c r="E5216" s="15"/>
      <c r="F5216" s="20"/>
    </row>
    <row r="5217" spans="2:6" ht="17.25" customHeight="1">
      <c r="B5217" s="15"/>
      <c r="C5217" s="15"/>
      <c r="D5217" s="15"/>
      <c r="E5217" s="15"/>
      <c r="F5217" s="20"/>
    </row>
    <row r="5218" spans="2:6" ht="17.25" customHeight="1">
      <c r="B5218" s="15"/>
      <c r="C5218" s="15"/>
      <c r="D5218" s="15"/>
      <c r="E5218" s="15"/>
      <c r="F5218" s="20"/>
    </row>
    <row r="5219" spans="2:6" ht="17.25" customHeight="1">
      <c r="B5219" s="15"/>
      <c r="C5219" s="15"/>
      <c r="D5219" s="15"/>
      <c r="E5219" s="15"/>
      <c r="F5219" s="20"/>
    </row>
    <row r="5220" spans="2:6" ht="17.25" customHeight="1">
      <c r="B5220" s="15"/>
      <c r="C5220" s="15"/>
      <c r="D5220" s="15"/>
      <c r="E5220" s="15"/>
      <c r="F5220" s="20"/>
    </row>
    <row r="5221" spans="2:6" ht="17.25" customHeight="1">
      <c r="B5221" s="15"/>
      <c r="C5221" s="15"/>
      <c r="D5221" s="15"/>
      <c r="E5221" s="15"/>
      <c r="F5221" s="20"/>
    </row>
    <row r="5222" spans="2:6" ht="17.25" customHeight="1">
      <c r="B5222" s="15"/>
      <c r="C5222" s="15"/>
      <c r="D5222" s="15"/>
      <c r="E5222" s="15"/>
      <c r="F5222" s="20"/>
    </row>
    <row r="5223" spans="2:6" ht="17.25" customHeight="1">
      <c r="B5223" s="15"/>
      <c r="C5223" s="15"/>
      <c r="D5223" s="15"/>
      <c r="E5223" s="15"/>
      <c r="F5223" s="20"/>
    </row>
    <row r="5224" spans="2:6" ht="17.25" customHeight="1">
      <c r="B5224" s="15"/>
      <c r="C5224" s="15"/>
      <c r="D5224" s="15"/>
      <c r="E5224" s="15"/>
      <c r="F5224" s="20"/>
    </row>
    <row r="5225" spans="2:6" ht="17.25" customHeight="1">
      <c r="B5225" s="15"/>
      <c r="C5225" s="15"/>
      <c r="D5225" s="15"/>
      <c r="E5225" s="15"/>
      <c r="F5225" s="20"/>
    </row>
    <row r="5226" spans="2:6" ht="17.25" customHeight="1">
      <c r="B5226" s="15"/>
      <c r="C5226" s="15"/>
      <c r="D5226" s="15"/>
      <c r="E5226" s="15"/>
      <c r="F5226" s="20"/>
    </row>
    <row r="5227" spans="2:6" ht="17.25" customHeight="1">
      <c r="B5227" s="15"/>
      <c r="C5227" s="15"/>
      <c r="D5227" s="15"/>
      <c r="E5227" s="15"/>
      <c r="F5227" s="20"/>
    </row>
    <row r="5228" spans="2:6" ht="17.25" customHeight="1">
      <c r="B5228" s="15"/>
      <c r="C5228" s="15"/>
      <c r="D5228" s="15"/>
      <c r="E5228" s="15"/>
      <c r="F5228" s="20"/>
    </row>
    <row r="5229" spans="2:6" ht="17.25" customHeight="1">
      <c r="B5229" s="15"/>
      <c r="C5229" s="15"/>
      <c r="D5229" s="15"/>
      <c r="E5229" s="15"/>
      <c r="F5229" s="20"/>
    </row>
    <row r="5230" spans="2:6" ht="17.25" customHeight="1">
      <c r="B5230" s="15"/>
      <c r="C5230" s="15"/>
      <c r="D5230" s="15"/>
      <c r="E5230" s="15"/>
      <c r="F5230" s="20"/>
    </row>
    <row r="5231" spans="2:6" ht="17.25" customHeight="1">
      <c r="B5231" s="15"/>
      <c r="C5231" s="15"/>
      <c r="D5231" s="15"/>
      <c r="E5231" s="15"/>
      <c r="F5231" s="20"/>
    </row>
    <row r="5232" spans="2:6" ht="17.25" customHeight="1">
      <c r="B5232" s="15"/>
      <c r="C5232" s="15"/>
      <c r="D5232" s="15"/>
      <c r="E5232" s="15"/>
      <c r="F5232" s="20"/>
    </row>
    <row r="5233" spans="2:6" ht="17.25" customHeight="1">
      <c r="B5233" s="15"/>
      <c r="C5233" s="15"/>
      <c r="D5233" s="15"/>
      <c r="E5233" s="15"/>
      <c r="F5233" s="20"/>
    </row>
    <row r="5234" spans="2:6" ht="17.25" customHeight="1">
      <c r="B5234" s="15"/>
      <c r="C5234" s="15"/>
      <c r="D5234" s="15"/>
      <c r="E5234" s="15"/>
      <c r="F5234" s="20"/>
    </row>
    <row r="5235" spans="2:6" ht="17.25" customHeight="1">
      <c r="B5235" s="15"/>
      <c r="C5235" s="15"/>
      <c r="D5235" s="15"/>
      <c r="E5235" s="15"/>
      <c r="F5235" s="20"/>
    </row>
    <row r="5236" spans="2:6" ht="17.25" customHeight="1">
      <c r="B5236" s="15"/>
      <c r="C5236" s="15"/>
      <c r="D5236" s="15"/>
      <c r="E5236" s="15"/>
      <c r="F5236" s="20"/>
    </row>
    <row r="5237" spans="2:6" ht="17.25" customHeight="1">
      <c r="B5237" s="15"/>
      <c r="C5237" s="15"/>
      <c r="D5237" s="15"/>
      <c r="E5237" s="15"/>
      <c r="F5237" s="20"/>
    </row>
    <row r="5238" spans="2:6" ht="17.25" customHeight="1">
      <c r="B5238" s="15"/>
      <c r="C5238" s="15"/>
      <c r="D5238" s="15"/>
      <c r="E5238" s="15"/>
      <c r="F5238" s="20"/>
    </row>
    <row r="5239" spans="2:6" ht="17.25" customHeight="1">
      <c r="B5239" s="15"/>
      <c r="C5239" s="15"/>
      <c r="D5239" s="15"/>
      <c r="E5239" s="15"/>
      <c r="F5239" s="20"/>
    </row>
    <row r="5240" spans="2:6" ht="17.25" customHeight="1">
      <c r="B5240" s="15"/>
      <c r="C5240" s="15"/>
      <c r="D5240" s="15"/>
      <c r="E5240" s="15"/>
      <c r="F5240" s="20"/>
    </row>
    <row r="5241" spans="2:6" ht="17.25" customHeight="1">
      <c r="B5241" s="15"/>
      <c r="C5241" s="15"/>
      <c r="D5241" s="15"/>
      <c r="E5241" s="15"/>
      <c r="F5241" s="20"/>
    </row>
    <row r="5242" spans="2:6" ht="17.25" customHeight="1">
      <c r="B5242" s="15"/>
      <c r="C5242" s="15"/>
      <c r="D5242" s="15"/>
      <c r="E5242" s="15"/>
      <c r="F5242" s="20"/>
    </row>
    <row r="5243" spans="2:6" ht="17.25" customHeight="1">
      <c r="B5243" s="15"/>
      <c r="C5243" s="15"/>
      <c r="D5243" s="15"/>
      <c r="E5243" s="15"/>
      <c r="F5243" s="20"/>
    </row>
    <row r="5244" spans="2:6" ht="17.25" customHeight="1">
      <c r="B5244" s="15"/>
      <c r="C5244" s="15"/>
      <c r="D5244" s="15"/>
      <c r="E5244" s="15"/>
      <c r="F5244" s="20"/>
    </row>
    <row r="5245" spans="2:6" ht="17.25" customHeight="1">
      <c r="B5245" s="15"/>
      <c r="C5245" s="15"/>
      <c r="D5245" s="15"/>
      <c r="E5245" s="15"/>
      <c r="F5245" s="20"/>
    </row>
    <row r="5246" spans="2:6" ht="17.25" customHeight="1">
      <c r="B5246" s="15"/>
      <c r="C5246" s="15"/>
      <c r="D5246" s="15"/>
      <c r="E5246" s="15"/>
      <c r="F5246" s="20"/>
    </row>
    <row r="5247" spans="2:6" ht="17.25" customHeight="1">
      <c r="B5247" s="15"/>
      <c r="C5247" s="15"/>
      <c r="D5247" s="15"/>
      <c r="E5247" s="15"/>
      <c r="F5247" s="20"/>
    </row>
    <row r="5248" spans="2:6" ht="17.25" customHeight="1">
      <c r="B5248" s="15"/>
      <c r="C5248" s="15"/>
      <c r="D5248" s="15"/>
      <c r="E5248" s="15"/>
      <c r="F5248" s="20"/>
    </row>
    <row r="5249" spans="2:6" ht="17.25" customHeight="1">
      <c r="B5249" s="15"/>
      <c r="C5249" s="15"/>
      <c r="D5249" s="15"/>
      <c r="E5249" s="15"/>
      <c r="F5249" s="20"/>
    </row>
    <row r="5250" spans="2:6" ht="17.25" customHeight="1">
      <c r="B5250" s="15"/>
      <c r="C5250" s="15"/>
      <c r="D5250" s="15"/>
      <c r="E5250" s="15"/>
      <c r="F5250" s="20"/>
    </row>
    <row r="5251" spans="2:6" ht="17.25" customHeight="1">
      <c r="B5251" s="15"/>
      <c r="C5251" s="15"/>
      <c r="D5251" s="15"/>
      <c r="E5251" s="15"/>
      <c r="F5251" s="20"/>
    </row>
    <row r="5252" spans="2:6" ht="17.25" customHeight="1">
      <c r="B5252" s="15"/>
      <c r="C5252" s="15"/>
      <c r="D5252" s="15"/>
      <c r="E5252" s="15"/>
      <c r="F5252" s="20"/>
    </row>
    <row r="5253" spans="2:6" ht="17.25" customHeight="1">
      <c r="B5253" s="15"/>
      <c r="C5253" s="15"/>
      <c r="D5253" s="15"/>
      <c r="E5253" s="15"/>
      <c r="F5253" s="20"/>
    </row>
    <row r="5254" spans="2:6" ht="17.25" customHeight="1">
      <c r="B5254" s="15"/>
      <c r="C5254" s="15"/>
      <c r="D5254" s="15"/>
      <c r="E5254" s="15"/>
      <c r="F5254" s="20"/>
    </row>
    <row r="5255" spans="2:6" ht="17.25" customHeight="1">
      <c r="B5255" s="15"/>
      <c r="C5255" s="15"/>
      <c r="D5255" s="15"/>
      <c r="E5255" s="15"/>
      <c r="F5255" s="20"/>
    </row>
    <row r="5256" spans="2:6" ht="17.25" customHeight="1">
      <c r="B5256" s="15"/>
      <c r="C5256" s="15"/>
      <c r="D5256" s="15"/>
      <c r="E5256" s="15"/>
      <c r="F5256" s="20"/>
    </row>
    <row r="5257" spans="2:6" ht="17.25" customHeight="1">
      <c r="B5257" s="15"/>
      <c r="C5257" s="15"/>
      <c r="D5257" s="15"/>
      <c r="E5257" s="15"/>
      <c r="F5257" s="20"/>
    </row>
    <row r="5258" spans="2:6" ht="17.25" customHeight="1">
      <c r="B5258" s="15"/>
      <c r="C5258" s="15"/>
      <c r="D5258" s="15"/>
      <c r="E5258" s="15"/>
      <c r="F5258" s="20"/>
    </row>
    <row r="5259" spans="2:6" ht="17.25" customHeight="1">
      <c r="B5259" s="15"/>
      <c r="C5259" s="15"/>
      <c r="D5259" s="15"/>
      <c r="E5259" s="15"/>
      <c r="F5259" s="20"/>
    </row>
    <row r="5260" spans="2:6" ht="17.25" customHeight="1">
      <c r="B5260" s="15"/>
      <c r="C5260" s="15"/>
      <c r="D5260" s="15"/>
      <c r="E5260" s="15"/>
      <c r="F5260" s="20"/>
    </row>
    <row r="5261" spans="2:6" ht="17.25" customHeight="1">
      <c r="B5261" s="15"/>
      <c r="C5261" s="15"/>
      <c r="D5261" s="15"/>
      <c r="E5261" s="15"/>
      <c r="F5261" s="20"/>
    </row>
    <row r="5262" spans="2:6" ht="17.25" customHeight="1">
      <c r="B5262" s="15"/>
      <c r="C5262" s="15"/>
      <c r="D5262" s="15"/>
      <c r="E5262" s="15"/>
      <c r="F5262" s="20"/>
    </row>
    <row r="5263" spans="2:6" ht="17.25" customHeight="1">
      <c r="B5263" s="15"/>
      <c r="C5263" s="15"/>
      <c r="D5263" s="15"/>
      <c r="E5263" s="15"/>
      <c r="F5263" s="20"/>
    </row>
    <row r="5264" spans="2:6" ht="17.25" customHeight="1">
      <c r="B5264" s="15"/>
      <c r="C5264" s="15"/>
      <c r="D5264" s="15"/>
      <c r="E5264" s="15"/>
      <c r="F5264" s="20"/>
    </row>
    <row r="5265" spans="2:6" ht="17.25" customHeight="1">
      <c r="B5265" s="15"/>
      <c r="C5265" s="15"/>
      <c r="D5265" s="15"/>
      <c r="E5265" s="15"/>
      <c r="F5265" s="20"/>
    </row>
    <row r="5266" spans="2:6" ht="17.25" customHeight="1">
      <c r="B5266" s="15"/>
      <c r="C5266" s="15"/>
      <c r="D5266" s="15"/>
      <c r="E5266" s="15"/>
      <c r="F5266" s="20"/>
    </row>
    <row r="5267" spans="2:6" ht="17.25" customHeight="1">
      <c r="B5267" s="15"/>
      <c r="C5267" s="15"/>
      <c r="D5267" s="15"/>
      <c r="E5267" s="15"/>
      <c r="F5267" s="20"/>
    </row>
    <row r="5268" spans="2:6" ht="17.25" customHeight="1">
      <c r="B5268" s="15"/>
      <c r="C5268" s="15"/>
      <c r="D5268" s="15"/>
      <c r="E5268" s="15"/>
      <c r="F5268" s="20"/>
    </row>
    <row r="5269" spans="2:6" ht="17.25" customHeight="1">
      <c r="B5269" s="15"/>
      <c r="C5269" s="15"/>
      <c r="D5269" s="15"/>
      <c r="E5269" s="15"/>
      <c r="F5269" s="20"/>
    </row>
    <row r="5270" spans="2:6" ht="17.25" customHeight="1">
      <c r="B5270" s="15"/>
      <c r="C5270" s="15"/>
      <c r="D5270" s="15"/>
      <c r="E5270" s="15"/>
      <c r="F5270" s="20"/>
    </row>
    <row r="5271" spans="2:6" ht="17.25" customHeight="1">
      <c r="B5271" s="15"/>
      <c r="C5271" s="15"/>
      <c r="D5271" s="15"/>
      <c r="E5271" s="15"/>
      <c r="F5271" s="20"/>
    </row>
    <row r="5272" spans="2:6" ht="17.25" customHeight="1">
      <c r="B5272" s="15"/>
      <c r="C5272" s="15"/>
      <c r="D5272" s="15"/>
      <c r="E5272" s="15"/>
      <c r="F5272" s="20"/>
    </row>
    <row r="5273" spans="2:6" ht="17.25" customHeight="1">
      <c r="B5273" s="15"/>
      <c r="C5273" s="15"/>
      <c r="D5273" s="15"/>
      <c r="E5273" s="15"/>
      <c r="F5273" s="20"/>
    </row>
    <row r="5274" spans="2:6" ht="17.25" customHeight="1">
      <c r="B5274" s="15"/>
      <c r="C5274" s="15"/>
      <c r="D5274" s="15"/>
      <c r="E5274" s="15"/>
      <c r="F5274" s="20"/>
    </row>
    <row r="5275" spans="2:6" ht="17.25" customHeight="1">
      <c r="B5275" s="15"/>
      <c r="C5275" s="15"/>
      <c r="D5275" s="15"/>
      <c r="E5275" s="15"/>
      <c r="F5275" s="20"/>
    </row>
    <row r="5276" spans="2:6" ht="17.25" customHeight="1">
      <c r="B5276" s="15"/>
      <c r="C5276" s="15"/>
      <c r="D5276" s="15"/>
      <c r="E5276" s="15"/>
      <c r="F5276" s="20"/>
    </row>
    <row r="5277" spans="2:6" ht="17.25" customHeight="1">
      <c r="B5277" s="15"/>
      <c r="C5277" s="15"/>
      <c r="D5277" s="15"/>
      <c r="E5277" s="15"/>
      <c r="F5277" s="20"/>
    </row>
    <row r="5278" spans="2:6" ht="17.25" customHeight="1">
      <c r="B5278" s="15"/>
      <c r="C5278" s="15"/>
      <c r="D5278" s="15"/>
      <c r="E5278" s="15"/>
      <c r="F5278" s="20"/>
    </row>
    <row r="5279" spans="2:6" ht="17.25" customHeight="1">
      <c r="B5279" s="15"/>
      <c r="C5279" s="15"/>
      <c r="D5279" s="15"/>
      <c r="E5279" s="15"/>
      <c r="F5279" s="20"/>
    </row>
    <row r="5280" spans="2:6" ht="17.25" customHeight="1">
      <c r="B5280" s="15"/>
      <c r="C5280" s="15"/>
      <c r="D5280" s="15"/>
      <c r="E5280" s="15"/>
      <c r="F5280" s="20"/>
    </row>
    <row r="5281" spans="2:6" ht="17.25" customHeight="1">
      <c r="B5281" s="15"/>
      <c r="C5281" s="15"/>
      <c r="D5281" s="15"/>
      <c r="E5281" s="15"/>
      <c r="F5281" s="20"/>
    </row>
    <row r="5282" spans="2:6" ht="17.25" customHeight="1">
      <c r="B5282" s="15"/>
      <c r="C5282" s="15"/>
      <c r="D5282" s="15"/>
      <c r="E5282" s="15"/>
      <c r="F5282" s="20"/>
    </row>
    <row r="5283" spans="2:6" ht="17.25" customHeight="1">
      <c r="B5283" s="15"/>
      <c r="C5283" s="15"/>
      <c r="D5283" s="15"/>
      <c r="E5283" s="15"/>
      <c r="F5283" s="20"/>
    </row>
    <row r="5284" spans="2:6" ht="17.25" customHeight="1">
      <c r="B5284" s="15"/>
      <c r="C5284" s="15"/>
      <c r="D5284" s="15"/>
      <c r="E5284" s="15"/>
      <c r="F5284" s="20"/>
    </row>
    <row r="5285" spans="2:6" ht="17.25" customHeight="1">
      <c r="B5285" s="15"/>
      <c r="C5285" s="15"/>
      <c r="D5285" s="15"/>
      <c r="E5285" s="15"/>
      <c r="F5285" s="20"/>
    </row>
    <row r="5286" spans="2:6" ht="17.25" customHeight="1">
      <c r="B5286" s="15"/>
      <c r="C5286" s="15"/>
      <c r="D5286" s="15"/>
      <c r="E5286" s="15"/>
      <c r="F5286" s="20"/>
    </row>
    <row r="5287" spans="2:6" ht="17.25" customHeight="1">
      <c r="B5287" s="15"/>
      <c r="C5287" s="15"/>
      <c r="D5287" s="15"/>
      <c r="E5287" s="15"/>
      <c r="F5287" s="20"/>
    </row>
    <row r="5288" spans="2:6" ht="17.25" customHeight="1">
      <c r="B5288" s="15"/>
      <c r="C5288" s="15"/>
      <c r="D5288" s="15"/>
      <c r="E5288" s="15"/>
      <c r="F5288" s="20"/>
    </row>
    <row r="5289" spans="2:6" ht="17.25" customHeight="1">
      <c r="B5289" s="15"/>
      <c r="C5289" s="15"/>
      <c r="D5289" s="15"/>
      <c r="E5289" s="15"/>
      <c r="F5289" s="20"/>
    </row>
    <row r="5290" spans="2:6" ht="17.25" customHeight="1">
      <c r="B5290" s="15"/>
      <c r="C5290" s="15"/>
      <c r="D5290" s="15"/>
      <c r="E5290" s="15"/>
      <c r="F5290" s="20"/>
    </row>
    <row r="5291" spans="2:6" ht="17.25" customHeight="1">
      <c r="B5291" s="15"/>
      <c r="C5291" s="15"/>
      <c r="D5291" s="15"/>
      <c r="E5291" s="15"/>
      <c r="F5291" s="20"/>
    </row>
    <row r="5292" spans="2:6" ht="17.25" customHeight="1">
      <c r="B5292" s="15"/>
      <c r="C5292" s="15"/>
      <c r="D5292" s="15"/>
      <c r="E5292" s="15"/>
      <c r="F5292" s="20"/>
    </row>
    <row r="5293" spans="2:6" ht="17.25" customHeight="1">
      <c r="B5293" s="15"/>
      <c r="C5293" s="15"/>
      <c r="D5293" s="15"/>
      <c r="E5293" s="15"/>
      <c r="F5293" s="20"/>
    </row>
    <row r="5294" spans="2:6" ht="17.25" customHeight="1">
      <c r="B5294" s="15"/>
      <c r="C5294" s="15"/>
      <c r="D5294" s="15"/>
      <c r="E5294" s="15"/>
      <c r="F5294" s="20"/>
    </row>
    <row r="5295" spans="2:6" ht="17.25" customHeight="1">
      <c r="B5295" s="15"/>
      <c r="C5295" s="15"/>
      <c r="D5295" s="15"/>
      <c r="E5295" s="15"/>
      <c r="F5295" s="20"/>
    </row>
    <row r="5296" spans="2:6" ht="17.25" customHeight="1">
      <c r="B5296" s="15"/>
      <c r="C5296" s="15"/>
      <c r="D5296" s="15"/>
      <c r="E5296" s="15"/>
      <c r="F5296" s="20"/>
    </row>
    <row r="5297" spans="2:6" ht="17.25" customHeight="1">
      <c r="B5297" s="15"/>
      <c r="C5297" s="15"/>
      <c r="D5297" s="15"/>
      <c r="E5297" s="15"/>
      <c r="F5297" s="20"/>
    </row>
    <row r="5298" spans="2:6" ht="17.25" customHeight="1">
      <c r="B5298" s="15"/>
      <c r="C5298" s="15"/>
      <c r="D5298" s="15"/>
      <c r="E5298" s="15"/>
      <c r="F5298" s="20"/>
    </row>
    <row r="5299" spans="2:6" ht="17.25" customHeight="1">
      <c r="B5299" s="15"/>
      <c r="C5299" s="15"/>
      <c r="D5299" s="15"/>
      <c r="E5299" s="15"/>
      <c r="F5299" s="20"/>
    </row>
    <row r="5300" spans="2:6" ht="17.25" customHeight="1">
      <c r="B5300" s="15"/>
      <c r="C5300" s="15"/>
      <c r="D5300" s="15"/>
      <c r="E5300" s="15"/>
      <c r="F5300" s="20"/>
    </row>
    <row r="5301" spans="2:6" ht="17.25" customHeight="1">
      <c r="B5301" s="15"/>
      <c r="C5301" s="15"/>
      <c r="D5301" s="15"/>
      <c r="E5301" s="15"/>
      <c r="F5301" s="20"/>
    </row>
    <row r="5302" spans="2:6" ht="17.25" customHeight="1">
      <c r="B5302" s="15"/>
      <c r="C5302" s="15"/>
      <c r="D5302" s="15"/>
      <c r="E5302" s="15"/>
      <c r="F5302" s="20"/>
    </row>
    <row r="5303" spans="2:6" ht="17.25" customHeight="1">
      <c r="B5303" s="15"/>
      <c r="C5303" s="15"/>
      <c r="D5303" s="15"/>
      <c r="E5303" s="15"/>
      <c r="F5303" s="20"/>
    </row>
    <row r="5304" spans="2:6" ht="17.25" customHeight="1">
      <c r="B5304" s="15"/>
      <c r="C5304" s="15"/>
      <c r="D5304" s="15"/>
      <c r="E5304" s="15"/>
      <c r="F5304" s="20"/>
    </row>
    <row r="5305" spans="2:6" ht="17.25" customHeight="1">
      <c r="B5305" s="15"/>
      <c r="C5305" s="15"/>
      <c r="D5305" s="15"/>
      <c r="E5305" s="15"/>
      <c r="F5305" s="20"/>
    </row>
    <row r="5306" spans="2:6" ht="17.25" customHeight="1">
      <c r="B5306" s="15"/>
      <c r="C5306" s="15"/>
      <c r="D5306" s="15"/>
      <c r="E5306" s="15"/>
      <c r="F5306" s="20"/>
    </row>
    <row r="5307" spans="2:6" ht="17.25" customHeight="1">
      <c r="B5307" s="15"/>
      <c r="C5307" s="15"/>
      <c r="D5307" s="15"/>
      <c r="E5307" s="15"/>
      <c r="F5307" s="20"/>
    </row>
    <row r="5308" spans="2:6" ht="17.25" customHeight="1">
      <c r="B5308" s="15"/>
      <c r="C5308" s="15"/>
      <c r="D5308" s="15"/>
      <c r="E5308" s="15"/>
      <c r="F5308" s="20"/>
    </row>
    <row r="5309" spans="2:6" ht="17.25" customHeight="1">
      <c r="B5309" s="15"/>
      <c r="C5309" s="15"/>
      <c r="D5309" s="15"/>
      <c r="E5309" s="15"/>
      <c r="F5309" s="20"/>
    </row>
    <row r="5310" spans="2:6" ht="17.25" customHeight="1">
      <c r="B5310" s="15"/>
      <c r="C5310" s="15"/>
      <c r="D5310" s="15"/>
      <c r="E5310" s="15"/>
      <c r="F5310" s="20"/>
    </row>
    <row r="5311" spans="2:6" ht="17.25" customHeight="1">
      <c r="B5311" s="15"/>
      <c r="C5311" s="15"/>
      <c r="D5311" s="15"/>
      <c r="E5311" s="15"/>
      <c r="F5311" s="20"/>
    </row>
    <row r="5312" spans="2:6" ht="17.25" customHeight="1">
      <c r="B5312" s="15"/>
      <c r="C5312" s="15"/>
      <c r="D5312" s="15"/>
      <c r="E5312" s="15"/>
      <c r="F5312" s="20"/>
    </row>
    <row r="5313" spans="2:6" ht="17.25" customHeight="1">
      <c r="B5313" s="15"/>
      <c r="C5313" s="15"/>
      <c r="D5313" s="15"/>
      <c r="E5313" s="15"/>
      <c r="F5313" s="20"/>
    </row>
    <row r="5314" spans="2:6" ht="17.25" customHeight="1">
      <c r="B5314" s="15"/>
      <c r="C5314" s="15"/>
      <c r="D5314" s="15"/>
      <c r="E5314" s="15"/>
      <c r="F5314" s="20"/>
    </row>
    <row r="5315" spans="2:6" ht="17.25" customHeight="1">
      <c r="B5315" s="15"/>
      <c r="C5315" s="15"/>
      <c r="D5315" s="15"/>
      <c r="E5315" s="15"/>
      <c r="F5315" s="20"/>
    </row>
    <row r="5316" spans="2:6" ht="17.25" customHeight="1">
      <c r="B5316" s="15"/>
      <c r="C5316" s="15"/>
      <c r="D5316" s="15"/>
      <c r="E5316" s="15"/>
      <c r="F5316" s="20"/>
    </row>
    <row r="5317" spans="2:6" ht="17.25" customHeight="1">
      <c r="B5317" s="15"/>
      <c r="C5317" s="15"/>
      <c r="D5317" s="15"/>
      <c r="E5317" s="15"/>
      <c r="F5317" s="20"/>
    </row>
    <row r="5318" spans="2:6" ht="17.25" customHeight="1">
      <c r="B5318" s="15"/>
      <c r="C5318" s="15"/>
      <c r="D5318" s="15"/>
      <c r="E5318" s="15"/>
      <c r="F5318" s="20"/>
    </row>
    <row r="5319" spans="2:6" ht="17.25" customHeight="1">
      <c r="B5319" s="15"/>
      <c r="C5319" s="15"/>
      <c r="D5319" s="15"/>
      <c r="E5319" s="15"/>
      <c r="F5319" s="20"/>
    </row>
    <row r="5320" spans="2:6" ht="17.25" customHeight="1">
      <c r="B5320" s="15"/>
      <c r="C5320" s="15"/>
      <c r="D5320" s="15"/>
      <c r="E5320" s="15"/>
      <c r="F5320" s="20"/>
    </row>
    <row r="5321" spans="2:6" ht="17.25" customHeight="1">
      <c r="B5321" s="15"/>
      <c r="C5321" s="15"/>
      <c r="D5321" s="15"/>
      <c r="E5321" s="15"/>
      <c r="F5321" s="20"/>
    </row>
    <row r="5322" spans="2:6" ht="17.25" customHeight="1">
      <c r="B5322" s="15"/>
      <c r="C5322" s="15"/>
      <c r="D5322" s="15"/>
      <c r="E5322" s="15"/>
      <c r="F5322" s="20"/>
    </row>
    <row r="5323" spans="2:6" ht="17.25" customHeight="1">
      <c r="B5323" s="15"/>
      <c r="C5323" s="15"/>
      <c r="D5323" s="15"/>
      <c r="E5323" s="15"/>
      <c r="F5323" s="20"/>
    </row>
    <row r="5324" spans="2:6" ht="17.25" customHeight="1">
      <c r="B5324" s="15"/>
      <c r="C5324" s="15"/>
      <c r="D5324" s="15"/>
      <c r="E5324" s="15"/>
      <c r="F5324" s="20"/>
    </row>
    <row r="5325" spans="2:6" ht="17.25" customHeight="1">
      <c r="B5325" s="15"/>
      <c r="C5325" s="15"/>
      <c r="D5325" s="15"/>
      <c r="E5325" s="15"/>
      <c r="F5325" s="20"/>
    </row>
    <row r="5326" spans="2:6" ht="17.25" customHeight="1">
      <c r="B5326" s="15"/>
      <c r="C5326" s="15"/>
      <c r="D5326" s="15"/>
      <c r="E5326" s="15"/>
      <c r="F5326" s="20"/>
    </row>
    <row r="5327" spans="2:6" ht="17.25" customHeight="1">
      <c r="B5327" s="15"/>
      <c r="C5327" s="15"/>
      <c r="D5327" s="15"/>
      <c r="E5327" s="15"/>
      <c r="F5327" s="20"/>
    </row>
    <row r="5328" spans="2:6" ht="17.25" customHeight="1">
      <c r="B5328" s="15"/>
      <c r="C5328" s="15"/>
      <c r="D5328" s="15"/>
      <c r="E5328" s="15"/>
      <c r="F5328" s="20"/>
    </row>
    <row r="5329" spans="2:6" ht="17.25" customHeight="1">
      <c r="B5329" s="15"/>
      <c r="C5329" s="15"/>
      <c r="D5329" s="15"/>
      <c r="E5329" s="15"/>
      <c r="F5329" s="20"/>
    </row>
    <row r="5330" spans="2:6" ht="17.25" customHeight="1">
      <c r="B5330" s="15"/>
      <c r="C5330" s="15"/>
      <c r="D5330" s="15"/>
      <c r="E5330" s="15"/>
      <c r="F5330" s="20"/>
    </row>
    <row r="5331" spans="2:6" ht="17.25" customHeight="1">
      <c r="B5331" s="15"/>
      <c r="C5331" s="15"/>
      <c r="D5331" s="15"/>
      <c r="E5331" s="15"/>
      <c r="F5331" s="20"/>
    </row>
    <row r="5332" spans="2:6" ht="17.25" customHeight="1">
      <c r="B5332" s="15"/>
      <c r="C5332" s="15"/>
      <c r="D5332" s="15"/>
      <c r="E5332" s="15"/>
      <c r="F5332" s="20"/>
    </row>
    <row r="5333" spans="2:6" ht="17.25" customHeight="1">
      <c r="B5333" s="15"/>
      <c r="C5333" s="15"/>
      <c r="D5333" s="15"/>
      <c r="E5333" s="15"/>
      <c r="F5333" s="20"/>
    </row>
    <row r="5334" spans="2:6" ht="17.25" customHeight="1">
      <c r="B5334" s="15"/>
      <c r="C5334" s="15"/>
      <c r="D5334" s="15"/>
      <c r="E5334" s="15"/>
      <c r="F5334" s="20"/>
    </row>
    <row r="5335" spans="2:6" ht="17.25" customHeight="1">
      <c r="B5335" s="15"/>
      <c r="C5335" s="15"/>
      <c r="D5335" s="15"/>
      <c r="E5335" s="15"/>
      <c r="F5335" s="20"/>
    </row>
    <row r="5336" spans="2:6" ht="17.25" customHeight="1">
      <c r="B5336" s="15"/>
      <c r="C5336" s="15"/>
      <c r="D5336" s="15"/>
      <c r="E5336" s="15"/>
      <c r="F5336" s="20"/>
    </row>
    <row r="5337" spans="2:6" ht="17.25" customHeight="1">
      <c r="B5337" s="15"/>
      <c r="C5337" s="15"/>
      <c r="D5337" s="15"/>
      <c r="E5337" s="15"/>
      <c r="F5337" s="20"/>
    </row>
    <row r="5338" spans="2:6" ht="17.25" customHeight="1">
      <c r="B5338" s="15"/>
      <c r="C5338" s="15"/>
      <c r="D5338" s="15"/>
      <c r="E5338" s="15"/>
      <c r="F5338" s="20"/>
    </row>
    <row r="5339" spans="2:6" ht="17.25" customHeight="1">
      <c r="B5339" s="15"/>
      <c r="C5339" s="15"/>
      <c r="D5339" s="15"/>
      <c r="E5339" s="15"/>
      <c r="F5339" s="20"/>
    </row>
    <row r="5340" spans="2:6" ht="17.25" customHeight="1">
      <c r="B5340" s="15"/>
      <c r="C5340" s="15"/>
      <c r="D5340" s="15"/>
      <c r="E5340" s="15"/>
      <c r="F5340" s="20"/>
    </row>
    <row r="5341" spans="2:6" ht="17.25" customHeight="1">
      <c r="B5341" s="15"/>
      <c r="C5341" s="15"/>
      <c r="D5341" s="15"/>
      <c r="E5341" s="15"/>
      <c r="F5341" s="20"/>
    </row>
    <row r="5342" spans="2:6" ht="17.25" customHeight="1">
      <c r="B5342" s="15"/>
      <c r="C5342" s="15"/>
      <c r="D5342" s="15"/>
      <c r="E5342" s="15"/>
      <c r="F5342" s="20"/>
    </row>
    <row r="5343" spans="2:6" ht="17.25" customHeight="1">
      <c r="B5343" s="15"/>
      <c r="C5343" s="15"/>
      <c r="D5343" s="15"/>
      <c r="E5343" s="15"/>
      <c r="F5343" s="20"/>
    </row>
    <row r="5344" spans="2:6" ht="17.25" customHeight="1">
      <c r="B5344" s="15"/>
      <c r="C5344" s="15"/>
      <c r="D5344" s="15"/>
      <c r="E5344" s="15"/>
      <c r="F5344" s="20"/>
    </row>
    <row r="5345" spans="2:6" ht="17.25" customHeight="1">
      <c r="B5345" s="15"/>
      <c r="C5345" s="15"/>
      <c r="D5345" s="15"/>
      <c r="E5345" s="15"/>
      <c r="F5345" s="20"/>
    </row>
    <row r="5346" spans="2:6" ht="17.25" customHeight="1">
      <c r="B5346" s="15"/>
      <c r="C5346" s="15"/>
      <c r="D5346" s="15"/>
      <c r="E5346" s="15"/>
      <c r="F5346" s="20"/>
    </row>
    <row r="5347" spans="2:6" ht="17.25" customHeight="1">
      <c r="B5347" s="15"/>
      <c r="C5347" s="15"/>
      <c r="D5347" s="15"/>
      <c r="E5347" s="15"/>
      <c r="F5347" s="20"/>
    </row>
    <row r="5348" spans="2:6" ht="17.25" customHeight="1">
      <c r="B5348" s="15"/>
      <c r="C5348" s="15"/>
      <c r="D5348" s="15"/>
      <c r="E5348" s="15"/>
      <c r="F5348" s="20"/>
    </row>
    <row r="5349" spans="2:6" ht="17.25" customHeight="1">
      <c r="B5349" s="15"/>
      <c r="C5349" s="15"/>
      <c r="D5349" s="15"/>
      <c r="E5349" s="15"/>
      <c r="F5349" s="20"/>
    </row>
    <row r="5350" spans="2:6" ht="17.25" customHeight="1">
      <c r="B5350" s="15"/>
      <c r="C5350" s="15"/>
      <c r="D5350" s="15"/>
      <c r="E5350" s="15"/>
      <c r="F5350" s="20"/>
    </row>
    <row r="5351" spans="2:6" ht="17.25" customHeight="1">
      <c r="B5351" s="15"/>
      <c r="C5351" s="15"/>
      <c r="D5351" s="15"/>
      <c r="E5351" s="15"/>
      <c r="F5351" s="20"/>
    </row>
    <row r="5352" spans="2:6" ht="17.25" customHeight="1">
      <c r="B5352" s="15"/>
      <c r="C5352" s="15"/>
      <c r="D5352" s="15"/>
      <c r="E5352" s="15"/>
      <c r="F5352" s="20"/>
    </row>
    <row r="5353" spans="2:6" ht="17.25" customHeight="1">
      <c r="B5353" s="15"/>
      <c r="C5353" s="15"/>
      <c r="D5353" s="15"/>
      <c r="E5353" s="15"/>
      <c r="F5353" s="20"/>
    </row>
    <row r="5354" spans="2:6" ht="17.25" customHeight="1">
      <c r="B5354" s="15"/>
      <c r="C5354" s="15"/>
      <c r="D5354" s="15"/>
      <c r="E5354" s="15"/>
      <c r="F5354" s="20"/>
    </row>
    <row r="5355" spans="2:6" ht="17.25" customHeight="1">
      <c r="B5355" s="15"/>
      <c r="C5355" s="15"/>
      <c r="D5355" s="15"/>
      <c r="E5355" s="15"/>
      <c r="F5355" s="20"/>
    </row>
    <row r="5356" spans="2:6" ht="17.25" customHeight="1">
      <c r="B5356" s="15"/>
      <c r="C5356" s="15"/>
      <c r="D5356" s="15"/>
      <c r="E5356" s="15"/>
      <c r="F5356" s="20"/>
    </row>
    <row r="5357" spans="2:6" ht="17.25" customHeight="1">
      <c r="B5357" s="15"/>
      <c r="C5357" s="15"/>
      <c r="D5357" s="15"/>
      <c r="E5357" s="15"/>
      <c r="F5357" s="20"/>
    </row>
    <row r="5358" spans="2:6" ht="17.25" customHeight="1">
      <c r="B5358" s="15"/>
      <c r="C5358" s="15"/>
      <c r="D5358" s="15"/>
      <c r="E5358" s="15"/>
      <c r="F5358" s="20"/>
    </row>
    <row r="5359" spans="2:6" ht="17.25" customHeight="1">
      <c r="B5359" s="15"/>
      <c r="C5359" s="15"/>
      <c r="D5359" s="15"/>
      <c r="E5359" s="15"/>
      <c r="F5359" s="20"/>
    </row>
    <row r="5360" spans="2:6" ht="17.25" customHeight="1">
      <c r="B5360" s="15"/>
      <c r="C5360" s="15"/>
      <c r="D5360" s="15"/>
      <c r="E5360" s="15"/>
      <c r="F5360" s="20"/>
    </row>
    <row r="5361" spans="2:6" ht="17.25" customHeight="1">
      <c r="B5361" s="15"/>
      <c r="C5361" s="15"/>
      <c r="D5361" s="15"/>
      <c r="E5361" s="15"/>
      <c r="F5361" s="20"/>
    </row>
    <row r="5362" spans="2:6" ht="17.25" customHeight="1">
      <c r="B5362" s="15"/>
      <c r="C5362" s="15"/>
      <c r="D5362" s="15"/>
      <c r="E5362" s="15"/>
      <c r="F5362" s="20"/>
    </row>
    <row r="5363" spans="2:6" ht="17.25" customHeight="1">
      <c r="B5363" s="15"/>
      <c r="C5363" s="15"/>
      <c r="D5363" s="15"/>
      <c r="E5363" s="15"/>
      <c r="F5363" s="20"/>
    </row>
    <row r="5364" spans="2:6" ht="17.25" customHeight="1">
      <c r="B5364" s="15"/>
      <c r="C5364" s="15"/>
      <c r="D5364" s="15"/>
      <c r="E5364" s="15"/>
      <c r="F5364" s="20"/>
    </row>
    <row r="5365" spans="2:6" ht="17.25" customHeight="1">
      <c r="B5365" s="15"/>
      <c r="C5365" s="15"/>
      <c r="D5365" s="15"/>
      <c r="E5365" s="15"/>
      <c r="F5365" s="20"/>
    </row>
    <row r="5366" spans="2:6" ht="17.25" customHeight="1">
      <c r="B5366" s="15"/>
      <c r="C5366" s="15"/>
      <c r="D5366" s="15"/>
      <c r="E5366" s="15"/>
      <c r="F5366" s="20"/>
    </row>
    <row r="5367" spans="2:6" ht="17.25" customHeight="1">
      <c r="B5367" s="15"/>
      <c r="C5367" s="15"/>
      <c r="D5367" s="15"/>
      <c r="E5367" s="15"/>
      <c r="F5367" s="20"/>
    </row>
    <row r="5368" spans="2:6" ht="17.25" customHeight="1">
      <c r="B5368" s="15"/>
      <c r="C5368" s="15"/>
      <c r="D5368" s="15"/>
      <c r="E5368" s="15"/>
      <c r="F5368" s="20"/>
    </row>
    <row r="5369" spans="2:6" ht="17.25" customHeight="1">
      <c r="B5369" s="15"/>
      <c r="C5369" s="15"/>
      <c r="D5369" s="15"/>
      <c r="E5369" s="15"/>
      <c r="F5369" s="20"/>
    </row>
    <row r="5370" spans="2:6" ht="17.25" customHeight="1">
      <c r="B5370" s="15"/>
      <c r="C5370" s="15"/>
      <c r="D5370" s="15"/>
      <c r="E5370" s="15"/>
      <c r="F5370" s="20"/>
    </row>
    <row r="5371" spans="2:6" ht="17.25" customHeight="1">
      <c r="B5371" s="15"/>
      <c r="C5371" s="15"/>
      <c r="D5371" s="15"/>
      <c r="E5371" s="15"/>
      <c r="F5371" s="20"/>
    </row>
    <row r="5372" spans="2:6" ht="17.25" customHeight="1">
      <c r="B5372" s="15"/>
      <c r="C5372" s="15"/>
      <c r="D5372" s="15"/>
      <c r="E5372" s="15"/>
      <c r="F5372" s="20"/>
    </row>
    <row r="5373" spans="2:6" ht="17.25" customHeight="1">
      <c r="B5373" s="15"/>
      <c r="C5373" s="15"/>
      <c r="D5373" s="15"/>
      <c r="E5373" s="15"/>
      <c r="F5373" s="20"/>
    </row>
    <row r="5374" spans="2:6" ht="17.25" customHeight="1">
      <c r="B5374" s="15"/>
      <c r="C5374" s="15"/>
      <c r="D5374" s="15"/>
      <c r="E5374" s="15"/>
      <c r="F5374" s="20"/>
    </row>
    <row r="5375" spans="2:6" ht="17.25" customHeight="1">
      <c r="B5375" s="15"/>
      <c r="C5375" s="15"/>
      <c r="D5375" s="15"/>
      <c r="E5375" s="15"/>
      <c r="F5375" s="20"/>
    </row>
    <row r="5376" spans="2:6" ht="17.25" customHeight="1">
      <c r="B5376" s="15"/>
      <c r="C5376" s="15"/>
      <c r="D5376" s="15"/>
      <c r="E5376" s="15"/>
      <c r="F5376" s="20"/>
    </row>
    <row r="5377" spans="2:6" ht="17.25" customHeight="1">
      <c r="B5377" s="15"/>
      <c r="C5377" s="15"/>
      <c r="D5377" s="15"/>
      <c r="E5377" s="15"/>
      <c r="F5377" s="20"/>
    </row>
    <row r="5378" spans="2:6" ht="17.25" customHeight="1">
      <c r="B5378" s="15"/>
      <c r="C5378" s="15"/>
      <c r="D5378" s="15"/>
      <c r="E5378" s="15"/>
      <c r="F5378" s="20"/>
    </row>
    <row r="5379" spans="2:6" ht="17.25" customHeight="1">
      <c r="B5379" s="15"/>
      <c r="C5379" s="15"/>
      <c r="D5379" s="15"/>
      <c r="E5379" s="15"/>
      <c r="F5379" s="20"/>
    </row>
    <row r="5380" spans="2:6" ht="17.25" customHeight="1">
      <c r="B5380" s="15"/>
      <c r="C5380" s="15"/>
      <c r="D5380" s="15"/>
      <c r="E5380" s="15"/>
      <c r="F5380" s="20"/>
    </row>
    <row r="5381" spans="2:6" ht="17.25" customHeight="1">
      <c r="B5381" s="15"/>
      <c r="C5381" s="15"/>
      <c r="D5381" s="15"/>
      <c r="E5381" s="15"/>
      <c r="F5381" s="20"/>
    </row>
    <row r="5382" spans="2:6" ht="17.25" customHeight="1">
      <c r="B5382" s="15"/>
      <c r="C5382" s="15"/>
      <c r="D5382" s="15"/>
      <c r="E5382" s="15"/>
      <c r="F5382" s="20"/>
    </row>
    <row r="5383" spans="2:6" ht="17.25" customHeight="1">
      <c r="B5383" s="15"/>
      <c r="C5383" s="15"/>
      <c r="D5383" s="15"/>
      <c r="E5383" s="15"/>
      <c r="F5383" s="20"/>
    </row>
    <row r="5384" spans="2:6" ht="17.25" customHeight="1">
      <c r="B5384" s="15"/>
      <c r="C5384" s="15"/>
      <c r="D5384" s="15"/>
      <c r="E5384" s="15"/>
      <c r="F5384" s="20"/>
    </row>
    <row r="5385" spans="2:6" ht="17.25" customHeight="1">
      <c r="B5385" s="15"/>
      <c r="C5385" s="15"/>
      <c r="D5385" s="15"/>
      <c r="E5385" s="15"/>
      <c r="F5385" s="20"/>
    </row>
    <row r="5386" spans="2:6" ht="17.25" customHeight="1">
      <c r="B5386" s="15"/>
      <c r="C5386" s="15"/>
      <c r="D5386" s="15"/>
      <c r="E5386" s="15"/>
      <c r="F5386" s="20"/>
    </row>
    <row r="5387" spans="2:6" ht="17.25" customHeight="1">
      <c r="B5387" s="15"/>
      <c r="C5387" s="15"/>
      <c r="D5387" s="15"/>
      <c r="E5387" s="15"/>
      <c r="F5387" s="20"/>
    </row>
    <row r="5388" spans="2:6" ht="17.25" customHeight="1">
      <c r="B5388" s="15"/>
      <c r="C5388" s="15"/>
      <c r="D5388" s="15"/>
      <c r="E5388" s="15"/>
      <c r="F5388" s="20"/>
    </row>
    <row r="5389" spans="2:6" ht="17.25" customHeight="1">
      <c r="B5389" s="15"/>
      <c r="C5389" s="15"/>
      <c r="D5389" s="15"/>
      <c r="E5389" s="15"/>
      <c r="F5389" s="20"/>
    </row>
    <row r="5390" spans="2:6" ht="17.25" customHeight="1">
      <c r="B5390" s="15"/>
      <c r="C5390" s="15"/>
      <c r="D5390" s="15"/>
      <c r="E5390" s="15"/>
      <c r="F5390" s="20"/>
    </row>
    <row r="5391" spans="2:6" ht="17.25" customHeight="1">
      <c r="B5391" s="15"/>
      <c r="C5391" s="15"/>
      <c r="D5391" s="15"/>
      <c r="E5391" s="15"/>
      <c r="F5391" s="20"/>
    </row>
    <row r="5392" spans="2:6" ht="17.25" customHeight="1">
      <c r="B5392" s="15"/>
      <c r="C5392" s="15"/>
      <c r="D5392" s="15"/>
      <c r="E5392" s="15"/>
      <c r="F5392" s="20"/>
    </row>
    <row r="5393" spans="2:6" ht="17.25" customHeight="1">
      <c r="B5393" s="15"/>
      <c r="C5393" s="15"/>
      <c r="D5393" s="15"/>
      <c r="E5393" s="15"/>
      <c r="F5393" s="20"/>
    </row>
    <row r="5394" spans="2:6" ht="17.25" customHeight="1">
      <c r="B5394" s="15"/>
      <c r="C5394" s="15"/>
      <c r="D5394" s="15"/>
      <c r="E5394" s="15"/>
      <c r="F5394" s="20"/>
    </row>
    <row r="5395" spans="2:6" ht="17.25" customHeight="1">
      <c r="B5395" s="15"/>
      <c r="C5395" s="15"/>
      <c r="D5395" s="15"/>
      <c r="E5395" s="15"/>
      <c r="F5395" s="20"/>
    </row>
    <row r="5396" spans="2:6" ht="17.25" customHeight="1">
      <c r="B5396" s="15"/>
      <c r="C5396" s="15"/>
      <c r="D5396" s="15"/>
      <c r="E5396" s="15"/>
      <c r="F5396" s="20"/>
    </row>
    <row r="5397" spans="2:6" ht="17.25" customHeight="1">
      <c r="B5397" s="15"/>
      <c r="C5397" s="15"/>
      <c r="D5397" s="15"/>
      <c r="E5397" s="15"/>
      <c r="F5397" s="20"/>
    </row>
    <row r="5398" spans="2:6" ht="17.25" customHeight="1">
      <c r="B5398" s="15"/>
      <c r="C5398" s="15"/>
      <c r="D5398" s="15"/>
      <c r="E5398" s="15"/>
      <c r="F5398" s="20"/>
    </row>
    <row r="5399" spans="2:6" ht="17.25" customHeight="1">
      <c r="B5399" s="15"/>
      <c r="C5399" s="15"/>
      <c r="D5399" s="15"/>
      <c r="E5399" s="15"/>
      <c r="F5399" s="20"/>
    </row>
    <row r="5400" spans="2:6" ht="17.25" customHeight="1">
      <c r="B5400" s="15"/>
      <c r="C5400" s="15"/>
      <c r="D5400" s="15"/>
      <c r="E5400" s="15"/>
      <c r="F5400" s="20"/>
    </row>
    <row r="5401" spans="2:6" ht="17.25" customHeight="1">
      <c r="B5401" s="15"/>
      <c r="C5401" s="15"/>
      <c r="D5401" s="15"/>
      <c r="E5401" s="15"/>
      <c r="F5401" s="20"/>
    </row>
    <row r="5402" spans="2:6" ht="17.25" customHeight="1">
      <c r="B5402" s="15"/>
      <c r="C5402" s="15"/>
      <c r="D5402" s="15"/>
      <c r="E5402" s="15"/>
      <c r="F5402" s="20"/>
    </row>
    <row r="5403" spans="2:6" ht="17.25" customHeight="1">
      <c r="B5403" s="15"/>
      <c r="C5403" s="15"/>
      <c r="D5403" s="15"/>
      <c r="E5403" s="15"/>
      <c r="F5403" s="20"/>
    </row>
    <row r="5404" spans="2:6" ht="17.25" customHeight="1">
      <c r="B5404" s="15"/>
      <c r="C5404" s="15"/>
      <c r="D5404" s="15"/>
      <c r="E5404" s="15"/>
      <c r="F5404" s="20"/>
    </row>
    <row r="5405" spans="2:6" ht="17.25" customHeight="1">
      <c r="B5405" s="15"/>
      <c r="C5405" s="15"/>
      <c r="D5405" s="15"/>
      <c r="E5405" s="15"/>
      <c r="F5405" s="20"/>
    </row>
    <row r="5406" spans="2:6" ht="17.25" customHeight="1">
      <c r="B5406" s="15"/>
      <c r="C5406" s="15"/>
      <c r="D5406" s="15"/>
      <c r="E5406" s="15"/>
      <c r="F5406" s="20"/>
    </row>
    <row r="5407" spans="2:6" ht="17.25" customHeight="1">
      <c r="B5407" s="15"/>
      <c r="C5407" s="15"/>
      <c r="D5407" s="15"/>
      <c r="E5407" s="15"/>
      <c r="F5407" s="20"/>
    </row>
    <row r="5408" spans="2:6" ht="17.25" customHeight="1">
      <c r="B5408" s="15"/>
      <c r="C5408" s="15"/>
      <c r="D5408" s="15"/>
      <c r="E5408" s="15"/>
      <c r="F5408" s="20"/>
    </row>
    <row r="5409" spans="2:6" ht="17.25" customHeight="1">
      <c r="B5409" s="15"/>
      <c r="C5409" s="15"/>
      <c r="D5409" s="15"/>
      <c r="E5409" s="15"/>
      <c r="F5409" s="20"/>
    </row>
    <row r="5410" spans="2:6" ht="17.25" customHeight="1">
      <c r="B5410" s="15"/>
      <c r="C5410" s="15"/>
      <c r="D5410" s="15"/>
      <c r="E5410" s="15"/>
      <c r="F5410" s="20"/>
    </row>
    <row r="5411" spans="2:6" ht="17.25" customHeight="1">
      <c r="B5411" s="15"/>
      <c r="C5411" s="15"/>
      <c r="D5411" s="15"/>
      <c r="E5411" s="15"/>
      <c r="F5411" s="20"/>
    </row>
    <row r="5412" spans="2:6" ht="17.25" customHeight="1">
      <c r="B5412" s="15"/>
      <c r="C5412" s="15"/>
      <c r="D5412" s="15"/>
      <c r="E5412" s="15"/>
      <c r="F5412" s="20"/>
    </row>
    <row r="5413" spans="2:6" ht="17.25" customHeight="1">
      <c r="B5413" s="15"/>
      <c r="C5413" s="15"/>
      <c r="D5413" s="15"/>
      <c r="E5413" s="15"/>
      <c r="F5413" s="20"/>
    </row>
    <row r="5414" spans="2:6" ht="17.25" customHeight="1">
      <c r="B5414" s="15"/>
      <c r="C5414" s="15"/>
      <c r="D5414" s="15"/>
      <c r="E5414" s="15"/>
      <c r="F5414" s="20"/>
    </row>
    <row r="5415" spans="2:6" ht="17.25" customHeight="1">
      <c r="B5415" s="15"/>
      <c r="C5415" s="15"/>
      <c r="D5415" s="15"/>
      <c r="E5415" s="15"/>
      <c r="F5415" s="20"/>
    </row>
    <row r="5416" spans="2:6" ht="17.25" customHeight="1">
      <c r="B5416" s="15"/>
      <c r="C5416" s="15"/>
      <c r="D5416" s="15"/>
      <c r="E5416" s="15"/>
      <c r="F5416" s="20"/>
    </row>
    <row r="5417" spans="2:6" ht="17.25" customHeight="1">
      <c r="B5417" s="15"/>
      <c r="C5417" s="15"/>
      <c r="D5417" s="15"/>
      <c r="E5417" s="15"/>
      <c r="F5417" s="20"/>
    </row>
    <row r="5418" spans="2:6" ht="17.25" customHeight="1">
      <c r="B5418" s="15"/>
      <c r="C5418" s="15"/>
      <c r="D5418" s="15"/>
      <c r="E5418" s="15"/>
      <c r="F5418" s="20"/>
    </row>
    <row r="5419" spans="2:6" ht="17.25" customHeight="1">
      <c r="B5419" s="15"/>
      <c r="C5419" s="15"/>
      <c r="D5419" s="15"/>
      <c r="E5419" s="15"/>
      <c r="F5419" s="20"/>
    </row>
    <row r="5420" spans="2:6" ht="17.25" customHeight="1">
      <c r="B5420" s="15"/>
      <c r="C5420" s="15"/>
      <c r="D5420" s="15"/>
      <c r="E5420" s="15"/>
      <c r="F5420" s="20"/>
    </row>
    <row r="5421" spans="2:6" ht="17.25" customHeight="1">
      <c r="B5421" s="15"/>
      <c r="C5421" s="15"/>
      <c r="D5421" s="15"/>
      <c r="E5421" s="15"/>
      <c r="F5421" s="20"/>
    </row>
    <row r="5422" spans="2:6" ht="17.25" customHeight="1">
      <c r="B5422" s="15"/>
      <c r="C5422" s="15"/>
      <c r="D5422" s="15"/>
      <c r="E5422" s="15"/>
      <c r="F5422" s="20"/>
    </row>
    <row r="5423" spans="2:6" ht="17.25" customHeight="1">
      <c r="B5423" s="15"/>
      <c r="C5423" s="15"/>
      <c r="D5423" s="15"/>
      <c r="E5423" s="15"/>
      <c r="F5423" s="20"/>
    </row>
    <row r="5424" spans="2:6" ht="17.25" customHeight="1">
      <c r="B5424" s="15"/>
      <c r="C5424" s="15"/>
      <c r="D5424" s="15"/>
      <c r="E5424" s="15"/>
      <c r="F5424" s="20"/>
    </row>
    <row r="5425" spans="2:6" ht="17.25" customHeight="1">
      <c r="B5425" s="15"/>
      <c r="C5425" s="15"/>
      <c r="D5425" s="15"/>
      <c r="E5425" s="15"/>
      <c r="F5425" s="20"/>
    </row>
    <row r="5426" spans="2:6" ht="17.25" customHeight="1">
      <c r="B5426" s="15"/>
      <c r="C5426" s="15"/>
      <c r="D5426" s="15"/>
      <c r="E5426" s="15"/>
      <c r="F5426" s="20"/>
    </row>
    <row r="5427" spans="2:6" ht="17.25" customHeight="1">
      <c r="B5427" s="15"/>
      <c r="C5427" s="15"/>
      <c r="D5427" s="15"/>
      <c r="E5427" s="15"/>
      <c r="F5427" s="20"/>
    </row>
    <row r="5428" spans="2:6" ht="17.25" customHeight="1">
      <c r="B5428" s="15"/>
      <c r="C5428" s="15"/>
      <c r="D5428" s="15"/>
      <c r="E5428" s="15"/>
      <c r="F5428" s="20"/>
    </row>
    <row r="5429" spans="2:6" ht="17.25" customHeight="1">
      <c r="B5429" s="15"/>
      <c r="C5429" s="15"/>
      <c r="D5429" s="15"/>
      <c r="E5429" s="15"/>
      <c r="F5429" s="20"/>
    </row>
    <row r="5430" spans="2:6" ht="17.25" customHeight="1">
      <c r="B5430" s="15"/>
      <c r="C5430" s="15"/>
      <c r="D5430" s="15"/>
      <c r="E5430" s="15"/>
      <c r="F5430" s="20"/>
    </row>
    <row r="5431" spans="2:6" ht="17.25" customHeight="1">
      <c r="B5431" s="15"/>
      <c r="C5431" s="15"/>
      <c r="D5431" s="15"/>
      <c r="E5431" s="15"/>
      <c r="F5431" s="20"/>
    </row>
    <row r="5432" spans="2:6" ht="17.25" customHeight="1">
      <c r="B5432" s="15"/>
      <c r="C5432" s="15"/>
      <c r="D5432" s="15"/>
      <c r="E5432" s="15"/>
      <c r="F5432" s="20"/>
    </row>
    <row r="5433" spans="2:6" ht="17.25" customHeight="1">
      <c r="B5433" s="15"/>
      <c r="C5433" s="15"/>
      <c r="D5433" s="15"/>
      <c r="E5433" s="15"/>
      <c r="F5433" s="20"/>
    </row>
    <row r="5434" spans="2:6" ht="17.25" customHeight="1">
      <c r="B5434" s="15"/>
      <c r="C5434" s="15"/>
      <c r="D5434" s="15"/>
      <c r="E5434" s="15"/>
      <c r="F5434" s="20"/>
    </row>
    <row r="5435" spans="2:6" ht="17.25" customHeight="1">
      <c r="B5435" s="15"/>
      <c r="C5435" s="15"/>
      <c r="D5435" s="15"/>
      <c r="E5435" s="15"/>
      <c r="F5435" s="20"/>
    </row>
    <row r="5436" spans="2:6" ht="17.25" customHeight="1">
      <c r="B5436" s="15"/>
      <c r="C5436" s="15"/>
      <c r="D5436" s="15"/>
      <c r="E5436" s="15"/>
      <c r="F5436" s="20"/>
    </row>
    <row r="5437" spans="2:6" ht="17.25" customHeight="1">
      <c r="B5437" s="15"/>
      <c r="C5437" s="15"/>
      <c r="D5437" s="15"/>
      <c r="E5437" s="15"/>
      <c r="F5437" s="20"/>
    </row>
    <row r="5438" spans="2:6" ht="17.25" customHeight="1">
      <c r="B5438" s="15"/>
      <c r="C5438" s="15"/>
      <c r="D5438" s="15"/>
      <c r="E5438" s="15"/>
      <c r="F5438" s="20"/>
    </row>
    <row r="5439" spans="2:6" ht="17.25" customHeight="1">
      <c r="B5439" s="15"/>
      <c r="C5439" s="15"/>
      <c r="D5439" s="15"/>
      <c r="E5439" s="15"/>
      <c r="F5439" s="20"/>
    </row>
    <row r="5440" spans="2:6" ht="17.25" customHeight="1">
      <c r="B5440" s="15"/>
      <c r="C5440" s="15"/>
      <c r="D5440" s="15"/>
      <c r="E5440" s="15"/>
      <c r="F5440" s="20"/>
    </row>
    <row r="5441" spans="2:6" ht="17.25" customHeight="1">
      <c r="B5441" s="15"/>
      <c r="C5441" s="15"/>
      <c r="D5441" s="15"/>
      <c r="E5441" s="15"/>
      <c r="F5441" s="20"/>
    </row>
    <row r="5442" spans="2:6" ht="17.25" customHeight="1">
      <c r="B5442" s="15"/>
      <c r="C5442" s="15"/>
      <c r="D5442" s="15"/>
      <c r="E5442" s="15"/>
      <c r="F5442" s="20"/>
    </row>
    <row r="5443" spans="2:6" ht="17.25" customHeight="1">
      <c r="B5443" s="15"/>
      <c r="C5443" s="15"/>
      <c r="D5443" s="15"/>
      <c r="E5443" s="15"/>
      <c r="F5443" s="20"/>
    </row>
    <row r="5444" spans="2:6" ht="17.25" customHeight="1">
      <c r="B5444" s="15"/>
      <c r="C5444" s="15"/>
      <c r="D5444" s="15"/>
      <c r="E5444" s="15"/>
      <c r="F5444" s="20"/>
    </row>
    <row r="5445" spans="2:6" ht="17.25" customHeight="1">
      <c r="B5445" s="15"/>
      <c r="C5445" s="15"/>
      <c r="D5445" s="15"/>
      <c r="E5445" s="15"/>
      <c r="F5445" s="20"/>
    </row>
    <row r="5446" spans="2:6" ht="17.25" customHeight="1">
      <c r="B5446" s="15"/>
      <c r="C5446" s="15"/>
      <c r="D5446" s="15"/>
      <c r="E5446" s="15"/>
      <c r="F5446" s="20"/>
    </row>
    <row r="5447" spans="2:6" ht="17.25" customHeight="1">
      <c r="B5447" s="15"/>
      <c r="C5447" s="15"/>
      <c r="D5447" s="15"/>
      <c r="E5447" s="15"/>
      <c r="F5447" s="20"/>
    </row>
    <row r="5448" spans="2:6" ht="17.25" customHeight="1">
      <c r="B5448" s="15"/>
      <c r="C5448" s="15"/>
      <c r="D5448" s="15"/>
      <c r="E5448" s="15"/>
      <c r="F5448" s="20"/>
    </row>
    <row r="5449" spans="2:6" ht="17.25" customHeight="1">
      <c r="B5449" s="15"/>
      <c r="C5449" s="15"/>
      <c r="D5449" s="15"/>
      <c r="E5449" s="15"/>
      <c r="F5449" s="20"/>
    </row>
    <row r="5450" spans="2:6" ht="17.25" customHeight="1">
      <c r="B5450" s="15"/>
      <c r="C5450" s="15"/>
      <c r="D5450" s="15"/>
      <c r="E5450" s="15"/>
      <c r="F5450" s="20"/>
    </row>
    <row r="5451" spans="2:6" ht="17.25" customHeight="1">
      <c r="B5451" s="15"/>
      <c r="C5451" s="15"/>
      <c r="D5451" s="15"/>
      <c r="E5451" s="15"/>
      <c r="F5451" s="20"/>
    </row>
    <row r="5452" spans="2:6" ht="17.25" customHeight="1">
      <c r="B5452" s="15"/>
      <c r="C5452" s="15"/>
      <c r="D5452" s="15"/>
      <c r="E5452" s="15"/>
      <c r="F5452" s="20"/>
    </row>
    <row r="5453" spans="2:6" ht="17.25" customHeight="1">
      <c r="B5453" s="15"/>
      <c r="C5453" s="15"/>
      <c r="D5453" s="15"/>
      <c r="E5453" s="15"/>
      <c r="F5453" s="20"/>
    </row>
    <row r="5454" spans="2:6" ht="17.25" customHeight="1">
      <c r="B5454" s="15"/>
      <c r="C5454" s="15"/>
      <c r="D5454" s="15"/>
      <c r="E5454" s="15"/>
      <c r="F5454" s="20"/>
    </row>
    <row r="5455" spans="2:6" ht="17.25" customHeight="1">
      <c r="B5455" s="15"/>
      <c r="C5455" s="15"/>
      <c r="D5455" s="15"/>
      <c r="E5455" s="15"/>
      <c r="F5455" s="20"/>
    </row>
    <row r="5456" spans="2:6" ht="17.25" customHeight="1">
      <c r="B5456" s="15"/>
      <c r="C5456" s="15"/>
      <c r="D5456" s="15"/>
      <c r="E5456" s="15"/>
      <c r="F5456" s="20"/>
    </row>
    <row r="5457" spans="2:6" ht="17.25" customHeight="1">
      <c r="B5457" s="15"/>
      <c r="C5457" s="15"/>
      <c r="D5457" s="15"/>
      <c r="E5457" s="15"/>
      <c r="F5457" s="20"/>
    </row>
    <row r="5458" spans="2:6" ht="17.25" customHeight="1">
      <c r="B5458" s="15"/>
      <c r="C5458" s="15"/>
      <c r="D5458" s="15"/>
      <c r="E5458" s="15"/>
      <c r="F5458" s="20"/>
    </row>
    <row r="5459" spans="2:6" ht="17.25" customHeight="1">
      <c r="B5459" s="15"/>
      <c r="C5459" s="15"/>
      <c r="D5459" s="15"/>
      <c r="E5459" s="15"/>
      <c r="F5459" s="20"/>
    </row>
    <row r="5460" spans="2:6" ht="17.25" customHeight="1">
      <c r="B5460" s="15"/>
      <c r="C5460" s="15"/>
      <c r="D5460" s="15"/>
      <c r="E5460" s="15"/>
      <c r="F5460" s="20"/>
    </row>
    <row r="5461" spans="2:6" ht="17.25" customHeight="1">
      <c r="B5461" s="15"/>
      <c r="C5461" s="15"/>
      <c r="D5461" s="15"/>
      <c r="E5461" s="15"/>
      <c r="F5461" s="20"/>
    </row>
    <row r="5462" spans="2:6" ht="17.25" customHeight="1">
      <c r="B5462" s="15"/>
      <c r="C5462" s="15"/>
      <c r="D5462" s="15"/>
      <c r="E5462" s="15"/>
      <c r="F5462" s="20"/>
    </row>
    <row r="5463" spans="2:6" ht="17.25" customHeight="1">
      <c r="B5463" s="15"/>
      <c r="C5463" s="15"/>
      <c r="D5463" s="15"/>
      <c r="E5463" s="15"/>
      <c r="F5463" s="20"/>
    </row>
    <row r="5464" spans="2:6" ht="17.25" customHeight="1">
      <c r="B5464" s="15"/>
      <c r="C5464" s="15"/>
      <c r="D5464" s="15"/>
      <c r="E5464" s="15"/>
      <c r="F5464" s="20"/>
    </row>
    <row r="5465" spans="2:6" ht="17.25" customHeight="1">
      <c r="B5465" s="15"/>
      <c r="C5465" s="15"/>
      <c r="D5465" s="15"/>
      <c r="E5465" s="15"/>
      <c r="F5465" s="20"/>
    </row>
    <row r="5466" spans="2:6" ht="17.25" customHeight="1">
      <c r="B5466" s="15"/>
      <c r="C5466" s="15"/>
      <c r="D5466" s="15"/>
      <c r="E5466" s="15"/>
      <c r="F5466" s="20"/>
    </row>
    <row r="5467" spans="2:6" ht="17.25" customHeight="1">
      <c r="B5467" s="15"/>
      <c r="C5467" s="15"/>
      <c r="D5467" s="15"/>
      <c r="E5467" s="15"/>
      <c r="F5467" s="20"/>
    </row>
    <row r="5468" spans="2:6" ht="17.25" customHeight="1">
      <c r="B5468" s="15"/>
      <c r="C5468" s="15"/>
      <c r="D5468" s="15"/>
      <c r="E5468" s="15"/>
      <c r="F5468" s="20"/>
    </row>
    <row r="5469" spans="2:6" ht="17.25" customHeight="1">
      <c r="B5469" s="15"/>
      <c r="C5469" s="15"/>
      <c r="D5469" s="15"/>
      <c r="E5469" s="15"/>
      <c r="F5469" s="20"/>
    </row>
    <row r="5470" spans="2:6" ht="17.25" customHeight="1">
      <c r="B5470" s="15"/>
      <c r="C5470" s="15"/>
      <c r="D5470" s="15"/>
      <c r="E5470" s="15"/>
      <c r="F5470" s="20"/>
    </row>
    <row r="5471" spans="2:6" ht="17.25" customHeight="1">
      <c r="B5471" s="15"/>
      <c r="C5471" s="15"/>
      <c r="D5471" s="15"/>
      <c r="E5471" s="15"/>
      <c r="F5471" s="20"/>
    </row>
    <row r="5472" spans="2:6" ht="17.25" customHeight="1">
      <c r="B5472" s="15"/>
      <c r="C5472" s="15"/>
      <c r="D5472" s="15"/>
      <c r="E5472" s="15"/>
      <c r="F5472" s="20"/>
    </row>
    <row r="5473" spans="2:6" ht="17.25" customHeight="1">
      <c r="B5473" s="15"/>
      <c r="C5473" s="15"/>
      <c r="D5473" s="15"/>
      <c r="E5473" s="15"/>
      <c r="F5473" s="20"/>
    </row>
    <row r="5474" spans="2:6" ht="17.25" customHeight="1">
      <c r="B5474" s="15"/>
      <c r="C5474" s="15"/>
      <c r="D5474" s="15"/>
      <c r="E5474" s="15"/>
      <c r="F5474" s="20"/>
    </row>
    <row r="5475" spans="2:6" ht="17.25" customHeight="1">
      <c r="B5475" s="15"/>
      <c r="C5475" s="15"/>
      <c r="D5475" s="15"/>
      <c r="E5475" s="15"/>
      <c r="F5475" s="20"/>
    </row>
    <row r="5476" spans="2:6" ht="17.25" customHeight="1">
      <c r="B5476" s="15"/>
      <c r="C5476" s="15"/>
      <c r="D5476" s="15"/>
      <c r="E5476" s="15"/>
      <c r="F5476" s="20"/>
    </row>
    <row r="5477" spans="2:6" ht="17.25" customHeight="1">
      <c r="B5477" s="15"/>
      <c r="C5477" s="15"/>
      <c r="D5477" s="15"/>
      <c r="E5477" s="15"/>
      <c r="F5477" s="20"/>
    </row>
    <row r="5478" spans="2:6" ht="17.25" customHeight="1">
      <c r="B5478" s="15"/>
      <c r="C5478" s="15"/>
      <c r="D5478" s="15"/>
      <c r="E5478" s="15"/>
      <c r="F5478" s="20"/>
    </row>
    <row r="5479" spans="2:6" ht="17.25" customHeight="1">
      <c r="B5479" s="15"/>
      <c r="C5479" s="15"/>
      <c r="D5479" s="15"/>
      <c r="E5479" s="15"/>
      <c r="F5479" s="20"/>
    </row>
    <row r="5480" spans="2:6" ht="17.25" customHeight="1">
      <c r="B5480" s="15"/>
      <c r="C5480" s="15"/>
      <c r="D5480" s="15"/>
      <c r="E5480" s="15"/>
      <c r="F5480" s="20"/>
    </row>
    <row r="5481" spans="2:6" ht="17.25" customHeight="1">
      <c r="B5481" s="15"/>
      <c r="C5481" s="15"/>
      <c r="D5481" s="15"/>
      <c r="E5481" s="15"/>
      <c r="F5481" s="20"/>
    </row>
    <row r="5482" spans="2:6" ht="17.25" customHeight="1">
      <c r="B5482" s="15"/>
      <c r="C5482" s="15"/>
      <c r="D5482" s="15"/>
      <c r="E5482" s="15"/>
      <c r="F5482" s="20"/>
    </row>
    <row r="5483" spans="2:6" ht="17.25" customHeight="1">
      <c r="B5483" s="15"/>
      <c r="C5483" s="15"/>
      <c r="D5483" s="15"/>
      <c r="E5483" s="15"/>
      <c r="F5483" s="20"/>
    </row>
    <row r="5484" spans="2:6" ht="17.25" customHeight="1">
      <c r="B5484" s="15"/>
      <c r="C5484" s="15"/>
      <c r="D5484" s="15"/>
      <c r="E5484" s="15"/>
      <c r="F5484" s="20"/>
    </row>
    <row r="5485" spans="2:6" ht="17.25" customHeight="1">
      <c r="B5485" s="15"/>
      <c r="C5485" s="15"/>
      <c r="D5485" s="15"/>
      <c r="E5485" s="15"/>
      <c r="F5485" s="20"/>
    </row>
    <row r="5486" spans="2:6" ht="17.25" customHeight="1">
      <c r="B5486" s="15"/>
      <c r="C5486" s="15"/>
      <c r="D5486" s="15"/>
      <c r="E5486" s="15"/>
      <c r="F5486" s="20"/>
    </row>
    <row r="5487" spans="2:6" ht="17.25" customHeight="1">
      <c r="B5487" s="15"/>
      <c r="C5487" s="15"/>
      <c r="D5487" s="15"/>
      <c r="E5487" s="15"/>
      <c r="F5487" s="20"/>
    </row>
    <row r="5488" spans="2:6" ht="17.25" customHeight="1">
      <c r="B5488" s="15"/>
      <c r="C5488" s="15"/>
      <c r="D5488" s="15"/>
      <c r="E5488" s="15"/>
      <c r="F5488" s="20"/>
    </row>
    <row r="5489" spans="2:6" ht="17.25" customHeight="1">
      <c r="B5489" s="15"/>
      <c r="C5489" s="15"/>
      <c r="D5489" s="15"/>
      <c r="E5489" s="15"/>
      <c r="F5489" s="20"/>
    </row>
    <row r="5490" spans="2:6" ht="17.25" customHeight="1">
      <c r="B5490" s="15"/>
      <c r="C5490" s="15"/>
      <c r="D5490" s="15"/>
      <c r="E5490" s="15"/>
      <c r="F5490" s="20"/>
    </row>
    <row r="5491" spans="2:6" ht="17.25" customHeight="1">
      <c r="B5491" s="15"/>
      <c r="C5491" s="15"/>
      <c r="D5491" s="15"/>
      <c r="E5491" s="15"/>
      <c r="F5491" s="20"/>
    </row>
    <row r="5492" spans="2:6" ht="17.25" customHeight="1">
      <c r="B5492" s="15"/>
      <c r="C5492" s="15"/>
      <c r="D5492" s="15"/>
      <c r="E5492" s="15"/>
      <c r="F5492" s="20"/>
    </row>
    <row r="5493" spans="2:6" ht="17.25" customHeight="1">
      <c r="B5493" s="15"/>
      <c r="C5493" s="15"/>
      <c r="D5493" s="15"/>
      <c r="E5493" s="15"/>
      <c r="F5493" s="20"/>
    </row>
    <row r="5494" spans="2:6" ht="17.25" customHeight="1">
      <c r="B5494" s="15"/>
      <c r="C5494" s="15"/>
      <c r="D5494" s="15"/>
      <c r="E5494" s="15"/>
      <c r="F5494" s="20"/>
    </row>
    <row r="5495" spans="2:6" ht="17.25" customHeight="1">
      <c r="B5495" s="15"/>
      <c r="C5495" s="15"/>
      <c r="D5495" s="15"/>
      <c r="E5495" s="15"/>
      <c r="F5495" s="20"/>
    </row>
    <row r="5496" spans="2:6" ht="17.25" customHeight="1">
      <c r="B5496" s="15"/>
      <c r="C5496" s="15"/>
      <c r="D5496" s="15"/>
      <c r="E5496" s="15"/>
      <c r="F5496" s="20"/>
    </row>
    <row r="5497" spans="2:6" ht="17.25" customHeight="1">
      <c r="B5497" s="15"/>
      <c r="C5497" s="15"/>
      <c r="D5497" s="15"/>
      <c r="E5497" s="15"/>
      <c r="F5497" s="20"/>
    </row>
    <row r="5498" spans="2:6" ht="17.25" customHeight="1">
      <c r="B5498" s="15"/>
      <c r="C5498" s="15"/>
      <c r="D5498" s="15"/>
      <c r="E5498" s="15"/>
      <c r="F5498" s="20"/>
    </row>
    <row r="5499" spans="2:6" ht="17.25" customHeight="1">
      <c r="B5499" s="15"/>
      <c r="C5499" s="15"/>
      <c r="D5499" s="15"/>
      <c r="E5499" s="15"/>
      <c r="F5499" s="20"/>
    </row>
    <row r="5500" spans="2:6" ht="17.25" customHeight="1">
      <c r="B5500" s="15"/>
      <c r="C5500" s="15"/>
      <c r="D5500" s="15"/>
      <c r="E5500" s="15"/>
      <c r="F5500" s="20"/>
    </row>
    <row r="5501" spans="2:6" ht="17.25" customHeight="1">
      <c r="B5501" s="15"/>
      <c r="C5501" s="15"/>
      <c r="D5501" s="15"/>
      <c r="E5501" s="15"/>
      <c r="F5501" s="20"/>
    </row>
    <row r="5502" spans="2:6" ht="17.25" customHeight="1">
      <c r="B5502" s="15"/>
      <c r="C5502" s="15"/>
      <c r="D5502" s="15"/>
      <c r="E5502" s="15"/>
      <c r="F5502" s="20"/>
    </row>
    <row r="5503" spans="2:6" ht="17.25" customHeight="1">
      <c r="B5503" s="15"/>
      <c r="C5503" s="15"/>
      <c r="D5503" s="15"/>
      <c r="E5503" s="15"/>
      <c r="F5503" s="20"/>
    </row>
    <row r="5504" spans="2:6" ht="17.25" customHeight="1">
      <c r="B5504" s="15"/>
      <c r="C5504" s="15"/>
      <c r="D5504" s="15"/>
      <c r="E5504" s="15"/>
      <c r="F5504" s="20"/>
    </row>
    <row r="5505" spans="2:6" ht="17.25" customHeight="1">
      <c r="B5505" s="15"/>
      <c r="C5505" s="15"/>
      <c r="D5505" s="15"/>
      <c r="E5505" s="15"/>
      <c r="F5505" s="20"/>
    </row>
    <row r="5506" spans="2:6" ht="17.25" customHeight="1">
      <c r="B5506" s="15"/>
      <c r="C5506" s="15"/>
      <c r="D5506" s="15"/>
      <c r="E5506" s="15"/>
      <c r="F5506" s="20"/>
    </row>
    <row r="5507" spans="2:6" ht="17.25" customHeight="1">
      <c r="B5507" s="15"/>
      <c r="C5507" s="15"/>
      <c r="D5507" s="15"/>
      <c r="E5507" s="15"/>
      <c r="F5507" s="20"/>
    </row>
    <row r="5508" spans="2:6" ht="17.25" customHeight="1">
      <c r="B5508" s="15"/>
      <c r="C5508" s="15"/>
      <c r="D5508" s="15"/>
      <c r="E5508" s="15"/>
      <c r="F5508" s="20"/>
    </row>
    <row r="5509" spans="2:6" ht="17.25" customHeight="1">
      <c r="B5509" s="15"/>
      <c r="C5509" s="15"/>
      <c r="D5509" s="15"/>
      <c r="E5509" s="15"/>
      <c r="F5509" s="20"/>
    </row>
    <row r="5510" spans="2:6" ht="17.25" customHeight="1">
      <c r="B5510" s="15"/>
      <c r="C5510" s="15"/>
      <c r="D5510" s="15"/>
      <c r="E5510" s="15"/>
      <c r="F5510" s="20"/>
    </row>
    <row r="5511" spans="2:6" ht="17.25" customHeight="1">
      <c r="B5511" s="15"/>
      <c r="C5511" s="15"/>
      <c r="D5511" s="15"/>
      <c r="E5511" s="15"/>
      <c r="F5511" s="20"/>
    </row>
    <row r="5512" spans="2:6" ht="17.25" customHeight="1">
      <c r="B5512" s="15"/>
      <c r="C5512" s="15"/>
      <c r="D5512" s="15"/>
      <c r="E5512" s="15"/>
      <c r="F5512" s="20"/>
    </row>
    <row r="5513" spans="2:6" ht="17.25" customHeight="1">
      <c r="B5513" s="15"/>
      <c r="C5513" s="15"/>
      <c r="D5513" s="15"/>
      <c r="E5513" s="15"/>
      <c r="F5513" s="20"/>
    </row>
    <row r="5514" spans="2:6" ht="17.25" customHeight="1">
      <c r="B5514" s="15"/>
      <c r="C5514" s="15"/>
      <c r="D5514" s="15"/>
      <c r="E5514" s="15"/>
      <c r="F5514" s="20"/>
    </row>
    <row r="5515" spans="2:6" ht="17.25" customHeight="1">
      <c r="B5515" s="15"/>
      <c r="C5515" s="15"/>
      <c r="D5515" s="15"/>
      <c r="E5515" s="15"/>
      <c r="F5515" s="20"/>
    </row>
    <row r="5516" spans="2:6" ht="17.25" customHeight="1">
      <c r="B5516" s="15"/>
      <c r="C5516" s="15"/>
      <c r="D5516" s="15"/>
      <c r="E5516" s="15"/>
      <c r="F5516" s="20"/>
    </row>
    <row r="5517" spans="2:6" ht="17.25" customHeight="1">
      <c r="B5517" s="15"/>
      <c r="C5517" s="15"/>
      <c r="D5517" s="15"/>
      <c r="E5517" s="15"/>
      <c r="F5517" s="20"/>
    </row>
    <row r="5518" spans="2:6" ht="17.25" customHeight="1">
      <c r="B5518" s="15"/>
      <c r="C5518" s="15"/>
      <c r="D5518" s="15"/>
      <c r="E5518" s="15"/>
      <c r="F5518" s="20"/>
    </row>
    <row r="5519" spans="2:6" ht="17.25" customHeight="1">
      <c r="B5519" s="15"/>
      <c r="C5519" s="15"/>
      <c r="D5519" s="15"/>
      <c r="E5519" s="15"/>
      <c r="F5519" s="20"/>
    </row>
    <row r="5520" spans="2:6" ht="17.25" customHeight="1">
      <c r="B5520" s="15"/>
      <c r="C5520" s="15"/>
      <c r="D5520" s="15"/>
      <c r="E5520" s="15"/>
      <c r="F5520" s="20"/>
    </row>
    <row r="5521" spans="2:6" ht="17.25" customHeight="1">
      <c r="B5521" s="15"/>
      <c r="C5521" s="15"/>
      <c r="D5521" s="15"/>
      <c r="E5521" s="15"/>
      <c r="F5521" s="20"/>
    </row>
    <row r="5522" spans="2:6" ht="17.25" customHeight="1">
      <c r="B5522" s="15"/>
      <c r="C5522" s="15"/>
      <c r="D5522" s="15"/>
      <c r="E5522" s="15"/>
      <c r="F5522" s="20"/>
    </row>
    <row r="5523" spans="2:6" ht="17.25" customHeight="1">
      <c r="B5523" s="15"/>
      <c r="C5523" s="15"/>
      <c r="D5523" s="15"/>
      <c r="E5523" s="15"/>
      <c r="F5523" s="20"/>
    </row>
    <row r="5524" spans="2:6" ht="17.25" customHeight="1">
      <c r="B5524" s="15"/>
      <c r="C5524" s="15"/>
      <c r="D5524" s="15"/>
      <c r="E5524" s="15"/>
      <c r="F5524" s="20"/>
    </row>
    <row r="5525" spans="2:6" ht="17.25" customHeight="1">
      <c r="B5525" s="15"/>
      <c r="C5525" s="15"/>
      <c r="D5525" s="15"/>
      <c r="E5525" s="15"/>
      <c r="F5525" s="20"/>
    </row>
    <row r="5526" spans="2:6" ht="17.25" customHeight="1">
      <c r="B5526" s="15"/>
      <c r="C5526" s="15"/>
      <c r="D5526" s="15"/>
      <c r="E5526" s="15"/>
      <c r="F5526" s="20"/>
    </row>
    <row r="5527" spans="2:6" ht="17.25" customHeight="1">
      <c r="B5527" s="15"/>
      <c r="C5527" s="15"/>
      <c r="D5527" s="15"/>
      <c r="E5527" s="15"/>
      <c r="F5527" s="20"/>
    </row>
    <row r="5528" spans="2:6" ht="17.25" customHeight="1">
      <c r="B5528" s="15"/>
      <c r="C5528" s="15"/>
      <c r="D5528" s="15"/>
      <c r="E5528" s="15"/>
      <c r="F5528" s="20"/>
    </row>
    <row r="5529" spans="2:6" ht="17.25" customHeight="1">
      <c r="B5529" s="15"/>
      <c r="C5529" s="15"/>
      <c r="D5529" s="15"/>
      <c r="E5529" s="15"/>
      <c r="F5529" s="20"/>
    </row>
    <row r="5530" spans="2:6" ht="17.25" customHeight="1">
      <c r="B5530" s="15"/>
      <c r="C5530" s="15"/>
      <c r="D5530" s="15"/>
      <c r="E5530" s="15"/>
      <c r="F5530" s="20"/>
    </row>
    <row r="5531" spans="2:6" ht="17.25" customHeight="1">
      <c r="B5531" s="15"/>
      <c r="C5531" s="15"/>
      <c r="D5531" s="15"/>
      <c r="E5531" s="15"/>
      <c r="F5531" s="20"/>
    </row>
    <row r="5532" spans="2:6" ht="17.25" customHeight="1">
      <c r="B5532" s="15"/>
      <c r="C5532" s="15"/>
      <c r="D5532" s="15"/>
      <c r="E5532" s="15"/>
      <c r="F5532" s="20"/>
    </row>
    <row r="5533" spans="2:6" ht="17.25" customHeight="1">
      <c r="B5533" s="15"/>
      <c r="C5533" s="15"/>
      <c r="D5533" s="15"/>
      <c r="E5533" s="15"/>
      <c r="F5533" s="20"/>
    </row>
    <row r="5534" spans="2:6" ht="17.25" customHeight="1">
      <c r="B5534" s="15"/>
      <c r="C5534" s="15"/>
      <c r="D5534" s="15"/>
      <c r="E5534" s="15"/>
      <c r="F5534" s="20"/>
    </row>
    <row r="5535" spans="2:6" ht="17.25" customHeight="1">
      <c r="B5535" s="15"/>
      <c r="C5535" s="15"/>
      <c r="D5535" s="15"/>
      <c r="E5535" s="15"/>
      <c r="F5535" s="20"/>
    </row>
    <row r="5536" spans="2:6" ht="17.25" customHeight="1">
      <c r="B5536" s="15"/>
      <c r="C5536" s="15"/>
      <c r="D5536" s="15"/>
      <c r="E5536" s="15"/>
      <c r="F5536" s="20"/>
    </row>
    <row r="5537" spans="2:6" ht="17.25" customHeight="1">
      <c r="B5537" s="15"/>
      <c r="C5537" s="15"/>
      <c r="D5537" s="15"/>
      <c r="E5537" s="15"/>
      <c r="F5537" s="20"/>
    </row>
    <row r="5538" spans="2:6" ht="17.25" customHeight="1">
      <c r="B5538" s="15"/>
      <c r="C5538" s="15"/>
      <c r="D5538" s="15"/>
      <c r="E5538" s="15"/>
      <c r="F5538" s="20"/>
    </row>
    <row r="5539" spans="2:6" ht="17.25" customHeight="1">
      <c r="B5539" s="15"/>
      <c r="C5539" s="15"/>
      <c r="D5539" s="15"/>
      <c r="E5539" s="15"/>
      <c r="F5539" s="20"/>
    </row>
    <row r="5540" spans="2:6" ht="17.25" customHeight="1">
      <c r="B5540" s="15"/>
      <c r="C5540" s="15"/>
      <c r="D5540" s="15"/>
      <c r="E5540" s="15"/>
      <c r="F5540" s="20"/>
    </row>
    <row r="5541" spans="2:6" ht="17.25" customHeight="1">
      <c r="B5541" s="15"/>
      <c r="C5541" s="15"/>
      <c r="D5541" s="15"/>
      <c r="E5541" s="15"/>
      <c r="F5541" s="20"/>
    </row>
    <row r="5542" spans="2:6" ht="17.25" customHeight="1">
      <c r="B5542" s="15"/>
      <c r="C5542" s="15"/>
      <c r="D5542" s="15"/>
      <c r="E5542" s="15"/>
      <c r="F5542" s="20"/>
    </row>
    <row r="5543" spans="2:6" ht="17.25" customHeight="1">
      <c r="B5543" s="15"/>
      <c r="C5543" s="15"/>
      <c r="D5543" s="15"/>
      <c r="E5543" s="15"/>
      <c r="F5543" s="20"/>
    </row>
    <row r="5544" spans="2:6" ht="17.25" customHeight="1">
      <c r="B5544" s="15"/>
      <c r="C5544" s="15"/>
      <c r="D5544" s="15"/>
      <c r="E5544" s="15"/>
      <c r="F5544" s="20"/>
    </row>
    <row r="5545" spans="2:6" ht="17.25" customHeight="1">
      <c r="B5545" s="15"/>
      <c r="C5545" s="15"/>
      <c r="D5545" s="15"/>
      <c r="E5545" s="15"/>
      <c r="F5545" s="20"/>
    </row>
    <row r="5546" spans="2:6" ht="17.25" customHeight="1">
      <c r="B5546" s="15"/>
      <c r="C5546" s="15"/>
      <c r="D5546" s="15"/>
      <c r="E5546" s="15"/>
      <c r="F5546" s="20"/>
    </row>
    <row r="5547" spans="2:6" ht="17.25" customHeight="1">
      <c r="B5547" s="15"/>
      <c r="C5547" s="15"/>
      <c r="D5547" s="15"/>
      <c r="E5547" s="15"/>
      <c r="F5547" s="20"/>
    </row>
    <row r="5548" spans="2:6" ht="17.25" customHeight="1">
      <c r="B5548" s="15"/>
      <c r="C5548" s="15"/>
      <c r="D5548" s="15"/>
      <c r="E5548" s="15"/>
      <c r="F5548" s="20"/>
    </row>
    <row r="5549" spans="2:6" ht="17.25" customHeight="1">
      <c r="B5549" s="15"/>
      <c r="C5549" s="15"/>
      <c r="D5549" s="15"/>
      <c r="E5549" s="15"/>
      <c r="F5549" s="20"/>
    </row>
    <row r="5550" spans="2:6" ht="17.25" customHeight="1">
      <c r="B5550" s="15"/>
      <c r="C5550" s="15"/>
      <c r="D5550" s="15"/>
      <c r="E5550" s="15"/>
      <c r="F5550" s="20"/>
    </row>
    <row r="5551" spans="2:6" ht="17.25" customHeight="1">
      <c r="B5551" s="15"/>
      <c r="C5551" s="15"/>
      <c r="D5551" s="15"/>
      <c r="E5551" s="15"/>
      <c r="F5551" s="20"/>
    </row>
    <row r="5552" spans="2:6" ht="17.25" customHeight="1">
      <c r="B5552" s="15"/>
      <c r="C5552" s="15"/>
      <c r="D5552" s="15"/>
      <c r="E5552" s="15"/>
      <c r="F5552" s="20"/>
    </row>
    <row r="5553" spans="2:6" ht="17.25" customHeight="1">
      <c r="B5553" s="15"/>
      <c r="C5553" s="15"/>
      <c r="D5553" s="15"/>
      <c r="E5553" s="15"/>
      <c r="F5553" s="20"/>
    </row>
    <row r="5554" spans="2:6" ht="17.25" customHeight="1">
      <c r="B5554" s="15"/>
      <c r="C5554" s="15"/>
      <c r="D5554" s="15"/>
      <c r="E5554" s="15"/>
      <c r="F5554" s="20"/>
    </row>
    <row r="5555" spans="2:6" ht="17.25" customHeight="1">
      <c r="B5555" s="15"/>
      <c r="C5555" s="15"/>
      <c r="D5555" s="15"/>
      <c r="E5555" s="15"/>
      <c r="F5555" s="20"/>
    </row>
    <row r="5556" spans="2:6" ht="17.25" customHeight="1">
      <c r="B5556" s="15"/>
      <c r="C5556" s="15"/>
      <c r="D5556" s="15"/>
      <c r="E5556" s="15"/>
      <c r="F5556" s="20"/>
    </row>
    <row r="5557" spans="2:6" ht="17.25" customHeight="1">
      <c r="B5557" s="15"/>
      <c r="C5557" s="15"/>
      <c r="D5557" s="15"/>
      <c r="E5557" s="15"/>
      <c r="F5557" s="20"/>
    </row>
    <row r="5558" spans="2:6" ht="17.25" customHeight="1">
      <c r="B5558" s="15"/>
      <c r="C5558" s="15"/>
      <c r="D5558" s="15"/>
      <c r="E5558" s="15"/>
      <c r="F5558" s="20"/>
    </row>
    <row r="5559" spans="2:6" ht="17.25" customHeight="1">
      <c r="B5559" s="15"/>
      <c r="C5559" s="15"/>
      <c r="D5559" s="15"/>
      <c r="E5559" s="15"/>
      <c r="F5559" s="20"/>
    </row>
    <row r="5560" spans="2:6" ht="17.25" customHeight="1">
      <c r="B5560" s="15"/>
      <c r="C5560" s="15"/>
      <c r="D5560" s="15"/>
      <c r="E5560" s="15"/>
      <c r="F5560" s="20"/>
    </row>
    <row r="5561" spans="2:6" ht="17.25" customHeight="1">
      <c r="B5561" s="15"/>
      <c r="C5561" s="15"/>
      <c r="D5561" s="15"/>
      <c r="E5561" s="15"/>
      <c r="F5561" s="20"/>
    </row>
    <row r="5562" spans="2:6" ht="17.25" customHeight="1">
      <c r="B5562" s="15"/>
      <c r="C5562" s="15"/>
      <c r="D5562" s="15"/>
      <c r="E5562" s="15"/>
      <c r="F5562" s="20"/>
    </row>
    <row r="5563" spans="2:6" ht="17.25" customHeight="1">
      <c r="B5563" s="15"/>
      <c r="C5563" s="15"/>
      <c r="D5563" s="15"/>
      <c r="E5563" s="15"/>
      <c r="F5563" s="20"/>
    </row>
    <row r="5564" spans="2:6" ht="17.25" customHeight="1">
      <c r="B5564" s="15"/>
      <c r="C5564" s="15"/>
      <c r="D5564" s="15"/>
      <c r="E5564" s="15"/>
      <c r="F5564" s="20"/>
    </row>
    <row r="5565" spans="2:6" ht="17.25" customHeight="1">
      <c r="B5565" s="15"/>
      <c r="C5565" s="15"/>
      <c r="D5565" s="15"/>
      <c r="E5565" s="15"/>
      <c r="F5565" s="20"/>
    </row>
    <row r="5566" spans="2:6" ht="17.25" customHeight="1">
      <c r="B5566" s="15"/>
      <c r="C5566" s="15"/>
      <c r="D5566" s="15"/>
      <c r="E5566" s="15"/>
      <c r="F5566" s="20"/>
    </row>
    <row r="5567" spans="2:6" ht="17.25" customHeight="1">
      <c r="B5567" s="15"/>
      <c r="C5567" s="15"/>
      <c r="D5567" s="15"/>
      <c r="E5567" s="15"/>
      <c r="F5567" s="20"/>
    </row>
    <row r="5568" spans="2:6" ht="17.25" customHeight="1">
      <c r="B5568" s="15"/>
      <c r="C5568" s="15"/>
      <c r="D5568" s="15"/>
      <c r="E5568" s="15"/>
      <c r="F5568" s="20"/>
    </row>
    <row r="5569" spans="2:6" ht="17.25" customHeight="1">
      <c r="B5569" s="15"/>
      <c r="C5569" s="15"/>
      <c r="D5569" s="15"/>
      <c r="E5569" s="15"/>
      <c r="F5569" s="20"/>
    </row>
    <row r="5570" spans="2:6" ht="17.25" customHeight="1">
      <c r="B5570" s="15"/>
      <c r="C5570" s="15"/>
      <c r="D5570" s="15"/>
      <c r="E5570" s="15"/>
      <c r="F5570" s="20"/>
    </row>
    <row r="5571" spans="2:6" ht="17.25" customHeight="1">
      <c r="B5571" s="15"/>
      <c r="C5571" s="15"/>
      <c r="D5571" s="15"/>
      <c r="E5571" s="15"/>
      <c r="F5571" s="20"/>
    </row>
    <row r="5572" spans="2:6" ht="17.25" customHeight="1">
      <c r="B5572" s="15"/>
      <c r="C5572" s="15"/>
      <c r="D5572" s="15"/>
      <c r="E5572" s="15"/>
      <c r="F5572" s="20"/>
    </row>
    <row r="5573" spans="2:6" ht="17.25" customHeight="1">
      <c r="B5573" s="15"/>
      <c r="C5573" s="15"/>
      <c r="D5573" s="15"/>
      <c r="E5573" s="15"/>
      <c r="F5573" s="20"/>
    </row>
    <row r="5574" spans="2:6" ht="17.25" customHeight="1">
      <c r="B5574" s="15"/>
      <c r="C5574" s="15"/>
      <c r="D5574" s="15"/>
      <c r="E5574" s="15"/>
      <c r="F5574" s="20"/>
    </row>
    <row r="5575" spans="2:6" ht="17.25" customHeight="1">
      <c r="B5575" s="15"/>
      <c r="C5575" s="15"/>
      <c r="D5575" s="15"/>
      <c r="E5575" s="15"/>
      <c r="F5575" s="20"/>
    </row>
    <row r="5576" spans="2:6" ht="17.25" customHeight="1">
      <c r="B5576" s="15"/>
      <c r="C5576" s="15"/>
      <c r="D5576" s="15"/>
      <c r="E5576" s="15"/>
      <c r="F5576" s="20"/>
    </row>
    <row r="5577" spans="2:6" ht="17.25" customHeight="1">
      <c r="B5577" s="15"/>
      <c r="C5577" s="15"/>
      <c r="D5577" s="15"/>
      <c r="E5577" s="15"/>
      <c r="F5577" s="20"/>
    </row>
    <row r="5578" spans="2:6" ht="17.25" customHeight="1">
      <c r="B5578" s="15"/>
      <c r="C5578" s="15"/>
      <c r="D5578" s="15"/>
      <c r="E5578" s="15"/>
      <c r="F5578" s="20"/>
    </row>
    <row r="5579" spans="2:6" ht="17.25" customHeight="1">
      <c r="B5579" s="15"/>
      <c r="C5579" s="15"/>
      <c r="D5579" s="15"/>
      <c r="E5579" s="15"/>
      <c r="F5579" s="20"/>
    </row>
    <row r="5580" spans="2:6" ht="17.25" customHeight="1">
      <c r="B5580" s="15"/>
      <c r="C5580" s="15"/>
      <c r="D5580" s="15"/>
      <c r="E5580" s="15"/>
      <c r="F5580" s="20"/>
    </row>
    <row r="5581" spans="2:6" ht="17.25" customHeight="1">
      <c r="B5581" s="15"/>
      <c r="C5581" s="15"/>
      <c r="D5581" s="15"/>
      <c r="E5581" s="15"/>
      <c r="F5581" s="20"/>
    </row>
    <row r="5582" spans="2:6" ht="17.25" customHeight="1">
      <c r="B5582" s="15"/>
      <c r="C5582" s="15"/>
      <c r="D5582" s="15"/>
      <c r="E5582" s="15"/>
      <c r="F5582" s="20"/>
    </row>
    <row r="5583" spans="2:6" ht="17.25" customHeight="1">
      <c r="B5583" s="15"/>
      <c r="C5583" s="15"/>
      <c r="D5583" s="15"/>
      <c r="E5583" s="15"/>
      <c r="F5583" s="20"/>
    </row>
    <row r="5584" spans="2:6" ht="17.25" customHeight="1">
      <c r="B5584" s="15"/>
      <c r="C5584" s="15"/>
      <c r="D5584" s="15"/>
      <c r="E5584" s="15"/>
      <c r="F5584" s="20"/>
    </row>
    <row r="5585" spans="2:6" ht="17.25" customHeight="1">
      <c r="B5585" s="15"/>
      <c r="C5585" s="15"/>
      <c r="D5585" s="15"/>
      <c r="E5585" s="15"/>
      <c r="F5585" s="20"/>
    </row>
    <row r="5586" spans="2:6" ht="17.25" customHeight="1">
      <c r="B5586" s="15"/>
      <c r="C5586" s="15"/>
      <c r="D5586" s="15"/>
      <c r="E5586" s="15"/>
      <c r="F5586" s="20"/>
    </row>
    <row r="5587" spans="2:6" ht="17.25" customHeight="1">
      <c r="B5587" s="15"/>
      <c r="C5587" s="15"/>
      <c r="D5587" s="15"/>
      <c r="E5587" s="15"/>
      <c r="F5587" s="20"/>
    </row>
    <row r="5588" spans="2:6" ht="17.25" customHeight="1">
      <c r="B5588" s="15"/>
      <c r="C5588" s="15"/>
      <c r="D5588" s="15"/>
      <c r="E5588" s="15"/>
      <c r="F5588" s="20"/>
    </row>
    <row r="5589" spans="2:6" ht="17.25" customHeight="1">
      <c r="B5589" s="15"/>
      <c r="C5589" s="15"/>
      <c r="D5589" s="15"/>
      <c r="E5589" s="15"/>
      <c r="F5589" s="20"/>
    </row>
    <row r="5590" spans="2:6" ht="17.25" customHeight="1">
      <c r="B5590" s="15"/>
      <c r="C5590" s="15"/>
      <c r="D5590" s="15"/>
      <c r="E5590" s="15"/>
      <c r="F5590" s="20"/>
    </row>
    <row r="5591" spans="2:6" ht="17.25" customHeight="1">
      <c r="B5591" s="15"/>
      <c r="C5591" s="15"/>
      <c r="D5591" s="15"/>
      <c r="E5591" s="15"/>
      <c r="F5591" s="20"/>
    </row>
    <row r="5592" spans="2:6" ht="17.25" customHeight="1">
      <c r="B5592" s="15"/>
      <c r="C5592" s="15"/>
      <c r="D5592" s="15"/>
      <c r="E5592" s="15"/>
      <c r="F5592" s="20"/>
    </row>
    <row r="5593" spans="2:6" ht="17.25" customHeight="1">
      <c r="B5593" s="15"/>
      <c r="C5593" s="15"/>
      <c r="D5593" s="15"/>
      <c r="E5593" s="15"/>
      <c r="F5593" s="20"/>
    </row>
    <row r="5594" spans="2:6" ht="17.25" customHeight="1">
      <c r="B5594" s="15"/>
      <c r="C5594" s="15"/>
      <c r="D5594" s="15"/>
      <c r="E5594" s="15"/>
      <c r="F5594" s="20"/>
    </row>
    <row r="5595" spans="2:6" ht="17.25" customHeight="1">
      <c r="B5595" s="15"/>
      <c r="C5595" s="15"/>
      <c r="D5595" s="15"/>
      <c r="E5595" s="15"/>
      <c r="F5595" s="20"/>
    </row>
    <row r="5596" spans="2:6" ht="17.25" customHeight="1">
      <c r="B5596" s="15"/>
      <c r="C5596" s="15"/>
      <c r="D5596" s="15"/>
      <c r="E5596" s="15"/>
      <c r="F5596" s="20"/>
    </row>
    <row r="5597" spans="2:6" ht="17.25" customHeight="1">
      <c r="B5597" s="15"/>
      <c r="C5597" s="15"/>
      <c r="D5597" s="15"/>
      <c r="E5597" s="15"/>
      <c r="F5597" s="20"/>
    </row>
    <row r="5598" spans="2:6" ht="17.25" customHeight="1">
      <c r="B5598" s="15"/>
      <c r="C5598" s="15"/>
      <c r="D5598" s="15"/>
      <c r="E5598" s="15"/>
      <c r="F5598" s="20"/>
    </row>
    <row r="5599" spans="2:6" ht="17.25" customHeight="1">
      <c r="B5599" s="15"/>
      <c r="C5599" s="15"/>
      <c r="D5599" s="15"/>
      <c r="E5599" s="15"/>
      <c r="F5599" s="20"/>
    </row>
    <row r="5600" spans="2:6" ht="17.25" customHeight="1">
      <c r="B5600" s="15"/>
      <c r="C5600" s="15"/>
      <c r="D5600" s="15"/>
      <c r="E5600" s="15"/>
      <c r="F5600" s="20"/>
    </row>
    <row r="5601" spans="2:6" ht="17.25" customHeight="1">
      <c r="B5601" s="15"/>
      <c r="C5601" s="15"/>
      <c r="D5601" s="15"/>
      <c r="E5601" s="15"/>
      <c r="F5601" s="20"/>
    </row>
    <row r="5602" spans="2:6" ht="17.25" customHeight="1">
      <c r="B5602" s="15"/>
      <c r="C5602" s="15"/>
      <c r="D5602" s="15"/>
      <c r="E5602" s="15"/>
      <c r="F5602" s="20"/>
    </row>
    <row r="5603" spans="2:6" ht="17.25" customHeight="1">
      <c r="B5603" s="15"/>
      <c r="C5603" s="15"/>
      <c r="D5603" s="15"/>
      <c r="E5603" s="15"/>
      <c r="F5603" s="20"/>
    </row>
    <row r="5604" spans="2:6" ht="17.25" customHeight="1">
      <c r="B5604" s="15"/>
      <c r="C5604" s="15"/>
      <c r="D5604" s="15"/>
      <c r="E5604" s="15"/>
      <c r="F5604" s="20"/>
    </row>
    <row r="5605" spans="2:6" ht="17.25" customHeight="1">
      <c r="B5605" s="15"/>
      <c r="C5605" s="15"/>
      <c r="D5605" s="15"/>
      <c r="E5605" s="15"/>
      <c r="F5605" s="20"/>
    </row>
    <row r="5606" spans="2:6" ht="17.25" customHeight="1">
      <c r="B5606" s="15"/>
      <c r="C5606" s="15"/>
      <c r="D5606" s="15"/>
      <c r="E5606" s="15"/>
      <c r="F5606" s="20"/>
    </row>
    <row r="5607" spans="2:6" ht="17.25" customHeight="1">
      <c r="B5607" s="15"/>
      <c r="C5607" s="15"/>
      <c r="D5607" s="15"/>
      <c r="E5607" s="15"/>
      <c r="F5607" s="20"/>
    </row>
    <row r="5608" spans="2:6" ht="17.25" customHeight="1">
      <c r="B5608" s="15"/>
      <c r="C5608" s="15"/>
      <c r="D5608" s="15"/>
      <c r="E5608" s="15"/>
      <c r="F5608" s="20"/>
    </row>
    <row r="5609" spans="2:6" ht="17.25" customHeight="1">
      <c r="B5609" s="15"/>
      <c r="C5609" s="15"/>
      <c r="D5609" s="15"/>
      <c r="E5609" s="15"/>
      <c r="F5609" s="20"/>
    </row>
    <row r="5610" spans="2:6" ht="17.25" customHeight="1">
      <c r="B5610" s="15"/>
      <c r="C5610" s="15"/>
      <c r="D5610" s="15"/>
      <c r="E5610" s="15"/>
      <c r="F5610" s="20"/>
    </row>
    <row r="5611" spans="2:6" ht="17.25" customHeight="1">
      <c r="B5611" s="15"/>
      <c r="C5611" s="15"/>
      <c r="D5611" s="15"/>
      <c r="E5611" s="15"/>
      <c r="F5611" s="20"/>
    </row>
    <row r="5612" spans="2:6" ht="17.25" customHeight="1">
      <c r="B5612" s="15"/>
      <c r="C5612" s="15"/>
      <c r="D5612" s="15"/>
      <c r="E5612" s="15"/>
      <c r="F5612" s="20"/>
    </row>
    <row r="5613" spans="2:6" ht="17.25" customHeight="1">
      <c r="B5613" s="15"/>
      <c r="C5613" s="15"/>
      <c r="D5613" s="15"/>
      <c r="E5613" s="15"/>
      <c r="F5613" s="20"/>
    </row>
    <row r="5614" spans="2:6" ht="17.25" customHeight="1">
      <c r="B5614" s="15"/>
      <c r="C5614" s="15"/>
      <c r="D5614" s="15"/>
      <c r="E5614" s="15"/>
      <c r="F5614" s="20"/>
    </row>
    <row r="5615" spans="2:6" ht="17.25" customHeight="1">
      <c r="B5615" s="15"/>
      <c r="C5615" s="15"/>
      <c r="D5615" s="15"/>
      <c r="E5615" s="15"/>
      <c r="F5615" s="20"/>
    </row>
    <row r="5616" spans="2:6" ht="17.25" customHeight="1">
      <c r="B5616" s="15"/>
      <c r="C5616" s="15"/>
      <c r="D5616" s="15"/>
      <c r="E5616" s="15"/>
      <c r="F5616" s="20"/>
    </row>
    <row r="5617" spans="2:6" ht="17.25" customHeight="1">
      <c r="B5617" s="15"/>
      <c r="C5617" s="15"/>
      <c r="D5617" s="15"/>
      <c r="E5617" s="15"/>
      <c r="F5617" s="20"/>
    </row>
    <row r="5618" spans="2:6" ht="17.25" customHeight="1">
      <c r="B5618" s="15"/>
      <c r="C5618" s="15"/>
      <c r="D5618" s="15"/>
      <c r="E5618" s="15"/>
      <c r="F5618" s="20"/>
    </row>
    <row r="5619" spans="2:6" ht="17.25" customHeight="1">
      <c r="B5619" s="15"/>
      <c r="C5619" s="15"/>
      <c r="D5619" s="15"/>
      <c r="E5619" s="15"/>
      <c r="F5619" s="20"/>
    </row>
    <row r="5620" spans="2:6" ht="17.25" customHeight="1">
      <c r="B5620" s="15"/>
      <c r="C5620" s="15"/>
      <c r="D5620" s="15"/>
      <c r="E5620" s="15"/>
      <c r="F5620" s="20"/>
    </row>
    <row r="5621" spans="2:6" ht="17.25" customHeight="1">
      <c r="B5621" s="15"/>
      <c r="C5621" s="15"/>
      <c r="D5621" s="15"/>
      <c r="E5621" s="15"/>
      <c r="F5621" s="20"/>
    </row>
    <row r="5622" spans="2:6" ht="17.25" customHeight="1">
      <c r="B5622" s="15"/>
      <c r="C5622" s="15"/>
      <c r="D5622" s="15"/>
      <c r="E5622" s="15"/>
      <c r="F5622" s="20"/>
    </row>
    <row r="5623" spans="2:6" ht="17.25" customHeight="1">
      <c r="B5623" s="15"/>
      <c r="C5623" s="15"/>
      <c r="D5623" s="15"/>
      <c r="E5623" s="15"/>
      <c r="F5623" s="20"/>
    </row>
    <row r="5624" spans="2:6" ht="17.25" customHeight="1">
      <c r="B5624" s="15"/>
      <c r="C5624" s="15"/>
      <c r="D5624" s="15"/>
      <c r="E5624" s="15"/>
      <c r="F5624" s="20"/>
    </row>
    <row r="5625" spans="2:6" ht="17.25" customHeight="1">
      <c r="B5625" s="15"/>
      <c r="C5625" s="15"/>
      <c r="D5625" s="15"/>
      <c r="E5625" s="15"/>
      <c r="F5625" s="20"/>
    </row>
    <row r="5626" spans="2:6" ht="17.25" customHeight="1">
      <c r="B5626" s="15"/>
      <c r="C5626" s="15"/>
      <c r="D5626" s="15"/>
      <c r="E5626" s="15"/>
      <c r="F5626" s="20"/>
    </row>
    <row r="5627" spans="2:6" ht="17.25" customHeight="1">
      <c r="B5627" s="15"/>
      <c r="C5627" s="15"/>
      <c r="D5627" s="15"/>
      <c r="E5627" s="15"/>
      <c r="F5627" s="20"/>
    </row>
    <row r="5628" spans="2:6" ht="17.25" customHeight="1">
      <c r="B5628" s="15"/>
      <c r="C5628" s="15"/>
      <c r="D5628" s="15"/>
      <c r="E5628" s="15"/>
      <c r="F5628" s="20"/>
    </row>
    <row r="5629" spans="2:6" ht="17.25" customHeight="1">
      <c r="B5629" s="15"/>
      <c r="C5629" s="15"/>
      <c r="D5629" s="15"/>
      <c r="E5629" s="15"/>
      <c r="F5629" s="20"/>
    </row>
    <row r="5630" spans="2:6" ht="17.25" customHeight="1">
      <c r="B5630" s="15"/>
      <c r="C5630" s="15"/>
      <c r="D5630" s="15"/>
      <c r="E5630" s="15"/>
      <c r="F5630" s="20"/>
    </row>
    <row r="5631" spans="2:6" ht="17.25" customHeight="1">
      <c r="B5631" s="15"/>
      <c r="C5631" s="15"/>
      <c r="D5631" s="15"/>
      <c r="E5631" s="15"/>
      <c r="F5631" s="20"/>
    </row>
    <row r="5632" spans="2:6" ht="17.25" customHeight="1">
      <c r="B5632" s="15"/>
      <c r="C5632" s="15"/>
      <c r="D5632" s="15"/>
      <c r="E5632" s="15"/>
      <c r="F5632" s="20"/>
    </row>
    <row r="5633" spans="2:6" ht="17.25" customHeight="1">
      <c r="B5633" s="15"/>
      <c r="C5633" s="15"/>
      <c r="D5633" s="15"/>
      <c r="E5633" s="15"/>
      <c r="F5633" s="20"/>
    </row>
    <row r="5634" spans="2:6" ht="17.25" customHeight="1">
      <c r="B5634" s="15"/>
      <c r="C5634" s="15"/>
      <c r="D5634" s="15"/>
      <c r="E5634" s="15"/>
      <c r="F5634" s="20"/>
    </row>
    <row r="5635" spans="2:6" ht="17.25" customHeight="1">
      <c r="B5635" s="15"/>
      <c r="C5635" s="15"/>
      <c r="D5635" s="15"/>
      <c r="E5635" s="15"/>
      <c r="F5635" s="20"/>
    </row>
    <row r="5636" spans="2:6" ht="17.25" customHeight="1">
      <c r="B5636" s="15"/>
      <c r="C5636" s="15"/>
      <c r="D5636" s="15"/>
      <c r="E5636" s="15"/>
      <c r="F5636" s="20"/>
    </row>
    <row r="5637" spans="2:6" ht="17.25" customHeight="1">
      <c r="B5637" s="15"/>
      <c r="C5637" s="15"/>
      <c r="D5637" s="15"/>
      <c r="E5637" s="15"/>
      <c r="F5637" s="20"/>
    </row>
    <row r="5638" spans="2:6" ht="17.25" customHeight="1">
      <c r="B5638" s="15"/>
      <c r="C5638" s="15"/>
      <c r="D5638" s="15"/>
      <c r="E5638" s="15"/>
      <c r="F5638" s="20"/>
    </row>
    <row r="5639" spans="2:6" ht="17.25" customHeight="1">
      <c r="B5639" s="15"/>
      <c r="C5639" s="15"/>
      <c r="D5639" s="15"/>
      <c r="E5639" s="15"/>
      <c r="F5639" s="20"/>
    </row>
    <row r="5640" spans="2:6" ht="17.25" customHeight="1">
      <c r="B5640" s="15"/>
      <c r="C5640" s="15"/>
      <c r="D5640" s="15"/>
      <c r="E5640" s="15"/>
      <c r="F5640" s="20"/>
    </row>
    <row r="5641" spans="2:6" ht="17.25" customHeight="1">
      <c r="B5641" s="15"/>
      <c r="C5641" s="15"/>
      <c r="D5641" s="15"/>
      <c r="E5641" s="15"/>
      <c r="F5641" s="20"/>
    </row>
    <row r="5642" spans="2:6" ht="17.25" customHeight="1">
      <c r="B5642" s="15"/>
      <c r="C5642" s="15"/>
      <c r="D5642" s="15"/>
      <c r="E5642" s="15"/>
      <c r="F5642" s="20"/>
    </row>
    <row r="5643" spans="2:6" ht="17.25" customHeight="1">
      <c r="B5643" s="15"/>
      <c r="C5643" s="15"/>
      <c r="D5643" s="15"/>
      <c r="E5643" s="15"/>
      <c r="F5643" s="20"/>
    </row>
    <row r="5644" spans="2:6" ht="17.25" customHeight="1">
      <c r="B5644" s="15"/>
      <c r="C5644" s="15"/>
      <c r="D5644" s="15"/>
      <c r="E5644" s="15"/>
      <c r="F5644" s="20"/>
    </row>
    <row r="5645" spans="2:6" ht="17.25" customHeight="1">
      <c r="B5645" s="15"/>
      <c r="C5645" s="15"/>
      <c r="D5645" s="15"/>
      <c r="E5645" s="15"/>
      <c r="F5645" s="20"/>
    </row>
    <row r="5646" spans="2:6" ht="17.25" customHeight="1">
      <c r="B5646" s="15"/>
      <c r="C5646" s="15"/>
      <c r="D5646" s="15"/>
      <c r="E5646" s="15"/>
      <c r="F5646" s="20"/>
    </row>
    <row r="5647" spans="2:6" ht="17.25" customHeight="1">
      <c r="B5647" s="15"/>
      <c r="C5647" s="15"/>
      <c r="D5647" s="15"/>
      <c r="E5647" s="15"/>
      <c r="F5647" s="20"/>
    </row>
    <row r="5648" spans="2:6" ht="17.25" customHeight="1">
      <c r="B5648" s="15"/>
      <c r="C5648" s="15"/>
      <c r="D5648" s="15"/>
      <c r="E5648" s="15"/>
      <c r="F5648" s="20"/>
    </row>
    <row r="5649" spans="2:6" ht="17.25" customHeight="1">
      <c r="B5649" s="15"/>
      <c r="C5649" s="15"/>
      <c r="D5649" s="15"/>
      <c r="E5649" s="15"/>
      <c r="F5649" s="20"/>
    </row>
    <row r="5650" spans="2:6" ht="17.25" customHeight="1">
      <c r="B5650" s="15"/>
      <c r="C5650" s="15"/>
      <c r="D5650" s="15"/>
      <c r="E5650" s="15"/>
      <c r="F5650" s="20"/>
    </row>
    <row r="5651" spans="2:6" ht="17.25" customHeight="1">
      <c r="B5651" s="15"/>
      <c r="C5651" s="15"/>
      <c r="D5651" s="15"/>
      <c r="E5651" s="15"/>
      <c r="F5651" s="20"/>
    </row>
    <row r="5652" spans="2:6" ht="17.25" customHeight="1">
      <c r="B5652" s="15"/>
      <c r="C5652" s="15"/>
      <c r="D5652" s="15"/>
      <c r="E5652" s="15"/>
      <c r="F5652" s="20"/>
    </row>
    <row r="5653" spans="2:6" ht="17.25" customHeight="1">
      <c r="B5653" s="15"/>
      <c r="C5653" s="15"/>
      <c r="D5653" s="15"/>
      <c r="E5653" s="15"/>
      <c r="F5653" s="20"/>
    </row>
    <row r="5654" spans="2:6" ht="17.25" customHeight="1">
      <c r="B5654" s="15"/>
      <c r="C5654" s="15"/>
      <c r="D5654" s="15"/>
      <c r="E5654" s="15"/>
      <c r="F5654" s="20"/>
    </row>
    <row r="5655" spans="2:6" ht="17.25" customHeight="1">
      <c r="B5655" s="15"/>
      <c r="C5655" s="15"/>
      <c r="D5655" s="15"/>
      <c r="E5655" s="15"/>
      <c r="F5655" s="20"/>
    </row>
    <row r="5656" spans="2:6" ht="17.25" customHeight="1">
      <c r="B5656" s="15"/>
      <c r="C5656" s="15"/>
      <c r="D5656" s="15"/>
      <c r="E5656" s="15"/>
      <c r="F5656" s="20"/>
    </row>
    <row r="5657" spans="2:6" ht="17.25" customHeight="1">
      <c r="B5657" s="15"/>
      <c r="C5657" s="15"/>
      <c r="D5657" s="15"/>
      <c r="E5657" s="15"/>
      <c r="F5657" s="20"/>
    </row>
    <row r="5658" spans="2:6" ht="17.25" customHeight="1">
      <c r="B5658" s="15"/>
      <c r="C5658" s="15"/>
      <c r="D5658" s="15"/>
      <c r="E5658" s="15"/>
      <c r="F5658" s="20"/>
    </row>
    <row r="5659" spans="2:6" ht="17.25" customHeight="1">
      <c r="B5659" s="15"/>
      <c r="C5659" s="15"/>
      <c r="D5659" s="15"/>
      <c r="E5659" s="15"/>
      <c r="F5659" s="20"/>
    </row>
    <row r="5660" spans="2:6" ht="17.25" customHeight="1">
      <c r="B5660" s="15"/>
      <c r="C5660" s="15"/>
      <c r="D5660" s="15"/>
      <c r="E5660" s="15"/>
      <c r="F5660" s="20"/>
    </row>
    <row r="5661" spans="2:6" ht="17.25" customHeight="1">
      <c r="B5661" s="15"/>
      <c r="C5661" s="15"/>
      <c r="D5661" s="15"/>
      <c r="E5661" s="15"/>
      <c r="F5661" s="20"/>
    </row>
    <row r="5662" spans="2:6" ht="17.25" customHeight="1">
      <c r="B5662" s="15"/>
      <c r="C5662" s="15"/>
      <c r="D5662" s="15"/>
      <c r="E5662" s="15"/>
      <c r="F5662" s="20"/>
    </row>
    <row r="5663" spans="2:6" ht="17.25" customHeight="1">
      <c r="B5663" s="15"/>
      <c r="C5663" s="15"/>
      <c r="D5663" s="15"/>
      <c r="E5663" s="15"/>
      <c r="F5663" s="20"/>
    </row>
    <row r="5664" spans="2:6" ht="17.25" customHeight="1">
      <c r="B5664" s="15"/>
      <c r="C5664" s="15"/>
      <c r="D5664" s="15"/>
      <c r="E5664" s="15"/>
      <c r="F5664" s="20"/>
    </row>
    <row r="5665" spans="2:6" ht="17.25" customHeight="1">
      <c r="B5665" s="15"/>
      <c r="C5665" s="15"/>
      <c r="D5665" s="15"/>
      <c r="E5665" s="15"/>
      <c r="F5665" s="20"/>
    </row>
    <row r="5666" spans="2:6" ht="17.25" customHeight="1">
      <c r="B5666" s="15"/>
      <c r="C5666" s="15"/>
      <c r="D5666" s="15"/>
      <c r="E5666" s="15"/>
      <c r="F5666" s="20"/>
    </row>
    <row r="5667" spans="2:6" ht="17.25" customHeight="1">
      <c r="B5667" s="15"/>
      <c r="C5667" s="15"/>
      <c r="D5667" s="15"/>
      <c r="E5667" s="15"/>
      <c r="F5667" s="20"/>
    </row>
    <row r="5668" spans="2:6" ht="17.25" customHeight="1">
      <c r="B5668" s="15"/>
      <c r="C5668" s="15"/>
      <c r="D5668" s="15"/>
      <c r="E5668" s="15"/>
      <c r="F5668" s="20"/>
    </row>
    <row r="5669" spans="2:6" ht="17.25" customHeight="1">
      <c r="B5669" s="15"/>
      <c r="C5669" s="15"/>
      <c r="D5669" s="15"/>
      <c r="E5669" s="15"/>
      <c r="F5669" s="20"/>
    </row>
    <row r="5670" spans="2:6" ht="17.25" customHeight="1">
      <c r="B5670" s="15"/>
      <c r="C5670" s="15"/>
      <c r="D5670" s="15"/>
      <c r="E5670" s="15"/>
      <c r="F5670" s="20"/>
    </row>
    <row r="5671" spans="2:6" ht="17.25" customHeight="1">
      <c r="B5671" s="15"/>
      <c r="C5671" s="15"/>
      <c r="D5671" s="15"/>
      <c r="E5671" s="15"/>
      <c r="F5671" s="20"/>
    </row>
    <row r="5672" spans="2:6" ht="17.25" customHeight="1">
      <c r="B5672" s="15"/>
      <c r="C5672" s="15"/>
      <c r="D5672" s="15"/>
      <c r="E5672" s="15"/>
      <c r="F5672" s="20"/>
    </row>
    <row r="5673" spans="2:6" ht="17.25" customHeight="1">
      <c r="B5673" s="15"/>
      <c r="C5673" s="15"/>
      <c r="D5673" s="15"/>
      <c r="E5673" s="15"/>
      <c r="F5673" s="20"/>
    </row>
    <row r="5674" spans="2:6" ht="17.25" customHeight="1">
      <c r="B5674" s="15"/>
      <c r="C5674" s="15"/>
      <c r="D5674" s="15"/>
      <c r="E5674" s="15"/>
      <c r="F5674" s="20"/>
    </row>
    <row r="5675" spans="2:6" ht="17.25" customHeight="1">
      <c r="B5675" s="15"/>
      <c r="C5675" s="15"/>
      <c r="D5675" s="15"/>
      <c r="E5675" s="15"/>
      <c r="F5675" s="20"/>
    </row>
    <row r="5676" spans="2:6" ht="17.25" customHeight="1">
      <c r="B5676" s="15"/>
      <c r="C5676" s="15"/>
      <c r="D5676" s="15"/>
      <c r="E5676" s="15"/>
      <c r="F5676" s="20"/>
    </row>
    <row r="5677" spans="2:6" ht="17.25" customHeight="1">
      <c r="B5677" s="15"/>
      <c r="C5677" s="15"/>
      <c r="D5677" s="15"/>
      <c r="E5677" s="15"/>
      <c r="F5677" s="20"/>
    </row>
    <row r="5678" spans="2:6" ht="17.25" customHeight="1">
      <c r="B5678" s="15"/>
      <c r="C5678" s="15"/>
      <c r="D5678" s="15"/>
      <c r="E5678" s="15"/>
      <c r="F5678" s="20"/>
    </row>
    <row r="5679" spans="2:6" ht="17.25" customHeight="1">
      <c r="B5679" s="15"/>
      <c r="C5679" s="15"/>
      <c r="D5679" s="15"/>
      <c r="E5679" s="15"/>
      <c r="F5679" s="20"/>
    </row>
    <row r="5680" spans="2:6" ht="17.25" customHeight="1">
      <c r="B5680" s="15"/>
      <c r="C5680" s="15"/>
      <c r="D5680" s="15"/>
      <c r="E5680" s="15"/>
      <c r="F5680" s="20"/>
    </row>
    <row r="5681" spans="2:6" ht="17.25" customHeight="1">
      <c r="B5681" s="15"/>
      <c r="C5681" s="15"/>
      <c r="D5681" s="15"/>
      <c r="E5681" s="15"/>
      <c r="F5681" s="20"/>
    </row>
    <row r="5682" spans="2:6" ht="17.25" customHeight="1">
      <c r="B5682" s="15"/>
      <c r="C5682" s="15"/>
      <c r="D5682" s="15"/>
      <c r="E5682" s="15"/>
      <c r="F5682" s="20"/>
    </row>
    <row r="5683" spans="2:6" ht="17.25" customHeight="1">
      <c r="B5683" s="15"/>
      <c r="C5683" s="15"/>
      <c r="D5683" s="15"/>
      <c r="E5683" s="15"/>
      <c r="F5683" s="20"/>
    </row>
    <row r="5684" spans="2:6" ht="17.25" customHeight="1">
      <c r="B5684" s="15"/>
      <c r="C5684" s="15"/>
      <c r="D5684" s="15"/>
      <c r="E5684" s="15"/>
      <c r="F5684" s="20"/>
    </row>
    <row r="5685" spans="2:6" ht="17.25" customHeight="1">
      <c r="B5685" s="15"/>
      <c r="C5685" s="15"/>
      <c r="D5685" s="15"/>
      <c r="E5685" s="15"/>
      <c r="F5685" s="20"/>
    </row>
    <row r="5686" spans="2:6" ht="17.25" customHeight="1">
      <c r="B5686" s="15"/>
      <c r="C5686" s="15"/>
      <c r="D5686" s="15"/>
      <c r="E5686" s="15"/>
      <c r="F5686" s="20"/>
    </row>
    <row r="5687" spans="2:6" ht="17.25" customHeight="1">
      <c r="B5687" s="15"/>
      <c r="C5687" s="15"/>
      <c r="D5687" s="15"/>
      <c r="E5687" s="15"/>
      <c r="F5687" s="20"/>
    </row>
    <row r="5688" spans="2:6" ht="17.25" customHeight="1">
      <c r="B5688" s="15"/>
      <c r="C5688" s="15"/>
      <c r="D5688" s="15"/>
      <c r="E5688" s="15"/>
      <c r="F5688" s="20"/>
    </row>
    <row r="5689" spans="2:6" ht="17.25" customHeight="1">
      <c r="B5689" s="15"/>
      <c r="C5689" s="15"/>
      <c r="D5689" s="15"/>
      <c r="E5689" s="15"/>
      <c r="F5689" s="20"/>
    </row>
    <row r="5690" spans="2:6" ht="17.25" customHeight="1">
      <c r="B5690" s="15"/>
      <c r="C5690" s="15"/>
      <c r="D5690" s="15"/>
      <c r="E5690" s="15"/>
      <c r="F5690" s="20"/>
    </row>
    <row r="5691" spans="2:6" ht="17.25" customHeight="1">
      <c r="B5691" s="15"/>
      <c r="C5691" s="15"/>
      <c r="D5691" s="15"/>
      <c r="E5691" s="15"/>
      <c r="F5691" s="20"/>
    </row>
    <row r="5692" spans="2:6" ht="17.25" customHeight="1">
      <c r="B5692" s="15"/>
      <c r="C5692" s="15"/>
      <c r="D5692" s="15"/>
      <c r="E5692" s="15"/>
      <c r="F5692" s="20"/>
    </row>
    <row r="5693" spans="2:6" ht="17.25" customHeight="1">
      <c r="B5693" s="15"/>
      <c r="C5693" s="15"/>
      <c r="D5693" s="15"/>
      <c r="E5693" s="15"/>
      <c r="F5693" s="20"/>
    </row>
    <row r="5694" spans="2:6" ht="17.25" customHeight="1">
      <c r="B5694" s="15"/>
      <c r="C5694" s="15"/>
      <c r="D5694" s="15"/>
      <c r="E5694" s="15"/>
      <c r="F5694" s="20"/>
    </row>
    <row r="5695" spans="2:6" ht="17.25" customHeight="1">
      <c r="B5695" s="15"/>
      <c r="C5695" s="15"/>
      <c r="D5695" s="15"/>
      <c r="E5695" s="15"/>
      <c r="F5695" s="20"/>
    </row>
    <row r="5696" spans="2:6" ht="17.25" customHeight="1">
      <c r="B5696" s="15"/>
      <c r="C5696" s="15"/>
      <c r="D5696" s="15"/>
      <c r="E5696" s="15"/>
      <c r="F5696" s="20"/>
    </row>
    <row r="5697" spans="2:6" ht="17.25" customHeight="1">
      <c r="B5697" s="15"/>
      <c r="C5697" s="15"/>
      <c r="D5697" s="15"/>
      <c r="E5697" s="15"/>
      <c r="F5697" s="20"/>
    </row>
    <row r="5698" spans="2:6" ht="17.25" customHeight="1">
      <c r="B5698" s="15"/>
      <c r="C5698" s="15"/>
      <c r="D5698" s="15"/>
      <c r="E5698" s="15"/>
      <c r="F5698" s="20"/>
    </row>
    <row r="5699" spans="2:6" ht="17.25" customHeight="1">
      <c r="B5699" s="15"/>
      <c r="C5699" s="15"/>
      <c r="D5699" s="15"/>
      <c r="E5699" s="15"/>
      <c r="F5699" s="20"/>
    </row>
    <row r="5700" spans="2:6" ht="17.25" customHeight="1">
      <c r="B5700" s="15"/>
      <c r="C5700" s="15"/>
      <c r="D5700" s="15"/>
      <c r="E5700" s="15"/>
      <c r="F5700" s="20"/>
    </row>
    <row r="5701" spans="2:6" ht="17.25" customHeight="1">
      <c r="B5701" s="15"/>
      <c r="C5701" s="15"/>
      <c r="D5701" s="15"/>
      <c r="E5701" s="15"/>
      <c r="F5701" s="20"/>
    </row>
    <row r="5702" spans="2:6" ht="17.25" customHeight="1">
      <c r="B5702" s="15"/>
      <c r="C5702" s="15"/>
      <c r="D5702" s="15"/>
      <c r="E5702" s="15"/>
      <c r="F5702" s="20"/>
    </row>
    <row r="5703" spans="2:6" ht="17.25" customHeight="1">
      <c r="B5703" s="15"/>
      <c r="C5703" s="15"/>
      <c r="D5703" s="15"/>
      <c r="E5703" s="15"/>
      <c r="F5703" s="20"/>
    </row>
    <row r="5704" spans="2:6" ht="17.25" customHeight="1">
      <c r="B5704" s="15"/>
      <c r="C5704" s="15"/>
      <c r="D5704" s="15"/>
      <c r="E5704" s="15"/>
      <c r="F5704" s="20"/>
    </row>
    <row r="5705" spans="2:6" ht="17.25" customHeight="1">
      <c r="B5705" s="15"/>
      <c r="C5705" s="15"/>
      <c r="D5705" s="15"/>
      <c r="E5705" s="15"/>
      <c r="F5705" s="20"/>
    </row>
    <row r="5706" spans="2:6" ht="17.25" customHeight="1">
      <c r="B5706" s="15"/>
      <c r="C5706" s="15"/>
      <c r="D5706" s="15"/>
      <c r="E5706" s="15"/>
      <c r="F5706" s="20"/>
    </row>
    <row r="5707" spans="2:6" ht="17.25" customHeight="1">
      <c r="B5707" s="15"/>
      <c r="C5707" s="15"/>
      <c r="D5707" s="15"/>
      <c r="E5707" s="15"/>
      <c r="F5707" s="20"/>
    </row>
    <row r="5708" spans="2:6" ht="17.25" customHeight="1">
      <c r="B5708" s="15"/>
      <c r="C5708" s="15"/>
      <c r="D5708" s="15"/>
      <c r="E5708" s="15"/>
      <c r="F5708" s="20"/>
    </row>
    <row r="5709" spans="2:6" ht="17.25" customHeight="1">
      <c r="B5709" s="15"/>
      <c r="C5709" s="15"/>
      <c r="D5709" s="15"/>
      <c r="E5709" s="15"/>
      <c r="F5709" s="20"/>
    </row>
    <row r="5710" spans="2:6" ht="17.25" customHeight="1">
      <c r="B5710" s="15"/>
      <c r="C5710" s="15"/>
      <c r="D5710" s="15"/>
      <c r="E5710" s="15"/>
      <c r="F5710" s="20"/>
    </row>
    <row r="5711" spans="2:6" ht="17.25" customHeight="1">
      <c r="B5711" s="15"/>
      <c r="C5711" s="15"/>
      <c r="D5711" s="15"/>
      <c r="E5711" s="15"/>
      <c r="F5711" s="20"/>
    </row>
    <row r="5712" spans="2:6" ht="17.25" customHeight="1">
      <c r="B5712" s="15"/>
      <c r="C5712" s="15"/>
      <c r="D5712" s="15"/>
      <c r="E5712" s="15"/>
      <c r="F5712" s="20"/>
    </row>
    <row r="5713" spans="2:6" ht="17.25" customHeight="1">
      <c r="B5713" s="15"/>
      <c r="C5713" s="15"/>
      <c r="D5713" s="15"/>
      <c r="E5713" s="15"/>
      <c r="F5713" s="20"/>
    </row>
    <row r="5714" spans="2:6" ht="17.25" customHeight="1">
      <c r="B5714" s="15"/>
      <c r="C5714" s="15"/>
      <c r="D5714" s="15"/>
      <c r="E5714" s="15"/>
      <c r="F5714" s="20"/>
    </row>
    <row r="5715" spans="2:6" ht="17.25" customHeight="1">
      <c r="B5715" s="15"/>
      <c r="C5715" s="15"/>
      <c r="D5715" s="15"/>
      <c r="E5715" s="15"/>
      <c r="F5715" s="20"/>
    </row>
    <row r="5716" spans="2:6" ht="17.25" customHeight="1">
      <c r="B5716" s="15"/>
      <c r="C5716" s="15"/>
      <c r="D5716" s="15"/>
      <c r="E5716" s="15"/>
      <c r="F5716" s="20"/>
    </row>
    <row r="5717" spans="2:6" ht="17.25" customHeight="1">
      <c r="B5717" s="15"/>
      <c r="C5717" s="15"/>
      <c r="D5717" s="15"/>
      <c r="E5717" s="15"/>
      <c r="F5717" s="20"/>
    </row>
    <row r="5718" spans="2:6" ht="17.25" customHeight="1">
      <c r="B5718" s="15"/>
      <c r="C5718" s="15"/>
      <c r="D5718" s="15"/>
      <c r="E5718" s="15"/>
      <c r="F5718" s="20"/>
    </row>
    <row r="5719" spans="2:6" ht="17.25" customHeight="1">
      <c r="B5719" s="15"/>
      <c r="C5719" s="15"/>
      <c r="D5719" s="15"/>
      <c r="E5719" s="15"/>
      <c r="F5719" s="20"/>
    </row>
    <row r="5720" spans="2:6" ht="17.25" customHeight="1">
      <c r="B5720" s="15"/>
      <c r="C5720" s="15"/>
      <c r="D5720" s="15"/>
      <c r="E5720" s="15"/>
      <c r="F5720" s="20"/>
    </row>
    <row r="5721" spans="2:6" ht="17.25" customHeight="1">
      <c r="B5721" s="15"/>
      <c r="C5721" s="15"/>
      <c r="D5721" s="15"/>
      <c r="E5721" s="15"/>
      <c r="F5721" s="20"/>
    </row>
    <row r="5722" spans="2:6" ht="17.25" customHeight="1">
      <c r="B5722" s="15"/>
      <c r="C5722" s="15"/>
      <c r="D5722" s="15"/>
      <c r="E5722" s="15"/>
      <c r="F5722" s="20"/>
    </row>
    <row r="5723" spans="2:6" ht="17.25" customHeight="1">
      <c r="B5723" s="15"/>
      <c r="C5723" s="15"/>
      <c r="D5723" s="15"/>
      <c r="E5723" s="15"/>
      <c r="F5723" s="20"/>
    </row>
    <row r="5724" spans="2:6" ht="17.25" customHeight="1">
      <c r="B5724" s="15"/>
      <c r="C5724" s="15"/>
      <c r="D5724" s="15"/>
      <c r="E5724" s="15"/>
      <c r="F5724" s="20"/>
    </row>
    <row r="5725" spans="2:6" ht="17.25" customHeight="1">
      <c r="B5725" s="15"/>
      <c r="C5725" s="15"/>
      <c r="D5725" s="15"/>
      <c r="E5725" s="15"/>
      <c r="F5725" s="20"/>
    </row>
    <row r="5726" spans="2:6" ht="17.25" customHeight="1">
      <c r="B5726" s="15"/>
      <c r="C5726" s="15"/>
      <c r="D5726" s="15"/>
      <c r="E5726" s="15"/>
      <c r="F5726" s="20"/>
    </row>
    <row r="5727" spans="2:6" ht="17.25" customHeight="1">
      <c r="B5727" s="15"/>
      <c r="C5727" s="15"/>
      <c r="D5727" s="15"/>
      <c r="E5727" s="15"/>
      <c r="F5727" s="20"/>
    </row>
    <row r="5728" spans="2:6" ht="17.25" customHeight="1">
      <c r="B5728" s="15"/>
      <c r="C5728" s="15"/>
      <c r="D5728" s="15"/>
      <c r="E5728" s="15"/>
      <c r="F5728" s="20"/>
    </row>
    <row r="5729" spans="2:6" ht="17.25" customHeight="1">
      <c r="B5729" s="15"/>
      <c r="C5729" s="15"/>
      <c r="D5729" s="15"/>
      <c r="E5729" s="15"/>
      <c r="F5729" s="20"/>
    </row>
    <row r="5730" spans="2:6" ht="17.25" customHeight="1">
      <c r="B5730" s="15"/>
      <c r="C5730" s="15"/>
      <c r="D5730" s="15"/>
      <c r="E5730" s="15"/>
      <c r="F5730" s="20"/>
    </row>
    <row r="5731" spans="2:6" ht="17.25" customHeight="1">
      <c r="B5731" s="15"/>
      <c r="C5731" s="15"/>
      <c r="D5731" s="15"/>
      <c r="E5731" s="15"/>
      <c r="F5731" s="20"/>
    </row>
    <row r="5732" spans="2:6" ht="17.25" customHeight="1">
      <c r="B5732" s="15"/>
      <c r="C5732" s="15"/>
      <c r="D5732" s="15"/>
      <c r="E5732" s="15"/>
      <c r="F5732" s="20"/>
    </row>
    <row r="5733" spans="2:6" ht="17.25" customHeight="1">
      <c r="B5733" s="15"/>
      <c r="C5733" s="15"/>
      <c r="D5733" s="15"/>
      <c r="E5733" s="15"/>
      <c r="F5733" s="20"/>
    </row>
    <row r="5734" spans="2:6" ht="17.25" customHeight="1">
      <c r="B5734" s="15"/>
      <c r="C5734" s="15"/>
      <c r="D5734" s="15"/>
      <c r="E5734" s="15"/>
      <c r="F5734" s="20"/>
    </row>
    <row r="5735" spans="2:6" ht="17.25" customHeight="1">
      <c r="B5735" s="15"/>
      <c r="C5735" s="15"/>
      <c r="D5735" s="15"/>
      <c r="E5735" s="15"/>
      <c r="F5735" s="20"/>
    </row>
    <row r="5736" spans="2:6" ht="17.25" customHeight="1">
      <c r="B5736" s="15"/>
      <c r="C5736" s="15"/>
      <c r="D5736" s="15"/>
      <c r="E5736" s="15"/>
      <c r="F5736" s="20"/>
    </row>
    <row r="5737" spans="2:6" ht="17.25" customHeight="1">
      <c r="B5737" s="15"/>
      <c r="C5737" s="15"/>
      <c r="D5737" s="15"/>
      <c r="E5737" s="15"/>
      <c r="F5737" s="20"/>
    </row>
    <row r="5738" spans="2:6" ht="17.25" customHeight="1">
      <c r="B5738" s="15"/>
      <c r="C5738" s="15"/>
      <c r="D5738" s="15"/>
      <c r="E5738" s="15"/>
      <c r="F5738" s="20"/>
    </row>
    <row r="5739" spans="2:6" ht="17.25" customHeight="1">
      <c r="B5739" s="15"/>
      <c r="C5739" s="15"/>
      <c r="D5739" s="15"/>
      <c r="E5739" s="15"/>
      <c r="F5739" s="20"/>
    </row>
    <row r="5740" spans="2:6" ht="17.25" customHeight="1">
      <c r="B5740" s="15"/>
      <c r="C5740" s="15"/>
      <c r="D5740" s="15"/>
      <c r="E5740" s="15"/>
      <c r="F5740" s="20"/>
    </row>
    <row r="5741" spans="2:6" ht="17.25" customHeight="1">
      <c r="B5741" s="15"/>
      <c r="C5741" s="15"/>
      <c r="D5741" s="15"/>
      <c r="E5741" s="15"/>
      <c r="F5741" s="20"/>
    </row>
    <row r="5742" spans="2:6" ht="17.25" customHeight="1">
      <c r="B5742" s="15"/>
      <c r="C5742" s="15"/>
      <c r="D5742" s="15"/>
      <c r="E5742" s="15"/>
      <c r="F5742" s="20"/>
    </row>
    <row r="5743" spans="2:6" ht="17.25" customHeight="1">
      <c r="B5743" s="15"/>
      <c r="C5743" s="15"/>
      <c r="D5743" s="15"/>
      <c r="E5743" s="15"/>
      <c r="F5743" s="20"/>
    </row>
    <row r="5744" spans="2:6" ht="17.25" customHeight="1">
      <c r="B5744" s="15"/>
      <c r="C5744" s="15"/>
      <c r="D5744" s="15"/>
      <c r="E5744" s="15"/>
      <c r="F5744" s="20"/>
    </row>
    <row r="5745" spans="2:6" ht="17.25" customHeight="1">
      <c r="B5745" s="15"/>
      <c r="C5745" s="15"/>
      <c r="D5745" s="15"/>
      <c r="E5745" s="15"/>
      <c r="F5745" s="20"/>
    </row>
    <row r="5746" spans="2:6" ht="17.25" customHeight="1">
      <c r="B5746" s="15"/>
      <c r="C5746" s="15"/>
      <c r="D5746" s="15"/>
      <c r="E5746" s="15"/>
      <c r="F5746" s="20"/>
    </row>
    <row r="5747" spans="2:6" ht="17.25" customHeight="1">
      <c r="B5747" s="15"/>
      <c r="C5747" s="15"/>
      <c r="D5747" s="15"/>
      <c r="E5747" s="15"/>
      <c r="F5747" s="20"/>
    </row>
    <row r="5748" spans="2:6" ht="17.25" customHeight="1">
      <c r="B5748" s="15"/>
      <c r="C5748" s="15"/>
      <c r="D5748" s="15"/>
      <c r="E5748" s="15"/>
      <c r="F5748" s="20"/>
    </row>
    <row r="5749" spans="2:6" ht="17.25" customHeight="1">
      <c r="B5749" s="15"/>
      <c r="C5749" s="15"/>
      <c r="D5749" s="15"/>
      <c r="E5749" s="15"/>
      <c r="F5749" s="20"/>
    </row>
    <row r="5750" spans="2:6" ht="17.25" customHeight="1">
      <c r="B5750" s="15"/>
      <c r="C5750" s="15"/>
      <c r="D5750" s="15"/>
      <c r="E5750" s="15"/>
      <c r="F5750" s="20"/>
    </row>
    <row r="5751" spans="2:6" ht="17.25" customHeight="1">
      <c r="B5751" s="15"/>
      <c r="C5751" s="15"/>
      <c r="D5751" s="15"/>
      <c r="E5751" s="15"/>
      <c r="F5751" s="20"/>
    </row>
    <row r="5752" spans="2:6" ht="17.25" customHeight="1">
      <c r="B5752" s="15"/>
      <c r="C5752" s="15"/>
      <c r="D5752" s="15"/>
      <c r="E5752" s="15"/>
      <c r="F5752" s="20"/>
    </row>
    <row r="5753" spans="2:6" ht="17.25" customHeight="1">
      <c r="B5753" s="15"/>
      <c r="C5753" s="15"/>
      <c r="D5753" s="15"/>
      <c r="E5753" s="15"/>
      <c r="F5753" s="20"/>
    </row>
    <row r="5754" spans="2:6" ht="17.25" customHeight="1">
      <c r="B5754" s="15"/>
      <c r="C5754" s="15"/>
      <c r="D5754" s="15"/>
      <c r="E5754" s="15"/>
      <c r="F5754" s="20"/>
    </row>
    <row r="5755" spans="2:6" ht="17.25" customHeight="1">
      <c r="B5755" s="15"/>
      <c r="C5755" s="15"/>
      <c r="D5755" s="15"/>
      <c r="E5755" s="15"/>
      <c r="F5755" s="20"/>
    </row>
    <row r="5756" spans="2:6" ht="17.25" customHeight="1">
      <c r="B5756" s="15"/>
      <c r="C5756" s="15"/>
      <c r="D5756" s="15"/>
      <c r="E5756" s="15"/>
      <c r="F5756" s="20"/>
    </row>
    <row r="5757" spans="2:6" ht="17.25" customHeight="1">
      <c r="B5757" s="15"/>
      <c r="C5757" s="15"/>
      <c r="D5757" s="15"/>
      <c r="E5757" s="15"/>
      <c r="F5757" s="20"/>
    </row>
    <row r="5758" spans="2:6" ht="17.25" customHeight="1">
      <c r="B5758" s="15"/>
      <c r="C5758" s="15"/>
      <c r="D5758" s="15"/>
      <c r="E5758" s="15"/>
      <c r="F5758" s="20"/>
    </row>
    <row r="5759" spans="2:6" ht="17.25" customHeight="1">
      <c r="B5759" s="15"/>
      <c r="C5759" s="15"/>
      <c r="D5759" s="15"/>
      <c r="E5759" s="15"/>
      <c r="F5759" s="20"/>
    </row>
    <row r="5760" spans="2:6" ht="17.25" customHeight="1">
      <c r="B5760" s="15"/>
      <c r="C5760" s="15"/>
      <c r="D5760" s="15"/>
      <c r="E5760" s="15"/>
      <c r="F5760" s="20"/>
    </row>
    <row r="5761" spans="2:6" ht="17.25" customHeight="1">
      <c r="B5761" s="15"/>
      <c r="C5761" s="15"/>
      <c r="D5761" s="15"/>
      <c r="E5761" s="15"/>
      <c r="F5761" s="20"/>
    </row>
    <row r="5762" spans="2:6" ht="17.25" customHeight="1">
      <c r="B5762" s="15"/>
      <c r="C5762" s="15"/>
      <c r="D5762" s="15"/>
      <c r="E5762" s="15"/>
      <c r="F5762" s="20"/>
    </row>
    <row r="5763" spans="2:6" ht="17.25" customHeight="1">
      <c r="B5763" s="15"/>
      <c r="C5763" s="15"/>
      <c r="D5763" s="15"/>
      <c r="E5763" s="15"/>
      <c r="F5763" s="20"/>
    </row>
    <row r="5764" spans="2:6" ht="17.25" customHeight="1">
      <c r="B5764" s="15"/>
      <c r="C5764" s="15"/>
      <c r="D5764" s="15"/>
      <c r="E5764" s="15"/>
      <c r="F5764" s="20"/>
    </row>
    <row r="5765" spans="2:6" ht="17.25" customHeight="1">
      <c r="B5765" s="15"/>
      <c r="C5765" s="15"/>
      <c r="D5765" s="15"/>
      <c r="E5765" s="15"/>
      <c r="F5765" s="20"/>
    </row>
    <row r="5766" spans="2:6" ht="17.25" customHeight="1">
      <c r="B5766" s="15"/>
      <c r="C5766" s="15"/>
      <c r="D5766" s="15"/>
      <c r="E5766" s="15"/>
      <c r="F5766" s="20"/>
    </row>
    <row r="5767" spans="2:6" ht="17.25" customHeight="1">
      <c r="B5767" s="15"/>
      <c r="C5767" s="15"/>
      <c r="D5767" s="15"/>
      <c r="E5767" s="15"/>
      <c r="F5767" s="20"/>
    </row>
    <row r="5768" spans="2:6" ht="17.25" customHeight="1">
      <c r="B5768" s="15"/>
      <c r="C5768" s="15"/>
      <c r="D5768" s="15"/>
      <c r="E5768" s="15"/>
      <c r="F5768" s="20"/>
    </row>
    <row r="5769" spans="2:6" ht="17.25" customHeight="1">
      <c r="B5769" s="15"/>
      <c r="C5769" s="15"/>
      <c r="D5769" s="15"/>
      <c r="E5769" s="15"/>
      <c r="F5769" s="20"/>
    </row>
    <row r="5770" spans="2:6" ht="17.25" customHeight="1">
      <c r="B5770" s="15"/>
      <c r="C5770" s="15"/>
      <c r="D5770" s="15"/>
      <c r="E5770" s="15"/>
      <c r="F5770" s="20"/>
    </row>
    <row r="5771" spans="2:6" ht="17.25" customHeight="1">
      <c r="B5771" s="15"/>
      <c r="C5771" s="15"/>
      <c r="D5771" s="15"/>
      <c r="E5771" s="15"/>
      <c r="F5771" s="20"/>
    </row>
    <row r="5772" spans="2:6" ht="17.25" customHeight="1">
      <c r="B5772" s="15"/>
      <c r="C5772" s="15"/>
      <c r="D5772" s="15"/>
      <c r="E5772" s="15"/>
      <c r="F5772" s="20"/>
    </row>
    <row r="5773" spans="2:6" ht="17.25" customHeight="1">
      <c r="B5773" s="15"/>
      <c r="C5773" s="15"/>
      <c r="D5773" s="15"/>
      <c r="E5773" s="15"/>
      <c r="F5773" s="20"/>
    </row>
    <row r="5774" spans="2:6" ht="17.25" customHeight="1">
      <c r="B5774" s="15"/>
      <c r="C5774" s="15"/>
      <c r="D5774" s="15"/>
      <c r="E5774" s="15"/>
      <c r="F5774" s="20"/>
    </row>
    <row r="5775" spans="2:6" ht="17.25" customHeight="1">
      <c r="B5775" s="15"/>
      <c r="C5775" s="15"/>
      <c r="D5775" s="15"/>
      <c r="E5775" s="15"/>
      <c r="F5775" s="20"/>
    </row>
    <row r="5776" spans="2:6" ht="17.25" customHeight="1">
      <c r="B5776" s="15"/>
      <c r="C5776" s="15"/>
      <c r="D5776" s="15"/>
      <c r="E5776" s="15"/>
      <c r="F5776" s="20"/>
    </row>
    <row r="5777" spans="2:6" ht="17.25" customHeight="1">
      <c r="B5777" s="15"/>
      <c r="C5777" s="15"/>
      <c r="D5777" s="15"/>
      <c r="E5777" s="15"/>
      <c r="F5777" s="20"/>
    </row>
    <row r="5778" spans="2:6" ht="17.25" customHeight="1">
      <c r="B5778" s="15"/>
      <c r="C5778" s="15"/>
      <c r="D5778" s="15"/>
      <c r="E5778" s="15"/>
      <c r="F5778" s="20"/>
    </row>
    <row r="5779" spans="2:6" ht="17.25" customHeight="1">
      <c r="B5779" s="15"/>
      <c r="C5779" s="15"/>
      <c r="D5779" s="15"/>
      <c r="E5779" s="15"/>
      <c r="F5779" s="20"/>
    </row>
    <row r="5780" spans="2:6" ht="17.25" customHeight="1">
      <c r="B5780" s="15"/>
      <c r="C5780" s="15"/>
      <c r="D5780" s="15"/>
      <c r="E5780" s="15"/>
      <c r="F5780" s="20"/>
    </row>
    <row r="5781" spans="2:6" ht="17.25" customHeight="1">
      <c r="B5781" s="15"/>
      <c r="C5781" s="15"/>
      <c r="D5781" s="15"/>
      <c r="E5781" s="15"/>
      <c r="F5781" s="20"/>
    </row>
    <row r="5782" spans="2:6" ht="17.25" customHeight="1">
      <c r="B5782" s="15"/>
      <c r="C5782" s="15"/>
      <c r="D5782" s="15"/>
      <c r="E5782" s="15"/>
      <c r="F5782" s="20"/>
    </row>
    <row r="5783" spans="2:6" ht="17.25" customHeight="1">
      <c r="B5783" s="15"/>
      <c r="C5783" s="15"/>
      <c r="D5783" s="15"/>
      <c r="E5783" s="15"/>
      <c r="F5783" s="20"/>
    </row>
    <row r="5784" spans="2:6" ht="17.25" customHeight="1">
      <c r="B5784" s="15"/>
      <c r="C5784" s="15"/>
      <c r="D5784" s="15"/>
      <c r="E5784" s="15"/>
      <c r="F5784" s="20"/>
    </row>
    <row r="5785" spans="2:6" ht="17.25" customHeight="1">
      <c r="B5785" s="15"/>
      <c r="C5785" s="15"/>
      <c r="D5785" s="15"/>
      <c r="E5785" s="15"/>
      <c r="F5785" s="20"/>
    </row>
    <row r="5786" spans="2:6" ht="17.25" customHeight="1">
      <c r="B5786" s="15"/>
      <c r="C5786" s="15"/>
      <c r="D5786" s="15"/>
      <c r="E5786" s="15"/>
      <c r="F5786" s="20"/>
    </row>
    <row r="5787" spans="2:6" ht="17.25" customHeight="1">
      <c r="B5787" s="15"/>
      <c r="C5787" s="15"/>
      <c r="D5787" s="15"/>
      <c r="E5787" s="15"/>
      <c r="F5787" s="20"/>
    </row>
    <row r="5788" spans="2:6" ht="17.25" customHeight="1">
      <c r="B5788" s="15"/>
      <c r="C5788" s="15"/>
      <c r="D5788" s="15"/>
      <c r="E5788" s="15"/>
      <c r="F5788" s="20"/>
    </row>
    <row r="5789" spans="2:6" ht="17.25" customHeight="1">
      <c r="B5789" s="15"/>
      <c r="C5789" s="15"/>
      <c r="D5789" s="15"/>
      <c r="E5789" s="15"/>
      <c r="F5789" s="20"/>
    </row>
    <row r="5790" spans="2:6" ht="17.25" customHeight="1">
      <c r="B5790" s="15"/>
      <c r="C5790" s="15"/>
      <c r="D5790" s="15"/>
      <c r="E5790" s="15"/>
      <c r="F5790" s="20"/>
    </row>
    <row r="5791" spans="2:6" ht="17.25" customHeight="1">
      <c r="B5791" s="15"/>
      <c r="C5791" s="15"/>
      <c r="D5791" s="15"/>
      <c r="E5791" s="15"/>
      <c r="F5791" s="20"/>
    </row>
    <row r="5792" spans="2:6" ht="17.25" customHeight="1">
      <c r="B5792" s="15"/>
      <c r="C5792" s="15"/>
      <c r="D5792" s="15"/>
      <c r="E5792" s="15"/>
      <c r="F5792" s="20"/>
    </row>
    <row r="5793" spans="2:6" ht="17.25" customHeight="1">
      <c r="B5793" s="15"/>
      <c r="C5793" s="15"/>
      <c r="D5793" s="15"/>
      <c r="E5793" s="15"/>
      <c r="F5793" s="20"/>
    </row>
    <row r="5794" spans="2:6" ht="17.25" customHeight="1">
      <c r="B5794" s="15"/>
      <c r="C5794" s="15"/>
      <c r="D5794" s="15"/>
      <c r="E5794" s="15"/>
      <c r="F5794" s="20"/>
    </row>
    <row r="5795" spans="2:6" ht="17.25" customHeight="1">
      <c r="B5795" s="15"/>
      <c r="C5795" s="15"/>
      <c r="D5795" s="15"/>
      <c r="E5795" s="15"/>
      <c r="F5795" s="20"/>
    </row>
    <row r="5796" spans="2:6" ht="17.25" customHeight="1">
      <c r="B5796" s="15"/>
      <c r="C5796" s="15"/>
      <c r="D5796" s="15"/>
      <c r="E5796" s="15"/>
      <c r="F5796" s="20"/>
    </row>
    <row r="5797" spans="2:6" ht="17.25" customHeight="1">
      <c r="B5797" s="15"/>
      <c r="C5797" s="15"/>
      <c r="D5797" s="15"/>
      <c r="E5797" s="15"/>
      <c r="F5797" s="20"/>
    </row>
    <row r="5798" spans="2:6" ht="17.25" customHeight="1">
      <c r="B5798" s="15"/>
      <c r="C5798" s="15"/>
      <c r="D5798" s="15"/>
      <c r="E5798" s="15"/>
      <c r="F5798" s="20"/>
    </row>
    <row r="5799" spans="2:6" ht="17.25" customHeight="1">
      <c r="B5799" s="15"/>
      <c r="C5799" s="15"/>
      <c r="D5799" s="15"/>
      <c r="E5799" s="15"/>
      <c r="F5799" s="20"/>
    </row>
    <row r="5800" spans="2:6" ht="17.25" customHeight="1">
      <c r="B5800" s="15"/>
      <c r="C5800" s="15"/>
      <c r="D5800" s="15"/>
      <c r="E5800" s="15"/>
      <c r="F5800" s="20"/>
    </row>
    <row r="5801" spans="2:6" ht="17.25" customHeight="1">
      <c r="B5801" s="15"/>
      <c r="C5801" s="15"/>
      <c r="D5801" s="15"/>
      <c r="E5801" s="15"/>
      <c r="F5801" s="20"/>
    </row>
    <row r="5802" spans="2:6" ht="17.25" customHeight="1">
      <c r="B5802" s="15"/>
      <c r="C5802" s="15"/>
      <c r="D5802" s="15"/>
      <c r="E5802" s="15"/>
      <c r="F5802" s="20"/>
    </row>
    <row r="5803" spans="2:6" ht="17.25" customHeight="1">
      <c r="B5803" s="15"/>
      <c r="C5803" s="15"/>
      <c r="D5803" s="15"/>
      <c r="E5803" s="15"/>
      <c r="F5803" s="20"/>
    </row>
    <row r="5804" spans="2:6" ht="17.25" customHeight="1">
      <c r="B5804" s="15"/>
      <c r="C5804" s="15"/>
      <c r="D5804" s="15"/>
      <c r="E5804" s="15"/>
      <c r="F5804" s="20"/>
    </row>
    <row r="5805" spans="2:6" ht="17.25" customHeight="1">
      <c r="B5805" s="15"/>
      <c r="C5805" s="15"/>
      <c r="D5805" s="15"/>
      <c r="E5805" s="15"/>
      <c r="F5805" s="20"/>
    </row>
    <row r="5806" spans="2:6" ht="17.25" customHeight="1">
      <c r="B5806" s="15"/>
      <c r="C5806" s="15"/>
      <c r="D5806" s="15"/>
      <c r="E5806" s="15"/>
      <c r="F5806" s="20"/>
    </row>
    <row r="5807" spans="2:6" ht="17.25" customHeight="1">
      <c r="B5807" s="15"/>
      <c r="C5807" s="15"/>
      <c r="D5807" s="15"/>
      <c r="E5807" s="15"/>
      <c r="F5807" s="20"/>
    </row>
    <row r="5808" spans="2:6" ht="17.25" customHeight="1">
      <c r="B5808" s="15"/>
      <c r="C5808" s="15"/>
      <c r="D5808" s="15"/>
      <c r="E5808" s="15"/>
      <c r="F5808" s="20"/>
    </row>
    <row r="5809" spans="2:6" ht="17.25" customHeight="1">
      <c r="B5809" s="15"/>
      <c r="C5809" s="15"/>
      <c r="D5809" s="15"/>
      <c r="E5809" s="15"/>
      <c r="F5809" s="20"/>
    </row>
    <row r="5810" spans="2:6" ht="17.25" customHeight="1">
      <c r="B5810" s="15"/>
      <c r="C5810" s="15"/>
      <c r="D5810" s="15"/>
      <c r="E5810" s="15"/>
      <c r="F5810" s="20"/>
    </row>
    <row r="5811" spans="2:6" ht="17.25" customHeight="1">
      <c r="B5811" s="15"/>
      <c r="C5811" s="15"/>
      <c r="D5811" s="15"/>
      <c r="E5811" s="15"/>
      <c r="F5811" s="20"/>
    </row>
    <row r="5812" spans="2:6" ht="17.25" customHeight="1">
      <c r="B5812" s="15"/>
      <c r="C5812" s="15"/>
      <c r="D5812" s="15"/>
      <c r="E5812" s="15"/>
      <c r="F5812" s="20"/>
    </row>
    <row r="5813" spans="2:6" ht="17.25" customHeight="1">
      <c r="B5813" s="15"/>
      <c r="C5813" s="15"/>
      <c r="D5813" s="15"/>
      <c r="E5813" s="15"/>
      <c r="F5813" s="20"/>
    </row>
    <row r="5814" spans="2:6" ht="17.25" customHeight="1">
      <c r="B5814" s="15"/>
      <c r="C5814" s="15"/>
      <c r="D5814" s="15"/>
      <c r="E5814" s="15"/>
      <c r="F5814" s="20"/>
    </row>
    <row r="5815" spans="2:6" ht="17.25" customHeight="1">
      <c r="B5815" s="15"/>
      <c r="C5815" s="15"/>
      <c r="D5815" s="15"/>
      <c r="E5815" s="15"/>
      <c r="F5815" s="20"/>
    </row>
    <row r="5816" spans="2:6" ht="17.25" customHeight="1">
      <c r="B5816" s="15"/>
      <c r="C5816" s="15"/>
      <c r="D5816" s="15"/>
      <c r="E5816" s="15"/>
      <c r="F5816" s="20"/>
    </row>
    <row r="5817" spans="2:6" ht="17.25" customHeight="1">
      <c r="B5817" s="15"/>
      <c r="C5817" s="15"/>
      <c r="D5817" s="15"/>
      <c r="E5817" s="15"/>
      <c r="F5817" s="20"/>
    </row>
    <row r="5818" spans="2:6" ht="17.25" customHeight="1">
      <c r="B5818" s="15"/>
      <c r="C5818" s="15"/>
      <c r="D5818" s="15"/>
      <c r="E5818" s="15"/>
      <c r="F5818" s="20"/>
    </row>
    <row r="5819" spans="2:6" ht="17.25" customHeight="1">
      <c r="B5819" s="15"/>
      <c r="C5819" s="15"/>
      <c r="D5819" s="15"/>
      <c r="E5819" s="15"/>
      <c r="F5819" s="20"/>
    </row>
    <row r="5820" spans="2:6" ht="17.25" customHeight="1">
      <c r="B5820" s="15"/>
      <c r="C5820" s="15"/>
      <c r="D5820" s="15"/>
      <c r="E5820" s="15"/>
      <c r="F5820" s="20"/>
    </row>
    <row r="5821" spans="2:6" ht="17.25" customHeight="1">
      <c r="B5821" s="15"/>
      <c r="C5821" s="15"/>
      <c r="D5821" s="15"/>
      <c r="E5821" s="15"/>
      <c r="F5821" s="20"/>
    </row>
    <row r="5822" spans="2:6" ht="17.25" customHeight="1">
      <c r="B5822" s="15"/>
      <c r="C5822" s="15"/>
      <c r="D5822" s="15"/>
      <c r="E5822" s="15"/>
      <c r="F5822" s="20"/>
    </row>
    <row r="5823" spans="2:6" ht="17.25" customHeight="1">
      <c r="B5823" s="15"/>
      <c r="C5823" s="15"/>
      <c r="D5823" s="15"/>
      <c r="E5823" s="15"/>
      <c r="F5823" s="20"/>
    </row>
    <row r="5824" spans="2:6" ht="17.25" customHeight="1">
      <c r="B5824" s="15"/>
      <c r="C5824" s="15"/>
      <c r="D5824" s="15"/>
      <c r="E5824" s="15"/>
      <c r="F5824" s="20"/>
    </row>
    <row r="5825" spans="2:6" ht="17.25" customHeight="1">
      <c r="B5825" s="15"/>
      <c r="C5825" s="15"/>
      <c r="D5825" s="15"/>
      <c r="E5825" s="15"/>
      <c r="F5825" s="20"/>
    </row>
    <row r="5826" spans="2:6" ht="17.25" customHeight="1">
      <c r="B5826" s="15"/>
      <c r="C5826" s="15"/>
      <c r="D5826" s="15"/>
      <c r="E5826" s="15"/>
      <c r="F5826" s="20"/>
    </row>
    <row r="5827" spans="2:6" ht="17.25" customHeight="1">
      <c r="B5827" s="15"/>
      <c r="C5827" s="15"/>
      <c r="D5827" s="15"/>
      <c r="E5827" s="15"/>
      <c r="F5827" s="20"/>
    </row>
    <row r="5828" spans="2:6" ht="17.25" customHeight="1">
      <c r="B5828" s="15"/>
      <c r="C5828" s="15"/>
      <c r="D5828" s="15"/>
      <c r="E5828" s="15"/>
      <c r="F5828" s="20"/>
    </row>
    <row r="5829" spans="2:6" ht="17.25" customHeight="1">
      <c r="B5829" s="15"/>
      <c r="C5829" s="15"/>
      <c r="D5829" s="15"/>
      <c r="E5829" s="15"/>
      <c r="F5829" s="20"/>
    </row>
    <row r="5830" spans="2:6" ht="17.25" customHeight="1">
      <c r="B5830" s="15"/>
      <c r="C5830" s="15"/>
      <c r="D5830" s="15"/>
      <c r="E5830" s="15"/>
      <c r="F5830" s="20"/>
    </row>
    <row r="5831" spans="2:6" ht="17.25" customHeight="1">
      <c r="B5831" s="15"/>
      <c r="C5831" s="15"/>
      <c r="D5831" s="15"/>
      <c r="E5831" s="15"/>
      <c r="F5831" s="20"/>
    </row>
    <row r="5832" spans="2:6" ht="17.25" customHeight="1">
      <c r="B5832" s="15"/>
      <c r="C5832" s="15"/>
      <c r="D5832" s="15"/>
      <c r="E5832" s="15"/>
      <c r="F5832" s="20"/>
    </row>
    <row r="5833" spans="2:6" ht="17.25" customHeight="1">
      <c r="B5833" s="15"/>
      <c r="C5833" s="15"/>
      <c r="D5833" s="15"/>
      <c r="E5833" s="15"/>
      <c r="F5833" s="20"/>
    </row>
    <row r="5834" spans="2:6" ht="17.25" customHeight="1">
      <c r="B5834" s="15"/>
      <c r="C5834" s="15"/>
      <c r="D5834" s="15"/>
      <c r="E5834" s="15"/>
      <c r="F5834" s="20"/>
    </row>
    <row r="5835" spans="2:6" ht="17.25" customHeight="1">
      <c r="B5835" s="15"/>
      <c r="C5835" s="15"/>
      <c r="D5835" s="15"/>
      <c r="E5835" s="15"/>
      <c r="F5835" s="20"/>
    </row>
    <row r="5836" spans="2:6" ht="17.25" customHeight="1">
      <c r="B5836" s="15"/>
      <c r="C5836" s="15"/>
      <c r="D5836" s="15"/>
      <c r="E5836" s="15"/>
      <c r="F5836" s="20"/>
    </row>
    <row r="5837" spans="2:6" ht="17.25" customHeight="1">
      <c r="B5837" s="15"/>
      <c r="C5837" s="15"/>
      <c r="D5837" s="15"/>
      <c r="E5837" s="15"/>
      <c r="F5837" s="20"/>
    </row>
    <row r="5838" spans="2:6" ht="17.25" customHeight="1">
      <c r="B5838" s="15"/>
      <c r="C5838" s="15"/>
      <c r="D5838" s="15"/>
      <c r="E5838" s="15"/>
      <c r="F5838" s="20"/>
    </row>
    <row r="5839" spans="2:6" ht="17.25" customHeight="1">
      <c r="B5839" s="15"/>
      <c r="C5839" s="15"/>
      <c r="D5839" s="15"/>
      <c r="E5839" s="15"/>
      <c r="F5839" s="20"/>
    </row>
    <row r="5840" spans="2:6" ht="17.25" customHeight="1">
      <c r="B5840" s="15"/>
      <c r="C5840" s="15"/>
      <c r="D5840" s="15"/>
      <c r="E5840" s="15"/>
      <c r="F5840" s="20"/>
    </row>
    <row r="5841" spans="2:6" ht="17.25" customHeight="1">
      <c r="B5841" s="15"/>
      <c r="C5841" s="15"/>
      <c r="D5841" s="15"/>
      <c r="E5841" s="15"/>
      <c r="F5841" s="20"/>
    </row>
    <row r="5842" spans="2:6" ht="17.25" customHeight="1">
      <c r="B5842" s="15"/>
      <c r="C5842" s="15"/>
      <c r="D5842" s="15"/>
      <c r="E5842" s="15"/>
      <c r="F5842" s="20"/>
    </row>
    <row r="5843" spans="2:6" ht="17.25" customHeight="1">
      <c r="B5843" s="15"/>
      <c r="C5843" s="15"/>
      <c r="D5843" s="15"/>
      <c r="E5843" s="15"/>
      <c r="F5843" s="20"/>
    </row>
    <row r="5844" spans="2:6" ht="17.25" customHeight="1">
      <c r="B5844" s="15"/>
      <c r="C5844" s="15"/>
      <c r="D5844" s="15"/>
      <c r="E5844" s="15"/>
      <c r="F5844" s="20"/>
    </row>
    <row r="5845" spans="2:6" ht="17.25" customHeight="1">
      <c r="B5845" s="15"/>
      <c r="C5845" s="15"/>
      <c r="D5845" s="15"/>
      <c r="E5845" s="15"/>
      <c r="F5845" s="20"/>
    </row>
    <row r="5846" spans="2:6" ht="17.25" customHeight="1">
      <c r="B5846" s="15"/>
      <c r="C5846" s="15"/>
      <c r="D5846" s="15"/>
      <c r="E5846" s="15"/>
      <c r="F5846" s="20"/>
    </row>
    <row r="5847" spans="2:6" ht="17.25" customHeight="1">
      <c r="B5847" s="15"/>
      <c r="C5847" s="15"/>
      <c r="D5847" s="15"/>
      <c r="E5847" s="15"/>
      <c r="F5847" s="20"/>
    </row>
    <row r="5848" spans="2:6" ht="17.25" customHeight="1">
      <c r="B5848" s="15"/>
      <c r="C5848" s="15"/>
      <c r="D5848" s="15"/>
      <c r="E5848" s="15"/>
      <c r="F5848" s="20"/>
    </row>
    <row r="5849" spans="2:6" ht="17.25" customHeight="1">
      <c r="B5849" s="15"/>
      <c r="C5849" s="15"/>
      <c r="D5849" s="15"/>
      <c r="E5849" s="15"/>
      <c r="F5849" s="20"/>
    </row>
    <row r="5850" spans="2:6" ht="17.25" customHeight="1">
      <c r="B5850" s="15"/>
      <c r="C5850" s="15"/>
      <c r="D5850" s="15"/>
      <c r="E5850" s="15"/>
      <c r="F5850" s="20"/>
    </row>
    <row r="5851" spans="2:6" ht="17.25" customHeight="1">
      <c r="B5851" s="15"/>
      <c r="C5851" s="15"/>
      <c r="D5851" s="15"/>
      <c r="E5851" s="15"/>
      <c r="F5851" s="20"/>
    </row>
    <row r="5852" spans="2:6" ht="17.25" customHeight="1">
      <c r="B5852" s="15"/>
      <c r="C5852" s="15"/>
      <c r="D5852" s="15"/>
      <c r="E5852" s="15"/>
      <c r="F5852" s="20"/>
    </row>
    <row r="5853" spans="2:6" ht="17.25" customHeight="1">
      <c r="B5853" s="15"/>
      <c r="C5853" s="15"/>
      <c r="D5853" s="15"/>
      <c r="E5853" s="15"/>
      <c r="F5853" s="20"/>
    </row>
    <row r="5854" spans="2:6" ht="17.25" customHeight="1">
      <c r="B5854" s="15"/>
      <c r="C5854" s="15"/>
      <c r="D5854" s="15"/>
      <c r="E5854" s="15"/>
      <c r="F5854" s="20"/>
    </row>
    <row r="5855" spans="2:6" ht="17.25" customHeight="1">
      <c r="B5855" s="15"/>
      <c r="C5855" s="15"/>
      <c r="D5855" s="15"/>
      <c r="E5855" s="15"/>
      <c r="F5855" s="20"/>
    </row>
    <row r="5856" spans="2:6" ht="17.25" customHeight="1">
      <c r="B5856" s="15"/>
      <c r="C5856" s="15"/>
      <c r="D5856" s="15"/>
      <c r="E5856" s="15"/>
      <c r="F5856" s="20"/>
    </row>
    <row r="5857" spans="2:6" ht="17.25" customHeight="1">
      <c r="B5857" s="15"/>
      <c r="C5857" s="15"/>
      <c r="D5857" s="15"/>
      <c r="E5857" s="15"/>
      <c r="F5857" s="20"/>
    </row>
    <row r="5858" spans="2:6" ht="17.25" customHeight="1">
      <c r="B5858" s="15"/>
      <c r="C5858" s="15"/>
      <c r="D5858" s="15"/>
      <c r="E5858" s="15"/>
      <c r="F5858" s="20"/>
    </row>
    <row r="5859" spans="2:6" ht="17.25" customHeight="1">
      <c r="B5859" s="15"/>
      <c r="C5859" s="15"/>
      <c r="D5859" s="15"/>
      <c r="E5859" s="15"/>
      <c r="F5859" s="20"/>
    </row>
    <row r="5860" spans="2:6" ht="17.25" customHeight="1">
      <c r="B5860" s="15"/>
      <c r="C5860" s="15"/>
      <c r="D5860" s="15"/>
      <c r="E5860" s="15"/>
      <c r="F5860" s="20"/>
    </row>
    <row r="5861" spans="2:6" ht="17.25" customHeight="1">
      <c r="B5861" s="15"/>
      <c r="C5861" s="15"/>
      <c r="D5861" s="15"/>
      <c r="E5861" s="15"/>
      <c r="F5861" s="20"/>
    </row>
    <row r="5862" spans="2:6" ht="17.25" customHeight="1">
      <c r="B5862" s="15"/>
      <c r="C5862" s="15"/>
      <c r="D5862" s="15"/>
      <c r="E5862" s="15"/>
      <c r="F5862" s="20"/>
    </row>
    <row r="5863" spans="2:6" ht="17.25" customHeight="1">
      <c r="B5863" s="15"/>
      <c r="C5863" s="15"/>
      <c r="D5863" s="15"/>
      <c r="E5863" s="15"/>
      <c r="F5863" s="20"/>
    </row>
    <row r="5864" spans="2:6" ht="17.25" customHeight="1">
      <c r="B5864" s="15"/>
      <c r="C5864" s="15"/>
      <c r="D5864" s="15"/>
      <c r="E5864" s="15"/>
      <c r="F5864" s="20"/>
    </row>
    <row r="5865" spans="2:6" ht="17.25" customHeight="1">
      <c r="B5865" s="15"/>
      <c r="C5865" s="15"/>
      <c r="D5865" s="15"/>
      <c r="E5865" s="15"/>
      <c r="F5865" s="20"/>
    </row>
    <row r="5866" spans="2:6" ht="17.25" customHeight="1">
      <c r="B5866" s="15"/>
      <c r="C5866" s="15"/>
      <c r="D5866" s="15"/>
      <c r="E5866" s="15"/>
      <c r="F5866" s="20"/>
    </row>
    <row r="5867" spans="2:6" ht="17.25" customHeight="1">
      <c r="B5867" s="15"/>
      <c r="C5867" s="15"/>
      <c r="D5867" s="15"/>
      <c r="E5867" s="15"/>
      <c r="F5867" s="20"/>
    </row>
    <row r="5868" spans="2:6" ht="17.25" customHeight="1">
      <c r="B5868" s="15"/>
      <c r="C5868" s="15"/>
      <c r="D5868" s="15"/>
      <c r="E5868" s="15"/>
      <c r="F5868" s="20"/>
    </row>
    <row r="5869" spans="2:6" ht="17.25" customHeight="1">
      <c r="B5869" s="15"/>
      <c r="C5869" s="15"/>
      <c r="D5869" s="15"/>
      <c r="E5869" s="15"/>
      <c r="F5869" s="20"/>
    </row>
    <row r="5870" spans="2:6" ht="17.25" customHeight="1">
      <c r="B5870" s="15"/>
      <c r="C5870" s="15"/>
      <c r="D5870" s="15"/>
      <c r="E5870" s="15"/>
      <c r="F5870" s="20"/>
    </row>
    <row r="5871" spans="2:6" ht="17.25" customHeight="1">
      <c r="B5871" s="15"/>
      <c r="C5871" s="15"/>
      <c r="D5871" s="15"/>
      <c r="E5871" s="15"/>
      <c r="F5871" s="20"/>
    </row>
    <row r="5872" spans="2:6" ht="17.25" customHeight="1">
      <c r="B5872" s="15"/>
      <c r="C5872" s="15"/>
      <c r="D5872" s="15"/>
      <c r="E5872" s="15"/>
      <c r="F5872" s="20"/>
    </row>
    <row r="5873" spans="2:6" ht="17.25" customHeight="1">
      <c r="B5873" s="15"/>
      <c r="C5873" s="15"/>
      <c r="D5873" s="15"/>
      <c r="E5873" s="15"/>
      <c r="F5873" s="20"/>
    </row>
    <row r="5874" spans="2:6" ht="17.25" customHeight="1">
      <c r="B5874" s="15"/>
      <c r="C5874" s="15"/>
      <c r="D5874" s="15"/>
      <c r="E5874" s="15"/>
      <c r="F5874" s="20"/>
    </row>
    <row r="5875" spans="2:6" ht="17.25" customHeight="1">
      <c r="B5875" s="15"/>
      <c r="C5875" s="15"/>
      <c r="D5875" s="15"/>
      <c r="E5875" s="15"/>
      <c r="F5875" s="20"/>
    </row>
    <row r="5876" spans="2:6" ht="17.25" customHeight="1">
      <c r="B5876" s="15"/>
      <c r="C5876" s="15"/>
      <c r="D5876" s="15"/>
      <c r="E5876" s="15"/>
      <c r="F5876" s="20"/>
    </row>
    <row r="5877" spans="2:6" ht="17.25" customHeight="1">
      <c r="B5877" s="15"/>
      <c r="C5877" s="15"/>
      <c r="D5877" s="15"/>
      <c r="E5877" s="15"/>
      <c r="F5877" s="20"/>
    </row>
    <row r="5878" spans="2:6" ht="17.25" customHeight="1">
      <c r="B5878" s="15"/>
      <c r="C5878" s="15"/>
      <c r="D5878" s="15"/>
      <c r="E5878" s="15"/>
      <c r="F5878" s="20"/>
    </row>
    <row r="5879" spans="2:6" ht="17.25" customHeight="1">
      <c r="B5879" s="15"/>
      <c r="C5879" s="15"/>
      <c r="D5879" s="15"/>
      <c r="E5879" s="15"/>
      <c r="F5879" s="20"/>
    </row>
    <row r="5880" spans="2:6" ht="17.25" customHeight="1">
      <c r="B5880" s="15"/>
      <c r="C5880" s="15"/>
      <c r="D5880" s="15"/>
      <c r="E5880" s="15"/>
      <c r="F5880" s="20"/>
    </row>
    <row r="5881" spans="2:6" ht="17.25" customHeight="1">
      <c r="B5881" s="15"/>
      <c r="C5881" s="15"/>
      <c r="D5881" s="15"/>
      <c r="E5881" s="15"/>
      <c r="F5881" s="20"/>
    </row>
    <row r="5882" spans="2:6" ht="17.25" customHeight="1">
      <c r="B5882" s="15"/>
      <c r="C5882" s="15"/>
      <c r="D5882" s="15"/>
      <c r="E5882" s="15"/>
      <c r="F5882" s="20"/>
    </row>
    <row r="5883" spans="2:6" ht="17.25" customHeight="1">
      <c r="B5883" s="15"/>
      <c r="C5883" s="15"/>
      <c r="D5883" s="15"/>
      <c r="E5883" s="15"/>
      <c r="F5883" s="20"/>
    </row>
    <row r="5884" spans="2:6" ht="17.25" customHeight="1">
      <c r="B5884" s="15"/>
      <c r="C5884" s="15"/>
      <c r="D5884" s="15"/>
      <c r="E5884" s="15"/>
      <c r="F5884" s="20"/>
    </row>
    <row r="5885" spans="2:6" ht="17.25" customHeight="1">
      <c r="B5885" s="15"/>
      <c r="C5885" s="15"/>
      <c r="D5885" s="15"/>
      <c r="E5885" s="15"/>
      <c r="F5885" s="20"/>
    </row>
    <row r="5886" spans="2:6" ht="17.25" customHeight="1">
      <c r="B5886" s="15"/>
      <c r="C5886" s="15"/>
      <c r="D5886" s="15"/>
      <c r="E5886" s="15"/>
      <c r="F5886" s="20"/>
    </row>
    <row r="5887" spans="2:6" ht="17.25" customHeight="1">
      <c r="B5887" s="15"/>
      <c r="C5887" s="15"/>
      <c r="D5887" s="15"/>
      <c r="E5887" s="15"/>
      <c r="F5887" s="20"/>
    </row>
    <row r="5888" spans="2:6" ht="17.25" customHeight="1">
      <c r="B5888" s="15"/>
      <c r="C5888" s="15"/>
      <c r="D5888" s="15"/>
      <c r="E5888" s="15"/>
      <c r="F5888" s="20"/>
    </row>
    <row r="5889" spans="2:6" ht="17.25" customHeight="1">
      <c r="B5889" s="15"/>
      <c r="C5889" s="15"/>
      <c r="D5889" s="15"/>
      <c r="E5889" s="15"/>
      <c r="F5889" s="20"/>
    </row>
    <row r="5890" spans="2:6" ht="17.25" customHeight="1">
      <c r="B5890" s="15"/>
      <c r="C5890" s="15"/>
      <c r="D5890" s="15"/>
      <c r="E5890" s="15"/>
      <c r="F5890" s="20"/>
    </row>
    <row r="5891" spans="2:6" ht="17.25" customHeight="1">
      <c r="B5891" s="15"/>
      <c r="C5891" s="15"/>
      <c r="D5891" s="15"/>
      <c r="E5891" s="15"/>
      <c r="F5891" s="20"/>
    </row>
    <row r="5892" spans="2:6" ht="17.25" customHeight="1">
      <c r="B5892" s="15"/>
      <c r="C5892" s="15"/>
      <c r="D5892" s="15"/>
      <c r="E5892" s="15"/>
      <c r="F5892" s="20"/>
    </row>
    <row r="5893" spans="2:6" ht="17.25" customHeight="1">
      <c r="B5893" s="15"/>
      <c r="C5893" s="15"/>
      <c r="D5893" s="15"/>
      <c r="E5893" s="15"/>
      <c r="F5893" s="20"/>
    </row>
    <row r="5894" spans="2:6" ht="17.25" customHeight="1">
      <c r="B5894" s="15"/>
      <c r="C5894" s="15"/>
      <c r="D5894" s="15"/>
      <c r="E5894" s="15"/>
      <c r="F5894" s="20"/>
    </row>
    <row r="5895" spans="2:6" ht="17.25" customHeight="1">
      <c r="B5895" s="15"/>
      <c r="C5895" s="15"/>
      <c r="D5895" s="15"/>
      <c r="E5895" s="15"/>
      <c r="F5895" s="20"/>
    </row>
    <row r="5896" spans="2:6" ht="17.25" customHeight="1">
      <c r="B5896" s="15"/>
      <c r="C5896" s="15"/>
      <c r="D5896" s="15"/>
      <c r="E5896" s="15"/>
      <c r="F5896" s="20"/>
    </row>
    <row r="5897" spans="2:6" ht="17.25" customHeight="1">
      <c r="B5897" s="15"/>
      <c r="C5897" s="15"/>
      <c r="D5897" s="15"/>
      <c r="E5897" s="15"/>
      <c r="F5897" s="20"/>
    </row>
    <row r="5898" spans="2:6" ht="17.25" customHeight="1">
      <c r="B5898" s="15"/>
      <c r="C5898" s="15"/>
      <c r="D5898" s="15"/>
      <c r="E5898" s="15"/>
      <c r="F5898" s="20"/>
    </row>
    <row r="5899" spans="2:6" ht="17.25" customHeight="1">
      <c r="B5899" s="15"/>
      <c r="C5899" s="15"/>
      <c r="D5899" s="15"/>
      <c r="E5899" s="15"/>
      <c r="F5899" s="20"/>
    </row>
    <row r="5900" spans="2:6" ht="17.25" customHeight="1">
      <c r="B5900" s="15"/>
      <c r="C5900" s="15"/>
      <c r="D5900" s="15"/>
      <c r="E5900" s="15"/>
      <c r="F5900" s="20"/>
    </row>
    <row r="5901" spans="2:6" ht="17.25" customHeight="1">
      <c r="B5901" s="15"/>
      <c r="C5901" s="15"/>
      <c r="D5901" s="15"/>
      <c r="E5901" s="15"/>
      <c r="F5901" s="20"/>
    </row>
    <row r="5902" spans="2:6" ht="17.25" customHeight="1">
      <c r="B5902" s="15"/>
      <c r="C5902" s="15"/>
      <c r="D5902" s="15"/>
      <c r="E5902" s="15"/>
      <c r="F5902" s="20"/>
    </row>
    <row r="5903" spans="2:6" ht="17.25" customHeight="1">
      <c r="B5903" s="15"/>
      <c r="C5903" s="15"/>
      <c r="D5903" s="15"/>
      <c r="E5903" s="15"/>
      <c r="F5903" s="20"/>
    </row>
    <row r="5904" spans="2:6" ht="17.25" customHeight="1">
      <c r="B5904" s="15"/>
      <c r="C5904" s="15"/>
      <c r="D5904" s="15"/>
      <c r="E5904" s="15"/>
      <c r="F5904" s="20"/>
    </row>
    <row r="5905" spans="2:6" ht="17.25" customHeight="1">
      <c r="B5905" s="15"/>
      <c r="C5905" s="15"/>
      <c r="D5905" s="15"/>
      <c r="E5905" s="15"/>
      <c r="F5905" s="20"/>
    </row>
    <row r="5906" spans="2:6" ht="17.25" customHeight="1">
      <c r="B5906" s="15"/>
      <c r="C5906" s="15"/>
      <c r="D5906" s="15"/>
      <c r="E5906" s="15"/>
      <c r="F5906" s="20"/>
    </row>
    <row r="5907" spans="2:6" ht="17.25" customHeight="1">
      <c r="B5907" s="15"/>
      <c r="C5907" s="15"/>
      <c r="D5907" s="15"/>
      <c r="E5907" s="15"/>
      <c r="F5907" s="20"/>
    </row>
    <row r="5908" spans="2:6" ht="17.25" customHeight="1">
      <c r="B5908" s="15"/>
      <c r="C5908" s="15"/>
      <c r="D5908" s="15"/>
      <c r="E5908" s="15"/>
      <c r="F5908" s="20"/>
    </row>
    <row r="5909" spans="2:6" ht="17.25" customHeight="1">
      <c r="B5909" s="15"/>
      <c r="C5909" s="15"/>
      <c r="D5909" s="15"/>
      <c r="E5909" s="15"/>
      <c r="F5909" s="20"/>
    </row>
    <row r="5910" spans="2:6" ht="17.25" customHeight="1">
      <c r="B5910" s="15"/>
      <c r="C5910" s="15"/>
      <c r="D5910" s="15"/>
      <c r="E5910" s="15"/>
      <c r="F5910" s="20"/>
    </row>
    <row r="5911" spans="2:6" ht="17.25" customHeight="1">
      <c r="B5911" s="15"/>
      <c r="C5911" s="15"/>
      <c r="D5911" s="15"/>
      <c r="E5911" s="15"/>
      <c r="F5911" s="20"/>
    </row>
    <row r="5912" spans="2:6" ht="17.25" customHeight="1">
      <c r="B5912" s="15"/>
      <c r="C5912" s="15"/>
      <c r="D5912" s="15"/>
      <c r="E5912" s="15"/>
      <c r="F5912" s="20"/>
    </row>
    <row r="5913" spans="2:6" ht="17.25" customHeight="1">
      <c r="B5913" s="15"/>
      <c r="C5913" s="15"/>
      <c r="D5913" s="15"/>
      <c r="E5913" s="15"/>
      <c r="F5913" s="20"/>
    </row>
    <row r="5914" spans="2:6" ht="17.25" customHeight="1">
      <c r="B5914" s="15"/>
      <c r="C5914" s="15"/>
      <c r="D5914" s="15"/>
      <c r="E5914" s="15"/>
      <c r="F5914" s="20"/>
    </row>
    <row r="5915" spans="2:6" ht="17.25" customHeight="1">
      <c r="B5915" s="15"/>
      <c r="C5915" s="15"/>
      <c r="D5915" s="15"/>
      <c r="E5915" s="15"/>
      <c r="F5915" s="20"/>
    </row>
    <row r="5916" spans="2:6" ht="17.25" customHeight="1">
      <c r="B5916" s="15"/>
      <c r="C5916" s="15"/>
      <c r="D5916" s="15"/>
      <c r="E5916" s="15"/>
      <c r="F5916" s="20"/>
    </row>
    <row r="5917" spans="2:6" ht="17.25" customHeight="1">
      <c r="B5917" s="15"/>
      <c r="C5917" s="15"/>
      <c r="D5917" s="15"/>
      <c r="E5917" s="15"/>
      <c r="F5917" s="20"/>
    </row>
    <row r="5918" spans="2:6" ht="17.25" customHeight="1">
      <c r="B5918" s="15"/>
      <c r="C5918" s="15"/>
      <c r="D5918" s="15"/>
      <c r="E5918" s="15"/>
      <c r="F5918" s="20"/>
    </row>
    <row r="5919" spans="2:6" ht="17.25" customHeight="1">
      <c r="B5919" s="15"/>
      <c r="C5919" s="15"/>
      <c r="D5919" s="15"/>
      <c r="E5919" s="15"/>
      <c r="F5919" s="20"/>
    </row>
    <row r="5920" spans="2:6" ht="17.25" customHeight="1">
      <c r="B5920" s="15"/>
      <c r="C5920" s="15"/>
      <c r="D5920" s="15"/>
      <c r="E5920" s="15"/>
      <c r="F5920" s="20"/>
    </row>
    <row r="5921" spans="2:6" ht="17.25" customHeight="1">
      <c r="B5921" s="15"/>
      <c r="C5921" s="15"/>
      <c r="D5921" s="15"/>
      <c r="E5921" s="15"/>
      <c r="F5921" s="20"/>
    </row>
    <row r="5922" spans="2:6" ht="17.25" customHeight="1">
      <c r="B5922" s="15"/>
      <c r="C5922" s="15"/>
      <c r="D5922" s="15"/>
      <c r="E5922" s="15"/>
      <c r="F5922" s="20"/>
    </row>
    <row r="5923" spans="2:6" ht="17.25" customHeight="1">
      <c r="B5923" s="15"/>
      <c r="C5923" s="15"/>
      <c r="D5923" s="15"/>
      <c r="E5923" s="15"/>
      <c r="F5923" s="20"/>
    </row>
    <row r="5924" spans="2:6" ht="17.25" customHeight="1">
      <c r="B5924" s="15"/>
      <c r="C5924" s="15"/>
      <c r="D5924" s="15"/>
      <c r="E5924" s="15"/>
      <c r="F5924" s="20"/>
    </row>
    <row r="5925" spans="2:6" ht="17.25" customHeight="1">
      <c r="B5925" s="15"/>
      <c r="C5925" s="15"/>
      <c r="D5925" s="15"/>
      <c r="E5925" s="15"/>
      <c r="F5925" s="20"/>
    </row>
    <row r="5926" spans="2:6" ht="17.25" customHeight="1">
      <c r="B5926" s="15"/>
      <c r="C5926" s="15"/>
      <c r="D5926" s="15"/>
      <c r="E5926" s="15"/>
      <c r="F5926" s="20"/>
    </row>
    <row r="5927" spans="2:6" ht="17.25" customHeight="1">
      <c r="B5927" s="15"/>
      <c r="C5927" s="15"/>
      <c r="D5927" s="15"/>
      <c r="E5927" s="15"/>
      <c r="F5927" s="20"/>
    </row>
    <row r="5928" spans="2:6" ht="17.25" customHeight="1">
      <c r="B5928" s="15"/>
      <c r="C5928" s="15"/>
      <c r="D5928" s="15"/>
      <c r="E5928" s="15"/>
      <c r="F5928" s="20"/>
    </row>
    <row r="5929" spans="2:6" ht="17.25" customHeight="1">
      <c r="B5929" s="15"/>
      <c r="C5929" s="15"/>
      <c r="D5929" s="15"/>
      <c r="E5929" s="15"/>
      <c r="F5929" s="20"/>
    </row>
    <row r="5930" spans="2:6" ht="17.25" customHeight="1">
      <c r="B5930" s="15"/>
      <c r="C5930" s="15"/>
      <c r="D5930" s="15"/>
      <c r="E5930" s="15"/>
      <c r="F5930" s="20"/>
    </row>
    <row r="5931" spans="2:6" ht="17.25" customHeight="1">
      <c r="B5931" s="15"/>
      <c r="C5931" s="15"/>
      <c r="D5931" s="15"/>
      <c r="E5931" s="15"/>
      <c r="F5931" s="20"/>
    </row>
    <row r="5932" spans="2:6" ht="17.25" customHeight="1">
      <c r="B5932" s="15"/>
      <c r="C5932" s="15"/>
      <c r="D5932" s="15"/>
      <c r="E5932" s="15"/>
      <c r="F5932" s="20"/>
    </row>
    <row r="5933" spans="2:6" ht="17.25" customHeight="1">
      <c r="B5933" s="15"/>
      <c r="C5933" s="15"/>
      <c r="D5933" s="15"/>
      <c r="E5933" s="15"/>
      <c r="F5933" s="20"/>
    </row>
    <row r="5934" spans="2:6" ht="17.25" customHeight="1">
      <c r="B5934" s="15"/>
      <c r="C5934" s="15"/>
      <c r="D5934" s="15"/>
      <c r="E5934" s="15"/>
      <c r="F5934" s="20"/>
    </row>
    <row r="5935" spans="2:6" ht="17.25" customHeight="1">
      <c r="B5935" s="15"/>
      <c r="C5935" s="15"/>
      <c r="D5935" s="15"/>
      <c r="E5935" s="15"/>
      <c r="F5935" s="20"/>
    </row>
    <row r="5936" spans="2:6" ht="17.25" customHeight="1">
      <c r="B5936" s="15"/>
      <c r="C5936" s="15"/>
      <c r="D5936" s="15"/>
      <c r="E5936" s="15"/>
      <c r="F5936" s="20"/>
    </row>
    <row r="5937" spans="2:6" ht="17.25" customHeight="1">
      <c r="B5937" s="15"/>
      <c r="C5937" s="15"/>
      <c r="D5937" s="15"/>
      <c r="E5937" s="15"/>
      <c r="F5937" s="20"/>
    </row>
    <row r="5938" spans="2:6" ht="17.25" customHeight="1">
      <c r="B5938" s="15"/>
      <c r="C5938" s="15"/>
      <c r="D5938" s="15"/>
      <c r="E5938" s="15"/>
      <c r="F5938" s="20"/>
    </row>
    <row r="5939" spans="2:6" ht="17.25" customHeight="1">
      <c r="B5939" s="15"/>
      <c r="C5939" s="15"/>
      <c r="D5939" s="15"/>
      <c r="E5939" s="15"/>
      <c r="F5939" s="20"/>
    </row>
    <row r="5940" spans="2:6" ht="17.25" customHeight="1">
      <c r="B5940" s="15"/>
      <c r="C5940" s="15"/>
      <c r="D5940" s="15"/>
      <c r="E5940" s="15"/>
      <c r="F5940" s="20"/>
    </row>
    <row r="5941" spans="2:6" ht="17.25" customHeight="1">
      <c r="B5941" s="15"/>
      <c r="C5941" s="15"/>
      <c r="D5941" s="15"/>
      <c r="E5941" s="15"/>
      <c r="F5941" s="20"/>
    </row>
    <row r="5942" spans="2:6" ht="17.25" customHeight="1">
      <c r="B5942" s="15"/>
      <c r="C5942" s="15"/>
      <c r="D5942" s="15"/>
      <c r="E5942" s="15"/>
      <c r="F5942" s="20"/>
    </row>
    <row r="5943" spans="2:6" ht="17.25" customHeight="1">
      <c r="B5943" s="15"/>
      <c r="C5943" s="15"/>
      <c r="D5943" s="15"/>
      <c r="E5943" s="15"/>
      <c r="F5943" s="20"/>
    </row>
    <row r="5944" spans="2:6" ht="17.25" customHeight="1">
      <c r="B5944" s="15"/>
      <c r="C5944" s="15"/>
      <c r="D5944" s="15"/>
      <c r="E5944" s="15"/>
      <c r="F5944" s="20"/>
    </row>
    <row r="5945" spans="2:6" ht="17.25" customHeight="1">
      <c r="B5945" s="15"/>
      <c r="C5945" s="15"/>
      <c r="D5945" s="15"/>
      <c r="E5945" s="15"/>
      <c r="F5945" s="20"/>
    </row>
    <row r="5946" spans="2:6" ht="17.25" customHeight="1">
      <c r="B5946" s="15"/>
      <c r="C5946" s="15"/>
      <c r="D5946" s="15"/>
      <c r="E5946" s="15"/>
      <c r="F5946" s="20"/>
    </row>
    <row r="5947" spans="2:6" ht="17.25" customHeight="1">
      <c r="B5947" s="15"/>
      <c r="C5947" s="15"/>
      <c r="D5947" s="15"/>
      <c r="E5947" s="15"/>
      <c r="F5947" s="20"/>
    </row>
    <row r="5948" spans="2:6" ht="17.25" customHeight="1">
      <c r="B5948" s="15"/>
      <c r="C5948" s="15"/>
      <c r="D5948" s="15"/>
      <c r="E5948" s="15"/>
      <c r="F5948" s="20"/>
    </row>
    <row r="5949" spans="2:6" ht="17.25" customHeight="1">
      <c r="B5949" s="15"/>
      <c r="C5949" s="15"/>
      <c r="D5949" s="15"/>
      <c r="E5949" s="15"/>
      <c r="F5949" s="20"/>
    </row>
    <row r="5950" spans="2:6" ht="17.25" customHeight="1">
      <c r="B5950" s="15"/>
      <c r="C5950" s="15"/>
      <c r="D5950" s="15"/>
      <c r="E5950" s="15"/>
      <c r="F5950" s="20"/>
    </row>
    <row r="5951" spans="2:6" ht="17.25" customHeight="1">
      <c r="B5951" s="15"/>
      <c r="C5951" s="15"/>
      <c r="D5951" s="15"/>
      <c r="E5951" s="15"/>
      <c r="F5951" s="20"/>
    </row>
    <row r="5952" spans="2:6" ht="17.25" customHeight="1">
      <c r="B5952" s="15"/>
      <c r="C5952" s="15"/>
      <c r="D5952" s="15"/>
      <c r="E5952" s="15"/>
      <c r="F5952" s="20"/>
    </row>
    <row r="5953" spans="2:6" ht="17.25" customHeight="1">
      <c r="B5953" s="15"/>
      <c r="C5953" s="15"/>
      <c r="D5953" s="15"/>
      <c r="E5953" s="15"/>
      <c r="F5953" s="20"/>
    </row>
    <row r="5954" spans="2:6" ht="17.25" customHeight="1">
      <c r="B5954" s="15"/>
      <c r="C5954" s="15"/>
      <c r="D5954" s="15"/>
      <c r="E5954" s="15"/>
      <c r="F5954" s="20"/>
    </row>
    <row r="5955" spans="2:6" ht="17.25" customHeight="1">
      <c r="B5955" s="15"/>
      <c r="C5955" s="15"/>
      <c r="D5955" s="15"/>
      <c r="E5955" s="15"/>
      <c r="F5955" s="20"/>
    </row>
    <row r="5956" spans="2:6" ht="17.25" customHeight="1">
      <c r="B5956" s="15"/>
      <c r="C5956" s="15"/>
      <c r="D5956" s="15"/>
      <c r="E5956" s="15"/>
      <c r="F5956" s="20"/>
    </row>
    <row r="5957" spans="2:6" ht="17.25" customHeight="1">
      <c r="B5957" s="15"/>
      <c r="C5957" s="15"/>
      <c r="D5957" s="15"/>
      <c r="E5957" s="15"/>
      <c r="F5957" s="20"/>
    </row>
    <row r="5958" spans="2:6" ht="17.25" customHeight="1">
      <c r="B5958" s="15"/>
      <c r="C5958" s="15"/>
      <c r="D5958" s="15"/>
      <c r="E5958" s="15"/>
      <c r="F5958" s="20"/>
    </row>
    <row r="5959" spans="2:6" ht="17.25" customHeight="1">
      <c r="B5959" s="15"/>
      <c r="C5959" s="15"/>
      <c r="D5959" s="15"/>
      <c r="E5959" s="15"/>
      <c r="F5959" s="20"/>
    </row>
    <row r="5960" spans="2:6" ht="17.25" customHeight="1">
      <c r="B5960" s="15"/>
      <c r="C5960" s="15"/>
      <c r="D5960" s="15"/>
      <c r="E5960" s="15"/>
      <c r="F5960" s="20"/>
    </row>
    <row r="5961" spans="2:6" ht="17.25" customHeight="1">
      <c r="B5961" s="15"/>
      <c r="C5961" s="15"/>
      <c r="D5961" s="15"/>
      <c r="E5961" s="15"/>
      <c r="F5961" s="20"/>
    </row>
    <row r="5962" spans="2:6" ht="17.25" customHeight="1">
      <c r="B5962" s="15"/>
      <c r="C5962" s="15"/>
      <c r="D5962" s="15"/>
      <c r="E5962" s="15"/>
      <c r="F5962" s="20"/>
    </row>
    <row r="5963" spans="2:6" ht="17.25" customHeight="1">
      <c r="B5963" s="15"/>
      <c r="C5963" s="15"/>
      <c r="D5963" s="15"/>
      <c r="E5963" s="15"/>
      <c r="F5963" s="20"/>
    </row>
    <row r="5964" spans="2:6" ht="17.25" customHeight="1">
      <c r="B5964" s="15"/>
      <c r="C5964" s="15"/>
      <c r="D5964" s="15"/>
      <c r="E5964" s="15"/>
      <c r="F5964" s="20"/>
    </row>
    <row r="5965" spans="2:6" ht="17.25" customHeight="1">
      <c r="B5965" s="15"/>
      <c r="C5965" s="15"/>
      <c r="D5965" s="15"/>
      <c r="E5965" s="15"/>
      <c r="F5965" s="20"/>
    </row>
    <row r="5966" spans="2:6" ht="17.25" customHeight="1">
      <c r="B5966" s="15"/>
      <c r="C5966" s="15"/>
      <c r="D5966" s="15"/>
      <c r="E5966" s="15"/>
      <c r="F5966" s="20"/>
    </row>
    <row r="5967" spans="2:6" ht="17.25" customHeight="1">
      <c r="B5967" s="15"/>
      <c r="C5967" s="15"/>
      <c r="D5967" s="15"/>
      <c r="E5967" s="15"/>
      <c r="F5967" s="20"/>
    </row>
    <row r="5968" spans="2:6" ht="17.25" customHeight="1">
      <c r="B5968" s="15"/>
      <c r="C5968" s="15"/>
      <c r="D5968" s="15"/>
      <c r="E5968" s="15"/>
      <c r="F5968" s="20"/>
    </row>
    <row r="5969" spans="2:6" ht="17.25" customHeight="1">
      <c r="B5969" s="15"/>
      <c r="C5969" s="15"/>
      <c r="D5969" s="15"/>
      <c r="E5969" s="15"/>
      <c r="F5969" s="20"/>
    </row>
    <row r="5970" spans="2:6" ht="17.25" customHeight="1">
      <c r="B5970" s="15"/>
      <c r="C5970" s="15"/>
      <c r="D5970" s="15"/>
      <c r="E5970" s="15"/>
      <c r="F5970" s="20"/>
    </row>
    <row r="5971" spans="2:6" ht="17.25" customHeight="1">
      <c r="B5971" s="15"/>
      <c r="C5971" s="15"/>
      <c r="D5971" s="15"/>
      <c r="E5971" s="15"/>
      <c r="F5971" s="20"/>
    </row>
    <row r="5972" spans="2:6" ht="17.25" customHeight="1">
      <c r="B5972" s="15"/>
      <c r="C5972" s="15"/>
      <c r="D5972" s="15"/>
      <c r="E5972" s="15"/>
      <c r="F5972" s="20"/>
    </row>
    <row r="5973" spans="2:6" ht="17.25" customHeight="1">
      <c r="B5973" s="15"/>
      <c r="C5973" s="15"/>
      <c r="D5973" s="15"/>
      <c r="E5973" s="15"/>
      <c r="F5973" s="20"/>
    </row>
    <row r="5974" spans="2:6" ht="17.25" customHeight="1">
      <c r="B5974" s="15"/>
      <c r="C5974" s="15"/>
      <c r="D5974" s="15"/>
      <c r="E5974" s="15"/>
      <c r="F5974" s="20"/>
    </row>
    <row r="5975" spans="2:6" ht="17.25" customHeight="1">
      <c r="B5975" s="15"/>
      <c r="C5975" s="15"/>
      <c r="D5975" s="15"/>
      <c r="E5975" s="15"/>
      <c r="F5975" s="20"/>
    </row>
    <row r="5976" spans="2:6" ht="17.25" customHeight="1">
      <c r="B5976" s="15"/>
      <c r="C5976" s="15"/>
      <c r="D5976" s="15"/>
      <c r="E5976" s="15"/>
      <c r="F5976" s="20"/>
    </row>
    <row r="5977" spans="2:6" ht="17.25" customHeight="1">
      <c r="B5977" s="15"/>
      <c r="C5977" s="15"/>
      <c r="D5977" s="15"/>
      <c r="E5977" s="15"/>
      <c r="F5977" s="20"/>
    </row>
    <row r="5978" spans="2:6" ht="17.25" customHeight="1">
      <c r="B5978" s="15"/>
      <c r="C5978" s="15"/>
      <c r="D5978" s="15"/>
      <c r="E5978" s="15"/>
      <c r="F5978" s="20"/>
    </row>
    <row r="5979" spans="2:6" ht="17.25" customHeight="1">
      <c r="B5979" s="15"/>
      <c r="C5979" s="15"/>
      <c r="D5979" s="15"/>
      <c r="E5979" s="15"/>
      <c r="F5979" s="20"/>
    </row>
    <row r="5980" spans="2:6" ht="17.25" customHeight="1">
      <c r="B5980" s="15"/>
      <c r="C5980" s="15"/>
      <c r="D5980" s="15"/>
      <c r="E5980" s="15"/>
      <c r="F5980" s="20"/>
    </row>
    <row r="5981" spans="2:6" ht="17.25" customHeight="1">
      <c r="B5981" s="15"/>
      <c r="C5981" s="15"/>
      <c r="D5981" s="15"/>
      <c r="E5981" s="15"/>
      <c r="F5981" s="20"/>
    </row>
    <row r="5982" spans="2:6" ht="17.25" customHeight="1">
      <c r="B5982" s="15"/>
      <c r="C5982" s="15"/>
      <c r="D5982" s="15"/>
      <c r="E5982" s="15"/>
      <c r="F5982" s="20"/>
    </row>
    <row r="5983" spans="2:6" ht="17.25" customHeight="1">
      <c r="B5983" s="15"/>
      <c r="C5983" s="15"/>
      <c r="D5983" s="15"/>
      <c r="E5983" s="15"/>
      <c r="F5983" s="20"/>
    </row>
    <row r="5984" spans="2:6" ht="17.25" customHeight="1">
      <c r="B5984" s="15"/>
      <c r="C5984" s="15"/>
      <c r="D5984" s="15"/>
      <c r="E5984" s="15"/>
      <c r="F5984" s="20"/>
    </row>
    <row r="5985" spans="2:6" ht="17.25" customHeight="1">
      <c r="B5985" s="15"/>
      <c r="C5985" s="15"/>
      <c r="D5985" s="15"/>
      <c r="E5985" s="15"/>
      <c r="F5985" s="20"/>
    </row>
    <row r="5986" spans="2:6" ht="17.25" customHeight="1">
      <c r="B5986" s="15"/>
      <c r="C5986" s="15"/>
      <c r="D5986" s="15"/>
      <c r="E5986" s="15"/>
      <c r="F5986" s="20"/>
    </row>
    <row r="5987" spans="2:6" ht="17.25" customHeight="1">
      <c r="B5987" s="15"/>
      <c r="C5987" s="15"/>
      <c r="D5987" s="15"/>
      <c r="E5987" s="15"/>
      <c r="F5987" s="20"/>
    </row>
    <row r="5988" spans="2:6" ht="17.25" customHeight="1">
      <c r="B5988" s="15"/>
      <c r="C5988" s="15"/>
      <c r="D5988" s="15"/>
      <c r="E5988" s="15"/>
      <c r="F5988" s="20"/>
    </row>
    <row r="5989" spans="2:6" ht="17.25" customHeight="1">
      <c r="B5989" s="15"/>
      <c r="C5989" s="15"/>
      <c r="D5989" s="15"/>
      <c r="E5989" s="15"/>
      <c r="F5989" s="20"/>
    </row>
    <row r="5990" spans="2:6" ht="17.25" customHeight="1">
      <c r="B5990" s="15"/>
      <c r="C5990" s="15"/>
      <c r="D5990" s="15"/>
      <c r="E5990" s="15"/>
      <c r="F5990" s="20"/>
    </row>
    <row r="5991" spans="2:6" ht="17.25" customHeight="1">
      <c r="B5991" s="15"/>
      <c r="C5991" s="15"/>
      <c r="D5991" s="15"/>
      <c r="E5991" s="15"/>
      <c r="F5991" s="20"/>
    </row>
    <row r="5992" spans="2:6" ht="17.25" customHeight="1">
      <c r="B5992" s="15"/>
      <c r="C5992" s="15"/>
      <c r="D5992" s="15"/>
      <c r="E5992" s="15"/>
      <c r="F5992" s="20"/>
    </row>
    <row r="5993" spans="2:6" ht="17.25" customHeight="1">
      <c r="B5993" s="15"/>
      <c r="C5993" s="15"/>
      <c r="D5993" s="15"/>
      <c r="E5993" s="15"/>
      <c r="F5993" s="20"/>
    </row>
    <row r="5994" spans="2:6" ht="17.25" customHeight="1">
      <c r="B5994" s="15"/>
      <c r="C5994" s="15"/>
      <c r="D5994" s="15"/>
      <c r="E5994" s="15"/>
      <c r="F5994" s="20"/>
    </row>
    <row r="5995" spans="2:6" ht="17.25" customHeight="1">
      <c r="B5995" s="15"/>
      <c r="C5995" s="15"/>
      <c r="D5995" s="15"/>
      <c r="E5995" s="15"/>
      <c r="F5995" s="20"/>
    </row>
    <row r="5996" spans="2:6" ht="17.25" customHeight="1">
      <c r="B5996" s="15"/>
      <c r="C5996" s="15"/>
      <c r="D5996" s="15"/>
      <c r="E5996" s="15"/>
      <c r="F5996" s="20"/>
    </row>
    <row r="5997" spans="2:6" ht="17.25" customHeight="1">
      <c r="B5997" s="15"/>
      <c r="C5997" s="15"/>
      <c r="D5997" s="15"/>
      <c r="E5997" s="15"/>
      <c r="F5997" s="20"/>
    </row>
    <row r="5998" spans="2:6" ht="17.25" customHeight="1">
      <c r="B5998" s="15"/>
      <c r="C5998" s="15"/>
      <c r="D5998" s="15"/>
      <c r="E5998" s="15"/>
      <c r="F5998" s="20"/>
    </row>
    <row r="5999" spans="2:6" ht="17.25" customHeight="1">
      <c r="B5999" s="15"/>
      <c r="C5999" s="15"/>
      <c r="D5999" s="15"/>
      <c r="E5999" s="15"/>
      <c r="F5999" s="20"/>
    </row>
    <row r="6000" spans="2:6" ht="17.25" customHeight="1">
      <c r="B6000" s="15"/>
      <c r="C6000" s="15"/>
      <c r="D6000" s="15"/>
      <c r="E6000" s="15"/>
      <c r="F6000" s="20"/>
    </row>
    <row r="6001" spans="2:6" ht="17.25" customHeight="1">
      <c r="B6001" s="15"/>
      <c r="C6001" s="15"/>
      <c r="D6001" s="15"/>
      <c r="E6001" s="15"/>
      <c r="F6001" s="20"/>
    </row>
    <row r="6002" spans="2:6" ht="17.25" customHeight="1">
      <c r="B6002" s="15"/>
      <c r="C6002" s="15"/>
      <c r="D6002" s="15"/>
      <c r="E6002" s="15"/>
      <c r="F6002" s="20"/>
    </row>
    <row r="6003" spans="2:6" ht="17.25" customHeight="1">
      <c r="B6003" s="15"/>
      <c r="C6003" s="15"/>
      <c r="D6003" s="15"/>
      <c r="E6003" s="15"/>
      <c r="F6003" s="20"/>
    </row>
    <row r="6004" spans="2:6" ht="17.25" customHeight="1">
      <c r="B6004" s="15"/>
      <c r="C6004" s="15"/>
      <c r="D6004" s="15"/>
      <c r="E6004" s="15"/>
      <c r="F6004" s="20"/>
    </row>
    <row r="6005" spans="2:6" ht="17.25" customHeight="1">
      <c r="B6005" s="15"/>
      <c r="C6005" s="15"/>
      <c r="D6005" s="15"/>
      <c r="E6005" s="15"/>
      <c r="F6005" s="20"/>
    </row>
    <row r="6006" spans="2:6" ht="17.25" customHeight="1">
      <c r="B6006" s="15"/>
      <c r="C6006" s="15"/>
      <c r="D6006" s="15"/>
      <c r="E6006" s="15"/>
      <c r="F6006" s="20"/>
    </row>
    <row r="6007" spans="2:6" ht="17.25" customHeight="1">
      <c r="B6007" s="15"/>
      <c r="C6007" s="15"/>
      <c r="D6007" s="15"/>
      <c r="E6007" s="15"/>
      <c r="F6007" s="20"/>
    </row>
    <row r="6008" spans="2:6" ht="17.25" customHeight="1">
      <c r="B6008" s="15"/>
      <c r="C6008" s="15"/>
      <c r="D6008" s="15"/>
      <c r="E6008" s="15"/>
      <c r="F6008" s="20"/>
    </row>
    <row r="6009" spans="2:6" ht="17.25" customHeight="1">
      <c r="B6009" s="15"/>
      <c r="C6009" s="15"/>
      <c r="D6009" s="15"/>
      <c r="E6009" s="15"/>
      <c r="F6009" s="20"/>
    </row>
    <row r="6010" spans="2:6" ht="17.25" customHeight="1">
      <c r="B6010" s="15"/>
      <c r="C6010" s="15"/>
      <c r="D6010" s="15"/>
      <c r="E6010" s="15"/>
      <c r="F6010" s="20"/>
    </row>
    <row r="6011" spans="2:6" ht="17.25" customHeight="1">
      <c r="B6011" s="15"/>
      <c r="C6011" s="15"/>
      <c r="D6011" s="15"/>
      <c r="E6011" s="15"/>
      <c r="F6011" s="20"/>
    </row>
    <row r="6012" spans="2:6" ht="17.25" customHeight="1">
      <c r="B6012" s="15"/>
      <c r="C6012" s="15"/>
      <c r="D6012" s="15"/>
      <c r="E6012" s="15"/>
      <c r="F6012" s="20"/>
    </row>
    <row r="6013" spans="2:6" ht="17.25" customHeight="1">
      <c r="B6013" s="15"/>
      <c r="C6013" s="15"/>
      <c r="D6013" s="15"/>
      <c r="E6013" s="15"/>
      <c r="F6013" s="20"/>
    </row>
    <row r="6014" spans="2:6" ht="17.25" customHeight="1">
      <c r="B6014" s="15"/>
      <c r="C6014" s="15"/>
      <c r="D6014" s="15"/>
      <c r="E6014" s="15"/>
      <c r="F6014" s="20"/>
    </row>
    <row r="6015" spans="2:6" ht="17.25" customHeight="1">
      <c r="B6015" s="15"/>
      <c r="C6015" s="15"/>
      <c r="D6015" s="15"/>
      <c r="E6015" s="15"/>
      <c r="F6015" s="20"/>
    </row>
    <row r="6016" spans="2:6" ht="17.25" customHeight="1">
      <c r="B6016" s="15"/>
      <c r="C6016" s="15"/>
      <c r="D6016" s="15"/>
      <c r="E6016" s="15"/>
      <c r="F6016" s="20"/>
    </row>
    <row r="6017" spans="2:6" ht="17.25" customHeight="1">
      <c r="B6017" s="15"/>
      <c r="C6017" s="15"/>
      <c r="D6017" s="15"/>
      <c r="E6017" s="15"/>
      <c r="F6017" s="20"/>
    </row>
    <row r="6018" spans="2:6" ht="17.25" customHeight="1">
      <c r="B6018" s="15"/>
      <c r="C6018" s="15"/>
      <c r="D6018" s="15"/>
      <c r="E6018" s="15"/>
      <c r="F6018" s="20"/>
    </row>
    <row r="6019" spans="2:6" ht="17.25" customHeight="1">
      <c r="B6019" s="15"/>
      <c r="C6019" s="15"/>
      <c r="D6019" s="15"/>
      <c r="E6019" s="15"/>
      <c r="F6019" s="20"/>
    </row>
    <row r="6020" spans="2:6" ht="17.25" customHeight="1">
      <c r="B6020" s="15"/>
      <c r="C6020" s="15"/>
      <c r="D6020" s="15"/>
      <c r="E6020" s="15"/>
      <c r="F6020" s="20"/>
    </row>
    <row r="6021" spans="2:6" ht="17.25" customHeight="1">
      <c r="B6021" s="15"/>
      <c r="C6021" s="15"/>
      <c r="D6021" s="15"/>
      <c r="E6021" s="15"/>
      <c r="F6021" s="20"/>
    </row>
    <row r="6022" spans="2:6" ht="17.25" customHeight="1">
      <c r="B6022" s="15"/>
      <c r="C6022" s="15"/>
      <c r="D6022" s="15"/>
      <c r="E6022" s="15"/>
      <c r="F6022" s="20"/>
    </row>
    <row r="6023" spans="2:6" ht="17.25" customHeight="1">
      <c r="B6023" s="15"/>
      <c r="C6023" s="15"/>
      <c r="D6023" s="15"/>
      <c r="E6023" s="15"/>
      <c r="F6023" s="20"/>
    </row>
    <row r="6024" spans="2:6" ht="17.25" customHeight="1">
      <c r="B6024" s="15"/>
      <c r="C6024" s="15"/>
      <c r="D6024" s="15"/>
      <c r="E6024" s="15"/>
      <c r="F6024" s="20"/>
    </row>
    <row r="6025" spans="2:6" ht="17.25" customHeight="1">
      <c r="B6025" s="15"/>
      <c r="C6025" s="15"/>
      <c r="D6025" s="15"/>
      <c r="E6025" s="15"/>
      <c r="F6025" s="20"/>
    </row>
    <row r="6026" spans="2:6" ht="17.25" customHeight="1">
      <c r="B6026" s="15"/>
      <c r="C6026" s="15"/>
      <c r="D6026" s="15"/>
      <c r="E6026" s="15"/>
      <c r="F6026" s="20"/>
    </row>
    <row r="6027" spans="2:6" ht="17.25" customHeight="1">
      <c r="B6027" s="15"/>
      <c r="C6027" s="15"/>
      <c r="D6027" s="15"/>
      <c r="E6027" s="15"/>
      <c r="F6027" s="20"/>
    </row>
    <row r="6028" spans="2:6" ht="17.25" customHeight="1">
      <c r="B6028" s="15"/>
      <c r="C6028" s="15"/>
      <c r="D6028" s="15"/>
      <c r="E6028" s="15"/>
      <c r="F6028" s="20"/>
    </row>
    <row r="6029" spans="2:6" ht="17.25" customHeight="1">
      <c r="B6029" s="15"/>
      <c r="C6029" s="15"/>
      <c r="D6029" s="15"/>
      <c r="E6029" s="15"/>
      <c r="F6029" s="20"/>
    </row>
    <row r="6030" spans="2:6" ht="17.25" customHeight="1">
      <c r="B6030" s="15"/>
      <c r="C6030" s="15"/>
      <c r="D6030" s="15"/>
      <c r="E6030" s="15"/>
      <c r="F6030" s="20"/>
    </row>
    <row r="6031" spans="2:6" ht="17.25" customHeight="1">
      <c r="B6031" s="15"/>
      <c r="C6031" s="15"/>
      <c r="D6031" s="15"/>
      <c r="E6031" s="15"/>
      <c r="F6031" s="20"/>
    </row>
    <row r="6032" spans="2:6" ht="17.25" customHeight="1">
      <c r="B6032" s="15"/>
      <c r="C6032" s="15"/>
      <c r="D6032" s="15"/>
      <c r="E6032" s="15"/>
      <c r="F6032" s="20"/>
    </row>
    <row r="6033" spans="2:6" ht="17.25" customHeight="1">
      <c r="B6033" s="15"/>
      <c r="C6033" s="15"/>
      <c r="D6033" s="15"/>
      <c r="E6033" s="15"/>
      <c r="F6033" s="20"/>
    </row>
    <row r="6034" spans="2:6" ht="17.25" customHeight="1">
      <c r="B6034" s="15"/>
      <c r="C6034" s="15"/>
      <c r="D6034" s="15"/>
      <c r="E6034" s="15"/>
      <c r="F6034" s="20"/>
    </row>
    <row r="6035" spans="2:6" ht="17.25" customHeight="1">
      <c r="B6035" s="15"/>
      <c r="C6035" s="15"/>
      <c r="D6035" s="15"/>
      <c r="E6035" s="15"/>
      <c r="F6035" s="20"/>
    </row>
    <row r="6036" spans="2:6" ht="17.25" customHeight="1">
      <c r="B6036" s="15"/>
      <c r="C6036" s="15"/>
      <c r="D6036" s="15"/>
      <c r="E6036" s="15"/>
      <c r="F6036" s="20"/>
    </row>
    <row r="6037" spans="2:6" ht="17.25" customHeight="1">
      <c r="B6037" s="15"/>
      <c r="C6037" s="15"/>
      <c r="D6037" s="15"/>
      <c r="E6037" s="15"/>
      <c r="F6037" s="20"/>
    </row>
    <row r="6038" spans="2:6" ht="17.25" customHeight="1">
      <c r="B6038" s="15"/>
      <c r="C6038" s="15"/>
      <c r="D6038" s="15"/>
      <c r="E6038" s="15"/>
      <c r="F6038" s="20"/>
    </row>
    <row r="6039" spans="2:6" ht="17.25" customHeight="1">
      <c r="B6039" s="15"/>
      <c r="C6039" s="15"/>
      <c r="D6039" s="15"/>
      <c r="E6039" s="15"/>
      <c r="F6039" s="20"/>
    </row>
    <row r="6040" spans="2:6" ht="17.25" customHeight="1">
      <c r="B6040" s="15"/>
      <c r="C6040" s="15"/>
      <c r="D6040" s="15"/>
      <c r="E6040" s="15"/>
      <c r="F6040" s="20"/>
    </row>
    <row r="6041" spans="2:6" ht="17.25" customHeight="1">
      <c r="B6041" s="15"/>
      <c r="C6041" s="15"/>
      <c r="D6041" s="15"/>
      <c r="E6041" s="15"/>
      <c r="F6041" s="20"/>
    </row>
    <row r="6042" spans="2:6" ht="17.25" customHeight="1">
      <c r="B6042" s="15"/>
      <c r="C6042" s="15"/>
      <c r="D6042" s="15"/>
      <c r="E6042" s="15"/>
      <c r="F6042" s="20"/>
    </row>
    <row r="6043" spans="2:6" ht="17.25" customHeight="1">
      <c r="B6043" s="15"/>
      <c r="C6043" s="15"/>
      <c r="D6043" s="15"/>
      <c r="E6043" s="15"/>
      <c r="F6043" s="20"/>
    </row>
    <row r="6044" spans="2:6" ht="17.25" customHeight="1">
      <c r="B6044" s="15"/>
      <c r="C6044" s="15"/>
      <c r="D6044" s="15"/>
      <c r="E6044" s="15"/>
      <c r="F6044" s="20"/>
    </row>
    <row r="6045" spans="2:6" ht="17.25" customHeight="1">
      <c r="B6045" s="15"/>
      <c r="C6045" s="15"/>
      <c r="D6045" s="15"/>
      <c r="E6045" s="15"/>
      <c r="F6045" s="20"/>
    </row>
    <row r="6046" spans="2:6" ht="17.25" customHeight="1">
      <c r="B6046" s="15"/>
      <c r="C6046" s="15"/>
      <c r="D6046" s="15"/>
      <c r="E6046" s="15"/>
      <c r="F6046" s="20"/>
    </row>
    <row r="6047" spans="2:6" ht="17.25" customHeight="1">
      <c r="B6047" s="15"/>
      <c r="C6047" s="15"/>
      <c r="D6047" s="15"/>
      <c r="E6047" s="15"/>
      <c r="F6047" s="20"/>
    </row>
    <row r="6048" spans="2:6" ht="17.25" customHeight="1">
      <c r="B6048" s="15"/>
      <c r="C6048" s="15"/>
      <c r="D6048" s="15"/>
      <c r="E6048" s="15"/>
      <c r="F6048" s="20"/>
    </row>
    <row r="6049" spans="2:6" ht="17.25" customHeight="1">
      <c r="B6049" s="15"/>
      <c r="C6049" s="15"/>
      <c r="D6049" s="15"/>
      <c r="E6049" s="15"/>
      <c r="F6049" s="20"/>
    </row>
    <row r="6050" spans="2:6" ht="17.25" customHeight="1">
      <c r="B6050" s="15"/>
      <c r="C6050" s="15"/>
      <c r="D6050" s="15"/>
      <c r="E6050" s="15"/>
      <c r="F6050" s="20"/>
    </row>
    <row r="6051" spans="2:6" ht="17.25" customHeight="1">
      <c r="B6051" s="15"/>
      <c r="C6051" s="15"/>
      <c r="D6051" s="15"/>
      <c r="E6051" s="15"/>
      <c r="F6051" s="20"/>
    </row>
    <row r="6052" spans="2:6" ht="17.25" customHeight="1">
      <c r="B6052" s="15"/>
      <c r="C6052" s="15"/>
      <c r="D6052" s="15"/>
      <c r="E6052" s="15"/>
      <c r="F6052" s="20"/>
    </row>
    <row r="6053" spans="2:6" ht="17.25" customHeight="1">
      <c r="B6053" s="15"/>
      <c r="C6053" s="15"/>
      <c r="D6053" s="15"/>
      <c r="E6053" s="15"/>
      <c r="F6053" s="20"/>
    </row>
    <row r="6054" spans="2:6" ht="17.25" customHeight="1">
      <c r="B6054" s="15"/>
      <c r="C6054" s="15"/>
      <c r="D6054" s="15"/>
      <c r="E6054" s="15"/>
      <c r="F6054" s="20"/>
    </row>
    <row r="6055" spans="2:6" ht="17.25" customHeight="1">
      <c r="B6055" s="15"/>
      <c r="C6055" s="15"/>
      <c r="D6055" s="15"/>
      <c r="E6055" s="15"/>
      <c r="F6055" s="20"/>
    </row>
    <row r="6056" spans="2:6" ht="17.25" customHeight="1">
      <c r="B6056" s="15"/>
      <c r="C6056" s="15"/>
      <c r="D6056" s="15"/>
      <c r="E6056" s="15"/>
      <c r="F6056" s="20"/>
    </row>
    <row r="6057" spans="2:6" ht="17.25" customHeight="1">
      <c r="B6057" s="15"/>
      <c r="C6057" s="15"/>
      <c r="D6057" s="15"/>
      <c r="E6057" s="15"/>
      <c r="F6057" s="20"/>
    </row>
    <row r="6058" spans="2:6" ht="17.25" customHeight="1">
      <c r="B6058" s="15"/>
      <c r="C6058" s="15"/>
      <c r="D6058" s="15"/>
      <c r="E6058" s="15"/>
      <c r="F6058" s="20"/>
    </row>
    <row r="6059" spans="2:6" ht="17.25" customHeight="1">
      <c r="B6059" s="15"/>
      <c r="C6059" s="15"/>
      <c r="D6059" s="15"/>
      <c r="E6059" s="15"/>
      <c r="F6059" s="20"/>
    </row>
    <row r="6060" spans="2:6" ht="17.25" customHeight="1">
      <c r="B6060" s="15"/>
      <c r="C6060" s="15"/>
      <c r="D6060" s="15"/>
      <c r="E6060" s="15"/>
      <c r="F6060" s="20"/>
    </row>
    <row r="6061" spans="2:6" ht="17.25" customHeight="1">
      <c r="B6061" s="15"/>
      <c r="C6061" s="15"/>
      <c r="D6061" s="15"/>
      <c r="E6061" s="15"/>
      <c r="F6061" s="20"/>
    </row>
    <row r="6062" spans="2:6" ht="17.25" customHeight="1">
      <c r="B6062" s="15"/>
      <c r="C6062" s="15"/>
      <c r="D6062" s="15"/>
      <c r="E6062" s="15"/>
      <c r="F6062" s="20"/>
    </row>
    <row r="6063" spans="2:6" ht="17.25" customHeight="1">
      <c r="B6063" s="15"/>
      <c r="C6063" s="15"/>
      <c r="D6063" s="15"/>
      <c r="E6063" s="15"/>
      <c r="F6063" s="20"/>
    </row>
    <row r="6064" spans="2:6" ht="17.25" customHeight="1">
      <c r="B6064" s="15"/>
      <c r="C6064" s="15"/>
      <c r="D6064" s="15"/>
      <c r="E6064" s="15"/>
      <c r="F6064" s="20"/>
    </row>
    <row r="6065" spans="2:6" ht="17.25" customHeight="1">
      <c r="B6065" s="15"/>
      <c r="C6065" s="15"/>
      <c r="D6065" s="15"/>
      <c r="E6065" s="15"/>
      <c r="F6065" s="20"/>
    </row>
    <row r="6066" spans="2:6" ht="17.25" customHeight="1">
      <c r="B6066" s="15"/>
      <c r="C6066" s="15"/>
      <c r="D6066" s="15"/>
      <c r="E6066" s="15"/>
      <c r="F6066" s="20"/>
    </row>
    <row r="6067" spans="2:6" ht="17.25" customHeight="1">
      <c r="B6067" s="15"/>
      <c r="C6067" s="15"/>
      <c r="D6067" s="15"/>
      <c r="E6067" s="15"/>
      <c r="F6067" s="20"/>
    </row>
    <row r="6068" spans="2:6" ht="17.25" customHeight="1">
      <c r="B6068" s="15"/>
      <c r="C6068" s="15"/>
      <c r="D6068" s="15"/>
      <c r="E6068" s="15"/>
      <c r="F6068" s="20"/>
    </row>
    <row r="6069" spans="2:6" ht="17.25" customHeight="1">
      <c r="B6069" s="15"/>
      <c r="C6069" s="15"/>
      <c r="D6069" s="15"/>
      <c r="E6069" s="15"/>
      <c r="F6069" s="20"/>
    </row>
    <row r="6070" spans="2:6" ht="17.25" customHeight="1">
      <c r="B6070" s="15"/>
      <c r="C6070" s="15"/>
      <c r="D6070" s="15"/>
      <c r="E6070" s="15"/>
      <c r="F6070" s="20"/>
    </row>
    <row r="6071" spans="2:6" ht="17.25" customHeight="1">
      <c r="B6071" s="15"/>
      <c r="C6071" s="15"/>
      <c r="D6071" s="15"/>
      <c r="E6071" s="15"/>
      <c r="F6071" s="20"/>
    </row>
    <row r="6072" spans="2:6" ht="17.25" customHeight="1">
      <c r="B6072" s="15"/>
      <c r="C6072" s="15"/>
      <c r="D6072" s="15"/>
      <c r="E6072" s="15"/>
      <c r="F6072" s="20"/>
    </row>
    <row r="6073" spans="2:6" ht="17.25" customHeight="1">
      <c r="B6073" s="15"/>
      <c r="C6073" s="15"/>
      <c r="D6073" s="15"/>
      <c r="E6073" s="15"/>
      <c r="F6073" s="20"/>
    </row>
    <row r="6074" spans="2:6" ht="17.25" customHeight="1">
      <c r="B6074" s="15"/>
      <c r="C6074" s="15"/>
      <c r="D6074" s="15"/>
      <c r="E6074" s="15"/>
      <c r="F6074" s="20"/>
    </row>
    <row r="6075" spans="2:6" ht="17.25" customHeight="1">
      <c r="B6075" s="15"/>
      <c r="C6075" s="15"/>
      <c r="D6075" s="15"/>
      <c r="E6075" s="15"/>
      <c r="F6075" s="20"/>
    </row>
    <row r="6076" spans="2:6" ht="17.25" customHeight="1">
      <c r="B6076" s="15"/>
      <c r="C6076" s="15"/>
      <c r="D6076" s="15"/>
      <c r="E6076" s="15"/>
      <c r="F6076" s="20"/>
    </row>
    <row r="6077" spans="2:6" ht="17.25" customHeight="1">
      <c r="B6077" s="15"/>
      <c r="C6077" s="15"/>
      <c r="D6077" s="15"/>
      <c r="E6077" s="15"/>
      <c r="F6077" s="20"/>
    </row>
    <row r="6078" spans="2:6" ht="17.25" customHeight="1">
      <c r="B6078" s="15"/>
      <c r="C6078" s="15"/>
      <c r="D6078" s="15"/>
      <c r="E6078" s="15"/>
      <c r="F6078" s="20"/>
    </row>
    <row r="6079" spans="2:6" ht="17.25" customHeight="1">
      <c r="B6079" s="15"/>
      <c r="C6079" s="15"/>
      <c r="D6079" s="15"/>
      <c r="E6079" s="15"/>
      <c r="F6079" s="20"/>
    </row>
    <row r="6080" spans="2:6" ht="17.25" customHeight="1">
      <c r="B6080" s="15"/>
      <c r="C6080" s="15"/>
      <c r="D6080" s="15"/>
      <c r="E6080" s="15"/>
      <c r="F6080" s="20"/>
    </row>
    <row r="6081" spans="2:6" ht="17.25" customHeight="1">
      <c r="B6081" s="15"/>
      <c r="C6081" s="15"/>
      <c r="D6081" s="15"/>
      <c r="E6081" s="15"/>
      <c r="F6081" s="20"/>
    </row>
    <row r="6082" spans="2:6" ht="17.25" customHeight="1">
      <c r="B6082" s="15"/>
      <c r="C6082" s="15"/>
      <c r="D6082" s="15"/>
      <c r="E6082" s="15"/>
      <c r="F6082" s="20"/>
    </row>
    <row r="6083" spans="2:6" ht="17.25" customHeight="1">
      <c r="B6083" s="15"/>
      <c r="C6083" s="15"/>
      <c r="D6083" s="15"/>
      <c r="E6083" s="15"/>
      <c r="F6083" s="20"/>
    </row>
    <row r="6084" spans="2:6" ht="17.25" customHeight="1">
      <c r="B6084" s="15"/>
      <c r="C6084" s="15"/>
      <c r="D6084" s="15"/>
      <c r="E6084" s="15"/>
      <c r="F6084" s="20"/>
    </row>
    <row r="6085" spans="2:6" ht="17.25" customHeight="1">
      <c r="B6085" s="15"/>
      <c r="C6085" s="15"/>
      <c r="D6085" s="15"/>
      <c r="E6085" s="15"/>
      <c r="F6085" s="20"/>
    </row>
    <row r="6086" spans="2:6" ht="17.25" customHeight="1">
      <c r="B6086" s="15"/>
      <c r="C6086" s="15"/>
      <c r="D6086" s="15"/>
      <c r="E6086" s="15"/>
      <c r="F6086" s="20"/>
    </row>
    <row r="6087" spans="2:6" ht="17.25" customHeight="1">
      <c r="B6087" s="15"/>
      <c r="C6087" s="15"/>
      <c r="D6087" s="15"/>
      <c r="E6087" s="15"/>
      <c r="F6087" s="20"/>
    </row>
    <row r="6088" spans="2:6" ht="17.25" customHeight="1">
      <c r="B6088" s="15"/>
      <c r="C6088" s="15"/>
      <c r="D6088" s="15"/>
      <c r="E6088" s="15"/>
      <c r="F6088" s="20"/>
    </row>
    <row r="6089" spans="2:6" ht="17.25" customHeight="1">
      <c r="B6089" s="15"/>
      <c r="C6089" s="15"/>
      <c r="D6089" s="15"/>
      <c r="E6089" s="15"/>
      <c r="F6089" s="20"/>
    </row>
    <row r="6090" spans="2:6" ht="17.25" customHeight="1">
      <c r="B6090" s="15"/>
      <c r="C6090" s="15"/>
      <c r="D6090" s="15"/>
      <c r="E6090" s="15"/>
      <c r="F6090" s="20"/>
    </row>
    <row r="6091" spans="2:6" ht="17.25" customHeight="1">
      <c r="B6091" s="15"/>
      <c r="C6091" s="15"/>
      <c r="D6091" s="15"/>
      <c r="E6091" s="15"/>
      <c r="F6091" s="20"/>
    </row>
    <row r="6092" spans="2:6" ht="17.25" customHeight="1">
      <c r="B6092" s="15"/>
      <c r="C6092" s="15"/>
      <c r="D6092" s="15"/>
      <c r="E6092" s="15"/>
      <c r="F6092" s="20"/>
    </row>
    <row r="6093" spans="2:6" ht="17.25" customHeight="1">
      <c r="B6093" s="15"/>
      <c r="C6093" s="15"/>
      <c r="D6093" s="15"/>
      <c r="E6093" s="15"/>
      <c r="F6093" s="20"/>
    </row>
    <row r="6094" spans="2:6" ht="17.25" customHeight="1">
      <c r="B6094" s="15"/>
      <c r="C6094" s="15"/>
      <c r="D6094" s="15"/>
      <c r="E6094" s="15"/>
      <c r="F6094" s="20"/>
    </row>
    <row r="6095" spans="2:6" ht="17.25" customHeight="1">
      <c r="B6095" s="15"/>
      <c r="C6095" s="15"/>
      <c r="D6095" s="15"/>
      <c r="E6095" s="15"/>
      <c r="F6095" s="20"/>
    </row>
    <row r="6096" spans="2:6" ht="17.25" customHeight="1">
      <c r="B6096" s="15"/>
      <c r="C6096" s="15"/>
      <c r="D6096" s="15"/>
      <c r="E6096" s="15"/>
      <c r="F6096" s="20"/>
    </row>
    <row r="6097" spans="2:6" ht="17.25" customHeight="1">
      <c r="B6097" s="15"/>
      <c r="C6097" s="15"/>
      <c r="D6097" s="15"/>
      <c r="E6097" s="15"/>
      <c r="F6097" s="20"/>
    </row>
    <row r="6098" spans="2:6" ht="17.25" customHeight="1">
      <c r="B6098" s="15"/>
      <c r="C6098" s="15"/>
      <c r="D6098" s="15"/>
      <c r="E6098" s="15"/>
      <c r="F6098" s="20"/>
    </row>
    <row r="6099" spans="2:6" ht="17.25" customHeight="1">
      <c r="B6099" s="15"/>
      <c r="C6099" s="15"/>
      <c r="D6099" s="15"/>
      <c r="E6099" s="15"/>
      <c r="F6099" s="20"/>
    </row>
    <row r="6100" spans="2:6" ht="17.25" customHeight="1">
      <c r="B6100" s="15"/>
      <c r="C6100" s="15"/>
      <c r="D6100" s="15"/>
      <c r="E6100" s="15"/>
      <c r="F6100" s="20"/>
    </row>
    <row r="6101" spans="2:6" ht="17.25" customHeight="1">
      <c r="B6101" s="15"/>
      <c r="C6101" s="15"/>
      <c r="D6101" s="15"/>
      <c r="E6101" s="15"/>
      <c r="F6101" s="20"/>
    </row>
    <row r="6102" spans="2:6" ht="17.25" customHeight="1">
      <c r="B6102" s="15"/>
      <c r="C6102" s="15"/>
      <c r="D6102" s="15"/>
      <c r="E6102" s="15"/>
      <c r="F6102" s="20"/>
    </row>
    <row r="6103" spans="2:6" ht="17.25" customHeight="1">
      <c r="B6103" s="15"/>
      <c r="C6103" s="15"/>
      <c r="D6103" s="15"/>
      <c r="E6103" s="15"/>
      <c r="F6103" s="20"/>
    </row>
    <row r="6104" spans="2:6" ht="17.25" customHeight="1">
      <c r="B6104" s="15"/>
      <c r="C6104" s="15"/>
      <c r="D6104" s="15"/>
      <c r="E6104" s="15"/>
      <c r="F6104" s="20"/>
    </row>
    <row r="6105" spans="2:6" ht="17.25" customHeight="1">
      <c r="B6105" s="15"/>
      <c r="C6105" s="15"/>
      <c r="D6105" s="15"/>
      <c r="E6105" s="15"/>
      <c r="F6105" s="20"/>
    </row>
    <row r="6106" spans="2:6" ht="17.25" customHeight="1">
      <c r="B6106" s="15"/>
      <c r="C6106" s="15"/>
      <c r="D6106" s="15"/>
      <c r="E6106" s="15"/>
      <c r="F6106" s="20"/>
    </row>
    <row r="6107" spans="2:6" ht="17.25" customHeight="1">
      <c r="B6107" s="15"/>
      <c r="C6107" s="15"/>
      <c r="D6107" s="15"/>
      <c r="E6107" s="15"/>
      <c r="F6107" s="20"/>
    </row>
    <row r="6108" spans="2:6" ht="17.25" customHeight="1">
      <c r="B6108" s="15"/>
      <c r="C6108" s="15"/>
      <c r="D6108" s="15"/>
      <c r="E6108" s="15"/>
      <c r="F6108" s="20"/>
    </row>
    <row r="6109" spans="2:6" ht="17.25" customHeight="1">
      <c r="B6109" s="15"/>
      <c r="C6109" s="15"/>
      <c r="D6109" s="15"/>
      <c r="E6109" s="15"/>
      <c r="F6109" s="20"/>
    </row>
    <row r="6110" spans="2:6" ht="17.25" customHeight="1">
      <c r="B6110" s="15"/>
      <c r="C6110" s="15"/>
      <c r="D6110" s="15"/>
      <c r="E6110" s="15"/>
      <c r="F6110" s="20"/>
    </row>
    <row r="6111" spans="2:6" ht="17.25" customHeight="1">
      <c r="B6111" s="15"/>
      <c r="C6111" s="15"/>
      <c r="D6111" s="15"/>
      <c r="E6111" s="15"/>
      <c r="F6111" s="20"/>
    </row>
    <row r="6112" spans="2:6" ht="17.25" customHeight="1">
      <c r="B6112" s="15"/>
      <c r="C6112" s="15"/>
      <c r="D6112" s="15"/>
      <c r="E6112" s="15"/>
      <c r="F6112" s="20"/>
    </row>
    <row r="6113" spans="2:6" ht="17.25" customHeight="1">
      <c r="B6113" s="15"/>
      <c r="C6113" s="15"/>
      <c r="D6113" s="15"/>
      <c r="E6113" s="15"/>
      <c r="F6113" s="20"/>
    </row>
    <row r="6114" spans="2:6" ht="17.25" customHeight="1">
      <c r="B6114" s="15"/>
      <c r="C6114" s="15"/>
      <c r="D6114" s="15"/>
      <c r="E6114" s="15"/>
      <c r="F6114" s="20"/>
    </row>
    <row r="6115" spans="2:6" ht="17.25" customHeight="1">
      <c r="B6115" s="15"/>
      <c r="C6115" s="15"/>
      <c r="D6115" s="15"/>
      <c r="E6115" s="15"/>
      <c r="F6115" s="20"/>
    </row>
    <row r="6116" spans="2:6" ht="17.25" customHeight="1">
      <c r="B6116" s="15"/>
      <c r="C6116" s="15"/>
      <c r="D6116" s="15"/>
      <c r="E6116" s="15"/>
      <c r="F6116" s="20"/>
    </row>
    <row r="6117" spans="2:6" ht="17.25" customHeight="1">
      <c r="B6117" s="15"/>
      <c r="C6117" s="15"/>
      <c r="D6117" s="15"/>
      <c r="E6117" s="15"/>
      <c r="F6117" s="20"/>
    </row>
    <row r="6118" spans="2:6" ht="17.25" customHeight="1">
      <c r="B6118" s="15"/>
      <c r="C6118" s="15"/>
      <c r="D6118" s="15"/>
      <c r="E6118" s="15"/>
      <c r="F6118" s="20"/>
    </row>
    <row r="6119" spans="2:6" ht="17.25" customHeight="1">
      <c r="B6119" s="15"/>
      <c r="C6119" s="15"/>
      <c r="D6119" s="15"/>
      <c r="E6119" s="15"/>
      <c r="F6119" s="20"/>
    </row>
    <row r="6120" spans="2:6" ht="17.25" customHeight="1">
      <c r="B6120" s="15"/>
      <c r="C6120" s="15"/>
      <c r="D6120" s="15"/>
      <c r="E6120" s="15"/>
      <c r="F6120" s="20"/>
    </row>
    <row r="6121" spans="2:6" ht="17.25" customHeight="1">
      <c r="B6121" s="15"/>
      <c r="C6121" s="15"/>
      <c r="D6121" s="15"/>
      <c r="E6121" s="15"/>
      <c r="F6121" s="20"/>
    </row>
    <row r="6122" spans="2:6" ht="17.25" customHeight="1">
      <c r="B6122" s="15"/>
      <c r="C6122" s="15"/>
      <c r="D6122" s="15"/>
      <c r="E6122" s="15"/>
      <c r="F6122" s="20"/>
    </row>
    <row r="6123" spans="2:6" ht="17.25" customHeight="1">
      <c r="B6123" s="15"/>
      <c r="C6123" s="15"/>
      <c r="D6123" s="15"/>
      <c r="E6123" s="15"/>
      <c r="F6123" s="20"/>
    </row>
    <row r="6124" spans="2:6" ht="17.25" customHeight="1">
      <c r="B6124" s="15"/>
      <c r="C6124" s="15"/>
      <c r="D6124" s="15"/>
      <c r="E6124" s="15"/>
      <c r="F6124" s="20"/>
    </row>
    <row r="6125" spans="2:6" ht="17.25" customHeight="1">
      <c r="B6125" s="15"/>
      <c r="C6125" s="15"/>
      <c r="D6125" s="15"/>
      <c r="E6125" s="15"/>
      <c r="F6125" s="20"/>
    </row>
    <row r="6126" spans="2:6" ht="17.25" customHeight="1">
      <c r="B6126" s="15"/>
      <c r="C6126" s="15"/>
      <c r="D6126" s="15"/>
      <c r="E6126" s="15"/>
      <c r="F6126" s="20"/>
    </row>
    <row r="6127" spans="2:6" ht="17.25" customHeight="1">
      <c r="B6127" s="15"/>
      <c r="C6127" s="15"/>
      <c r="D6127" s="15"/>
      <c r="E6127" s="15"/>
      <c r="F6127" s="20"/>
    </row>
    <row r="6128" spans="2:6" ht="17.25" customHeight="1">
      <c r="B6128" s="15"/>
      <c r="C6128" s="15"/>
      <c r="D6128" s="15"/>
      <c r="E6128" s="15"/>
      <c r="F6128" s="20"/>
    </row>
    <row r="6129" spans="2:6" ht="17.25" customHeight="1">
      <c r="B6129" s="15"/>
      <c r="C6129" s="15"/>
      <c r="D6129" s="15"/>
      <c r="E6129" s="15"/>
      <c r="F6129" s="20"/>
    </row>
    <row r="6130" spans="2:6" ht="17.25" customHeight="1">
      <c r="B6130" s="15"/>
      <c r="C6130" s="15"/>
      <c r="D6130" s="15"/>
      <c r="E6130" s="15"/>
      <c r="F6130" s="20"/>
    </row>
    <row r="6131" spans="2:6" ht="17.25" customHeight="1">
      <c r="B6131" s="15"/>
      <c r="C6131" s="15"/>
      <c r="D6131" s="15"/>
      <c r="E6131" s="15"/>
      <c r="F6131" s="20"/>
    </row>
    <row r="6132" spans="2:6" ht="17.25" customHeight="1">
      <c r="B6132" s="15"/>
      <c r="C6132" s="15"/>
      <c r="D6132" s="15"/>
      <c r="E6132" s="15"/>
      <c r="F6132" s="20"/>
    </row>
    <row r="6133" spans="2:6" ht="17.25" customHeight="1">
      <c r="B6133" s="15"/>
      <c r="C6133" s="15"/>
      <c r="D6133" s="15"/>
      <c r="E6133" s="15"/>
      <c r="F6133" s="20"/>
    </row>
    <row r="6134" spans="2:6" ht="17.25" customHeight="1">
      <c r="B6134" s="15"/>
      <c r="C6134" s="15"/>
      <c r="D6134" s="15"/>
      <c r="E6134" s="15"/>
      <c r="F6134" s="20"/>
    </row>
    <row r="6135" spans="2:6" ht="17.25" customHeight="1">
      <c r="B6135" s="15"/>
      <c r="C6135" s="15"/>
      <c r="D6135" s="15"/>
      <c r="E6135" s="15"/>
      <c r="F6135" s="20"/>
    </row>
    <row r="6136" spans="2:6" ht="17.25" customHeight="1">
      <c r="B6136" s="15"/>
      <c r="C6136" s="15"/>
      <c r="D6136" s="15"/>
      <c r="E6136" s="15"/>
      <c r="F6136" s="20"/>
    </row>
    <row r="6137" spans="2:6" ht="17.25" customHeight="1">
      <c r="B6137" s="15"/>
      <c r="C6137" s="15"/>
      <c r="D6137" s="15"/>
      <c r="E6137" s="15"/>
      <c r="F6137" s="20"/>
    </row>
    <row r="6138" spans="2:6" ht="17.25" customHeight="1">
      <c r="B6138" s="15"/>
      <c r="C6138" s="15"/>
      <c r="D6138" s="15"/>
      <c r="E6138" s="15"/>
      <c r="F6138" s="20"/>
    </row>
    <row r="6139" spans="2:6" ht="17.25" customHeight="1">
      <c r="B6139" s="15"/>
      <c r="C6139" s="15"/>
      <c r="D6139" s="15"/>
      <c r="E6139" s="15"/>
      <c r="F6139" s="20"/>
    </row>
    <row r="6140" spans="2:6" ht="17.25" customHeight="1">
      <c r="B6140" s="15"/>
      <c r="C6140" s="15"/>
      <c r="D6140" s="15"/>
      <c r="E6140" s="15"/>
      <c r="F6140" s="20"/>
    </row>
    <row r="6141" spans="2:6" ht="17.25" customHeight="1">
      <c r="B6141" s="15"/>
      <c r="C6141" s="15"/>
      <c r="D6141" s="15"/>
      <c r="E6141" s="15"/>
      <c r="F6141" s="20"/>
    </row>
    <row r="6142" spans="2:6" ht="17.25" customHeight="1">
      <c r="B6142" s="15"/>
      <c r="C6142" s="15"/>
      <c r="D6142" s="15"/>
      <c r="E6142" s="15"/>
      <c r="F6142" s="20"/>
    </row>
    <row r="6143" spans="2:6" ht="17.25" customHeight="1">
      <c r="B6143" s="15"/>
      <c r="C6143" s="15"/>
      <c r="D6143" s="15"/>
      <c r="E6143" s="15"/>
      <c r="F6143" s="20"/>
    </row>
    <row r="6144" spans="2:6" ht="17.25" customHeight="1">
      <c r="B6144" s="15"/>
      <c r="C6144" s="15"/>
      <c r="D6144" s="15"/>
      <c r="E6144" s="15"/>
      <c r="F6144" s="20"/>
    </row>
    <row r="6145" spans="2:6" ht="17.25" customHeight="1">
      <c r="B6145" s="15"/>
      <c r="C6145" s="15"/>
      <c r="D6145" s="15"/>
      <c r="E6145" s="15"/>
      <c r="F6145" s="20"/>
    </row>
    <row r="6146" spans="2:6" ht="17.25" customHeight="1">
      <c r="B6146" s="15"/>
      <c r="C6146" s="15"/>
      <c r="D6146" s="15"/>
      <c r="E6146" s="15"/>
      <c r="F6146" s="20"/>
    </row>
    <row r="6147" spans="2:6" ht="17.25" customHeight="1">
      <c r="B6147" s="15"/>
      <c r="C6147" s="15"/>
      <c r="D6147" s="15"/>
      <c r="E6147" s="15"/>
      <c r="F6147" s="20"/>
    </row>
    <row r="6148" spans="2:6" ht="17.25" customHeight="1">
      <c r="B6148" s="15"/>
      <c r="C6148" s="15"/>
      <c r="D6148" s="15"/>
      <c r="E6148" s="15"/>
      <c r="F6148" s="20"/>
    </row>
    <row r="6149" spans="2:6" ht="17.25" customHeight="1">
      <c r="B6149" s="15"/>
      <c r="C6149" s="15"/>
      <c r="D6149" s="15"/>
      <c r="E6149" s="15"/>
      <c r="F6149" s="20"/>
    </row>
    <row r="6150" spans="2:6" ht="17.25" customHeight="1">
      <c r="B6150" s="15"/>
      <c r="C6150" s="15"/>
      <c r="D6150" s="15"/>
      <c r="E6150" s="15"/>
      <c r="F6150" s="20"/>
    </row>
    <row r="6151" spans="2:6" ht="17.25" customHeight="1">
      <c r="B6151" s="15"/>
      <c r="C6151" s="15"/>
      <c r="D6151" s="15"/>
      <c r="E6151" s="15"/>
      <c r="F6151" s="20"/>
    </row>
    <row r="6152" spans="2:6" ht="17.25" customHeight="1">
      <c r="B6152" s="15"/>
      <c r="C6152" s="15"/>
      <c r="D6152" s="15"/>
      <c r="E6152" s="15"/>
      <c r="F6152" s="20"/>
    </row>
    <row r="6153" spans="2:6" ht="17.25" customHeight="1">
      <c r="B6153" s="15"/>
      <c r="C6153" s="15"/>
      <c r="D6153" s="15"/>
      <c r="E6153" s="15"/>
      <c r="F6153" s="20"/>
    </row>
    <row r="6154" spans="2:6" ht="17.25" customHeight="1">
      <c r="B6154" s="15"/>
      <c r="C6154" s="15"/>
      <c r="D6154" s="15"/>
      <c r="E6154" s="15"/>
      <c r="F6154" s="20"/>
    </row>
    <row r="6155" spans="2:6" ht="17.25" customHeight="1">
      <c r="B6155" s="15"/>
      <c r="C6155" s="15"/>
      <c r="D6155" s="15"/>
      <c r="E6155" s="15"/>
      <c r="F6155" s="20"/>
    </row>
    <row r="6156" spans="2:6" ht="17.25" customHeight="1">
      <c r="B6156" s="15"/>
      <c r="C6156" s="15"/>
      <c r="D6156" s="15"/>
      <c r="E6156" s="15"/>
      <c r="F6156" s="20"/>
    </row>
    <row r="6157" spans="2:6" ht="17.25" customHeight="1">
      <c r="B6157" s="15"/>
      <c r="C6157" s="15"/>
      <c r="D6157" s="15"/>
      <c r="E6157" s="15"/>
      <c r="F6157" s="20"/>
    </row>
    <row r="6158" spans="2:6" ht="17.25" customHeight="1">
      <c r="B6158" s="15"/>
      <c r="C6158" s="15"/>
      <c r="D6158" s="15"/>
      <c r="E6158" s="15"/>
      <c r="F6158" s="20"/>
    </row>
    <row r="6159" spans="2:6" ht="17.25" customHeight="1">
      <c r="B6159" s="15"/>
      <c r="C6159" s="15"/>
      <c r="D6159" s="15"/>
      <c r="E6159" s="15"/>
      <c r="F6159" s="20"/>
    </row>
    <row r="6160" spans="2:6" ht="17.25" customHeight="1">
      <c r="B6160" s="15"/>
      <c r="C6160" s="15"/>
      <c r="D6160" s="15"/>
      <c r="E6160" s="15"/>
      <c r="F6160" s="20"/>
    </row>
    <row r="6161" spans="2:6" ht="17.25" customHeight="1">
      <c r="B6161" s="15"/>
      <c r="C6161" s="15"/>
      <c r="D6161" s="15"/>
      <c r="E6161" s="15"/>
      <c r="F6161" s="20"/>
    </row>
    <row r="6162" spans="2:6" ht="17.25" customHeight="1">
      <c r="B6162" s="15"/>
      <c r="C6162" s="15"/>
      <c r="D6162" s="15"/>
      <c r="E6162" s="15"/>
      <c r="F6162" s="20"/>
    </row>
    <row r="6163" spans="2:6" ht="17.25" customHeight="1">
      <c r="B6163" s="15"/>
      <c r="C6163" s="15"/>
      <c r="D6163" s="15"/>
      <c r="E6163" s="15"/>
      <c r="F6163" s="20"/>
    </row>
    <row r="6164" spans="2:6" ht="17.25" customHeight="1">
      <c r="B6164" s="15"/>
      <c r="C6164" s="15"/>
      <c r="D6164" s="15"/>
      <c r="E6164" s="15"/>
      <c r="F6164" s="20"/>
    </row>
    <row r="6165" spans="2:6" ht="17.25" customHeight="1">
      <c r="B6165" s="15"/>
      <c r="C6165" s="15"/>
      <c r="D6165" s="15"/>
      <c r="E6165" s="15"/>
      <c r="F6165" s="20"/>
    </row>
    <row r="6166" spans="2:6" ht="17.25" customHeight="1">
      <c r="B6166" s="15"/>
      <c r="C6166" s="15"/>
      <c r="D6166" s="15"/>
      <c r="E6166" s="15"/>
      <c r="F6166" s="20"/>
    </row>
    <row r="6167" spans="2:6" ht="17.25" customHeight="1">
      <c r="B6167" s="15"/>
      <c r="C6167" s="15"/>
      <c r="D6167" s="15"/>
      <c r="E6167" s="15"/>
      <c r="F6167" s="20"/>
    </row>
    <row r="6168" spans="2:6" ht="17.25" customHeight="1">
      <c r="B6168" s="15"/>
      <c r="C6168" s="15"/>
      <c r="D6168" s="15"/>
      <c r="E6168" s="15"/>
      <c r="F6168" s="20"/>
    </row>
    <row r="6169" spans="2:6" ht="17.25" customHeight="1">
      <c r="B6169" s="15"/>
      <c r="C6169" s="15"/>
      <c r="D6169" s="15"/>
      <c r="E6169" s="15"/>
      <c r="F6169" s="20"/>
    </row>
    <row r="6170" spans="2:6" ht="17.25" customHeight="1">
      <c r="B6170" s="15"/>
      <c r="C6170" s="15"/>
      <c r="D6170" s="15"/>
      <c r="E6170" s="15"/>
      <c r="F6170" s="20"/>
    </row>
    <row r="6171" spans="2:6" ht="17.25" customHeight="1">
      <c r="B6171" s="15"/>
      <c r="C6171" s="15"/>
      <c r="D6171" s="15"/>
      <c r="E6171" s="15"/>
      <c r="F6171" s="20"/>
    </row>
    <row r="6172" spans="2:6" ht="17.25" customHeight="1">
      <c r="B6172" s="15"/>
      <c r="C6172" s="15"/>
      <c r="D6172" s="15"/>
      <c r="E6172" s="15"/>
      <c r="F6172" s="20"/>
    </row>
    <row r="6173" spans="2:6" ht="17.25" customHeight="1">
      <c r="B6173" s="15"/>
      <c r="C6173" s="15"/>
      <c r="D6173" s="15"/>
      <c r="E6173" s="15"/>
      <c r="F6173" s="20"/>
    </row>
    <row r="6174" spans="2:6" ht="17.25" customHeight="1">
      <c r="B6174" s="15"/>
      <c r="C6174" s="15"/>
      <c r="D6174" s="15"/>
      <c r="E6174" s="15"/>
      <c r="F6174" s="20"/>
    </row>
    <row r="6175" spans="2:6" ht="17.25" customHeight="1">
      <c r="B6175" s="15"/>
      <c r="C6175" s="15"/>
      <c r="D6175" s="15"/>
      <c r="E6175" s="15"/>
      <c r="F6175" s="20"/>
    </row>
    <row r="6176" spans="2:6" ht="17.25" customHeight="1">
      <c r="B6176" s="15"/>
      <c r="C6176" s="15"/>
      <c r="D6176" s="15"/>
      <c r="E6176" s="15"/>
      <c r="F6176" s="20"/>
    </row>
    <row r="6177" spans="2:6" ht="17.25" customHeight="1">
      <c r="B6177" s="15"/>
      <c r="C6177" s="15"/>
      <c r="D6177" s="15"/>
      <c r="E6177" s="15"/>
      <c r="F6177" s="20"/>
    </row>
    <row r="6178" spans="2:6" ht="17.25" customHeight="1">
      <c r="B6178" s="15"/>
      <c r="C6178" s="15"/>
      <c r="D6178" s="15"/>
      <c r="E6178" s="15"/>
      <c r="F6178" s="20"/>
    </row>
    <row r="6179" spans="2:6" ht="17.25" customHeight="1">
      <c r="B6179" s="15"/>
      <c r="C6179" s="15"/>
      <c r="D6179" s="15"/>
      <c r="E6179" s="15"/>
      <c r="F6179" s="20"/>
    </row>
    <row r="6180" spans="2:6" ht="17.25" customHeight="1">
      <c r="B6180" s="15"/>
      <c r="C6180" s="15"/>
      <c r="D6180" s="15"/>
      <c r="E6180" s="15"/>
      <c r="F6180" s="20"/>
    </row>
    <row r="6181" spans="2:6" ht="17.25" customHeight="1">
      <c r="B6181" s="15"/>
      <c r="C6181" s="15"/>
      <c r="D6181" s="15"/>
      <c r="E6181" s="15"/>
      <c r="F6181" s="20"/>
    </row>
    <row r="6182" spans="2:6" ht="17.25" customHeight="1">
      <c r="B6182" s="15"/>
      <c r="C6182" s="15"/>
      <c r="D6182" s="15"/>
      <c r="E6182" s="15"/>
      <c r="F6182" s="20"/>
    </row>
    <row r="6183" spans="2:6" ht="17.25" customHeight="1">
      <c r="B6183" s="15"/>
      <c r="C6183" s="15"/>
      <c r="D6183" s="15"/>
      <c r="E6183" s="15"/>
      <c r="F6183" s="20"/>
    </row>
    <row r="6184" spans="2:6" ht="17.25" customHeight="1">
      <c r="B6184" s="15"/>
      <c r="C6184" s="15"/>
      <c r="D6184" s="15"/>
      <c r="E6184" s="15"/>
      <c r="F6184" s="20"/>
    </row>
    <row r="6185" spans="2:6" ht="17.25" customHeight="1">
      <c r="B6185" s="15"/>
      <c r="C6185" s="15"/>
      <c r="D6185" s="15"/>
      <c r="E6185" s="15"/>
      <c r="F6185" s="20"/>
    </row>
    <row r="6186" spans="2:6" ht="17.25" customHeight="1">
      <c r="B6186" s="15"/>
      <c r="C6186" s="15"/>
      <c r="D6186" s="15"/>
      <c r="E6186" s="15"/>
      <c r="F6186" s="20"/>
    </row>
    <row r="6187" spans="2:6" ht="17.25" customHeight="1">
      <c r="B6187" s="15"/>
      <c r="C6187" s="15"/>
      <c r="D6187" s="15"/>
      <c r="E6187" s="15"/>
      <c r="F6187" s="20"/>
    </row>
    <row r="6188" spans="2:6" ht="17.25" customHeight="1">
      <c r="B6188" s="15"/>
      <c r="C6188" s="15"/>
      <c r="D6188" s="15"/>
      <c r="E6188" s="15"/>
      <c r="F6188" s="20"/>
    </row>
    <row r="6189" spans="2:6" ht="17.25" customHeight="1">
      <c r="B6189" s="15"/>
      <c r="C6189" s="15"/>
      <c r="D6189" s="15"/>
      <c r="E6189" s="15"/>
      <c r="F6189" s="20"/>
    </row>
    <row r="6190" spans="2:6" ht="17.25" customHeight="1">
      <c r="B6190" s="15"/>
      <c r="C6190" s="15"/>
      <c r="D6190" s="15"/>
      <c r="E6190" s="15"/>
      <c r="F6190" s="20"/>
    </row>
    <row r="6191" spans="2:6" ht="17.25" customHeight="1">
      <c r="B6191" s="15"/>
      <c r="C6191" s="15"/>
      <c r="D6191" s="15"/>
      <c r="E6191" s="15"/>
      <c r="F6191" s="20"/>
    </row>
    <row r="6192" spans="2:6" ht="17.25" customHeight="1">
      <c r="B6192" s="15"/>
      <c r="C6192" s="15"/>
      <c r="D6192" s="15"/>
      <c r="E6192" s="15"/>
      <c r="F6192" s="20"/>
    </row>
    <row r="6193" spans="2:6" ht="17.25" customHeight="1">
      <c r="B6193" s="15"/>
      <c r="C6193" s="15"/>
      <c r="D6193" s="15"/>
      <c r="E6193" s="15"/>
      <c r="F6193" s="20"/>
    </row>
    <row r="6194" spans="2:6" ht="17.25" customHeight="1">
      <c r="B6194" s="15"/>
      <c r="C6194" s="15"/>
      <c r="D6194" s="15"/>
      <c r="E6194" s="15"/>
      <c r="F6194" s="20"/>
    </row>
    <row r="6195" spans="2:6" ht="17.25" customHeight="1">
      <c r="B6195" s="15"/>
      <c r="C6195" s="15"/>
      <c r="D6195" s="15"/>
      <c r="E6195" s="15"/>
      <c r="F6195" s="20"/>
    </row>
    <row r="6196" spans="2:6" ht="17.25" customHeight="1">
      <c r="B6196" s="15"/>
      <c r="C6196" s="15"/>
      <c r="D6196" s="15"/>
      <c r="E6196" s="15"/>
      <c r="F6196" s="20"/>
    </row>
    <row r="6197" spans="2:6" ht="17.25" customHeight="1">
      <c r="B6197" s="15"/>
      <c r="C6197" s="15"/>
      <c r="D6197" s="15"/>
      <c r="E6197" s="15"/>
      <c r="F6197" s="20"/>
    </row>
    <row r="6198" spans="2:6" ht="17.25" customHeight="1">
      <c r="B6198" s="15"/>
      <c r="C6198" s="15"/>
      <c r="D6198" s="15"/>
      <c r="E6198" s="15"/>
      <c r="F6198" s="20"/>
    </row>
    <row r="6199" spans="2:6" ht="17.25" customHeight="1">
      <c r="B6199" s="15"/>
      <c r="C6199" s="15"/>
      <c r="D6199" s="15"/>
      <c r="E6199" s="15"/>
      <c r="F6199" s="20"/>
    </row>
    <row r="6200" spans="2:6" ht="17.25" customHeight="1">
      <c r="B6200" s="15"/>
      <c r="C6200" s="15"/>
      <c r="D6200" s="15"/>
      <c r="E6200" s="15"/>
      <c r="F6200" s="20"/>
    </row>
    <row r="6201" spans="2:6" ht="17.25" customHeight="1">
      <c r="B6201" s="15"/>
      <c r="C6201" s="15"/>
      <c r="D6201" s="15"/>
      <c r="E6201" s="15"/>
      <c r="F6201" s="20"/>
    </row>
    <row r="6202" spans="2:6" ht="17.25" customHeight="1">
      <c r="B6202" s="15"/>
      <c r="C6202" s="15"/>
      <c r="D6202" s="15"/>
      <c r="E6202" s="15"/>
      <c r="F6202" s="20"/>
    </row>
    <row r="6203" spans="2:6" ht="17.25" customHeight="1">
      <c r="B6203" s="15"/>
      <c r="C6203" s="15"/>
      <c r="D6203" s="15"/>
      <c r="E6203" s="15"/>
      <c r="F6203" s="20"/>
    </row>
    <row r="6204" spans="2:6" ht="17.25" customHeight="1">
      <c r="B6204" s="15"/>
      <c r="C6204" s="15"/>
      <c r="D6204" s="15"/>
      <c r="E6204" s="15"/>
      <c r="F6204" s="20"/>
    </row>
    <row r="6205" spans="2:6" ht="17.25" customHeight="1">
      <c r="B6205" s="15"/>
      <c r="C6205" s="15"/>
      <c r="D6205" s="15"/>
      <c r="E6205" s="15"/>
      <c r="F6205" s="20"/>
    </row>
    <row r="6206" spans="2:6" ht="17.25" customHeight="1">
      <c r="B6206" s="15"/>
      <c r="C6206" s="15"/>
      <c r="D6206" s="15"/>
      <c r="E6206" s="15"/>
      <c r="F6206" s="20"/>
    </row>
    <row r="6207" spans="2:6" ht="17.25" customHeight="1">
      <c r="B6207" s="15"/>
      <c r="C6207" s="15"/>
      <c r="D6207" s="15"/>
      <c r="E6207" s="15"/>
      <c r="F6207" s="20"/>
    </row>
    <row r="6208" spans="2:6" ht="17.25" customHeight="1">
      <c r="B6208" s="15"/>
      <c r="C6208" s="15"/>
      <c r="D6208" s="15"/>
      <c r="E6208" s="15"/>
      <c r="F6208" s="20"/>
    </row>
    <row r="6209" spans="2:6" ht="17.25" customHeight="1">
      <c r="B6209" s="15"/>
      <c r="C6209" s="15"/>
      <c r="D6209" s="15"/>
      <c r="E6209" s="15"/>
      <c r="F6209" s="20"/>
    </row>
    <row r="6210" spans="2:6" ht="17.25" customHeight="1">
      <c r="B6210" s="15"/>
      <c r="C6210" s="15"/>
      <c r="D6210" s="15"/>
      <c r="E6210" s="15"/>
      <c r="F6210" s="20"/>
    </row>
    <row r="6211" spans="2:6" ht="17.25" customHeight="1">
      <c r="B6211" s="15"/>
      <c r="C6211" s="15"/>
      <c r="D6211" s="15"/>
      <c r="E6211" s="15"/>
      <c r="F6211" s="20"/>
    </row>
    <row r="6212" spans="2:6" ht="17.25" customHeight="1">
      <c r="B6212" s="15"/>
      <c r="C6212" s="15"/>
      <c r="D6212" s="15"/>
      <c r="E6212" s="15"/>
      <c r="F6212" s="20"/>
    </row>
    <row r="6213" spans="2:6" ht="17.25" customHeight="1">
      <c r="B6213" s="15"/>
      <c r="C6213" s="15"/>
      <c r="D6213" s="15"/>
      <c r="E6213" s="15"/>
      <c r="F6213" s="20"/>
    </row>
    <row r="6214" spans="2:6" ht="17.25" customHeight="1">
      <c r="B6214" s="15"/>
      <c r="C6214" s="15"/>
      <c r="D6214" s="15"/>
      <c r="E6214" s="15"/>
      <c r="F6214" s="20"/>
    </row>
    <row r="6215" spans="2:6" ht="17.25" customHeight="1">
      <c r="B6215" s="15"/>
      <c r="C6215" s="15"/>
      <c r="D6215" s="15"/>
      <c r="E6215" s="15"/>
      <c r="F6215" s="20"/>
    </row>
    <row r="6216" spans="2:6" ht="17.25" customHeight="1">
      <c r="B6216" s="15"/>
      <c r="C6216" s="15"/>
      <c r="D6216" s="15"/>
      <c r="E6216" s="15"/>
      <c r="F6216" s="20"/>
    </row>
    <row r="6217" spans="2:6" ht="17.25" customHeight="1">
      <c r="B6217" s="15"/>
      <c r="C6217" s="15"/>
      <c r="D6217" s="15"/>
      <c r="E6217" s="15"/>
      <c r="F6217" s="20"/>
    </row>
    <row r="6218" spans="2:6" ht="17.25" customHeight="1">
      <c r="B6218" s="15"/>
      <c r="C6218" s="15"/>
      <c r="D6218" s="15"/>
      <c r="E6218" s="15"/>
      <c r="F6218" s="20"/>
    </row>
    <row r="6219" spans="2:6" ht="17.25" customHeight="1">
      <c r="B6219" s="15"/>
      <c r="C6219" s="15"/>
      <c r="D6219" s="15"/>
      <c r="E6219" s="15"/>
      <c r="F6219" s="20"/>
    </row>
    <row r="6220" spans="2:6" ht="17.25" customHeight="1">
      <c r="B6220" s="15"/>
      <c r="C6220" s="15"/>
      <c r="D6220" s="15"/>
      <c r="E6220" s="15"/>
      <c r="F6220" s="20"/>
    </row>
    <row r="6221" spans="2:6" ht="17.25" customHeight="1">
      <c r="B6221" s="15"/>
      <c r="C6221" s="15"/>
      <c r="D6221" s="15"/>
      <c r="E6221" s="15"/>
      <c r="F6221" s="20"/>
    </row>
    <row r="6222" spans="2:6" ht="17.25" customHeight="1">
      <c r="B6222" s="15"/>
      <c r="C6222" s="15"/>
      <c r="D6222" s="15"/>
      <c r="E6222" s="15"/>
      <c r="F6222" s="20"/>
    </row>
    <row r="6223" spans="2:6" ht="17.25" customHeight="1">
      <c r="B6223" s="15"/>
      <c r="C6223" s="15"/>
      <c r="D6223" s="15"/>
      <c r="E6223" s="15"/>
      <c r="F6223" s="20"/>
    </row>
    <row r="6224" spans="2:6" ht="17.25" customHeight="1">
      <c r="B6224" s="15"/>
      <c r="C6224" s="15"/>
      <c r="D6224" s="15"/>
      <c r="E6224" s="15"/>
      <c r="F6224" s="20"/>
    </row>
    <row r="6225" spans="2:6" ht="17.25" customHeight="1">
      <c r="B6225" s="15"/>
      <c r="C6225" s="15"/>
      <c r="D6225" s="15"/>
      <c r="E6225" s="15"/>
      <c r="F6225" s="20"/>
    </row>
    <row r="6226" spans="2:6" ht="17.25" customHeight="1">
      <c r="B6226" s="15"/>
      <c r="C6226" s="15"/>
      <c r="D6226" s="15"/>
      <c r="E6226" s="15"/>
      <c r="F6226" s="20"/>
    </row>
    <row r="6227" spans="2:6" ht="17.25" customHeight="1">
      <c r="B6227" s="15"/>
      <c r="C6227" s="15"/>
      <c r="D6227" s="15"/>
      <c r="E6227" s="15"/>
      <c r="F6227" s="20"/>
    </row>
    <row r="6228" spans="2:6" ht="17.25" customHeight="1">
      <c r="B6228" s="15"/>
      <c r="C6228" s="15"/>
      <c r="D6228" s="15"/>
      <c r="E6228" s="15"/>
      <c r="F6228" s="20"/>
    </row>
    <row r="6229" spans="2:6" ht="17.25" customHeight="1">
      <c r="B6229" s="15"/>
      <c r="C6229" s="15"/>
      <c r="D6229" s="15"/>
      <c r="E6229" s="15"/>
      <c r="F6229" s="20"/>
    </row>
    <row r="6230" spans="2:6" ht="17.25" customHeight="1">
      <c r="B6230" s="15"/>
      <c r="C6230" s="15"/>
      <c r="D6230" s="15"/>
      <c r="E6230" s="15"/>
      <c r="F6230" s="20"/>
    </row>
    <row r="6231" spans="2:6" ht="17.25" customHeight="1">
      <c r="B6231" s="15"/>
      <c r="C6231" s="15"/>
      <c r="D6231" s="15"/>
      <c r="E6231" s="15"/>
      <c r="F6231" s="20"/>
    </row>
    <row r="6232" spans="2:6" ht="17.25" customHeight="1">
      <c r="B6232" s="15"/>
      <c r="C6232" s="15"/>
      <c r="D6232" s="15"/>
      <c r="E6232" s="15"/>
      <c r="F6232" s="20"/>
    </row>
    <row r="6233" spans="2:6" ht="17.25" customHeight="1">
      <c r="B6233" s="15"/>
      <c r="C6233" s="15"/>
      <c r="D6233" s="15"/>
      <c r="E6233" s="15"/>
      <c r="F6233" s="20"/>
    </row>
    <row r="6234" spans="2:6" ht="17.25" customHeight="1">
      <c r="B6234" s="15"/>
      <c r="C6234" s="15"/>
      <c r="D6234" s="15"/>
      <c r="E6234" s="15"/>
      <c r="F6234" s="20"/>
    </row>
    <row r="6235" spans="2:6" ht="17.25" customHeight="1">
      <c r="B6235" s="15"/>
      <c r="C6235" s="15"/>
      <c r="D6235" s="15"/>
      <c r="E6235" s="15"/>
      <c r="F6235" s="20"/>
    </row>
    <row r="6236" spans="2:6" ht="17.25" customHeight="1">
      <c r="B6236" s="15"/>
      <c r="C6236" s="15"/>
      <c r="D6236" s="15"/>
      <c r="E6236" s="15"/>
      <c r="F6236" s="20"/>
    </row>
    <row r="6237" spans="2:6" ht="17.25" customHeight="1">
      <c r="B6237" s="15"/>
      <c r="C6237" s="15"/>
      <c r="D6237" s="15"/>
      <c r="E6237" s="15"/>
      <c r="F6237" s="20"/>
    </row>
    <row r="6238" spans="2:6" ht="17.25" customHeight="1">
      <c r="B6238" s="15"/>
      <c r="C6238" s="15"/>
      <c r="D6238" s="15"/>
      <c r="E6238" s="15"/>
      <c r="F6238" s="20"/>
    </row>
    <row r="6239" spans="2:6" ht="17.25" customHeight="1">
      <c r="B6239" s="15"/>
      <c r="C6239" s="15"/>
      <c r="D6239" s="15"/>
      <c r="E6239" s="15"/>
      <c r="F6239" s="20"/>
    </row>
    <row r="6240" spans="2:6" ht="17.25" customHeight="1">
      <c r="B6240" s="15"/>
      <c r="C6240" s="15"/>
      <c r="D6240" s="15"/>
      <c r="E6240" s="15"/>
      <c r="F6240" s="20"/>
    </row>
    <row r="6241" spans="2:6" ht="17.25" customHeight="1">
      <c r="B6241" s="15"/>
      <c r="C6241" s="15"/>
      <c r="D6241" s="15"/>
      <c r="E6241" s="15"/>
      <c r="F6241" s="20"/>
    </row>
    <row r="6242" spans="2:6" ht="17.25" customHeight="1">
      <c r="B6242" s="15"/>
      <c r="C6242" s="15"/>
      <c r="D6242" s="15"/>
      <c r="E6242" s="15"/>
      <c r="F6242" s="20"/>
    </row>
    <row r="6243" spans="2:6" ht="17.25" customHeight="1">
      <c r="B6243" s="15"/>
      <c r="C6243" s="15"/>
      <c r="D6243" s="15"/>
      <c r="E6243" s="15"/>
      <c r="F6243" s="20"/>
    </row>
    <row r="6244" spans="2:6" ht="17.25" customHeight="1">
      <c r="B6244" s="15"/>
      <c r="C6244" s="15"/>
      <c r="D6244" s="15"/>
      <c r="E6244" s="15"/>
      <c r="F6244" s="20"/>
    </row>
    <row r="6245" spans="2:6" ht="17.25" customHeight="1">
      <c r="B6245" s="15"/>
      <c r="C6245" s="15"/>
      <c r="D6245" s="15"/>
      <c r="E6245" s="15"/>
      <c r="F6245" s="20"/>
    </row>
    <row r="6246" spans="2:6" ht="17.25" customHeight="1">
      <c r="B6246" s="15"/>
      <c r="C6246" s="15"/>
      <c r="D6246" s="15"/>
      <c r="E6246" s="15"/>
      <c r="F6246" s="20"/>
    </row>
    <row r="6247" spans="2:6" ht="17.25" customHeight="1">
      <c r="B6247" s="15"/>
      <c r="C6247" s="15"/>
      <c r="D6247" s="15"/>
      <c r="E6247" s="15"/>
      <c r="F6247" s="20"/>
    </row>
    <row r="6248" spans="2:6" ht="17.25" customHeight="1">
      <c r="B6248" s="15"/>
      <c r="C6248" s="15"/>
      <c r="D6248" s="15"/>
      <c r="E6248" s="15"/>
      <c r="F6248" s="20"/>
    </row>
    <row r="6249" spans="2:6" ht="17.25" customHeight="1">
      <c r="B6249" s="15"/>
      <c r="C6249" s="15"/>
      <c r="D6249" s="15"/>
      <c r="E6249" s="15"/>
      <c r="F6249" s="20"/>
    </row>
    <row r="6250" spans="2:6" ht="17.25" customHeight="1">
      <c r="B6250" s="15"/>
      <c r="C6250" s="15"/>
      <c r="D6250" s="15"/>
      <c r="E6250" s="15"/>
      <c r="F6250" s="20"/>
    </row>
    <row r="6251" spans="2:6" ht="17.25" customHeight="1">
      <c r="B6251" s="15"/>
      <c r="C6251" s="15"/>
      <c r="D6251" s="15"/>
      <c r="E6251" s="15"/>
      <c r="F6251" s="20"/>
    </row>
    <row r="6252" spans="2:6" ht="17.25" customHeight="1">
      <c r="B6252" s="15"/>
      <c r="C6252" s="15"/>
      <c r="D6252" s="15"/>
      <c r="E6252" s="15"/>
      <c r="F6252" s="20"/>
    </row>
    <row r="6253" spans="2:6" ht="17.25" customHeight="1">
      <c r="B6253" s="15"/>
      <c r="C6253" s="15"/>
      <c r="D6253" s="15"/>
      <c r="E6253" s="15"/>
      <c r="F6253" s="20"/>
    </row>
    <row r="6254" spans="2:6" ht="17.25" customHeight="1">
      <c r="B6254" s="15"/>
      <c r="C6254" s="15"/>
      <c r="D6254" s="15"/>
      <c r="E6254" s="15"/>
      <c r="F6254" s="20"/>
    </row>
    <row r="6255" spans="2:6" ht="17.25" customHeight="1">
      <c r="B6255" s="15"/>
      <c r="C6255" s="15"/>
      <c r="D6255" s="15"/>
      <c r="E6255" s="15"/>
      <c r="F6255" s="20"/>
    </row>
    <row r="6256" spans="2:6" ht="17.25" customHeight="1">
      <c r="B6256" s="15"/>
      <c r="C6256" s="15"/>
      <c r="D6256" s="15"/>
      <c r="E6256" s="15"/>
      <c r="F6256" s="20"/>
    </row>
    <row r="6257" spans="2:6" ht="17.25" customHeight="1">
      <c r="B6257" s="15"/>
      <c r="C6257" s="15"/>
      <c r="D6257" s="15"/>
      <c r="E6257" s="15"/>
      <c r="F6257" s="20"/>
    </row>
    <row r="6258" spans="2:6" ht="17.25" customHeight="1">
      <c r="B6258" s="15"/>
      <c r="C6258" s="15"/>
      <c r="D6258" s="15"/>
      <c r="E6258" s="15"/>
      <c r="F6258" s="20"/>
    </row>
    <row r="6259" spans="2:6" ht="17.25" customHeight="1">
      <c r="B6259" s="15"/>
      <c r="C6259" s="15"/>
      <c r="D6259" s="15"/>
      <c r="E6259" s="15"/>
      <c r="F6259" s="20"/>
    </row>
    <row r="6260" spans="2:6" ht="17.25" customHeight="1">
      <c r="B6260" s="15"/>
      <c r="C6260" s="15"/>
      <c r="D6260" s="15"/>
      <c r="E6260" s="15"/>
      <c r="F6260" s="20"/>
    </row>
    <row r="6261" spans="2:6" ht="17.25" customHeight="1">
      <c r="B6261" s="15"/>
      <c r="C6261" s="15"/>
      <c r="D6261" s="15"/>
      <c r="E6261" s="15"/>
      <c r="F6261" s="20"/>
    </row>
    <row r="6262" spans="2:6" ht="17.25" customHeight="1">
      <c r="B6262" s="15"/>
      <c r="C6262" s="15"/>
      <c r="D6262" s="15"/>
      <c r="E6262" s="15"/>
      <c r="F6262" s="20"/>
    </row>
    <row r="6263" spans="2:6" ht="17.25" customHeight="1">
      <c r="B6263" s="15"/>
      <c r="C6263" s="15"/>
      <c r="D6263" s="15"/>
      <c r="E6263" s="15"/>
      <c r="F6263" s="20"/>
    </row>
    <row r="6264" spans="2:6" ht="17.25" customHeight="1">
      <c r="B6264" s="15"/>
      <c r="C6264" s="15"/>
      <c r="D6264" s="15"/>
      <c r="E6264" s="15"/>
      <c r="F6264" s="20"/>
    </row>
    <row r="6265" spans="2:6" ht="17.25" customHeight="1">
      <c r="B6265" s="15"/>
      <c r="C6265" s="15"/>
      <c r="D6265" s="15"/>
      <c r="E6265" s="15"/>
      <c r="F6265" s="20"/>
    </row>
    <row r="6266" spans="2:6" ht="17.25" customHeight="1">
      <c r="B6266" s="15"/>
      <c r="C6266" s="15"/>
      <c r="D6266" s="15"/>
      <c r="E6266" s="15"/>
      <c r="F6266" s="20"/>
    </row>
    <row r="6267" spans="2:6" ht="17.25" customHeight="1">
      <c r="B6267" s="15"/>
      <c r="C6267" s="15"/>
      <c r="D6267" s="15"/>
      <c r="E6267" s="15"/>
      <c r="F6267" s="20"/>
    </row>
    <row r="6268" spans="2:6" ht="17.25" customHeight="1">
      <c r="B6268" s="15"/>
      <c r="C6268" s="15"/>
      <c r="D6268" s="15"/>
      <c r="E6268" s="15"/>
      <c r="F6268" s="20"/>
    </row>
    <row r="6269" spans="2:6" ht="17.25" customHeight="1">
      <c r="B6269" s="15"/>
      <c r="C6269" s="15"/>
      <c r="D6269" s="15"/>
      <c r="E6269" s="15"/>
      <c r="F6269" s="20"/>
    </row>
    <row r="6270" spans="2:6" ht="17.25" customHeight="1">
      <c r="B6270" s="15"/>
      <c r="C6270" s="15"/>
      <c r="D6270" s="15"/>
      <c r="E6270" s="15"/>
      <c r="F6270" s="20"/>
    </row>
    <row r="6271" spans="2:6" ht="17.25" customHeight="1">
      <c r="B6271" s="15"/>
      <c r="C6271" s="15"/>
      <c r="D6271" s="15"/>
      <c r="E6271" s="15"/>
      <c r="F6271" s="20"/>
    </row>
    <row r="6272" spans="2:6" ht="17.25" customHeight="1">
      <c r="B6272" s="15"/>
      <c r="C6272" s="15"/>
      <c r="D6272" s="15"/>
      <c r="E6272" s="15"/>
      <c r="F6272" s="20"/>
    </row>
    <row r="6273" spans="2:6" ht="17.25" customHeight="1">
      <c r="B6273" s="15"/>
      <c r="C6273" s="15"/>
      <c r="D6273" s="15"/>
      <c r="E6273" s="15"/>
      <c r="F6273" s="20"/>
    </row>
    <row r="6274" spans="2:6" ht="17.25" customHeight="1">
      <c r="B6274" s="15"/>
      <c r="C6274" s="15"/>
      <c r="D6274" s="15"/>
      <c r="E6274" s="15"/>
      <c r="F6274" s="20"/>
    </row>
    <row r="6275" spans="2:6" ht="17.25" customHeight="1">
      <c r="B6275" s="15"/>
      <c r="C6275" s="15"/>
      <c r="D6275" s="15"/>
      <c r="E6275" s="15"/>
      <c r="F6275" s="20"/>
    </row>
    <row r="6276" spans="2:6" ht="17.25" customHeight="1">
      <c r="B6276" s="15"/>
      <c r="C6276" s="15"/>
      <c r="D6276" s="15"/>
      <c r="E6276" s="15"/>
      <c r="F6276" s="20"/>
    </row>
    <row r="6277" spans="2:6" ht="17.25" customHeight="1">
      <c r="B6277" s="15"/>
      <c r="C6277" s="15"/>
      <c r="D6277" s="15"/>
      <c r="E6277" s="15"/>
      <c r="F6277" s="20"/>
    </row>
    <row r="6278" spans="2:6" ht="17.25" customHeight="1">
      <c r="B6278" s="15"/>
      <c r="C6278" s="15"/>
      <c r="D6278" s="15"/>
      <c r="E6278" s="15"/>
      <c r="F6278" s="20"/>
    </row>
    <row r="6279" spans="2:6" ht="17.25" customHeight="1">
      <c r="B6279" s="15"/>
      <c r="C6279" s="15"/>
      <c r="D6279" s="15"/>
      <c r="E6279" s="15"/>
      <c r="F6279" s="20"/>
    </row>
    <row r="6280" spans="2:6" ht="17.25" customHeight="1">
      <c r="B6280" s="15"/>
      <c r="C6280" s="15"/>
      <c r="D6280" s="15"/>
      <c r="E6280" s="15"/>
      <c r="F6280" s="20"/>
    </row>
    <row r="6281" spans="2:6" ht="17.25" customHeight="1">
      <c r="B6281" s="15"/>
      <c r="C6281" s="15"/>
      <c r="D6281" s="15"/>
      <c r="E6281" s="15"/>
      <c r="F6281" s="20"/>
    </row>
    <row r="6282" spans="2:6" ht="17.25" customHeight="1">
      <c r="B6282" s="15"/>
      <c r="C6282" s="15"/>
      <c r="D6282" s="15"/>
      <c r="E6282" s="15"/>
      <c r="F6282" s="20"/>
    </row>
    <row r="6283" spans="2:6" ht="17.25" customHeight="1">
      <c r="B6283" s="15"/>
      <c r="C6283" s="15"/>
      <c r="D6283" s="15"/>
      <c r="E6283" s="15"/>
      <c r="F6283" s="20"/>
    </row>
    <row r="6284" spans="2:6" ht="17.25" customHeight="1">
      <c r="B6284" s="15"/>
      <c r="C6284" s="15"/>
      <c r="D6284" s="15"/>
      <c r="E6284" s="15"/>
      <c r="F6284" s="20"/>
    </row>
    <row r="6285" spans="2:6" ht="17.25" customHeight="1">
      <c r="B6285" s="15"/>
      <c r="C6285" s="15"/>
      <c r="D6285" s="15"/>
      <c r="E6285" s="15"/>
      <c r="F6285" s="20"/>
    </row>
    <row r="6286" spans="2:6" ht="17.25" customHeight="1">
      <c r="B6286" s="15"/>
      <c r="C6286" s="15"/>
      <c r="D6286" s="15"/>
      <c r="E6286" s="15"/>
      <c r="F6286" s="20"/>
    </row>
    <row r="6287" spans="2:6" ht="17.25" customHeight="1">
      <c r="B6287" s="15"/>
      <c r="C6287" s="15"/>
      <c r="D6287" s="15"/>
      <c r="E6287" s="15"/>
      <c r="F6287" s="20"/>
    </row>
    <row r="6288" spans="2:6" ht="17.25" customHeight="1">
      <c r="B6288" s="15"/>
      <c r="C6288" s="15"/>
      <c r="D6288" s="15"/>
      <c r="E6288" s="15"/>
      <c r="F6288" s="20"/>
    </row>
    <row r="6289" spans="2:6" ht="17.25" customHeight="1">
      <c r="B6289" s="15"/>
      <c r="C6289" s="15"/>
      <c r="D6289" s="15"/>
      <c r="E6289" s="15"/>
      <c r="F6289" s="20"/>
    </row>
    <row r="6290" spans="2:6" ht="17.25" customHeight="1">
      <c r="B6290" s="15"/>
      <c r="C6290" s="15"/>
      <c r="D6290" s="15"/>
      <c r="E6290" s="15"/>
      <c r="F6290" s="20"/>
    </row>
    <row r="6291" spans="2:6" ht="17.25" customHeight="1">
      <c r="B6291" s="15"/>
      <c r="C6291" s="15"/>
      <c r="D6291" s="15"/>
      <c r="E6291" s="15"/>
      <c r="F6291" s="20"/>
    </row>
    <row r="6292" spans="2:6" ht="17.25" customHeight="1">
      <c r="B6292" s="15"/>
      <c r="C6292" s="15"/>
      <c r="D6292" s="15"/>
      <c r="E6292" s="15"/>
      <c r="F6292" s="20"/>
    </row>
    <row r="6293" spans="2:6" ht="17.25" customHeight="1">
      <c r="B6293" s="15"/>
      <c r="C6293" s="15"/>
      <c r="D6293" s="15"/>
      <c r="E6293" s="15"/>
      <c r="F6293" s="20"/>
    </row>
    <row r="6294" spans="2:6" ht="17.25" customHeight="1">
      <c r="B6294" s="15"/>
      <c r="C6294" s="15"/>
      <c r="D6294" s="15"/>
      <c r="E6294" s="15"/>
      <c r="F6294" s="20"/>
    </row>
    <row r="6295" spans="2:6" ht="17.25" customHeight="1">
      <c r="B6295" s="15"/>
      <c r="C6295" s="15"/>
      <c r="D6295" s="15"/>
      <c r="E6295" s="15"/>
      <c r="F6295" s="20"/>
    </row>
    <row r="6296" spans="2:6" ht="17.25" customHeight="1">
      <c r="B6296" s="15"/>
      <c r="C6296" s="15"/>
      <c r="D6296" s="15"/>
      <c r="E6296" s="15"/>
      <c r="F6296" s="20"/>
    </row>
    <row r="6297" spans="2:6" ht="17.25" customHeight="1">
      <c r="B6297" s="15"/>
      <c r="C6297" s="15"/>
      <c r="D6297" s="15"/>
      <c r="E6297" s="15"/>
      <c r="F6297" s="20"/>
    </row>
    <row r="6298" spans="2:6" ht="17.25" customHeight="1">
      <c r="B6298" s="15"/>
      <c r="C6298" s="15"/>
      <c r="D6298" s="15"/>
      <c r="E6298" s="15"/>
      <c r="F6298" s="20"/>
    </row>
    <row r="6299" spans="2:6" ht="17.25" customHeight="1">
      <c r="B6299" s="15"/>
      <c r="C6299" s="15"/>
      <c r="D6299" s="15"/>
      <c r="E6299" s="15"/>
      <c r="F6299" s="20"/>
    </row>
    <row r="6300" spans="2:6" ht="17.25" customHeight="1">
      <c r="B6300" s="15"/>
      <c r="C6300" s="15"/>
      <c r="D6300" s="15"/>
      <c r="E6300" s="15"/>
      <c r="F6300" s="20"/>
    </row>
    <row r="6301" spans="2:6" ht="17.25" customHeight="1">
      <c r="B6301" s="15"/>
      <c r="C6301" s="15"/>
      <c r="D6301" s="15"/>
      <c r="E6301" s="15"/>
      <c r="F6301" s="20"/>
    </row>
    <row r="6302" spans="2:6" ht="17.25" customHeight="1">
      <c r="B6302" s="15"/>
      <c r="C6302" s="15"/>
      <c r="D6302" s="15"/>
      <c r="E6302" s="15"/>
      <c r="F6302" s="20"/>
    </row>
    <row r="6303" spans="2:6" ht="17.25" customHeight="1">
      <c r="B6303" s="15"/>
      <c r="C6303" s="15"/>
      <c r="D6303" s="15"/>
      <c r="E6303" s="15"/>
      <c r="F6303" s="20"/>
    </row>
    <row r="6304" spans="2:6" ht="17.25" customHeight="1">
      <c r="B6304" s="15"/>
      <c r="C6304" s="15"/>
      <c r="D6304" s="15"/>
      <c r="E6304" s="15"/>
      <c r="F6304" s="20"/>
    </row>
    <row r="6305" spans="2:6" ht="17.25" customHeight="1">
      <c r="B6305" s="15"/>
      <c r="C6305" s="15"/>
      <c r="D6305" s="15"/>
      <c r="E6305" s="15"/>
      <c r="F6305" s="20"/>
    </row>
    <row r="6306" spans="2:6" ht="17.25" customHeight="1">
      <c r="B6306" s="15"/>
      <c r="C6306" s="15"/>
      <c r="D6306" s="15"/>
      <c r="E6306" s="15"/>
      <c r="F6306" s="20"/>
    </row>
    <row r="6307" spans="2:6" ht="17.25" customHeight="1">
      <c r="B6307" s="15"/>
      <c r="C6307" s="15"/>
      <c r="D6307" s="15"/>
      <c r="E6307" s="15"/>
      <c r="F6307" s="20"/>
    </row>
    <row r="6308" spans="2:6" ht="17.25" customHeight="1">
      <c r="B6308" s="15"/>
      <c r="C6308" s="15"/>
      <c r="D6308" s="15"/>
      <c r="E6308" s="15"/>
      <c r="F6308" s="20"/>
    </row>
    <row r="6309" spans="2:6" ht="17.25" customHeight="1">
      <c r="B6309" s="15"/>
      <c r="C6309" s="15"/>
      <c r="D6309" s="15"/>
      <c r="E6309" s="15"/>
      <c r="F6309" s="20"/>
    </row>
    <row r="6310" spans="2:6" ht="17.25" customHeight="1">
      <c r="B6310" s="15"/>
      <c r="C6310" s="15"/>
      <c r="D6310" s="15"/>
      <c r="E6310" s="15"/>
      <c r="F6310" s="20"/>
    </row>
    <row r="6311" spans="2:6" ht="17.25" customHeight="1">
      <c r="B6311" s="15"/>
      <c r="C6311" s="15"/>
      <c r="D6311" s="15"/>
      <c r="E6311" s="15"/>
      <c r="F6311" s="20"/>
    </row>
    <row r="6312" spans="2:6" ht="17.25" customHeight="1">
      <c r="B6312" s="15"/>
      <c r="C6312" s="15"/>
      <c r="D6312" s="15"/>
      <c r="E6312" s="15"/>
      <c r="F6312" s="20"/>
    </row>
    <row r="6313" spans="2:6" ht="17.25" customHeight="1">
      <c r="B6313" s="15"/>
      <c r="C6313" s="15"/>
      <c r="D6313" s="15"/>
      <c r="E6313" s="15"/>
      <c r="F6313" s="20"/>
    </row>
    <row r="6314" spans="2:6" ht="17.25" customHeight="1">
      <c r="B6314" s="15"/>
      <c r="C6314" s="15"/>
      <c r="D6314" s="15"/>
      <c r="E6314" s="15"/>
      <c r="F6314" s="20"/>
    </row>
    <row r="6315" spans="2:6" ht="17.25" customHeight="1">
      <c r="B6315" s="15"/>
      <c r="C6315" s="15"/>
      <c r="D6315" s="15"/>
      <c r="E6315" s="15"/>
      <c r="F6315" s="20"/>
    </row>
    <row r="6316" spans="2:6" ht="17.25" customHeight="1">
      <c r="B6316" s="15"/>
      <c r="C6316" s="15"/>
      <c r="D6316" s="15"/>
      <c r="E6316" s="15"/>
      <c r="F6316" s="20"/>
    </row>
    <row r="6317" spans="2:6" ht="17.25" customHeight="1">
      <c r="B6317" s="15"/>
      <c r="C6317" s="15"/>
      <c r="D6317" s="15"/>
      <c r="E6317" s="15"/>
      <c r="F6317" s="20"/>
    </row>
    <row r="6318" spans="2:6" ht="17.25" customHeight="1">
      <c r="B6318" s="15"/>
      <c r="C6318" s="15"/>
      <c r="D6318" s="15"/>
      <c r="E6318" s="15"/>
      <c r="F6318" s="20"/>
    </row>
    <row r="6319" spans="2:6" ht="17.25" customHeight="1">
      <c r="B6319" s="15"/>
      <c r="C6319" s="15"/>
      <c r="D6319" s="15"/>
      <c r="E6319" s="15"/>
      <c r="F6319" s="20"/>
    </row>
    <row r="6320" spans="2:6" ht="17.25" customHeight="1">
      <c r="B6320" s="15"/>
      <c r="C6320" s="15"/>
      <c r="D6320" s="15"/>
      <c r="E6320" s="15"/>
      <c r="F6320" s="20"/>
    </row>
    <row r="6321" spans="2:6" ht="17.25" customHeight="1">
      <c r="B6321" s="15"/>
      <c r="C6321" s="15"/>
      <c r="D6321" s="15"/>
      <c r="E6321" s="15"/>
      <c r="F6321" s="20"/>
    </row>
    <row r="6322" spans="2:6" ht="17.25" customHeight="1">
      <c r="B6322" s="15"/>
      <c r="C6322" s="15"/>
      <c r="D6322" s="15"/>
      <c r="E6322" s="15"/>
      <c r="F6322" s="20"/>
    </row>
    <row r="6323" spans="2:6" ht="17.25" customHeight="1">
      <c r="B6323" s="15"/>
      <c r="C6323" s="15"/>
      <c r="D6323" s="15"/>
      <c r="E6323" s="15"/>
      <c r="F6323" s="20"/>
    </row>
    <row r="6324" spans="2:6" ht="17.25" customHeight="1">
      <c r="B6324" s="15"/>
      <c r="C6324" s="15"/>
      <c r="D6324" s="15"/>
      <c r="E6324" s="15"/>
      <c r="F6324" s="20"/>
    </row>
    <row r="6325" spans="2:6" ht="17.25" customHeight="1">
      <c r="B6325" s="15"/>
      <c r="C6325" s="15"/>
      <c r="D6325" s="15"/>
      <c r="E6325" s="15"/>
      <c r="F6325" s="20"/>
    </row>
    <row r="6326" spans="2:6" ht="17.25" customHeight="1">
      <c r="B6326" s="15"/>
      <c r="C6326" s="15"/>
      <c r="D6326" s="15"/>
      <c r="E6326" s="15"/>
      <c r="F6326" s="20"/>
    </row>
    <row r="6327" spans="2:6" ht="17.25" customHeight="1">
      <c r="B6327" s="15"/>
      <c r="C6327" s="15"/>
      <c r="D6327" s="15"/>
      <c r="E6327" s="15"/>
      <c r="F6327" s="20"/>
    </row>
    <row r="6328" spans="2:6" ht="17.25" customHeight="1">
      <c r="B6328" s="15"/>
      <c r="C6328" s="15"/>
      <c r="D6328" s="15"/>
      <c r="E6328" s="15"/>
      <c r="F6328" s="20"/>
    </row>
    <row r="6329" spans="2:6" ht="17.25" customHeight="1">
      <c r="B6329" s="15"/>
      <c r="C6329" s="15"/>
      <c r="D6329" s="15"/>
      <c r="E6329" s="15"/>
      <c r="F6329" s="20"/>
    </row>
    <row r="6330" spans="2:6" ht="17.25" customHeight="1">
      <c r="B6330" s="15"/>
      <c r="C6330" s="15"/>
      <c r="D6330" s="15"/>
      <c r="E6330" s="15"/>
      <c r="F6330" s="20"/>
    </row>
    <row r="6331" spans="2:6" ht="17.25" customHeight="1">
      <c r="B6331" s="15"/>
      <c r="C6331" s="15"/>
      <c r="D6331" s="15"/>
      <c r="E6331" s="15"/>
      <c r="F6331" s="20"/>
    </row>
    <row r="6332" spans="2:6" ht="17.25" customHeight="1">
      <c r="B6332" s="15"/>
      <c r="C6332" s="15"/>
      <c r="D6332" s="15"/>
      <c r="E6332" s="15"/>
      <c r="F6332" s="20"/>
    </row>
    <row r="6333" spans="2:6" ht="17.25" customHeight="1">
      <c r="B6333" s="15"/>
      <c r="C6333" s="15"/>
      <c r="D6333" s="15"/>
      <c r="E6333" s="15"/>
      <c r="F6333" s="20"/>
    </row>
    <row r="6334" spans="2:6" ht="17.25" customHeight="1">
      <c r="B6334" s="15"/>
      <c r="C6334" s="15"/>
      <c r="D6334" s="15"/>
      <c r="E6334" s="15"/>
      <c r="F6334" s="20"/>
    </row>
    <row r="6335" spans="2:6" ht="17.25" customHeight="1">
      <c r="B6335" s="15"/>
      <c r="C6335" s="15"/>
      <c r="D6335" s="15"/>
      <c r="E6335" s="15"/>
      <c r="F6335" s="20"/>
    </row>
    <row r="6336" spans="2:6" ht="17.25" customHeight="1">
      <c r="B6336" s="15"/>
      <c r="C6336" s="15"/>
      <c r="D6336" s="15"/>
      <c r="E6336" s="15"/>
      <c r="F6336" s="20"/>
    </row>
    <row r="6337" spans="2:6" ht="17.25" customHeight="1">
      <c r="B6337" s="15"/>
      <c r="C6337" s="15"/>
      <c r="D6337" s="15"/>
      <c r="E6337" s="15"/>
      <c r="F6337" s="20"/>
    </row>
    <row r="6338" spans="2:6" ht="17.25" customHeight="1">
      <c r="B6338" s="15"/>
      <c r="C6338" s="15"/>
      <c r="D6338" s="15"/>
      <c r="E6338" s="15"/>
      <c r="F6338" s="20"/>
    </row>
    <row r="6339" spans="2:6" ht="17.25" customHeight="1">
      <c r="B6339" s="15"/>
      <c r="C6339" s="15"/>
      <c r="D6339" s="15"/>
      <c r="E6339" s="15"/>
      <c r="F6339" s="20"/>
    </row>
    <row r="6340" spans="2:6" ht="17.25" customHeight="1">
      <c r="B6340" s="15"/>
      <c r="C6340" s="15"/>
      <c r="D6340" s="15"/>
      <c r="E6340" s="15"/>
      <c r="F6340" s="20"/>
    </row>
    <row r="6341" spans="2:6" ht="17.25" customHeight="1">
      <c r="B6341" s="15"/>
      <c r="C6341" s="15"/>
      <c r="D6341" s="15"/>
      <c r="E6341" s="15"/>
      <c r="F6341" s="20"/>
    </row>
    <row r="6342" spans="2:6" ht="17.25" customHeight="1">
      <c r="B6342" s="15"/>
      <c r="C6342" s="15"/>
      <c r="D6342" s="15"/>
      <c r="E6342" s="15"/>
      <c r="F6342" s="20"/>
    </row>
    <row r="6343" spans="2:6" ht="17.25" customHeight="1">
      <c r="B6343" s="15"/>
      <c r="C6343" s="15"/>
      <c r="D6343" s="15"/>
      <c r="E6343" s="15"/>
      <c r="F6343" s="20"/>
    </row>
    <row r="6344" spans="2:6" ht="17.25" customHeight="1">
      <c r="B6344" s="15"/>
      <c r="C6344" s="15"/>
      <c r="D6344" s="15"/>
      <c r="E6344" s="15"/>
      <c r="F6344" s="20"/>
    </row>
    <row r="6345" spans="2:6" ht="17.25" customHeight="1">
      <c r="B6345" s="15"/>
      <c r="C6345" s="15"/>
      <c r="D6345" s="15"/>
      <c r="E6345" s="15"/>
      <c r="F6345" s="20"/>
    </row>
    <row r="6346" spans="2:6" ht="17.25" customHeight="1">
      <c r="B6346" s="15"/>
      <c r="C6346" s="15"/>
      <c r="D6346" s="15"/>
      <c r="E6346" s="15"/>
      <c r="F6346" s="20"/>
    </row>
    <row r="6347" spans="2:6" ht="17.25" customHeight="1">
      <c r="B6347" s="15"/>
      <c r="C6347" s="15"/>
      <c r="D6347" s="15"/>
      <c r="E6347" s="15"/>
      <c r="F6347" s="20"/>
    </row>
    <row r="6348" spans="2:6" ht="17.25" customHeight="1">
      <c r="B6348" s="15"/>
      <c r="C6348" s="15"/>
      <c r="D6348" s="15"/>
      <c r="E6348" s="15"/>
      <c r="F6348" s="20"/>
    </row>
    <row r="6349" spans="2:6" ht="17.25" customHeight="1">
      <c r="B6349" s="15"/>
      <c r="C6349" s="15"/>
      <c r="D6349" s="15"/>
      <c r="E6349" s="15"/>
      <c r="F6349" s="20"/>
    </row>
    <row r="6350" spans="2:6" ht="17.25" customHeight="1">
      <c r="B6350" s="15"/>
      <c r="C6350" s="15"/>
      <c r="D6350" s="15"/>
      <c r="E6350" s="15"/>
      <c r="F6350" s="20"/>
    </row>
    <row r="6351" spans="2:6" ht="17.25" customHeight="1">
      <c r="B6351" s="15"/>
      <c r="C6351" s="15"/>
      <c r="D6351" s="15"/>
      <c r="E6351" s="15"/>
      <c r="F6351" s="20"/>
    </row>
    <row r="6352" spans="2:6" ht="17.25" customHeight="1">
      <c r="B6352" s="15"/>
      <c r="C6352" s="15"/>
      <c r="D6352" s="15"/>
      <c r="E6352" s="15"/>
      <c r="F6352" s="20"/>
    </row>
    <row r="6353" spans="2:6" ht="17.25" customHeight="1">
      <c r="B6353" s="15"/>
      <c r="C6353" s="15"/>
      <c r="D6353" s="15"/>
      <c r="E6353" s="15"/>
      <c r="F6353" s="20"/>
    </row>
    <row r="6354" spans="2:6" ht="17.25" customHeight="1">
      <c r="B6354" s="15"/>
      <c r="C6354" s="15"/>
      <c r="D6354" s="15"/>
      <c r="E6354" s="15"/>
      <c r="F6354" s="20"/>
    </row>
    <row r="6355" spans="2:6" ht="17.25" customHeight="1">
      <c r="B6355" s="15"/>
      <c r="C6355" s="15"/>
      <c r="D6355" s="15"/>
      <c r="E6355" s="15"/>
      <c r="F6355" s="20"/>
    </row>
    <row r="6356" spans="2:6" ht="17.25" customHeight="1">
      <c r="B6356" s="15"/>
      <c r="C6356" s="15"/>
      <c r="D6356" s="15"/>
      <c r="E6356" s="15"/>
      <c r="F6356" s="20"/>
    </row>
    <row r="6357" spans="2:6" ht="17.25" customHeight="1">
      <c r="B6357" s="15"/>
      <c r="C6357" s="15"/>
      <c r="D6357" s="15"/>
      <c r="E6357" s="15"/>
      <c r="F6357" s="20"/>
    </row>
    <row r="6358" spans="2:6" ht="17.25" customHeight="1">
      <c r="B6358" s="15"/>
      <c r="C6358" s="15"/>
      <c r="D6358" s="15"/>
      <c r="E6358" s="15"/>
      <c r="F6358" s="20"/>
    </row>
    <row r="6359" spans="2:6" ht="17.25" customHeight="1">
      <c r="B6359" s="15"/>
      <c r="C6359" s="15"/>
      <c r="D6359" s="15"/>
      <c r="E6359" s="15"/>
      <c r="F6359" s="20"/>
    </row>
    <row r="6360" spans="2:6" ht="17.25" customHeight="1">
      <c r="B6360" s="15"/>
      <c r="C6360" s="15"/>
      <c r="D6360" s="15"/>
      <c r="E6360" s="15"/>
      <c r="F6360" s="20"/>
    </row>
    <row r="6361" spans="2:6" ht="17.25" customHeight="1">
      <c r="B6361" s="15"/>
      <c r="C6361" s="15"/>
      <c r="D6361" s="15"/>
      <c r="E6361" s="15"/>
      <c r="F6361" s="20"/>
    </row>
    <row r="6362" spans="2:6" ht="17.25" customHeight="1">
      <c r="B6362" s="15"/>
      <c r="C6362" s="15"/>
      <c r="D6362" s="15"/>
      <c r="E6362" s="15"/>
      <c r="F6362" s="20"/>
    </row>
    <row r="6363" spans="2:6" ht="17.25" customHeight="1">
      <c r="B6363" s="15"/>
      <c r="C6363" s="15"/>
      <c r="D6363" s="15"/>
      <c r="E6363" s="15"/>
      <c r="F6363" s="20"/>
    </row>
    <row r="6364" spans="2:6" ht="17.25" customHeight="1">
      <c r="B6364" s="15"/>
      <c r="C6364" s="15"/>
      <c r="D6364" s="15"/>
      <c r="E6364" s="15"/>
      <c r="F6364" s="20"/>
    </row>
    <row r="6365" spans="2:6" ht="17.25" customHeight="1">
      <c r="B6365" s="15"/>
      <c r="C6365" s="15"/>
      <c r="D6365" s="15"/>
      <c r="E6365" s="15"/>
      <c r="F6365" s="20"/>
    </row>
    <row r="6366" spans="2:6" ht="17.25" customHeight="1">
      <c r="B6366" s="15"/>
      <c r="C6366" s="15"/>
      <c r="D6366" s="15"/>
      <c r="E6366" s="15"/>
      <c r="F6366" s="20"/>
    </row>
    <row r="6367" spans="2:6" ht="17.25" customHeight="1">
      <c r="B6367" s="15"/>
      <c r="C6367" s="15"/>
      <c r="D6367" s="15"/>
      <c r="E6367" s="15"/>
      <c r="F6367" s="20"/>
    </row>
    <row r="6368" spans="2:6" ht="17.25" customHeight="1">
      <c r="B6368" s="15"/>
      <c r="C6368" s="15"/>
      <c r="D6368" s="15"/>
      <c r="E6368" s="15"/>
      <c r="F6368" s="20"/>
    </row>
    <row r="6369" spans="2:6" ht="17.25" customHeight="1">
      <c r="B6369" s="15"/>
      <c r="C6369" s="15"/>
      <c r="D6369" s="15"/>
      <c r="E6369" s="15"/>
      <c r="F6369" s="20"/>
    </row>
    <row r="6370" spans="2:6" ht="17.25" customHeight="1">
      <c r="B6370" s="15"/>
      <c r="C6370" s="15"/>
      <c r="D6370" s="15"/>
      <c r="E6370" s="15"/>
      <c r="F6370" s="20"/>
    </row>
    <row r="6371" spans="2:6" ht="17.25" customHeight="1">
      <c r="B6371" s="15"/>
      <c r="C6371" s="15"/>
      <c r="D6371" s="15"/>
      <c r="E6371" s="15"/>
      <c r="F6371" s="20"/>
    </row>
    <row r="6372" spans="2:6" ht="17.25" customHeight="1">
      <c r="B6372" s="15"/>
      <c r="C6372" s="15"/>
      <c r="D6372" s="15"/>
      <c r="E6372" s="15"/>
      <c r="F6372" s="20"/>
    </row>
    <row r="6373" spans="2:6" ht="17.25" customHeight="1">
      <c r="B6373" s="15"/>
      <c r="C6373" s="15"/>
      <c r="D6373" s="15"/>
      <c r="E6373" s="15"/>
      <c r="F6373" s="20"/>
    </row>
    <row r="6374" spans="2:6" ht="17.25" customHeight="1">
      <c r="B6374" s="15"/>
      <c r="C6374" s="15"/>
      <c r="D6374" s="15"/>
      <c r="E6374" s="15"/>
      <c r="F6374" s="20"/>
    </row>
    <row r="6375" spans="2:6" ht="17.25" customHeight="1">
      <c r="B6375" s="15"/>
      <c r="C6375" s="15"/>
      <c r="D6375" s="15"/>
      <c r="E6375" s="15"/>
      <c r="F6375" s="20"/>
    </row>
    <row r="6376" spans="2:6" ht="17.25" customHeight="1">
      <c r="B6376" s="15"/>
      <c r="C6376" s="15"/>
      <c r="D6376" s="15"/>
      <c r="E6376" s="15"/>
      <c r="F6376" s="20"/>
    </row>
    <row r="6377" spans="2:6" ht="17.25" customHeight="1">
      <c r="B6377" s="15"/>
      <c r="C6377" s="15"/>
      <c r="D6377" s="15"/>
      <c r="E6377" s="15"/>
      <c r="F6377" s="20"/>
    </row>
    <row r="6378" spans="2:6" ht="17.25" customHeight="1">
      <c r="B6378" s="15"/>
      <c r="C6378" s="15"/>
      <c r="D6378" s="15"/>
      <c r="E6378" s="15"/>
      <c r="F6378" s="20"/>
    </row>
    <row r="6379" spans="2:6" ht="17.25" customHeight="1">
      <c r="B6379" s="15"/>
      <c r="C6379" s="15"/>
      <c r="D6379" s="15"/>
      <c r="E6379" s="15"/>
      <c r="F6379" s="20"/>
    </row>
    <row r="6380" spans="2:6" ht="17.25" customHeight="1">
      <c r="B6380" s="15"/>
      <c r="C6380" s="15"/>
      <c r="D6380" s="15"/>
      <c r="E6380" s="15"/>
      <c r="F6380" s="20"/>
    </row>
    <row r="6381" spans="2:6" ht="17.25" customHeight="1">
      <c r="B6381" s="15"/>
      <c r="C6381" s="15"/>
      <c r="D6381" s="15"/>
      <c r="E6381" s="15"/>
      <c r="F6381" s="20"/>
    </row>
    <row r="6382" spans="2:6" ht="17.25" customHeight="1">
      <c r="B6382" s="15"/>
      <c r="C6382" s="15"/>
      <c r="D6382" s="15"/>
      <c r="E6382" s="15"/>
      <c r="F6382" s="20"/>
    </row>
    <row r="6383" spans="2:6" ht="17.25" customHeight="1">
      <c r="B6383" s="15"/>
      <c r="C6383" s="15"/>
      <c r="D6383" s="15"/>
      <c r="E6383" s="15"/>
      <c r="F6383" s="20"/>
    </row>
    <row r="6384" spans="2:6" ht="17.25" customHeight="1">
      <c r="B6384" s="15"/>
      <c r="C6384" s="15"/>
      <c r="D6384" s="15"/>
      <c r="E6384" s="15"/>
      <c r="F6384" s="20"/>
    </row>
    <row r="6385" spans="2:6" ht="17.25" customHeight="1">
      <c r="B6385" s="15"/>
      <c r="C6385" s="15"/>
      <c r="D6385" s="15"/>
      <c r="E6385" s="15"/>
      <c r="F6385" s="20"/>
    </row>
    <row r="6386" spans="2:6" ht="17.25" customHeight="1">
      <c r="B6386" s="15"/>
      <c r="C6386" s="15"/>
      <c r="D6386" s="15"/>
      <c r="E6386" s="15"/>
      <c r="F6386" s="20"/>
    </row>
    <row r="6387" spans="2:6" ht="17.25" customHeight="1">
      <c r="B6387" s="15"/>
      <c r="C6387" s="15"/>
      <c r="D6387" s="15"/>
      <c r="E6387" s="15"/>
      <c r="F6387" s="20"/>
    </row>
    <row r="6388" spans="2:6" ht="17.25" customHeight="1">
      <c r="B6388" s="15"/>
      <c r="C6388" s="15"/>
      <c r="D6388" s="15"/>
      <c r="E6388" s="15"/>
      <c r="F6388" s="20"/>
    </row>
    <row r="6389" spans="2:6" ht="17.25" customHeight="1">
      <c r="B6389" s="15"/>
      <c r="C6389" s="15"/>
      <c r="D6389" s="15"/>
      <c r="E6389" s="15"/>
      <c r="F6389" s="20"/>
    </row>
    <row r="6390" spans="2:6" ht="17.25" customHeight="1">
      <c r="B6390" s="15"/>
      <c r="C6390" s="15"/>
      <c r="D6390" s="15"/>
      <c r="E6390" s="15"/>
      <c r="F6390" s="20"/>
    </row>
    <row r="6391" spans="2:6" ht="17.25" customHeight="1">
      <c r="B6391" s="15"/>
      <c r="C6391" s="15"/>
      <c r="D6391" s="15"/>
      <c r="E6391" s="15"/>
      <c r="F6391" s="20"/>
    </row>
    <row r="6392" spans="2:6" ht="17.25" customHeight="1">
      <c r="B6392" s="15"/>
      <c r="C6392" s="15"/>
      <c r="D6392" s="15"/>
      <c r="E6392" s="15"/>
      <c r="F6392" s="20"/>
    </row>
    <row r="6393" spans="2:6" ht="17.25" customHeight="1">
      <c r="B6393" s="15"/>
      <c r="C6393" s="15"/>
      <c r="D6393" s="15"/>
      <c r="E6393" s="15"/>
      <c r="F6393" s="20"/>
    </row>
    <row r="6394" spans="2:6" ht="17.25" customHeight="1">
      <c r="B6394" s="15"/>
      <c r="C6394" s="15"/>
      <c r="D6394" s="15"/>
      <c r="E6394" s="15"/>
      <c r="F6394" s="20"/>
    </row>
    <row r="6395" spans="2:6" ht="17.25" customHeight="1">
      <c r="B6395" s="15"/>
      <c r="C6395" s="15"/>
      <c r="D6395" s="15"/>
      <c r="E6395" s="15"/>
      <c r="F6395" s="20"/>
    </row>
    <row r="6396" spans="2:6" ht="17.25" customHeight="1">
      <c r="B6396" s="15"/>
      <c r="C6396" s="15"/>
      <c r="D6396" s="15"/>
      <c r="E6396" s="15"/>
      <c r="F6396" s="20"/>
    </row>
    <row r="6397" spans="2:6" ht="17.25" customHeight="1">
      <c r="B6397" s="15"/>
      <c r="C6397" s="15"/>
      <c r="D6397" s="15"/>
      <c r="E6397" s="15"/>
      <c r="F6397" s="20"/>
    </row>
    <row r="6398" spans="2:6" ht="17.25" customHeight="1">
      <c r="B6398" s="15"/>
      <c r="C6398" s="15"/>
      <c r="D6398" s="15"/>
      <c r="E6398" s="15"/>
      <c r="F6398" s="20"/>
    </row>
    <row r="6399" spans="2:6" ht="17.25" customHeight="1">
      <c r="B6399" s="15"/>
      <c r="C6399" s="15"/>
      <c r="D6399" s="15"/>
      <c r="E6399" s="15"/>
      <c r="F6399" s="20"/>
    </row>
    <row r="6400" spans="2:6" ht="17.25" customHeight="1">
      <c r="B6400" s="15"/>
      <c r="C6400" s="15"/>
      <c r="D6400" s="15"/>
      <c r="E6400" s="15"/>
      <c r="F6400" s="20"/>
    </row>
    <row r="6401" spans="2:6" ht="17.25" customHeight="1">
      <c r="B6401" s="15"/>
      <c r="C6401" s="15"/>
      <c r="D6401" s="15"/>
      <c r="E6401" s="15"/>
      <c r="F6401" s="20"/>
    </row>
    <row r="6402" spans="2:6" ht="17.25" customHeight="1">
      <c r="B6402" s="15"/>
      <c r="C6402" s="15"/>
      <c r="D6402" s="15"/>
      <c r="E6402" s="15"/>
      <c r="F6402" s="20"/>
    </row>
    <row r="6403" spans="2:6" ht="17.25" customHeight="1">
      <c r="B6403" s="15"/>
      <c r="C6403" s="15"/>
      <c r="D6403" s="15"/>
      <c r="E6403" s="15"/>
      <c r="F6403" s="20"/>
    </row>
    <row r="6404" spans="2:6" ht="17.25" customHeight="1">
      <c r="B6404" s="15"/>
      <c r="C6404" s="15"/>
      <c r="D6404" s="15"/>
      <c r="E6404" s="15"/>
      <c r="F6404" s="20"/>
    </row>
    <row r="6405" spans="2:6" ht="17.25" customHeight="1">
      <c r="B6405" s="15"/>
      <c r="C6405" s="15"/>
      <c r="D6405" s="15"/>
      <c r="E6405" s="15"/>
      <c r="F6405" s="20"/>
    </row>
    <row r="6406" spans="2:6" ht="17.25" customHeight="1">
      <c r="B6406" s="15"/>
      <c r="C6406" s="15"/>
      <c r="D6406" s="15"/>
      <c r="E6406" s="15"/>
      <c r="F6406" s="20"/>
    </row>
    <row r="6407" spans="2:6" ht="17.25" customHeight="1">
      <c r="B6407" s="15"/>
      <c r="C6407" s="15"/>
      <c r="D6407" s="15"/>
      <c r="E6407" s="15"/>
      <c r="F6407" s="20"/>
    </row>
    <row r="6408" spans="2:6" ht="17.25" customHeight="1">
      <c r="B6408" s="15"/>
      <c r="C6408" s="15"/>
      <c r="D6408" s="15"/>
      <c r="E6408" s="15"/>
      <c r="F6408" s="20"/>
    </row>
    <row r="6409" spans="2:6" ht="17.25" customHeight="1">
      <c r="B6409" s="15"/>
      <c r="C6409" s="15"/>
      <c r="D6409" s="15"/>
      <c r="E6409" s="15"/>
      <c r="F6409" s="20"/>
    </row>
    <row r="6410" spans="2:6" ht="17.25" customHeight="1">
      <c r="B6410" s="15"/>
      <c r="C6410" s="15"/>
      <c r="D6410" s="15"/>
      <c r="E6410" s="15"/>
      <c r="F6410" s="20"/>
    </row>
    <row r="6411" spans="2:6" ht="17.25" customHeight="1">
      <c r="B6411" s="15"/>
      <c r="C6411" s="15"/>
      <c r="D6411" s="15"/>
      <c r="E6411" s="15"/>
      <c r="F6411" s="20"/>
    </row>
    <row r="6412" spans="2:6" ht="17.25" customHeight="1">
      <c r="B6412" s="15"/>
      <c r="C6412" s="15"/>
      <c r="D6412" s="15"/>
      <c r="E6412" s="15"/>
      <c r="F6412" s="20"/>
    </row>
    <row r="6413" spans="2:6" ht="17.25" customHeight="1">
      <c r="B6413" s="15"/>
      <c r="C6413" s="15"/>
      <c r="D6413" s="15"/>
      <c r="E6413" s="15"/>
      <c r="F6413" s="20"/>
    </row>
    <row r="6414" spans="2:6" ht="17.25" customHeight="1">
      <c r="B6414" s="15"/>
      <c r="C6414" s="15"/>
      <c r="D6414" s="15"/>
      <c r="E6414" s="15"/>
      <c r="F6414" s="20"/>
    </row>
    <row r="6415" spans="2:6" ht="17.25" customHeight="1">
      <c r="B6415" s="15"/>
      <c r="C6415" s="15"/>
      <c r="D6415" s="15"/>
      <c r="E6415" s="15"/>
      <c r="F6415" s="20"/>
    </row>
    <row r="6416" spans="2:6" ht="17.25" customHeight="1">
      <c r="B6416" s="15"/>
      <c r="C6416" s="15"/>
      <c r="D6416" s="15"/>
      <c r="E6416" s="15"/>
      <c r="F6416" s="20"/>
    </row>
    <row r="6417" spans="2:6" ht="17.25" customHeight="1">
      <c r="B6417" s="15"/>
      <c r="C6417" s="15"/>
      <c r="D6417" s="15"/>
      <c r="E6417" s="15"/>
      <c r="F6417" s="20"/>
    </row>
    <row r="6418" spans="2:6" ht="17.25" customHeight="1">
      <c r="B6418" s="15"/>
      <c r="C6418" s="15"/>
      <c r="D6418" s="15"/>
      <c r="E6418" s="15"/>
      <c r="F6418" s="20"/>
    </row>
    <row r="6419" spans="2:6" ht="17.25" customHeight="1">
      <c r="B6419" s="15"/>
      <c r="C6419" s="15"/>
      <c r="D6419" s="15"/>
      <c r="E6419" s="15"/>
      <c r="F6419" s="20"/>
    </row>
    <row r="6420" spans="2:6" ht="17.25" customHeight="1">
      <c r="B6420" s="15"/>
      <c r="C6420" s="15"/>
      <c r="D6420" s="15"/>
      <c r="E6420" s="15"/>
      <c r="F6420" s="20"/>
    </row>
    <row r="6421" spans="2:6" ht="17.25" customHeight="1">
      <c r="B6421" s="15"/>
      <c r="C6421" s="15"/>
      <c r="D6421" s="15"/>
      <c r="E6421" s="15"/>
      <c r="F6421" s="20"/>
    </row>
    <row r="6422" spans="2:6" ht="17.25" customHeight="1">
      <c r="B6422" s="15"/>
      <c r="C6422" s="15"/>
      <c r="D6422" s="15"/>
      <c r="E6422" s="15"/>
      <c r="F6422" s="20"/>
    </row>
    <row r="6423" spans="2:6" ht="17.25" customHeight="1">
      <c r="B6423" s="15"/>
      <c r="C6423" s="15"/>
      <c r="D6423" s="15"/>
      <c r="E6423" s="15"/>
      <c r="F6423" s="20"/>
    </row>
    <row r="6424" spans="2:6" ht="17.25" customHeight="1">
      <c r="B6424" s="15"/>
      <c r="C6424" s="15"/>
      <c r="D6424" s="15"/>
      <c r="E6424" s="15"/>
      <c r="F6424" s="20"/>
    </row>
    <row r="6425" spans="2:6" ht="17.25" customHeight="1">
      <c r="B6425" s="15"/>
      <c r="C6425" s="15"/>
      <c r="D6425" s="15"/>
      <c r="E6425" s="15"/>
      <c r="F6425" s="20"/>
    </row>
    <row r="6426" spans="2:6" ht="17.25" customHeight="1">
      <c r="B6426" s="15"/>
      <c r="C6426" s="15"/>
      <c r="D6426" s="15"/>
      <c r="E6426" s="15"/>
      <c r="F6426" s="20"/>
    </row>
    <row r="6427" spans="2:6" ht="17.25" customHeight="1">
      <c r="B6427" s="15"/>
      <c r="C6427" s="15"/>
      <c r="D6427" s="15"/>
      <c r="E6427" s="15"/>
      <c r="F6427" s="20"/>
    </row>
    <row r="6428" spans="2:6" ht="17.25" customHeight="1">
      <c r="B6428" s="15"/>
      <c r="C6428" s="15"/>
      <c r="D6428" s="15"/>
      <c r="E6428" s="15"/>
      <c r="F6428" s="20"/>
    </row>
    <row r="6429" spans="2:6" ht="17.25" customHeight="1">
      <c r="B6429" s="15"/>
      <c r="C6429" s="15"/>
      <c r="D6429" s="15"/>
      <c r="E6429" s="15"/>
      <c r="F6429" s="20"/>
    </row>
    <row r="6430" spans="2:6" ht="17.25" customHeight="1">
      <c r="B6430" s="15"/>
      <c r="C6430" s="15"/>
      <c r="D6430" s="15"/>
      <c r="E6430" s="15"/>
      <c r="F6430" s="20"/>
    </row>
    <row r="6431" spans="2:6" ht="17.25" customHeight="1">
      <c r="B6431" s="15"/>
      <c r="C6431" s="15"/>
      <c r="D6431" s="15"/>
      <c r="E6431" s="15"/>
      <c r="F6431" s="20"/>
    </row>
    <row r="6432" spans="2:6" ht="17.25" customHeight="1">
      <c r="B6432" s="15"/>
      <c r="C6432" s="15"/>
      <c r="D6432" s="15"/>
      <c r="E6432" s="15"/>
      <c r="F6432" s="20"/>
    </row>
    <row r="6433" spans="2:6" ht="17.25" customHeight="1">
      <c r="B6433" s="15"/>
      <c r="C6433" s="15"/>
      <c r="D6433" s="15"/>
      <c r="E6433" s="15"/>
      <c r="F6433" s="20"/>
    </row>
    <row r="6434" spans="2:6" ht="17.25" customHeight="1">
      <c r="B6434" s="15"/>
      <c r="C6434" s="15"/>
      <c r="D6434" s="15"/>
      <c r="E6434" s="15"/>
      <c r="F6434" s="20"/>
    </row>
    <row r="6435" spans="2:6" ht="17.25" customHeight="1">
      <c r="B6435" s="15"/>
      <c r="C6435" s="15"/>
      <c r="D6435" s="15"/>
      <c r="E6435" s="15"/>
      <c r="F6435" s="20"/>
    </row>
    <row r="6436" spans="2:6" ht="17.25" customHeight="1">
      <c r="B6436" s="15"/>
      <c r="C6436" s="15"/>
      <c r="D6436" s="15"/>
      <c r="E6436" s="15"/>
      <c r="F6436" s="20"/>
    </row>
    <row r="6437" spans="2:6" ht="17.25" customHeight="1">
      <c r="B6437" s="15"/>
      <c r="C6437" s="15"/>
      <c r="D6437" s="15"/>
      <c r="E6437" s="15"/>
      <c r="F6437" s="20"/>
    </row>
    <row r="6438" spans="2:6" ht="17.25" customHeight="1">
      <c r="B6438" s="15"/>
      <c r="C6438" s="15"/>
      <c r="D6438" s="15"/>
      <c r="E6438" s="15"/>
      <c r="F6438" s="20"/>
    </row>
    <row r="6439" spans="2:6" ht="17.25" customHeight="1">
      <c r="B6439" s="15"/>
      <c r="C6439" s="15"/>
      <c r="D6439" s="15"/>
      <c r="E6439" s="15"/>
      <c r="F6439" s="20"/>
    </row>
    <row r="6440" spans="2:6" ht="17.25" customHeight="1">
      <c r="B6440" s="15"/>
      <c r="C6440" s="15"/>
      <c r="D6440" s="15"/>
      <c r="E6440" s="15"/>
      <c r="F6440" s="20"/>
    </row>
    <row r="6441" spans="2:6" ht="17.25" customHeight="1">
      <c r="B6441" s="15"/>
      <c r="C6441" s="15"/>
      <c r="D6441" s="15"/>
      <c r="E6441" s="15"/>
      <c r="F6441" s="20"/>
    </row>
    <row r="6442" spans="2:6" ht="17.25" customHeight="1">
      <c r="B6442" s="15"/>
      <c r="C6442" s="15"/>
      <c r="D6442" s="15"/>
      <c r="E6442" s="15"/>
      <c r="F6442" s="20"/>
    </row>
    <row r="6443" spans="2:6" ht="17.25" customHeight="1">
      <c r="B6443" s="15"/>
      <c r="C6443" s="15"/>
      <c r="D6443" s="15"/>
      <c r="E6443" s="15"/>
      <c r="F6443" s="20"/>
    </row>
    <row r="6444" spans="2:6" ht="17.25" customHeight="1">
      <c r="B6444" s="15"/>
      <c r="C6444" s="15"/>
      <c r="D6444" s="15"/>
      <c r="E6444" s="15"/>
      <c r="F6444" s="20"/>
    </row>
    <row r="6445" spans="2:6" ht="17.25" customHeight="1">
      <c r="B6445" s="15"/>
      <c r="C6445" s="15"/>
      <c r="D6445" s="15"/>
      <c r="E6445" s="15"/>
      <c r="F6445" s="20"/>
    </row>
    <row r="6446" spans="2:6" ht="17.25" customHeight="1">
      <c r="B6446" s="15"/>
      <c r="C6446" s="15"/>
      <c r="D6446" s="15"/>
      <c r="E6446" s="15"/>
      <c r="F6446" s="20"/>
    </row>
    <row r="6447" spans="2:6" ht="17.25" customHeight="1">
      <c r="B6447" s="15"/>
      <c r="C6447" s="15"/>
      <c r="D6447" s="15"/>
      <c r="E6447" s="15"/>
      <c r="F6447" s="20"/>
    </row>
    <row r="6448" spans="2:6" ht="17.25" customHeight="1">
      <c r="B6448" s="15"/>
      <c r="C6448" s="15"/>
      <c r="D6448" s="15"/>
      <c r="E6448" s="15"/>
      <c r="F6448" s="20"/>
    </row>
    <row r="6449" spans="2:6" ht="17.25" customHeight="1">
      <c r="B6449" s="15"/>
      <c r="C6449" s="15"/>
      <c r="D6449" s="15"/>
      <c r="E6449" s="15"/>
      <c r="F6449" s="20"/>
    </row>
    <row r="6450" spans="2:6" ht="17.25" customHeight="1">
      <c r="B6450" s="15"/>
      <c r="C6450" s="15"/>
      <c r="D6450" s="15"/>
      <c r="E6450" s="15"/>
      <c r="F6450" s="20"/>
    </row>
    <row r="6451" spans="2:6" ht="17.25" customHeight="1">
      <c r="B6451" s="15"/>
      <c r="C6451" s="15"/>
      <c r="D6451" s="15"/>
      <c r="E6451" s="15"/>
      <c r="F6451" s="20"/>
    </row>
    <row r="6452" spans="2:6" ht="17.25" customHeight="1">
      <c r="B6452" s="15"/>
      <c r="C6452" s="15"/>
      <c r="D6452" s="15"/>
      <c r="E6452" s="15"/>
      <c r="F6452" s="20"/>
    </row>
    <row r="6453" spans="2:6" ht="17.25" customHeight="1">
      <c r="B6453" s="15"/>
      <c r="C6453" s="15"/>
      <c r="D6453" s="15"/>
      <c r="E6453" s="15"/>
      <c r="F6453" s="20"/>
    </row>
    <row r="6454" spans="2:6" ht="17.25" customHeight="1">
      <c r="B6454" s="15"/>
      <c r="C6454" s="15"/>
      <c r="D6454" s="15"/>
      <c r="E6454" s="15"/>
      <c r="F6454" s="20"/>
    </row>
    <row r="6455" spans="2:6" ht="17.25" customHeight="1">
      <c r="B6455" s="15"/>
      <c r="C6455" s="15"/>
      <c r="D6455" s="15"/>
      <c r="E6455" s="15"/>
      <c r="F6455" s="20"/>
    </row>
    <row r="6456" spans="2:6" ht="17.25" customHeight="1">
      <c r="B6456" s="15"/>
      <c r="C6456" s="15"/>
      <c r="D6456" s="15"/>
      <c r="E6456" s="15"/>
      <c r="F6456" s="20"/>
    </row>
    <row r="6457" spans="2:6" ht="17.25" customHeight="1">
      <c r="B6457" s="15"/>
      <c r="C6457" s="15"/>
      <c r="D6457" s="15"/>
      <c r="E6457" s="15"/>
      <c r="F6457" s="20"/>
    </row>
    <row r="6458" spans="2:6" ht="17.25" customHeight="1">
      <c r="B6458" s="15"/>
      <c r="C6458" s="15"/>
      <c r="D6458" s="15"/>
      <c r="E6458" s="15"/>
      <c r="F6458" s="20"/>
    </row>
    <row r="6459" spans="2:6" ht="17.25" customHeight="1">
      <c r="B6459" s="15"/>
      <c r="C6459" s="15"/>
      <c r="D6459" s="15"/>
      <c r="E6459" s="15"/>
      <c r="F6459" s="20"/>
    </row>
    <row r="6460" spans="2:6" ht="17.25" customHeight="1">
      <c r="B6460" s="15"/>
      <c r="C6460" s="15"/>
      <c r="D6460" s="15"/>
      <c r="E6460" s="15"/>
      <c r="F6460" s="20"/>
    </row>
    <row r="6461" spans="2:6" ht="17.25" customHeight="1">
      <c r="B6461" s="15"/>
      <c r="C6461" s="15"/>
      <c r="D6461" s="15"/>
      <c r="E6461" s="15"/>
      <c r="F6461" s="20"/>
    </row>
    <row r="6462" spans="2:6" ht="17.25" customHeight="1">
      <c r="B6462" s="15"/>
      <c r="C6462" s="15"/>
      <c r="D6462" s="15"/>
      <c r="E6462" s="15"/>
      <c r="F6462" s="20"/>
    </row>
    <row r="6463" spans="2:6" ht="17.25" customHeight="1">
      <c r="B6463" s="15"/>
      <c r="C6463" s="15"/>
      <c r="D6463" s="15"/>
      <c r="E6463" s="15"/>
      <c r="F6463" s="20"/>
    </row>
    <row r="6464" spans="2:6" ht="17.25" customHeight="1">
      <c r="B6464" s="15"/>
      <c r="C6464" s="15"/>
      <c r="D6464" s="15"/>
      <c r="E6464" s="15"/>
      <c r="F6464" s="20"/>
    </row>
    <row r="6465" spans="2:6" ht="17.25" customHeight="1">
      <c r="B6465" s="15"/>
      <c r="C6465" s="15"/>
      <c r="D6465" s="15"/>
      <c r="E6465" s="15"/>
      <c r="F6465" s="20"/>
    </row>
    <row r="6466" spans="2:6" ht="17.25" customHeight="1">
      <c r="B6466" s="15"/>
      <c r="C6466" s="15"/>
      <c r="D6466" s="15"/>
      <c r="E6466" s="15"/>
      <c r="F6466" s="20"/>
    </row>
    <row r="6467" spans="2:6" ht="17.25" customHeight="1">
      <c r="B6467" s="15"/>
      <c r="C6467" s="15"/>
      <c r="D6467" s="15"/>
      <c r="E6467" s="15"/>
      <c r="F6467" s="20"/>
    </row>
    <row r="6468" spans="2:6" ht="17.25" customHeight="1">
      <c r="B6468" s="15"/>
      <c r="C6468" s="15"/>
      <c r="D6468" s="15"/>
      <c r="E6468" s="15"/>
      <c r="F6468" s="20"/>
    </row>
    <row r="6469" spans="2:6" ht="17.25" customHeight="1">
      <c r="B6469" s="15"/>
      <c r="C6469" s="15"/>
      <c r="D6469" s="15"/>
      <c r="E6469" s="15"/>
      <c r="F6469" s="20"/>
    </row>
    <row r="6470" spans="2:6" ht="17.25" customHeight="1">
      <c r="B6470" s="15"/>
      <c r="C6470" s="15"/>
      <c r="D6470" s="15"/>
      <c r="E6470" s="15"/>
      <c r="F6470" s="20"/>
    </row>
    <row r="6471" spans="2:6" ht="17.25" customHeight="1">
      <c r="B6471" s="15"/>
      <c r="C6471" s="15"/>
      <c r="D6471" s="15"/>
      <c r="E6471" s="15"/>
      <c r="F6471" s="20"/>
    </row>
    <row r="6472" spans="2:6" ht="17.25" customHeight="1">
      <c r="B6472" s="15"/>
      <c r="C6472" s="15"/>
      <c r="D6472" s="15"/>
      <c r="E6472" s="15"/>
      <c r="F6472" s="20"/>
    </row>
    <row r="6473" spans="2:6" ht="17.25" customHeight="1">
      <c r="B6473" s="15"/>
      <c r="C6473" s="15"/>
      <c r="D6473" s="15"/>
      <c r="E6473" s="15"/>
      <c r="F6473" s="20"/>
    </row>
    <row r="6474" spans="2:6" ht="17.25" customHeight="1">
      <c r="B6474" s="15"/>
      <c r="C6474" s="15"/>
      <c r="D6474" s="15"/>
      <c r="E6474" s="15"/>
      <c r="F6474" s="20"/>
    </row>
    <row r="6475" spans="2:6" ht="17.25" customHeight="1">
      <c r="B6475" s="15"/>
      <c r="C6475" s="15"/>
      <c r="D6475" s="15"/>
      <c r="E6475" s="15"/>
      <c r="F6475" s="20"/>
    </row>
    <row r="6476" spans="2:6" ht="17.25" customHeight="1">
      <c r="B6476" s="15"/>
      <c r="C6476" s="15"/>
      <c r="D6476" s="15"/>
      <c r="E6476" s="15"/>
      <c r="F6476" s="20"/>
    </row>
    <row r="6477" spans="2:6" ht="17.25" customHeight="1">
      <c r="B6477" s="15"/>
      <c r="C6477" s="15"/>
      <c r="D6477" s="15"/>
      <c r="E6477" s="15"/>
      <c r="F6477" s="20"/>
    </row>
    <row r="6478" spans="2:6" ht="17.25" customHeight="1">
      <c r="B6478" s="15"/>
      <c r="C6478" s="15"/>
      <c r="D6478" s="15"/>
      <c r="E6478" s="15"/>
      <c r="F6478" s="20"/>
    </row>
    <row r="6479" spans="2:6" ht="17.25" customHeight="1">
      <c r="B6479" s="15"/>
      <c r="C6479" s="15"/>
      <c r="D6479" s="15"/>
      <c r="E6479" s="15"/>
      <c r="F6479" s="20"/>
    </row>
    <row r="6480" spans="2:6" ht="17.25" customHeight="1">
      <c r="B6480" s="15"/>
      <c r="C6480" s="15"/>
      <c r="D6480" s="15"/>
      <c r="E6480" s="15"/>
      <c r="F6480" s="20"/>
    </row>
    <row r="6481" spans="2:6" ht="17.25" customHeight="1">
      <c r="B6481" s="15"/>
      <c r="C6481" s="15"/>
      <c r="D6481" s="15"/>
      <c r="E6481" s="15"/>
      <c r="F6481" s="20"/>
    </row>
    <row r="6482" spans="2:6" ht="17.25" customHeight="1">
      <c r="B6482" s="15"/>
      <c r="C6482" s="15"/>
      <c r="D6482" s="15"/>
      <c r="E6482" s="15"/>
      <c r="F6482" s="20"/>
    </row>
    <row r="6483" spans="2:6" ht="17.25" customHeight="1">
      <c r="B6483" s="15"/>
      <c r="C6483" s="15"/>
      <c r="D6483" s="15"/>
      <c r="E6483" s="15"/>
      <c r="F6483" s="20"/>
    </row>
    <row r="6484" spans="2:6" ht="17.25" customHeight="1">
      <c r="B6484" s="15"/>
      <c r="C6484" s="15"/>
      <c r="D6484" s="15"/>
      <c r="E6484" s="15"/>
      <c r="F6484" s="20"/>
    </row>
    <row r="6485" spans="2:6" ht="17.25" customHeight="1">
      <c r="B6485" s="15"/>
      <c r="C6485" s="15"/>
      <c r="D6485" s="15"/>
      <c r="E6485" s="15"/>
      <c r="F6485" s="20"/>
    </row>
    <row r="6486" spans="2:6" ht="17.25" customHeight="1">
      <c r="B6486" s="15"/>
      <c r="C6486" s="15"/>
      <c r="D6486" s="15"/>
      <c r="E6486" s="15"/>
      <c r="F6486" s="20"/>
    </row>
    <row r="6487" spans="2:6" ht="17.25" customHeight="1">
      <c r="B6487" s="15"/>
      <c r="C6487" s="15"/>
      <c r="D6487" s="15"/>
      <c r="E6487" s="15"/>
      <c r="F6487" s="20"/>
    </row>
    <row r="6488" spans="2:6" ht="17.25" customHeight="1">
      <c r="B6488" s="15"/>
      <c r="C6488" s="15"/>
      <c r="D6488" s="15"/>
      <c r="E6488" s="15"/>
      <c r="F6488" s="20"/>
    </row>
    <row r="6489" spans="2:6" ht="17.25" customHeight="1">
      <c r="B6489" s="15"/>
      <c r="C6489" s="15"/>
      <c r="D6489" s="15"/>
      <c r="E6489" s="15"/>
      <c r="F6489" s="20"/>
    </row>
    <row r="6490" spans="2:6" ht="17.25" customHeight="1">
      <c r="B6490" s="15"/>
      <c r="C6490" s="15"/>
      <c r="D6490" s="15"/>
      <c r="E6490" s="15"/>
      <c r="F6490" s="20"/>
    </row>
    <row r="6491" spans="2:6" ht="17.25" customHeight="1">
      <c r="B6491" s="15"/>
      <c r="C6491" s="15"/>
      <c r="D6491" s="15"/>
      <c r="E6491" s="15"/>
      <c r="F6491" s="20"/>
    </row>
    <row r="6492" spans="2:6" ht="17.25" customHeight="1">
      <c r="B6492" s="15"/>
      <c r="C6492" s="15"/>
      <c r="D6492" s="15"/>
      <c r="E6492" s="15"/>
      <c r="F6492" s="20"/>
    </row>
    <row r="6493" spans="2:6" ht="17.25" customHeight="1">
      <c r="B6493" s="15"/>
      <c r="C6493" s="15"/>
      <c r="D6493" s="15"/>
      <c r="E6493" s="15"/>
      <c r="F6493" s="20"/>
    </row>
    <row r="6494" spans="2:6" ht="17.25" customHeight="1">
      <c r="B6494" s="15"/>
      <c r="C6494" s="15"/>
      <c r="D6494" s="15"/>
      <c r="E6494" s="15"/>
      <c r="F6494" s="20"/>
    </row>
    <row r="6495" spans="2:6" ht="17.25" customHeight="1">
      <c r="B6495" s="15"/>
      <c r="C6495" s="15"/>
      <c r="D6495" s="15"/>
      <c r="E6495" s="15"/>
      <c r="F6495" s="20"/>
    </row>
    <row r="6496" spans="2:6" ht="17.25" customHeight="1">
      <c r="B6496" s="15"/>
      <c r="C6496" s="15"/>
      <c r="D6496" s="15"/>
      <c r="E6496" s="15"/>
      <c r="F6496" s="20"/>
    </row>
    <row r="6497" spans="2:6" ht="17.25" customHeight="1">
      <c r="B6497" s="15"/>
      <c r="C6497" s="15"/>
      <c r="D6497" s="15"/>
      <c r="E6497" s="15"/>
      <c r="F6497" s="20"/>
    </row>
    <row r="6498" spans="2:6" ht="17.25" customHeight="1">
      <c r="B6498" s="15"/>
      <c r="C6498" s="15"/>
      <c r="D6498" s="15"/>
      <c r="E6498" s="15"/>
      <c r="F6498" s="20"/>
    </row>
    <row r="6499" spans="2:6" ht="17.25" customHeight="1">
      <c r="B6499" s="15"/>
      <c r="C6499" s="15"/>
      <c r="D6499" s="15"/>
      <c r="E6499" s="15"/>
      <c r="F6499" s="20"/>
    </row>
    <row r="6500" spans="2:6" ht="17.25" customHeight="1">
      <c r="B6500" s="15"/>
      <c r="C6500" s="15"/>
      <c r="D6500" s="15"/>
      <c r="E6500" s="15"/>
      <c r="F6500" s="20"/>
    </row>
    <row r="6501" spans="2:6" ht="17.25" customHeight="1">
      <c r="B6501" s="15"/>
      <c r="C6501" s="15"/>
      <c r="D6501" s="15"/>
      <c r="E6501" s="15"/>
      <c r="F6501" s="20"/>
    </row>
    <row r="6502" spans="2:6" ht="17.25" customHeight="1">
      <c r="B6502" s="15"/>
      <c r="C6502" s="15"/>
      <c r="D6502" s="15"/>
      <c r="E6502" s="15"/>
      <c r="F6502" s="20"/>
    </row>
    <row r="6503" spans="2:6" ht="17.25" customHeight="1">
      <c r="B6503" s="15"/>
      <c r="C6503" s="15"/>
      <c r="D6503" s="15"/>
      <c r="E6503" s="15"/>
      <c r="F6503" s="20"/>
    </row>
    <row r="6504" spans="2:6" ht="17.25" customHeight="1">
      <c r="B6504" s="15"/>
      <c r="C6504" s="15"/>
      <c r="D6504" s="15"/>
      <c r="E6504" s="15"/>
      <c r="F6504" s="20"/>
    </row>
    <row r="6505" spans="2:6" ht="17.25" customHeight="1">
      <c r="B6505" s="15"/>
      <c r="C6505" s="15"/>
      <c r="D6505" s="15"/>
      <c r="E6505" s="15"/>
      <c r="F6505" s="20"/>
    </row>
    <row r="6506" spans="2:6" ht="17.25" customHeight="1">
      <c r="B6506" s="15"/>
      <c r="C6506" s="15"/>
      <c r="D6506" s="15"/>
      <c r="E6506" s="15"/>
      <c r="F6506" s="20"/>
    </row>
    <row r="6507" spans="2:6" ht="17.25" customHeight="1">
      <c r="B6507" s="15"/>
      <c r="C6507" s="15"/>
      <c r="D6507" s="15"/>
      <c r="E6507" s="15"/>
      <c r="F6507" s="20"/>
    </row>
    <row r="6508" spans="2:6" ht="17.25" customHeight="1">
      <c r="B6508" s="15"/>
      <c r="C6508" s="15"/>
      <c r="D6508" s="15"/>
      <c r="E6508" s="15"/>
      <c r="F6508" s="20"/>
    </row>
    <row r="6509" spans="2:6" ht="17.25" customHeight="1">
      <c r="B6509" s="15"/>
      <c r="C6509" s="15"/>
      <c r="D6509" s="15"/>
      <c r="E6509" s="15"/>
      <c r="F6509" s="20"/>
    </row>
    <row r="6510" spans="2:6" ht="17.25" customHeight="1">
      <c r="B6510" s="15"/>
      <c r="C6510" s="15"/>
      <c r="D6510" s="15"/>
      <c r="E6510" s="15"/>
      <c r="F6510" s="20"/>
    </row>
    <row r="6511" spans="2:6" ht="17.25" customHeight="1">
      <c r="B6511" s="15"/>
      <c r="C6511" s="15"/>
      <c r="D6511" s="15"/>
      <c r="E6511" s="15"/>
      <c r="F6511" s="20"/>
    </row>
    <row r="6512" spans="2:6" ht="17.25" customHeight="1">
      <c r="B6512" s="15"/>
      <c r="C6512" s="15"/>
      <c r="D6512" s="15"/>
      <c r="E6512" s="15"/>
      <c r="F6512" s="20"/>
    </row>
    <row r="6513" spans="2:6" ht="17.25" customHeight="1">
      <c r="B6513" s="15"/>
      <c r="C6513" s="15"/>
      <c r="D6513" s="15"/>
      <c r="E6513" s="15"/>
      <c r="F6513" s="20"/>
    </row>
    <row r="6514" spans="2:6" ht="17.25" customHeight="1">
      <c r="B6514" s="15"/>
      <c r="C6514" s="15"/>
      <c r="D6514" s="15"/>
      <c r="E6514" s="15"/>
      <c r="F6514" s="20"/>
    </row>
    <row r="6515" spans="2:6" ht="17.25" customHeight="1">
      <c r="B6515" s="15"/>
      <c r="C6515" s="15"/>
      <c r="D6515" s="15"/>
      <c r="E6515" s="15"/>
      <c r="F6515" s="20"/>
    </row>
    <row r="6516" spans="2:6" ht="17.25" customHeight="1">
      <c r="B6516" s="15"/>
      <c r="C6516" s="15"/>
      <c r="D6516" s="15"/>
      <c r="E6516" s="15"/>
      <c r="F6516" s="20"/>
    </row>
    <row r="6517" spans="2:6" ht="17.25" customHeight="1">
      <c r="B6517" s="15"/>
      <c r="C6517" s="15"/>
      <c r="D6517" s="15"/>
      <c r="E6517" s="15"/>
      <c r="F6517" s="20"/>
    </row>
    <row r="6518" spans="2:6" ht="17.25" customHeight="1">
      <c r="B6518" s="15"/>
      <c r="C6518" s="15"/>
      <c r="D6518" s="15"/>
      <c r="E6518" s="15"/>
      <c r="F6518" s="20"/>
    </row>
    <row r="6519" spans="2:6" ht="17.25" customHeight="1">
      <c r="B6519" s="15"/>
      <c r="C6519" s="15"/>
      <c r="D6519" s="15"/>
      <c r="E6519" s="15"/>
      <c r="F6519" s="20"/>
    </row>
    <row r="6520" spans="2:6" ht="17.25" customHeight="1">
      <c r="B6520" s="15"/>
      <c r="C6520" s="15"/>
      <c r="D6520" s="15"/>
      <c r="E6520" s="15"/>
      <c r="F6520" s="20"/>
    </row>
    <row r="6521" spans="2:6" ht="17.25" customHeight="1">
      <c r="B6521" s="15"/>
      <c r="C6521" s="15"/>
      <c r="D6521" s="15"/>
      <c r="E6521" s="15"/>
      <c r="F6521" s="20"/>
    </row>
    <row r="6522" spans="2:6" ht="17.25" customHeight="1">
      <c r="B6522" s="15"/>
      <c r="C6522" s="15"/>
      <c r="D6522" s="15"/>
      <c r="E6522" s="15"/>
      <c r="F6522" s="20"/>
    </row>
    <row r="6523" spans="2:6" ht="17.25" customHeight="1">
      <c r="B6523" s="15"/>
      <c r="C6523" s="15"/>
      <c r="D6523" s="15"/>
      <c r="E6523" s="15"/>
      <c r="F6523" s="20"/>
    </row>
    <row r="6524" spans="2:6" ht="17.25" customHeight="1">
      <c r="B6524" s="15"/>
      <c r="C6524" s="15"/>
      <c r="D6524" s="15"/>
      <c r="E6524" s="15"/>
      <c r="F6524" s="20"/>
    </row>
    <row r="6525" spans="2:6" ht="17.25" customHeight="1">
      <c r="B6525" s="15"/>
      <c r="C6525" s="15"/>
      <c r="D6525" s="15"/>
      <c r="E6525" s="15"/>
      <c r="F6525" s="20"/>
    </row>
    <row r="6526" spans="2:6" ht="17.25" customHeight="1">
      <c r="B6526" s="15"/>
      <c r="C6526" s="15"/>
      <c r="D6526" s="15"/>
      <c r="E6526" s="15"/>
      <c r="F6526" s="20"/>
    </row>
    <row r="6527" spans="2:6" ht="17.25" customHeight="1">
      <c r="B6527" s="15"/>
      <c r="C6527" s="15"/>
      <c r="D6527" s="15"/>
      <c r="E6527" s="15"/>
      <c r="F6527" s="20"/>
    </row>
    <row r="6528" spans="2:6" ht="17.25" customHeight="1">
      <c r="B6528" s="15"/>
      <c r="C6528" s="15"/>
      <c r="D6528" s="15"/>
      <c r="E6528" s="15"/>
      <c r="F6528" s="20"/>
    </row>
    <row r="6529" spans="2:6" ht="17.25" customHeight="1">
      <c r="B6529" s="15"/>
      <c r="C6529" s="15"/>
      <c r="D6529" s="15"/>
      <c r="E6529" s="15"/>
      <c r="F6529" s="20"/>
    </row>
    <row r="6530" spans="2:6" ht="17.25" customHeight="1">
      <c r="B6530" s="15"/>
      <c r="C6530" s="15"/>
      <c r="D6530" s="15"/>
      <c r="E6530" s="15"/>
      <c r="F6530" s="20"/>
    </row>
    <row r="6531" spans="2:6" ht="17.25" customHeight="1">
      <c r="B6531" s="15"/>
      <c r="C6531" s="15"/>
      <c r="D6531" s="15"/>
      <c r="E6531" s="15"/>
      <c r="F6531" s="20"/>
    </row>
    <row r="6532" spans="2:6" ht="17.25" customHeight="1">
      <c r="B6532" s="15"/>
      <c r="C6532" s="15"/>
      <c r="D6532" s="15"/>
      <c r="E6532" s="15"/>
      <c r="F6532" s="20"/>
    </row>
    <row r="6533" spans="2:6" ht="17.25" customHeight="1">
      <c r="B6533" s="15"/>
      <c r="C6533" s="15"/>
      <c r="D6533" s="15"/>
      <c r="E6533" s="15"/>
      <c r="F6533" s="20"/>
    </row>
    <row r="6534" spans="2:6" ht="17.25" customHeight="1">
      <c r="B6534" s="15"/>
      <c r="C6534" s="15"/>
      <c r="D6534" s="15"/>
      <c r="E6534" s="15"/>
      <c r="F6534" s="20"/>
    </row>
    <row r="6535" spans="2:6" ht="17.25" customHeight="1">
      <c r="B6535" s="15"/>
      <c r="C6535" s="15"/>
      <c r="D6535" s="15"/>
      <c r="E6535" s="15"/>
      <c r="F6535" s="20"/>
    </row>
    <row r="6536" spans="2:6" ht="17.25" customHeight="1">
      <c r="B6536" s="15"/>
      <c r="C6536" s="15"/>
      <c r="D6536" s="15"/>
      <c r="E6536" s="15"/>
      <c r="F6536" s="20"/>
    </row>
    <row r="6537" spans="2:6" ht="17.25" customHeight="1">
      <c r="B6537" s="15"/>
      <c r="C6537" s="15"/>
      <c r="D6537" s="15"/>
      <c r="E6537" s="15"/>
      <c r="F6537" s="20"/>
    </row>
    <row r="6538" spans="2:6" ht="17.25" customHeight="1">
      <c r="B6538" s="15"/>
      <c r="C6538" s="15"/>
      <c r="D6538" s="15"/>
      <c r="E6538" s="15"/>
      <c r="F6538" s="20"/>
    </row>
    <row r="6539" spans="2:6" ht="17.25" customHeight="1">
      <c r="B6539" s="15"/>
      <c r="C6539" s="15"/>
      <c r="D6539" s="15"/>
      <c r="E6539" s="15"/>
      <c r="F6539" s="20"/>
    </row>
    <row r="6540" spans="2:6" ht="17.25" customHeight="1">
      <c r="B6540" s="15"/>
      <c r="C6540" s="15"/>
      <c r="D6540" s="15"/>
      <c r="E6540" s="15"/>
      <c r="F6540" s="20"/>
    </row>
    <row r="6541" spans="2:6" ht="17.25" customHeight="1">
      <c r="B6541" s="15"/>
      <c r="C6541" s="15"/>
      <c r="D6541" s="15"/>
      <c r="E6541" s="15"/>
      <c r="F6541" s="20"/>
    </row>
    <row r="6542" spans="2:6" ht="17.25" customHeight="1">
      <c r="B6542" s="15"/>
      <c r="C6542" s="15"/>
      <c r="D6542" s="15"/>
      <c r="E6542" s="15"/>
      <c r="F6542" s="20"/>
    </row>
    <row r="6543" spans="2:6" ht="17.25" customHeight="1">
      <c r="B6543" s="15"/>
      <c r="C6543" s="15"/>
      <c r="D6543" s="15"/>
      <c r="E6543" s="15"/>
      <c r="F6543" s="20"/>
    </row>
    <row r="6544" spans="2:6" ht="17.25" customHeight="1">
      <c r="B6544" s="15"/>
      <c r="C6544" s="15"/>
      <c r="D6544" s="15"/>
      <c r="E6544" s="15"/>
      <c r="F6544" s="20"/>
    </row>
    <row r="6545" spans="2:6" ht="17.25" customHeight="1">
      <c r="B6545" s="15"/>
      <c r="C6545" s="15"/>
      <c r="D6545" s="15"/>
      <c r="E6545" s="15"/>
      <c r="F6545" s="20"/>
    </row>
    <row r="6546" spans="2:6" ht="17.25" customHeight="1">
      <c r="B6546" s="15"/>
      <c r="C6546" s="15"/>
      <c r="D6546" s="15"/>
      <c r="E6546" s="15"/>
      <c r="F6546" s="20"/>
    </row>
    <row r="6547" spans="2:6" ht="17.25" customHeight="1">
      <c r="B6547" s="15"/>
      <c r="C6547" s="15"/>
      <c r="D6547" s="15"/>
      <c r="E6547" s="15"/>
      <c r="F6547" s="20"/>
    </row>
    <row r="6548" spans="2:6" ht="17.25" customHeight="1">
      <c r="B6548" s="15"/>
      <c r="C6548" s="15"/>
      <c r="D6548" s="15"/>
      <c r="E6548" s="15"/>
      <c r="F6548" s="20"/>
    </row>
    <row r="6549" spans="2:6" ht="17.25" customHeight="1">
      <c r="B6549" s="15"/>
      <c r="C6549" s="15"/>
      <c r="D6549" s="15"/>
      <c r="E6549" s="15"/>
      <c r="F6549" s="20"/>
    </row>
    <row r="6550" spans="2:6" ht="17.25" customHeight="1">
      <c r="B6550" s="15"/>
      <c r="C6550" s="15"/>
      <c r="D6550" s="15"/>
      <c r="E6550" s="15"/>
      <c r="F6550" s="20"/>
    </row>
    <row r="6551" spans="2:6" ht="17.25" customHeight="1">
      <c r="B6551" s="15"/>
      <c r="C6551" s="15"/>
      <c r="D6551" s="15"/>
      <c r="E6551" s="15"/>
      <c r="F6551" s="20"/>
    </row>
    <row r="6552" spans="2:6" ht="17.25" customHeight="1">
      <c r="B6552" s="15"/>
      <c r="C6552" s="15"/>
      <c r="D6552" s="15"/>
      <c r="E6552" s="15"/>
      <c r="F6552" s="20"/>
    </row>
    <row r="6553" spans="2:6" ht="17.25" customHeight="1">
      <c r="B6553" s="15"/>
      <c r="C6553" s="15"/>
      <c r="D6553" s="15"/>
      <c r="E6553" s="15"/>
      <c r="F6553" s="20"/>
    </row>
    <row r="6554" spans="2:6" ht="17.25" customHeight="1">
      <c r="B6554" s="15"/>
      <c r="C6554" s="15"/>
      <c r="D6554" s="15"/>
      <c r="E6554" s="15"/>
      <c r="F6554" s="20"/>
    </row>
    <row r="6555" spans="2:6" ht="17.25" customHeight="1">
      <c r="B6555" s="15"/>
      <c r="C6555" s="15"/>
      <c r="D6555" s="15"/>
      <c r="E6555" s="15"/>
      <c r="F6555" s="20"/>
    </row>
    <row r="6556" spans="2:6" ht="17.25" customHeight="1">
      <c r="B6556" s="15"/>
      <c r="C6556" s="15"/>
      <c r="D6556" s="15"/>
      <c r="E6556" s="15"/>
      <c r="F6556" s="20"/>
    </row>
    <row r="6557" spans="2:6" ht="17.25" customHeight="1">
      <c r="B6557" s="15"/>
      <c r="C6557" s="15"/>
      <c r="D6557" s="15"/>
      <c r="E6557" s="15"/>
      <c r="F6557" s="20"/>
    </row>
    <row r="6558" spans="2:6" ht="17.25" customHeight="1">
      <c r="B6558" s="15"/>
      <c r="C6558" s="15"/>
      <c r="D6558" s="15"/>
      <c r="E6558" s="15"/>
      <c r="F6558" s="20"/>
    </row>
    <row r="6559" spans="2:6" ht="17.25" customHeight="1">
      <c r="B6559" s="15"/>
      <c r="C6559" s="15"/>
      <c r="D6559" s="15"/>
      <c r="E6559" s="15"/>
      <c r="F6559" s="20"/>
    </row>
    <row r="6560" spans="2:6" ht="17.25" customHeight="1">
      <c r="B6560" s="15"/>
      <c r="C6560" s="15"/>
      <c r="D6560" s="15"/>
      <c r="E6560" s="15"/>
      <c r="F6560" s="20"/>
    </row>
    <row r="6561" spans="2:6" ht="17.25" customHeight="1">
      <c r="B6561" s="15"/>
      <c r="C6561" s="15"/>
      <c r="D6561" s="15"/>
      <c r="E6561" s="15"/>
      <c r="F6561" s="20"/>
    </row>
    <row r="6562" spans="2:6" ht="17.25" customHeight="1">
      <c r="B6562" s="15"/>
      <c r="C6562" s="15"/>
      <c r="D6562" s="15"/>
      <c r="E6562" s="15"/>
      <c r="F6562" s="20"/>
    </row>
    <row r="6563" spans="2:6" ht="17.25" customHeight="1">
      <c r="B6563" s="15"/>
      <c r="C6563" s="15"/>
      <c r="D6563" s="15"/>
      <c r="E6563" s="15"/>
      <c r="F6563" s="20"/>
    </row>
    <row r="6564" spans="2:6" ht="17.25" customHeight="1">
      <c r="B6564" s="15"/>
      <c r="C6564" s="15"/>
      <c r="D6564" s="15"/>
      <c r="E6564" s="15"/>
      <c r="F6564" s="20"/>
    </row>
    <row r="6565" spans="2:6" ht="17.25" customHeight="1">
      <c r="B6565" s="15"/>
      <c r="C6565" s="15"/>
      <c r="D6565" s="15"/>
      <c r="E6565" s="15"/>
      <c r="F6565" s="20"/>
    </row>
    <row r="6566" spans="2:6" ht="17.25" customHeight="1">
      <c r="B6566" s="15"/>
      <c r="C6566" s="15"/>
      <c r="D6566" s="15"/>
      <c r="E6566" s="15"/>
      <c r="F6566" s="20"/>
    </row>
    <row r="6567" spans="2:6" ht="17.25" customHeight="1">
      <c r="B6567" s="15"/>
      <c r="C6567" s="15"/>
      <c r="D6567" s="15"/>
      <c r="E6567" s="15"/>
      <c r="F6567" s="20"/>
    </row>
    <row r="6568" spans="2:6" ht="17.25" customHeight="1">
      <c r="B6568" s="15"/>
      <c r="C6568" s="15"/>
      <c r="D6568" s="15"/>
      <c r="E6568" s="15"/>
      <c r="F6568" s="20"/>
    </row>
    <row r="6569" spans="2:6" ht="17.25" customHeight="1">
      <c r="B6569" s="15"/>
      <c r="C6569" s="15"/>
      <c r="D6569" s="15"/>
      <c r="E6569" s="15"/>
      <c r="F6569" s="20"/>
    </row>
    <row r="6570" spans="2:6" ht="17.25" customHeight="1">
      <c r="B6570" s="15"/>
      <c r="C6570" s="15"/>
      <c r="D6570" s="15"/>
      <c r="E6570" s="15"/>
      <c r="F6570" s="20"/>
    </row>
    <row r="6571" spans="2:6" ht="17.25" customHeight="1">
      <c r="B6571" s="15"/>
      <c r="C6571" s="15"/>
      <c r="D6571" s="15"/>
      <c r="E6571" s="15"/>
      <c r="F6571" s="20"/>
    </row>
    <row r="6572" spans="2:6" ht="17.25" customHeight="1">
      <c r="B6572" s="15"/>
      <c r="C6572" s="15"/>
      <c r="D6572" s="15"/>
      <c r="E6572" s="15"/>
      <c r="F6572" s="20"/>
    </row>
    <row r="6573" spans="2:6" ht="17.25" customHeight="1">
      <c r="B6573" s="15"/>
      <c r="C6573" s="15"/>
      <c r="D6573" s="15"/>
      <c r="E6573" s="15"/>
      <c r="F6573" s="20"/>
    </row>
    <row r="6574" spans="2:6" ht="17.25" customHeight="1">
      <c r="B6574" s="15"/>
      <c r="C6574" s="15"/>
      <c r="D6574" s="15"/>
      <c r="E6574" s="15"/>
      <c r="F6574" s="20"/>
    </row>
    <row r="6575" spans="2:6" ht="17.25" customHeight="1">
      <c r="B6575" s="15"/>
      <c r="C6575" s="15"/>
      <c r="D6575" s="15"/>
      <c r="E6575" s="15"/>
      <c r="F6575" s="20"/>
    </row>
    <row r="6576" spans="2:6" ht="17.25" customHeight="1">
      <c r="B6576" s="15"/>
      <c r="C6576" s="15"/>
      <c r="D6576" s="15"/>
      <c r="E6576" s="15"/>
      <c r="F6576" s="20"/>
    </row>
    <row r="6577" spans="2:6" ht="17.25" customHeight="1">
      <c r="B6577" s="15"/>
      <c r="C6577" s="15"/>
      <c r="D6577" s="15"/>
      <c r="E6577" s="15"/>
      <c r="F6577" s="20"/>
    </row>
    <row r="6578" spans="2:6" ht="17.25" customHeight="1">
      <c r="B6578" s="15"/>
      <c r="C6578" s="15"/>
      <c r="D6578" s="15"/>
      <c r="E6578" s="15"/>
      <c r="F6578" s="20"/>
    </row>
    <row r="6579" spans="2:6" ht="17.25" customHeight="1">
      <c r="B6579" s="15"/>
      <c r="C6579" s="15"/>
      <c r="D6579" s="15"/>
      <c r="E6579" s="15"/>
      <c r="F6579" s="20"/>
    </row>
    <row r="6580" spans="2:6" ht="17.25" customHeight="1">
      <c r="B6580" s="15"/>
      <c r="C6580" s="15"/>
      <c r="D6580" s="15"/>
      <c r="E6580" s="15"/>
      <c r="F6580" s="20"/>
    </row>
    <row r="6581" spans="2:6" ht="17.25" customHeight="1">
      <c r="B6581" s="15"/>
      <c r="C6581" s="15"/>
      <c r="D6581" s="15"/>
      <c r="E6581" s="15"/>
      <c r="F6581" s="20"/>
    </row>
    <row r="6582" spans="2:6" ht="17.25" customHeight="1">
      <c r="B6582" s="15"/>
      <c r="C6582" s="15"/>
      <c r="D6582" s="15"/>
      <c r="E6582" s="15"/>
      <c r="F6582" s="20"/>
    </row>
    <row r="6583" spans="2:6" ht="17.25" customHeight="1">
      <c r="B6583" s="15"/>
      <c r="C6583" s="15"/>
      <c r="D6583" s="15"/>
      <c r="E6583" s="15"/>
      <c r="F6583" s="20"/>
    </row>
    <row r="6584" spans="2:6" ht="17.25" customHeight="1">
      <c r="B6584" s="15"/>
      <c r="C6584" s="15"/>
      <c r="D6584" s="15"/>
      <c r="E6584" s="15"/>
      <c r="F6584" s="20"/>
    </row>
    <row r="6585" spans="2:6" ht="17.25" customHeight="1">
      <c r="B6585" s="15"/>
      <c r="C6585" s="15"/>
      <c r="D6585" s="15"/>
      <c r="E6585" s="15"/>
      <c r="F6585" s="20"/>
    </row>
    <row r="6586" spans="2:6" ht="17.25" customHeight="1">
      <c r="B6586" s="15"/>
      <c r="C6586" s="15"/>
      <c r="D6586" s="15"/>
      <c r="E6586" s="15"/>
      <c r="F6586" s="20"/>
    </row>
    <row r="6587" spans="2:6" ht="17.25" customHeight="1">
      <c r="B6587" s="15"/>
      <c r="C6587" s="15"/>
      <c r="D6587" s="15"/>
      <c r="E6587" s="15"/>
      <c r="F6587" s="20"/>
    </row>
    <row r="6588" spans="2:6" ht="17.25" customHeight="1">
      <c r="B6588" s="15"/>
      <c r="C6588" s="15"/>
      <c r="D6588" s="15"/>
      <c r="E6588" s="15"/>
      <c r="F6588" s="20"/>
    </row>
    <row r="6589" spans="2:6" ht="17.25" customHeight="1">
      <c r="B6589" s="15"/>
      <c r="C6589" s="15"/>
      <c r="D6589" s="15"/>
      <c r="E6589" s="15"/>
      <c r="F6589" s="20"/>
    </row>
    <row r="6590" spans="2:6" ht="17.25" customHeight="1">
      <c r="B6590" s="15"/>
      <c r="C6590" s="15"/>
      <c r="D6590" s="15"/>
      <c r="E6590" s="15"/>
      <c r="F6590" s="20"/>
    </row>
    <row r="6591" spans="2:6" ht="17.25" customHeight="1">
      <c r="B6591" s="15"/>
      <c r="C6591" s="15"/>
      <c r="D6591" s="15"/>
      <c r="E6591" s="15"/>
      <c r="F6591" s="20"/>
    </row>
    <row r="6592" spans="2:6" ht="17.25" customHeight="1">
      <c r="B6592" s="15"/>
      <c r="C6592" s="15"/>
      <c r="D6592" s="15"/>
      <c r="E6592" s="15"/>
      <c r="F6592" s="20"/>
    </row>
    <row r="6593" spans="2:6" ht="17.25" customHeight="1">
      <c r="B6593" s="15"/>
      <c r="C6593" s="15"/>
      <c r="D6593" s="15"/>
      <c r="E6593" s="15"/>
      <c r="F6593" s="20"/>
    </row>
    <row r="6594" spans="2:6" ht="17.25" customHeight="1">
      <c r="B6594" s="15"/>
      <c r="C6594" s="15"/>
      <c r="D6594" s="15"/>
      <c r="E6594" s="15"/>
      <c r="F6594" s="20"/>
    </row>
    <row r="6595" spans="2:6" ht="17.25" customHeight="1">
      <c r="B6595" s="15"/>
      <c r="C6595" s="15"/>
      <c r="D6595" s="15"/>
      <c r="E6595" s="15"/>
      <c r="F6595" s="20"/>
    </row>
    <row r="6596" spans="2:6" ht="17.25" customHeight="1">
      <c r="B6596" s="15"/>
      <c r="C6596" s="15"/>
      <c r="D6596" s="15"/>
      <c r="E6596" s="15"/>
      <c r="F6596" s="20"/>
    </row>
    <row r="6597" spans="2:6" ht="17.25" customHeight="1">
      <c r="B6597" s="15"/>
      <c r="C6597" s="15"/>
      <c r="D6597" s="15"/>
      <c r="E6597" s="15"/>
      <c r="F6597" s="20"/>
    </row>
    <row r="6598" spans="2:6" ht="17.25" customHeight="1">
      <c r="B6598" s="15"/>
      <c r="C6598" s="15"/>
      <c r="D6598" s="15"/>
      <c r="E6598" s="15"/>
      <c r="F6598" s="20"/>
    </row>
    <row r="6599" spans="2:6" ht="17.25" customHeight="1">
      <c r="B6599" s="15"/>
      <c r="C6599" s="15"/>
      <c r="D6599" s="15"/>
      <c r="E6599" s="15"/>
      <c r="F6599" s="20"/>
    </row>
    <row r="6600" spans="2:6" ht="17.25" customHeight="1">
      <c r="B6600" s="15"/>
      <c r="C6600" s="15"/>
      <c r="D6600" s="15"/>
      <c r="E6600" s="15"/>
      <c r="F6600" s="20"/>
    </row>
    <row r="6601" spans="2:6" ht="17.25" customHeight="1">
      <c r="B6601" s="15"/>
      <c r="C6601" s="15"/>
      <c r="D6601" s="15"/>
      <c r="E6601" s="15"/>
      <c r="F6601" s="20"/>
    </row>
    <row r="6602" spans="2:6" ht="17.25" customHeight="1">
      <c r="B6602" s="15"/>
      <c r="C6602" s="15"/>
      <c r="D6602" s="15"/>
      <c r="E6602" s="15"/>
      <c r="F6602" s="20"/>
    </row>
    <row r="6603" spans="2:6" ht="17.25" customHeight="1">
      <c r="B6603" s="15"/>
      <c r="C6603" s="15"/>
      <c r="D6603" s="15"/>
      <c r="E6603" s="15"/>
      <c r="F6603" s="20"/>
    </row>
    <row r="6604" spans="2:6" ht="17.25" customHeight="1">
      <c r="B6604" s="15"/>
      <c r="C6604" s="15"/>
      <c r="D6604" s="15"/>
      <c r="E6604" s="15"/>
      <c r="F6604" s="20"/>
    </row>
    <row r="6605" spans="2:6" ht="17.25" customHeight="1">
      <c r="B6605" s="15"/>
      <c r="C6605" s="15"/>
      <c r="D6605" s="15"/>
      <c r="E6605" s="15"/>
      <c r="F6605" s="20"/>
    </row>
    <row r="6606" spans="2:6" ht="17.25" customHeight="1">
      <c r="B6606" s="15"/>
      <c r="C6606" s="15"/>
      <c r="D6606" s="15"/>
      <c r="E6606" s="15"/>
      <c r="F6606" s="20"/>
    </row>
    <row r="6607" spans="2:6" ht="17.25" customHeight="1">
      <c r="B6607" s="15"/>
      <c r="C6607" s="15"/>
      <c r="D6607" s="15"/>
      <c r="E6607" s="15"/>
      <c r="F6607" s="20"/>
    </row>
    <row r="6608" spans="2:6" ht="17.25" customHeight="1">
      <c r="B6608" s="15"/>
      <c r="C6608" s="15"/>
      <c r="D6608" s="15"/>
      <c r="E6608" s="15"/>
      <c r="F6608" s="20"/>
    </row>
    <row r="6609" spans="2:6" ht="17.25" customHeight="1">
      <c r="B6609" s="15"/>
      <c r="C6609" s="15"/>
      <c r="D6609" s="15"/>
      <c r="E6609" s="15"/>
      <c r="F6609" s="20"/>
    </row>
    <row r="6610" spans="2:6" ht="17.25" customHeight="1">
      <c r="B6610" s="15"/>
      <c r="C6610" s="15"/>
      <c r="D6610" s="15"/>
      <c r="E6610" s="15"/>
      <c r="F6610" s="20"/>
    </row>
    <row r="6611" spans="2:6" ht="17.25" customHeight="1">
      <c r="B6611" s="15"/>
      <c r="C6611" s="15"/>
      <c r="D6611" s="15"/>
      <c r="E6611" s="15"/>
      <c r="F6611" s="20"/>
    </row>
    <row r="6612" spans="2:6" ht="17.25" customHeight="1">
      <c r="B6612" s="15"/>
      <c r="C6612" s="15"/>
      <c r="D6612" s="15"/>
      <c r="E6612" s="15"/>
      <c r="F6612" s="20"/>
    </row>
    <row r="6613" spans="2:6" ht="17.25" customHeight="1">
      <c r="B6613" s="15"/>
      <c r="C6613" s="15"/>
      <c r="D6613" s="15"/>
      <c r="E6613" s="15"/>
      <c r="F6613" s="20"/>
    </row>
    <row r="6614" spans="2:6" ht="17.25" customHeight="1">
      <c r="B6614" s="15"/>
      <c r="C6614" s="15"/>
      <c r="D6614" s="15"/>
      <c r="E6614" s="15"/>
      <c r="F6614" s="20"/>
    </row>
    <row r="6615" spans="2:6" ht="17.25" customHeight="1">
      <c r="B6615" s="15"/>
      <c r="C6615" s="15"/>
      <c r="D6615" s="15"/>
      <c r="E6615" s="15"/>
      <c r="F6615" s="20"/>
    </row>
    <row r="6616" spans="2:6" ht="17.25" customHeight="1">
      <c r="B6616" s="15"/>
      <c r="C6616" s="15"/>
      <c r="D6616" s="15"/>
      <c r="E6616" s="15"/>
      <c r="F6616" s="20"/>
    </row>
    <row r="6617" spans="2:6" ht="17.25" customHeight="1">
      <c r="B6617" s="15"/>
      <c r="C6617" s="15"/>
      <c r="D6617" s="15"/>
      <c r="E6617" s="15"/>
      <c r="F6617" s="20"/>
    </row>
    <row r="6618" spans="2:6" ht="17.25" customHeight="1">
      <c r="B6618" s="15"/>
      <c r="C6618" s="15"/>
      <c r="D6618" s="15"/>
      <c r="E6618" s="15"/>
      <c r="F6618" s="20"/>
    </row>
    <row r="6619" spans="2:6" ht="17.25" customHeight="1">
      <c r="B6619" s="15"/>
      <c r="C6619" s="15"/>
      <c r="D6619" s="15"/>
      <c r="E6619" s="15"/>
      <c r="F6619" s="20"/>
    </row>
    <row r="6620" spans="2:6" ht="17.25" customHeight="1">
      <c r="B6620" s="15"/>
      <c r="C6620" s="15"/>
      <c r="D6620" s="15"/>
      <c r="E6620" s="15"/>
      <c r="F6620" s="20"/>
    </row>
    <row r="6621" spans="2:6" ht="17.25" customHeight="1">
      <c r="B6621" s="15"/>
      <c r="C6621" s="15"/>
      <c r="D6621" s="15"/>
      <c r="E6621" s="15"/>
      <c r="F6621" s="20"/>
    </row>
    <row r="6622" spans="2:6" ht="17.25" customHeight="1">
      <c r="B6622" s="15"/>
      <c r="C6622" s="15"/>
      <c r="D6622" s="15"/>
      <c r="E6622" s="15"/>
      <c r="F6622" s="20"/>
    </row>
    <row r="6623" spans="2:6" ht="17.25" customHeight="1">
      <c r="B6623" s="15"/>
      <c r="C6623" s="15"/>
      <c r="D6623" s="15"/>
      <c r="E6623" s="15"/>
      <c r="F6623" s="20"/>
    </row>
    <row r="6624" spans="2:6" ht="17.25" customHeight="1">
      <c r="B6624" s="15"/>
      <c r="C6624" s="15"/>
      <c r="D6624" s="15"/>
      <c r="E6624" s="15"/>
      <c r="F6624" s="20"/>
    </row>
    <row r="6625" spans="2:6" ht="17.25" customHeight="1">
      <c r="B6625" s="15"/>
      <c r="C6625" s="15"/>
      <c r="D6625" s="15"/>
      <c r="E6625" s="15"/>
      <c r="F6625" s="20"/>
    </row>
    <row r="6626" spans="2:6" ht="17.25" customHeight="1">
      <c r="B6626" s="15"/>
      <c r="C6626" s="15"/>
      <c r="D6626" s="15"/>
      <c r="E6626" s="15"/>
      <c r="F6626" s="20"/>
    </row>
    <row r="6627" spans="2:6" ht="17.25" customHeight="1">
      <c r="B6627" s="15"/>
      <c r="C6627" s="15"/>
      <c r="D6627" s="15"/>
      <c r="E6627" s="15"/>
      <c r="F6627" s="20"/>
    </row>
    <row r="6628" spans="2:6" ht="17.25" customHeight="1">
      <c r="B6628" s="15"/>
      <c r="C6628" s="15"/>
      <c r="D6628" s="15"/>
      <c r="E6628" s="15"/>
      <c r="F6628" s="20"/>
    </row>
    <row r="6629" spans="2:6" ht="17.25" customHeight="1">
      <c r="B6629" s="15"/>
      <c r="C6629" s="15"/>
      <c r="D6629" s="15"/>
      <c r="E6629" s="15"/>
      <c r="F6629" s="20"/>
    </row>
    <row r="6630" spans="2:6" ht="17.25" customHeight="1">
      <c r="B6630" s="15"/>
      <c r="C6630" s="15"/>
      <c r="D6630" s="15"/>
      <c r="E6630" s="15"/>
      <c r="F6630" s="20"/>
    </row>
    <row r="6631" spans="2:6" ht="17.25" customHeight="1">
      <c r="B6631" s="15"/>
      <c r="C6631" s="15"/>
      <c r="D6631" s="15"/>
      <c r="E6631" s="15"/>
      <c r="F6631" s="20"/>
    </row>
    <row r="6632" spans="2:6" ht="17.25" customHeight="1">
      <c r="B6632" s="15"/>
      <c r="C6632" s="15"/>
      <c r="D6632" s="15"/>
      <c r="E6632" s="15"/>
      <c r="F6632" s="20"/>
    </row>
    <row r="6633" spans="2:6" ht="17.25" customHeight="1">
      <c r="B6633" s="15"/>
      <c r="C6633" s="15"/>
      <c r="D6633" s="15"/>
      <c r="E6633" s="15"/>
      <c r="F6633" s="20"/>
    </row>
    <row r="6634" spans="2:6" ht="17.25" customHeight="1">
      <c r="B6634" s="15"/>
      <c r="C6634" s="15"/>
      <c r="D6634" s="15"/>
      <c r="E6634" s="15"/>
      <c r="F6634" s="20"/>
    </row>
    <row r="6635" spans="2:6" ht="17.25" customHeight="1">
      <c r="B6635" s="15"/>
      <c r="C6635" s="15"/>
      <c r="D6635" s="15"/>
      <c r="E6635" s="15"/>
      <c r="F6635" s="20"/>
    </row>
    <row r="6636" spans="2:6" ht="17.25" customHeight="1">
      <c r="B6636" s="15"/>
      <c r="C6636" s="15"/>
      <c r="D6636" s="15"/>
      <c r="E6636" s="15"/>
      <c r="F6636" s="20"/>
    </row>
    <row r="6637" spans="2:6" ht="17.25" customHeight="1">
      <c r="B6637" s="15"/>
      <c r="C6637" s="15"/>
      <c r="D6637" s="15"/>
      <c r="E6637" s="15"/>
      <c r="F6637" s="20"/>
    </row>
    <row r="6638" spans="2:6" ht="17.25" customHeight="1">
      <c r="B6638" s="15"/>
      <c r="C6638" s="15"/>
      <c r="D6638" s="15"/>
      <c r="E6638" s="15"/>
      <c r="F6638" s="20"/>
    </row>
    <row r="6639" spans="2:6" ht="17.25" customHeight="1">
      <c r="B6639" s="15"/>
      <c r="C6639" s="15"/>
      <c r="D6639" s="15"/>
      <c r="E6639" s="15"/>
      <c r="F6639" s="20"/>
    </row>
    <row r="6640" spans="2:6" ht="17.25" customHeight="1">
      <c r="B6640" s="15"/>
      <c r="C6640" s="15"/>
      <c r="D6640" s="15"/>
      <c r="E6640" s="15"/>
      <c r="F6640" s="20"/>
    </row>
    <row r="6641" spans="2:6" ht="17.25" customHeight="1">
      <c r="B6641" s="15"/>
      <c r="C6641" s="15"/>
      <c r="D6641" s="15"/>
      <c r="E6641" s="15"/>
      <c r="F6641" s="20"/>
    </row>
    <row r="6642" spans="2:6" ht="17.25" customHeight="1">
      <c r="B6642" s="15"/>
      <c r="C6642" s="15"/>
      <c r="D6642" s="15"/>
      <c r="E6642" s="15"/>
      <c r="F6642" s="20"/>
    </row>
    <row r="6643" spans="2:6" ht="17.25" customHeight="1">
      <c r="B6643" s="15"/>
      <c r="C6643" s="15"/>
      <c r="D6643" s="15"/>
      <c r="E6643" s="15"/>
      <c r="F6643" s="20"/>
    </row>
    <row r="6644" spans="2:6" ht="17.25" customHeight="1">
      <c r="B6644" s="15"/>
      <c r="C6644" s="15"/>
      <c r="D6644" s="15"/>
      <c r="E6644" s="15"/>
      <c r="F6644" s="20"/>
    </row>
    <row r="6645" spans="2:6" ht="17.25" customHeight="1">
      <c r="B6645" s="15"/>
      <c r="C6645" s="15"/>
      <c r="D6645" s="15"/>
      <c r="E6645" s="15"/>
      <c r="F6645" s="20"/>
    </row>
    <row r="6646" spans="2:6" ht="17.25" customHeight="1">
      <c r="B6646" s="15"/>
      <c r="C6646" s="15"/>
      <c r="D6646" s="15"/>
      <c r="E6646" s="15"/>
      <c r="F6646" s="20"/>
    </row>
    <row r="6647" spans="2:6" ht="17.25" customHeight="1">
      <c r="B6647" s="15"/>
      <c r="C6647" s="15"/>
      <c r="D6647" s="15"/>
      <c r="E6647" s="15"/>
      <c r="F6647" s="20"/>
    </row>
    <row r="6648" spans="2:6" ht="17.25" customHeight="1">
      <c r="B6648" s="15"/>
      <c r="C6648" s="15"/>
      <c r="D6648" s="15"/>
      <c r="E6648" s="15"/>
      <c r="F6648" s="20"/>
    </row>
    <row r="6649" spans="2:6" ht="17.25" customHeight="1">
      <c r="B6649" s="15"/>
      <c r="C6649" s="15"/>
      <c r="D6649" s="15"/>
      <c r="E6649" s="15"/>
      <c r="F6649" s="20"/>
    </row>
    <row r="6650" spans="2:6" ht="17.25" customHeight="1">
      <c r="B6650" s="15"/>
      <c r="C6650" s="15"/>
      <c r="D6650" s="15"/>
      <c r="E6650" s="15"/>
      <c r="F6650" s="20"/>
    </row>
    <row r="6651" spans="2:6" ht="17.25" customHeight="1">
      <c r="B6651" s="15"/>
      <c r="C6651" s="15"/>
      <c r="D6651" s="15"/>
      <c r="E6651" s="15"/>
      <c r="F6651" s="20"/>
    </row>
    <row r="6652" spans="2:6" ht="17.25" customHeight="1">
      <c r="B6652" s="15"/>
      <c r="C6652" s="15"/>
      <c r="D6652" s="15"/>
      <c r="E6652" s="15"/>
      <c r="F6652" s="20"/>
    </row>
    <row r="6653" spans="2:6" ht="17.25" customHeight="1">
      <c r="B6653" s="15"/>
      <c r="C6653" s="15"/>
      <c r="D6653" s="15"/>
      <c r="E6653" s="15"/>
      <c r="F6653" s="20"/>
    </row>
    <row r="6654" spans="2:6" ht="17.25" customHeight="1">
      <c r="B6654" s="15"/>
      <c r="C6654" s="15"/>
      <c r="D6654" s="15"/>
      <c r="E6654" s="15"/>
      <c r="F6654" s="20"/>
    </row>
    <row r="6655" spans="2:6" ht="17.25" customHeight="1">
      <c r="B6655" s="15"/>
      <c r="C6655" s="15"/>
      <c r="D6655" s="15"/>
      <c r="E6655" s="15"/>
      <c r="F6655" s="20"/>
    </row>
    <row r="6656" spans="2:6" ht="17.25" customHeight="1">
      <c r="B6656" s="15"/>
      <c r="C6656" s="15"/>
      <c r="D6656" s="15"/>
      <c r="E6656" s="15"/>
      <c r="F6656" s="20"/>
    </row>
    <row r="6657" spans="2:6" ht="17.25" customHeight="1">
      <c r="B6657" s="15"/>
      <c r="C6657" s="15"/>
      <c r="D6657" s="15"/>
      <c r="E6657" s="15"/>
      <c r="F6657" s="20"/>
    </row>
    <row r="6658" spans="2:6" ht="17.25" customHeight="1">
      <c r="B6658" s="15"/>
      <c r="C6658" s="15"/>
      <c r="D6658" s="15"/>
      <c r="E6658" s="15"/>
      <c r="F6658" s="20"/>
    </row>
    <row r="6659" spans="2:6" ht="17.25" customHeight="1">
      <c r="B6659" s="15"/>
      <c r="C6659" s="15"/>
      <c r="D6659" s="15"/>
      <c r="E6659" s="15"/>
      <c r="F6659" s="20"/>
    </row>
    <row r="6660" spans="2:6" ht="17.25" customHeight="1">
      <c r="B6660" s="15"/>
      <c r="C6660" s="15"/>
      <c r="D6660" s="15"/>
      <c r="E6660" s="15"/>
      <c r="F6660" s="20"/>
    </row>
    <row r="6661" spans="2:6" ht="17.25" customHeight="1">
      <c r="B6661" s="15"/>
      <c r="C6661" s="15"/>
      <c r="D6661" s="15"/>
      <c r="E6661" s="15"/>
      <c r="F6661" s="20"/>
    </row>
    <row r="6662" spans="2:6" ht="17.25" customHeight="1">
      <c r="B6662" s="15"/>
      <c r="C6662" s="15"/>
      <c r="D6662" s="15"/>
      <c r="E6662" s="15"/>
      <c r="F6662" s="20"/>
    </row>
    <row r="6663" spans="2:6" ht="17.25" customHeight="1">
      <c r="B6663" s="15"/>
      <c r="C6663" s="15"/>
      <c r="D6663" s="15"/>
      <c r="E6663" s="15"/>
      <c r="F6663" s="20"/>
    </row>
    <row r="6664" spans="2:6" ht="17.25" customHeight="1">
      <c r="B6664" s="15"/>
      <c r="C6664" s="15"/>
      <c r="D6664" s="15"/>
      <c r="E6664" s="15"/>
      <c r="F6664" s="20"/>
    </row>
    <row r="6665" spans="2:6" ht="17.25" customHeight="1">
      <c r="B6665" s="15"/>
      <c r="C6665" s="15"/>
      <c r="D6665" s="15"/>
      <c r="E6665" s="15"/>
      <c r="F6665" s="20"/>
    </row>
    <row r="6666" spans="2:6" ht="17.25" customHeight="1">
      <c r="B6666" s="15"/>
      <c r="C6666" s="15"/>
      <c r="D6666" s="15"/>
      <c r="E6666" s="15"/>
      <c r="F6666" s="20"/>
    </row>
    <row r="6667" spans="2:6" ht="17.25" customHeight="1">
      <c r="B6667" s="15"/>
      <c r="C6667" s="15"/>
      <c r="D6667" s="15"/>
      <c r="E6667" s="15"/>
      <c r="F6667" s="20"/>
    </row>
    <row r="6668" spans="2:6" ht="17.25" customHeight="1">
      <c r="B6668" s="15"/>
      <c r="C6668" s="15"/>
      <c r="D6668" s="15"/>
      <c r="E6668" s="15"/>
      <c r="F6668" s="20"/>
    </row>
    <row r="6669" spans="2:6" ht="17.25" customHeight="1">
      <c r="B6669" s="15"/>
      <c r="C6669" s="15"/>
      <c r="D6669" s="15"/>
      <c r="E6669" s="15"/>
      <c r="F6669" s="20"/>
    </row>
    <row r="6670" spans="2:6" ht="17.25" customHeight="1">
      <c r="B6670" s="15"/>
      <c r="C6670" s="15"/>
      <c r="D6670" s="15"/>
      <c r="E6670" s="15"/>
      <c r="F6670" s="20"/>
    </row>
    <row r="6671" spans="2:6" ht="17.25" customHeight="1">
      <c r="B6671" s="15"/>
      <c r="C6671" s="15"/>
      <c r="D6671" s="15"/>
      <c r="E6671" s="15"/>
      <c r="F6671" s="20"/>
    </row>
    <row r="6672" spans="2:6" ht="17.25" customHeight="1">
      <c r="B6672" s="15"/>
      <c r="C6672" s="15"/>
      <c r="D6672" s="15"/>
      <c r="E6672" s="15"/>
      <c r="F6672" s="20"/>
    </row>
    <row r="6673" spans="2:6" ht="17.25" customHeight="1">
      <c r="B6673" s="15"/>
      <c r="C6673" s="15"/>
      <c r="D6673" s="15"/>
      <c r="E6673" s="15"/>
      <c r="F6673" s="20"/>
    </row>
    <row r="6674" spans="2:6" ht="17.25" customHeight="1">
      <c r="B6674" s="15"/>
      <c r="C6674" s="15"/>
      <c r="D6674" s="15"/>
      <c r="E6674" s="15"/>
      <c r="F6674" s="20"/>
    </row>
    <row r="6675" spans="2:6" ht="17.25" customHeight="1">
      <c r="B6675" s="15"/>
      <c r="C6675" s="15"/>
      <c r="D6675" s="15"/>
      <c r="E6675" s="15"/>
      <c r="F6675" s="20"/>
    </row>
    <row r="6676" spans="2:6" ht="17.25" customHeight="1">
      <c r="B6676" s="15"/>
      <c r="C6676" s="15"/>
      <c r="D6676" s="15"/>
      <c r="E6676" s="15"/>
      <c r="F6676" s="20"/>
    </row>
    <row r="6677" spans="2:6" ht="17.25" customHeight="1">
      <c r="B6677" s="15"/>
      <c r="C6677" s="15"/>
      <c r="D6677" s="15"/>
      <c r="E6677" s="15"/>
      <c r="F6677" s="20"/>
    </row>
    <row r="6678" spans="2:6" ht="17.25" customHeight="1">
      <c r="B6678" s="15"/>
      <c r="C6678" s="15"/>
      <c r="D6678" s="15"/>
      <c r="E6678" s="15"/>
      <c r="F6678" s="20"/>
    </row>
    <row r="6679" spans="2:6" ht="17.25" customHeight="1">
      <c r="B6679" s="15"/>
      <c r="C6679" s="15"/>
      <c r="D6679" s="15"/>
      <c r="E6679" s="15"/>
      <c r="F6679" s="20"/>
    </row>
    <row r="6680" spans="2:6" ht="17.25" customHeight="1">
      <c r="B6680" s="15"/>
      <c r="C6680" s="15"/>
      <c r="D6680" s="15"/>
      <c r="E6680" s="15"/>
      <c r="F6680" s="20"/>
    </row>
    <row r="6681" spans="2:6" ht="17.25" customHeight="1">
      <c r="B6681" s="15"/>
      <c r="C6681" s="15"/>
      <c r="D6681" s="15"/>
      <c r="E6681" s="15"/>
      <c r="F6681" s="20"/>
    </row>
    <row r="6682" spans="2:6" ht="17.25" customHeight="1">
      <c r="B6682" s="15"/>
      <c r="C6682" s="15"/>
      <c r="D6682" s="15"/>
      <c r="E6682" s="15"/>
      <c r="F6682" s="20"/>
    </row>
    <row r="6683" spans="2:6" ht="17.25" customHeight="1">
      <c r="B6683" s="15"/>
      <c r="C6683" s="15"/>
      <c r="D6683" s="15"/>
      <c r="E6683" s="15"/>
      <c r="F6683" s="20"/>
    </row>
    <row r="6684" spans="2:6" ht="17.25" customHeight="1">
      <c r="B6684" s="15"/>
      <c r="C6684" s="15"/>
      <c r="D6684" s="15"/>
      <c r="E6684" s="15"/>
      <c r="F6684" s="20"/>
    </row>
    <row r="6685" spans="2:6" ht="17.25" customHeight="1">
      <c r="B6685" s="15"/>
      <c r="C6685" s="15"/>
      <c r="D6685" s="15"/>
      <c r="E6685" s="15"/>
      <c r="F6685" s="20"/>
    </row>
    <row r="6686" spans="2:6" ht="17.25" customHeight="1">
      <c r="B6686" s="15"/>
      <c r="C6686" s="15"/>
      <c r="D6686" s="15"/>
      <c r="E6686" s="15"/>
      <c r="F6686" s="20"/>
    </row>
    <row r="6687" spans="2:6" ht="17.25" customHeight="1">
      <c r="B6687" s="15"/>
      <c r="C6687" s="15"/>
      <c r="D6687" s="15"/>
      <c r="E6687" s="15"/>
      <c r="F6687" s="20"/>
    </row>
    <row r="6688" spans="2:6" ht="17.25" customHeight="1">
      <c r="B6688" s="15"/>
      <c r="C6688" s="15"/>
      <c r="D6688" s="15"/>
      <c r="E6688" s="15"/>
      <c r="F6688" s="20"/>
    </row>
    <row r="6689" spans="2:6" ht="17.25" customHeight="1">
      <c r="B6689" s="15"/>
      <c r="C6689" s="15"/>
      <c r="D6689" s="15"/>
      <c r="E6689" s="15"/>
      <c r="F6689" s="20"/>
    </row>
    <row r="6690" spans="2:6" ht="17.25" customHeight="1">
      <c r="B6690" s="15"/>
      <c r="C6690" s="15"/>
      <c r="D6690" s="15"/>
      <c r="E6690" s="15"/>
      <c r="F6690" s="20"/>
    </row>
    <row r="6691" spans="2:6" ht="17.25" customHeight="1">
      <c r="B6691" s="15"/>
      <c r="C6691" s="15"/>
      <c r="D6691" s="15"/>
      <c r="E6691" s="15"/>
      <c r="F6691" s="20"/>
    </row>
    <row r="6692" spans="2:6" ht="17.25" customHeight="1">
      <c r="B6692" s="15"/>
      <c r="C6692" s="15"/>
      <c r="D6692" s="15"/>
      <c r="E6692" s="15"/>
      <c r="F6692" s="20"/>
    </row>
    <row r="6693" spans="2:6" ht="17.25" customHeight="1">
      <c r="B6693" s="15"/>
      <c r="C6693" s="15"/>
      <c r="D6693" s="15"/>
      <c r="E6693" s="15"/>
      <c r="F6693" s="20"/>
    </row>
    <row r="6694" spans="2:6" ht="17.25" customHeight="1">
      <c r="B6694" s="15"/>
      <c r="C6694" s="15"/>
      <c r="D6694" s="15"/>
      <c r="E6694" s="15"/>
      <c r="F6694" s="20"/>
    </row>
    <row r="6695" spans="2:6" ht="17.25" customHeight="1">
      <c r="B6695" s="15"/>
      <c r="C6695" s="15"/>
      <c r="D6695" s="15"/>
      <c r="E6695" s="15"/>
      <c r="F6695" s="20"/>
    </row>
    <row r="6696" spans="2:6" ht="17.25" customHeight="1">
      <c r="B6696" s="15"/>
      <c r="C6696" s="15"/>
      <c r="D6696" s="15"/>
      <c r="E6696" s="15"/>
      <c r="F6696" s="20"/>
    </row>
    <row r="6697" spans="2:6" ht="17.25" customHeight="1">
      <c r="B6697" s="15"/>
      <c r="C6697" s="15"/>
      <c r="D6697" s="15"/>
      <c r="E6697" s="15"/>
      <c r="F6697" s="20"/>
    </row>
    <row r="6698" spans="2:6" ht="17.25" customHeight="1">
      <c r="B6698" s="15"/>
      <c r="C6698" s="15"/>
      <c r="D6698" s="15"/>
      <c r="E6698" s="15"/>
      <c r="F6698" s="20"/>
    </row>
    <row r="6699" spans="2:6" ht="17.25" customHeight="1">
      <c r="B6699" s="15"/>
      <c r="C6699" s="15"/>
      <c r="D6699" s="15"/>
      <c r="E6699" s="15"/>
      <c r="F6699" s="20"/>
    </row>
    <row r="6700" spans="2:6" ht="17.25" customHeight="1">
      <c r="B6700" s="15"/>
      <c r="C6700" s="15"/>
      <c r="D6700" s="15"/>
      <c r="E6700" s="15"/>
      <c r="F6700" s="20"/>
    </row>
    <row r="6701" spans="2:6" ht="17.25" customHeight="1">
      <c r="B6701" s="15"/>
      <c r="C6701" s="15"/>
      <c r="D6701" s="15"/>
      <c r="E6701" s="15"/>
      <c r="F6701" s="20"/>
    </row>
    <row r="6702" spans="2:6" ht="17.25" customHeight="1">
      <c r="B6702" s="15"/>
      <c r="C6702" s="15"/>
      <c r="D6702" s="15"/>
      <c r="E6702" s="15"/>
      <c r="F6702" s="20"/>
    </row>
    <row r="6703" spans="2:6" ht="17.25" customHeight="1">
      <c r="B6703" s="15"/>
      <c r="C6703" s="15"/>
      <c r="D6703" s="15"/>
      <c r="E6703" s="15"/>
      <c r="F6703" s="20"/>
    </row>
    <row r="6704" spans="2:6" ht="17.25" customHeight="1">
      <c r="B6704" s="15"/>
      <c r="C6704" s="15"/>
      <c r="D6704" s="15"/>
      <c r="E6704" s="15"/>
      <c r="F6704" s="20"/>
    </row>
    <row r="6705" spans="2:6" ht="17.25" customHeight="1">
      <c r="B6705" s="15"/>
      <c r="C6705" s="15"/>
      <c r="D6705" s="15"/>
      <c r="E6705" s="15"/>
      <c r="F6705" s="20"/>
    </row>
    <row r="6706" spans="2:6" ht="17.25" customHeight="1">
      <c r="B6706" s="15"/>
      <c r="C6706" s="15"/>
      <c r="D6706" s="15"/>
      <c r="E6706" s="15"/>
      <c r="F6706" s="20"/>
    </row>
    <row r="6707" spans="2:6" ht="17.25" customHeight="1">
      <c r="B6707" s="15"/>
      <c r="C6707" s="15"/>
      <c r="D6707" s="15"/>
      <c r="E6707" s="15"/>
      <c r="F6707" s="20"/>
    </row>
    <row r="6708" spans="2:6" ht="17.25" customHeight="1">
      <c r="B6708" s="15"/>
      <c r="C6708" s="15"/>
      <c r="D6708" s="15"/>
      <c r="E6708" s="15"/>
      <c r="F6708" s="20"/>
    </row>
    <row r="6709" spans="2:6" ht="17.25" customHeight="1">
      <c r="B6709" s="15"/>
      <c r="C6709" s="15"/>
      <c r="D6709" s="15"/>
      <c r="E6709" s="15"/>
      <c r="F6709" s="20"/>
    </row>
    <row r="6710" spans="2:6" ht="17.25" customHeight="1">
      <c r="B6710" s="15"/>
      <c r="C6710" s="15"/>
      <c r="D6710" s="15"/>
      <c r="E6710" s="15"/>
      <c r="F6710" s="20"/>
    </row>
    <row r="6711" spans="2:6" ht="17.25" customHeight="1">
      <c r="B6711" s="15"/>
      <c r="C6711" s="15"/>
      <c r="D6711" s="15"/>
      <c r="E6711" s="15"/>
      <c r="F6711" s="20"/>
    </row>
    <row r="6712" spans="2:6" ht="17.25" customHeight="1">
      <c r="B6712" s="15"/>
      <c r="C6712" s="15"/>
      <c r="D6712" s="15"/>
      <c r="E6712" s="15"/>
      <c r="F6712" s="20"/>
    </row>
    <row r="6713" spans="2:6" ht="17.25" customHeight="1">
      <c r="B6713" s="15"/>
      <c r="C6713" s="15"/>
      <c r="D6713" s="15"/>
      <c r="E6713" s="15"/>
      <c r="F6713" s="20"/>
    </row>
    <row r="6714" spans="2:6" ht="17.25" customHeight="1">
      <c r="B6714" s="15"/>
      <c r="C6714" s="15"/>
      <c r="D6714" s="15"/>
      <c r="E6714" s="15"/>
      <c r="F6714" s="20"/>
    </row>
    <row r="6715" spans="2:6" ht="17.25" customHeight="1">
      <c r="B6715" s="15"/>
      <c r="C6715" s="15"/>
      <c r="D6715" s="15"/>
      <c r="E6715" s="15"/>
      <c r="F6715" s="20"/>
    </row>
    <row r="6716" spans="2:6" ht="17.25" customHeight="1">
      <c r="B6716" s="15"/>
      <c r="C6716" s="15"/>
      <c r="D6716" s="15"/>
      <c r="E6716" s="15"/>
      <c r="F6716" s="20"/>
    </row>
    <row r="6717" spans="2:6" ht="17.25" customHeight="1">
      <c r="B6717" s="15"/>
      <c r="C6717" s="15"/>
      <c r="D6717" s="15"/>
      <c r="E6717" s="15"/>
      <c r="F6717" s="20"/>
    </row>
    <row r="6718" spans="2:6" ht="17.25" customHeight="1">
      <c r="B6718" s="15"/>
      <c r="C6718" s="15"/>
      <c r="D6718" s="15"/>
      <c r="E6718" s="15"/>
      <c r="F6718" s="20"/>
    </row>
    <row r="6719" spans="2:6" ht="17.25" customHeight="1">
      <c r="B6719" s="15"/>
      <c r="C6719" s="15"/>
      <c r="D6719" s="15"/>
      <c r="E6719" s="15"/>
      <c r="F6719" s="20"/>
    </row>
    <row r="6720" spans="2:6" ht="17.25" customHeight="1">
      <c r="B6720" s="15"/>
      <c r="C6720" s="15"/>
      <c r="D6720" s="15"/>
      <c r="E6720" s="15"/>
      <c r="F6720" s="20"/>
    </row>
    <row r="6721" spans="2:6" ht="17.25" customHeight="1">
      <c r="B6721" s="15"/>
      <c r="C6721" s="15"/>
      <c r="D6721" s="15"/>
      <c r="E6721" s="15"/>
      <c r="F6721" s="20"/>
    </row>
    <row r="6722" spans="2:6" ht="17.25" customHeight="1">
      <c r="B6722" s="15"/>
      <c r="C6722" s="15"/>
      <c r="D6722" s="15"/>
      <c r="E6722" s="15"/>
      <c r="F6722" s="20"/>
    </row>
    <row r="6723" spans="2:6" ht="17.25" customHeight="1">
      <c r="B6723" s="15"/>
      <c r="C6723" s="15"/>
      <c r="D6723" s="15"/>
      <c r="E6723" s="15"/>
      <c r="F6723" s="20"/>
    </row>
    <row r="6724" spans="2:6" ht="17.25" customHeight="1">
      <c r="B6724" s="15"/>
      <c r="C6724" s="15"/>
      <c r="D6724" s="15"/>
      <c r="E6724" s="15"/>
      <c r="F6724" s="20"/>
    </row>
    <row r="6725" spans="2:6" ht="17.25" customHeight="1">
      <c r="B6725" s="15"/>
      <c r="C6725" s="15"/>
      <c r="D6725" s="15"/>
      <c r="E6725" s="15"/>
      <c r="F6725" s="20"/>
    </row>
    <row r="6726" spans="2:6" ht="17.25" customHeight="1">
      <c r="B6726" s="15"/>
      <c r="C6726" s="15"/>
      <c r="D6726" s="15"/>
      <c r="E6726" s="15"/>
      <c r="F6726" s="20"/>
    </row>
    <row r="6727" spans="2:6" ht="17.25" customHeight="1">
      <c r="B6727" s="15"/>
      <c r="C6727" s="15"/>
      <c r="D6727" s="15"/>
      <c r="E6727" s="15"/>
      <c r="F6727" s="20"/>
    </row>
    <row r="6728" spans="2:6" ht="17.25" customHeight="1">
      <c r="B6728" s="15"/>
      <c r="C6728" s="15"/>
      <c r="D6728" s="15"/>
      <c r="E6728" s="15"/>
      <c r="F6728" s="20"/>
    </row>
    <row r="6729" spans="2:6" ht="17.25" customHeight="1">
      <c r="B6729" s="15"/>
      <c r="C6729" s="15"/>
      <c r="D6729" s="15"/>
      <c r="E6729" s="15"/>
      <c r="F6729" s="20"/>
    </row>
    <row r="6730" spans="2:6" ht="17.25" customHeight="1">
      <c r="B6730" s="15"/>
      <c r="C6730" s="15"/>
      <c r="D6730" s="15"/>
      <c r="E6730" s="15"/>
      <c r="F6730" s="20"/>
    </row>
    <row r="6731" spans="2:6" ht="17.25" customHeight="1">
      <c r="B6731" s="15"/>
      <c r="C6731" s="15"/>
      <c r="D6731" s="15"/>
      <c r="E6731" s="15"/>
      <c r="F6731" s="20"/>
    </row>
    <row r="6732" spans="2:6" ht="17.25" customHeight="1">
      <c r="B6732" s="15"/>
      <c r="C6732" s="15"/>
      <c r="D6732" s="15"/>
      <c r="E6732" s="15"/>
      <c r="F6732" s="20"/>
    </row>
    <row r="6733" spans="2:6" ht="17.25" customHeight="1">
      <c r="B6733" s="15"/>
      <c r="C6733" s="15"/>
      <c r="D6733" s="15"/>
      <c r="E6733" s="15"/>
      <c r="F6733" s="20"/>
    </row>
    <row r="6734" spans="2:6" ht="17.25" customHeight="1">
      <c r="B6734" s="15"/>
      <c r="C6734" s="15"/>
      <c r="D6734" s="15"/>
      <c r="E6734" s="15"/>
      <c r="F6734" s="20"/>
    </row>
    <row r="6735" spans="2:6" ht="17.25" customHeight="1">
      <c r="B6735" s="15"/>
      <c r="C6735" s="15"/>
      <c r="D6735" s="15"/>
      <c r="E6735" s="15"/>
      <c r="F6735" s="20"/>
    </row>
    <row r="6736" spans="2:6" ht="17.25" customHeight="1">
      <c r="B6736" s="15"/>
      <c r="C6736" s="15"/>
      <c r="D6736" s="15"/>
      <c r="E6736" s="15"/>
      <c r="F6736" s="20"/>
    </row>
    <row r="6737" spans="2:6" ht="17.25" customHeight="1">
      <c r="B6737" s="15"/>
      <c r="C6737" s="15"/>
      <c r="D6737" s="15"/>
      <c r="E6737" s="15"/>
      <c r="F6737" s="20"/>
    </row>
    <row r="6738" spans="2:6" ht="17.25" customHeight="1">
      <c r="B6738" s="15"/>
      <c r="C6738" s="15"/>
      <c r="D6738" s="15"/>
      <c r="E6738" s="15"/>
      <c r="F6738" s="20"/>
    </row>
    <row r="6739" spans="2:6" ht="17.25" customHeight="1">
      <c r="B6739" s="15"/>
      <c r="C6739" s="15"/>
      <c r="D6739" s="15"/>
      <c r="E6739" s="15"/>
      <c r="F6739" s="20"/>
    </row>
    <row r="6740" spans="2:6" ht="17.25" customHeight="1">
      <c r="B6740" s="15"/>
      <c r="C6740" s="15"/>
      <c r="D6740" s="15"/>
      <c r="E6740" s="15"/>
      <c r="F6740" s="20"/>
    </row>
    <row r="6741" spans="2:6" ht="17.25" customHeight="1">
      <c r="B6741" s="15"/>
      <c r="C6741" s="15"/>
      <c r="D6741" s="15"/>
      <c r="E6741" s="15"/>
      <c r="F6741" s="20"/>
    </row>
    <row r="6742" spans="2:6" ht="17.25" customHeight="1">
      <c r="B6742" s="15"/>
      <c r="C6742" s="15"/>
      <c r="D6742" s="15"/>
      <c r="E6742" s="15"/>
      <c r="F6742" s="20"/>
    </row>
    <row r="6743" spans="2:6" ht="17.25" customHeight="1">
      <c r="B6743" s="15"/>
      <c r="C6743" s="15"/>
      <c r="D6743" s="15"/>
      <c r="E6743" s="15"/>
      <c r="F6743" s="20"/>
    </row>
    <row r="6744" spans="2:6" ht="17.25" customHeight="1">
      <c r="B6744" s="15"/>
      <c r="C6744" s="15"/>
      <c r="D6744" s="15"/>
      <c r="E6744" s="15"/>
      <c r="F6744" s="20"/>
    </row>
    <row r="6745" spans="2:6" ht="17.25" customHeight="1">
      <c r="B6745" s="15"/>
      <c r="C6745" s="15"/>
      <c r="D6745" s="15"/>
      <c r="E6745" s="15"/>
      <c r="F6745" s="20"/>
    </row>
    <row r="6746" spans="2:6" ht="17.25" customHeight="1">
      <c r="B6746" s="15"/>
      <c r="C6746" s="15"/>
      <c r="D6746" s="15"/>
      <c r="E6746" s="15"/>
      <c r="F6746" s="20"/>
    </row>
    <row r="6747" spans="2:6" ht="17.25" customHeight="1">
      <c r="B6747" s="15"/>
      <c r="C6747" s="15"/>
      <c r="D6747" s="15"/>
      <c r="E6747" s="15"/>
      <c r="F6747" s="20"/>
    </row>
    <row r="6748" spans="2:6" ht="17.25" customHeight="1">
      <c r="B6748" s="15"/>
      <c r="C6748" s="15"/>
      <c r="D6748" s="15"/>
      <c r="E6748" s="15"/>
      <c r="F6748" s="20"/>
    </row>
    <row r="6749" spans="2:6" ht="17.25" customHeight="1">
      <c r="B6749" s="15"/>
      <c r="C6749" s="15"/>
      <c r="D6749" s="15"/>
      <c r="E6749" s="15"/>
      <c r="F6749" s="20"/>
    </row>
    <row r="6750" spans="2:6" ht="17.25" customHeight="1">
      <c r="B6750" s="15"/>
      <c r="C6750" s="15"/>
      <c r="D6750" s="15"/>
      <c r="E6750" s="15"/>
      <c r="F6750" s="20"/>
    </row>
    <row r="6751" spans="2:6" ht="17.25" customHeight="1">
      <c r="B6751" s="15"/>
      <c r="C6751" s="15"/>
      <c r="D6751" s="15"/>
      <c r="E6751" s="15"/>
      <c r="F6751" s="20"/>
    </row>
    <row r="6752" spans="2:6" ht="17.25" customHeight="1">
      <c r="B6752" s="15"/>
      <c r="C6752" s="15"/>
      <c r="D6752" s="15"/>
      <c r="E6752" s="15"/>
      <c r="F6752" s="20"/>
    </row>
    <row r="6753" spans="2:6" ht="17.25" customHeight="1">
      <c r="B6753" s="15"/>
      <c r="C6753" s="15"/>
      <c r="D6753" s="15"/>
      <c r="E6753" s="15"/>
      <c r="F6753" s="20"/>
    </row>
    <row r="6754" spans="2:6" ht="17.25" customHeight="1">
      <c r="B6754" s="15"/>
      <c r="C6754" s="15"/>
      <c r="D6754" s="15"/>
      <c r="E6754" s="15"/>
      <c r="F6754" s="20"/>
    </row>
    <row r="6755" spans="2:6" ht="17.25" customHeight="1">
      <c r="B6755" s="15"/>
      <c r="C6755" s="15"/>
      <c r="D6755" s="15"/>
      <c r="E6755" s="15"/>
      <c r="F6755" s="20"/>
    </row>
    <row r="6756" spans="2:6" ht="17.25" customHeight="1">
      <c r="B6756" s="15"/>
      <c r="C6756" s="15"/>
      <c r="D6756" s="15"/>
      <c r="E6756" s="15"/>
      <c r="F6756" s="20"/>
    </row>
    <row r="6757" spans="2:6" ht="17.25" customHeight="1">
      <c r="B6757" s="15"/>
      <c r="C6757" s="15"/>
      <c r="D6757" s="15"/>
      <c r="E6757" s="15"/>
      <c r="F6757" s="20"/>
    </row>
    <row r="6758" spans="2:6" ht="17.25" customHeight="1">
      <c r="B6758" s="15"/>
      <c r="C6758" s="15"/>
      <c r="D6758" s="15"/>
      <c r="E6758" s="15"/>
      <c r="F6758" s="20"/>
    </row>
    <row r="6759" spans="2:6" ht="17.25" customHeight="1">
      <c r="B6759" s="15"/>
      <c r="C6759" s="15"/>
      <c r="D6759" s="15"/>
      <c r="E6759" s="15"/>
      <c r="F6759" s="20"/>
    </row>
    <row r="6760" spans="2:6" ht="17.25" customHeight="1">
      <c r="B6760" s="15"/>
      <c r="C6760" s="15"/>
      <c r="D6760" s="15"/>
      <c r="E6760" s="15"/>
      <c r="F6760" s="20"/>
    </row>
    <row r="6761" spans="2:6" ht="17.25" customHeight="1">
      <c r="B6761" s="15"/>
      <c r="C6761" s="15"/>
      <c r="D6761" s="15"/>
      <c r="E6761" s="15"/>
      <c r="F6761" s="20"/>
    </row>
    <row r="6762" spans="2:6" ht="17.25" customHeight="1">
      <c r="B6762" s="15"/>
      <c r="C6762" s="15"/>
      <c r="D6762" s="15"/>
      <c r="E6762" s="15"/>
      <c r="F6762" s="20"/>
    </row>
    <row r="6763" spans="2:6" ht="17.25" customHeight="1">
      <c r="B6763" s="15"/>
      <c r="C6763" s="15"/>
      <c r="D6763" s="15"/>
      <c r="E6763" s="15"/>
      <c r="F6763" s="20"/>
    </row>
    <row r="6764" spans="2:6" ht="17.25" customHeight="1">
      <c r="B6764" s="15"/>
      <c r="C6764" s="15"/>
      <c r="D6764" s="15"/>
      <c r="E6764" s="15"/>
      <c r="F6764" s="20"/>
    </row>
    <row r="6765" spans="2:6" ht="17.25" customHeight="1">
      <c r="B6765" s="15"/>
      <c r="C6765" s="15"/>
      <c r="D6765" s="15"/>
      <c r="E6765" s="15"/>
      <c r="F6765" s="20"/>
    </row>
    <row r="6766" spans="2:6" ht="17.25" customHeight="1">
      <c r="B6766" s="15"/>
      <c r="C6766" s="15"/>
      <c r="D6766" s="15"/>
      <c r="E6766" s="15"/>
      <c r="F6766" s="20"/>
    </row>
    <row r="6767" spans="2:6" ht="17.25" customHeight="1">
      <c r="B6767" s="15"/>
      <c r="C6767" s="15"/>
      <c r="D6767" s="15"/>
      <c r="E6767" s="15"/>
      <c r="F6767" s="20"/>
    </row>
    <row r="6768" spans="2:6" ht="17.25" customHeight="1">
      <c r="B6768" s="15"/>
      <c r="C6768" s="15"/>
      <c r="D6768" s="15"/>
      <c r="E6768" s="15"/>
      <c r="F6768" s="20"/>
    </row>
    <row r="6769" spans="2:6" ht="17.25" customHeight="1">
      <c r="B6769" s="15"/>
      <c r="C6769" s="15"/>
      <c r="D6769" s="15"/>
      <c r="E6769" s="15"/>
      <c r="F6769" s="20"/>
    </row>
    <row r="6770" spans="2:6" ht="17.25" customHeight="1">
      <c r="B6770" s="15"/>
      <c r="C6770" s="15"/>
      <c r="D6770" s="15"/>
      <c r="E6770" s="15"/>
      <c r="F6770" s="20"/>
    </row>
    <row r="6771" spans="2:6" ht="17.25" customHeight="1">
      <c r="B6771" s="15"/>
      <c r="C6771" s="15"/>
      <c r="D6771" s="15"/>
      <c r="E6771" s="15"/>
      <c r="F6771" s="20"/>
    </row>
    <row r="6772" spans="2:6" ht="17.25" customHeight="1">
      <c r="B6772" s="15"/>
      <c r="C6772" s="15"/>
      <c r="D6772" s="15"/>
      <c r="E6772" s="15"/>
      <c r="F6772" s="20"/>
    </row>
    <row r="6773" spans="2:6" ht="17.25" customHeight="1">
      <c r="B6773" s="15"/>
      <c r="C6773" s="15"/>
      <c r="D6773" s="15"/>
      <c r="E6773" s="15"/>
      <c r="F6773" s="20"/>
    </row>
    <row r="6774" spans="2:6" ht="17.25" customHeight="1">
      <c r="B6774" s="15"/>
      <c r="C6774" s="15"/>
      <c r="D6774" s="15"/>
      <c r="E6774" s="15"/>
      <c r="F6774" s="20"/>
    </row>
    <row r="6775" spans="2:6" ht="17.25" customHeight="1">
      <c r="B6775" s="15"/>
      <c r="C6775" s="15"/>
      <c r="D6775" s="15"/>
      <c r="E6775" s="15"/>
      <c r="F6775" s="20"/>
    </row>
    <row r="6776" spans="2:6" ht="17.25" customHeight="1">
      <c r="B6776" s="15"/>
      <c r="C6776" s="15"/>
      <c r="D6776" s="15"/>
      <c r="E6776" s="15"/>
      <c r="F6776" s="20"/>
    </row>
    <row r="6777" spans="2:6" ht="17.25" customHeight="1">
      <c r="B6777" s="15"/>
      <c r="C6777" s="15"/>
      <c r="D6777" s="15"/>
      <c r="E6777" s="15"/>
      <c r="F6777" s="20"/>
    </row>
    <row r="6778" spans="2:6" ht="17.25" customHeight="1">
      <c r="B6778" s="15"/>
      <c r="C6778" s="15"/>
      <c r="D6778" s="15"/>
      <c r="E6778" s="15"/>
      <c r="F6778" s="20"/>
    </row>
    <row r="6779" spans="2:6" ht="17.25" customHeight="1">
      <c r="B6779" s="15"/>
      <c r="C6779" s="15"/>
      <c r="D6779" s="15"/>
      <c r="E6779" s="15"/>
      <c r="F6779" s="20"/>
    </row>
    <row r="6780" spans="2:6" ht="17.25" customHeight="1">
      <c r="B6780" s="15"/>
      <c r="C6780" s="15"/>
      <c r="D6780" s="15"/>
      <c r="E6780" s="15"/>
      <c r="F6780" s="20"/>
    </row>
    <row r="6781" spans="2:6" ht="17.25" customHeight="1">
      <c r="B6781" s="15"/>
      <c r="C6781" s="15"/>
      <c r="D6781" s="15"/>
      <c r="E6781" s="15"/>
      <c r="F6781" s="20"/>
    </row>
    <row r="6782" spans="2:6" ht="17.25" customHeight="1">
      <c r="B6782" s="15"/>
      <c r="C6782" s="15"/>
      <c r="D6782" s="15"/>
      <c r="E6782" s="15"/>
      <c r="F6782" s="20"/>
    </row>
    <row r="6783" spans="2:6" ht="17.25" customHeight="1">
      <c r="B6783" s="15"/>
      <c r="C6783" s="15"/>
      <c r="D6783" s="15"/>
      <c r="E6783" s="15"/>
      <c r="F6783" s="20"/>
    </row>
    <row r="6784" spans="2:6" ht="17.25" customHeight="1">
      <c r="B6784" s="15"/>
      <c r="C6784" s="15"/>
      <c r="D6784" s="15"/>
      <c r="E6784" s="15"/>
      <c r="F6784" s="20"/>
    </row>
    <row r="6785" spans="2:6" ht="17.25" customHeight="1">
      <c r="B6785" s="15"/>
      <c r="C6785" s="15"/>
      <c r="D6785" s="15"/>
      <c r="E6785" s="15"/>
      <c r="F6785" s="20"/>
    </row>
    <row r="6786" spans="2:6" ht="17.25" customHeight="1">
      <c r="B6786" s="15"/>
      <c r="C6786" s="15"/>
      <c r="D6786" s="15"/>
      <c r="E6786" s="15"/>
      <c r="F6786" s="20"/>
    </row>
    <row r="6787" spans="2:6" ht="17.25" customHeight="1">
      <c r="B6787" s="15"/>
      <c r="C6787" s="15"/>
      <c r="D6787" s="15"/>
      <c r="E6787" s="15"/>
      <c r="F6787" s="20"/>
    </row>
    <row r="6788" spans="2:6" ht="17.25" customHeight="1">
      <c r="B6788" s="15"/>
      <c r="C6788" s="15"/>
      <c r="D6788" s="15"/>
      <c r="E6788" s="15"/>
      <c r="F6788" s="20"/>
    </row>
    <row r="6789" spans="2:6" ht="17.25" customHeight="1">
      <c r="B6789" s="15"/>
      <c r="C6789" s="15"/>
      <c r="D6789" s="15"/>
      <c r="E6789" s="15"/>
      <c r="F6789" s="20"/>
    </row>
    <row r="6790" spans="2:6" ht="17.25" customHeight="1">
      <c r="B6790" s="15"/>
      <c r="C6790" s="15"/>
      <c r="D6790" s="15"/>
      <c r="E6790" s="15"/>
      <c r="F6790" s="20"/>
    </row>
    <row r="6791" spans="2:6" ht="17.25" customHeight="1">
      <c r="B6791" s="15"/>
      <c r="C6791" s="15"/>
      <c r="D6791" s="15"/>
      <c r="E6791" s="15"/>
      <c r="F6791" s="20"/>
    </row>
    <row r="6792" spans="2:6" ht="17.25" customHeight="1">
      <c r="B6792" s="15"/>
      <c r="C6792" s="15"/>
      <c r="D6792" s="15"/>
      <c r="E6792" s="15"/>
      <c r="F6792" s="20"/>
    </row>
    <row r="6793" spans="2:6" ht="17.25" customHeight="1">
      <c r="B6793" s="15"/>
      <c r="C6793" s="15"/>
      <c r="D6793" s="15"/>
      <c r="E6793" s="15"/>
      <c r="F6793" s="20"/>
    </row>
    <row r="6794" spans="2:6" ht="17.25" customHeight="1">
      <c r="B6794" s="15"/>
      <c r="C6794" s="15"/>
      <c r="D6794" s="15"/>
      <c r="E6794" s="15"/>
      <c r="F6794" s="20"/>
    </row>
    <row r="6795" spans="2:6" ht="17.25" customHeight="1">
      <c r="B6795" s="15"/>
      <c r="C6795" s="15"/>
      <c r="D6795" s="15"/>
      <c r="E6795" s="15"/>
      <c r="F6795" s="20"/>
    </row>
    <row r="6796" spans="2:6" ht="17.25" customHeight="1">
      <c r="B6796" s="15"/>
      <c r="C6796" s="15"/>
      <c r="D6796" s="15"/>
      <c r="E6796" s="15"/>
      <c r="F6796" s="20"/>
    </row>
    <row r="6797" spans="2:6" ht="17.25" customHeight="1">
      <c r="B6797" s="15"/>
      <c r="C6797" s="15"/>
      <c r="D6797" s="15"/>
      <c r="E6797" s="15"/>
      <c r="F6797" s="20"/>
    </row>
    <row r="6798" spans="2:6" ht="17.25" customHeight="1">
      <c r="B6798" s="15"/>
      <c r="C6798" s="15"/>
      <c r="D6798" s="15"/>
      <c r="E6798" s="15"/>
      <c r="F6798" s="20"/>
    </row>
    <row r="6799" spans="2:6" ht="17.25" customHeight="1">
      <c r="B6799" s="15"/>
      <c r="C6799" s="15"/>
      <c r="D6799" s="15"/>
      <c r="E6799" s="15"/>
      <c r="F6799" s="20"/>
    </row>
    <row r="6800" spans="2:6" ht="17.25" customHeight="1">
      <c r="B6800" s="15"/>
      <c r="C6800" s="15"/>
      <c r="D6800" s="15"/>
      <c r="E6800" s="15"/>
      <c r="F6800" s="20"/>
    </row>
    <row r="6801" spans="2:6" ht="17.25" customHeight="1">
      <c r="B6801" s="15"/>
      <c r="C6801" s="15"/>
      <c r="D6801" s="15"/>
      <c r="E6801" s="15"/>
      <c r="F6801" s="20"/>
    </row>
    <row r="6802" spans="2:6" ht="17.25" customHeight="1">
      <c r="B6802" s="15"/>
      <c r="C6802" s="15"/>
      <c r="D6802" s="15"/>
      <c r="E6802" s="15"/>
      <c r="F6802" s="20"/>
    </row>
    <row r="6803" spans="2:6" ht="17.25" customHeight="1">
      <c r="B6803" s="15"/>
      <c r="C6803" s="15"/>
      <c r="D6803" s="15"/>
      <c r="E6803" s="15"/>
      <c r="F6803" s="20"/>
    </row>
    <row r="6804" spans="2:6" ht="17.25" customHeight="1">
      <c r="B6804" s="15"/>
      <c r="C6804" s="15"/>
      <c r="D6804" s="15"/>
      <c r="E6804" s="15"/>
      <c r="F6804" s="20"/>
    </row>
    <row r="6805" spans="2:6" ht="17.25" customHeight="1">
      <c r="B6805" s="15"/>
      <c r="C6805" s="15"/>
      <c r="D6805" s="15"/>
      <c r="E6805" s="15"/>
      <c r="F6805" s="20"/>
    </row>
    <row r="6806" spans="2:6" ht="17.25" customHeight="1">
      <c r="B6806" s="15"/>
      <c r="C6806" s="15"/>
      <c r="D6806" s="15"/>
      <c r="E6806" s="15"/>
      <c r="F6806" s="20"/>
    </row>
    <row r="6807" spans="2:6" ht="17.25" customHeight="1">
      <c r="B6807" s="15"/>
      <c r="C6807" s="15"/>
      <c r="D6807" s="15"/>
      <c r="E6807" s="15"/>
      <c r="F6807" s="20"/>
    </row>
    <row r="6808" spans="2:6" ht="17.25" customHeight="1">
      <c r="B6808" s="15"/>
      <c r="C6808" s="15"/>
      <c r="D6808" s="15"/>
      <c r="E6808" s="15"/>
      <c r="F6808" s="20"/>
    </row>
    <row r="6809" spans="2:6" ht="17.25" customHeight="1">
      <c r="B6809" s="15"/>
      <c r="C6809" s="15"/>
      <c r="D6809" s="15"/>
      <c r="E6809" s="15"/>
      <c r="F6809" s="20"/>
    </row>
    <row r="6810" spans="2:6" ht="17.25" customHeight="1">
      <c r="B6810" s="15"/>
      <c r="C6810" s="15"/>
      <c r="D6810" s="15"/>
      <c r="E6810" s="15"/>
      <c r="F6810" s="20"/>
    </row>
    <row r="6811" spans="2:6" ht="17.25" customHeight="1">
      <c r="B6811" s="15"/>
      <c r="C6811" s="15"/>
      <c r="D6811" s="15"/>
      <c r="E6811" s="15"/>
      <c r="F6811" s="20"/>
    </row>
    <row r="6812" spans="2:6" ht="17.25" customHeight="1">
      <c r="B6812" s="15"/>
      <c r="C6812" s="15"/>
      <c r="D6812" s="15"/>
      <c r="E6812" s="15"/>
      <c r="F6812" s="20"/>
    </row>
    <row r="6813" spans="2:6" ht="17.25" customHeight="1">
      <c r="B6813" s="15"/>
      <c r="C6813" s="15"/>
      <c r="D6813" s="15"/>
      <c r="E6813" s="15"/>
      <c r="F6813" s="20"/>
    </row>
    <row r="6814" spans="2:6" ht="17.25" customHeight="1">
      <c r="B6814" s="15"/>
      <c r="C6814" s="15"/>
      <c r="D6814" s="15"/>
      <c r="E6814" s="15"/>
      <c r="F6814" s="20"/>
    </row>
    <row r="6815" spans="2:6" ht="17.25" customHeight="1">
      <c r="B6815" s="15"/>
      <c r="C6815" s="15"/>
      <c r="D6815" s="15"/>
      <c r="E6815" s="15"/>
      <c r="F6815" s="20"/>
    </row>
    <row r="6816" spans="2:6" ht="17.25" customHeight="1">
      <c r="B6816" s="15"/>
      <c r="C6816" s="15"/>
      <c r="D6816" s="15"/>
      <c r="E6816" s="15"/>
      <c r="F6816" s="20"/>
    </row>
    <row r="6817" spans="2:6" ht="17.25" customHeight="1">
      <c r="B6817" s="15"/>
      <c r="C6817" s="15"/>
      <c r="D6817" s="15"/>
      <c r="E6817" s="15"/>
      <c r="F6817" s="20"/>
    </row>
    <row r="6818" spans="2:6" ht="17.25" customHeight="1">
      <c r="B6818" s="15"/>
      <c r="C6818" s="15"/>
      <c r="D6818" s="15"/>
      <c r="E6818" s="15"/>
      <c r="F6818" s="20"/>
    </row>
    <row r="6819" spans="2:6" ht="17.25" customHeight="1">
      <c r="B6819" s="15"/>
      <c r="C6819" s="15"/>
      <c r="D6819" s="15"/>
      <c r="E6819" s="15"/>
      <c r="F6819" s="20"/>
    </row>
    <row r="6820" spans="2:6" ht="17.25" customHeight="1">
      <c r="B6820" s="15"/>
      <c r="C6820" s="15"/>
      <c r="D6820" s="15"/>
      <c r="E6820" s="15"/>
      <c r="F6820" s="20"/>
    </row>
    <row r="6821" spans="2:6" ht="17.25" customHeight="1">
      <c r="B6821" s="15"/>
      <c r="C6821" s="15"/>
      <c r="D6821" s="15"/>
      <c r="E6821" s="15"/>
      <c r="F6821" s="20"/>
    </row>
    <row r="6822" spans="2:6" ht="17.25" customHeight="1">
      <c r="B6822" s="15"/>
      <c r="C6822" s="15"/>
      <c r="D6822" s="15"/>
      <c r="E6822" s="15"/>
      <c r="F6822" s="20"/>
    </row>
    <row r="6823" spans="2:6" ht="17.25" customHeight="1">
      <c r="B6823" s="15"/>
      <c r="C6823" s="15"/>
      <c r="D6823" s="15"/>
      <c r="E6823" s="15"/>
      <c r="F6823" s="20"/>
    </row>
    <row r="6824" spans="2:6" ht="17.25" customHeight="1">
      <c r="B6824" s="15"/>
      <c r="C6824" s="15"/>
      <c r="D6824" s="15"/>
      <c r="E6824" s="15"/>
      <c r="F6824" s="20"/>
    </row>
    <row r="6825" spans="2:6" ht="17.25" customHeight="1">
      <c r="B6825" s="15"/>
      <c r="C6825" s="15"/>
      <c r="D6825" s="15"/>
      <c r="E6825" s="15"/>
      <c r="F6825" s="20"/>
    </row>
    <row r="6826" spans="2:6" ht="17.25" customHeight="1">
      <c r="B6826" s="15"/>
      <c r="C6826" s="15"/>
      <c r="D6826" s="15"/>
      <c r="E6826" s="15"/>
      <c r="F6826" s="20"/>
    </row>
    <row r="6827" spans="2:6" ht="17.25" customHeight="1">
      <c r="B6827" s="15"/>
      <c r="C6827" s="15"/>
      <c r="D6827" s="15"/>
      <c r="E6827" s="15"/>
      <c r="F6827" s="20"/>
    </row>
    <row r="6828" spans="2:6" ht="17.25" customHeight="1">
      <c r="B6828" s="15"/>
      <c r="C6828" s="15"/>
      <c r="D6828" s="15"/>
      <c r="E6828" s="15"/>
      <c r="F6828" s="20"/>
    </row>
    <row r="6829" spans="2:6" ht="17.25" customHeight="1">
      <c r="B6829" s="15"/>
      <c r="C6829" s="15"/>
      <c r="D6829" s="15"/>
      <c r="E6829" s="15"/>
      <c r="F6829" s="20"/>
    </row>
    <row r="6830" spans="2:6" ht="17.25" customHeight="1">
      <c r="B6830" s="15"/>
      <c r="C6830" s="15"/>
      <c r="D6830" s="15"/>
      <c r="E6830" s="15"/>
      <c r="F6830" s="20"/>
    </row>
    <row r="6831" spans="2:6" ht="17.25" customHeight="1">
      <c r="B6831" s="15"/>
      <c r="C6831" s="15"/>
      <c r="D6831" s="15"/>
      <c r="E6831" s="15"/>
      <c r="F6831" s="20"/>
    </row>
    <row r="6832" spans="2:6" ht="17.25" customHeight="1">
      <c r="B6832" s="15"/>
      <c r="C6832" s="15"/>
      <c r="D6832" s="15"/>
      <c r="E6832" s="15"/>
      <c r="F6832" s="20"/>
    </row>
    <row r="6833" spans="2:6" ht="17.25" customHeight="1">
      <c r="B6833" s="15"/>
      <c r="C6833" s="15"/>
      <c r="D6833" s="15"/>
      <c r="E6833" s="15"/>
      <c r="F6833" s="20"/>
    </row>
    <row r="6834" spans="2:6" ht="17.25" customHeight="1">
      <c r="B6834" s="15"/>
      <c r="C6834" s="15"/>
      <c r="D6834" s="15"/>
      <c r="E6834" s="15"/>
      <c r="F6834" s="20"/>
    </row>
    <row r="6835" spans="2:6" ht="17.25" customHeight="1">
      <c r="B6835" s="15"/>
      <c r="C6835" s="15"/>
      <c r="D6835" s="15"/>
      <c r="E6835" s="15"/>
      <c r="F6835" s="20"/>
    </row>
    <row r="6836" spans="2:6" ht="17.25" customHeight="1">
      <c r="B6836" s="15"/>
      <c r="C6836" s="15"/>
      <c r="D6836" s="15"/>
      <c r="E6836" s="15"/>
      <c r="F6836" s="20"/>
    </row>
    <row r="6837" spans="2:6" ht="17.25" customHeight="1">
      <c r="B6837" s="15"/>
      <c r="C6837" s="15"/>
      <c r="D6837" s="15"/>
      <c r="E6837" s="15"/>
      <c r="F6837" s="20"/>
    </row>
    <row r="6838" spans="2:6" ht="17.25" customHeight="1">
      <c r="B6838" s="15"/>
      <c r="C6838" s="15"/>
      <c r="D6838" s="15"/>
      <c r="E6838" s="15"/>
      <c r="F6838" s="20"/>
    </row>
    <row r="6839" spans="2:6" ht="17.25" customHeight="1">
      <c r="B6839" s="15"/>
      <c r="C6839" s="15"/>
      <c r="D6839" s="15"/>
      <c r="E6839" s="15"/>
      <c r="F6839" s="20"/>
    </row>
    <row r="6840" spans="2:6" ht="17.25" customHeight="1">
      <c r="B6840" s="15"/>
      <c r="C6840" s="15"/>
      <c r="D6840" s="15"/>
      <c r="E6840" s="15"/>
      <c r="F6840" s="20"/>
    </row>
    <row r="6841" spans="2:6" ht="17.25" customHeight="1">
      <c r="B6841" s="15"/>
      <c r="C6841" s="15"/>
      <c r="D6841" s="15"/>
      <c r="E6841" s="15"/>
      <c r="F6841" s="20"/>
    </row>
    <row r="6842" spans="2:6" ht="17.25" customHeight="1">
      <c r="B6842" s="15"/>
      <c r="C6842" s="15"/>
      <c r="D6842" s="15"/>
      <c r="E6842" s="15"/>
      <c r="F6842" s="20"/>
    </row>
    <row r="6843" spans="2:6" ht="17.25" customHeight="1">
      <c r="B6843" s="15"/>
      <c r="C6843" s="15"/>
      <c r="D6843" s="15"/>
      <c r="E6843" s="15"/>
      <c r="F6843" s="20"/>
    </row>
    <row r="6844" spans="2:6" ht="17.25" customHeight="1">
      <c r="B6844" s="15"/>
      <c r="C6844" s="15"/>
      <c r="D6844" s="15"/>
      <c r="E6844" s="15"/>
      <c r="F6844" s="20"/>
    </row>
    <row r="6845" spans="2:6" ht="17.25" customHeight="1">
      <c r="B6845" s="15"/>
      <c r="C6845" s="15"/>
      <c r="D6845" s="15"/>
      <c r="E6845" s="15"/>
      <c r="F6845" s="20"/>
    </row>
    <row r="6846" spans="2:6" ht="17.25" customHeight="1">
      <c r="B6846" s="15"/>
      <c r="C6846" s="15"/>
      <c r="D6846" s="15"/>
      <c r="E6846" s="15"/>
      <c r="F6846" s="20"/>
    </row>
    <row r="6847" spans="2:6" ht="17.25" customHeight="1">
      <c r="B6847" s="15"/>
      <c r="C6847" s="15"/>
      <c r="D6847" s="15"/>
      <c r="E6847" s="15"/>
      <c r="F6847" s="20"/>
    </row>
    <row r="6848" spans="2:6" ht="17.25" customHeight="1">
      <c r="B6848" s="15"/>
      <c r="C6848" s="15"/>
      <c r="D6848" s="15"/>
      <c r="E6848" s="15"/>
      <c r="F6848" s="20"/>
    </row>
    <row r="6849" spans="2:6" ht="17.25" customHeight="1">
      <c r="B6849" s="15"/>
      <c r="C6849" s="15"/>
      <c r="D6849" s="15"/>
      <c r="E6849" s="15"/>
      <c r="F6849" s="20"/>
    </row>
    <row r="6850" spans="2:6" ht="17.25" customHeight="1">
      <c r="B6850" s="15"/>
      <c r="C6850" s="15"/>
      <c r="D6850" s="15"/>
      <c r="E6850" s="15"/>
      <c r="F6850" s="20"/>
    </row>
    <row r="6851" spans="2:6" ht="17.25" customHeight="1">
      <c r="B6851" s="15"/>
      <c r="C6851" s="15"/>
      <c r="D6851" s="15"/>
      <c r="E6851" s="15"/>
      <c r="F6851" s="20"/>
    </row>
    <row r="6852" spans="2:6" ht="17.25" customHeight="1">
      <c r="B6852" s="15"/>
      <c r="C6852" s="15"/>
      <c r="D6852" s="15"/>
      <c r="E6852" s="15"/>
      <c r="F6852" s="20"/>
    </row>
    <row r="6853" spans="2:6" ht="17.25" customHeight="1">
      <c r="B6853" s="15"/>
      <c r="C6853" s="15"/>
      <c r="D6853" s="15"/>
      <c r="E6853" s="15"/>
      <c r="F6853" s="20"/>
    </row>
    <row r="6854" spans="2:6" ht="17.25" customHeight="1">
      <c r="B6854" s="15"/>
      <c r="C6854" s="15"/>
      <c r="D6854" s="15"/>
      <c r="E6854" s="15"/>
      <c r="F6854" s="20"/>
    </row>
    <row r="6855" spans="2:6" ht="17.25" customHeight="1">
      <c r="B6855" s="15"/>
      <c r="C6855" s="15"/>
      <c r="D6855" s="15"/>
      <c r="E6855" s="15"/>
      <c r="F6855" s="20"/>
    </row>
    <row r="6856" spans="2:6" ht="17.25" customHeight="1">
      <c r="B6856" s="15"/>
      <c r="C6856" s="15"/>
      <c r="D6856" s="15"/>
      <c r="E6856" s="15"/>
      <c r="F6856" s="20"/>
    </row>
    <row r="6857" spans="2:6" ht="17.25" customHeight="1">
      <c r="B6857" s="15"/>
      <c r="C6857" s="15"/>
      <c r="D6857" s="15"/>
      <c r="E6857" s="15"/>
      <c r="F6857" s="20"/>
    </row>
    <row r="6858" spans="2:6" ht="17.25" customHeight="1">
      <c r="B6858" s="15"/>
      <c r="C6858" s="15"/>
      <c r="D6858" s="15"/>
      <c r="E6858" s="15"/>
      <c r="F6858" s="20"/>
    </row>
    <row r="6859" spans="2:6" ht="17.25" customHeight="1">
      <c r="B6859" s="15"/>
      <c r="C6859" s="15"/>
      <c r="D6859" s="15"/>
      <c r="E6859" s="15"/>
      <c r="F6859" s="20"/>
    </row>
    <row r="6860" spans="2:6" ht="17.25" customHeight="1">
      <c r="B6860" s="15"/>
      <c r="C6860" s="15"/>
      <c r="D6860" s="15"/>
      <c r="E6860" s="15"/>
      <c r="F6860" s="20"/>
    </row>
    <row r="6861" spans="2:6" ht="17.25" customHeight="1">
      <c r="B6861" s="15"/>
      <c r="C6861" s="15"/>
      <c r="D6861" s="15"/>
      <c r="E6861" s="15"/>
      <c r="F6861" s="20"/>
    </row>
    <row r="6862" spans="2:6" ht="17.25" customHeight="1">
      <c r="B6862" s="15"/>
      <c r="C6862" s="15"/>
      <c r="D6862" s="15"/>
      <c r="E6862" s="15"/>
      <c r="F6862" s="20"/>
    </row>
    <row r="6863" spans="2:6" ht="17.25" customHeight="1">
      <c r="B6863" s="15"/>
      <c r="C6863" s="15"/>
      <c r="D6863" s="15"/>
      <c r="E6863" s="15"/>
      <c r="F6863" s="20"/>
    </row>
    <row r="6864" spans="2:6" ht="17.25" customHeight="1">
      <c r="B6864" s="15"/>
      <c r="C6864" s="15"/>
      <c r="D6864" s="15"/>
      <c r="E6864" s="15"/>
      <c r="F6864" s="20"/>
    </row>
    <row r="6865" spans="2:6" ht="17.25" customHeight="1">
      <c r="B6865" s="15"/>
      <c r="C6865" s="15"/>
      <c r="D6865" s="15"/>
      <c r="E6865" s="15"/>
      <c r="F6865" s="20"/>
    </row>
    <row r="6866" spans="2:6" ht="17.25" customHeight="1">
      <c r="B6866" s="15"/>
      <c r="C6866" s="15"/>
      <c r="D6866" s="15"/>
      <c r="E6866" s="15"/>
      <c r="F6866" s="20"/>
    </row>
    <row r="6867" spans="2:6" ht="17.25" customHeight="1">
      <c r="B6867" s="15"/>
      <c r="C6867" s="15"/>
      <c r="D6867" s="15"/>
      <c r="E6867" s="15"/>
      <c r="F6867" s="20"/>
    </row>
    <row r="6868" spans="2:6" ht="17.25" customHeight="1">
      <c r="B6868" s="15"/>
      <c r="C6868" s="15"/>
      <c r="D6868" s="15"/>
      <c r="E6868" s="15"/>
      <c r="F6868" s="20"/>
    </row>
    <row r="6869" spans="2:6" ht="17.25" customHeight="1">
      <c r="B6869" s="15"/>
      <c r="C6869" s="15"/>
      <c r="D6869" s="15"/>
      <c r="E6869" s="15"/>
      <c r="F6869" s="20"/>
    </row>
    <row r="6870" spans="2:6" ht="17.25" customHeight="1">
      <c r="B6870" s="15"/>
      <c r="C6870" s="15"/>
      <c r="D6870" s="15"/>
      <c r="E6870" s="15"/>
      <c r="F6870" s="20"/>
    </row>
    <row r="6871" spans="2:6" ht="17.25" customHeight="1">
      <c r="B6871" s="15"/>
      <c r="C6871" s="15"/>
      <c r="D6871" s="15"/>
      <c r="E6871" s="15"/>
      <c r="F6871" s="20"/>
    </row>
    <row r="6872" spans="2:6" ht="17.25" customHeight="1">
      <c r="B6872" s="15"/>
      <c r="C6872" s="15"/>
      <c r="D6872" s="15"/>
      <c r="E6872" s="15"/>
      <c r="F6872" s="20"/>
    </row>
    <row r="6873" spans="2:6" ht="17.25" customHeight="1">
      <c r="B6873" s="15"/>
      <c r="C6873" s="15"/>
      <c r="D6873" s="15"/>
      <c r="E6873" s="15"/>
      <c r="F6873" s="20"/>
    </row>
    <row r="6874" spans="2:6" ht="17.25" customHeight="1">
      <c r="B6874" s="15"/>
      <c r="C6874" s="15"/>
      <c r="D6874" s="15"/>
      <c r="E6874" s="15"/>
      <c r="F6874" s="20"/>
    </row>
    <row r="6875" spans="2:6" ht="17.25" customHeight="1">
      <c r="B6875" s="15"/>
      <c r="C6875" s="15"/>
      <c r="D6875" s="15"/>
      <c r="E6875" s="15"/>
      <c r="F6875" s="20"/>
    </row>
    <row r="6876" spans="2:6" ht="17.25" customHeight="1">
      <c r="B6876" s="15"/>
      <c r="C6876" s="15"/>
      <c r="D6876" s="15"/>
      <c r="E6876" s="15"/>
      <c r="F6876" s="20"/>
    </row>
    <row r="6877" spans="2:6" ht="17.25" customHeight="1">
      <c r="B6877" s="15"/>
      <c r="C6877" s="15"/>
      <c r="D6877" s="15"/>
      <c r="E6877" s="15"/>
      <c r="F6877" s="20"/>
    </row>
    <row r="6878" spans="2:6" ht="17.25" customHeight="1">
      <c r="B6878" s="15"/>
      <c r="C6878" s="15"/>
      <c r="D6878" s="15"/>
      <c r="E6878" s="15"/>
      <c r="F6878" s="20"/>
    </row>
    <row r="6879" spans="2:6" ht="17.25" customHeight="1">
      <c r="B6879" s="15"/>
      <c r="C6879" s="15"/>
      <c r="D6879" s="15"/>
      <c r="E6879" s="15"/>
      <c r="F6879" s="20"/>
    </row>
    <row r="6880" spans="2:6" ht="17.25" customHeight="1">
      <c r="B6880" s="15"/>
      <c r="C6880" s="15"/>
      <c r="D6880" s="15"/>
      <c r="E6880" s="15"/>
      <c r="F6880" s="20"/>
    </row>
    <row r="6881" spans="2:6" ht="17.25" customHeight="1">
      <c r="B6881" s="15"/>
      <c r="C6881" s="15"/>
      <c r="D6881" s="15"/>
      <c r="E6881" s="15"/>
      <c r="F6881" s="20"/>
    </row>
    <row r="6882" spans="2:6" ht="17.25" customHeight="1">
      <c r="B6882" s="15"/>
      <c r="C6882" s="15"/>
      <c r="D6882" s="15"/>
      <c r="E6882" s="15"/>
      <c r="F6882" s="20"/>
    </row>
    <row r="6883" spans="2:6" ht="17.25" customHeight="1">
      <c r="B6883" s="15"/>
      <c r="C6883" s="15"/>
      <c r="D6883" s="15"/>
      <c r="E6883" s="15"/>
      <c r="F6883" s="20"/>
    </row>
    <row r="6884" spans="2:6" ht="17.25" customHeight="1">
      <c r="B6884" s="15"/>
      <c r="C6884" s="15"/>
      <c r="D6884" s="15"/>
      <c r="E6884" s="15"/>
      <c r="F6884" s="20"/>
    </row>
    <row r="6885" spans="2:6" ht="17.25" customHeight="1">
      <c r="B6885" s="15"/>
      <c r="C6885" s="15"/>
      <c r="D6885" s="15"/>
      <c r="E6885" s="15"/>
      <c r="F6885" s="20"/>
    </row>
    <row r="6886" spans="2:6" ht="17.25" customHeight="1">
      <c r="B6886" s="15"/>
      <c r="C6886" s="15"/>
      <c r="D6886" s="15"/>
      <c r="E6886" s="15"/>
      <c r="F6886" s="20"/>
    </row>
    <row r="6887" spans="2:6" ht="17.25" customHeight="1">
      <c r="B6887" s="15"/>
      <c r="C6887" s="15"/>
      <c r="D6887" s="15"/>
      <c r="E6887" s="15"/>
      <c r="F6887" s="20"/>
    </row>
    <row r="6888" spans="2:6" ht="17.25" customHeight="1">
      <c r="B6888" s="15"/>
      <c r="C6888" s="15"/>
      <c r="D6888" s="15"/>
      <c r="E6888" s="15"/>
      <c r="F6888" s="20"/>
    </row>
    <row r="6889" spans="2:6" ht="17.25" customHeight="1">
      <c r="B6889" s="15"/>
      <c r="C6889" s="15"/>
      <c r="D6889" s="15"/>
      <c r="E6889" s="15"/>
      <c r="F6889" s="20"/>
    </row>
    <row r="6890" spans="2:6" ht="17.25" customHeight="1">
      <c r="B6890" s="15"/>
      <c r="C6890" s="15"/>
      <c r="D6890" s="15"/>
      <c r="E6890" s="15"/>
      <c r="F6890" s="20"/>
    </row>
    <row r="6891" spans="2:6" ht="17.25" customHeight="1">
      <c r="B6891" s="15"/>
      <c r="C6891" s="15"/>
      <c r="D6891" s="15"/>
      <c r="E6891" s="15"/>
      <c r="F6891" s="20"/>
    </row>
    <row r="6892" spans="2:6" ht="17.25" customHeight="1">
      <c r="B6892" s="15"/>
      <c r="C6892" s="15"/>
      <c r="D6892" s="15"/>
      <c r="E6892" s="15"/>
      <c r="F6892" s="20"/>
    </row>
    <row r="6893" spans="2:6" ht="17.25" customHeight="1">
      <c r="B6893" s="15"/>
      <c r="C6893" s="15"/>
      <c r="D6893" s="15"/>
      <c r="E6893" s="15"/>
      <c r="F6893" s="20"/>
    </row>
    <row r="6894" spans="2:6" ht="17.25" customHeight="1">
      <c r="B6894" s="15"/>
      <c r="C6894" s="15"/>
      <c r="D6894" s="15"/>
      <c r="E6894" s="15"/>
      <c r="F6894" s="20"/>
    </row>
    <row r="6895" spans="2:6" ht="17.25" customHeight="1">
      <c r="B6895" s="15"/>
      <c r="C6895" s="15"/>
      <c r="D6895" s="15"/>
      <c r="E6895" s="15"/>
      <c r="F6895" s="20"/>
    </row>
    <row r="6896" spans="2:6" ht="17.25" customHeight="1">
      <c r="B6896" s="15"/>
      <c r="C6896" s="15"/>
      <c r="D6896" s="15"/>
      <c r="E6896" s="15"/>
      <c r="F6896" s="20"/>
    </row>
    <row r="6897" spans="2:6" ht="17.25" customHeight="1">
      <c r="B6897" s="15"/>
      <c r="C6897" s="15"/>
      <c r="D6897" s="15"/>
      <c r="E6897" s="15"/>
      <c r="F6897" s="20"/>
    </row>
    <row r="6898" spans="2:6" ht="17.25" customHeight="1">
      <c r="B6898" s="15"/>
      <c r="C6898" s="15"/>
      <c r="D6898" s="15"/>
      <c r="E6898" s="15"/>
      <c r="F6898" s="20"/>
    </row>
    <row r="6899" spans="2:6" ht="17.25" customHeight="1">
      <c r="B6899" s="15"/>
      <c r="C6899" s="15"/>
      <c r="D6899" s="15"/>
      <c r="E6899" s="15"/>
      <c r="F6899" s="20"/>
    </row>
    <row r="6900" spans="2:6" ht="17.25" customHeight="1">
      <c r="B6900" s="15"/>
      <c r="C6900" s="15"/>
      <c r="D6900" s="15"/>
      <c r="E6900" s="15"/>
      <c r="F6900" s="20"/>
    </row>
    <row r="6901" spans="2:6" ht="17.25" customHeight="1">
      <c r="B6901" s="15"/>
      <c r="C6901" s="15"/>
      <c r="D6901" s="15"/>
      <c r="E6901" s="15"/>
      <c r="F6901" s="20"/>
    </row>
    <row r="6902" spans="2:6" ht="17.25" customHeight="1">
      <c r="B6902" s="15"/>
      <c r="C6902" s="15"/>
      <c r="D6902" s="15"/>
      <c r="E6902" s="15"/>
      <c r="F6902" s="20"/>
    </row>
    <row r="6903" spans="2:6" ht="17.25" customHeight="1">
      <c r="B6903" s="15"/>
      <c r="C6903" s="15"/>
      <c r="D6903" s="15"/>
      <c r="E6903" s="15"/>
      <c r="F6903" s="20"/>
    </row>
    <row r="6904" spans="2:6" ht="17.25" customHeight="1">
      <c r="B6904" s="15"/>
      <c r="C6904" s="15"/>
      <c r="D6904" s="15"/>
      <c r="E6904" s="15"/>
      <c r="F6904" s="20"/>
    </row>
    <row r="6905" spans="2:6" ht="17.25" customHeight="1">
      <c r="B6905" s="15"/>
      <c r="C6905" s="15"/>
      <c r="D6905" s="15"/>
      <c r="E6905" s="15"/>
      <c r="F6905" s="20"/>
    </row>
    <row r="6906" spans="2:6" ht="17.25" customHeight="1">
      <c r="B6906" s="15"/>
      <c r="C6906" s="15"/>
      <c r="D6906" s="15"/>
      <c r="E6906" s="15"/>
      <c r="F6906" s="20"/>
    </row>
    <row r="6907" spans="2:6" ht="17.25" customHeight="1">
      <c r="B6907" s="15"/>
      <c r="C6907" s="15"/>
      <c r="D6907" s="15"/>
      <c r="E6907" s="15"/>
      <c r="F6907" s="20"/>
    </row>
    <row r="6908" spans="2:6" ht="17.25" customHeight="1">
      <c r="B6908" s="15"/>
      <c r="C6908" s="15"/>
      <c r="D6908" s="15"/>
      <c r="E6908" s="15"/>
      <c r="F6908" s="20"/>
    </row>
    <row r="6909" spans="2:6" ht="17.25" customHeight="1">
      <c r="B6909" s="15"/>
      <c r="C6909" s="15"/>
      <c r="D6909" s="15"/>
      <c r="E6909" s="15"/>
      <c r="F6909" s="20"/>
    </row>
    <row r="6910" spans="2:6" ht="17.25" customHeight="1">
      <c r="B6910" s="15"/>
      <c r="C6910" s="15"/>
      <c r="D6910" s="15"/>
      <c r="E6910" s="15"/>
      <c r="F6910" s="20"/>
    </row>
    <row r="6911" spans="2:6" ht="17.25" customHeight="1">
      <c r="B6911" s="15"/>
      <c r="C6911" s="15"/>
      <c r="D6911" s="15"/>
      <c r="E6911" s="15"/>
      <c r="F6911" s="20"/>
    </row>
    <row r="6912" spans="2:6" ht="17.25" customHeight="1">
      <c r="B6912" s="15"/>
      <c r="C6912" s="15"/>
      <c r="D6912" s="15"/>
      <c r="E6912" s="15"/>
      <c r="F6912" s="20"/>
    </row>
    <row r="6913" spans="2:6" ht="17.25" customHeight="1">
      <c r="B6913" s="15"/>
      <c r="C6913" s="15"/>
      <c r="D6913" s="15"/>
      <c r="E6913" s="15"/>
      <c r="F6913" s="20"/>
    </row>
    <row r="6914" spans="2:6" ht="17.25" customHeight="1">
      <c r="B6914" s="15"/>
      <c r="C6914" s="15"/>
      <c r="D6914" s="15"/>
      <c r="E6914" s="15"/>
      <c r="F6914" s="20"/>
    </row>
    <row r="6915" spans="2:6" ht="17.25" customHeight="1">
      <c r="B6915" s="15"/>
      <c r="C6915" s="15"/>
      <c r="D6915" s="15"/>
      <c r="E6915" s="15"/>
      <c r="F6915" s="20"/>
    </row>
    <row r="6916" spans="2:6" ht="17.25" customHeight="1">
      <c r="B6916" s="15"/>
      <c r="C6916" s="15"/>
      <c r="D6916" s="15"/>
      <c r="E6916" s="15"/>
      <c r="F6916" s="20"/>
    </row>
    <row r="6917" spans="2:6" ht="17.25" customHeight="1">
      <c r="B6917" s="15"/>
      <c r="C6917" s="15"/>
      <c r="D6917" s="15"/>
      <c r="E6917" s="15"/>
      <c r="F6917" s="20"/>
    </row>
    <row r="6918" spans="2:6" ht="17.25" customHeight="1">
      <c r="B6918" s="15"/>
      <c r="C6918" s="15"/>
      <c r="D6918" s="15"/>
      <c r="E6918" s="15"/>
      <c r="F6918" s="20"/>
    </row>
    <row r="6919" spans="2:6" ht="17.25" customHeight="1">
      <c r="B6919" s="15"/>
      <c r="C6919" s="15"/>
      <c r="D6919" s="15"/>
      <c r="E6919" s="15"/>
      <c r="F6919" s="20"/>
    </row>
    <row r="6920" spans="2:6" ht="17.25" customHeight="1">
      <c r="B6920" s="15"/>
      <c r="C6920" s="15"/>
      <c r="D6920" s="15"/>
      <c r="E6920" s="15"/>
      <c r="F6920" s="20"/>
    </row>
    <row r="6921" spans="2:6" ht="17.25" customHeight="1">
      <c r="B6921" s="15"/>
      <c r="C6921" s="15"/>
      <c r="D6921" s="15"/>
      <c r="E6921" s="15"/>
      <c r="F6921" s="20"/>
    </row>
    <row r="6922" spans="2:6" ht="17.25" customHeight="1">
      <c r="B6922" s="15"/>
      <c r="C6922" s="15"/>
      <c r="D6922" s="15"/>
      <c r="E6922" s="15"/>
      <c r="F6922" s="20"/>
    </row>
    <row r="6923" spans="2:6" ht="17.25" customHeight="1">
      <c r="B6923" s="15"/>
      <c r="C6923" s="15"/>
      <c r="D6923" s="15"/>
      <c r="E6923" s="15"/>
      <c r="F6923" s="20"/>
    </row>
    <row r="6924" spans="2:6" ht="17.25" customHeight="1">
      <c r="B6924" s="15"/>
      <c r="C6924" s="15"/>
      <c r="D6924" s="15"/>
      <c r="E6924" s="15"/>
      <c r="F6924" s="20"/>
    </row>
    <row r="6925" spans="2:6" ht="17.25" customHeight="1">
      <c r="B6925" s="15"/>
      <c r="C6925" s="15"/>
      <c r="D6925" s="15"/>
      <c r="E6925" s="15"/>
      <c r="F6925" s="20"/>
    </row>
    <row r="6926" spans="2:6" ht="17.25" customHeight="1">
      <c r="B6926" s="15"/>
      <c r="C6926" s="15"/>
      <c r="D6926" s="15"/>
      <c r="E6926" s="15"/>
      <c r="F6926" s="20"/>
    </row>
    <row r="6927" spans="2:6" ht="17.25" customHeight="1">
      <c r="B6927" s="15"/>
      <c r="C6927" s="15"/>
      <c r="D6927" s="15"/>
      <c r="E6927" s="15"/>
      <c r="F6927" s="20"/>
    </row>
    <row r="6928" spans="2:6" ht="17.25" customHeight="1">
      <c r="B6928" s="15"/>
      <c r="C6928" s="15"/>
      <c r="D6928" s="15"/>
      <c r="E6928" s="15"/>
      <c r="F6928" s="20"/>
    </row>
    <row r="6929" spans="2:6" ht="17.25" customHeight="1">
      <c r="B6929" s="15"/>
      <c r="C6929" s="15"/>
      <c r="D6929" s="15"/>
      <c r="E6929" s="15"/>
      <c r="F6929" s="20"/>
    </row>
    <row r="6930" spans="2:6" ht="17.25" customHeight="1">
      <c r="B6930" s="15"/>
      <c r="C6930" s="15"/>
      <c r="D6930" s="15"/>
      <c r="E6930" s="15"/>
      <c r="F6930" s="20"/>
    </row>
    <row r="6931" spans="2:6" ht="17.25" customHeight="1">
      <c r="B6931" s="15"/>
      <c r="C6931" s="15"/>
      <c r="D6931" s="15"/>
      <c r="E6931" s="15"/>
      <c r="F6931" s="20"/>
    </row>
    <row r="6932" spans="2:6" ht="17.25" customHeight="1">
      <c r="B6932" s="15"/>
      <c r="C6932" s="15"/>
      <c r="D6932" s="15"/>
      <c r="E6932" s="15"/>
      <c r="F6932" s="20"/>
    </row>
    <row r="6933" spans="2:6" ht="17.25" customHeight="1">
      <c r="B6933" s="15"/>
      <c r="C6933" s="15"/>
      <c r="D6933" s="15"/>
      <c r="E6933" s="15"/>
      <c r="F6933" s="20"/>
    </row>
    <row r="6934" spans="2:6" ht="17.25" customHeight="1">
      <c r="B6934" s="15"/>
      <c r="C6934" s="15"/>
      <c r="D6934" s="15"/>
      <c r="E6934" s="15"/>
      <c r="F6934" s="20"/>
    </row>
    <row r="6935" spans="2:6" ht="17.25" customHeight="1">
      <c r="B6935" s="15"/>
      <c r="C6935" s="15"/>
      <c r="D6935" s="15"/>
      <c r="E6935" s="15"/>
      <c r="F6935" s="20"/>
    </row>
    <row r="6936" spans="2:6" ht="17.25" customHeight="1">
      <c r="B6936" s="15"/>
      <c r="C6936" s="15"/>
      <c r="D6936" s="15"/>
      <c r="E6936" s="15"/>
      <c r="F6936" s="20"/>
    </row>
    <row r="6937" spans="2:6" ht="17.25" customHeight="1">
      <c r="B6937" s="15"/>
      <c r="C6937" s="15"/>
      <c r="D6937" s="15"/>
      <c r="E6937" s="15"/>
      <c r="F6937" s="20"/>
    </row>
    <row r="6938" spans="2:6" ht="17.25" customHeight="1">
      <c r="B6938" s="15"/>
      <c r="C6938" s="15"/>
      <c r="D6938" s="15"/>
      <c r="E6938" s="15"/>
      <c r="F6938" s="20"/>
    </row>
    <row r="6939" spans="2:6" ht="17.25" customHeight="1">
      <c r="B6939" s="15"/>
      <c r="C6939" s="15"/>
      <c r="D6939" s="15"/>
      <c r="E6939" s="15"/>
      <c r="F6939" s="20"/>
    </row>
    <row r="6940" spans="2:6" ht="17.25" customHeight="1">
      <c r="B6940" s="15"/>
      <c r="C6940" s="15"/>
      <c r="D6940" s="15"/>
      <c r="E6940" s="15"/>
      <c r="F6940" s="20"/>
    </row>
    <row r="6941" spans="2:6" ht="17.25" customHeight="1">
      <c r="B6941" s="15"/>
      <c r="C6941" s="15"/>
      <c r="D6941" s="15"/>
      <c r="E6941" s="15"/>
      <c r="F6941" s="20"/>
    </row>
    <row r="6942" spans="2:6" ht="17.25" customHeight="1">
      <c r="B6942" s="15"/>
      <c r="C6942" s="15"/>
      <c r="D6942" s="15"/>
      <c r="E6942" s="15"/>
      <c r="F6942" s="20"/>
    </row>
    <row r="6943" spans="2:6" ht="17.25" customHeight="1">
      <c r="B6943" s="15"/>
      <c r="C6943" s="15"/>
      <c r="D6943" s="15"/>
      <c r="E6943" s="15"/>
      <c r="F6943" s="20"/>
    </row>
    <row r="6944" spans="2:6" ht="17.25" customHeight="1">
      <c r="B6944" s="15"/>
      <c r="C6944" s="15"/>
      <c r="D6944" s="15"/>
      <c r="E6944" s="15"/>
      <c r="F6944" s="20"/>
    </row>
    <row r="6945" spans="2:6" ht="17.25" customHeight="1">
      <c r="B6945" s="15"/>
      <c r="C6945" s="15"/>
      <c r="D6945" s="15"/>
      <c r="E6945" s="15"/>
      <c r="F6945" s="20"/>
    </row>
    <row r="6946" spans="2:6" ht="17.25" customHeight="1">
      <c r="B6946" s="15"/>
      <c r="C6946" s="15"/>
      <c r="D6946" s="15"/>
      <c r="E6946" s="15"/>
      <c r="F6946" s="20"/>
    </row>
    <row r="6947" spans="2:6" ht="17.25" customHeight="1">
      <c r="B6947" s="15"/>
      <c r="C6947" s="15"/>
      <c r="D6947" s="15"/>
      <c r="E6947" s="15"/>
      <c r="F6947" s="20"/>
    </row>
    <row r="6948" spans="2:6" ht="17.25" customHeight="1">
      <c r="B6948" s="15"/>
      <c r="C6948" s="15"/>
      <c r="D6948" s="15"/>
      <c r="E6948" s="15"/>
      <c r="F6948" s="20"/>
    </row>
    <row r="6949" spans="2:6" ht="17.25" customHeight="1">
      <c r="B6949" s="15"/>
      <c r="C6949" s="15"/>
      <c r="D6949" s="15"/>
      <c r="E6949" s="15"/>
      <c r="F6949" s="20"/>
    </row>
    <row r="6950" spans="2:6" ht="17.25" customHeight="1">
      <c r="B6950" s="15"/>
      <c r="C6950" s="15"/>
      <c r="D6950" s="15"/>
      <c r="E6950" s="15"/>
      <c r="F6950" s="20"/>
    </row>
    <row r="6951" spans="2:6" ht="17.25" customHeight="1">
      <c r="B6951" s="15"/>
      <c r="C6951" s="15"/>
      <c r="D6951" s="15"/>
      <c r="E6951" s="15"/>
      <c r="F6951" s="20"/>
    </row>
    <row r="6952" spans="2:6" ht="17.25" customHeight="1">
      <c r="B6952" s="15"/>
      <c r="C6952" s="15"/>
      <c r="D6952" s="15"/>
      <c r="E6952" s="15"/>
      <c r="F6952" s="20"/>
    </row>
    <row r="6953" spans="2:6" ht="17.25" customHeight="1">
      <c r="B6953" s="15"/>
      <c r="C6953" s="15"/>
      <c r="D6953" s="15"/>
      <c r="E6953" s="15"/>
      <c r="F6953" s="20"/>
    </row>
    <row r="6954" spans="2:6" ht="17.25" customHeight="1">
      <c r="B6954" s="15"/>
      <c r="C6954" s="15"/>
      <c r="D6954" s="15"/>
      <c r="E6954" s="15"/>
      <c r="F6954" s="20"/>
    </row>
    <row r="6955" spans="2:6" ht="17.25" customHeight="1">
      <c r="B6955" s="15"/>
      <c r="C6955" s="15"/>
      <c r="D6955" s="15"/>
      <c r="E6955" s="15"/>
      <c r="F6955" s="20"/>
    </row>
    <row r="6956" spans="2:6" ht="17.25" customHeight="1">
      <c r="B6956" s="15"/>
      <c r="C6956" s="15"/>
      <c r="D6956" s="15"/>
      <c r="E6956" s="15"/>
      <c r="F6956" s="20"/>
    </row>
    <row r="6957" spans="2:6" ht="17.25" customHeight="1">
      <c r="B6957" s="15"/>
      <c r="C6957" s="15"/>
      <c r="D6957" s="15"/>
      <c r="E6957" s="15"/>
      <c r="F6957" s="20"/>
    </row>
    <row r="6958" spans="2:6" ht="17.25" customHeight="1">
      <c r="B6958" s="15"/>
      <c r="C6958" s="15"/>
      <c r="D6958" s="15"/>
      <c r="E6958" s="15"/>
      <c r="F6958" s="20"/>
    </row>
    <row r="6959" spans="2:6" ht="17.25" customHeight="1">
      <c r="B6959" s="15"/>
      <c r="C6959" s="15"/>
      <c r="D6959" s="15"/>
      <c r="E6959" s="15"/>
      <c r="F6959" s="20"/>
    </row>
    <row r="6960" spans="2:6" ht="17.25" customHeight="1">
      <c r="B6960" s="15"/>
      <c r="C6960" s="15"/>
      <c r="D6960" s="15"/>
      <c r="E6960" s="15"/>
      <c r="F6960" s="20"/>
    </row>
    <row r="6961" spans="2:6" ht="17.25" customHeight="1">
      <c r="B6961" s="15"/>
      <c r="C6961" s="15"/>
      <c r="D6961" s="15"/>
      <c r="E6961" s="15"/>
      <c r="F6961" s="20"/>
    </row>
    <row r="6962" spans="2:6" ht="17.25" customHeight="1">
      <c r="B6962" s="15"/>
      <c r="C6962" s="15"/>
      <c r="D6962" s="15"/>
      <c r="E6962" s="15"/>
      <c r="F6962" s="20"/>
    </row>
    <row r="6963" spans="2:6" ht="17.25" customHeight="1">
      <c r="B6963" s="15"/>
      <c r="C6963" s="15"/>
      <c r="D6963" s="15"/>
      <c r="E6963" s="15"/>
      <c r="F6963" s="20"/>
    </row>
    <row r="6964" spans="2:6" ht="17.25" customHeight="1">
      <c r="B6964" s="15"/>
      <c r="C6964" s="15"/>
      <c r="D6964" s="15"/>
      <c r="E6964" s="15"/>
      <c r="F6964" s="20"/>
    </row>
    <row r="6965" spans="2:6" ht="17.25" customHeight="1">
      <c r="B6965" s="15"/>
      <c r="C6965" s="15"/>
      <c r="D6965" s="15"/>
      <c r="E6965" s="15"/>
      <c r="F6965" s="20"/>
    </row>
    <row r="6966" spans="2:6" ht="17.25" customHeight="1">
      <c r="B6966" s="15"/>
      <c r="C6966" s="15"/>
      <c r="D6966" s="15"/>
      <c r="E6966" s="15"/>
      <c r="F6966" s="20"/>
    </row>
    <row r="6967" spans="2:6" ht="17.25" customHeight="1">
      <c r="B6967" s="15"/>
      <c r="C6967" s="15"/>
      <c r="D6967" s="15"/>
      <c r="E6967" s="15"/>
      <c r="F6967" s="20"/>
    </row>
    <row r="6968" spans="2:6" ht="17.25" customHeight="1">
      <c r="B6968" s="15"/>
      <c r="C6968" s="15"/>
      <c r="D6968" s="15"/>
      <c r="E6968" s="15"/>
      <c r="F6968" s="20"/>
    </row>
    <row r="6969" spans="2:6" ht="17.25" customHeight="1">
      <c r="B6969" s="15"/>
      <c r="C6969" s="15"/>
      <c r="D6969" s="15"/>
      <c r="E6969" s="15"/>
      <c r="F6969" s="20"/>
    </row>
    <row r="6970" spans="2:6" ht="17.25" customHeight="1">
      <c r="B6970" s="15"/>
      <c r="C6970" s="15"/>
      <c r="D6970" s="15"/>
      <c r="E6970" s="15"/>
      <c r="F6970" s="20"/>
    </row>
    <row r="6971" spans="2:6" ht="17.25" customHeight="1">
      <c r="B6971" s="15"/>
      <c r="C6971" s="15"/>
      <c r="D6971" s="15"/>
      <c r="E6971" s="15"/>
      <c r="F6971" s="20"/>
    </row>
    <row r="6972" spans="2:6" ht="17.25" customHeight="1">
      <c r="B6972" s="15"/>
      <c r="C6972" s="15"/>
      <c r="D6972" s="15"/>
      <c r="E6972" s="15"/>
      <c r="F6972" s="20"/>
    </row>
    <row r="6973" spans="2:6" ht="17.25" customHeight="1">
      <c r="B6973" s="15"/>
      <c r="C6973" s="15"/>
      <c r="D6973" s="15"/>
      <c r="E6973" s="15"/>
      <c r="F6973" s="20"/>
    </row>
    <row r="6974" spans="2:6" ht="17.25" customHeight="1">
      <c r="B6974" s="15"/>
      <c r="C6974" s="15"/>
      <c r="D6974" s="15"/>
      <c r="E6974" s="15"/>
      <c r="F6974" s="20"/>
    </row>
    <row r="6975" spans="2:6" ht="17.25" customHeight="1">
      <c r="B6975" s="15"/>
      <c r="C6975" s="15"/>
      <c r="D6975" s="15"/>
      <c r="E6975" s="15"/>
      <c r="F6975" s="20"/>
    </row>
    <row r="6976" spans="2:6" ht="17.25" customHeight="1">
      <c r="B6976" s="15"/>
      <c r="C6976" s="15"/>
      <c r="D6976" s="15"/>
      <c r="E6976" s="15"/>
      <c r="F6976" s="20"/>
    </row>
    <row r="6977" spans="2:6" ht="17.25" customHeight="1">
      <c r="B6977" s="15"/>
      <c r="C6977" s="15"/>
      <c r="D6977" s="15"/>
      <c r="E6977" s="15"/>
      <c r="F6977" s="20"/>
    </row>
    <row r="6978" spans="2:6" ht="17.25" customHeight="1">
      <c r="B6978" s="15"/>
      <c r="C6978" s="15"/>
      <c r="D6978" s="15"/>
      <c r="E6978" s="15"/>
      <c r="F6978" s="20"/>
    </row>
    <row r="6979" spans="2:6" ht="17.25" customHeight="1">
      <c r="B6979" s="15"/>
      <c r="C6979" s="15"/>
      <c r="D6979" s="15"/>
      <c r="E6979" s="15"/>
      <c r="F6979" s="20"/>
    </row>
    <row r="6980" spans="2:6" ht="17.25" customHeight="1">
      <c r="B6980" s="15"/>
      <c r="C6980" s="15"/>
      <c r="D6980" s="15"/>
      <c r="E6980" s="15"/>
      <c r="F6980" s="20"/>
    </row>
    <row r="6981" spans="2:6" ht="17.25" customHeight="1">
      <c r="B6981" s="15"/>
      <c r="C6981" s="15"/>
      <c r="D6981" s="15"/>
      <c r="E6981" s="15"/>
      <c r="F6981" s="20"/>
    </row>
    <row r="6982" spans="2:6" ht="17.25" customHeight="1">
      <c r="B6982" s="15"/>
      <c r="C6982" s="15"/>
      <c r="D6982" s="15"/>
      <c r="E6982" s="15"/>
      <c r="F6982" s="20"/>
    </row>
    <row r="6983" spans="2:6" ht="17.25" customHeight="1">
      <c r="B6983" s="15"/>
      <c r="C6983" s="15"/>
      <c r="D6983" s="15"/>
      <c r="E6983" s="15"/>
      <c r="F6983" s="20"/>
    </row>
    <row r="6984" spans="2:6" ht="17.25" customHeight="1">
      <c r="B6984" s="15"/>
      <c r="C6984" s="15"/>
      <c r="D6984" s="15"/>
      <c r="E6984" s="15"/>
      <c r="F6984" s="20"/>
    </row>
    <row r="6985" spans="2:6" ht="17.25" customHeight="1">
      <c r="B6985" s="15"/>
      <c r="C6985" s="15"/>
      <c r="D6985" s="15"/>
      <c r="E6985" s="15"/>
      <c r="F6985" s="20"/>
    </row>
    <row r="6986" spans="2:6" ht="17.25" customHeight="1">
      <c r="B6986" s="15"/>
      <c r="C6986" s="15"/>
      <c r="D6986" s="15"/>
      <c r="E6986" s="15"/>
      <c r="F6986" s="20"/>
    </row>
    <row r="6987" spans="2:6" ht="17.25" customHeight="1">
      <c r="B6987" s="15"/>
      <c r="C6987" s="15"/>
      <c r="D6987" s="15"/>
      <c r="E6987" s="15"/>
      <c r="F6987" s="20"/>
    </row>
    <row r="6988" spans="2:6" ht="17.25" customHeight="1">
      <c r="B6988" s="15"/>
      <c r="C6988" s="15"/>
      <c r="D6988" s="15"/>
      <c r="E6988" s="15"/>
      <c r="F6988" s="20"/>
    </row>
    <row r="6989" spans="2:6" ht="17.25" customHeight="1">
      <c r="B6989" s="15"/>
      <c r="C6989" s="15"/>
      <c r="D6989" s="15"/>
      <c r="E6989" s="15"/>
      <c r="F6989" s="20"/>
    </row>
    <row r="6990" spans="2:6" ht="17.25" customHeight="1">
      <c r="B6990" s="15"/>
      <c r="C6990" s="15"/>
      <c r="D6990" s="15"/>
      <c r="E6990" s="15"/>
      <c r="F6990" s="20"/>
    </row>
    <row r="6991" spans="2:6" ht="17.25" customHeight="1">
      <c r="B6991" s="15"/>
      <c r="C6991" s="15"/>
      <c r="D6991" s="15"/>
      <c r="E6991" s="15"/>
      <c r="F6991" s="20"/>
    </row>
    <row r="6992" spans="2:6" ht="17.25" customHeight="1">
      <c r="B6992" s="15"/>
      <c r="C6992" s="15"/>
      <c r="D6992" s="15"/>
      <c r="E6992" s="15"/>
      <c r="F6992" s="20"/>
    </row>
    <row r="6993" spans="2:6" ht="17.25" customHeight="1">
      <c r="B6993" s="15"/>
      <c r="C6993" s="15"/>
      <c r="D6993" s="15"/>
      <c r="E6993" s="15"/>
      <c r="F6993" s="20"/>
    </row>
    <row r="6994" spans="2:6" ht="17.25" customHeight="1">
      <c r="B6994" s="15"/>
      <c r="C6994" s="15"/>
      <c r="D6994" s="15"/>
      <c r="E6994" s="15"/>
      <c r="F6994" s="20"/>
    </row>
    <row r="6995" spans="2:6" ht="17.25" customHeight="1">
      <c r="B6995" s="15"/>
      <c r="C6995" s="15"/>
      <c r="D6995" s="15"/>
      <c r="E6995" s="15"/>
      <c r="F6995" s="20"/>
    </row>
    <row r="6996" spans="2:6" ht="17.25" customHeight="1">
      <c r="B6996" s="15"/>
      <c r="C6996" s="15"/>
      <c r="D6996" s="15"/>
      <c r="E6996" s="15"/>
      <c r="F6996" s="20"/>
    </row>
    <row r="6997" spans="2:6" ht="17.25" customHeight="1">
      <c r="B6997" s="15"/>
      <c r="C6997" s="15"/>
      <c r="D6997" s="15"/>
      <c r="E6997" s="15"/>
      <c r="F6997" s="20"/>
    </row>
    <row r="6998" spans="2:6" ht="17.25" customHeight="1">
      <c r="B6998" s="15"/>
      <c r="C6998" s="15"/>
      <c r="D6998" s="15"/>
      <c r="E6998" s="15"/>
      <c r="F6998" s="20"/>
    </row>
    <row r="6999" spans="2:6" ht="17.25" customHeight="1">
      <c r="B6999" s="15"/>
      <c r="C6999" s="15"/>
      <c r="D6999" s="15"/>
      <c r="E6999" s="15"/>
      <c r="F6999" s="20"/>
    </row>
    <row r="7000" spans="2:6" ht="17.25" customHeight="1">
      <c r="B7000" s="15"/>
      <c r="C7000" s="15"/>
      <c r="D7000" s="15"/>
      <c r="E7000" s="15"/>
      <c r="F7000" s="20"/>
    </row>
    <row r="7001" spans="2:6" ht="17.25" customHeight="1">
      <c r="B7001" s="15"/>
      <c r="C7001" s="15"/>
      <c r="D7001" s="15"/>
      <c r="E7001" s="15"/>
      <c r="F7001" s="20"/>
    </row>
    <row r="7002" spans="2:6" ht="17.25" customHeight="1">
      <c r="B7002" s="15"/>
      <c r="C7002" s="15"/>
      <c r="D7002" s="15"/>
      <c r="E7002" s="15"/>
      <c r="F7002" s="20"/>
    </row>
    <row r="7003" spans="2:6" ht="17.25" customHeight="1">
      <c r="B7003" s="15"/>
      <c r="C7003" s="15"/>
      <c r="D7003" s="15"/>
      <c r="E7003" s="15"/>
      <c r="F7003" s="20"/>
    </row>
    <row r="7004" spans="2:6" ht="17.25" customHeight="1">
      <c r="B7004" s="15"/>
      <c r="C7004" s="15"/>
      <c r="D7004" s="15"/>
      <c r="E7004" s="15"/>
      <c r="F7004" s="20"/>
    </row>
    <row r="7005" spans="2:6" ht="17.25" customHeight="1">
      <c r="B7005" s="15"/>
      <c r="C7005" s="15"/>
      <c r="D7005" s="15"/>
      <c r="E7005" s="15"/>
      <c r="F7005" s="20"/>
    </row>
    <row r="7006" spans="2:6" ht="17.25" customHeight="1">
      <c r="B7006" s="15"/>
      <c r="C7006" s="15"/>
      <c r="D7006" s="15"/>
      <c r="E7006" s="15"/>
      <c r="F7006" s="20"/>
    </row>
    <row r="7007" spans="2:6" ht="17.25" customHeight="1">
      <c r="B7007" s="15"/>
      <c r="C7007" s="15"/>
      <c r="D7007" s="15"/>
      <c r="E7007" s="15"/>
      <c r="F7007" s="20"/>
    </row>
    <row r="7008" spans="2:6" ht="17.25" customHeight="1">
      <c r="B7008" s="15"/>
      <c r="C7008" s="15"/>
      <c r="D7008" s="15"/>
      <c r="E7008" s="15"/>
      <c r="F7008" s="20"/>
    </row>
    <row r="7009" spans="2:6" ht="17.25" customHeight="1">
      <c r="B7009" s="15"/>
      <c r="C7009" s="15"/>
      <c r="D7009" s="15"/>
      <c r="E7009" s="15"/>
      <c r="F7009" s="20"/>
    </row>
    <row r="7010" spans="2:6" ht="17.25" customHeight="1">
      <c r="B7010" s="15"/>
      <c r="C7010" s="15"/>
      <c r="D7010" s="15"/>
      <c r="E7010" s="15"/>
      <c r="F7010" s="20"/>
    </row>
    <row r="7011" spans="2:6" ht="17.25" customHeight="1">
      <c r="B7011" s="15"/>
      <c r="C7011" s="15"/>
      <c r="D7011" s="15"/>
      <c r="E7011" s="15"/>
      <c r="F7011" s="20"/>
    </row>
    <row r="7012" spans="2:6" ht="17.25" customHeight="1">
      <c r="B7012" s="15"/>
      <c r="C7012" s="15"/>
      <c r="D7012" s="15"/>
      <c r="E7012" s="15"/>
      <c r="F7012" s="20"/>
    </row>
    <row r="7013" spans="2:6" ht="17.25" customHeight="1">
      <c r="B7013" s="15"/>
      <c r="C7013" s="15"/>
      <c r="D7013" s="15"/>
      <c r="E7013" s="15"/>
      <c r="F7013" s="20"/>
    </row>
    <row r="7014" spans="2:6" ht="17.25" customHeight="1">
      <c r="B7014" s="15"/>
      <c r="C7014" s="15"/>
      <c r="D7014" s="15"/>
      <c r="E7014" s="15"/>
      <c r="F7014" s="20"/>
    </row>
    <row r="7015" spans="2:6" ht="17.25" customHeight="1">
      <c r="B7015" s="15"/>
      <c r="C7015" s="15"/>
      <c r="D7015" s="15"/>
      <c r="E7015" s="15"/>
      <c r="F7015" s="20"/>
    </row>
    <row r="7016" spans="2:6" ht="17.25" customHeight="1">
      <c r="B7016" s="15"/>
      <c r="C7016" s="15"/>
      <c r="D7016" s="15"/>
      <c r="E7016" s="15"/>
      <c r="F7016" s="20"/>
    </row>
    <row r="7017" spans="2:6" ht="17.25" customHeight="1">
      <c r="B7017" s="15"/>
      <c r="C7017" s="15"/>
      <c r="D7017" s="15"/>
      <c r="E7017" s="15"/>
      <c r="F7017" s="20"/>
    </row>
    <row r="7018" spans="2:6" ht="17.25" customHeight="1">
      <c r="B7018" s="15"/>
      <c r="C7018" s="15"/>
      <c r="D7018" s="15"/>
      <c r="E7018" s="15"/>
      <c r="F7018" s="20"/>
    </row>
    <row r="7019" spans="2:6" ht="17.25" customHeight="1">
      <c r="B7019" s="15"/>
      <c r="C7019" s="15"/>
      <c r="D7019" s="15"/>
      <c r="E7019" s="15"/>
      <c r="F7019" s="20"/>
    </row>
    <row r="7020" spans="2:6" ht="17.25" customHeight="1">
      <c r="B7020" s="15"/>
      <c r="C7020" s="15"/>
      <c r="D7020" s="15"/>
      <c r="E7020" s="15"/>
      <c r="F7020" s="20"/>
    </row>
    <row r="7021" spans="2:6" ht="17.25" customHeight="1">
      <c r="B7021" s="15"/>
      <c r="C7021" s="15"/>
      <c r="D7021" s="15"/>
      <c r="E7021" s="15"/>
      <c r="F7021" s="20"/>
    </row>
    <row r="7022" spans="2:6" ht="17.25" customHeight="1">
      <c r="B7022" s="15"/>
      <c r="C7022" s="15"/>
      <c r="D7022" s="15"/>
      <c r="E7022" s="15"/>
      <c r="F7022" s="20"/>
    </row>
    <row r="7023" spans="2:6" ht="17.25" customHeight="1">
      <c r="B7023" s="15"/>
      <c r="C7023" s="15"/>
      <c r="D7023" s="15"/>
      <c r="E7023" s="15"/>
      <c r="F7023" s="20"/>
    </row>
    <row r="7024" spans="2:6" ht="17.25" customHeight="1">
      <c r="B7024" s="15"/>
      <c r="C7024" s="15"/>
      <c r="D7024" s="15"/>
      <c r="E7024" s="15"/>
      <c r="F7024" s="20"/>
    </row>
    <row r="7025" spans="2:6" ht="17.25" customHeight="1">
      <c r="B7025" s="15"/>
      <c r="C7025" s="15"/>
      <c r="D7025" s="15"/>
      <c r="E7025" s="15"/>
      <c r="F7025" s="20"/>
    </row>
    <row r="7026" spans="2:6" ht="17.25" customHeight="1">
      <c r="B7026" s="15"/>
      <c r="C7026" s="15"/>
      <c r="D7026" s="15"/>
      <c r="E7026" s="15"/>
      <c r="F7026" s="20"/>
    </row>
    <row r="7027" spans="2:6" ht="17.25" customHeight="1">
      <c r="B7027" s="15"/>
      <c r="C7027" s="15"/>
      <c r="D7027" s="15"/>
      <c r="E7027" s="15"/>
      <c r="F7027" s="20"/>
    </row>
    <row r="7028" spans="2:6" ht="17.25" customHeight="1">
      <c r="B7028" s="15"/>
      <c r="C7028" s="15"/>
      <c r="D7028" s="15"/>
      <c r="E7028" s="15"/>
      <c r="F7028" s="20"/>
    </row>
    <row r="7029" spans="2:6" ht="17.25" customHeight="1">
      <c r="B7029" s="15"/>
      <c r="C7029" s="15"/>
      <c r="D7029" s="15"/>
      <c r="E7029" s="15"/>
      <c r="F7029" s="20"/>
    </row>
    <row r="7030" spans="2:6" ht="17.25" customHeight="1">
      <c r="B7030" s="15"/>
      <c r="C7030" s="15"/>
      <c r="D7030" s="15"/>
      <c r="E7030" s="15"/>
      <c r="F7030" s="20"/>
    </row>
    <row r="7031" spans="2:6" ht="17.25" customHeight="1">
      <c r="B7031" s="15"/>
      <c r="C7031" s="15"/>
      <c r="D7031" s="15"/>
      <c r="E7031" s="15"/>
      <c r="F7031" s="20"/>
    </row>
    <row r="7032" spans="2:6" ht="17.25" customHeight="1">
      <c r="B7032" s="15"/>
      <c r="C7032" s="15"/>
      <c r="D7032" s="15"/>
      <c r="E7032" s="15"/>
      <c r="F7032" s="20"/>
    </row>
    <row r="7033" spans="2:6" ht="17.25" customHeight="1">
      <c r="B7033" s="15"/>
      <c r="C7033" s="15"/>
      <c r="D7033" s="15"/>
      <c r="E7033" s="15"/>
      <c r="F7033" s="20"/>
    </row>
    <row r="7034" spans="2:6" ht="17.25" customHeight="1">
      <c r="B7034" s="15"/>
      <c r="C7034" s="15"/>
      <c r="D7034" s="15"/>
      <c r="E7034" s="15"/>
      <c r="F7034" s="20"/>
    </row>
    <row r="7035" spans="2:6" ht="17.25" customHeight="1">
      <c r="B7035" s="15"/>
      <c r="C7035" s="15"/>
      <c r="D7035" s="15"/>
      <c r="E7035" s="15"/>
      <c r="F7035" s="20"/>
    </row>
    <row r="7036" spans="2:6" ht="17.25" customHeight="1">
      <c r="B7036" s="15"/>
      <c r="C7036" s="15"/>
      <c r="D7036" s="15"/>
      <c r="E7036" s="15"/>
      <c r="F7036" s="20"/>
    </row>
    <row r="7037" spans="2:6" ht="17.25" customHeight="1">
      <c r="B7037" s="15"/>
      <c r="C7037" s="15"/>
      <c r="D7037" s="15"/>
      <c r="E7037" s="15"/>
      <c r="F7037" s="20"/>
    </row>
    <row r="7038" spans="2:6" ht="17.25" customHeight="1">
      <c r="B7038" s="15"/>
      <c r="C7038" s="15"/>
      <c r="D7038" s="15"/>
      <c r="E7038" s="15"/>
      <c r="F7038" s="20"/>
    </row>
    <row r="7039" spans="2:6" ht="17.25" customHeight="1">
      <c r="B7039" s="15"/>
      <c r="C7039" s="15"/>
      <c r="D7039" s="15"/>
      <c r="E7039" s="15"/>
      <c r="F7039" s="20"/>
    </row>
    <row r="7040" spans="2:6" ht="17.25" customHeight="1">
      <c r="B7040" s="15"/>
      <c r="C7040" s="15"/>
      <c r="D7040" s="15"/>
      <c r="E7040" s="15"/>
      <c r="F7040" s="20"/>
    </row>
    <row r="7041" spans="2:6" ht="17.25" customHeight="1">
      <c r="B7041" s="15"/>
      <c r="C7041" s="15"/>
      <c r="D7041" s="15"/>
      <c r="E7041" s="15"/>
      <c r="F7041" s="20"/>
    </row>
    <row r="7042" spans="2:6" ht="17.25" customHeight="1">
      <c r="B7042" s="15"/>
      <c r="C7042" s="15"/>
      <c r="D7042" s="15"/>
      <c r="E7042" s="15"/>
      <c r="F7042" s="20"/>
    </row>
    <row r="7043" spans="2:6" ht="17.25" customHeight="1">
      <c r="B7043" s="15"/>
      <c r="C7043" s="15"/>
      <c r="D7043" s="15"/>
      <c r="E7043" s="15"/>
      <c r="F7043" s="20"/>
    </row>
    <row r="7044" spans="2:6" ht="17.25" customHeight="1">
      <c r="B7044" s="15"/>
      <c r="C7044" s="15"/>
      <c r="D7044" s="15"/>
      <c r="E7044" s="15"/>
      <c r="F7044" s="20"/>
    </row>
    <row r="7045" spans="2:6" ht="17.25" customHeight="1">
      <c r="B7045" s="15"/>
      <c r="C7045" s="15"/>
      <c r="D7045" s="15"/>
      <c r="E7045" s="15"/>
      <c r="F7045" s="20"/>
    </row>
    <row r="7046" spans="2:6" ht="17.25" customHeight="1">
      <c r="B7046" s="15"/>
      <c r="C7046" s="15"/>
      <c r="D7046" s="15"/>
      <c r="E7046" s="15"/>
      <c r="F7046" s="20"/>
    </row>
    <row r="7047" spans="2:6" ht="17.25" customHeight="1">
      <c r="B7047" s="15"/>
      <c r="C7047" s="15"/>
      <c r="D7047" s="15"/>
      <c r="E7047" s="15"/>
      <c r="F7047" s="20"/>
    </row>
    <row r="7048" spans="2:6" ht="17.25" customHeight="1">
      <c r="B7048" s="15"/>
      <c r="C7048" s="15"/>
      <c r="D7048" s="15"/>
      <c r="E7048" s="15"/>
      <c r="F7048" s="20"/>
    </row>
    <row r="7049" spans="2:6" ht="17.25" customHeight="1">
      <c r="B7049" s="15"/>
      <c r="C7049" s="15"/>
      <c r="D7049" s="15"/>
      <c r="E7049" s="15"/>
      <c r="F7049" s="20"/>
    </row>
    <row r="7050" spans="2:6" ht="17.25" customHeight="1">
      <c r="B7050" s="15"/>
      <c r="C7050" s="15"/>
      <c r="D7050" s="15"/>
      <c r="E7050" s="15"/>
      <c r="F7050" s="20"/>
    </row>
    <row r="7051" spans="2:6" ht="17.25" customHeight="1">
      <c r="B7051" s="15"/>
      <c r="C7051" s="15"/>
      <c r="D7051" s="15"/>
      <c r="E7051" s="15"/>
      <c r="F7051" s="20"/>
    </row>
    <row r="7052" spans="2:6" ht="17.25" customHeight="1">
      <c r="B7052" s="15"/>
      <c r="C7052" s="15"/>
      <c r="D7052" s="15"/>
      <c r="E7052" s="15"/>
      <c r="F7052" s="20"/>
    </row>
    <row r="7053" spans="2:6" ht="17.25" customHeight="1">
      <c r="B7053" s="15"/>
      <c r="C7053" s="15"/>
      <c r="D7053" s="15"/>
      <c r="E7053" s="15"/>
      <c r="F7053" s="20"/>
    </row>
    <row r="7054" spans="2:6" ht="17.25" customHeight="1">
      <c r="B7054" s="15"/>
      <c r="C7054" s="15"/>
      <c r="D7054" s="15"/>
      <c r="E7054" s="15"/>
      <c r="F7054" s="20"/>
    </row>
    <row r="7055" spans="2:6" ht="17.25" customHeight="1">
      <c r="B7055" s="15"/>
      <c r="C7055" s="15"/>
      <c r="D7055" s="15"/>
      <c r="E7055" s="15"/>
      <c r="F7055" s="20"/>
    </row>
    <row r="7056" spans="2:6" ht="17.25" customHeight="1">
      <c r="B7056" s="15"/>
      <c r="C7056" s="15"/>
      <c r="D7056" s="15"/>
      <c r="E7056" s="15"/>
      <c r="F7056" s="20"/>
    </row>
    <row r="7057" spans="2:6" ht="17.25" customHeight="1">
      <c r="B7057" s="15"/>
      <c r="C7057" s="15"/>
      <c r="D7057" s="15"/>
      <c r="E7057" s="15"/>
      <c r="F7057" s="20"/>
    </row>
    <row r="7058" spans="2:6" ht="17.25" customHeight="1">
      <c r="B7058" s="15"/>
      <c r="C7058" s="15"/>
      <c r="D7058" s="15"/>
      <c r="E7058" s="15"/>
      <c r="F7058" s="20"/>
    </row>
    <row r="7059" spans="2:6" ht="17.25" customHeight="1">
      <c r="B7059" s="15"/>
      <c r="C7059" s="15"/>
      <c r="D7059" s="15"/>
      <c r="E7059" s="15"/>
      <c r="F7059" s="20"/>
    </row>
    <row r="7060" spans="2:6" ht="17.25" customHeight="1">
      <c r="B7060" s="15"/>
      <c r="C7060" s="15"/>
      <c r="D7060" s="15"/>
      <c r="E7060" s="15"/>
      <c r="F7060" s="20"/>
    </row>
    <row r="7061" spans="2:6" ht="17.25" customHeight="1">
      <c r="B7061" s="15"/>
      <c r="C7061" s="15"/>
      <c r="D7061" s="15"/>
      <c r="E7061" s="15"/>
      <c r="F7061" s="20"/>
    </row>
    <row r="7062" spans="2:6" ht="17.25" customHeight="1">
      <c r="B7062" s="15"/>
      <c r="C7062" s="15"/>
      <c r="D7062" s="15"/>
      <c r="E7062" s="15"/>
      <c r="F7062" s="20"/>
    </row>
    <row r="7063" spans="2:6" ht="17.25" customHeight="1">
      <c r="B7063" s="15"/>
      <c r="C7063" s="15"/>
      <c r="D7063" s="15"/>
      <c r="E7063" s="15"/>
      <c r="F7063" s="20"/>
    </row>
    <row r="7064" spans="2:6" ht="17.25" customHeight="1">
      <c r="B7064" s="15"/>
      <c r="C7064" s="15"/>
      <c r="D7064" s="15"/>
      <c r="E7064" s="15"/>
      <c r="F7064" s="20"/>
    </row>
    <row r="7065" spans="2:6" ht="17.25" customHeight="1">
      <c r="B7065" s="15"/>
      <c r="C7065" s="15"/>
      <c r="D7065" s="15"/>
      <c r="E7065" s="15"/>
      <c r="F7065" s="20"/>
    </row>
    <row r="7066" spans="2:6" ht="17.25" customHeight="1">
      <c r="B7066" s="15"/>
      <c r="C7066" s="15"/>
      <c r="D7066" s="15"/>
      <c r="E7066" s="15"/>
      <c r="F7066" s="20"/>
    </row>
    <row r="7067" spans="2:6" ht="17.25" customHeight="1">
      <c r="B7067" s="15"/>
      <c r="C7067" s="15"/>
      <c r="D7067" s="15"/>
      <c r="E7067" s="15"/>
      <c r="F7067" s="20"/>
    </row>
    <row r="7068" spans="2:6" ht="17.25" customHeight="1">
      <c r="B7068" s="15"/>
      <c r="C7068" s="15"/>
      <c r="D7068" s="15"/>
      <c r="E7068" s="15"/>
      <c r="F7068" s="20"/>
    </row>
    <row r="7069" spans="2:6" ht="17.25" customHeight="1">
      <c r="B7069" s="15"/>
      <c r="C7069" s="15"/>
      <c r="D7069" s="15"/>
      <c r="E7069" s="15"/>
      <c r="F7069" s="20"/>
    </row>
    <row r="7070" spans="2:6" ht="17.25" customHeight="1">
      <c r="B7070" s="15"/>
      <c r="C7070" s="15"/>
      <c r="D7070" s="15"/>
      <c r="E7070" s="15"/>
      <c r="F7070" s="20"/>
    </row>
    <row r="7071" spans="2:6" ht="17.25" customHeight="1">
      <c r="B7071" s="15"/>
      <c r="C7071" s="15"/>
      <c r="D7071" s="15"/>
      <c r="E7071" s="15"/>
      <c r="F7071" s="20"/>
    </row>
    <row r="7072" spans="2:6" ht="17.25" customHeight="1">
      <c r="B7072" s="15"/>
      <c r="C7072" s="15"/>
      <c r="D7072" s="15"/>
      <c r="E7072" s="15"/>
      <c r="F7072" s="20"/>
    </row>
    <row r="7073" spans="2:6" ht="17.25" customHeight="1">
      <c r="B7073" s="15"/>
      <c r="C7073" s="15"/>
      <c r="D7073" s="15"/>
      <c r="E7073" s="15"/>
      <c r="F7073" s="20"/>
    </row>
    <row r="7074" spans="2:6" ht="17.25" customHeight="1">
      <c r="B7074" s="15"/>
      <c r="C7074" s="15"/>
      <c r="D7074" s="15"/>
      <c r="E7074" s="15"/>
      <c r="F7074" s="20"/>
    </row>
    <row r="7075" spans="2:6" ht="17.25" customHeight="1">
      <c r="B7075" s="15"/>
      <c r="C7075" s="15"/>
      <c r="D7075" s="15"/>
      <c r="E7075" s="15"/>
      <c r="F7075" s="20"/>
    </row>
    <row r="7076" spans="2:6" ht="17.25" customHeight="1">
      <c r="B7076" s="15"/>
      <c r="C7076" s="15"/>
      <c r="D7076" s="15"/>
      <c r="E7076" s="15"/>
      <c r="F7076" s="20"/>
    </row>
    <row r="7077" spans="2:6" ht="17.25" customHeight="1">
      <c r="B7077" s="15"/>
      <c r="C7077" s="15"/>
      <c r="D7077" s="15"/>
      <c r="E7077" s="15"/>
      <c r="F7077" s="20"/>
    </row>
    <row r="7078" spans="2:6" ht="17.25" customHeight="1">
      <c r="B7078" s="15"/>
      <c r="C7078" s="15"/>
      <c r="D7078" s="15"/>
      <c r="E7078" s="15"/>
      <c r="F7078" s="20"/>
    </row>
    <row r="7079" spans="2:6" ht="17.25" customHeight="1">
      <c r="B7079" s="15"/>
      <c r="C7079" s="15"/>
      <c r="D7079" s="15"/>
      <c r="E7079" s="15"/>
      <c r="F7079" s="20"/>
    </row>
    <row r="7080" spans="2:6" ht="17.25" customHeight="1">
      <c r="B7080" s="15"/>
      <c r="C7080" s="15"/>
      <c r="D7080" s="15"/>
      <c r="E7080" s="15"/>
      <c r="F7080" s="20"/>
    </row>
    <row r="7081" spans="2:6" ht="17.25" customHeight="1">
      <c r="B7081" s="15"/>
      <c r="C7081" s="15"/>
      <c r="D7081" s="15"/>
      <c r="E7081" s="15"/>
      <c r="F7081" s="20"/>
    </row>
    <row r="7082" spans="2:6" ht="17.25" customHeight="1">
      <c r="B7082" s="15"/>
      <c r="C7082" s="15"/>
      <c r="D7082" s="15"/>
      <c r="E7082" s="15"/>
      <c r="F7082" s="20"/>
    </row>
    <row r="7083" spans="2:6" ht="17.25" customHeight="1">
      <c r="B7083" s="15"/>
      <c r="C7083" s="15"/>
      <c r="D7083" s="15"/>
      <c r="E7083" s="15"/>
      <c r="F7083" s="20"/>
    </row>
    <row r="7084" spans="2:6" ht="17.25" customHeight="1">
      <c r="B7084" s="15"/>
      <c r="C7084" s="15"/>
      <c r="D7084" s="15"/>
      <c r="E7084" s="15"/>
      <c r="F7084" s="20"/>
    </row>
    <row r="7085" spans="2:6" ht="17.25" customHeight="1">
      <c r="B7085" s="15"/>
      <c r="C7085" s="15"/>
      <c r="D7085" s="15"/>
      <c r="E7085" s="15"/>
      <c r="F7085" s="20"/>
    </row>
    <row r="7086" spans="2:6" ht="17.25" customHeight="1">
      <c r="B7086" s="15"/>
      <c r="C7086" s="15"/>
      <c r="D7086" s="15"/>
      <c r="E7086" s="15"/>
      <c r="F7086" s="20"/>
    </row>
    <row r="7087" spans="2:6" ht="17.25" customHeight="1">
      <c r="B7087" s="15"/>
      <c r="C7087" s="15"/>
      <c r="D7087" s="15"/>
      <c r="E7087" s="15"/>
      <c r="F7087" s="20"/>
    </row>
    <row r="7088" spans="2:6" ht="17.25" customHeight="1">
      <c r="B7088" s="15"/>
      <c r="C7088" s="15"/>
      <c r="D7088" s="15"/>
      <c r="E7088" s="15"/>
      <c r="F7088" s="20"/>
    </row>
    <row r="7089" spans="2:6" ht="17.25" customHeight="1">
      <c r="B7089" s="15"/>
      <c r="C7089" s="15"/>
      <c r="D7089" s="15"/>
      <c r="E7089" s="15"/>
      <c r="F7089" s="20"/>
    </row>
    <row r="7090" spans="2:6" ht="17.25" customHeight="1">
      <c r="B7090" s="15"/>
      <c r="C7090" s="15"/>
      <c r="D7090" s="15"/>
      <c r="E7090" s="15"/>
      <c r="F7090" s="20"/>
    </row>
    <row r="7091" spans="2:6" ht="17.25" customHeight="1">
      <c r="B7091" s="15"/>
      <c r="C7091" s="15"/>
      <c r="D7091" s="15"/>
      <c r="E7091" s="15"/>
      <c r="F7091" s="20"/>
    </row>
    <row r="7092" spans="2:6" ht="17.25" customHeight="1">
      <c r="B7092" s="15"/>
      <c r="C7092" s="15"/>
      <c r="D7092" s="15"/>
      <c r="E7092" s="15"/>
      <c r="F7092" s="20"/>
    </row>
    <row r="7093" spans="2:6" ht="17.25" customHeight="1">
      <c r="B7093" s="15"/>
      <c r="C7093" s="15"/>
      <c r="D7093" s="15"/>
      <c r="E7093" s="15"/>
      <c r="F7093" s="20"/>
    </row>
    <row r="7094" spans="2:6" ht="17.25" customHeight="1">
      <c r="B7094" s="15"/>
      <c r="C7094" s="15"/>
      <c r="D7094" s="15"/>
      <c r="E7094" s="15"/>
      <c r="F7094" s="20"/>
    </row>
    <row r="7095" spans="2:6" ht="17.25" customHeight="1">
      <c r="B7095" s="15"/>
      <c r="C7095" s="15"/>
      <c r="D7095" s="15"/>
      <c r="E7095" s="15"/>
      <c r="F7095" s="20"/>
    </row>
    <row r="7096" spans="2:6" ht="17.25" customHeight="1">
      <c r="B7096" s="15"/>
      <c r="C7096" s="15"/>
      <c r="D7096" s="15"/>
      <c r="E7096" s="15"/>
      <c r="F7096" s="20"/>
    </row>
    <row r="7097" spans="2:6" ht="17.25" customHeight="1">
      <c r="B7097" s="15"/>
      <c r="C7097" s="15"/>
      <c r="D7097" s="15"/>
      <c r="E7097" s="15"/>
      <c r="F7097" s="20"/>
    </row>
    <row r="7098" spans="2:6" ht="17.25" customHeight="1">
      <c r="B7098" s="15"/>
      <c r="C7098" s="15"/>
      <c r="D7098" s="15"/>
      <c r="E7098" s="15"/>
      <c r="F7098" s="20"/>
    </row>
    <row r="7099" spans="2:6" ht="17.25" customHeight="1">
      <c r="B7099" s="15"/>
      <c r="C7099" s="15"/>
      <c r="D7099" s="15"/>
      <c r="E7099" s="15"/>
      <c r="F7099" s="20"/>
    </row>
    <row r="7100" spans="2:6" ht="17.25" customHeight="1">
      <c r="B7100" s="15"/>
      <c r="C7100" s="15"/>
      <c r="D7100" s="15"/>
      <c r="E7100" s="15"/>
      <c r="F7100" s="20"/>
    </row>
    <row r="7101" spans="2:6" ht="17.25" customHeight="1">
      <c r="B7101" s="15"/>
      <c r="C7101" s="15"/>
      <c r="D7101" s="15"/>
      <c r="E7101" s="15"/>
      <c r="F7101" s="20"/>
    </row>
    <row r="7102" spans="2:6" ht="17.25" customHeight="1">
      <c r="B7102" s="15"/>
      <c r="C7102" s="15"/>
      <c r="D7102" s="15"/>
      <c r="E7102" s="15"/>
      <c r="F7102" s="20"/>
    </row>
    <row r="7103" spans="2:6" ht="17.25" customHeight="1">
      <c r="B7103" s="15"/>
      <c r="C7103" s="15"/>
      <c r="D7103" s="15"/>
      <c r="E7103" s="15"/>
      <c r="F7103" s="20"/>
    </row>
    <row r="7104" spans="2:6" ht="17.25" customHeight="1">
      <c r="B7104" s="15"/>
      <c r="C7104" s="15"/>
      <c r="D7104" s="15"/>
      <c r="E7104" s="15"/>
      <c r="F7104" s="20"/>
    </row>
    <row r="7105" spans="2:6" ht="17.25" customHeight="1">
      <c r="B7105" s="15"/>
      <c r="C7105" s="15"/>
      <c r="D7105" s="15"/>
      <c r="E7105" s="15"/>
      <c r="F7105" s="20"/>
    </row>
    <row r="7106" spans="2:6" ht="17.25" customHeight="1">
      <c r="B7106" s="15"/>
      <c r="C7106" s="15"/>
      <c r="D7106" s="15"/>
      <c r="E7106" s="15"/>
      <c r="F7106" s="20"/>
    </row>
    <row r="7107" spans="2:6" ht="17.25" customHeight="1">
      <c r="B7107" s="15"/>
      <c r="C7107" s="15"/>
      <c r="D7107" s="15"/>
      <c r="E7107" s="15"/>
      <c r="F7107" s="20"/>
    </row>
    <row r="7108" spans="2:6" ht="17.25" customHeight="1">
      <c r="B7108" s="15"/>
      <c r="C7108" s="15"/>
      <c r="D7108" s="15"/>
      <c r="E7108" s="15"/>
      <c r="F7108" s="20"/>
    </row>
    <row r="7109" spans="2:6" ht="17.25" customHeight="1">
      <c r="B7109" s="15"/>
      <c r="C7109" s="15"/>
      <c r="D7109" s="15"/>
      <c r="E7109" s="15"/>
      <c r="F7109" s="20"/>
    </row>
    <row r="7110" spans="2:6" ht="17.25" customHeight="1">
      <c r="B7110" s="15"/>
      <c r="C7110" s="15"/>
      <c r="D7110" s="15"/>
      <c r="E7110" s="15"/>
      <c r="F7110" s="20"/>
    </row>
    <row r="7111" spans="2:6" ht="17.25" customHeight="1">
      <c r="B7111" s="15"/>
      <c r="C7111" s="15"/>
      <c r="D7111" s="15"/>
      <c r="E7111" s="15"/>
      <c r="F7111" s="20"/>
    </row>
    <row r="7112" spans="2:6" ht="17.25" customHeight="1">
      <c r="B7112" s="15"/>
      <c r="C7112" s="15"/>
      <c r="D7112" s="15"/>
      <c r="E7112" s="15"/>
      <c r="F7112" s="20"/>
    </row>
    <row r="7113" spans="2:6" ht="17.25" customHeight="1">
      <c r="B7113" s="15"/>
      <c r="C7113" s="15"/>
      <c r="D7113" s="15"/>
      <c r="E7113" s="15"/>
      <c r="F7113" s="20"/>
    </row>
    <row r="7114" spans="2:6" ht="17.25" customHeight="1">
      <c r="B7114" s="15"/>
      <c r="C7114" s="15"/>
      <c r="D7114" s="15"/>
      <c r="E7114" s="15"/>
      <c r="F7114" s="20"/>
    </row>
    <row r="7115" spans="2:6" ht="17.25" customHeight="1">
      <c r="B7115" s="15"/>
      <c r="C7115" s="15"/>
      <c r="D7115" s="15"/>
      <c r="E7115" s="15"/>
      <c r="F7115" s="20"/>
    </row>
    <row r="7116" spans="2:6" ht="17.25" customHeight="1">
      <c r="B7116" s="15"/>
      <c r="C7116" s="15"/>
      <c r="D7116" s="15"/>
      <c r="E7116" s="15"/>
      <c r="F7116" s="20"/>
    </row>
    <row r="7117" spans="2:6" ht="17.25" customHeight="1">
      <c r="B7117" s="15"/>
      <c r="C7117" s="15"/>
      <c r="D7117" s="15"/>
      <c r="E7117" s="15"/>
      <c r="F7117" s="20"/>
    </row>
    <row r="7118" spans="2:6" ht="17.25" customHeight="1">
      <c r="B7118" s="15"/>
      <c r="C7118" s="15"/>
      <c r="D7118" s="15"/>
      <c r="E7118" s="15"/>
      <c r="F7118" s="20"/>
    </row>
    <row r="7119" spans="2:6" ht="17.25" customHeight="1">
      <c r="B7119" s="15"/>
      <c r="C7119" s="15"/>
      <c r="D7119" s="15"/>
      <c r="E7119" s="15"/>
      <c r="F7119" s="20"/>
    </row>
    <row r="7120" spans="2:6" ht="17.25" customHeight="1">
      <c r="B7120" s="15"/>
      <c r="C7120" s="15"/>
      <c r="D7120" s="15"/>
      <c r="E7120" s="15"/>
      <c r="F7120" s="20"/>
    </row>
    <row r="7121" spans="2:6" ht="17.25" customHeight="1">
      <c r="B7121" s="15"/>
      <c r="C7121" s="15"/>
      <c r="D7121" s="15"/>
      <c r="E7121" s="15"/>
      <c r="F7121" s="20"/>
    </row>
    <row r="7122" spans="2:6" ht="17.25" customHeight="1">
      <c r="B7122" s="15"/>
      <c r="C7122" s="15"/>
      <c r="D7122" s="15"/>
      <c r="E7122" s="15"/>
      <c r="F7122" s="20"/>
    </row>
    <row r="7123" spans="2:6" ht="17.25" customHeight="1">
      <c r="B7123" s="15"/>
      <c r="C7123" s="15"/>
      <c r="D7123" s="15"/>
      <c r="E7123" s="15"/>
      <c r="F7123" s="20"/>
    </row>
    <row r="7124" spans="2:6" ht="17.25" customHeight="1">
      <c r="B7124" s="15"/>
      <c r="C7124" s="15"/>
      <c r="D7124" s="15"/>
      <c r="E7124" s="15"/>
      <c r="F7124" s="20"/>
    </row>
    <row r="7125" spans="2:6" ht="17.25" customHeight="1">
      <c r="B7125" s="15"/>
      <c r="C7125" s="15"/>
      <c r="D7125" s="15"/>
      <c r="E7125" s="15"/>
      <c r="F7125" s="20"/>
    </row>
    <row r="7126" spans="2:6" ht="17.25" customHeight="1">
      <c r="B7126" s="15"/>
      <c r="C7126" s="15"/>
      <c r="D7126" s="15"/>
      <c r="E7126" s="15"/>
      <c r="F7126" s="20"/>
    </row>
    <row r="7127" spans="2:6" ht="17.25" customHeight="1">
      <c r="B7127" s="15"/>
      <c r="C7127" s="15"/>
      <c r="D7127" s="15"/>
      <c r="E7127" s="15"/>
      <c r="F7127" s="20"/>
    </row>
    <row r="7128" spans="2:6" ht="17.25" customHeight="1">
      <c r="B7128" s="15"/>
      <c r="C7128" s="15"/>
      <c r="D7128" s="15"/>
      <c r="E7128" s="15"/>
      <c r="F7128" s="20"/>
    </row>
    <row r="7129" spans="2:6" ht="17.25" customHeight="1">
      <c r="B7129" s="15"/>
      <c r="C7129" s="15"/>
      <c r="D7129" s="15"/>
      <c r="E7129" s="15"/>
      <c r="F7129" s="20"/>
    </row>
    <row r="7130" spans="2:6" ht="17.25" customHeight="1">
      <c r="B7130" s="15"/>
      <c r="C7130" s="15"/>
      <c r="D7130" s="15"/>
      <c r="E7130" s="15"/>
      <c r="F7130" s="20"/>
    </row>
    <row r="7131" spans="2:6" ht="17.25" customHeight="1">
      <c r="B7131" s="15"/>
      <c r="C7131" s="15"/>
      <c r="D7131" s="15"/>
      <c r="E7131" s="15"/>
      <c r="F7131" s="20"/>
    </row>
    <row r="7132" spans="2:6" ht="17.25" customHeight="1">
      <c r="B7132" s="15"/>
      <c r="C7132" s="15"/>
      <c r="D7132" s="15"/>
      <c r="E7132" s="15"/>
      <c r="F7132" s="20"/>
    </row>
    <row r="7133" spans="2:6" ht="17.25" customHeight="1">
      <c r="B7133" s="15"/>
      <c r="C7133" s="15"/>
      <c r="D7133" s="15"/>
      <c r="E7133" s="15"/>
      <c r="F7133" s="20"/>
    </row>
    <row r="7134" spans="2:6" ht="17.25" customHeight="1">
      <c r="B7134" s="15"/>
      <c r="C7134" s="15"/>
      <c r="D7134" s="15"/>
      <c r="E7134" s="15"/>
      <c r="F7134" s="20"/>
    </row>
    <row r="7135" spans="2:6" ht="17.25" customHeight="1">
      <c r="B7135" s="15"/>
      <c r="C7135" s="15"/>
      <c r="D7135" s="15"/>
      <c r="E7135" s="15"/>
      <c r="F7135" s="20"/>
    </row>
    <row r="7136" spans="2:6" ht="17.25" customHeight="1">
      <c r="B7136" s="15"/>
      <c r="C7136" s="15"/>
      <c r="D7136" s="15"/>
      <c r="E7136" s="15"/>
      <c r="F7136" s="20"/>
    </row>
    <row r="7137" spans="2:6" ht="17.25" customHeight="1">
      <c r="B7137" s="15"/>
      <c r="C7137" s="15"/>
      <c r="D7137" s="15"/>
      <c r="E7137" s="15"/>
      <c r="F7137" s="20"/>
    </row>
    <row r="7138" spans="2:6" ht="17.25" customHeight="1">
      <c r="B7138" s="15"/>
      <c r="C7138" s="15"/>
      <c r="D7138" s="15"/>
      <c r="E7138" s="15"/>
      <c r="F7138" s="20"/>
    </row>
    <row r="7139" spans="2:6" ht="17.25" customHeight="1">
      <c r="B7139" s="15"/>
      <c r="C7139" s="15"/>
      <c r="D7139" s="15"/>
      <c r="E7139" s="15"/>
      <c r="F7139" s="20"/>
    </row>
    <row r="7140" spans="2:6" ht="17.25" customHeight="1">
      <c r="B7140" s="15"/>
      <c r="C7140" s="15"/>
      <c r="D7140" s="15"/>
      <c r="E7140" s="15"/>
      <c r="F7140" s="20"/>
    </row>
    <row r="7141" spans="2:6" ht="17.25" customHeight="1">
      <c r="B7141" s="15"/>
      <c r="C7141" s="15"/>
      <c r="D7141" s="15"/>
      <c r="E7141" s="15"/>
      <c r="F7141" s="20"/>
    </row>
    <row r="7142" spans="2:6" ht="17.25" customHeight="1">
      <c r="B7142" s="15"/>
      <c r="C7142" s="15"/>
      <c r="D7142" s="15"/>
      <c r="E7142" s="15"/>
      <c r="F7142" s="20"/>
    </row>
    <row r="7143" spans="2:6" ht="17.25" customHeight="1">
      <c r="B7143" s="15"/>
      <c r="C7143" s="15"/>
      <c r="D7143" s="15"/>
      <c r="E7143" s="15"/>
      <c r="F7143" s="20"/>
    </row>
    <row r="7144" spans="2:6" ht="17.25" customHeight="1">
      <c r="B7144" s="15"/>
      <c r="C7144" s="15"/>
      <c r="D7144" s="15"/>
      <c r="E7144" s="15"/>
      <c r="F7144" s="20"/>
    </row>
    <row r="7145" spans="2:6" ht="17.25" customHeight="1">
      <c r="B7145" s="15"/>
      <c r="C7145" s="15"/>
      <c r="D7145" s="15"/>
      <c r="E7145" s="15"/>
      <c r="F7145" s="20"/>
    </row>
    <row r="7146" spans="2:6" ht="17.25" customHeight="1">
      <c r="B7146" s="15"/>
      <c r="C7146" s="15"/>
      <c r="D7146" s="15"/>
      <c r="E7146" s="15"/>
      <c r="F7146" s="20"/>
    </row>
    <row r="7147" spans="2:6" ht="17.25" customHeight="1">
      <c r="B7147" s="15"/>
      <c r="C7147" s="15"/>
      <c r="D7147" s="15"/>
      <c r="E7147" s="15"/>
      <c r="F7147" s="20"/>
    </row>
    <row r="7148" spans="2:6" ht="17.25" customHeight="1">
      <c r="B7148" s="15"/>
      <c r="C7148" s="15"/>
      <c r="D7148" s="15"/>
      <c r="E7148" s="15"/>
      <c r="F7148" s="20"/>
    </row>
    <row r="7149" spans="2:6" ht="17.25" customHeight="1">
      <c r="B7149" s="15"/>
      <c r="C7149" s="15"/>
      <c r="D7149" s="15"/>
      <c r="E7149" s="15"/>
      <c r="F7149" s="20"/>
    </row>
    <row r="7150" spans="2:6" ht="17.25" customHeight="1">
      <c r="B7150" s="15"/>
      <c r="C7150" s="15"/>
      <c r="D7150" s="15"/>
      <c r="E7150" s="15"/>
      <c r="F7150" s="20"/>
    </row>
    <row r="7151" spans="2:6" ht="17.25" customHeight="1">
      <c r="B7151" s="15"/>
      <c r="C7151" s="15"/>
      <c r="D7151" s="15"/>
      <c r="E7151" s="15"/>
      <c r="F7151" s="20"/>
    </row>
    <row r="7152" spans="2:6" ht="17.25" customHeight="1">
      <c r="B7152" s="15"/>
      <c r="C7152" s="15"/>
      <c r="D7152" s="15"/>
      <c r="E7152" s="15"/>
      <c r="F7152" s="20"/>
    </row>
    <row r="7153" spans="2:6" ht="17.25" customHeight="1">
      <c r="B7153" s="15"/>
      <c r="C7153" s="15"/>
      <c r="D7153" s="15"/>
      <c r="E7153" s="15"/>
      <c r="F7153" s="20"/>
    </row>
    <row r="7154" spans="2:6" ht="17.25" customHeight="1">
      <c r="B7154" s="15"/>
      <c r="C7154" s="15"/>
      <c r="D7154" s="15"/>
      <c r="E7154" s="15"/>
      <c r="F7154" s="20"/>
    </row>
    <row r="7155" spans="2:6" ht="17.25" customHeight="1">
      <c r="B7155" s="15"/>
      <c r="C7155" s="15"/>
      <c r="D7155" s="15"/>
      <c r="E7155" s="15"/>
      <c r="F7155" s="20"/>
    </row>
    <row r="7156" spans="2:6" ht="17.25" customHeight="1">
      <c r="B7156" s="15"/>
      <c r="C7156" s="15"/>
      <c r="D7156" s="15"/>
      <c r="E7156" s="15"/>
      <c r="F7156" s="20"/>
    </row>
    <row r="7157" spans="2:6" ht="17.25" customHeight="1">
      <c r="B7157" s="15"/>
      <c r="C7157" s="15"/>
      <c r="D7157" s="15"/>
      <c r="E7157" s="15"/>
      <c r="F7157" s="20"/>
    </row>
    <row r="7158" spans="2:6" ht="17.25" customHeight="1">
      <c r="B7158" s="15"/>
      <c r="C7158" s="15"/>
      <c r="D7158" s="15"/>
      <c r="E7158" s="15"/>
      <c r="F7158" s="20"/>
    </row>
    <row r="7159" spans="2:6" ht="17.25" customHeight="1">
      <c r="B7159" s="15"/>
      <c r="C7159" s="15"/>
      <c r="D7159" s="15"/>
      <c r="E7159" s="15"/>
      <c r="F7159" s="20"/>
    </row>
    <row r="7160" spans="2:6" ht="17.25" customHeight="1">
      <c r="B7160" s="15"/>
      <c r="C7160" s="15"/>
      <c r="D7160" s="15"/>
      <c r="E7160" s="15"/>
      <c r="F7160" s="20"/>
    </row>
    <row r="7161" spans="2:6" ht="17.25" customHeight="1">
      <c r="B7161" s="15"/>
      <c r="C7161" s="15"/>
      <c r="D7161" s="15"/>
      <c r="E7161" s="15"/>
      <c r="F7161" s="20"/>
    </row>
    <row r="7162" spans="2:6" ht="17.25" customHeight="1">
      <c r="B7162" s="15"/>
      <c r="C7162" s="15"/>
      <c r="D7162" s="15"/>
      <c r="E7162" s="15"/>
      <c r="F7162" s="20"/>
    </row>
    <row r="7163" spans="2:6" ht="17.25" customHeight="1">
      <c r="B7163" s="15"/>
      <c r="C7163" s="15"/>
      <c r="D7163" s="15"/>
      <c r="E7163" s="15"/>
      <c r="F7163" s="20"/>
    </row>
    <row r="7164" spans="2:6" ht="17.25" customHeight="1">
      <c r="B7164" s="15"/>
      <c r="C7164" s="15"/>
      <c r="D7164" s="15"/>
      <c r="E7164" s="15"/>
      <c r="F7164" s="20"/>
    </row>
    <row r="7165" spans="2:6" ht="17.25" customHeight="1">
      <c r="B7165" s="15"/>
      <c r="C7165" s="15"/>
      <c r="D7165" s="15"/>
      <c r="E7165" s="15"/>
      <c r="F7165" s="20"/>
    </row>
    <row r="7166" spans="2:6" ht="17.25" customHeight="1">
      <c r="B7166" s="15"/>
      <c r="C7166" s="15"/>
      <c r="D7166" s="15"/>
      <c r="E7166" s="15"/>
      <c r="F7166" s="20"/>
    </row>
    <row r="7167" spans="2:6" ht="17.25" customHeight="1">
      <c r="B7167" s="15"/>
      <c r="C7167" s="15"/>
      <c r="D7167" s="15"/>
      <c r="E7167" s="15"/>
      <c r="F7167" s="20"/>
    </row>
    <row r="7168" spans="2:6" ht="17.25" customHeight="1">
      <c r="B7168" s="15"/>
      <c r="C7168" s="15"/>
      <c r="D7168" s="15"/>
      <c r="E7168" s="15"/>
      <c r="F7168" s="20"/>
    </row>
    <row r="7169" spans="2:6" ht="17.25" customHeight="1">
      <c r="B7169" s="15"/>
      <c r="C7169" s="15"/>
      <c r="D7169" s="15"/>
      <c r="E7169" s="15"/>
      <c r="F7169" s="20"/>
    </row>
    <row r="7170" spans="2:6" ht="17.25" customHeight="1">
      <c r="B7170" s="15"/>
      <c r="C7170" s="15"/>
      <c r="D7170" s="15"/>
      <c r="E7170" s="15"/>
      <c r="F7170" s="20"/>
    </row>
    <row r="7171" spans="2:6" ht="17.25" customHeight="1">
      <c r="B7171" s="15"/>
      <c r="C7171" s="15"/>
      <c r="D7171" s="15"/>
      <c r="E7171" s="15"/>
      <c r="F7171" s="20"/>
    </row>
    <row r="7172" spans="2:6" ht="17.25" customHeight="1">
      <c r="B7172" s="15"/>
      <c r="C7172" s="15"/>
      <c r="D7172" s="15"/>
      <c r="E7172" s="15"/>
      <c r="F7172" s="20"/>
    </row>
    <row r="7173" spans="2:6" ht="17.25" customHeight="1">
      <c r="B7173" s="15"/>
      <c r="C7173" s="15"/>
      <c r="D7173" s="15"/>
      <c r="E7173" s="15"/>
      <c r="F7173" s="20"/>
    </row>
    <row r="7174" spans="2:6" ht="17.25" customHeight="1">
      <c r="B7174" s="15"/>
      <c r="C7174" s="15"/>
      <c r="D7174" s="15"/>
      <c r="E7174" s="15"/>
      <c r="F7174" s="20"/>
    </row>
    <row r="7175" spans="2:6" ht="17.25" customHeight="1">
      <c r="B7175" s="15"/>
      <c r="C7175" s="15"/>
      <c r="D7175" s="15"/>
      <c r="E7175" s="15"/>
      <c r="F7175" s="20"/>
    </row>
    <row r="7176" spans="2:6" ht="17.25" customHeight="1">
      <c r="B7176" s="15"/>
      <c r="C7176" s="15"/>
      <c r="D7176" s="15"/>
      <c r="E7176" s="15"/>
      <c r="F7176" s="20"/>
    </row>
    <row r="7177" spans="2:6" ht="17.25" customHeight="1">
      <c r="B7177" s="15"/>
      <c r="C7177" s="15"/>
      <c r="D7177" s="15"/>
      <c r="E7177" s="15"/>
      <c r="F7177" s="20"/>
    </row>
    <row r="7178" spans="2:6" ht="17.25" customHeight="1">
      <c r="B7178" s="15"/>
      <c r="C7178" s="15"/>
      <c r="D7178" s="15"/>
      <c r="E7178" s="15"/>
      <c r="F7178" s="20"/>
    </row>
    <row r="7179" spans="2:6" ht="17.25" customHeight="1">
      <c r="B7179" s="15"/>
      <c r="C7179" s="15"/>
      <c r="D7179" s="15"/>
      <c r="E7179" s="15"/>
      <c r="F7179" s="20"/>
    </row>
    <row r="7180" spans="2:6" ht="17.25" customHeight="1">
      <c r="B7180" s="15"/>
      <c r="C7180" s="15"/>
      <c r="D7180" s="15"/>
      <c r="E7180" s="15"/>
      <c r="F7180" s="20"/>
    </row>
    <row r="7181" spans="2:6" ht="17.25" customHeight="1">
      <c r="B7181" s="15"/>
      <c r="C7181" s="15"/>
      <c r="D7181" s="15"/>
      <c r="E7181" s="15"/>
      <c r="F7181" s="20"/>
    </row>
    <row r="7182" spans="2:6" ht="17.25" customHeight="1">
      <c r="B7182" s="15"/>
      <c r="C7182" s="15"/>
      <c r="D7182" s="15"/>
      <c r="E7182" s="15"/>
      <c r="F7182" s="20"/>
    </row>
    <row r="7183" spans="2:6" ht="17.25" customHeight="1">
      <c r="B7183" s="15"/>
      <c r="C7183" s="15"/>
      <c r="D7183" s="15"/>
      <c r="E7183" s="15"/>
      <c r="F7183" s="20"/>
    </row>
    <row r="7184" spans="2:6" ht="17.25" customHeight="1">
      <c r="B7184" s="15"/>
      <c r="C7184" s="15"/>
      <c r="D7184" s="15"/>
      <c r="E7184" s="15"/>
      <c r="F7184" s="20"/>
    </row>
    <row r="7185" spans="2:6" ht="17.25" customHeight="1">
      <c r="B7185" s="15"/>
      <c r="C7185" s="15"/>
      <c r="D7185" s="15"/>
      <c r="E7185" s="15"/>
      <c r="F7185" s="20"/>
    </row>
    <row r="7186" spans="2:6" ht="17.25" customHeight="1">
      <c r="B7186" s="15"/>
      <c r="C7186" s="15"/>
      <c r="D7186" s="15"/>
      <c r="E7186" s="15"/>
      <c r="F7186" s="20"/>
    </row>
    <row r="7187" spans="2:6" ht="17.25" customHeight="1">
      <c r="B7187" s="15"/>
      <c r="C7187" s="15"/>
      <c r="D7187" s="15"/>
      <c r="E7187" s="15"/>
      <c r="F7187" s="20"/>
    </row>
    <row r="7188" spans="2:6" ht="17.25" customHeight="1">
      <c r="B7188" s="15"/>
      <c r="C7188" s="15"/>
      <c r="D7188" s="15"/>
      <c r="E7188" s="15"/>
      <c r="F7188" s="20"/>
    </row>
    <row r="7189" spans="2:6" ht="17.25" customHeight="1">
      <c r="B7189" s="15"/>
      <c r="C7189" s="15"/>
      <c r="D7189" s="15"/>
      <c r="E7189" s="15"/>
      <c r="F7189" s="20"/>
    </row>
    <row r="7190" spans="2:6" ht="17.25" customHeight="1">
      <c r="B7190" s="15"/>
      <c r="C7190" s="15"/>
      <c r="D7190" s="15"/>
      <c r="E7190" s="15"/>
      <c r="F7190" s="20"/>
    </row>
    <row r="7191" spans="2:6" ht="17.25" customHeight="1">
      <c r="B7191" s="15"/>
      <c r="C7191" s="15"/>
      <c r="D7191" s="15"/>
      <c r="E7191" s="15"/>
      <c r="F7191" s="20"/>
    </row>
    <row r="7192" spans="2:6" ht="17.25" customHeight="1">
      <c r="B7192" s="15"/>
      <c r="C7192" s="15"/>
      <c r="D7192" s="15"/>
      <c r="E7192" s="15"/>
      <c r="F7192" s="20"/>
    </row>
    <row r="7193" spans="2:6" ht="17.25" customHeight="1">
      <c r="B7193" s="15"/>
      <c r="C7193" s="15"/>
      <c r="D7193" s="15"/>
      <c r="E7193" s="15"/>
      <c r="F7193" s="20"/>
    </row>
    <row r="7194" spans="2:6" ht="17.25" customHeight="1">
      <c r="B7194" s="15"/>
      <c r="C7194" s="15"/>
      <c r="D7194" s="15"/>
      <c r="E7194" s="15"/>
      <c r="F7194" s="20"/>
    </row>
    <row r="7195" spans="2:6" ht="17.25" customHeight="1">
      <c r="B7195" s="15"/>
      <c r="C7195" s="15"/>
      <c r="D7195" s="15"/>
      <c r="E7195" s="15"/>
      <c r="F7195" s="20"/>
    </row>
    <row r="7196" spans="2:6" ht="17.25" customHeight="1">
      <c r="B7196" s="15"/>
      <c r="C7196" s="15"/>
      <c r="D7196" s="15"/>
      <c r="E7196" s="15"/>
      <c r="F7196" s="20"/>
    </row>
    <row r="7197" spans="2:6" ht="17.25" customHeight="1">
      <c r="B7197" s="15"/>
      <c r="C7197" s="15"/>
      <c r="D7197" s="15"/>
      <c r="E7197" s="15"/>
      <c r="F7197" s="20"/>
    </row>
    <row r="7198" spans="2:6" ht="17.25" customHeight="1">
      <c r="B7198" s="15"/>
      <c r="C7198" s="15"/>
      <c r="D7198" s="15"/>
      <c r="E7198" s="15"/>
      <c r="F7198" s="20"/>
    </row>
    <row r="7199" spans="2:6" ht="17.25" customHeight="1">
      <c r="B7199" s="15"/>
      <c r="C7199" s="15"/>
      <c r="D7199" s="15"/>
      <c r="E7199" s="15"/>
      <c r="F7199" s="20"/>
    </row>
    <row r="7200" spans="2:6" ht="17.25" customHeight="1">
      <c r="B7200" s="15"/>
      <c r="C7200" s="15"/>
      <c r="D7200" s="15"/>
      <c r="E7200" s="15"/>
      <c r="F7200" s="20"/>
    </row>
    <row r="7201" spans="2:6" ht="17.25" customHeight="1">
      <c r="B7201" s="15"/>
      <c r="C7201" s="15"/>
      <c r="D7201" s="15"/>
      <c r="E7201" s="15"/>
      <c r="F7201" s="20"/>
    </row>
    <row r="7202" spans="2:6" ht="17.25" customHeight="1">
      <c r="B7202" s="15"/>
      <c r="C7202" s="15"/>
      <c r="D7202" s="15"/>
      <c r="E7202" s="15"/>
      <c r="F7202" s="20"/>
    </row>
    <row r="7203" spans="2:6" ht="17.25" customHeight="1">
      <c r="B7203" s="15"/>
      <c r="C7203" s="15"/>
      <c r="D7203" s="15"/>
      <c r="E7203" s="15"/>
      <c r="F7203" s="20"/>
    </row>
    <row r="7204" spans="2:6" ht="17.25" customHeight="1">
      <c r="B7204" s="15"/>
      <c r="C7204" s="15"/>
      <c r="D7204" s="15"/>
      <c r="E7204" s="15"/>
      <c r="F7204" s="20"/>
    </row>
    <row r="7205" spans="2:6" ht="17.25" customHeight="1">
      <c r="B7205" s="15"/>
      <c r="C7205" s="15"/>
      <c r="D7205" s="15"/>
      <c r="E7205" s="15"/>
      <c r="F7205" s="20"/>
    </row>
    <row r="7206" spans="2:6" ht="17.25" customHeight="1">
      <c r="B7206" s="15"/>
      <c r="C7206" s="15"/>
      <c r="D7206" s="15"/>
      <c r="E7206" s="15"/>
      <c r="F7206" s="20"/>
    </row>
    <row r="7207" spans="2:6" ht="17.25" customHeight="1">
      <c r="B7207" s="15"/>
      <c r="C7207" s="15"/>
      <c r="D7207" s="15"/>
      <c r="E7207" s="15"/>
      <c r="F7207" s="20"/>
    </row>
    <row r="7208" spans="2:6" ht="17.25" customHeight="1">
      <c r="B7208" s="15"/>
      <c r="C7208" s="15"/>
      <c r="D7208" s="15"/>
      <c r="E7208" s="15"/>
      <c r="F7208" s="20"/>
    </row>
    <row r="7209" spans="2:6" ht="17.25" customHeight="1">
      <c r="B7209" s="15"/>
      <c r="C7209" s="15"/>
      <c r="D7209" s="15"/>
      <c r="E7209" s="15"/>
      <c r="F7209" s="20"/>
    </row>
    <row r="7210" spans="2:6" ht="17.25" customHeight="1">
      <c r="B7210" s="15"/>
      <c r="C7210" s="15"/>
      <c r="D7210" s="15"/>
      <c r="E7210" s="15"/>
      <c r="F7210" s="20"/>
    </row>
    <row r="7211" spans="2:6" ht="17.25" customHeight="1">
      <c r="B7211" s="15"/>
      <c r="C7211" s="15"/>
      <c r="D7211" s="15"/>
      <c r="E7211" s="15"/>
      <c r="F7211" s="20"/>
    </row>
    <row r="7212" spans="2:6" ht="17.25" customHeight="1">
      <c r="B7212" s="15"/>
      <c r="C7212" s="15"/>
      <c r="D7212" s="15"/>
      <c r="E7212" s="15"/>
      <c r="F7212" s="20"/>
    </row>
    <row r="7213" spans="2:6" ht="17.25" customHeight="1">
      <c r="B7213" s="15"/>
      <c r="C7213" s="15"/>
      <c r="D7213" s="15"/>
      <c r="E7213" s="15"/>
      <c r="F7213" s="20"/>
    </row>
    <row r="7214" spans="2:6" ht="17.25" customHeight="1">
      <c r="B7214" s="15"/>
      <c r="C7214" s="15"/>
      <c r="D7214" s="15"/>
      <c r="E7214" s="15"/>
      <c r="F7214" s="20"/>
    </row>
    <row r="7215" spans="2:6" ht="17.25" customHeight="1">
      <c r="B7215" s="15"/>
      <c r="C7215" s="15"/>
      <c r="D7215" s="15"/>
      <c r="E7215" s="15"/>
      <c r="F7215" s="20"/>
    </row>
    <row r="7216" spans="2:6" ht="17.25" customHeight="1">
      <c r="B7216" s="15"/>
      <c r="C7216" s="15"/>
      <c r="D7216" s="15"/>
      <c r="E7216" s="15"/>
      <c r="F7216" s="20"/>
    </row>
    <row r="7217" spans="2:6" ht="17.25" customHeight="1">
      <c r="B7217" s="15"/>
      <c r="C7217" s="15"/>
      <c r="D7217" s="15"/>
      <c r="E7217" s="15"/>
      <c r="F7217" s="20"/>
    </row>
    <row r="7218" spans="2:6" ht="17.25" customHeight="1">
      <c r="B7218" s="15"/>
      <c r="C7218" s="15"/>
      <c r="D7218" s="15"/>
      <c r="E7218" s="15"/>
      <c r="F7218" s="20"/>
    </row>
    <row r="7219" spans="2:6" ht="17.25" customHeight="1">
      <c r="B7219" s="15"/>
      <c r="C7219" s="15"/>
      <c r="D7219" s="15"/>
      <c r="E7219" s="15"/>
      <c r="F7219" s="20"/>
    </row>
    <row r="7220" spans="2:6" ht="17.25" customHeight="1">
      <c r="B7220" s="15"/>
      <c r="C7220" s="15"/>
      <c r="D7220" s="15"/>
      <c r="E7220" s="15"/>
      <c r="F7220" s="20"/>
    </row>
    <row r="7221" spans="2:6" ht="17.25" customHeight="1">
      <c r="B7221" s="15"/>
      <c r="C7221" s="15"/>
      <c r="D7221" s="15"/>
      <c r="E7221" s="15"/>
      <c r="F7221" s="20"/>
    </row>
    <row r="7222" spans="2:6" ht="17.25" customHeight="1">
      <c r="B7222" s="15"/>
      <c r="C7222" s="15"/>
      <c r="D7222" s="15"/>
      <c r="E7222" s="15"/>
      <c r="F7222" s="20"/>
    </row>
    <row r="7223" spans="2:6" ht="17.25" customHeight="1">
      <c r="B7223" s="15"/>
      <c r="C7223" s="15"/>
      <c r="D7223" s="15"/>
      <c r="E7223" s="15"/>
      <c r="F7223" s="20"/>
    </row>
    <row r="7224" spans="2:6" ht="17.25" customHeight="1">
      <c r="B7224" s="15"/>
      <c r="C7224" s="15"/>
      <c r="D7224" s="15"/>
      <c r="E7224" s="15"/>
      <c r="F7224" s="20"/>
    </row>
    <row r="7225" spans="2:6" ht="17.25" customHeight="1">
      <c r="B7225" s="15"/>
      <c r="C7225" s="15"/>
      <c r="D7225" s="15"/>
      <c r="E7225" s="15"/>
      <c r="F7225" s="20"/>
    </row>
    <row r="7226" spans="2:6" ht="17.25" customHeight="1">
      <c r="B7226" s="15"/>
      <c r="C7226" s="15"/>
      <c r="D7226" s="15"/>
      <c r="E7226" s="15"/>
      <c r="F7226" s="20"/>
    </row>
    <row r="7227" spans="2:6" ht="17.25" customHeight="1">
      <c r="B7227" s="15"/>
      <c r="C7227" s="15"/>
      <c r="D7227" s="15"/>
      <c r="E7227" s="15"/>
      <c r="F7227" s="20"/>
    </row>
    <row r="7228" spans="2:6" ht="17.25" customHeight="1">
      <c r="B7228" s="15"/>
      <c r="C7228" s="15"/>
      <c r="D7228" s="15"/>
      <c r="E7228" s="15"/>
      <c r="F7228" s="20"/>
    </row>
    <row r="7229" spans="2:6" ht="17.25" customHeight="1">
      <c r="B7229" s="15"/>
      <c r="C7229" s="15"/>
      <c r="D7229" s="15"/>
      <c r="E7229" s="15"/>
      <c r="F7229" s="20"/>
    </row>
    <row r="7230" spans="2:6" ht="17.25" customHeight="1">
      <c r="B7230" s="15"/>
      <c r="C7230" s="15"/>
      <c r="D7230" s="15"/>
      <c r="E7230" s="15"/>
      <c r="F7230" s="20"/>
    </row>
    <row r="7231" spans="2:6" ht="17.25" customHeight="1">
      <c r="B7231" s="15"/>
      <c r="C7231" s="15"/>
      <c r="D7231" s="15"/>
      <c r="E7231" s="15"/>
      <c r="F7231" s="20"/>
    </row>
    <row r="7232" spans="2:6" ht="17.25" customHeight="1">
      <c r="B7232" s="15"/>
      <c r="C7232" s="15"/>
      <c r="D7232" s="15"/>
      <c r="E7232" s="15"/>
      <c r="F7232" s="20"/>
    </row>
    <row r="7233" spans="2:6" ht="17.25" customHeight="1">
      <c r="B7233" s="15"/>
      <c r="C7233" s="15"/>
      <c r="D7233" s="15"/>
      <c r="E7233" s="15"/>
      <c r="F7233" s="20"/>
    </row>
    <row r="7234" spans="2:6" ht="17.25" customHeight="1">
      <c r="B7234" s="15"/>
      <c r="C7234" s="15"/>
      <c r="D7234" s="15"/>
      <c r="E7234" s="15"/>
      <c r="F7234" s="20"/>
    </row>
    <row r="7235" spans="2:6" ht="17.25" customHeight="1">
      <c r="B7235" s="15"/>
      <c r="C7235" s="15"/>
      <c r="D7235" s="15"/>
      <c r="E7235" s="15"/>
      <c r="F7235" s="20"/>
    </row>
    <row r="7236" spans="2:6" ht="17.25" customHeight="1">
      <c r="B7236" s="15"/>
      <c r="C7236" s="15"/>
      <c r="D7236" s="15"/>
      <c r="E7236" s="15"/>
      <c r="F7236" s="20"/>
    </row>
    <row r="7237" spans="2:6" ht="17.25" customHeight="1">
      <c r="B7237" s="15"/>
      <c r="C7237" s="15"/>
      <c r="D7237" s="15"/>
      <c r="E7237" s="15"/>
      <c r="F7237" s="20"/>
    </row>
    <row r="7238" spans="2:6" ht="17.25" customHeight="1">
      <c r="B7238" s="15"/>
      <c r="C7238" s="15"/>
      <c r="D7238" s="15"/>
      <c r="E7238" s="15"/>
      <c r="F7238" s="20"/>
    </row>
    <row r="7239" spans="2:6" ht="17.25" customHeight="1">
      <c r="B7239" s="15"/>
      <c r="C7239" s="15"/>
      <c r="D7239" s="15"/>
      <c r="E7239" s="15"/>
      <c r="F7239" s="20"/>
    </row>
    <row r="7240" spans="2:6" ht="17.25" customHeight="1">
      <c r="B7240" s="15"/>
      <c r="C7240" s="15"/>
      <c r="D7240" s="15"/>
      <c r="E7240" s="15"/>
      <c r="F7240" s="20"/>
    </row>
    <row r="7241" spans="2:6" ht="17.25" customHeight="1">
      <c r="B7241" s="15"/>
      <c r="C7241" s="15"/>
      <c r="D7241" s="15"/>
      <c r="E7241" s="15"/>
      <c r="F7241" s="20"/>
    </row>
    <row r="7242" spans="2:6" ht="17.25" customHeight="1">
      <c r="B7242" s="15"/>
      <c r="C7242" s="15"/>
      <c r="D7242" s="15"/>
      <c r="E7242" s="15"/>
      <c r="F7242" s="20"/>
    </row>
    <row r="7243" spans="2:6" ht="17.25" customHeight="1">
      <c r="B7243" s="15"/>
      <c r="C7243" s="15"/>
      <c r="D7243" s="15"/>
      <c r="E7243" s="15"/>
      <c r="F7243" s="20"/>
    </row>
    <row r="7244" spans="2:6" ht="17.25" customHeight="1">
      <c r="B7244" s="15"/>
      <c r="C7244" s="15"/>
      <c r="D7244" s="15"/>
      <c r="E7244" s="15"/>
      <c r="F7244" s="20"/>
    </row>
    <row r="7245" spans="2:6" ht="17.25" customHeight="1">
      <c r="B7245" s="15"/>
      <c r="C7245" s="15"/>
      <c r="D7245" s="15"/>
      <c r="E7245" s="15"/>
      <c r="F7245" s="20"/>
    </row>
    <row r="7246" spans="2:6" ht="17.25" customHeight="1">
      <c r="B7246" s="15"/>
      <c r="C7246" s="15"/>
      <c r="D7246" s="15"/>
      <c r="E7246" s="15"/>
      <c r="F7246" s="20"/>
    </row>
    <row r="7247" spans="2:6" ht="17.25" customHeight="1">
      <c r="B7247" s="15"/>
      <c r="C7247" s="15"/>
      <c r="D7247" s="15"/>
      <c r="E7247" s="15"/>
      <c r="F7247" s="20"/>
    </row>
    <row r="7248" spans="2:6" ht="17.25" customHeight="1">
      <c r="B7248" s="15"/>
      <c r="C7248" s="15"/>
      <c r="D7248" s="15"/>
      <c r="E7248" s="15"/>
      <c r="F7248" s="20"/>
    </row>
    <row r="7249" spans="2:6" ht="17.25" customHeight="1">
      <c r="B7249" s="15"/>
      <c r="C7249" s="15"/>
      <c r="D7249" s="15"/>
      <c r="E7249" s="15"/>
      <c r="F7249" s="20"/>
    </row>
    <row r="7250" spans="2:6" ht="17.25" customHeight="1">
      <c r="B7250" s="15"/>
      <c r="C7250" s="15"/>
      <c r="D7250" s="15"/>
      <c r="E7250" s="15"/>
      <c r="F7250" s="20"/>
    </row>
    <row r="7251" spans="2:6" ht="17.25" customHeight="1">
      <c r="B7251" s="15"/>
      <c r="C7251" s="15"/>
      <c r="D7251" s="15"/>
      <c r="E7251" s="15"/>
      <c r="F7251" s="20"/>
    </row>
    <row r="7252" spans="2:6" ht="17.25" customHeight="1">
      <c r="B7252" s="15"/>
      <c r="C7252" s="15"/>
      <c r="D7252" s="15"/>
      <c r="E7252" s="15"/>
      <c r="F7252" s="20"/>
    </row>
    <row r="7253" spans="2:6" ht="17.25" customHeight="1">
      <c r="B7253" s="15"/>
      <c r="C7253" s="15"/>
      <c r="D7253" s="15"/>
      <c r="E7253" s="15"/>
      <c r="F7253" s="20"/>
    </row>
    <row r="7254" spans="2:6" ht="17.25" customHeight="1">
      <c r="B7254" s="15"/>
      <c r="C7254" s="15"/>
      <c r="D7254" s="15"/>
      <c r="E7254" s="15"/>
      <c r="F7254" s="20"/>
    </row>
    <row r="7255" spans="2:6" ht="17.25" customHeight="1">
      <c r="B7255" s="15"/>
      <c r="C7255" s="15"/>
      <c r="D7255" s="15"/>
      <c r="E7255" s="15"/>
      <c r="F7255" s="20"/>
    </row>
    <row r="7256" spans="2:6" ht="17.25" customHeight="1">
      <c r="B7256" s="15"/>
      <c r="C7256" s="15"/>
      <c r="D7256" s="15"/>
      <c r="E7256" s="15"/>
      <c r="F7256" s="20"/>
    </row>
    <row r="7257" spans="2:6" ht="17.25" customHeight="1">
      <c r="B7257" s="15"/>
      <c r="C7257" s="15"/>
      <c r="D7257" s="15"/>
      <c r="E7257" s="15"/>
      <c r="F7257" s="20"/>
    </row>
    <row r="7258" spans="2:6" ht="17.25" customHeight="1">
      <c r="B7258" s="15"/>
      <c r="C7258" s="15"/>
      <c r="D7258" s="15"/>
      <c r="E7258" s="15"/>
      <c r="F7258" s="20"/>
    </row>
    <row r="7259" spans="2:6" ht="17.25" customHeight="1">
      <c r="B7259" s="15"/>
      <c r="C7259" s="15"/>
      <c r="D7259" s="15"/>
      <c r="E7259" s="15"/>
      <c r="F7259" s="20"/>
    </row>
    <row r="7260" spans="2:6" ht="17.25" customHeight="1">
      <c r="B7260" s="15"/>
      <c r="C7260" s="15"/>
      <c r="D7260" s="15"/>
      <c r="E7260" s="15"/>
      <c r="F7260" s="20"/>
    </row>
    <row r="7261" spans="2:6" ht="17.25" customHeight="1">
      <c r="B7261" s="15"/>
      <c r="C7261" s="15"/>
      <c r="D7261" s="15"/>
      <c r="E7261" s="15"/>
      <c r="F7261" s="20"/>
    </row>
    <row r="7262" spans="2:6" ht="17.25" customHeight="1">
      <c r="B7262" s="15"/>
      <c r="C7262" s="15"/>
      <c r="D7262" s="15"/>
      <c r="E7262" s="15"/>
      <c r="F7262" s="20"/>
    </row>
    <row r="7263" spans="2:6" ht="17.25" customHeight="1">
      <c r="B7263" s="15"/>
      <c r="C7263" s="15"/>
      <c r="D7263" s="15"/>
      <c r="E7263" s="15"/>
      <c r="F7263" s="20"/>
    </row>
    <row r="7264" spans="2:6" ht="17.25" customHeight="1">
      <c r="B7264" s="15"/>
      <c r="C7264" s="15"/>
      <c r="D7264" s="15"/>
      <c r="E7264" s="15"/>
      <c r="F7264" s="20"/>
    </row>
    <row r="7265" spans="2:6" ht="17.25" customHeight="1">
      <c r="B7265" s="15"/>
      <c r="C7265" s="15"/>
      <c r="D7265" s="15"/>
      <c r="E7265" s="15"/>
      <c r="F7265" s="20"/>
    </row>
    <row r="7266" spans="2:6" ht="17.25" customHeight="1">
      <c r="B7266" s="15"/>
      <c r="C7266" s="15"/>
      <c r="D7266" s="15"/>
      <c r="E7266" s="15"/>
      <c r="F7266" s="20"/>
    </row>
    <row r="7267" spans="2:6" ht="17.25" customHeight="1">
      <c r="B7267" s="15"/>
      <c r="C7267" s="15"/>
      <c r="D7267" s="15"/>
      <c r="E7267" s="15"/>
      <c r="F7267" s="20"/>
    </row>
    <row r="7268" spans="2:6" ht="17.25" customHeight="1">
      <c r="B7268" s="15"/>
      <c r="C7268" s="15"/>
      <c r="D7268" s="15"/>
      <c r="E7268" s="15"/>
      <c r="F7268" s="20"/>
    </row>
    <row r="7269" spans="2:6" ht="17.25" customHeight="1">
      <c r="B7269" s="15"/>
      <c r="C7269" s="15"/>
      <c r="D7269" s="15"/>
      <c r="E7269" s="15"/>
      <c r="F7269" s="20"/>
    </row>
    <row r="7270" spans="2:6" ht="17.25" customHeight="1">
      <c r="B7270" s="15"/>
      <c r="C7270" s="15"/>
      <c r="D7270" s="15"/>
      <c r="E7270" s="15"/>
      <c r="F7270" s="20"/>
    </row>
    <row r="7271" spans="2:6" ht="17.25" customHeight="1">
      <c r="B7271" s="15"/>
      <c r="C7271" s="15"/>
      <c r="D7271" s="15"/>
      <c r="E7271" s="15"/>
      <c r="F7271" s="20"/>
    </row>
    <row r="7272" spans="2:6" ht="17.25" customHeight="1">
      <c r="B7272" s="15"/>
      <c r="C7272" s="15"/>
      <c r="D7272" s="15"/>
      <c r="E7272" s="15"/>
      <c r="F7272" s="20"/>
    </row>
    <row r="7273" spans="2:6" ht="17.25" customHeight="1">
      <c r="B7273" s="15"/>
      <c r="C7273" s="15"/>
      <c r="D7273" s="15"/>
      <c r="E7273" s="15"/>
      <c r="F7273" s="20"/>
    </row>
    <row r="7274" spans="2:6" ht="17.25" customHeight="1">
      <c r="B7274" s="15"/>
      <c r="C7274" s="15"/>
      <c r="D7274" s="15"/>
      <c r="E7274" s="15"/>
      <c r="F7274" s="20"/>
    </row>
    <row r="7275" spans="2:6" ht="17.25" customHeight="1">
      <c r="B7275" s="15"/>
      <c r="C7275" s="15"/>
      <c r="D7275" s="15"/>
      <c r="E7275" s="15"/>
      <c r="F7275" s="20"/>
    </row>
    <row r="7276" spans="2:6" ht="17.25" customHeight="1">
      <c r="B7276" s="15"/>
      <c r="C7276" s="15"/>
      <c r="D7276" s="15"/>
      <c r="E7276" s="15"/>
      <c r="F7276" s="20"/>
    </row>
    <row r="7277" spans="2:6" ht="17.25" customHeight="1">
      <c r="B7277" s="15"/>
      <c r="C7277" s="15"/>
      <c r="D7277" s="15"/>
      <c r="E7277" s="15"/>
      <c r="F7277" s="20"/>
    </row>
    <row r="7278" spans="2:6" ht="17.25" customHeight="1">
      <c r="B7278" s="15"/>
      <c r="C7278" s="15"/>
      <c r="D7278" s="15"/>
      <c r="E7278" s="15"/>
      <c r="F7278" s="20"/>
    </row>
    <row r="7279" spans="2:6" ht="17.25" customHeight="1">
      <c r="B7279" s="15"/>
      <c r="C7279" s="15"/>
      <c r="D7279" s="15"/>
      <c r="E7279" s="15"/>
      <c r="F7279" s="20"/>
    </row>
    <row r="7280" spans="2:6" ht="17.25" customHeight="1">
      <c r="B7280" s="15"/>
      <c r="C7280" s="15"/>
      <c r="D7280" s="15"/>
      <c r="E7280" s="15"/>
      <c r="F7280" s="20"/>
    </row>
    <row r="7281" spans="2:6" ht="17.25" customHeight="1">
      <c r="B7281" s="15"/>
      <c r="C7281" s="15"/>
      <c r="D7281" s="15"/>
      <c r="E7281" s="15"/>
      <c r="F7281" s="20"/>
    </row>
    <row r="7282" spans="2:6" ht="17.25" customHeight="1">
      <c r="B7282" s="15"/>
      <c r="C7282" s="15"/>
      <c r="D7282" s="15"/>
      <c r="E7282" s="15"/>
      <c r="F7282" s="20"/>
    </row>
    <row r="7283" spans="2:6" ht="17.25" customHeight="1">
      <c r="B7283" s="15"/>
      <c r="C7283" s="15"/>
      <c r="D7283" s="15"/>
      <c r="E7283" s="15"/>
      <c r="F7283" s="20"/>
    </row>
    <row r="7284" spans="2:6" ht="17.25" customHeight="1">
      <c r="B7284" s="15"/>
      <c r="C7284" s="15"/>
      <c r="D7284" s="15"/>
      <c r="E7284" s="15"/>
      <c r="F7284" s="20"/>
    </row>
    <row r="7285" spans="2:6" ht="17.25" customHeight="1">
      <c r="B7285" s="15"/>
      <c r="C7285" s="15"/>
      <c r="D7285" s="15"/>
      <c r="E7285" s="15"/>
      <c r="F7285" s="20"/>
    </row>
    <row r="7286" spans="2:6" ht="17.25" customHeight="1">
      <c r="B7286" s="15"/>
      <c r="C7286" s="15"/>
      <c r="D7286" s="15"/>
      <c r="E7286" s="15"/>
      <c r="F7286" s="20"/>
    </row>
    <row r="7287" spans="2:6" ht="17.25" customHeight="1">
      <c r="B7287" s="15"/>
      <c r="C7287" s="15"/>
      <c r="D7287" s="15"/>
      <c r="E7287" s="15"/>
      <c r="F7287" s="20"/>
    </row>
    <row r="7288" spans="2:6" ht="17.25" customHeight="1">
      <c r="B7288" s="15"/>
      <c r="C7288" s="15"/>
      <c r="D7288" s="15"/>
      <c r="E7288" s="15"/>
      <c r="F7288" s="20"/>
    </row>
    <row r="7289" spans="2:6" ht="17.25" customHeight="1">
      <c r="B7289" s="15"/>
      <c r="C7289" s="15"/>
      <c r="D7289" s="15"/>
      <c r="E7289" s="15"/>
      <c r="F7289" s="20"/>
    </row>
    <row r="7290" spans="2:6" ht="17.25" customHeight="1">
      <c r="B7290" s="15"/>
      <c r="C7290" s="15"/>
      <c r="D7290" s="15"/>
      <c r="E7290" s="15"/>
      <c r="F7290" s="20"/>
    </row>
    <row r="7291" spans="2:6" ht="17.25" customHeight="1">
      <c r="B7291" s="15"/>
      <c r="C7291" s="15"/>
      <c r="D7291" s="15"/>
      <c r="E7291" s="15"/>
      <c r="F7291" s="20"/>
    </row>
    <row r="7292" spans="2:6" ht="17.25" customHeight="1">
      <c r="B7292" s="15"/>
      <c r="C7292" s="15"/>
      <c r="D7292" s="15"/>
      <c r="E7292" s="15"/>
      <c r="F7292" s="20"/>
    </row>
    <row r="7293" spans="2:6" ht="17.25" customHeight="1">
      <c r="B7293" s="15"/>
      <c r="C7293" s="15"/>
      <c r="D7293" s="15"/>
      <c r="E7293" s="15"/>
      <c r="F7293" s="20"/>
    </row>
    <row r="7294" spans="2:6" ht="17.25" customHeight="1">
      <c r="B7294" s="15"/>
      <c r="C7294" s="15"/>
      <c r="D7294" s="15"/>
      <c r="E7294" s="15"/>
      <c r="F7294" s="20"/>
    </row>
    <row r="7295" spans="2:6" ht="17.25" customHeight="1">
      <c r="B7295" s="15"/>
      <c r="C7295" s="15"/>
      <c r="D7295" s="15"/>
      <c r="E7295" s="15"/>
      <c r="F7295" s="20"/>
    </row>
    <row r="7296" spans="2:6" ht="17.25" customHeight="1">
      <c r="B7296" s="15"/>
      <c r="C7296" s="15"/>
      <c r="D7296" s="15"/>
      <c r="E7296" s="15"/>
      <c r="F7296" s="20"/>
    </row>
    <row r="7297" spans="2:6" ht="17.25" customHeight="1">
      <c r="B7297" s="15"/>
      <c r="C7297" s="15"/>
      <c r="D7297" s="15"/>
      <c r="E7297" s="15"/>
      <c r="F7297" s="20"/>
    </row>
    <row r="7298" spans="2:6" ht="17.25" customHeight="1">
      <c r="B7298" s="15"/>
      <c r="C7298" s="15"/>
      <c r="D7298" s="15"/>
      <c r="E7298" s="15"/>
      <c r="F7298" s="20"/>
    </row>
    <row r="7299" spans="2:6" ht="17.25" customHeight="1">
      <c r="B7299" s="15"/>
      <c r="C7299" s="15"/>
      <c r="D7299" s="15"/>
      <c r="E7299" s="15"/>
      <c r="F7299" s="20"/>
    </row>
    <row r="7300" spans="2:6" ht="17.25" customHeight="1">
      <c r="B7300" s="15"/>
      <c r="C7300" s="15"/>
      <c r="D7300" s="15"/>
      <c r="E7300" s="15"/>
      <c r="F7300" s="20"/>
    </row>
    <row r="7301" spans="2:6" ht="17.25" customHeight="1">
      <c r="B7301" s="15"/>
      <c r="C7301" s="15"/>
      <c r="D7301" s="15"/>
      <c r="E7301" s="15"/>
      <c r="F7301" s="20"/>
    </row>
    <row r="7302" spans="2:6" ht="17.25" customHeight="1">
      <c r="B7302" s="15"/>
      <c r="C7302" s="15"/>
      <c r="D7302" s="15"/>
      <c r="E7302" s="15"/>
      <c r="F7302" s="20"/>
    </row>
    <row r="7303" spans="2:6" ht="17.25" customHeight="1">
      <c r="B7303" s="15"/>
      <c r="C7303" s="15"/>
      <c r="D7303" s="15"/>
      <c r="E7303" s="15"/>
      <c r="F7303" s="20"/>
    </row>
    <row r="7304" spans="2:6" ht="17.25" customHeight="1">
      <c r="B7304" s="15"/>
      <c r="C7304" s="15"/>
      <c r="D7304" s="15"/>
      <c r="E7304" s="15"/>
      <c r="F7304" s="20"/>
    </row>
    <row r="7305" spans="2:6" ht="17.25" customHeight="1">
      <c r="B7305" s="15"/>
      <c r="C7305" s="15"/>
      <c r="D7305" s="15"/>
      <c r="E7305" s="15"/>
      <c r="F7305" s="20"/>
    </row>
    <row r="7306" spans="2:6" ht="17.25" customHeight="1">
      <c r="B7306" s="15"/>
      <c r="C7306" s="15"/>
      <c r="D7306" s="15"/>
      <c r="E7306" s="15"/>
      <c r="F7306" s="20"/>
    </row>
    <row r="7307" spans="2:6" ht="17.25" customHeight="1">
      <c r="B7307" s="15"/>
      <c r="C7307" s="15"/>
      <c r="D7307" s="15"/>
      <c r="E7307" s="15"/>
      <c r="F7307" s="20"/>
    </row>
    <row r="7308" spans="2:6" ht="17.25" customHeight="1">
      <c r="B7308" s="15"/>
      <c r="C7308" s="15"/>
      <c r="D7308" s="15"/>
      <c r="E7308" s="15"/>
      <c r="F7308" s="20"/>
    </row>
    <row r="7309" spans="2:6" ht="17.25" customHeight="1">
      <c r="B7309" s="15"/>
      <c r="C7309" s="15"/>
      <c r="D7309" s="15"/>
      <c r="E7309" s="15"/>
      <c r="F7309" s="20"/>
    </row>
    <row r="7310" spans="2:6" ht="17.25" customHeight="1">
      <c r="B7310" s="15"/>
      <c r="C7310" s="15"/>
      <c r="D7310" s="15"/>
      <c r="E7310" s="15"/>
      <c r="F7310" s="20"/>
    </row>
    <row r="7311" spans="2:6" ht="17.25" customHeight="1">
      <c r="B7311" s="15"/>
      <c r="C7311" s="15"/>
      <c r="D7311" s="15"/>
      <c r="E7311" s="15"/>
      <c r="F7311" s="20"/>
    </row>
    <row r="7312" spans="2:6" ht="17.25" customHeight="1">
      <c r="B7312" s="15"/>
      <c r="C7312" s="15"/>
      <c r="D7312" s="15"/>
      <c r="E7312" s="15"/>
      <c r="F7312" s="20"/>
    </row>
    <row r="7313" spans="2:6" ht="17.25" customHeight="1">
      <c r="B7313" s="15"/>
      <c r="C7313" s="15"/>
      <c r="D7313" s="15"/>
      <c r="E7313" s="15"/>
      <c r="F7313" s="20"/>
    </row>
    <row r="7314" spans="2:6" ht="17.25" customHeight="1">
      <c r="B7314" s="15"/>
      <c r="C7314" s="15"/>
      <c r="D7314" s="15"/>
      <c r="E7314" s="15"/>
      <c r="F7314" s="20"/>
    </row>
    <row r="7315" spans="2:6" ht="17.25" customHeight="1">
      <c r="B7315" s="15"/>
      <c r="C7315" s="15"/>
      <c r="D7315" s="15"/>
      <c r="E7315" s="15"/>
      <c r="F7315" s="20"/>
    </row>
    <row r="7316" spans="2:6" ht="17.25" customHeight="1">
      <c r="B7316" s="15"/>
      <c r="C7316" s="15"/>
      <c r="D7316" s="15"/>
      <c r="E7316" s="15"/>
      <c r="F7316" s="20"/>
    </row>
    <row r="7317" spans="2:6" ht="17.25" customHeight="1">
      <c r="B7317" s="15"/>
      <c r="C7317" s="15"/>
      <c r="D7317" s="15"/>
      <c r="E7317" s="15"/>
      <c r="F7317" s="20"/>
    </row>
    <row r="7318" spans="2:6" ht="17.25" customHeight="1">
      <c r="B7318" s="15"/>
      <c r="C7318" s="15"/>
      <c r="D7318" s="15"/>
      <c r="E7318" s="15"/>
      <c r="F7318" s="20"/>
    </row>
    <row r="7319" spans="2:6" ht="17.25" customHeight="1">
      <c r="B7319" s="15"/>
      <c r="C7319" s="15"/>
      <c r="D7319" s="15"/>
      <c r="E7319" s="15"/>
      <c r="F7319" s="20"/>
    </row>
    <row r="7320" spans="2:6" ht="17.25" customHeight="1">
      <c r="B7320" s="15"/>
      <c r="C7320" s="15"/>
      <c r="D7320" s="15"/>
      <c r="E7320" s="15"/>
      <c r="F7320" s="20"/>
    </row>
    <row r="7321" spans="2:6" ht="17.25" customHeight="1">
      <c r="B7321" s="15"/>
      <c r="C7321" s="15"/>
      <c r="D7321" s="15"/>
      <c r="E7321" s="15"/>
      <c r="F7321" s="20"/>
    </row>
    <row r="7322" spans="2:6" ht="17.25" customHeight="1">
      <c r="B7322" s="15"/>
      <c r="C7322" s="15"/>
      <c r="D7322" s="15"/>
      <c r="E7322" s="15"/>
      <c r="F7322" s="20"/>
    </row>
    <row r="7323" spans="2:6" ht="17.25" customHeight="1">
      <c r="B7323" s="15"/>
      <c r="C7323" s="15"/>
      <c r="D7323" s="15"/>
      <c r="E7323" s="15"/>
      <c r="F7323" s="20"/>
    </row>
    <row r="7324" spans="2:6" ht="17.25" customHeight="1">
      <c r="B7324" s="15"/>
      <c r="C7324" s="15"/>
      <c r="D7324" s="15"/>
      <c r="E7324" s="15"/>
      <c r="F7324" s="20"/>
    </row>
    <row r="7325" spans="2:6" ht="17.25" customHeight="1">
      <c r="B7325" s="15"/>
      <c r="C7325" s="15"/>
      <c r="D7325" s="15"/>
      <c r="E7325" s="15"/>
      <c r="F7325" s="20"/>
    </row>
    <row r="7326" spans="2:6" ht="17.25" customHeight="1">
      <c r="B7326" s="15"/>
      <c r="C7326" s="15"/>
      <c r="D7326" s="15"/>
      <c r="E7326" s="15"/>
      <c r="F7326" s="20"/>
    </row>
    <row r="7327" spans="2:6" ht="17.25" customHeight="1">
      <c r="B7327" s="15"/>
      <c r="C7327" s="15"/>
      <c r="D7327" s="15"/>
      <c r="E7327" s="15"/>
      <c r="F7327" s="20"/>
    </row>
    <row r="7328" spans="2:6" ht="17.25" customHeight="1">
      <c r="B7328" s="15"/>
      <c r="C7328" s="15"/>
      <c r="D7328" s="15"/>
      <c r="E7328" s="15"/>
      <c r="F7328" s="20"/>
    </row>
    <row r="7329" spans="2:6" ht="17.25" customHeight="1">
      <c r="B7329" s="15"/>
      <c r="C7329" s="15"/>
      <c r="D7329" s="15"/>
      <c r="E7329" s="15"/>
      <c r="F7329" s="20"/>
    </row>
    <row r="7330" spans="2:6" ht="17.25" customHeight="1">
      <c r="B7330" s="15"/>
      <c r="C7330" s="15"/>
      <c r="D7330" s="15"/>
      <c r="E7330" s="15"/>
      <c r="F7330" s="20"/>
    </row>
    <row r="7331" spans="2:6" ht="17.25" customHeight="1">
      <c r="B7331" s="15"/>
      <c r="C7331" s="15"/>
      <c r="D7331" s="15"/>
      <c r="E7331" s="15"/>
      <c r="F7331" s="20"/>
    </row>
    <row r="7332" spans="2:6" ht="17.25" customHeight="1">
      <c r="B7332" s="15"/>
      <c r="C7332" s="15"/>
      <c r="D7332" s="15"/>
      <c r="E7332" s="15"/>
      <c r="F7332" s="20"/>
    </row>
    <row r="7333" spans="2:6" ht="17.25" customHeight="1">
      <c r="B7333" s="15"/>
      <c r="C7333" s="15"/>
      <c r="D7333" s="15"/>
      <c r="E7333" s="15"/>
      <c r="F7333" s="20"/>
    </row>
    <row r="7334" spans="2:6" ht="17.25" customHeight="1">
      <c r="B7334" s="15"/>
      <c r="C7334" s="15"/>
      <c r="D7334" s="15"/>
      <c r="E7334" s="15"/>
      <c r="F7334" s="20"/>
    </row>
    <row r="7335" spans="2:6" ht="17.25" customHeight="1">
      <c r="B7335" s="15"/>
      <c r="C7335" s="15"/>
      <c r="D7335" s="15"/>
      <c r="E7335" s="15"/>
      <c r="F7335" s="20"/>
    </row>
    <row r="7336" spans="2:6" ht="17.25" customHeight="1">
      <c r="B7336" s="15"/>
      <c r="C7336" s="15"/>
      <c r="D7336" s="15"/>
      <c r="E7336" s="15"/>
      <c r="F7336" s="20"/>
    </row>
    <row r="7337" spans="2:6" ht="17.25" customHeight="1">
      <c r="B7337" s="15"/>
      <c r="C7337" s="15"/>
      <c r="D7337" s="15"/>
      <c r="E7337" s="15"/>
      <c r="F7337" s="20"/>
    </row>
    <row r="7338" spans="2:6" ht="17.25" customHeight="1">
      <c r="B7338" s="15"/>
      <c r="C7338" s="15"/>
      <c r="D7338" s="15"/>
      <c r="E7338" s="15"/>
      <c r="F7338" s="20"/>
    </row>
    <row r="7339" spans="2:6" ht="17.25" customHeight="1">
      <c r="B7339" s="15"/>
      <c r="C7339" s="15"/>
      <c r="D7339" s="15"/>
      <c r="E7339" s="15"/>
      <c r="F7339" s="20"/>
    </row>
    <row r="7340" spans="2:6" ht="17.25" customHeight="1">
      <c r="B7340" s="15"/>
      <c r="C7340" s="15"/>
      <c r="D7340" s="15"/>
      <c r="E7340" s="15"/>
      <c r="F7340" s="20"/>
    </row>
    <row r="7341" spans="2:6" ht="17.25" customHeight="1">
      <c r="B7341" s="15"/>
      <c r="C7341" s="15"/>
      <c r="D7341" s="15"/>
      <c r="E7341" s="15"/>
      <c r="F7341" s="20"/>
    </row>
    <row r="7342" spans="2:6" ht="17.25" customHeight="1">
      <c r="B7342" s="15"/>
      <c r="C7342" s="15"/>
      <c r="D7342" s="15"/>
      <c r="E7342" s="15"/>
      <c r="F7342" s="20"/>
    </row>
    <row r="7343" spans="2:6" ht="17.25" customHeight="1">
      <c r="B7343" s="15"/>
      <c r="C7343" s="15"/>
      <c r="D7343" s="15"/>
      <c r="E7343" s="15"/>
      <c r="F7343" s="20"/>
    </row>
    <row r="7344" spans="2:6" ht="17.25" customHeight="1">
      <c r="B7344" s="15"/>
      <c r="C7344" s="15"/>
      <c r="D7344" s="15"/>
      <c r="E7344" s="15"/>
      <c r="F7344" s="20"/>
    </row>
    <row r="7345" spans="2:6" ht="17.25" customHeight="1">
      <c r="B7345" s="15"/>
      <c r="C7345" s="15"/>
      <c r="D7345" s="15"/>
      <c r="E7345" s="15"/>
      <c r="F7345" s="20"/>
    </row>
    <row r="7346" spans="2:6" ht="17.25" customHeight="1">
      <c r="B7346" s="15"/>
      <c r="C7346" s="15"/>
      <c r="D7346" s="15"/>
      <c r="E7346" s="15"/>
      <c r="F7346" s="20"/>
    </row>
    <row r="7347" spans="2:6" ht="17.25" customHeight="1">
      <c r="B7347" s="15"/>
      <c r="C7347" s="15"/>
      <c r="D7347" s="15"/>
      <c r="E7347" s="15"/>
      <c r="F7347" s="20"/>
    </row>
    <row r="7348" spans="2:6" ht="17.25" customHeight="1">
      <c r="B7348" s="15"/>
      <c r="C7348" s="15"/>
      <c r="D7348" s="15"/>
      <c r="E7348" s="15"/>
      <c r="F7348" s="20"/>
    </row>
    <row r="7349" spans="2:6" ht="17.25" customHeight="1">
      <c r="B7349" s="15"/>
      <c r="C7349" s="15"/>
      <c r="D7349" s="15"/>
      <c r="E7349" s="15"/>
      <c r="F7349" s="20"/>
    </row>
    <row r="7350" spans="2:6" ht="17.25" customHeight="1">
      <c r="B7350" s="15"/>
      <c r="C7350" s="15"/>
      <c r="D7350" s="15"/>
      <c r="E7350" s="15"/>
      <c r="F7350" s="20"/>
    </row>
    <row r="7351" spans="2:6" ht="17.25" customHeight="1">
      <c r="B7351" s="15"/>
      <c r="C7351" s="15"/>
      <c r="D7351" s="15"/>
      <c r="E7351" s="15"/>
      <c r="F7351" s="20"/>
    </row>
    <row r="7352" spans="2:6" ht="17.25" customHeight="1">
      <c r="B7352" s="15"/>
      <c r="C7352" s="15"/>
      <c r="D7352" s="15"/>
      <c r="E7352" s="15"/>
      <c r="F7352" s="20"/>
    </row>
    <row r="7353" spans="2:6" ht="17.25" customHeight="1">
      <c r="B7353" s="15"/>
      <c r="C7353" s="15"/>
      <c r="D7353" s="15"/>
      <c r="E7353" s="15"/>
      <c r="F7353" s="20"/>
    </row>
    <row r="7354" spans="2:6" ht="17.25" customHeight="1">
      <c r="B7354" s="15"/>
      <c r="C7354" s="15"/>
      <c r="D7354" s="15"/>
      <c r="E7354" s="15"/>
      <c r="F7354" s="20"/>
    </row>
    <row r="7355" spans="2:6" ht="17.25" customHeight="1">
      <c r="B7355" s="15"/>
      <c r="C7355" s="15"/>
      <c r="D7355" s="15"/>
      <c r="E7355" s="15"/>
      <c r="F7355" s="20"/>
    </row>
    <row r="7356" spans="2:6" ht="17.25" customHeight="1">
      <c r="B7356" s="15"/>
      <c r="C7356" s="15"/>
      <c r="D7356" s="15"/>
      <c r="E7356" s="15"/>
      <c r="F7356" s="20"/>
    </row>
    <row r="7357" spans="2:6" ht="17.25" customHeight="1">
      <c r="B7357" s="15"/>
      <c r="C7357" s="15"/>
      <c r="D7357" s="15"/>
      <c r="E7357" s="15"/>
      <c r="F7357" s="20"/>
    </row>
    <row r="7358" spans="2:6" ht="17.25" customHeight="1">
      <c r="B7358" s="15"/>
      <c r="C7358" s="15"/>
      <c r="D7358" s="15"/>
      <c r="E7358" s="15"/>
      <c r="F7358" s="20"/>
    </row>
    <row r="7359" spans="2:6" ht="17.25" customHeight="1">
      <c r="B7359" s="15"/>
      <c r="C7359" s="15"/>
      <c r="D7359" s="15"/>
      <c r="E7359" s="15"/>
      <c r="F7359" s="20"/>
    </row>
    <row r="7360" spans="2:6" ht="17.25" customHeight="1">
      <c r="B7360" s="15"/>
      <c r="C7360" s="15"/>
      <c r="D7360" s="15"/>
      <c r="E7360" s="15"/>
      <c r="F7360" s="20"/>
    </row>
    <row r="7361" spans="2:6" ht="17.25" customHeight="1">
      <c r="B7361" s="15"/>
      <c r="C7361" s="15"/>
      <c r="D7361" s="15"/>
      <c r="E7361" s="15"/>
      <c r="F7361" s="20"/>
    </row>
    <row r="7362" spans="2:6" ht="17.25" customHeight="1">
      <c r="B7362" s="15"/>
      <c r="C7362" s="15"/>
      <c r="D7362" s="15"/>
      <c r="E7362" s="15"/>
      <c r="F7362" s="20"/>
    </row>
    <row r="7363" spans="2:6" ht="17.25" customHeight="1">
      <c r="B7363" s="15"/>
      <c r="C7363" s="15"/>
      <c r="D7363" s="15"/>
      <c r="E7363" s="15"/>
      <c r="F7363" s="20"/>
    </row>
    <row r="7364" spans="2:6" ht="17.25" customHeight="1">
      <c r="B7364" s="15"/>
      <c r="C7364" s="15"/>
      <c r="D7364" s="15"/>
      <c r="E7364" s="15"/>
      <c r="F7364" s="20"/>
    </row>
    <row r="7365" spans="2:6" ht="17.25" customHeight="1">
      <c r="B7365" s="15"/>
      <c r="C7365" s="15"/>
      <c r="D7365" s="15"/>
      <c r="E7365" s="15"/>
      <c r="F7365" s="20"/>
    </row>
    <row r="7366" spans="2:6" ht="17.25" customHeight="1">
      <c r="B7366" s="15"/>
      <c r="C7366" s="15"/>
      <c r="D7366" s="15"/>
      <c r="E7366" s="15"/>
      <c r="F7366" s="20"/>
    </row>
    <row r="7367" spans="2:6" ht="17.25" customHeight="1">
      <c r="B7367" s="15"/>
      <c r="C7367" s="15"/>
      <c r="D7367" s="15"/>
      <c r="E7367" s="15"/>
      <c r="F7367" s="20"/>
    </row>
    <row r="7368" spans="2:6" ht="17.25" customHeight="1">
      <c r="B7368" s="15"/>
      <c r="C7368" s="15"/>
      <c r="D7368" s="15"/>
      <c r="E7368" s="15"/>
      <c r="F7368" s="20"/>
    </row>
    <row r="7369" spans="2:6" ht="17.25" customHeight="1">
      <c r="B7369" s="15"/>
      <c r="C7369" s="15"/>
      <c r="D7369" s="15"/>
      <c r="E7369" s="15"/>
      <c r="F7369" s="20"/>
    </row>
    <row r="7370" spans="2:6" ht="17.25" customHeight="1">
      <c r="B7370" s="15"/>
      <c r="C7370" s="15"/>
      <c r="D7370" s="15"/>
      <c r="E7370" s="15"/>
      <c r="F7370" s="20"/>
    </row>
    <row r="7371" spans="2:6" ht="17.25" customHeight="1">
      <c r="B7371" s="15"/>
      <c r="C7371" s="15"/>
      <c r="D7371" s="15"/>
      <c r="E7371" s="15"/>
      <c r="F7371" s="20"/>
    </row>
    <row r="7372" spans="2:6" ht="17.25" customHeight="1">
      <c r="B7372" s="15"/>
      <c r="C7372" s="15"/>
      <c r="D7372" s="15"/>
      <c r="E7372" s="15"/>
      <c r="F7372" s="20"/>
    </row>
    <row r="7373" spans="2:6" ht="17.25" customHeight="1">
      <c r="B7373" s="15"/>
      <c r="C7373" s="15"/>
      <c r="D7373" s="15"/>
      <c r="E7373" s="15"/>
      <c r="F7373" s="20"/>
    </row>
    <row r="7374" spans="2:6" ht="17.25" customHeight="1">
      <c r="B7374" s="15"/>
      <c r="C7374" s="15"/>
      <c r="D7374" s="15"/>
      <c r="E7374" s="15"/>
      <c r="F7374" s="20"/>
    </row>
    <row r="7375" spans="2:6" ht="17.25" customHeight="1">
      <c r="B7375" s="15"/>
      <c r="C7375" s="15"/>
      <c r="D7375" s="15"/>
      <c r="E7375" s="15"/>
      <c r="F7375" s="20"/>
    </row>
    <row r="7376" spans="2:6" ht="17.25" customHeight="1">
      <c r="B7376" s="15"/>
      <c r="C7376" s="15"/>
      <c r="D7376" s="15"/>
      <c r="E7376" s="15"/>
      <c r="F7376" s="20"/>
    </row>
    <row r="7377" spans="2:6" ht="17.25" customHeight="1">
      <c r="B7377" s="15"/>
      <c r="C7377" s="15"/>
      <c r="D7377" s="15"/>
      <c r="E7377" s="15"/>
      <c r="F7377" s="20"/>
    </row>
    <row r="7378" spans="2:6" ht="17.25" customHeight="1">
      <c r="B7378" s="15"/>
      <c r="C7378" s="15"/>
      <c r="D7378" s="15"/>
      <c r="E7378" s="15"/>
      <c r="F7378" s="20"/>
    </row>
    <row r="7379" spans="2:6" ht="17.25" customHeight="1">
      <c r="B7379" s="15"/>
      <c r="C7379" s="15"/>
      <c r="D7379" s="15"/>
      <c r="E7379" s="15"/>
      <c r="F7379" s="20"/>
    </row>
    <row r="7380" spans="2:6" ht="17.25" customHeight="1">
      <c r="B7380" s="15"/>
      <c r="C7380" s="15"/>
      <c r="D7380" s="15"/>
      <c r="E7380" s="15"/>
      <c r="F7380" s="20"/>
    </row>
    <row r="7381" spans="2:6" ht="17.25" customHeight="1">
      <c r="B7381" s="15"/>
      <c r="C7381" s="15"/>
      <c r="D7381" s="15"/>
      <c r="E7381" s="15"/>
      <c r="F7381" s="20"/>
    </row>
    <row r="7382" spans="2:6" ht="17.25" customHeight="1">
      <c r="B7382" s="15"/>
      <c r="C7382" s="15"/>
      <c r="D7382" s="15"/>
      <c r="E7382" s="15"/>
      <c r="F7382" s="20"/>
    </row>
    <row r="7383" spans="2:6" ht="17.25" customHeight="1">
      <c r="B7383" s="15"/>
      <c r="C7383" s="15"/>
      <c r="D7383" s="15"/>
      <c r="E7383" s="15"/>
      <c r="F7383" s="20"/>
    </row>
    <row r="7384" spans="2:6" ht="17.25" customHeight="1">
      <c r="B7384" s="15"/>
      <c r="C7384" s="15"/>
      <c r="D7384" s="15"/>
      <c r="E7384" s="15"/>
      <c r="F7384" s="20"/>
    </row>
    <row r="7385" spans="2:6" ht="17.25" customHeight="1">
      <c r="B7385" s="15"/>
      <c r="C7385" s="15"/>
      <c r="D7385" s="15"/>
      <c r="E7385" s="15"/>
      <c r="F7385" s="20"/>
    </row>
    <row r="7386" spans="2:6" ht="17.25" customHeight="1">
      <c r="B7386" s="15"/>
      <c r="C7386" s="15"/>
      <c r="D7386" s="15"/>
      <c r="E7386" s="15"/>
      <c r="F7386" s="20"/>
    </row>
    <row r="7387" spans="2:6" ht="17.25" customHeight="1">
      <c r="B7387" s="15"/>
      <c r="C7387" s="15"/>
      <c r="D7387" s="15"/>
      <c r="E7387" s="15"/>
      <c r="F7387" s="20"/>
    </row>
    <row r="7388" spans="2:6" ht="17.25" customHeight="1">
      <c r="B7388" s="15"/>
      <c r="C7388" s="15"/>
      <c r="D7388" s="15"/>
      <c r="E7388" s="15"/>
      <c r="F7388" s="20"/>
    </row>
    <row r="7389" spans="2:6" ht="17.25" customHeight="1">
      <c r="B7389" s="15"/>
      <c r="C7389" s="15"/>
      <c r="D7389" s="15"/>
      <c r="E7389" s="15"/>
      <c r="F7389" s="20"/>
    </row>
    <row r="7390" spans="2:6" ht="17.25" customHeight="1">
      <c r="B7390" s="15"/>
      <c r="C7390" s="15"/>
      <c r="D7390" s="15"/>
      <c r="E7390" s="15"/>
      <c r="F7390" s="20"/>
    </row>
    <row r="7391" spans="2:6" ht="17.25" customHeight="1">
      <c r="B7391" s="15"/>
      <c r="C7391" s="15"/>
      <c r="D7391" s="15"/>
      <c r="E7391" s="15"/>
      <c r="F7391" s="20"/>
    </row>
    <row r="7392" spans="2:6" ht="17.25" customHeight="1">
      <c r="B7392" s="15"/>
      <c r="C7392" s="15"/>
      <c r="D7392" s="15"/>
      <c r="E7392" s="15"/>
      <c r="F7392" s="20"/>
    </row>
    <row r="7393" spans="2:6" ht="17.25" customHeight="1">
      <c r="B7393" s="15"/>
      <c r="C7393" s="15"/>
      <c r="D7393" s="15"/>
      <c r="E7393" s="15"/>
      <c r="F7393" s="20"/>
    </row>
    <row r="7394" spans="2:6" ht="17.25" customHeight="1">
      <c r="B7394" s="15"/>
      <c r="C7394" s="15"/>
      <c r="D7394" s="15"/>
      <c r="E7394" s="15"/>
      <c r="F7394" s="20"/>
    </row>
    <row r="7395" spans="2:6" ht="17.25" customHeight="1">
      <c r="B7395" s="15"/>
      <c r="C7395" s="15"/>
      <c r="D7395" s="15"/>
      <c r="E7395" s="15"/>
      <c r="F7395" s="20"/>
    </row>
    <row r="7396" spans="2:6" ht="17.25" customHeight="1">
      <c r="B7396" s="15"/>
      <c r="C7396" s="15"/>
      <c r="D7396" s="15"/>
      <c r="E7396" s="15"/>
      <c r="F7396" s="20"/>
    </row>
    <row r="7397" spans="2:6" ht="17.25" customHeight="1">
      <c r="B7397" s="15"/>
      <c r="C7397" s="15"/>
      <c r="D7397" s="15"/>
      <c r="E7397" s="15"/>
      <c r="F7397" s="20"/>
    </row>
    <row r="7398" spans="2:6" ht="17.25" customHeight="1">
      <c r="B7398" s="15"/>
      <c r="C7398" s="15"/>
      <c r="D7398" s="15"/>
      <c r="E7398" s="15"/>
      <c r="F7398" s="20"/>
    </row>
    <row r="7399" spans="2:6" ht="17.25" customHeight="1">
      <c r="B7399" s="15"/>
      <c r="C7399" s="15"/>
      <c r="D7399" s="15"/>
      <c r="E7399" s="15"/>
      <c r="F7399" s="20"/>
    </row>
    <row r="7400" spans="2:6" ht="17.25" customHeight="1">
      <c r="B7400" s="15"/>
      <c r="C7400" s="15"/>
      <c r="D7400" s="15"/>
      <c r="E7400" s="15"/>
      <c r="F7400" s="20"/>
    </row>
    <row r="7401" spans="2:6" ht="17.25" customHeight="1">
      <c r="B7401" s="15"/>
      <c r="C7401" s="15"/>
      <c r="D7401" s="15"/>
      <c r="E7401" s="15"/>
      <c r="F7401" s="20"/>
    </row>
    <row r="7402" spans="2:6" ht="17.25" customHeight="1">
      <c r="B7402" s="15"/>
      <c r="C7402" s="15"/>
      <c r="D7402" s="15"/>
      <c r="E7402" s="15"/>
      <c r="F7402" s="20"/>
    </row>
    <row r="7403" spans="2:6" ht="17.25" customHeight="1">
      <c r="B7403" s="15"/>
      <c r="C7403" s="15"/>
      <c r="D7403" s="15"/>
      <c r="E7403" s="15"/>
      <c r="F7403" s="20"/>
    </row>
    <row r="7404" spans="2:6" ht="17.25" customHeight="1">
      <c r="B7404" s="15"/>
      <c r="C7404" s="15"/>
      <c r="D7404" s="15"/>
      <c r="E7404" s="15"/>
      <c r="F7404" s="20"/>
    </row>
    <row r="7405" spans="2:6" ht="17.25" customHeight="1">
      <c r="B7405" s="15"/>
      <c r="C7405" s="15"/>
      <c r="D7405" s="15"/>
      <c r="E7405" s="15"/>
      <c r="F7405" s="20"/>
    </row>
    <row r="7406" spans="2:6" ht="17.25" customHeight="1">
      <c r="B7406" s="15"/>
      <c r="C7406" s="15"/>
      <c r="D7406" s="15"/>
      <c r="E7406" s="15"/>
      <c r="F7406" s="20"/>
    </row>
    <row r="7407" spans="2:6" ht="17.25" customHeight="1">
      <c r="B7407" s="15"/>
      <c r="C7407" s="15"/>
      <c r="D7407" s="15"/>
      <c r="E7407" s="15"/>
      <c r="F7407" s="20"/>
    </row>
    <row r="7408" spans="2:6" ht="17.25" customHeight="1">
      <c r="B7408" s="15"/>
      <c r="C7408" s="15"/>
      <c r="D7408" s="15"/>
      <c r="E7408" s="15"/>
      <c r="F7408" s="20"/>
    </row>
    <row r="7409" spans="2:6" ht="17.25" customHeight="1">
      <c r="B7409" s="15"/>
      <c r="C7409" s="15"/>
      <c r="D7409" s="15"/>
      <c r="E7409" s="15"/>
      <c r="F7409" s="20"/>
    </row>
    <row r="7410" spans="2:6" ht="17.25" customHeight="1">
      <c r="B7410" s="15"/>
      <c r="C7410" s="15"/>
      <c r="D7410" s="15"/>
      <c r="E7410" s="15"/>
      <c r="F7410" s="20"/>
    </row>
    <row r="7411" spans="2:6" ht="17.25" customHeight="1">
      <c r="B7411" s="15"/>
      <c r="C7411" s="15"/>
      <c r="D7411" s="15"/>
      <c r="E7411" s="15"/>
      <c r="F7411" s="20"/>
    </row>
    <row r="7412" spans="2:6" ht="17.25" customHeight="1">
      <c r="B7412" s="15"/>
      <c r="C7412" s="15"/>
      <c r="D7412" s="15"/>
      <c r="E7412" s="15"/>
      <c r="F7412" s="20"/>
    </row>
    <row r="7413" spans="2:6" ht="17.25" customHeight="1">
      <c r="B7413" s="15"/>
      <c r="C7413" s="15"/>
      <c r="D7413" s="15"/>
      <c r="E7413" s="15"/>
      <c r="F7413" s="20"/>
    </row>
    <row r="7414" spans="2:6" ht="17.25" customHeight="1">
      <c r="B7414" s="15"/>
      <c r="C7414" s="15"/>
      <c r="D7414" s="15"/>
      <c r="E7414" s="15"/>
      <c r="F7414" s="20"/>
    </row>
    <row r="7415" spans="2:6" ht="17.25" customHeight="1">
      <c r="B7415" s="15"/>
      <c r="C7415" s="15"/>
      <c r="D7415" s="15"/>
      <c r="E7415" s="15"/>
      <c r="F7415" s="20"/>
    </row>
    <row r="7416" spans="2:6" ht="17.25" customHeight="1">
      <c r="B7416" s="15"/>
      <c r="C7416" s="15"/>
      <c r="D7416" s="15"/>
      <c r="E7416" s="15"/>
      <c r="F7416" s="20"/>
    </row>
    <row r="7417" spans="2:6" ht="17.25" customHeight="1">
      <c r="B7417" s="15"/>
      <c r="C7417" s="15"/>
      <c r="D7417" s="15"/>
      <c r="E7417" s="15"/>
      <c r="F7417" s="20"/>
    </row>
    <row r="7418" spans="2:6" ht="17.25" customHeight="1">
      <c r="B7418" s="15"/>
      <c r="C7418" s="15"/>
      <c r="D7418" s="15"/>
      <c r="E7418" s="15"/>
      <c r="F7418" s="20"/>
    </row>
    <row r="7419" spans="2:6" ht="17.25" customHeight="1">
      <c r="B7419" s="15"/>
      <c r="C7419" s="15"/>
      <c r="D7419" s="15"/>
      <c r="E7419" s="15"/>
      <c r="F7419" s="20"/>
    </row>
    <row r="7420" spans="2:6" ht="17.25" customHeight="1">
      <c r="B7420" s="15"/>
      <c r="C7420" s="15"/>
      <c r="D7420" s="15"/>
      <c r="E7420" s="15"/>
      <c r="F7420" s="20"/>
    </row>
    <row r="7421" spans="2:6" ht="17.25" customHeight="1">
      <c r="B7421" s="15"/>
      <c r="C7421" s="15"/>
      <c r="D7421" s="15"/>
      <c r="E7421" s="15"/>
      <c r="F7421" s="20"/>
    </row>
    <row r="7422" spans="2:6" ht="17.25" customHeight="1">
      <c r="B7422" s="15"/>
      <c r="C7422" s="15"/>
      <c r="D7422" s="15"/>
      <c r="E7422" s="15"/>
      <c r="F7422" s="20"/>
    </row>
    <row r="7423" spans="2:6" ht="17.25" customHeight="1">
      <c r="B7423" s="15"/>
      <c r="C7423" s="15"/>
      <c r="D7423" s="15"/>
      <c r="E7423" s="15"/>
      <c r="F7423" s="20"/>
    </row>
    <row r="7424" spans="2:6" ht="17.25" customHeight="1">
      <c r="B7424" s="15"/>
      <c r="C7424" s="15"/>
      <c r="D7424" s="15"/>
      <c r="E7424" s="15"/>
      <c r="F7424" s="20"/>
    </row>
    <row r="7425" spans="2:6" ht="17.25" customHeight="1">
      <c r="B7425" s="15"/>
      <c r="C7425" s="15"/>
      <c r="D7425" s="15"/>
      <c r="E7425" s="15"/>
      <c r="F7425" s="20"/>
    </row>
    <row r="7426" spans="2:6" ht="17.25" customHeight="1">
      <c r="B7426" s="15"/>
      <c r="C7426" s="15"/>
      <c r="D7426" s="15"/>
      <c r="E7426" s="15"/>
      <c r="F7426" s="20"/>
    </row>
    <row r="7427" spans="2:6" ht="17.25" customHeight="1">
      <c r="B7427" s="15"/>
      <c r="C7427" s="15"/>
      <c r="D7427" s="15"/>
      <c r="E7427" s="15"/>
      <c r="F7427" s="20"/>
    </row>
    <row r="7428" spans="2:6" ht="17.25" customHeight="1">
      <c r="B7428" s="15"/>
      <c r="C7428" s="15"/>
      <c r="D7428" s="15"/>
      <c r="E7428" s="15"/>
      <c r="F7428" s="20"/>
    </row>
    <row r="7429" spans="2:6" ht="17.25" customHeight="1">
      <c r="B7429" s="15"/>
      <c r="C7429" s="15"/>
      <c r="D7429" s="15"/>
      <c r="E7429" s="15"/>
      <c r="F7429" s="20"/>
    </row>
    <row r="7430" spans="2:6" ht="17.25" customHeight="1">
      <c r="B7430" s="15"/>
      <c r="C7430" s="15"/>
      <c r="D7430" s="15"/>
      <c r="E7430" s="15"/>
      <c r="F7430" s="20"/>
    </row>
    <row r="7431" spans="2:6" ht="17.25" customHeight="1">
      <c r="B7431" s="15"/>
      <c r="C7431" s="15"/>
      <c r="D7431" s="15"/>
      <c r="E7431" s="15"/>
      <c r="F7431" s="20"/>
    </row>
    <row r="7432" spans="2:6" ht="17.25" customHeight="1">
      <c r="B7432" s="15"/>
      <c r="C7432" s="15"/>
      <c r="D7432" s="15"/>
      <c r="E7432" s="15"/>
      <c r="F7432" s="20"/>
    </row>
    <row r="7433" spans="2:6" ht="17.25" customHeight="1">
      <c r="B7433" s="15"/>
      <c r="C7433" s="15"/>
      <c r="D7433" s="15"/>
      <c r="E7433" s="15"/>
      <c r="F7433" s="20"/>
    </row>
    <row r="7434" spans="2:6" ht="17.25" customHeight="1">
      <c r="B7434" s="15"/>
      <c r="C7434" s="15"/>
      <c r="D7434" s="15"/>
      <c r="E7434" s="15"/>
      <c r="F7434" s="20"/>
    </row>
    <row r="7435" spans="2:6" ht="17.25" customHeight="1">
      <c r="B7435" s="15"/>
      <c r="C7435" s="15"/>
      <c r="D7435" s="15"/>
      <c r="E7435" s="15"/>
      <c r="F7435" s="20"/>
    </row>
    <row r="7436" spans="2:6" ht="17.25" customHeight="1">
      <c r="B7436" s="15"/>
      <c r="C7436" s="15"/>
      <c r="D7436" s="15"/>
      <c r="E7436" s="15"/>
      <c r="F7436" s="20"/>
    </row>
    <row r="7437" spans="2:6" ht="17.25" customHeight="1">
      <c r="B7437" s="15"/>
      <c r="C7437" s="15"/>
      <c r="D7437" s="15"/>
      <c r="E7437" s="15"/>
      <c r="F7437" s="20"/>
    </row>
    <row r="7438" spans="2:6" ht="17.25" customHeight="1">
      <c r="B7438" s="15"/>
      <c r="C7438" s="15"/>
      <c r="D7438" s="15"/>
      <c r="E7438" s="15"/>
      <c r="F7438" s="20"/>
    </row>
    <row r="7439" spans="2:6" ht="17.25" customHeight="1">
      <c r="B7439" s="15"/>
      <c r="C7439" s="15"/>
      <c r="D7439" s="15"/>
      <c r="E7439" s="15"/>
      <c r="F7439" s="20"/>
    </row>
    <row r="7440" spans="2:6" ht="17.25" customHeight="1">
      <c r="B7440" s="15"/>
      <c r="C7440" s="15"/>
      <c r="D7440" s="15"/>
      <c r="E7440" s="15"/>
      <c r="F7440" s="20"/>
    </row>
    <row r="7441" spans="2:6" ht="17.25" customHeight="1">
      <c r="B7441" s="15"/>
      <c r="C7441" s="15"/>
      <c r="D7441" s="15"/>
      <c r="E7441" s="15"/>
      <c r="F7441" s="20"/>
    </row>
    <row r="7442" spans="2:6" ht="17.25" customHeight="1">
      <c r="B7442" s="15"/>
      <c r="C7442" s="15"/>
      <c r="D7442" s="15"/>
      <c r="E7442" s="15"/>
      <c r="F7442" s="20"/>
    </row>
    <row r="7443" spans="2:6" ht="17.25" customHeight="1">
      <c r="B7443" s="15"/>
      <c r="C7443" s="15"/>
      <c r="D7443" s="15"/>
      <c r="E7443" s="15"/>
      <c r="F7443" s="20"/>
    </row>
    <row r="7444" spans="2:6" ht="17.25" customHeight="1">
      <c r="B7444" s="15"/>
      <c r="C7444" s="15"/>
      <c r="D7444" s="15"/>
      <c r="E7444" s="15"/>
      <c r="F7444" s="20"/>
    </row>
    <row r="7445" spans="2:6" ht="17.25" customHeight="1">
      <c r="B7445" s="15"/>
      <c r="C7445" s="15"/>
      <c r="D7445" s="15"/>
      <c r="E7445" s="15"/>
      <c r="F7445" s="20"/>
    </row>
    <row r="7446" spans="2:6" ht="17.25" customHeight="1">
      <c r="B7446" s="15"/>
      <c r="C7446" s="15"/>
      <c r="D7446" s="15"/>
      <c r="E7446" s="15"/>
      <c r="F7446" s="20"/>
    </row>
    <row r="7447" spans="2:6" ht="17.25" customHeight="1">
      <c r="B7447" s="15"/>
      <c r="C7447" s="15"/>
      <c r="D7447" s="15"/>
      <c r="E7447" s="15"/>
      <c r="F7447" s="20"/>
    </row>
    <row r="7448" spans="2:6" ht="17.25" customHeight="1">
      <c r="B7448" s="15"/>
      <c r="C7448" s="15"/>
      <c r="D7448" s="15"/>
      <c r="E7448" s="15"/>
      <c r="F7448" s="20"/>
    </row>
    <row r="7449" spans="2:6" ht="17.25" customHeight="1">
      <c r="B7449" s="15"/>
      <c r="C7449" s="15"/>
      <c r="D7449" s="15"/>
      <c r="E7449" s="15"/>
      <c r="F7449" s="20"/>
    </row>
    <row r="7450" spans="2:6" ht="17.25" customHeight="1">
      <c r="B7450" s="15"/>
      <c r="C7450" s="15"/>
      <c r="D7450" s="15"/>
      <c r="E7450" s="15"/>
      <c r="F7450" s="20"/>
    </row>
    <row r="7451" spans="2:6" ht="17.25" customHeight="1">
      <c r="B7451" s="15"/>
      <c r="C7451" s="15"/>
      <c r="D7451" s="15"/>
      <c r="E7451" s="15"/>
      <c r="F7451" s="20"/>
    </row>
    <row r="7452" spans="2:6" ht="17.25" customHeight="1">
      <c r="B7452" s="15"/>
      <c r="C7452" s="15"/>
      <c r="D7452" s="15"/>
      <c r="E7452" s="15"/>
      <c r="F7452" s="20"/>
    </row>
    <row r="7453" spans="2:6" ht="17.25" customHeight="1">
      <c r="B7453" s="15"/>
      <c r="C7453" s="15"/>
      <c r="D7453" s="15"/>
      <c r="E7453" s="15"/>
      <c r="F7453" s="20"/>
    </row>
    <row r="7454" spans="2:6" ht="17.25" customHeight="1">
      <c r="B7454" s="15"/>
      <c r="C7454" s="15"/>
      <c r="D7454" s="15"/>
      <c r="E7454" s="15"/>
      <c r="F7454" s="20"/>
    </row>
    <row r="7455" spans="2:6" ht="17.25" customHeight="1">
      <c r="B7455" s="15"/>
      <c r="C7455" s="15"/>
      <c r="D7455" s="15"/>
      <c r="E7455" s="15"/>
      <c r="F7455" s="20"/>
    </row>
    <row r="7456" spans="2:6" ht="17.25" customHeight="1">
      <c r="B7456" s="15"/>
      <c r="C7456" s="15"/>
      <c r="D7456" s="15"/>
      <c r="E7456" s="15"/>
      <c r="F7456" s="20"/>
    </row>
    <row r="7457" spans="2:6" ht="17.25" customHeight="1">
      <c r="B7457" s="15"/>
      <c r="C7457" s="15"/>
      <c r="D7457" s="15"/>
      <c r="E7457" s="15"/>
      <c r="F7457" s="20"/>
    </row>
    <row r="7458" spans="2:6" ht="17.25" customHeight="1">
      <c r="B7458" s="15"/>
      <c r="C7458" s="15"/>
      <c r="D7458" s="15"/>
      <c r="E7458" s="15"/>
      <c r="F7458" s="20"/>
    </row>
    <row r="7459" spans="2:6" ht="17.25" customHeight="1">
      <c r="B7459" s="15"/>
      <c r="C7459" s="15"/>
      <c r="D7459" s="15"/>
      <c r="E7459" s="15"/>
      <c r="F7459" s="20"/>
    </row>
    <row r="7460" spans="2:6" ht="17.25" customHeight="1">
      <c r="B7460" s="15"/>
      <c r="C7460" s="15"/>
      <c r="D7460" s="15"/>
      <c r="E7460" s="15"/>
      <c r="F7460" s="20"/>
    </row>
    <row r="7461" spans="2:6" ht="17.25" customHeight="1">
      <c r="B7461" s="15"/>
      <c r="C7461" s="15"/>
      <c r="D7461" s="15"/>
      <c r="E7461" s="15"/>
      <c r="F7461" s="20"/>
    </row>
    <row r="7462" spans="2:6" ht="17.25" customHeight="1">
      <c r="B7462" s="15"/>
      <c r="C7462" s="15"/>
      <c r="D7462" s="15"/>
      <c r="E7462" s="15"/>
      <c r="F7462" s="20"/>
    </row>
    <row r="7463" spans="2:6" ht="17.25" customHeight="1">
      <c r="B7463" s="15"/>
      <c r="C7463" s="15"/>
      <c r="D7463" s="15"/>
      <c r="E7463" s="15"/>
      <c r="F7463" s="20"/>
    </row>
    <row r="7464" spans="2:6" ht="17.25" customHeight="1">
      <c r="B7464" s="15"/>
      <c r="C7464" s="15"/>
      <c r="D7464" s="15"/>
      <c r="E7464" s="15"/>
      <c r="F7464" s="20"/>
    </row>
    <row r="7465" spans="2:6" ht="17.25" customHeight="1">
      <c r="B7465" s="15"/>
      <c r="C7465" s="15"/>
      <c r="D7465" s="15"/>
      <c r="E7465" s="15"/>
      <c r="F7465" s="20"/>
    </row>
    <row r="7466" spans="2:6" ht="17.25" customHeight="1">
      <c r="B7466" s="15"/>
      <c r="C7466" s="15"/>
      <c r="D7466" s="15"/>
      <c r="E7466" s="15"/>
      <c r="F7466" s="20"/>
    </row>
    <row r="7467" spans="2:6" ht="17.25" customHeight="1">
      <c r="B7467" s="15"/>
      <c r="C7467" s="15"/>
      <c r="D7467" s="15"/>
      <c r="E7467" s="15"/>
      <c r="F7467" s="20"/>
    </row>
    <row r="7468" spans="2:6" ht="17.25" customHeight="1">
      <c r="B7468" s="15"/>
      <c r="C7468" s="15"/>
      <c r="D7468" s="15"/>
      <c r="E7468" s="15"/>
      <c r="F7468" s="20"/>
    </row>
    <row r="7469" spans="2:6" ht="17.25" customHeight="1">
      <c r="B7469" s="15"/>
      <c r="C7469" s="15"/>
      <c r="D7469" s="15"/>
      <c r="E7469" s="15"/>
      <c r="F7469" s="20"/>
    </row>
    <row r="7470" spans="2:6" ht="17.25" customHeight="1">
      <c r="B7470" s="15"/>
      <c r="C7470" s="15"/>
      <c r="D7470" s="15"/>
      <c r="E7470" s="15"/>
      <c r="F7470" s="20"/>
    </row>
    <row r="7471" spans="2:6" ht="17.25" customHeight="1">
      <c r="B7471" s="15"/>
      <c r="C7471" s="15"/>
      <c r="D7471" s="15"/>
      <c r="E7471" s="15"/>
      <c r="F7471" s="20"/>
    </row>
    <row r="7472" spans="2:6" ht="17.25" customHeight="1">
      <c r="B7472" s="15"/>
      <c r="C7472" s="15"/>
      <c r="D7472" s="15"/>
      <c r="E7472" s="15"/>
      <c r="F7472" s="20"/>
    </row>
    <row r="7473" spans="2:6" ht="17.25" customHeight="1">
      <c r="B7473" s="15"/>
      <c r="C7473" s="15"/>
      <c r="D7473" s="15"/>
      <c r="E7473" s="15"/>
      <c r="F7473" s="20"/>
    </row>
    <row r="7474" spans="2:6" ht="17.25" customHeight="1">
      <c r="B7474" s="15"/>
      <c r="C7474" s="15"/>
      <c r="D7474" s="15"/>
      <c r="E7474" s="15"/>
      <c r="F7474" s="20"/>
    </row>
    <row r="7475" spans="2:6" ht="17.25" customHeight="1">
      <c r="B7475" s="15"/>
      <c r="C7475" s="15"/>
      <c r="D7475" s="15"/>
      <c r="E7475" s="15"/>
      <c r="F7475" s="20"/>
    </row>
    <row r="7476" spans="2:6" ht="17.25" customHeight="1">
      <c r="B7476" s="15"/>
      <c r="C7476" s="15"/>
      <c r="D7476" s="15"/>
      <c r="E7476" s="15"/>
      <c r="F7476" s="20"/>
    </row>
    <row r="7477" spans="2:6" ht="17.25" customHeight="1">
      <c r="B7477" s="15"/>
      <c r="C7477" s="15"/>
      <c r="D7477" s="15"/>
      <c r="E7477" s="15"/>
      <c r="F7477" s="20"/>
    </row>
    <row r="7478" spans="2:6" ht="17.25" customHeight="1">
      <c r="B7478" s="15"/>
      <c r="C7478" s="15"/>
      <c r="D7478" s="15"/>
      <c r="E7478" s="15"/>
      <c r="F7478" s="20"/>
    </row>
    <row r="7479" spans="2:6" ht="17.25" customHeight="1">
      <c r="B7479" s="15"/>
      <c r="C7479" s="15"/>
      <c r="D7479" s="15"/>
      <c r="E7479" s="15"/>
      <c r="F7479" s="20"/>
    </row>
    <row r="7480" spans="2:6" ht="17.25" customHeight="1">
      <c r="B7480" s="15"/>
      <c r="C7480" s="15"/>
      <c r="D7480" s="15"/>
      <c r="E7480" s="15"/>
      <c r="F7480" s="20"/>
    </row>
    <row r="7481" spans="2:6" ht="17.25" customHeight="1">
      <c r="B7481" s="15"/>
      <c r="C7481" s="15"/>
      <c r="D7481" s="15"/>
      <c r="E7481" s="15"/>
      <c r="F7481" s="20"/>
    </row>
    <row r="7482" spans="2:6" ht="17.25" customHeight="1">
      <c r="B7482" s="15"/>
      <c r="C7482" s="15"/>
      <c r="D7482" s="15"/>
      <c r="E7482" s="15"/>
      <c r="F7482" s="20"/>
    </row>
    <row r="7483" spans="2:6" ht="17.25" customHeight="1">
      <c r="B7483" s="15"/>
      <c r="C7483" s="15"/>
      <c r="D7483" s="15"/>
      <c r="E7483" s="15"/>
      <c r="F7483" s="20"/>
    </row>
    <row r="7484" spans="2:6" ht="17.25" customHeight="1">
      <c r="B7484" s="15"/>
      <c r="C7484" s="15"/>
      <c r="D7484" s="15"/>
      <c r="E7484" s="15"/>
      <c r="F7484" s="20"/>
    </row>
    <row r="7485" spans="2:6" ht="17.25" customHeight="1">
      <c r="B7485" s="15"/>
      <c r="C7485" s="15"/>
      <c r="D7485" s="15"/>
      <c r="E7485" s="15"/>
      <c r="F7485" s="20"/>
    </row>
    <row r="7486" spans="2:6" ht="17.25" customHeight="1">
      <c r="B7486" s="15"/>
      <c r="C7486" s="15"/>
      <c r="D7486" s="15"/>
      <c r="E7486" s="15"/>
      <c r="F7486" s="20"/>
    </row>
    <row r="7487" spans="2:6" ht="17.25" customHeight="1">
      <c r="B7487" s="15"/>
      <c r="C7487" s="15"/>
      <c r="D7487" s="15"/>
      <c r="E7487" s="15"/>
      <c r="F7487" s="20"/>
    </row>
    <row r="7488" spans="2:6" ht="17.25" customHeight="1">
      <c r="B7488" s="15"/>
      <c r="C7488" s="15"/>
      <c r="D7488" s="15"/>
      <c r="E7488" s="15"/>
      <c r="F7488" s="20"/>
    </row>
    <row r="7489" spans="2:6" ht="17.25" customHeight="1">
      <c r="B7489" s="15"/>
      <c r="C7489" s="15"/>
      <c r="D7489" s="15"/>
      <c r="E7489" s="15"/>
      <c r="F7489" s="20"/>
    </row>
    <row r="7490" spans="2:6" ht="17.25" customHeight="1">
      <c r="B7490" s="15"/>
      <c r="C7490" s="15"/>
      <c r="D7490" s="15"/>
      <c r="E7490" s="15"/>
      <c r="F7490" s="20"/>
    </row>
    <row r="7491" spans="2:6" ht="17.25" customHeight="1">
      <c r="B7491" s="15"/>
      <c r="C7491" s="15"/>
      <c r="D7491" s="15"/>
      <c r="E7491" s="15"/>
      <c r="F7491" s="20"/>
    </row>
    <row r="7492" spans="2:6" ht="17.25" customHeight="1">
      <c r="B7492" s="15"/>
      <c r="C7492" s="15"/>
      <c r="D7492" s="15"/>
      <c r="E7492" s="15"/>
      <c r="F7492" s="20"/>
    </row>
    <row r="7493" spans="2:6" ht="17.25" customHeight="1">
      <c r="B7493" s="15"/>
      <c r="C7493" s="15"/>
      <c r="D7493" s="15"/>
      <c r="E7493" s="15"/>
      <c r="F7493" s="20"/>
    </row>
    <row r="7494" spans="2:6" ht="17.25" customHeight="1">
      <c r="B7494" s="15"/>
      <c r="C7494" s="15"/>
      <c r="D7494" s="15"/>
      <c r="E7494" s="15"/>
      <c r="F7494" s="20"/>
    </row>
    <row r="7495" spans="2:6" ht="17.25" customHeight="1">
      <c r="B7495" s="15"/>
      <c r="C7495" s="15"/>
      <c r="D7495" s="15"/>
      <c r="E7495" s="15"/>
      <c r="F7495" s="20"/>
    </row>
    <row r="7496" spans="2:6" ht="17.25" customHeight="1">
      <c r="B7496" s="15"/>
      <c r="C7496" s="15"/>
      <c r="D7496" s="15"/>
      <c r="E7496" s="15"/>
      <c r="F7496" s="20"/>
    </row>
    <row r="7497" spans="2:6" ht="17.25" customHeight="1">
      <c r="B7497" s="15"/>
      <c r="C7497" s="15"/>
      <c r="D7497" s="15"/>
      <c r="E7497" s="15"/>
      <c r="F7497" s="20"/>
    </row>
    <row r="7498" spans="2:6" ht="17.25" customHeight="1">
      <c r="B7498" s="15"/>
      <c r="C7498" s="15"/>
      <c r="D7498" s="15"/>
      <c r="E7498" s="15"/>
      <c r="F7498" s="20"/>
    </row>
    <row r="7499" spans="2:6" ht="17.25" customHeight="1">
      <c r="B7499" s="15"/>
      <c r="C7499" s="15"/>
      <c r="D7499" s="15"/>
      <c r="E7499" s="15"/>
      <c r="F7499" s="20"/>
    </row>
    <row r="7500" spans="2:6" ht="17.25" customHeight="1">
      <c r="B7500" s="15"/>
      <c r="C7500" s="15"/>
      <c r="D7500" s="15"/>
      <c r="E7500" s="15"/>
      <c r="F7500" s="20"/>
    </row>
    <row r="7501" spans="2:6" ht="17.25" customHeight="1">
      <c r="B7501" s="15"/>
      <c r="C7501" s="15"/>
      <c r="D7501" s="15"/>
      <c r="E7501" s="15"/>
      <c r="F7501" s="20"/>
    </row>
    <row r="7502" spans="2:6" ht="17.25" customHeight="1">
      <c r="B7502" s="15"/>
      <c r="C7502" s="15"/>
      <c r="D7502" s="15"/>
      <c r="E7502" s="15"/>
      <c r="F7502" s="20"/>
    </row>
    <row r="7503" spans="2:6" ht="17.25" customHeight="1">
      <c r="B7503" s="15"/>
      <c r="C7503" s="15"/>
      <c r="D7503" s="15"/>
      <c r="E7503" s="15"/>
      <c r="F7503" s="20"/>
    </row>
    <row r="7504" spans="2:6" ht="17.25" customHeight="1">
      <c r="B7504" s="15"/>
      <c r="C7504" s="15"/>
      <c r="D7504" s="15"/>
      <c r="E7504" s="15"/>
      <c r="F7504" s="20"/>
    </row>
    <row r="7505" spans="2:6" ht="17.25" customHeight="1">
      <c r="B7505" s="15"/>
      <c r="C7505" s="15"/>
      <c r="D7505" s="15"/>
      <c r="E7505" s="15"/>
      <c r="F7505" s="20"/>
    </row>
    <row r="7506" spans="2:6" ht="17.25" customHeight="1">
      <c r="B7506" s="15"/>
      <c r="C7506" s="15"/>
      <c r="D7506" s="15"/>
      <c r="E7506" s="15"/>
      <c r="F7506" s="20"/>
    </row>
    <row r="7507" spans="2:6" ht="17.25" customHeight="1">
      <c r="B7507" s="15"/>
      <c r="C7507" s="15"/>
      <c r="D7507" s="15"/>
      <c r="E7507" s="15"/>
      <c r="F7507" s="20"/>
    </row>
    <row r="7508" spans="2:6" ht="17.25" customHeight="1">
      <c r="B7508" s="15"/>
      <c r="C7508" s="15"/>
      <c r="D7508" s="15"/>
      <c r="E7508" s="15"/>
      <c r="F7508" s="20"/>
    </row>
    <row r="7509" spans="2:6" ht="17.25" customHeight="1">
      <c r="B7509" s="15"/>
      <c r="C7509" s="15"/>
      <c r="D7509" s="15"/>
      <c r="E7509" s="15"/>
      <c r="F7509" s="20"/>
    </row>
    <row r="7510" spans="2:6" ht="17.25" customHeight="1">
      <c r="B7510" s="15"/>
      <c r="C7510" s="15"/>
      <c r="D7510" s="15"/>
      <c r="E7510" s="15"/>
      <c r="F7510" s="20"/>
    </row>
    <row r="7511" spans="2:6" ht="17.25" customHeight="1">
      <c r="B7511" s="15"/>
      <c r="C7511" s="15"/>
      <c r="D7511" s="15"/>
      <c r="E7511" s="15"/>
      <c r="F7511" s="20"/>
    </row>
    <row r="7512" spans="2:6" ht="17.25" customHeight="1">
      <c r="B7512" s="15"/>
      <c r="C7512" s="15"/>
      <c r="D7512" s="15"/>
      <c r="E7512" s="15"/>
      <c r="F7512" s="20"/>
    </row>
    <row r="7513" spans="2:6" ht="17.25" customHeight="1">
      <c r="B7513" s="15"/>
      <c r="C7513" s="15"/>
      <c r="D7513" s="15"/>
      <c r="E7513" s="15"/>
      <c r="F7513" s="20"/>
    </row>
    <row r="7514" spans="2:6" ht="17.25" customHeight="1">
      <c r="B7514" s="15"/>
      <c r="C7514" s="15"/>
      <c r="D7514" s="15"/>
      <c r="E7514" s="15"/>
      <c r="F7514" s="20"/>
    </row>
    <row r="7515" spans="2:6" ht="17.25" customHeight="1">
      <c r="B7515" s="15"/>
      <c r="C7515" s="15"/>
      <c r="D7515" s="15"/>
      <c r="E7515" s="15"/>
      <c r="F7515" s="20"/>
    </row>
    <row r="7516" spans="2:6" ht="17.25" customHeight="1">
      <c r="B7516" s="15"/>
      <c r="C7516" s="15"/>
      <c r="D7516" s="15"/>
      <c r="E7516" s="15"/>
      <c r="F7516" s="20"/>
    </row>
    <row r="7517" spans="2:6" ht="17.25" customHeight="1">
      <c r="B7517" s="15"/>
      <c r="C7517" s="15"/>
      <c r="D7517" s="15"/>
      <c r="E7517" s="15"/>
      <c r="F7517" s="20"/>
    </row>
    <row r="7518" spans="2:6" ht="17.25" customHeight="1">
      <c r="B7518" s="15"/>
      <c r="C7518" s="15"/>
      <c r="D7518" s="15"/>
      <c r="E7518" s="15"/>
      <c r="F7518" s="20"/>
    </row>
    <row r="7519" spans="2:6" ht="17.25" customHeight="1">
      <c r="B7519" s="15"/>
      <c r="C7519" s="15"/>
      <c r="D7519" s="15"/>
      <c r="E7519" s="15"/>
      <c r="F7519" s="20"/>
    </row>
    <row r="7520" spans="2:6" ht="17.25" customHeight="1">
      <c r="B7520" s="15"/>
      <c r="C7520" s="15"/>
      <c r="D7520" s="15"/>
      <c r="E7520" s="15"/>
      <c r="F7520" s="20"/>
    </row>
    <row r="7521" spans="2:6" ht="17.25" customHeight="1">
      <c r="B7521" s="15"/>
      <c r="C7521" s="15"/>
      <c r="D7521" s="15"/>
      <c r="E7521" s="15"/>
      <c r="F7521" s="20"/>
    </row>
    <row r="7522" spans="2:6" ht="17.25" customHeight="1">
      <c r="B7522" s="15"/>
      <c r="C7522" s="15"/>
      <c r="D7522" s="15"/>
      <c r="E7522" s="15"/>
      <c r="F7522" s="20"/>
    </row>
    <row r="7523" spans="2:6" ht="17.25" customHeight="1">
      <c r="B7523" s="15"/>
      <c r="C7523" s="15"/>
      <c r="D7523" s="15"/>
      <c r="E7523" s="15"/>
      <c r="F7523" s="20"/>
    </row>
    <row r="7524" spans="2:6" ht="17.25" customHeight="1">
      <c r="B7524" s="15"/>
      <c r="C7524" s="15"/>
      <c r="D7524" s="15"/>
      <c r="E7524" s="15"/>
      <c r="F7524" s="20"/>
    </row>
    <row r="7525" spans="2:6" ht="17.25" customHeight="1">
      <c r="B7525" s="15"/>
      <c r="C7525" s="15"/>
      <c r="D7525" s="15"/>
      <c r="E7525" s="15"/>
      <c r="F7525" s="20"/>
    </row>
    <row r="7526" spans="2:6" ht="17.25" customHeight="1">
      <c r="B7526" s="15"/>
      <c r="C7526" s="15"/>
      <c r="D7526" s="15"/>
      <c r="E7526" s="15"/>
      <c r="F7526" s="20"/>
    </row>
    <row r="7527" spans="2:6" ht="17.25" customHeight="1">
      <c r="B7527" s="15"/>
      <c r="C7527" s="15"/>
      <c r="D7527" s="15"/>
      <c r="E7527" s="15"/>
      <c r="F7527" s="20"/>
    </row>
    <row r="7528" spans="2:6" ht="17.25" customHeight="1">
      <c r="B7528" s="15"/>
      <c r="C7528" s="15"/>
      <c r="D7528" s="15"/>
      <c r="E7528" s="15"/>
      <c r="F7528" s="20"/>
    </row>
    <row r="7529" spans="2:6" ht="17.25" customHeight="1">
      <c r="B7529" s="15"/>
      <c r="C7529" s="15"/>
      <c r="D7529" s="15"/>
      <c r="E7529" s="15"/>
      <c r="F7529" s="20"/>
    </row>
    <row r="7530" spans="2:6" ht="17.25" customHeight="1">
      <c r="B7530" s="15"/>
      <c r="C7530" s="15"/>
      <c r="D7530" s="15"/>
      <c r="E7530" s="15"/>
      <c r="F7530" s="20"/>
    </row>
    <row r="7531" spans="2:6" ht="17.25" customHeight="1">
      <c r="B7531" s="15"/>
      <c r="C7531" s="15"/>
      <c r="D7531" s="15"/>
      <c r="E7531" s="15"/>
      <c r="F7531" s="20"/>
    </row>
    <row r="7532" spans="2:6" ht="17.25" customHeight="1">
      <c r="B7532" s="15"/>
      <c r="C7532" s="15"/>
      <c r="D7532" s="15"/>
      <c r="E7532" s="15"/>
      <c r="F7532" s="20"/>
    </row>
    <row r="7533" spans="2:6" ht="17.25" customHeight="1">
      <c r="B7533" s="15"/>
      <c r="C7533" s="15"/>
      <c r="D7533" s="15"/>
      <c r="E7533" s="15"/>
      <c r="F7533" s="20"/>
    </row>
    <row r="7534" spans="2:6" ht="17.25" customHeight="1">
      <c r="B7534" s="15"/>
      <c r="C7534" s="15"/>
      <c r="D7534" s="15"/>
      <c r="E7534" s="15"/>
      <c r="F7534" s="20"/>
    </row>
    <row r="7535" spans="2:6" ht="17.25" customHeight="1">
      <c r="B7535" s="15"/>
      <c r="C7535" s="15"/>
      <c r="D7535" s="15"/>
      <c r="E7535" s="15"/>
      <c r="F7535" s="20"/>
    </row>
    <row r="7536" spans="2:6" ht="17.25" customHeight="1">
      <c r="B7536" s="15"/>
      <c r="C7536" s="15"/>
      <c r="D7536" s="15"/>
      <c r="E7536" s="15"/>
      <c r="F7536" s="20"/>
    </row>
    <row r="7537" spans="2:6" ht="17.25" customHeight="1">
      <c r="B7537" s="15"/>
      <c r="C7537" s="15"/>
      <c r="D7537" s="15"/>
      <c r="E7537" s="15"/>
      <c r="F7537" s="20"/>
    </row>
    <row r="7538" spans="2:6" ht="17.25" customHeight="1">
      <c r="B7538" s="15"/>
      <c r="C7538" s="15"/>
      <c r="D7538" s="15"/>
      <c r="E7538" s="15"/>
      <c r="F7538" s="20"/>
    </row>
    <row r="7539" spans="2:6" ht="17.25" customHeight="1">
      <c r="B7539" s="15"/>
      <c r="C7539" s="15"/>
      <c r="D7539" s="15"/>
      <c r="E7539" s="15"/>
      <c r="F7539" s="20"/>
    </row>
    <row r="7540" spans="2:6" ht="17.25" customHeight="1">
      <c r="B7540" s="15"/>
      <c r="C7540" s="15"/>
      <c r="D7540" s="15"/>
      <c r="E7540" s="15"/>
      <c r="F7540" s="20"/>
    </row>
    <row r="7541" spans="2:6" ht="17.25" customHeight="1">
      <c r="B7541" s="15"/>
      <c r="C7541" s="15"/>
      <c r="D7541" s="15"/>
      <c r="E7541" s="15"/>
      <c r="F7541" s="20"/>
    </row>
    <row r="7542" spans="2:6" ht="17.25" customHeight="1">
      <c r="B7542" s="15"/>
      <c r="C7542" s="15"/>
      <c r="D7542" s="15"/>
      <c r="E7542" s="15"/>
      <c r="F7542" s="20"/>
    </row>
    <row r="7543" spans="2:6" ht="17.25" customHeight="1">
      <c r="B7543" s="15"/>
      <c r="C7543" s="15"/>
      <c r="D7543" s="15"/>
      <c r="E7543" s="15"/>
      <c r="F7543" s="20"/>
    </row>
    <row r="7544" spans="2:6" ht="17.25" customHeight="1">
      <c r="B7544" s="15"/>
      <c r="C7544" s="15"/>
      <c r="D7544" s="15"/>
      <c r="E7544" s="15"/>
      <c r="F7544" s="20"/>
    </row>
    <row r="7545" spans="2:6" ht="17.25" customHeight="1">
      <c r="B7545" s="15"/>
      <c r="C7545" s="15"/>
      <c r="D7545" s="15"/>
      <c r="E7545" s="15"/>
      <c r="F7545" s="20"/>
    </row>
    <row r="7546" spans="2:6" ht="17.25" customHeight="1">
      <c r="B7546" s="15"/>
      <c r="C7546" s="15"/>
      <c r="D7546" s="15"/>
      <c r="E7546" s="15"/>
      <c r="F7546" s="20"/>
    </row>
    <row r="7547" spans="2:6" ht="17.25" customHeight="1">
      <c r="B7547" s="15"/>
      <c r="C7547" s="15"/>
      <c r="D7547" s="15"/>
      <c r="E7547" s="15"/>
      <c r="F7547" s="20"/>
    </row>
    <row r="7548" spans="2:6" ht="17.25" customHeight="1">
      <c r="B7548" s="15"/>
      <c r="C7548" s="15"/>
      <c r="D7548" s="15"/>
      <c r="E7548" s="15"/>
      <c r="F7548" s="20"/>
    </row>
    <row r="7549" spans="2:6" ht="17.25" customHeight="1">
      <c r="B7549" s="15"/>
      <c r="C7549" s="15"/>
      <c r="D7549" s="15"/>
      <c r="E7549" s="15"/>
      <c r="F7549" s="20"/>
    </row>
    <row r="7550" spans="2:6" ht="17.25" customHeight="1">
      <c r="B7550" s="15"/>
      <c r="C7550" s="15"/>
      <c r="D7550" s="15"/>
      <c r="E7550" s="15"/>
      <c r="F7550" s="20"/>
    </row>
    <row r="7551" spans="2:6" ht="17.25" customHeight="1">
      <c r="B7551" s="15"/>
      <c r="C7551" s="15"/>
      <c r="D7551" s="15"/>
      <c r="E7551" s="15"/>
      <c r="F7551" s="20"/>
    </row>
    <row r="7552" spans="2:6" ht="17.25" customHeight="1">
      <c r="B7552" s="15"/>
      <c r="C7552" s="15"/>
      <c r="D7552" s="15"/>
      <c r="E7552" s="15"/>
      <c r="F7552" s="20"/>
    </row>
    <row r="7553" spans="2:6" ht="17.25" customHeight="1">
      <c r="B7553" s="15"/>
      <c r="C7553" s="15"/>
      <c r="D7553" s="15"/>
      <c r="E7553" s="15"/>
      <c r="F7553" s="20"/>
    </row>
    <row r="7554" spans="2:6" ht="17.25" customHeight="1">
      <c r="B7554" s="15"/>
      <c r="C7554" s="15"/>
      <c r="D7554" s="15"/>
      <c r="E7554" s="15"/>
      <c r="F7554" s="20"/>
    </row>
    <row r="7555" spans="2:6" ht="17.25" customHeight="1">
      <c r="B7555" s="15"/>
      <c r="C7555" s="15"/>
      <c r="D7555" s="15"/>
      <c r="E7555" s="15"/>
      <c r="F7555" s="20"/>
    </row>
    <row r="7556" spans="2:6" ht="17.25" customHeight="1">
      <c r="B7556" s="15"/>
      <c r="C7556" s="15"/>
      <c r="D7556" s="15"/>
      <c r="E7556" s="15"/>
      <c r="F7556" s="20"/>
    </row>
    <row r="7557" spans="2:6" ht="17.25" customHeight="1">
      <c r="B7557" s="15"/>
      <c r="C7557" s="15"/>
      <c r="D7557" s="15"/>
      <c r="E7557" s="15"/>
      <c r="F7557" s="20"/>
    </row>
    <row r="7558" spans="2:6" ht="17.25" customHeight="1">
      <c r="B7558" s="15"/>
      <c r="C7558" s="15"/>
      <c r="D7558" s="15"/>
      <c r="E7558" s="15"/>
      <c r="F7558" s="20"/>
    </row>
    <row r="7559" spans="2:6" ht="17.25" customHeight="1">
      <c r="B7559" s="15"/>
      <c r="C7559" s="15"/>
      <c r="D7559" s="15"/>
      <c r="E7559" s="15"/>
      <c r="F7559" s="20"/>
    </row>
    <row r="7560" spans="2:6" ht="17.25" customHeight="1">
      <c r="B7560" s="15"/>
      <c r="C7560" s="15"/>
      <c r="D7560" s="15"/>
      <c r="E7560" s="15"/>
      <c r="F7560" s="20"/>
    </row>
    <row r="7561" spans="2:6" ht="17.25" customHeight="1">
      <c r="B7561" s="15"/>
      <c r="C7561" s="15"/>
      <c r="D7561" s="15"/>
      <c r="E7561" s="15"/>
      <c r="F7561" s="20"/>
    </row>
    <row r="7562" spans="2:6" ht="17.25" customHeight="1">
      <c r="B7562" s="15"/>
      <c r="C7562" s="15"/>
      <c r="D7562" s="15"/>
      <c r="E7562" s="15"/>
      <c r="F7562" s="20"/>
    </row>
  </sheetData>
  <autoFilter ref="A2:E7562" xr:uid="{00000000-0009-0000-0000-00001D000000}"/>
  <conditionalFormatting sqref="B11 B15 B19 B23 B27 B31 B35:B36 B39 B41 B43 B46:B47 B51 B55:B56 B59 B61 B63 B66:B67 B71 B75:B76 B79 B81 B83 B86:B87 B91 B95:B97 B99:B101 B103:B105 B107:B109 B111:B113 B115:B117 B119:B121 B123:B125 B127:B129 B131:B133 B135:B137 B139:B141 B143:B145 B147:B149 B151:B153 B155:B157 B159:B161 B163:B165 B167:B169 B171:B173 B175:B177 B179:B181 B183:B185 B187:B189 B191:B193 B195:B197 B199:B201 B203:B205 B207:B209 B211:B213 B215:B217 B219:B221 B223:B225 B227:B229 B231:B233 B235:B237 B239:B241 B243:B245 B247:B249 B251:B253 B255:B257 B259:B261 B263:B265 B267:B269 B271:B273 B275:B277 B279:B281 B283:B285 B287:B289 B291:B293 B295:B297 B299:B301 B303:B305 B307:B309 B311:B313 B315:B317 B319:B321 B323:B325 B327:B329 B331:B333 B335:B337 B339:B341 B343:B345 B347:B349 B351:B353 B355:B357 B359:B361 B363:B365 B367:B369 B371:B373 B375:B377 B379:B381 B383:B385 B387:B389 B391:B393 B395:B397 B399:B401 B403:B405 B407:B409 B411:B413 B415:B417 B419:B421 B423:B425 B427:B429 B431:B433 B435:B437 B439:B441 B443:B445 B447:B449 B451:B453 B455:B457 B459:B461 B463:B465 B467:B469 B471:B473 B475:B477 B479:B481 B483:B485 B487:B489 B491:B493 B495:B497 B499:B501 B503:B505 B507:B509 B511:B513 B515:B517 B519:B521 B523:B525 B527:B529 B531:B533 B535:B537 B539:B541 B543:B545 B547:B549 B551:B553 B555:B557 B559:B561 B563:B565 B567:B569 B571:B573 B575:B577 B579:B581 B583:B585 B587:B589 B591:B593 B595:B597 B599:B601 B603:B605 B607:B609 B611:B613 B615:B617 B619:B621 B623:B625 B627:B629 B631:B633 B635:B637 B639:B641 B643:B645 B647:B649 B651:B653 B655:B657 B659:B661 B663:B665 B667:B669 B671:B673 B675:B677 B679:B681 B683:B685 B687:B689 B691:B693 B695:B697 B699:B701 B703:B705 B707:B709 B711:B713 B715:B717 B719:B721 B723:B725 B727:B729 B731:B733 B735:B737 B739:B741 B743:B745 B747:B749 B751:B753 B755:B757 B759:B761 B763:B765 B767:B769 B771:B773 B775:B777 B779:B781 B783:B785 B787:B789 B791:B793 B795:B797 B799:B801 B803:B805 B807:B809 B811:B813 B815:B817 B819:B821 B823:B825 B827:B829 B831:B833 B835:B837 B839:B841 B843:B845 B847:B849 B851:B853 B855:B857 B859:B861 B863:B865 B867:B869 B871:B873 B875:B877 B879:B881 B883:B885 B887:B889 B891:B893 B895:B897 B899:B901 B903:B905 B907:B909 B911:B913 B915:B917 B919:B921 B923:B925 B927:B929 B931:B933 B935:B937 B939:B941 B943:B945 B947:B949 B951:B953 B955:B957 B959:B961 B963:B965 B967:B969 B971:B973 B975:B977 B979:B981 B983:B985 B987:B989 B991:B993 B995:B997 B999:B1001 B1003:B1005 B1007:B1009 B1011:B1013 B1015:B1017 B1019:B1021 B1023:B1025 B1027:B1029 B1031:B1033 B1035:B1037 B1039:B1041 B1043:B1045 B1047:B1049 B1051:B1053 B1055:B1057 B1059:B1061 B1063:B1065 B1067:B1069 B1071:B1073 B1075:B1077 B1079:B1081 B1083:B1085 B1087:B1089 B1091:B1093 B1095:B1097 B1099:B1101 B1103:B1105 B1107:B1109 B1111:B1113 B1115:B1117 B1119:B1121 B1123:B1125 B1127:B1129 B1131:B1133 B1135:B1137 B1139:B1141 B1143:B1145 B1147:B1149 B1151:B1153 B1155:B1157 B1159:B1161 B1163:B1165 B1167:B1169 B1171:B1173 B1175:B1177 B1179:B1181 B1183:B1185 B1187:B1189 B1191:B1193 B1195:B1197 B1199:B1201 B1203:B1205 B1207:B1209 B1211:B1213 B1215:B1217 B1219:B1221 B1223:B1225 B1227:B1229 B1231:B1233 B1235:B1237 B1239:B1241 B1243:B1245 B1247:B1249 B1251:B1253 B1255:B1257 B1259:B1261 B1263:B1265 B1267:B1269 B1271:B1273 B1275:B1277 B1279:B1281 B1283:B1285 B1287:B1289 B1291:B1293 B1295:B1297 B1299:B1301 B1303:B1305 B1307:B1309 B1311:B1313 B1315:B1317 B1319:B1321 B1323:B1325 B1327:B1329 B1331:B1333 B1335:B1337 B1339:B1341 B1343:B1345 B1347:B1349 B1351:B1353 B1355:B1357 B1359:B1361 B1363:B1365 B1367:B1369 B1371:B1373 B1375:B1377 B1379:B1381 B1383:B1385 B1387:B1389 B1391:B1393 B1395:B1397 B1399:B1401 B1403:B1405 B1407:B1409 B1411:B1413 B1415:B1417 B1419:B1421 B1423:B1425 B1427:B1429 B1431:B1433 B1435:B1437 B1439:B1441 B1443:B1445 B1447:B1449 B1451:B1453 B1455:B1457 B1459:B1461 B1463:B1465 B1467:B1469 B1471:B1473 B1475:B1477 B1479:B1481 B1483:B1485 B1487:B1489 B1491:B1493 B1495:B1497 B1499:B1501 B1503:B1505 B1507:B1509 B1511:B1513 B1515:B1517 B1519:B1521 B1523:B1525 B1527:B1529 B1531:B1533 B1535:B1537 B1539:B1541 B1543:B1545 B1547:B1549 B1551:B1553 B1555:B1557 B1559:B1561 B1563:B1565 B1567:B1569 B1571:B1573 B1575:B1577 B1579:B1581 B1583:B1585 B1587:B1589 B1591:B1593 B1595:B1597 B1599:B1601 B1603:B1605 B1607:B1609 B1611:B1613 B1615:B1617 B1619:B1621 B1623:B1625 B1627:B1629 B1631:B1633 B1635:B1637 B1639:B1641 B1643:B1645 B1647:B1649 B1651:B1653 B1655:B1657 B1659:B1661 B1663:B1665 B1667:B1669 B1671:B1673 B1675:B1677 B1679:B1681 B1683:B1685 B1687:B1689 B1691:B1693 B1695:B1697 B1699:B1701 B1703:B1705 B1707:B1709 B1711:B1713 B1715:B1717 B1719:B1721 B1723:B1725 B1727:B1729 B1731:B1733 B1735:B1737 B1739:B1741 B1743:B1745 B1747:B1749 B1751:B1753 B1755:B1757 B1759:B1761 B1763:B1765 B1767:B1769 B1771:B1773 B1775:B1777 B1779:B1781 B1783:B1785 B1787:B1789 B1791:B1793 B1795:B1797 B1799:B1801 B1803:B1805 B1807:B1809 B1811:B1813 B1815:B1817 B1819:B1821 B1823:B1825 B1827:B1829 B1831:B1833 B1835:B1837 B1839:B1841 B1843:B1845 B1847:B1849 B1851:B1853 B1855:B1857 B1859:B1861 B1863:B1865 B1867:B1869 B1871:B1873 B1875:B1877 B1879:B1881 B1883:B1885 B1887:B1889 B1891:B1893 B1895:B1897 B1899:B1901 B1903:B1905 B1907:B1909 B1911:B1913 B1915:B1917 B1919:B1921 B1923:B1925 B1927:B1929 B1931:B1933 B1935:B1937 B1939:B1941 B1943:B1945 B1947:B1949 B1951:B1953 B1955:B1957 B1959:B1961 B1963:B1965 B1967:B1969 B1971:B1973 B1975:B1977 B1979:B1981 B1983:B1985 B1987:B1989 B1991:B1993 B1995:B1997 B1999:B2001 B2003:B2005 B2007:B2009 B2011:B2013 B2015:B2017 B2019:B2021 B2023:B2025 B2027:B2029 B2031:B2033 B2035:B2037 B2039:B2041 B2043:B2045 B2047:B2049 B2051:B2053 B2055:B2057 B2059:B2061 B2063:B2065 B2067:B2069 B2071:B2073 B2075:B2077 B2079:B2081 B2083:B2085 B2087:B2089 B2091:B2093 B2095:B2097 B2099:B2101 B2103:B2105 B2107:B2109 B2111:B2113 B2115:B2117 B2119:B2121 B2123:B2125 B2127:B2129 B2131:B2133 B2135:B2137 B2139:B2141 B2143:B2145 B2147:B2149 B2151:B2153 B2155:B2157 B2159:B2161 B2163:B2165 B2167:B2169 B2171:B2173 B2175:B2177 B2179:B2181 B2183:B2185 B2187:B2189 B2191:B2193 B2195:B2197 B2199:B2201 B2203:B2205 B2207:B2209 B2211:B2213 B2215:B2217 B2219:B2221 B2223:B2225 B2227:B2229 B2231:B2233 B2235:B2237 B2239:B2241 B2243:B2245 B2247:B2249 B2251:B2253 B2255:B2257 B2259:B2261 B2263:B2265 B2267:B2269 B2271:B2273 B2275:B2277 B2279:B2281 B2283:B2285 B2287:B2289 B2291:B2293 B2295:B2297 B2299:B2301 B2303:B2305 B2307:B2309 B2311:B2313 B2315:B2317 B2319:B2321 B2323:B2325 B2327:B2329 B2331:B2333 B2335:B2337 B2339:B2341 B2343:B2345 B2347:B2349 B2351:B2353 B2355:B2357 B2359:B2361 B2363:B2365 B2367:B2369 B2371:B2373 B2375:B2377 B2379:B2381 B2383:B2385 B2387:B2389 B2391:B2393 B2395:B2397 B2399:B2401 B2403:B2405 B2407:B2409 B2411:B2413 B2415:B2417 B2419:B2421 B2423:B2425 B2427:B2429 B2431:B2433 B2435:B2437 B2439:B2441 B2443:B2445 B2447:B2449 B2451:B2453 B2455:B2457 B2459:B2461 B2463:B2465 B2467:B2469 B2471:B2473 B2475:B2477 B2479:B2481 B2483:B2485 B2487:B2489 B2491:B2493 B2495:B2497 B2499:B2501 B2503:B2505 B2507:B2509 B2511:B2513 B2515:B2517 B2519:B2521 B2524:B2525 B2528:B2529 B2532:B2533 B2536:B2537 B2540:B2541 B2544:B2545 B2548:B2549 B2552:B2553 B2556:B2557 B2560:B2561 B2564:B2565 B2568:B2569 B2572:B2573 B2576:B2577 B2580:B2581 B2584:B2585 B2588:B2589 B2592:B2593 B2596:B2597 B2600:B2601 B2604:B2605 B2608:B2609 B2612:B2613 B2616:B2617 B2620:B2621 B2624:B2625 B2628:B2629 B2632:B2633 B2636:B2637 B2640:B2641 B2644:B2645 B2648:B2649 B2652:B2653 B2656:B2657 B2660:B2661 B2664:B2665 B2668:B2669 B2672:B2673 B2676:B2677 B2680:B2681 B2684:B2685 B2688:B2689 B2692:B2693 B2696:B2697 B2700:B2701 B2704:B2705 B2708:B2709 B2712:B2713 B2716:B2717 B2720:B2721 B2724:B2725 B2728:B2729 B2732:B2733 B2736:B2737 B2740:B2741 B2744:B2745 B2748:B2749 B2752:B2753 B2756:B2757 B2760:B2761 B2764:B2765 B2768:B2769 B2772:B2773 B2776:B2777 B2780:B2781 B2784:B2785 B2788:B2789 B2792:B2793 B2796:B2797 B2800:B2801 B2804:B2805 B2808:B2809 B2812:B2813 B2816:B2817 B2820:B2821 B2824:B2825 B2828:B2829 B2832:B2833 B2836:B2837 B2840:B2841 B2844:B2845 B2848:B2849 B2852:B2853 B2856:B2857 B2860:B2861 B2864:B2865 B2868:B2869 B2872:B2873 B2876:B2877 B2880:B2881 B2884:B2885 B2888:B2889 B2892:B2893 B2896:B2897 B2900:B2901 B2904:B2905 B2908:B2909 B2912:B2913 B2916:B2917 B2920:B2921 B2924:B2925 B2928:B2929 B2932:B2933 B2936:B2937 B2940:B2941 B2944:B2945 B2948:B2949 B2952:B2953 B2956:B2957 B2960:B2961 B2964:B2965 B2968:B2969 B2972:B2973 B2976:B2977 B2980:B2981 B2984:B2985 B2988:B2989 B2992:B2993 B2996:B2997 B3000:B3001 B3004:B3005 B3008:B3009 B3012:B3013 B3016:B3017 B3020:B3021 B3024:B3025 B3028:B3029 B3032:B3033 B3036:B3037 B3040:B3041 B3044:B3045 B3048:B3049 B3052:B3053 B3056:B3057 B3060:B3061 B3064:B3065 B3068:B3069 B3072:B3073 B3076:B3077 B3080:B3081 B3084:B3085 B3088:B3089 B3092:B3093 B3096:B3097 B3100:B3101 B3104:B3105 B3108:B3109 B3112:B3113 B3116:B3117 B3120:B3121 B3124:B3125 B3128:B3129 B3132:B3133 B3136:B3137 B3140:B3141 B3144:B3145 B3148:B3149 B3152:B3153 B3156:B3157 B3160:B3161 B3164:B3165 B3168:B3169 B3172:B3173 B3176:B3177 B3180:B3181 B3184:B3185 B3188:B3189 B3192:B3193 B3196:B3197 B3200:B3201 B3204:B3205 B3208:B3209 B3212:B3213 B3216:B3217 B3220:B3221 B3224:B3225 B3228:B3229 B3232:B3233 B3236:B3237 B3240:B3241 B3244:B3245 B3248:B3249 B3252:B3253 B3256:B3257 B3260:B3261 B3264:B3265 B3268:B3269 B3272:B3273 B3276:B3277 B3280:B3281 B3284:B3285 B3288:B3289 B3292:B3293 B3296:B3297 B3300:B3301 B3304:B3305 B3308:B3309 B3312:B3313 B3316:B3317 B3320:B3321 B3324:B3325 B3328:B3329 B3332:B3333 B3336:B3337 B3340:B3341 B3344:B3345 B3348:B3349 B3352:B3353 B3356:B3357 B3360:B3361 B3364:B3365 B3368:B3369 B3372:B3373 B3376:B3377 B3380:B3381 B3384:B3385 B3388:B3389 B3392:B3393 B3396:B3397 B3400:B3401 B3404:B3405 B3408:B3409 B3412:B3413 B3416:B3417 B3420:B3421 B3424:B3425 B3428:B3429 B3432:B3433 B3436:B3437 B3440:B3441 B3444:B3445 B3448:B3449 B3452:B3453 B3456:B3457 B3460:B3461 B3464:B3465 B3468:B3469 B3472:B3473 B3476:B3477 B3480:B3481 B3484:B3485 B3488:B3489 B3492:B3493 B3496:B3497 B3500:B3501 B3504:B3505 B3508:B3509 B3512:B3513 B3516:B3517 B3520:B3521 B3524:B3525 B3528:B3529 B3532:B3533 B3536:B3537 B3540:B3541 B3544:B3545 B3548:B3549 B3552:B3553 B3556:B3557 B3560:B3561 B3564:B3565 B3568:B3569 B3572:B3573 B3576:B3577 B3580:B3581 B3584:B3585 B3588:B3589 B3592:B3593 B3596:B3597 B3600:B3601 B3604:B3605 B3608:B3609 B3612:B3613 B3616:B3617 B3620:B3621 B3624:B3625 B3628:B3629 B3632:B3633 B3636:B3637 B3640:B3641 B3644:B3645 B3648:B3649 B3652:B3653 B3656:B3657 B3660:B3661 B3664:B3665 B3668:B3669 B3672:B3673 B3676:B3677 B3680:B3681 B3684:B3685 B3688:B3689 B3692:B3693 B3696:B3697 B3700:B3701 B3704:B3705 B3708:B3709 B3712:B3713 B3716:B3717 B3720:B3721 B3724:B3725 B3728:B3729 B3732:B3733 B3736:B3737 B3740:B3741 B3744:B3745 B3748:B3749 B3752:B3753 B3756:B3757 B3760:B3761 B3764:B3765 B3768:B3769 B3772:B3773 B3776:B3777 B3780:B3781 B3784:B3785 B3788:B3789 B3792:B3793 B3796:B3797 B3800:B3801 B3804:B3805 B3808:B3809 B3812:B3813 B3816:B3817 B3820:B3821 B3824:B3825 B3828:B3829 B3832:B3833 B3836:B3837 B3840:B3841 B3844:B3845 B3848:B3849 B3852:B3853 B3856:B3857 B3860:B3861 B3864:B3865 B3868:B3869 B3872:B3873 B3876:B3877 B3880:B3881 B3884:B3885 B3888:B3889 B3892:B3893 B3896:B3897 B3900:B3901 B3904:B3905 B3908:B3909 B3912:B3913 B3916:B3917 B3920:B3921 B3924:B3925 B3928:B3929 B3932:B3933 B3936:B3937 B3940:B3941 B3944:B3945 B3948:B3949 B3952:B3953 B3956:B3957 B3960:B3961 B3964:B3965 B3968:B3969 B3972:B3973 B3976:B3977 B3980:B3981 B3984:B3985 B3988:B3989 B3992:B3993 B3996:B3997 B4000:B4001 B4004:B4005 B4008:B4009 B4012:B4013 B4016:B4017 B4020:B4021 B4024:B4025 B4028:B4029 B4032:B4033 B4036:B4037 B4040:B4041 B4044:B4045 B4048:B4049 B4052:B4053 B4056:B4057 B4060:B4061 B4064:B4065 B4068:B4069 B4072:B4073 B4076:B4077 B4080:B4081 B4084:B4085 B4088:B4089 B4092:B4093 B4096:B4097 B4100:B4101 B4104:B4105 B4108:B4109 B4112:B4113 B4116:B4117 B4120:B4121 B4124:B4125 B4128:B4129 B4132:B4133 B4136:B4137 B4140:B4141 B4144:B4145 B4148:B4149 B4152:B4153 B4156:B4157 B4160:B4161 B4164:B4165 B4168:B4169 B4172:B4173 B4176:B4177 B4180:B4181 B4184:B4185 B4188:B4189 B4192:B4193 B4196:B4197 B4200:B4201 B4204:B4205 B4208:B4209 B4212:B4213 B4216:B4217 B4220:B4221 B4224:B4225 B4228:B4229 B4232:B4233 B4236:B4237 B4240:B4241 B4244:B4245 B4248:B4249 B4252:B4253 B4256:B4257 B4260:B4261 B4264:B4265 B4268:B4269 B4272:B4273 B4276:B4277 B4280:B4281 B4284:B4285 B4288:B4289 B4292:B4293 B4296:B4297 B4300:B4301 B4304:B4305 B4308:B4309 B4312:B4313 B4316:B4317 B4320:B4321 B4324:B4325 B4328:B4329 B4332:B4333 B4336:B4337 B4340:B4341 B4344:B4345 B4348:B4349 B4352:B4353 B4356:B4357 B4360:B4361 B4364:B4365 B4368:B4369 B4372:B4373 B4376:B4377 B4380:B4381 B4384:B4385 B4388:B4389 B4392:B4393 B4396:B4397 B4400:B4401 B4404:B4405 B4408:B4409 B4412:B4413 B4416:B4417 B4420:B4421 B4424:B4425 B4428:B4429 B4432:B4433 B4436:B4437 B4440:B4441 B4444:B4445 B4448:B4449 B4452:B4453 B4456:B4457 B4460:B4461 B4464:B4465 B4468:B4469 B4472:B4473 B4476:B4477 B4480:B4481 B4484:B4485 B4488:B4489 B4492:B4493 B4496:B4497 B4500:B4501 B4504:B4505 B4508:B4509 B4512:B4513 B4516:B4517 B4520:B4521 B4524:B4525 B4528:B4529 B4532:B4533 B4536:B4537 B4540:B4541 B4544:B4545 B4548:B4549 B4552:B4553 B4556:B4557 B4560:B4561 B4564:B4565 B4568:B4569 B4572:B4573 B4576:B4577 B4580:B4581 B4584:B4585 B4588:B4589 B4592:B4593 B4596:B4597 B4600:B4601 B4604:B4605 B4608:B4609 B4612:B4613 B4616:B4617 B4620:B4621 B4624:B4625 B4628:B4629 B4632:B4633 B4636:B4637 B4640:B4641 B4644:B4645 B4648:B4649 B4652:B4653 B4656:B4657 B4660:B4661 B4664:B4665 B4668:B4669 B4672:B4673 B4676:B4677 B4680:B4681 B4684:B4685 B4688:B4689 B4692:B4693 B4696:B4697 B4700:B4701 B4704:B4705 B4708:B4709 B4712:B4713 B4716:B4717 B4720:B4721 B4724:B4725 B4728:B4729 B4732:B4733 B4736:B4737 B4740:B4741 B4744:B4745 B4748:B4749 B4752:B4753 B4756:B4757 B4760:B4761 B4764:B4765 B4768:B4769 B4772:B4773 B4776:B4777 B4780:B4781 B4784:B4785 B4788:B4789 B4792:B4793 B4796:B4797 B4800:B4801 B4804:B4805 B4808:B4809 B4812:B4813 B4816:B4817 B4820:B4821 B4824:B4825 B4828:B4829 B4832:B4833 B4836:B4837 B4840:B4841 B4844:B4845 B4848:B4849 B4852:B4853 B4856:B4857 B4860:B4861 B4864:B4865 B4868:B4869 B4872:B4873 B4876:B4877 B4880:B4881 B4884:B4885 B4888:B4889 B4892:B4893 B4896:B4897 B4900:B4901 B4904:B4905 B4908:B4909 B4912:B4913 B4916:B4917 B4920:B4921 B4924:B4925 B4928:B4929 B4932:B4933 B4936:B4937 B4940:B4941 B4944:B4945 B4948:B4949 B4952:B4953 B4956:B4957 B4960:B4961 B4964:B4965 B4968:B4969 B4972:B4973 B4976:B4977 B4980:B4981 B4984:B4985 B4988:B4989 B4992:B4993 B4996:B4997 B5000:B5001 B5004:B5005 B5008:B5009 B5012:B5013 B5016:B5017 B5020:B5021 B5024:B5025 B5028:B5029 B5032:B5033 B5036:B5037 B5040:B5041 B5044:B5045 B5048:B5049 B5052:B5053 B5056:B5057 B5060:B5061 B5064:B5065 B5068:B5069 B5072:B5073 B5076:B5077 B5080:B5081 B5084:B5085 B5088:B5089 B5092:B5093 B5096:B5097 B5100:B5101 B5104:B5105 B5108:B5109 B5112:B5113 B5116:B5117 B5120:B5121 B5124:B5125 B5128:B5129 B5132:B5133 B5136:B5137 B5140:B5141 B5144:B5145 B5148:B5149 B5152:B5153 B5156:B5157 B5160:B5161 B5164:B5165 B5168:B5169 B5172:B5173 B5176:B5177 B5180:B5181 B5184:B5185 B5188:B5189 B5192:B5193 B5196:B5197 B5200:B5201 B5204:B5205 B5208:B5209 B5212:B5213 B5216:B5217 B5220:B5221 B5224:B5225 B5228:B5229 B5232:B5233 B5236:B5237 B5240:B5241 B5244:B5245 B5248:B5249 B5252:B5253 B5256:B5257 B5260:B5261 B5264:B5265 B5268:B5269 B5272:B5273 B5276:B5277 B5280:B5281 B5284:B5285 B5288:B5289 B5292:B5293 B5296:B5297 B5300:B5301 B5304:B5305 B5308:B5309 B5312:B5313 B5316:B5317 B5320:B5321 B5324:B5325 B5328:B5329 B5332:B5333 B5336:B5337 B5340:B5341 B5344:B5345 B5348:B5349 B5352:B5353 B5356:B5357 B5360:B5361 B5364:B5365 B5368:B5369 B5372:B5373 B5376:B5377 B5380:B5381 B5384:B5385 B5388:B5389 B5392:B5393 B5396:B5397 B5400:B5401 B5404:B5405 B5408:B5409 B5412:B5413 B5416:B5417 B5420:B5421 B5424:B5425 B5428:B5429 B5432:B5433 B5436:B5437 B5440:B5441 B5444:B5445 B5448:B5449 B5452:B5453 B5456:B5457 B5460:B5461 B5464:B5465 B5468:B5469 B5472:B5473 B5476:B5477 B5480:B5481 B5484:B5485 B5488:B5489 B5492:B5493 B5496:B5497 B5500:B5501 B5504:B5505 B5508:B5509 B5512:B5513 B5516:B5517 B5520:B5521 B5524:B5525 B5528:B5529 B5532:B5533 B5536:B5537 B5540:B5541 B5544:B5545 B5548:B5549 B5552:B5553 B5556:B5557 B5560:B5561 B5564:B5565 B5568:B5569 B5572:B5573 B5576:B5577 B5580:B5581 B5584:B5585 B5588:B5589 B5592:B5593 B5596:B5597 B5600:B5601 B5604:B5605 B5608:B5609 B5612:B5613 B5616:B5617 B5620:B5621 B5624:B5625 B5628:B5629 B5632:B5633 B5636:B5637 B5640:B5641 B5644:B5645 B5648:B5649 B5652:B5653 B5656:B5657 B5660:B5661 B5664:B5665 B5668:B5669 B5672:B5673 B5676:B5677 B5680:B5681 B5684:B5685 B5688:B5689 B5692:B5693 B5696:B5697 B5700:B5701 B5704:B5705 B5708:B5709 B5712:B5713 B5716:B5717 B5720:B5721 B5724:B5725 B5728:B5729 B5732:B5733 B5736:B5737 B5740:B5741 B5744:B5745 B5748:B5749 B5752:B5753 B5756:B5757 B5760:B5761 B5764:B5765 B5768:B5769 B5772:B5773 B5776:B5777 B5780:B5781 B5784:B5785 B5788:B5789 B5792:B5793 B5796:B5797 B5800:B5801 B5804:B5805 B5808:B5809 B5812:B5813 B5816:B5817 B5820:B5821 B5824:B5825 B5828:B5829 B5832:B5833 B5836:B5837 B5840:B5841 B5844:B5845 B5848:B5849 B5852:B5853 B5856:B5857 B5860:B5861 B5864:B5865 B5868:B5869 B5872:B5873 B5876:B5877 B5880:B5881 B5884:B5885 B5888:B5889 B5892:B5893 B5896:B5897 B5900:B5901 B5904:B5905 B5908:B5909 B5912:B5913 B5916:B5917 B5920:B5921 B5924:B5925 B5928:B5929 B5932:B5933 B5936:B5937 B5940:B5941 B5944:B5945 B5948:B5949 B5952:B5953 B5956:B5957 B5960:B5961 B5964:B5965 B5968:B5969 B5972:B5973 B5976:B5977 B5980:B5981 B5984:B5985 B5988:B5989 B5992:B5993 B5996:B5997 B6000:B6001 B6004:B6005 B6008:B6009 B6012:B6013 B6016:B6017 B6020:B6021 B6024:B6025 B6028:B6029 B6032:B6033 B6036:B6037 B6040:B6041 B6044:B6045 B6048:B6049 B6052:B6053 B6056:B6057 B6060:B6061 B6064:B6065 B6068:B6069 B6072:B6073 B6076:B6077 B6080:B6081 B6084:B6085 B6088:B6089 B6092:B6093 B6096:B6097 B6100:B6101 B6104:B6105 B6108:B6109 B6112:B6113 B6116:B6117 B6120:B6121 B6124:B6125 B6128:B6129 B6132:B6133 B6136:B6137 B6140:B6141 B6144:B6145 B6148:B6149 B6152:B6153 B6156:B6157 B6160:B6161 B6164:B6165 B6168:B6169 B6172:B6173 B6176:B6177 B6180:B6181 B6184:B6185 B6188:B6189 B6192:B6193 B6196:B6197 B6200:B6201 B6204:B6205 B6208:B6209 B6212:B6213 B6216:B6217 B6220:B6221 B6224:B6225 B6228:B6229 B6232:B6233 B6236:B6237 B6240:B6241 B6244:B6245 B6248:B6249 B6252:B6253 B6256:B6257 B6260:B6261 B6264:B6265 B6268:B6269 B6272:B6273 B6276:B6277 B6280:B6281 B6284:B6285 B6288:B6289 B6292:B6293 B6296:B6297 B6300:B6301 B6304:B6305 B6308:B6309 B6312:B6313 B6316:B6317 B6320:B6321 B6324:B6325 B6328:B6329 B6332:B6333 B6336:B6337 B6340:B6341 B6344:B6345 B6348:B6349 B6352:B6353 B6356:B6357 B6360:B6361 B6364:B6365 B6368:B6369 B6372:B6373 B6376:B6377 B6380:B6381 B6384:B6385 B6388:B6389 B6392:B6393 B6396:B6397 B6400:B6401 B6404:B6405 B6408:B6409 B6412:B6413 B6416:B6417 B6420:B6421 B6424:B6425 B6428:B6429 B6432:B6433 B6436:B6437 B6440:B6441 B6444:B6445 B6448:B6449 B6452:B6453 B6456:B6457 B6460:B6461 B6464:B6465 B6468:B6469 B6472:B6473 B6476:B6477 B6480:B6481 B6484:B6485 B6488:B6489 B6492:B6493 B6496:B6497 B6500:B6501 B6504:B6505 B6508:B6509 B6512:B6513 B6516:B6517 B6520:B6521 B6524:B6525 B6528:B6529 B6532:B6533 B6536:B6537 B6540:B6541 B6544:B6545 B6548:B6549 B6552:B6553 B6556:B6557 B6560:B6561 B6564:B6565 B6568:B6569 B6572:B6573 B6576:B6577 B6580:B6581 B6584:B6585 B6588:B6589 B6592:B6593 B6596:B6597 B6600:B6601 B6604:B6605 B6608:B6609 B6612:B6613 B6616:B6617 B6620:B6621 B6624:B6625 B6628:B6629 B6632:B6633 B6636:B6637 B6640:B6641 B6644:B6645 B6648:B6649 B6652:B6653 B6656:B6657 B6660:B6661 B6664:B6665 B6668:B6669 B6672:B6673 B6676:B6677 B6680:B6681 B6684:B6685 B6688:B6689 B6692:B6693 B6696:B6697 B6700:B6701 B6704:B6705 B6708:B6709 B6712:B6713 B6716:B6717 B6720:B6721 B6724:B6725 B6728:B6729 B6732:B6733 B6736:B6737 B6740:B6741 B6744:B6745 B6748:B6749 B6752:B6753 B6756:B6757 B6760:B6761 B6764:B6765 B6768:B6769 B6772:B6773 B6776:B6777 B6780:B6781 B6784:B6785 B6788:B6789 B6792:B6793 B6796:B6797 B6800:B6801 B6804:B6805 B6808:B6809 B6812:B6813 B6816:B6817 B6820:B6821 B6824:B6825 B6828:B6829 B6832:B6833 B6836:B6837 B6840:B6841 B6844:B6845 B6848:B6849 B6852:B6853 B6856:B6857 B6860:B6861 B6864:B6865 B6868:B6869 B6872:B6873 B6876:B6877 B6880:B6881 B6884:B6885 B6888:B6889 B6892:B6893 B6896:B6897 B6900:B6901 B6904:B6905 B6908:B6909 B6912:B6913 B6916:B6917 B6920:B6921 B6924:B6925 B6928:B6929 B6932:B6933 B6936:B6937 B6940:B6941 B6944:B6945 B6948:B6949 B6952:B6953 B6956:B6957 B6960:B6961 B6964:B6965 B6968:B6969 B6972:B6973 B6976:B6977 B6980:B6981 B6984:B6985 B6988:B6989 B6992:B6993 B6996:B6997 B7000:B7001 B7004:B7005 B7008:B7009 B7012:B7013 B7016:B7017 B7020:B7021 B7024:B7025 B7028:B7029 B7032:B7033 B7036:B7037 B7040:B7041 B7044:B7045 B7048:B7049 B7052:B7053 B7056:B7057 B7060:B7061 B7064:B7065 B7068:B7069 B7072:B7073 B7076:B7077 B7080:B7081 B7084:B7085 B7088:B7089 B7092:B7093 B7096:B7097 B7100:B7101 B7104:B7105 B7108:B7109 B7112:B7113 B7116:B7117 B7120:B7121 B7124:B7125 B7128:B7129 B7132:B7133 B7136:B7137 B7140:B7141 B7144:B7145 B7148:B7149 B7152:B7153 B7156:B7157 B7160:B7161 B7164:B7165 B7168:B7169 B7172:B7173 B7176:B7177 B7180:B7181 B7184:B7185 B7188:B7189 B7192:B7193 B7196:B7197 B7200:B7201 B7204:B7205 B7208:B7209 B7212:B7213 B7216:B7217 B7220:B7221 B7224:B7225 B7228:B7229 B7232:B7233 B7236:B7237 B7240:B7241 B7244:B7245 B7248:B7249 B7252:B7253 B7256:B7257 B7260:B7261 B7264:B7265 B7268:B7269 B7272:B7273 B7276:B7277 B7280:B7281 B7284:B7285 B7288:B7289 B7292:B7293 B7296:B7297 B7300:B7301 B7304:B7305 B7308:B7309 B7312:B7313 B7316:B7317 B7320:B7321 B7324:B7325 B7328:B7329 B7332:B7333 B7336:B7337 B7340:B7341 B7344:B7345 B7348:B7349 B7352:B7353 B7356:B7357 B7360:B7361 B7364:B7365 B7368:B7369 B7372:B7373 B7376:B7377 B7380:B7381 B7384:B7385 B7388:B7389 B7392:B7393 B7396:B7397 B7400:B7401 B7404:B7405 B7408:B7409 B7412:B7413 B7416:B7417 B7420:B7421 B7424:B7425 B7428:B7429 B7432:B7433 B7436:B7437 B7440:B7441 B7444:B7445 B7448:B7449 B7452:B7453 B7456:B7457 B7460:B7461 B7464:B7465 B7468:B7469 B7472:B7473 B7476:B7477 B7480:B7481 B7484:B7485 B7488:B7489 B7492:B7493 B7496:B7497 B7500:B7501 B7504:B7505 B7508:B7509 B7512:B7513 B7516:B7517 B7520:B7521 B7524:B7525 B7528:B7529 B7532:B7533 B7536:B7537 B7540:B7541 B7544:B7545 B7548:B7549 B7552:B7553 B7556:B7557 B7560:B7561">
    <cfRule type="containsBlanks" dxfId="16" priority="1">
      <formula>LEN(TRIM(B11))=0</formula>
    </cfRule>
  </conditionalFormatting>
  <conditionalFormatting sqref="B3:E198 A93:A198">
    <cfRule type="containsBlanks" dxfId="15" priority="2">
      <formula>LEN(TRIM(A93))=0</formula>
    </cfRule>
  </conditionalFormatting>
  <conditionalFormatting sqref="E3:E7562">
    <cfRule type="containsBlanks" dxfId="14" priority="3">
      <formula>LEN(TRIM(E3))=0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1D00-000000000000}">
          <x14:formula1>
            <xm:f>Infiltration_components!$A$3:$A$106</xm:f>
          </x14:formula1>
          <xm:sqref>C3:D7562</xm:sqref>
        </x14:dataValidation>
        <x14:dataValidation type="list" allowBlank="1" showErrorMessage="1" xr:uid="{00000000-0002-0000-1D00-000001000000}">
          <x14:formula1>
            <xm:f>Constructions!$L:$L</xm:f>
          </x14:formula1>
          <xm:sqref>B3:B7562</xm:sqref>
        </x14:dataValidation>
        <x14:dataValidation type="list" allowBlank="1" showErrorMessage="1" xr:uid="{00000000-0002-0000-1D00-000002000000}">
          <x14:formula1>
            <xm:f>Construction_assembly!$A$3:$A$1048571</xm:f>
          </x14:formula1>
          <xm:sqref>E3:E7562</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1000"/>
  <sheetViews>
    <sheetView workbookViewId="0"/>
  </sheetViews>
  <sheetFormatPr baseColWidth="10" defaultColWidth="11.28515625" defaultRowHeight="15" customHeight="1"/>
  <cols>
    <col min="1" max="26" width="11.1406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7"/>
  </sheetPr>
  <dimension ref="A1:Z1000"/>
  <sheetViews>
    <sheetView workbookViewId="0"/>
  </sheetViews>
  <sheetFormatPr baseColWidth="10" defaultColWidth="11.28515625" defaultRowHeight="15" customHeight="1"/>
  <cols>
    <col min="1" max="2" width="22.42578125" customWidth="1"/>
    <col min="3" max="3" width="38.42578125" customWidth="1"/>
    <col min="4" max="26" width="10.85546875" customWidth="1"/>
  </cols>
  <sheetData>
    <row r="1" spans="1:26" ht="72" customHeight="1">
      <c r="A1" s="48" t="s">
        <v>5842</v>
      </c>
      <c r="B1" s="48" t="s">
        <v>5843</v>
      </c>
      <c r="C1" s="48" t="s">
        <v>5844</v>
      </c>
      <c r="D1" s="20"/>
      <c r="E1" s="20"/>
      <c r="F1" s="20"/>
      <c r="G1" s="20"/>
      <c r="H1" s="20"/>
      <c r="I1" s="20"/>
      <c r="J1" s="20"/>
      <c r="K1" s="20"/>
      <c r="L1" s="20"/>
      <c r="M1" s="20"/>
      <c r="N1" s="20"/>
      <c r="O1" s="20"/>
      <c r="P1" s="20"/>
      <c r="Q1" s="20"/>
      <c r="R1" s="20"/>
      <c r="S1" s="20"/>
      <c r="T1" s="20"/>
      <c r="U1" s="20"/>
      <c r="V1" s="20"/>
      <c r="W1" s="20"/>
      <c r="X1" s="20"/>
      <c r="Y1" s="20"/>
      <c r="Z1" s="20"/>
    </row>
    <row r="2" spans="1:26" ht="17.25" customHeight="1">
      <c r="A2" s="41" t="s">
        <v>5845</v>
      </c>
      <c r="B2" s="41" t="s">
        <v>5846</v>
      </c>
      <c r="C2" s="170" t="s">
        <v>5038</v>
      </c>
      <c r="D2" s="20" t="s">
        <v>5847</v>
      </c>
      <c r="E2" s="20" t="s">
        <v>5848</v>
      </c>
      <c r="F2" s="20" t="s">
        <v>5849</v>
      </c>
      <c r="G2" s="20" t="s">
        <v>5850</v>
      </c>
      <c r="H2" s="20"/>
      <c r="I2" s="20"/>
      <c r="J2" s="20"/>
      <c r="K2" s="20"/>
      <c r="L2" s="20"/>
      <c r="M2" s="20"/>
      <c r="N2" s="20"/>
      <c r="O2" s="20"/>
      <c r="P2" s="20"/>
      <c r="Q2" s="20"/>
      <c r="R2" s="20"/>
      <c r="S2" s="20"/>
      <c r="T2" s="20"/>
      <c r="U2" s="20"/>
      <c r="V2" s="20"/>
      <c r="W2" s="20"/>
      <c r="X2" s="20"/>
      <c r="Y2" s="20"/>
      <c r="Z2" s="20"/>
    </row>
    <row r="3" spans="1:26" ht="17.25" customHeight="1">
      <c r="A3" s="171" t="s">
        <v>175</v>
      </c>
      <c r="B3" s="171" t="s">
        <v>5851</v>
      </c>
      <c r="C3" s="172">
        <v>1</v>
      </c>
      <c r="D3" s="20">
        <v>434</v>
      </c>
      <c r="E3" s="20">
        <f>D3/8760</f>
        <v>4.954337899543379E-2</v>
      </c>
      <c r="F3" s="20">
        <v>1</v>
      </c>
      <c r="G3" s="20">
        <v>0</v>
      </c>
      <c r="H3" s="20"/>
      <c r="I3" s="20"/>
      <c r="J3" s="20"/>
      <c r="K3" s="20"/>
      <c r="L3" s="20"/>
      <c r="M3" s="20"/>
      <c r="N3" s="20"/>
      <c r="O3" s="20"/>
      <c r="P3" s="20"/>
      <c r="Q3" s="20"/>
      <c r="R3" s="20"/>
      <c r="S3" s="20"/>
      <c r="T3" s="20"/>
      <c r="U3" s="20"/>
      <c r="V3" s="20"/>
      <c r="W3" s="20"/>
      <c r="X3" s="20"/>
      <c r="Y3" s="20"/>
      <c r="Z3" s="20"/>
    </row>
    <row r="4" spans="1:26" ht="17.25" customHeight="1">
      <c r="A4" s="171" t="s">
        <v>175</v>
      </c>
      <c r="B4" s="171" t="s">
        <v>5852</v>
      </c>
      <c r="C4" s="172">
        <v>1</v>
      </c>
      <c r="D4" s="20">
        <f>C4*(38.8+12.9*0.016)</f>
        <v>39.006399999999999</v>
      </c>
      <c r="E4" s="20">
        <f t="shared" ref="E4:E7" si="0">D4/350</f>
        <v>0.11144685714285714</v>
      </c>
      <c r="F4" s="20">
        <v>0.8</v>
      </c>
      <c r="G4" s="20">
        <v>0</v>
      </c>
      <c r="H4" s="20"/>
      <c r="I4" s="20"/>
      <c r="J4" s="20"/>
      <c r="K4" s="20"/>
      <c r="L4" s="20"/>
      <c r="M4" s="20"/>
      <c r="N4" s="20"/>
      <c r="O4" s="20"/>
      <c r="P4" s="20"/>
      <c r="Q4" s="20"/>
      <c r="R4" s="20"/>
      <c r="S4" s="20"/>
      <c r="T4" s="20"/>
      <c r="U4" s="20"/>
      <c r="V4" s="20"/>
      <c r="W4" s="20"/>
      <c r="X4" s="20"/>
      <c r="Y4" s="20"/>
      <c r="Z4" s="20"/>
    </row>
    <row r="5" spans="1:26" ht="17.25" customHeight="1">
      <c r="A5" s="171" t="s">
        <v>175</v>
      </c>
      <c r="B5" s="171" t="s">
        <v>5853</v>
      </c>
      <c r="C5" s="172">
        <v>1</v>
      </c>
      <c r="D5" s="20">
        <f>C5*(538.2+179.4*0.016)</f>
        <v>541.07040000000006</v>
      </c>
      <c r="E5" s="20">
        <f t="shared" si="0"/>
        <v>1.5459154285714287</v>
      </c>
      <c r="F5" s="20">
        <v>0.15</v>
      </c>
      <c r="G5" s="20">
        <v>0.05</v>
      </c>
      <c r="H5" s="20"/>
      <c r="I5" s="20"/>
      <c r="J5" s="20"/>
      <c r="K5" s="20"/>
      <c r="L5" s="20"/>
      <c r="M5" s="20"/>
      <c r="N5" s="20"/>
      <c r="O5" s="20"/>
      <c r="P5" s="20"/>
      <c r="Q5" s="20"/>
      <c r="R5" s="20"/>
      <c r="S5" s="20"/>
      <c r="T5" s="20"/>
      <c r="U5" s="20"/>
      <c r="V5" s="20"/>
      <c r="W5" s="20"/>
      <c r="X5" s="20"/>
      <c r="Y5" s="20"/>
      <c r="Z5" s="20"/>
    </row>
    <row r="6" spans="1:26" ht="17.25" customHeight="1">
      <c r="A6" s="171" t="s">
        <v>175</v>
      </c>
      <c r="B6" s="171" t="s">
        <v>5854</v>
      </c>
      <c r="C6" s="172">
        <v>1</v>
      </c>
      <c r="D6" s="20">
        <f>C6*(87.6  + 29.2*0.016)</f>
        <v>88.0672</v>
      </c>
      <c r="E6" s="20">
        <f t="shared" si="0"/>
        <v>0.25162057142857142</v>
      </c>
      <c r="F6" s="20">
        <v>0.6</v>
      </c>
      <c r="G6" s="20">
        <v>0.15</v>
      </c>
      <c r="H6" s="20"/>
      <c r="I6" s="20"/>
      <c r="J6" s="20"/>
      <c r="K6" s="20"/>
      <c r="L6" s="20"/>
      <c r="M6" s="20"/>
      <c r="N6" s="20"/>
      <c r="O6" s="20"/>
      <c r="P6" s="20"/>
      <c r="Q6" s="20"/>
      <c r="R6" s="20"/>
      <c r="S6" s="20"/>
      <c r="T6" s="20"/>
      <c r="U6" s="20"/>
      <c r="V6" s="20"/>
      <c r="W6" s="20"/>
      <c r="X6" s="20"/>
      <c r="Y6" s="20"/>
      <c r="Z6" s="20"/>
    </row>
    <row r="7" spans="1:26" ht="17.25" customHeight="1">
      <c r="A7" s="171" t="s">
        <v>175</v>
      </c>
      <c r="B7" s="171" t="s">
        <v>5855</v>
      </c>
      <c r="C7" s="172">
        <v>1</v>
      </c>
      <c r="D7" s="20">
        <f>C7*(250+83*0.016)</f>
        <v>251.328</v>
      </c>
      <c r="E7" s="20">
        <f t="shared" si="0"/>
        <v>0.71808000000000005</v>
      </c>
      <c r="F7" s="20">
        <v>0.4</v>
      </c>
      <c r="G7" s="20">
        <v>0.3</v>
      </c>
      <c r="H7" s="20"/>
      <c r="I7" s="20"/>
      <c r="J7" s="20"/>
      <c r="K7" s="20"/>
      <c r="L7" s="20"/>
      <c r="M7" s="20"/>
      <c r="N7" s="20"/>
      <c r="O7" s="20"/>
      <c r="P7" s="20"/>
      <c r="Q7" s="20"/>
      <c r="R7" s="20"/>
      <c r="S7" s="20"/>
      <c r="T7" s="20"/>
      <c r="U7" s="20"/>
      <c r="V7" s="20"/>
      <c r="W7" s="20"/>
      <c r="X7" s="20"/>
      <c r="Y7" s="20"/>
      <c r="Z7" s="20"/>
    </row>
    <row r="8" spans="1:26" ht="17.25" customHeight="1">
      <c r="A8" s="171" t="s">
        <v>175</v>
      </c>
      <c r="B8" s="171" t="s">
        <v>5856</v>
      </c>
      <c r="C8" s="47">
        <v>1</v>
      </c>
      <c r="D8" s="20"/>
      <c r="E8" s="20"/>
      <c r="F8" s="20">
        <v>0.93</v>
      </c>
      <c r="G8" s="20">
        <v>0.02</v>
      </c>
      <c r="H8" s="20"/>
      <c r="I8" s="20"/>
      <c r="J8" s="20"/>
      <c r="K8" s="20"/>
      <c r="L8" s="20"/>
      <c r="M8" s="20"/>
      <c r="N8" s="20"/>
      <c r="O8" s="20"/>
      <c r="P8" s="20"/>
      <c r="Q8" s="20"/>
      <c r="R8" s="20"/>
      <c r="S8" s="20"/>
      <c r="T8" s="20"/>
      <c r="U8" s="20"/>
      <c r="V8" s="20"/>
      <c r="W8" s="20"/>
      <c r="X8" s="20"/>
      <c r="Y8" s="20"/>
      <c r="Z8" s="20"/>
    </row>
    <row r="9" spans="1:26" ht="17.25" customHeight="1">
      <c r="B9" s="171"/>
      <c r="C9" s="47"/>
      <c r="D9" s="20"/>
      <c r="E9" s="20"/>
      <c r="F9" s="20"/>
      <c r="G9" s="20"/>
      <c r="H9" s="20"/>
      <c r="I9" s="20"/>
      <c r="J9" s="20"/>
      <c r="K9" s="20"/>
      <c r="L9" s="20"/>
      <c r="M9" s="20"/>
      <c r="N9" s="20"/>
      <c r="O9" s="20"/>
      <c r="P9" s="20"/>
      <c r="Q9" s="20"/>
      <c r="R9" s="20"/>
      <c r="S9" s="20"/>
      <c r="T9" s="20"/>
      <c r="U9" s="20"/>
      <c r="V9" s="20"/>
      <c r="W9" s="20"/>
      <c r="X9" s="20"/>
      <c r="Y9" s="20"/>
      <c r="Z9" s="20"/>
    </row>
    <row r="10" spans="1:26" ht="17.25" customHeight="1">
      <c r="C10" s="47"/>
      <c r="D10" s="20"/>
      <c r="E10" s="20"/>
      <c r="F10" s="20"/>
      <c r="G10" s="20"/>
      <c r="H10" s="20"/>
      <c r="I10" s="20"/>
      <c r="J10" s="20"/>
      <c r="K10" s="20"/>
      <c r="L10" s="20"/>
      <c r="M10" s="20"/>
      <c r="N10" s="20"/>
      <c r="O10" s="20"/>
      <c r="P10" s="20"/>
      <c r="Q10" s="20"/>
      <c r="R10" s="20"/>
      <c r="S10" s="20"/>
      <c r="T10" s="20"/>
      <c r="U10" s="20"/>
      <c r="V10" s="20"/>
      <c r="W10" s="20"/>
      <c r="X10" s="20"/>
      <c r="Y10" s="20"/>
      <c r="Z10" s="20"/>
    </row>
    <row r="11" spans="1:26" ht="17.25" customHeight="1">
      <c r="C11" s="47"/>
      <c r="D11" s="20"/>
      <c r="E11" s="20"/>
      <c r="F11" s="20"/>
      <c r="G11" s="20"/>
      <c r="H11" s="20"/>
      <c r="I11" s="20"/>
      <c r="J11" s="20"/>
      <c r="K11" s="20"/>
      <c r="L11" s="20"/>
      <c r="M11" s="20"/>
      <c r="N11" s="20"/>
      <c r="O11" s="20"/>
      <c r="P11" s="20"/>
      <c r="Q11" s="20"/>
      <c r="R11" s="20"/>
      <c r="S11" s="20"/>
      <c r="T11" s="20"/>
      <c r="U11" s="20"/>
      <c r="V11" s="20"/>
      <c r="W11" s="20"/>
      <c r="X11" s="20"/>
      <c r="Y11" s="20"/>
      <c r="Z11" s="20"/>
    </row>
    <row r="12" spans="1:26" ht="17.25" customHeight="1">
      <c r="C12" s="47"/>
      <c r="D12" s="20"/>
      <c r="E12" s="20"/>
      <c r="F12" s="20"/>
      <c r="G12" s="20"/>
      <c r="H12" s="20"/>
      <c r="I12" s="20"/>
      <c r="J12" s="20"/>
      <c r="K12" s="20"/>
      <c r="L12" s="20"/>
      <c r="M12" s="20"/>
      <c r="N12" s="20"/>
      <c r="O12" s="20"/>
      <c r="P12" s="20"/>
      <c r="Q12" s="20"/>
      <c r="R12" s="20"/>
      <c r="S12" s="20"/>
      <c r="T12" s="20"/>
      <c r="U12" s="20"/>
      <c r="V12" s="20"/>
      <c r="W12" s="20"/>
      <c r="X12" s="20"/>
      <c r="Y12" s="20"/>
      <c r="Z12" s="20"/>
    </row>
    <row r="13" spans="1:26" ht="17.25" customHeight="1">
      <c r="C13" s="47"/>
      <c r="D13" s="20"/>
      <c r="E13" s="20"/>
      <c r="F13" s="20"/>
      <c r="G13" s="20"/>
      <c r="H13" s="20"/>
      <c r="I13" s="20"/>
      <c r="J13" s="20"/>
      <c r="K13" s="20"/>
      <c r="L13" s="20"/>
      <c r="M13" s="20"/>
      <c r="N13" s="20"/>
      <c r="O13" s="20"/>
      <c r="P13" s="20"/>
      <c r="Q13" s="20"/>
      <c r="R13" s="20"/>
      <c r="S13" s="20"/>
      <c r="T13" s="20"/>
      <c r="U13" s="20"/>
      <c r="V13" s="20"/>
      <c r="W13" s="20"/>
      <c r="X13" s="20"/>
      <c r="Y13" s="20"/>
      <c r="Z13" s="20"/>
    </row>
    <row r="14" spans="1:26" ht="17.25" customHeight="1">
      <c r="C14" s="47"/>
      <c r="D14" s="20"/>
      <c r="E14" s="20"/>
      <c r="F14" s="20"/>
      <c r="G14" s="20"/>
      <c r="H14" s="20"/>
      <c r="I14" s="20"/>
      <c r="J14" s="20"/>
      <c r="K14" s="20"/>
      <c r="L14" s="20"/>
      <c r="M14" s="20"/>
      <c r="N14" s="20"/>
      <c r="O14" s="20"/>
      <c r="P14" s="20"/>
      <c r="Q14" s="20"/>
      <c r="R14" s="20"/>
      <c r="S14" s="20"/>
      <c r="T14" s="20"/>
      <c r="U14" s="20"/>
      <c r="V14" s="20"/>
      <c r="W14" s="20"/>
      <c r="X14" s="20"/>
      <c r="Y14" s="20"/>
      <c r="Z14" s="20"/>
    </row>
    <row r="15" spans="1:26" ht="17.25" customHeight="1">
      <c r="C15" s="47"/>
      <c r="D15" s="20"/>
      <c r="E15" s="20"/>
      <c r="F15" s="20"/>
      <c r="G15" s="20"/>
      <c r="H15" s="20"/>
      <c r="I15" s="20"/>
      <c r="J15" s="20"/>
      <c r="K15" s="20"/>
      <c r="L15" s="20"/>
      <c r="M15" s="20"/>
      <c r="N15" s="20"/>
      <c r="O15" s="20"/>
      <c r="P15" s="20"/>
      <c r="Q15" s="20"/>
      <c r="R15" s="20"/>
      <c r="S15" s="20"/>
      <c r="T15" s="20"/>
      <c r="U15" s="20"/>
      <c r="V15" s="20"/>
      <c r="W15" s="20"/>
      <c r="X15" s="20"/>
      <c r="Y15" s="20"/>
      <c r="Z15" s="20"/>
    </row>
    <row r="16" spans="1:26" ht="17.25" customHeight="1">
      <c r="C16" s="47"/>
      <c r="D16" s="20"/>
      <c r="E16" s="20"/>
      <c r="F16" s="20"/>
      <c r="G16" s="20"/>
      <c r="H16" s="20"/>
      <c r="I16" s="20"/>
      <c r="J16" s="20"/>
      <c r="K16" s="20"/>
      <c r="L16" s="20"/>
      <c r="M16" s="20"/>
      <c r="N16" s="20"/>
      <c r="O16" s="20"/>
      <c r="P16" s="20"/>
      <c r="Q16" s="20"/>
      <c r="R16" s="20"/>
      <c r="S16" s="20"/>
      <c r="T16" s="20"/>
      <c r="U16" s="20"/>
      <c r="V16" s="20"/>
      <c r="W16" s="20"/>
      <c r="X16" s="20"/>
      <c r="Y16" s="20"/>
      <c r="Z16" s="20"/>
    </row>
    <row r="17" spans="3:26" ht="17.25" customHeight="1">
      <c r="C17" s="47"/>
      <c r="D17" s="20"/>
      <c r="E17" s="20"/>
      <c r="F17" s="20"/>
      <c r="G17" s="20"/>
      <c r="H17" s="20"/>
      <c r="I17" s="20"/>
      <c r="J17" s="20"/>
      <c r="K17" s="20"/>
      <c r="L17" s="20"/>
      <c r="M17" s="20"/>
      <c r="N17" s="20"/>
      <c r="O17" s="20"/>
      <c r="P17" s="20"/>
      <c r="Q17" s="20"/>
      <c r="R17" s="20"/>
      <c r="S17" s="20"/>
      <c r="T17" s="20"/>
      <c r="U17" s="20"/>
      <c r="V17" s="20"/>
      <c r="W17" s="20"/>
      <c r="X17" s="20"/>
      <c r="Y17" s="20"/>
      <c r="Z17" s="20"/>
    </row>
    <row r="18" spans="3:26" ht="17.25" customHeight="1">
      <c r="C18" s="47"/>
      <c r="D18" s="20"/>
      <c r="E18" s="20"/>
      <c r="F18" s="20"/>
      <c r="G18" s="20"/>
      <c r="H18" s="20"/>
      <c r="I18" s="20"/>
      <c r="J18" s="20"/>
      <c r="K18" s="20"/>
      <c r="L18" s="20"/>
      <c r="M18" s="20"/>
      <c r="N18" s="20"/>
      <c r="O18" s="20"/>
      <c r="P18" s="20"/>
      <c r="Q18" s="20"/>
      <c r="R18" s="20"/>
      <c r="S18" s="20"/>
      <c r="T18" s="20"/>
      <c r="U18" s="20"/>
      <c r="V18" s="20"/>
      <c r="W18" s="20"/>
      <c r="X18" s="20"/>
      <c r="Y18" s="20"/>
      <c r="Z18" s="20"/>
    </row>
    <row r="19" spans="3:26" ht="17.25" customHeight="1">
      <c r="C19" s="47"/>
      <c r="D19" s="20"/>
      <c r="E19" s="20"/>
      <c r="F19" s="20"/>
      <c r="G19" s="20"/>
      <c r="H19" s="20"/>
      <c r="I19" s="20"/>
      <c r="J19" s="20"/>
      <c r="K19" s="20"/>
      <c r="L19" s="20"/>
      <c r="M19" s="20"/>
      <c r="N19" s="20"/>
      <c r="O19" s="20"/>
      <c r="P19" s="20"/>
      <c r="Q19" s="20"/>
      <c r="R19" s="20"/>
      <c r="S19" s="20"/>
      <c r="T19" s="20"/>
      <c r="U19" s="20"/>
      <c r="V19" s="20"/>
      <c r="W19" s="20"/>
      <c r="X19" s="20"/>
      <c r="Y19" s="20"/>
      <c r="Z19" s="20"/>
    </row>
    <row r="20" spans="3:26" ht="17.25" customHeight="1">
      <c r="C20" s="47"/>
      <c r="D20" s="20"/>
      <c r="E20" s="20"/>
      <c r="F20" s="20"/>
      <c r="G20" s="20"/>
      <c r="H20" s="20"/>
      <c r="I20" s="20"/>
      <c r="J20" s="20"/>
      <c r="K20" s="20"/>
      <c r="L20" s="20"/>
      <c r="M20" s="20"/>
      <c r="N20" s="20"/>
      <c r="O20" s="20"/>
      <c r="P20" s="20"/>
      <c r="Q20" s="20"/>
      <c r="R20" s="20"/>
      <c r="S20" s="20"/>
      <c r="T20" s="20"/>
      <c r="U20" s="20"/>
      <c r="V20" s="20"/>
      <c r="W20" s="20"/>
      <c r="X20" s="20"/>
      <c r="Y20" s="20"/>
      <c r="Z20" s="20"/>
    </row>
    <row r="21" spans="3:26" ht="17.25" customHeight="1">
      <c r="C21" s="47"/>
      <c r="D21" s="20"/>
      <c r="E21" s="20"/>
      <c r="F21" s="20"/>
      <c r="G21" s="20"/>
      <c r="H21" s="20"/>
      <c r="I21" s="20"/>
      <c r="J21" s="20"/>
      <c r="K21" s="20"/>
      <c r="L21" s="20"/>
      <c r="M21" s="20"/>
      <c r="N21" s="20"/>
      <c r="O21" s="20"/>
      <c r="P21" s="20"/>
      <c r="Q21" s="20"/>
      <c r="R21" s="20"/>
      <c r="S21" s="20"/>
      <c r="T21" s="20"/>
      <c r="U21" s="20"/>
      <c r="V21" s="20"/>
      <c r="W21" s="20"/>
      <c r="X21" s="20"/>
      <c r="Y21" s="20"/>
      <c r="Z21" s="20"/>
    </row>
    <row r="22" spans="3:26" ht="17.25" customHeight="1">
      <c r="C22" s="47"/>
      <c r="D22" s="20"/>
      <c r="E22" s="20"/>
      <c r="F22" s="20"/>
      <c r="G22" s="20"/>
      <c r="H22" s="20"/>
      <c r="I22" s="20"/>
      <c r="J22" s="20"/>
      <c r="K22" s="20"/>
      <c r="L22" s="20"/>
      <c r="M22" s="20"/>
      <c r="N22" s="20"/>
      <c r="O22" s="20"/>
      <c r="P22" s="20"/>
      <c r="Q22" s="20"/>
      <c r="R22" s="20"/>
      <c r="S22" s="20"/>
      <c r="T22" s="20"/>
      <c r="U22" s="20"/>
      <c r="V22" s="20"/>
      <c r="W22" s="20"/>
      <c r="X22" s="20"/>
      <c r="Y22" s="20"/>
      <c r="Z22" s="20"/>
    </row>
    <row r="23" spans="3:26" ht="17.25" customHeight="1">
      <c r="C23" s="47"/>
      <c r="D23" s="20"/>
      <c r="E23" s="20"/>
      <c r="F23" s="20"/>
      <c r="G23" s="20"/>
      <c r="H23" s="20"/>
      <c r="I23" s="20"/>
      <c r="J23" s="20"/>
      <c r="K23" s="20"/>
      <c r="L23" s="20"/>
      <c r="M23" s="20"/>
      <c r="N23" s="20"/>
      <c r="O23" s="20"/>
      <c r="P23" s="20"/>
      <c r="Q23" s="20"/>
      <c r="R23" s="20"/>
      <c r="S23" s="20"/>
      <c r="T23" s="20"/>
      <c r="U23" s="20"/>
      <c r="V23" s="20"/>
      <c r="W23" s="20"/>
      <c r="X23" s="20"/>
      <c r="Y23" s="20"/>
      <c r="Z23" s="20"/>
    </row>
    <row r="24" spans="3:26" ht="17.25" customHeight="1">
      <c r="C24" s="47"/>
      <c r="D24" s="20"/>
      <c r="E24" s="20"/>
      <c r="F24" s="20"/>
      <c r="G24" s="20"/>
      <c r="H24" s="20"/>
      <c r="I24" s="20"/>
      <c r="J24" s="20"/>
      <c r="K24" s="20"/>
      <c r="L24" s="20"/>
      <c r="M24" s="20"/>
      <c r="N24" s="20"/>
      <c r="O24" s="20"/>
      <c r="P24" s="20"/>
      <c r="Q24" s="20"/>
      <c r="R24" s="20"/>
      <c r="S24" s="20"/>
      <c r="T24" s="20"/>
      <c r="U24" s="20"/>
      <c r="V24" s="20"/>
      <c r="W24" s="20"/>
      <c r="X24" s="20"/>
      <c r="Y24" s="20"/>
      <c r="Z24" s="20"/>
    </row>
    <row r="25" spans="3:26" ht="17.25" customHeight="1">
      <c r="C25" s="47"/>
      <c r="D25" s="20"/>
      <c r="E25" s="20"/>
      <c r="F25" s="20"/>
      <c r="G25" s="20"/>
      <c r="H25" s="20"/>
      <c r="I25" s="20"/>
      <c r="J25" s="20"/>
      <c r="K25" s="20"/>
      <c r="L25" s="20"/>
      <c r="M25" s="20"/>
      <c r="N25" s="20"/>
      <c r="O25" s="20"/>
      <c r="P25" s="20"/>
      <c r="Q25" s="20"/>
      <c r="R25" s="20"/>
      <c r="S25" s="20"/>
      <c r="T25" s="20"/>
      <c r="U25" s="20"/>
      <c r="V25" s="20"/>
      <c r="W25" s="20"/>
      <c r="X25" s="20"/>
      <c r="Y25" s="20"/>
      <c r="Z25" s="20"/>
    </row>
    <row r="26" spans="3:26" ht="17.25" customHeight="1">
      <c r="C26" s="47"/>
      <c r="D26" s="20"/>
      <c r="E26" s="20"/>
      <c r="F26" s="20"/>
      <c r="G26" s="20"/>
      <c r="H26" s="20"/>
      <c r="I26" s="20"/>
      <c r="J26" s="20"/>
      <c r="K26" s="20"/>
      <c r="L26" s="20"/>
      <c r="M26" s="20"/>
      <c r="N26" s="20"/>
      <c r="O26" s="20"/>
      <c r="P26" s="20"/>
      <c r="Q26" s="20"/>
      <c r="R26" s="20"/>
      <c r="S26" s="20"/>
      <c r="T26" s="20"/>
      <c r="U26" s="20"/>
      <c r="V26" s="20"/>
      <c r="W26" s="20"/>
      <c r="X26" s="20"/>
      <c r="Y26" s="20"/>
      <c r="Z26" s="20"/>
    </row>
    <row r="27" spans="3:26" ht="17.25" customHeight="1">
      <c r="C27" s="47"/>
      <c r="D27" s="20"/>
      <c r="E27" s="20"/>
      <c r="F27" s="20"/>
      <c r="G27" s="20"/>
      <c r="H27" s="20"/>
      <c r="I27" s="20"/>
      <c r="J27" s="20"/>
      <c r="K27" s="20"/>
      <c r="L27" s="20"/>
      <c r="M27" s="20"/>
      <c r="N27" s="20"/>
      <c r="O27" s="20"/>
      <c r="P27" s="20"/>
      <c r="Q27" s="20"/>
      <c r="R27" s="20"/>
      <c r="S27" s="20"/>
      <c r="T27" s="20"/>
      <c r="U27" s="20"/>
      <c r="V27" s="20"/>
      <c r="W27" s="20"/>
      <c r="X27" s="20"/>
      <c r="Y27" s="20"/>
      <c r="Z27" s="20"/>
    </row>
    <row r="28" spans="3:26" ht="17.25" customHeight="1">
      <c r="C28" s="47"/>
      <c r="D28" s="20"/>
      <c r="E28" s="20"/>
      <c r="F28" s="20"/>
      <c r="G28" s="20"/>
      <c r="H28" s="20"/>
      <c r="I28" s="20"/>
      <c r="J28" s="20"/>
      <c r="K28" s="20"/>
      <c r="L28" s="20"/>
      <c r="M28" s="20"/>
      <c r="N28" s="20"/>
      <c r="O28" s="20"/>
      <c r="P28" s="20"/>
      <c r="Q28" s="20"/>
      <c r="R28" s="20"/>
      <c r="S28" s="20"/>
      <c r="T28" s="20"/>
      <c r="U28" s="20"/>
      <c r="V28" s="20"/>
      <c r="W28" s="20"/>
      <c r="X28" s="20"/>
      <c r="Y28" s="20"/>
      <c r="Z28" s="20"/>
    </row>
    <row r="29" spans="3:26" ht="17.25" customHeight="1">
      <c r="C29" s="47"/>
      <c r="D29" s="20"/>
      <c r="E29" s="20"/>
      <c r="F29" s="20"/>
      <c r="G29" s="20"/>
      <c r="H29" s="20"/>
      <c r="I29" s="20"/>
      <c r="J29" s="20"/>
      <c r="K29" s="20"/>
      <c r="L29" s="20"/>
      <c r="M29" s="20"/>
      <c r="N29" s="20"/>
      <c r="O29" s="20"/>
      <c r="P29" s="20"/>
      <c r="Q29" s="20"/>
      <c r="R29" s="20"/>
      <c r="S29" s="20"/>
      <c r="T29" s="20"/>
      <c r="U29" s="20"/>
      <c r="V29" s="20"/>
      <c r="W29" s="20"/>
      <c r="X29" s="20"/>
      <c r="Y29" s="20"/>
      <c r="Z29" s="20"/>
    </row>
    <row r="30" spans="3:26" ht="17.25" customHeight="1">
      <c r="C30" s="47"/>
      <c r="D30" s="20"/>
      <c r="E30" s="20"/>
      <c r="F30" s="20"/>
      <c r="G30" s="20"/>
      <c r="H30" s="20"/>
      <c r="I30" s="20"/>
      <c r="J30" s="20"/>
      <c r="K30" s="20"/>
      <c r="L30" s="20"/>
      <c r="M30" s="20"/>
      <c r="N30" s="20"/>
      <c r="O30" s="20"/>
      <c r="P30" s="20"/>
      <c r="Q30" s="20"/>
      <c r="R30" s="20"/>
      <c r="S30" s="20"/>
      <c r="T30" s="20"/>
      <c r="U30" s="20"/>
      <c r="V30" s="20"/>
      <c r="W30" s="20"/>
      <c r="X30" s="20"/>
      <c r="Y30" s="20"/>
      <c r="Z30" s="20"/>
    </row>
    <row r="31" spans="3:26" ht="17.25" customHeight="1">
      <c r="C31" s="47"/>
      <c r="D31" s="20"/>
      <c r="E31" s="20"/>
      <c r="F31" s="20"/>
      <c r="G31" s="20"/>
      <c r="H31" s="20"/>
      <c r="I31" s="20"/>
      <c r="J31" s="20"/>
      <c r="K31" s="20"/>
      <c r="L31" s="20"/>
      <c r="M31" s="20"/>
      <c r="N31" s="20"/>
      <c r="O31" s="20"/>
      <c r="P31" s="20"/>
      <c r="Q31" s="20"/>
      <c r="R31" s="20"/>
      <c r="S31" s="20"/>
      <c r="T31" s="20"/>
      <c r="U31" s="20"/>
      <c r="V31" s="20"/>
      <c r="W31" s="20"/>
      <c r="X31" s="20"/>
      <c r="Y31" s="20"/>
      <c r="Z31" s="20"/>
    </row>
    <row r="32" spans="3:26" ht="17.25" customHeight="1">
      <c r="C32" s="47"/>
      <c r="D32" s="20"/>
      <c r="E32" s="20"/>
      <c r="F32" s="20"/>
      <c r="G32" s="20"/>
      <c r="H32" s="20"/>
      <c r="I32" s="20"/>
      <c r="J32" s="20"/>
      <c r="K32" s="20"/>
      <c r="L32" s="20"/>
      <c r="M32" s="20"/>
      <c r="N32" s="20"/>
      <c r="O32" s="20"/>
      <c r="P32" s="20"/>
      <c r="Q32" s="20"/>
      <c r="R32" s="20"/>
      <c r="S32" s="20"/>
      <c r="T32" s="20"/>
      <c r="U32" s="20"/>
      <c r="V32" s="20"/>
      <c r="W32" s="20"/>
      <c r="X32" s="20"/>
      <c r="Y32" s="20"/>
      <c r="Z32" s="20"/>
    </row>
    <row r="33" spans="3:26" ht="17.25" customHeight="1">
      <c r="C33" s="47"/>
      <c r="D33" s="20"/>
      <c r="E33" s="20"/>
      <c r="F33" s="20"/>
      <c r="G33" s="20"/>
      <c r="H33" s="20"/>
      <c r="I33" s="20"/>
      <c r="J33" s="20"/>
      <c r="K33" s="20"/>
      <c r="L33" s="20"/>
      <c r="M33" s="20"/>
      <c r="N33" s="20"/>
      <c r="O33" s="20"/>
      <c r="P33" s="20"/>
      <c r="Q33" s="20"/>
      <c r="R33" s="20"/>
      <c r="S33" s="20"/>
      <c r="T33" s="20"/>
      <c r="U33" s="20"/>
      <c r="V33" s="20"/>
      <c r="W33" s="20"/>
      <c r="X33" s="20"/>
      <c r="Y33" s="20"/>
      <c r="Z33" s="20"/>
    </row>
    <row r="34" spans="3:26" ht="17.25" customHeight="1">
      <c r="C34" s="47"/>
      <c r="D34" s="20"/>
      <c r="E34" s="20"/>
      <c r="F34" s="20"/>
      <c r="G34" s="20"/>
      <c r="H34" s="20"/>
      <c r="I34" s="20"/>
      <c r="J34" s="20"/>
      <c r="K34" s="20"/>
      <c r="L34" s="20"/>
      <c r="M34" s="20"/>
      <c r="N34" s="20"/>
      <c r="O34" s="20"/>
      <c r="P34" s="20"/>
      <c r="Q34" s="20"/>
      <c r="R34" s="20"/>
      <c r="S34" s="20"/>
      <c r="T34" s="20"/>
      <c r="U34" s="20"/>
      <c r="V34" s="20"/>
      <c r="W34" s="20"/>
      <c r="X34" s="20"/>
      <c r="Y34" s="20"/>
      <c r="Z34" s="20"/>
    </row>
    <row r="35" spans="3:26" ht="17.25" customHeight="1">
      <c r="C35" s="47"/>
      <c r="D35" s="20"/>
      <c r="E35" s="20"/>
      <c r="F35" s="20"/>
      <c r="G35" s="20"/>
      <c r="H35" s="20"/>
      <c r="I35" s="20"/>
      <c r="J35" s="20"/>
      <c r="K35" s="20"/>
      <c r="L35" s="20"/>
      <c r="M35" s="20"/>
      <c r="N35" s="20"/>
      <c r="O35" s="20"/>
      <c r="P35" s="20"/>
      <c r="Q35" s="20"/>
      <c r="R35" s="20"/>
      <c r="S35" s="20"/>
      <c r="T35" s="20"/>
      <c r="U35" s="20"/>
      <c r="V35" s="20"/>
      <c r="W35" s="20"/>
      <c r="X35" s="20"/>
      <c r="Y35" s="20"/>
      <c r="Z35" s="20"/>
    </row>
    <row r="36" spans="3:26" ht="17.25" customHeight="1">
      <c r="C36" s="47"/>
      <c r="D36" s="20"/>
      <c r="E36" s="20"/>
      <c r="F36" s="20"/>
      <c r="G36" s="20"/>
      <c r="H36" s="20"/>
      <c r="I36" s="20"/>
      <c r="J36" s="20"/>
      <c r="K36" s="20"/>
      <c r="L36" s="20"/>
      <c r="M36" s="20"/>
      <c r="N36" s="20"/>
      <c r="O36" s="20"/>
      <c r="P36" s="20"/>
      <c r="Q36" s="20"/>
      <c r="R36" s="20"/>
      <c r="S36" s="20"/>
      <c r="T36" s="20"/>
      <c r="U36" s="20"/>
      <c r="V36" s="20"/>
      <c r="W36" s="20"/>
      <c r="X36" s="20"/>
      <c r="Y36" s="20"/>
      <c r="Z36" s="20"/>
    </row>
    <row r="37" spans="3:26" ht="17.25" customHeight="1">
      <c r="C37" s="47"/>
      <c r="D37" s="20"/>
      <c r="E37" s="20"/>
      <c r="F37" s="20"/>
      <c r="G37" s="20"/>
      <c r="H37" s="20"/>
      <c r="I37" s="20"/>
      <c r="J37" s="20"/>
      <c r="K37" s="20"/>
      <c r="L37" s="20"/>
      <c r="M37" s="20"/>
      <c r="N37" s="20"/>
      <c r="O37" s="20"/>
      <c r="P37" s="20"/>
      <c r="Q37" s="20"/>
      <c r="R37" s="20"/>
      <c r="S37" s="20"/>
      <c r="T37" s="20"/>
      <c r="U37" s="20"/>
      <c r="V37" s="20"/>
      <c r="W37" s="20"/>
      <c r="X37" s="20"/>
      <c r="Y37" s="20"/>
      <c r="Z37" s="20"/>
    </row>
    <row r="38" spans="3:26" ht="17.25" customHeight="1">
      <c r="C38" s="47"/>
      <c r="D38" s="20"/>
      <c r="E38" s="20"/>
      <c r="F38" s="20"/>
      <c r="G38" s="20"/>
      <c r="H38" s="20"/>
      <c r="I38" s="20"/>
      <c r="J38" s="20"/>
      <c r="K38" s="20"/>
      <c r="L38" s="20"/>
      <c r="M38" s="20"/>
      <c r="N38" s="20"/>
      <c r="O38" s="20"/>
      <c r="P38" s="20"/>
      <c r="Q38" s="20"/>
      <c r="R38" s="20"/>
      <c r="S38" s="20"/>
      <c r="T38" s="20"/>
      <c r="U38" s="20"/>
      <c r="V38" s="20"/>
      <c r="W38" s="20"/>
      <c r="X38" s="20"/>
      <c r="Y38" s="20"/>
      <c r="Z38" s="20"/>
    </row>
    <row r="39" spans="3:26" ht="17.25" customHeight="1">
      <c r="C39" s="47"/>
      <c r="D39" s="20"/>
      <c r="E39" s="20"/>
      <c r="F39" s="20"/>
      <c r="G39" s="20"/>
      <c r="H39" s="20"/>
      <c r="I39" s="20"/>
      <c r="J39" s="20"/>
      <c r="K39" s="20"/>
      <c r="L39" s="20"/>
      <c r="M39" s="20"/>
      <c r="N39" s="20"/>
      <c r="O39" s="20"/>
      <c r="P39" s="20"/>
      <c r="Q39" s="20"/>
      <c r="R39" s="20"/>
      <c r="S39" s="20"/>
      <c r="T39" s="20"/>
      <c r="U39" s="20"/>
      <c r="V39" s="20"/>
      <c r="W39" s="20"/>
      <c r="X39" s="20"/>
      <c r="Y39" s="20"/>
      <c r="Z39" s="20"/>
    </row>
    <row r="40" spans="3:26" ht="17.25" customHeight="1">
      <c r="C40" s="47"/>
      <c r="D40" s="20"/>
      <c r="E40" s="20"/>
      <c r="F40" s="20"/>
      <c r="G40" s="20"/>
      <c r="H40" s="20"/>
      <c r="I40" s="20"/>
      <c r="J40" s="20"/>
      <c r="K40" s="20"/>
      <c r="L40" s="20"/>
      <c r="M40" s="20"/>
      <c r="N40" s="20"/>
      <c r="O40" s="20"/>
      <c r="P40" s="20"/>
      <c r="Q40" s="20"/>
      <c r="R40" s="20"/>
      <c r="S40" s="20"/>
      <c r="T40" s="20"/>
      <c r="U40" s="20"/>
      <c r="V40" s="20"/>
      <c r="W40" s="20"/>
      <c r="X40" s="20"/>
      <c r="Y40" s="20"/>
      <c r="Z40" s="20"/>
    </row>
    <row r="41" spans="3:26" ht="17.25" customHeight="1">
      <c r="C41" s="47"/>
      <c r="D41" s="20"/>
      <c r="E41" s="20"/>
      <c r="F41" s="20"/>
      <c r="G41" s="20"/>
      <c r="H41" s="20"/>
      <c r="I41" s="20"/>
      <c r="J41" s="20"/>
      <c r="K41" s="20"/>
      <c r="L41" s="20"/>
      <c r="M41" s="20"/>
      <c r="N41" s="20"/>
      <c r="O41" s="20"/>
      <c r="P41" s="20"/>
      <c r="Q41" s="20"/>
      <c r="R41" s="20"/>
      <c r="S41" s="20"/>
      <c r="T41" s="20"/>
      <c r="U41" s="20"/>
      <c r="V41" s="20"/>
      <c r="W41" s="20"/>
      <c r="X41" s="20"/>
      <c r="Y41" s="20"/>
      <c r="Z41" s="20"/>
    </row>
    <row r="42" spans="3:26" ht="17.25" customHeight="1">
      <c r="C42" s="47"/>
      <c r="D42" s="20"/>
      <c r="E42" s="20"/>
      <c r="F42" s="20"/>
      <c r="G42" s="20"/>
      <c r="H42" s="20"/>
      <c r="I42" s="20"/>
      <c r="J42" s="20"/>
      <c r="K42" s="20"/>
      <c r="L42" s="20"/>
      <c r="M42" s="20"/>
      <c r="N42" s="20"/>
      <c r="O42" s="20"/>
      <c r="P42" s="20"/>
      <c r="Q42" s="20"/>
      <c r="R42" s="20"/>
      <c r="S42" s="20"/>
      <c r="T42" s="20"/>
      <c r="U42" s="20"/>
      <c r="V42" s="20"/>
      <c r="W42" s="20"/>
      <c r="X42" s="20"/>
      <c r="Y42" s="20"/>
      <c r="Z42" s="20"/>
    </row>
    <row r="43" spans="3:26" ht="17.25" customHeight="1">
      <c r="C43" s="47"/>
      <c r="D43" s="20"/>
      <c r="E43" s="20"/>
      <c r="F43" s="20"/>
      <c r="G43" s="20"/>
      <c r="H43" s="20"/>
      <c r="I43" s="20"/>
      <c r="J43" s="20"/>
      <c r="K43" s="20"/>
      <c r="L43" s="20"/>
      <c r="M43" s="20"/>
      <c r="N43" s="20"/>
      <c r="O43" s="20"/>
      <c r="P43" s="20"/>
      <c r="Q43" s="20"/>
      <c r="R43" s="20"/>
      <c r="S43" s="20"/>
      <c r="T43" s="20"/>
      <c r="U43" s="20"/>
      <c r="V43" s="20"/>
      <c r="W43" s="20"/>
      <c r="X43" s="20"/>
      <c r="Y43" s="20"/>
      <c r="Z43" s="20"/>
    </row>
    <row r="44" spans="3:26" ht="17.25" customHeight="1">
      <c r="C44" s="47"/>
      <c r="D44" s="20"/>
      <c r="E44" s="20"/>
      <c r="F44" s="20"/>
      <c r="G44" s="20"/>
      <c r="H44" s="20"/>
      <c r="I44" s="20"/>
      <c r="J44" s="20"/>
      <c r="K44" s="20"/>
      <c r="L44" s="20"/>
      <c r="M44" s="20"/>
      <c r="N44" s="20"/>
      <c r="O44" s="20"/>
      <c r="P44" s="20"/>
      <c r="Q44" s="20"/>
      <c r="R44" s="20"/>
      <c r="S44" s="20"/>
      <c r="T44" s="20"/>
      <c r="U44" s="20"/>
      <c r="V44" s="20"/>
      <c r="W44" s="20"/>
      <c r="X44" s="20"/>
      <c r="Y44" s="20"/>
      <c r="Z44" s="20"/>
    </row>
    <row r="45" spans="3:26" ht="17.25" customHeight="1">
      <c r="C45" s="47"/>
      <c r="D45" s="20"/>
      <c r="E45" s="20"/>
      <c r="F45" s="20"/>
      <c r="G45" s="20"/>
      <c r="H45" s="20"/>
      <c r="I45" s="20"/>
      <c r="J45" s="20"/>
      <c r="K45" s="20"/>
      <c r="L45" s="20"/>
      <c r="M45" s="20"/>
      <c r="N45" s="20"/>
      <c r="O45" s="20"/>
      <c r="P45" s="20"/>
      <c r="Q45" s="20"/>
      <c r="R45" s="20"/>
      <c r="S45" s="20"/>
      <c r="T45" s="20"/>
      <c r="U45" s="20"/>
      <c r="V45" s="20"/>
      <c r="W45" s="20"/>
      <c r="X45" s="20"/>
      <c r="Y45" s="20"/>
      <c r="Z45" s="20"/>
    </row>
    <row r="46" spans="3:26" ht="17.25" customHeight="1">
      <c r="C46" s="47"/>
      <c r="D46" s="20"/>
      <c r="E46" s="20"/>
      <c r="F46" s="20"/>
      <c r="G46" s="20"/>
      <c r="H46" s="20"/>
      <c r="I46" s="20"/>
      <c r="J46" s="20"/>
      <c r="K46" s="20"/>
      <c r="L46" s="20"/>
      <c r="M46" s="20"/>
      <c r="N46" s="20"/>
      <c r="O46" s="20"/>
      <c r="P46" s="20"/>
      <c r="Q46" s="20"/>
      <c r="R46" s="20"/>
      <c r="S46" s="20"/>
      <c r="T46" s="20"/>
      <c r="U46" s="20"/>
      <c r="V46" s="20"/>
      <c r="W46" s="20"/>
      <c r="X46" s="20"/>
      <c r="Y46" s="20"/>
      <c r="Z46" s="20"/>
    </row>
    <row r="47" spans="3:26" ht="17.25" customHeight="1">
      <c r="C47" s="47"/>
      <c r="D47" s="20"/>
      <c r="E47" s="20"/>
      <c r="F47" s="20"/>
      <c r="G47" s="20"/>
      <c r="H47" s="20"/>
      <c r="I47" s="20"/>
      <c r="J47" s="20"/>
      <c r="K47" s="20"/>
      <c r="L47" s="20"/>
      <c r="M47" s="20"/>
      <c r="N47" s="20"/>
      <c r="O47" s="20"/>
      <c r="P47" s="20"/>
      <c r="Q47" s="20"/>
      <c r="R47" s="20"/>
      <c r="S47" s="20"/>
      <c r="T47" s="20"/>
      <c r="U47" s="20"/>
      <c r="V47" s="20"/>
      <c r="W47" s="20"/>
      <c r="X47" s="20"/>
      <c r="Y47" s="20"/>
      <c r="Z47" s="20"/>
    </row>
    <row r="48" spans="3:26" ht="17.25" customHeight="1">
      <c r="C48" s="47"/>
      <c r="D48" s="20"/>
      <c r="E48" s="20"/>
      <c r="F48" s="20"/>
      <c r="G48" s="20"/>
      <c r="H48" s="20"/>
      <c r="I48" s="20"/>
      <c r="J48" s="20"/>
      <c r="K48" s="20"/>
      <c r="L48" s="20"/>
      <c r="M48" s="20"/>
      <c r="N48" s="20"/>
      <c r="O48" s="20"/>
      <c r="P48" s="20"/>
      <c r="Q48" s="20"/>
      <c r="R48" s="20"/>
      <c r="S48" s="20"/>
      <c r="T48" s="20"/>
      <c r="U48" s="20"/>
      <c r="V48" s="20"/>
      <c r="W48" s="20"/>
      <c r="X48" s="20"/>
      <c r="Y48" s="20"/>
      <c r="Z48" s="20"/>
    </row>
    <row r="49" spans="3:26" ht="17.25" customHeight="1">
      <c r="C49" s="47"/>
      <c r="D49" s="20"/>
      <c r="E49" s="20"/>
      <c r="F49" s="20"/>
      <c r="G49" s="20"/>
      <c r="H49" s="20"/>
      <c r="I49" s="20"/>
      <c r="J49" s="20"/>
      <c r="K49" s="20"/>
      <c r="L49" s="20"/>
      <c r="M49" s="20"/>
      <c r="N49" s="20"/>
      <c r="O49" s="20"/>
      <c r="P49" s="20"/>
      <c r="Q49" s="20"/>
      <c r="R49" s="20"/>
      <c r="S49" s="20"/>
      <c r="T49" s="20"/>
      <c r="U49" s="20"/>
      <c r="V49" s="20"/>
      <c r="W49" s="20"/>
      <c r="X49" s="20"/>
      <c r="Y49" s="20"/>
      <c r="Z49" s="20"/>
    </row>
    <row r="50" spans="3:26" ht="17.25" customHeight="1">
      <c r="C50" s="47"/>
      <c r="D50" s="20"/>
      <c r="E50" s="20"/>
      <c r="F50" s="20"/>
      <c r="G50" s="20"/>
      <c r="H50" s="20"/>
      <c r="I50" s="20"/>
      <c r="J50" s="20"/>
      <c r="K50" s="20"/>
      <c r="L50" s="20"/>
      <c r="M50" s="20"/>
      <c r="N50" s="20"/>
      <c r="O50" s="20"/>
      <c r="P50" s="20"/>
      <c r="Q50" s="20"/>
      <c r="R50" s="20"/>
      <c r="S50" s="20"/>
      <c r="T50" s="20"/>
      <c r="U50" s="20"/>
      <c r="V50" s="20"/>
      <c r="W50" s="20"/>
      <c r="X50" s="20"/>
      <c r="Y50" s="20"/>
      <c r="Z50" s="20"/>
    </row>
    <row r="51" spans="3:26" ht="17.25" customHeight="1">
      <c r="C51" s="47"/>
      <c r="D51" s="20"/>
      <c r="E51" s="20"/>
      <c r="F51" s="20"/>
      <c r="G51" s="20"/>
      <c r="H51" s="20"/>
      <c r="I51" s="20"/>
      <c r="J51" s="20"/>
      <c r="K51" s="20"/>
      <c r="L51" s="20"/>
      <c r="M51" s="20"/>
      <c r="N51" s="20"/>
      <c r="O51" s="20"/>
      <c r="P51" s="20"/>
      <c r="Q51" s="20"/>
      <c r="R51" s="20"/>
      <c r="S51" s="20"/>
      <c r="T51" s="20"/>
      <c r="U51" s="20"/>
      <c r="V51" s="20"/>
      <c r="W51" s="20"/>
      <c r="X51" s="20"/>
      <c r="Y51" s="20"/>
      <c r="Z51" s="20"/>
    </row>
    <row r="52" spans="3:26" ht="17.25" customHeight="1">
      <c r="C52" s="47"/>
      <c r="D52" s="20"/>
      <c r="E52" s="20"/>
      <c r="F52" s="20"/>
      <c r="G52" s="20"/>
      <c r="H52" s="20"/>
      <c r="I52" s="20"/>
      <c r="J52" s="20"/>
      <c r="K52" s="20"/>
      <c r="L52" s="20"/>
      <c r="M52" s="20"/>
      <c r="N52" s="20"/>
      <c r="O52" s="20"/>
      <c r="P52" s="20"/>
      <c r="Q52" s="20"/>
      <c r="R52" s="20"/>
      <c r="S52" s="20"/>
      <c r="T52" s="20"/>
      <c r="U52" s="20"/>
      <c r="V52" s="20"/>
      <c r="W52" s="20"/>
      <c r="X52" s="20"/>
      <c r="Y52" s="20"/>
      <c r="Z52" s="20"/>
    </row>
    <row r="53" spans="3:26" ht="17.25" customHeight="1">
      <c r="C53" s="47"/>
      <c r="D53" s="20"/>
      <c r="E53" s="20"/>
      <c r="F53" s="20"/>
      <c r="G53" s="20"/>
      <c r="H53" s="20"/>
      <c r="I53" s="20"/>
      <c r="J53" s="20"/>
      <c r="K53" s="20"/>
      <c r="L53" s="20"/>
      <c r="M53" s="20"/>
      <c r="N53" s="20"/>
      <c r="O53" s="20"/>
      <c r="P53" s="20"/>
      <c r="Q53" s="20"/>
      <c r="R53" s="20"/>
      <c r="S53" s="20"/>
      <c r="T53" s="20"/>
      <c r="U53" s="20"/>
      <c r="V53" s="20"/>
      <c r="W53" s="20"/>
      <c r="X53" s="20"/>
      <c r="Y53" s="20"/>
      <c r="Z53" s="20"/>
    </row>
    <row r="54" spans="3:26" ht="17.25" customHeight="1">
      <c r="C54" s="47"/>
      <c r="D54" s="20"/>
      <c r="E54" s="20"/>
      <c r="F54" s="20"/>
      <c r="G54" s="20"/>
      <c r="H54" s="20"/>
      <c r="I54" s="20"/>
      <c r="J54" s="20"/>
      <c r="K54" s="20"/>
      <c r="L54" s="20"/>
      <c r="M54" s="20"/>
      <c r="N54" s="20"/>
      <c r="O54" s="20"/>
      <c r="P54" s="20"/>
      <c r="Q54" s="20"/>
      <c r="R54" s="20"/>
      <c r="S54" s="20"/>
      <c r="T54" s="20"/>
      <c r="U54" s="20"/>
      <c r="V54" s="20"/>
      <c r="W54" s="20"/>
      <c r="X54" s="20"/>
      <c r="Y54" s="20"/>
      <c r="Z54" s="20"/>
    </row>
    <row r="55" spans="3:26" ht="17.25" customHeight="1">
      <c r="C55" s="47"/>
      <c r="D55" s="20"/>
      <c r="E55" s="20"/>
      <c r="F55" s="20"/>
      <c r="G55" s="20"/>
      <c r="H55" s="20"/>
      <c r="I55" s="20"/>
      <c r="J55" s="20"/>
      <c r="K55" s="20"/>
      <c r="L55" s="20"/>
      <c r="M55" s="20"/>
      <c r="N55" s="20"/>
      <c r="O55" s="20"/>
      <c r="P55" s="20"/>
      <c r="Q55" s="20"/>
      <c r="R55" s="20"/>
      <c r="S55" s="20"/>
      <c r="T55" s="20"/>
      <c r="U55" s="20"/>
      <c r="V55" s="20"/>
      <c r="W55" s="20"/>
      <c r="X55" s="20"/>
      <c r="Y55" s="20"/>
      <c r="Z55" s="20"/>
    </row>
    <row r="56" spans="3:26" ht="17.25" customHeight="1">
      <c r="C56" s="47"/>
      <c r="D56" s="20"/>
      <c r="E56" s="20"/>
      <c r="F56" s="20"/>
      <c r="G56" s="20"/>
      <c r="H56" s="20"/>
      <c r="I56" s="20"/>
      <c r="J56" s="20"/>
      <c r="K56" s="20"/>
      <c r="L56" s="20"/>
      <c r="M56" s="20"/>
      <c r="N56" s="20"/>
      <c r="O56" s="20"/>
      <c r="P56" s="20"/>
      <c r="Q56" s="20"/>
      <c r="R56" s="20"/>
      <c r="S56" s="20"/>
      <c r="T56" s="20"/>
      <c r="U56" s="20"/>
      <c r="V56" s="20"/>
      <c r="W56" s="20"/>
      <c r="X56" s="20"/>
      <c r="Y56" s="20"/>
      <c r="Z56" s="20"/>
    </row>
    <row r="57" spans="3:26" ht="17.25" customHeight="1">
      <c r="C57" s="47"/>
      <c r="D57" s="20"/>
      <c r="E57" s="20"/>
      <c r="F57" s="20"/>
      <c r="G57" s="20"/>
      <c r="H57" s="20"/>
      <c r="I57" s="20"/>
      <c r="J57" s="20"/>
      <c r="K57" s="20"/>
      <c r="L57" s="20"/>
      <c r="M57" s="20"/>
      <c r="N57" s="20"/>
      <c r="O57" s="20"/>
      <c r="P57" s="20"/>
      <c r="Q57" s="20"/>
      <c r="R57" s="20"/>
      <c r="S57" s="20"/>
      <c r="T57" s="20"/>
      <c r="U57" s="20"/>
      <c r="V57" s="20"/>
      <c r="W57" s="20"/>
      <c r="X57" s="20"/>
      <c r="Y57" s="20"/>
      <c r="Z57" s="20"/>
    </row>
    <row r="58" spans="3:26" ht="17.25" customHeight="1">
      <c r="C58" s="47"/>
      <c r="D58" s="20"/>
      <c r="E58" s="20"/>
      <c r="F58" s="20"/>
      <c r="G58" s="20"/>
      <c r="H58" s="20"/>
      <c r="I58" s="20"/>
      <c r="J58" s="20"/>
      <c r="K58" s="20"/>
      <c r="L58" s="20"/>
      <c r="M58" s="20"/>
      <c r="N58" s="20"/>
      <c r="O58" s="20"/>
      <c r="P58" s="20"/>
      <c r="Q58" s="20"/>
      <c r="R58" s="20"/>
      <c r="S58" s="20"/>
      <c r="T58" s="20"/>
      <c r="U58" s="20"/>
      <c r="V58" s="20"/>
      <c r="W58" s="20"/>
      <c r="X58" s="20"/>
      <c r="Y58" s="20"/>
      <c r="Z58" s="20"/>
    </row>
    <row r="59" spans="3:26" ht="17.25" customHeight="1">
      <c r="C59" s="47"/>
      <c r="D59" s="20"/>
      <c r="E59" s="20"/>
      <c r="F59" s="20"/>
      <c r="G59" s="20"/>
      <c r="H59" s="20"/>
      <c r="I59" s="20"/>
      <c r="J59" s="20"/>
      <c r="K59" s="20"/>
      <c r="L59" s="20"/>
      <c r="M59" s="20"/>
      <c r="N59" s="20"/>
      <c r="O59" s="20"/>
      <c r="P59" s="20"/>
      <c r="Q59" s="20"/>
      <c r="R59" s="20"/>
      <c r="S59" s="20"/>
      <c r="T59" s="20"/>
      <c r="U59" s="20"/>
      <c r="V59" s="20"/>
      <c r="W59" s="20"/>
      <c r="X59" s="20"/>
      <c r="Y59" s="20"/>
      <c r="Z59" s="20"/>
    </row>
    <row r="60" spans="3:26" ht="17.25" customHeight="1">
      <c r="C60" s="47"/>
      <c r="D60" s="20"/>
      <c r="E60" s="20"/>
      <c r="F60" s="20"/>
      <c r="G60" s="20"/>
      <c r="H60" s="20"/>
      <c r="I60" s="20"/>
      <c r="J60" s="20"/>
      <c r="K60" s="20"/>
      <c r="L60" s="20"/>
      <c r="M60" s="20"/>
      <c r="N60" s="20"/>
      <c r="O60" s="20"/>
      <c r="P60" s="20"/>
      <c r="Q60" s="20"/>
      <c r="R60" s="20"/>
      <c r="S60" s="20"/>
      <c r="T60" s="20"/>
      <c r="U60" s="20"/>
      <c r="V60" s="20"/>
      <c r="W60" s="20"/>
      <c r="X60" s="20"/>
      <c r="Y60" s="20"/>
      <c r="Z60" s="20"/>
    </row>
    <row r="61" spans="3:26" ht="17.25" customHeight="1">
      <c r="C61" s="47"/>
      <c r="D61" s="20"/>
      <c r="E61" s="20"/>
      <c r="F61" s="20"/>
      <c r="G61" s="20"/>
      <c r="H61" s="20"/>
      <c r="I61" s="20"/>
      <c r="J61" s="20"/>
      <c r="K61" s="20"/>
      <c r="L61" s="20"/>
      <c r="M61" s="20"/>
      <c r="N61" s="20"/>
      <c r="O61" s="20"/>
      <c r="P61" s="20"/>
      <c r="Q61" s="20"/>
      <c r="R61" s="20"/>
      <c r="S61" s="20"/>
      <c r="T61" s="20"/>
      <c r="U61" s="20"/>
      <c r="V61" s="20"/>
      <c r="W61" s="20"/>
      <c r="X61" s="20"/>
      <c r="Y61" s="20"/>
      <c r="Z61" s="20"/>
    </row>
    <row r="62" spans="3:26" ht="17.25" customHeight="1">
      <c r="C62" s="47"/>
      <c r="D62" s="20"/>
      <c r="E62" s="20"/>
      <c r="F62" s="20"/>
      <c r="G62" s="20"/>
      <c r="H62" s="20"/>
      <c r="I62" s="20"/>
      <c r="J62" s="20"/>
      <c r="K62" s="20"/>
      <c r="L62" s="20"/>
      <c r="M62" s="20"/>
      <c r="N62" s="20"/>
      <c r="O62" s="20"/>
      <c r="P62" s="20"/>
      <c r="Q62" s="20"/>
      <c r="R62" s="20"/>
      <c r="S62" s="20"/>
      <c r="T62" s="20"/>
      <c r="U62" s="20"/>
      <c r="V62" s="20"/>
      <c r="W62" s="20"/>
      <c r="X62" s="20"/>
      <c r="Y62" s="20"/>
      <c r="Z62" s="20"/>
    </row>
    <row r="63" spans="3:26" ht="17.25" customHeight="1">
      <c r="C63" s="47"/>
      <c r="D63" s="20"/>
      <c r="E63" s="20"/>
      <c r="F63" s="20"/>
      <c r="G63" s="20"/>
      <c r="H63" s="20"/>
      <c r="I63" s="20"/>
      <c r="J63" s="20"/>
      <c r="K63" s="20"/>
      <c r="L63" s="20"/>
      <c r="M63" s="20"/>
      <c r="N63" s="20"/>
      <c r="O63" s="20"/>
      <c r="P63" s="20"/>
      <c r="Q63" s="20"/>
      <c r="R63" s="20"/>
      <c r="S63" s="20"/>
      <c r="T63" s="20"/>
      <c r="U63" s="20"/>
      <c r="V63" s="20"/>
      <c r="W63" s="20"/>
      <c r="X63" s="20"/>
      <c r="Y63" s="20"/>
      <c r="Z63" s="20"/>
    </row>
    <row r="64" spans="3:26" ht="17.25" customHeight="1">
      <c r="C64" s="47"/>
      <c r="D64" s="20"/>
      <c r="E64" s="20"/>
      <c r="F64" s="20"/>
      <c r="G64" s="20"/>
      <c r="H64" s="20"/>
      <c r="I64" s="20"/>
      <c r="J64" s="20"/>
      <c r="K64" s="20"/>
      <c r="L64" s="20"/>
      <c r="M64" s="20"/>
      <c r="N64" s="20"/>
      <c r="O64" s="20"/>
      <c r="P64" s="20"/>
      <c r="Q64" s="20"/>
      <c r="R64" s="20"/>
      <c r="S64" s="20"/>
      <c r="T64" s="20"/>
      <c r="U64" s="20"/>
      <c r="V64" s="20"/>
      <c r="W64" s="20"/>
      <c r="X64" s="20"/>
      <c r="Y64" s="20"/>
      <c r="Z64" s="20"/>
    </row>
    <row r="65" spans="3:26" ht="17.25" customHeight="1">
      <c r="C65" s="47"/>
      <c r="D65" s="20"/>
      <c r="E65" s="20"/>
      <c r="F65" s="20"/>
      <c r="G65" s="20"/>
      <c r="H65" s="20"/>
      <c r="I65" s="20"/>
      <c r="J65" s="20"/>
      <c r="K65" s="20"/>
      <c r="L65" s="20"/>
      <c r="M65" s="20"/>
      <c r="N65" s="20"/>
      <c r="O65" s="20"/>
      <c r="P65" s="20"/>
      <c r="Q65" s="20"/>
      <c r="R65" s="20"/>
      <c r="S65" s="20"/>
      <c r="T65" s="20"/>
      <c r="U65" s="20"/>
      <c r="V65" s="20"/>
      <c r="W65" s="20"/>
      <c r="X65" s="20"/>
      <c r="Y65" s="20"/>
      <c r="Z65" s="20"/>
    </row>
    <row r="66" spans="3:26" ht="17.25" customHeight="1">
      <c r="C66" s="47"/>
      <c r="D66" s="20"/>
      <c r="E66" s="20"/>
      <c r="F66" s="20"/>
      <c r="G66" s="20"/>
      <c r="H66" s="20"/>
      <c r="I66" s="20"/>
      <c r="J66" s="20"/>
      <c r="K66" s="20"/>
      <c r="L66" s="20"/>
      <c r="M66" s="20"/>
      <c r="N66" s="20"/>
      <c r="O66" s="20"/>
      <c r="P66" s="20"/>
      <c r="Q66" s="20"/>
      <c r="R66" s="20"/>
      <c r="S66" s="20"/>
      <c r="T66" s="20"/>
      <c r="U66" s="20"/>
      <c r="V66" s="20"/>
      <c r="W66" s="20"/>
      <c r="X66" s="20"/>
      <c r="Y66" s="20"/>
      <c r="Z66" s="20"/>
    </row>
    <row r="67" spans="3:26" ht="17.25" customHeight="1">
      <c r="C67" s="47"/>
      <c r="D67" s="20"/>
      <c r="E67" s="20"/>
      <c r="F67" s="20"/>
      <c r="G67" s="20"/>
      <c r="H67" s="20"/>
      <c r="I67" s="20"/>
      <c r="J67" s="20"/>
      <c r="K67" s="20"/>
      <c r="L67" s="20"/>
      <c r="M67" s="20"/>
      <c r="N67" s="20"/>
      <c r="O67" s="20"/>
      <c r="P67" s="20"/>
      <c r="Q67" s="20"/>
      <c r="R67" s="20"/>
      <c r="S67" s="20"/>
      <c r="T67" s="20"/>
      <c r="U67" s="20"/>
      <c r="V67" s="20"/>
      <c r="W67" s="20"/>
      <c r="X67" s="20"/>
      <c r="Y67" s="20"/>
      <c r="Z67" s="20"/>
    </row>
    <row r="68" spans="3:26" ht="17.25" customHeight="1">
      <c r="C68" s="47"/>
      <c r="D68" s="20"/>
      <c r="E68" s="20"/>
      <c r="F68" s="20"/>
      <c r="G68" s="20"/>
      <c r="H68" s="20"/>
      <c r="I68" s="20"/>
      <c r="J68" s="20"/>
      <c r="K68" s="20"/>
      <c r="L68" s="20"/>
      <c r="M68" s="20"/>
      <c r="N68" s="20"/>
      <c r="O68" s="20"/>
      <c r="P68" s="20"/>
      <c r="Q68" s="20"/>
      <c r="R68" s="20"/>
      <c r="S68" s="20"/>
      <c r="T68" s="20"/>
      <c r="U68" s="20"/>
      <c r="V68" s="20"/>
      <c r="W68" s="20"/>
      <c r="X68" s="20"/>
      <c r="Y68" s="20"/>
      <c r="Z68" s="20"/>
    </row>
    <row r="69" spans="3:26" ht="17.25" customHeight="1">
      <c r="C69" s="47"/>
      <c r="D69" s="20"/>
      <c r="E69" s="20"/>
      <c r="F69" s="20"/>
      <c r="G69" s="20"/>
      <c r="H69" s="20"/>
      <c r="I69" s="20"/>
      <c r="J69" s="20"/>
      <c r="K69" s="20"/>
      <c r="L69" s="20"/>
      <c r="M69" s="20"/>
      <c r="N69" s="20"/>
      <c r="O69" s="20"/>
      <c r="P69" s="20"/>
      <c r="Q69" s="20"/>
      <c r="R69" s="20"/>
      <c r="S69" s="20"/>
      <c r="T69" s="20"/>
      <c r="U69" s="20"/>
      <c r="V69" s="20"/>
      <c r="W69" s="20"/>
      <c r="X69" s="20"/>
      <c r="Y69" s="20"/>
      <c r="Z69" s="20"/>
    </row>
    <row r="70" spans="3:26" ht="17.25" customHeight="1">
      <c r="C70" s="47"/>
      <c r="D70" s="20"/>
      <c r="E70" s="20"/>
      <c r="F70" s="20"/>
      <c r="G70" s="20"/>
      <c r="H70" s="20"/>
      <c r="I70" s="20"/>
      <c r="J70" s="20"/>
      <c r="K70" s="20"/>
      <c r="L70" s="20"/>
      <c r="M70" s="20"/>
      <c r="N70" s="20"/>
      <c r="O70" s="20"/>
      <c r="P70" s="20"/>
      <c r="Q70" s="20"/>
      <c r="R70" s="20"/>
      <c r="S70" s="20"/>
      <c r="T70" s="20"/>
      <c r="U70" s="20"/>
      <c r="V70" s="20"/>
      <c r="W70" s="20"/>
      <c r="X70" s="20"/>
      <c r="Y70" s="20"/>
      <c r="Z70" s="20"/>
    </row>
    <row r="71" spans="3:26" ht="17.25" customHeight="1">
      <c r="C71" s="47"/>
      <c r="D71" s="20"/>
      <c r="E71" s="20"/>
      <c r="F71" s="20"/>
      <c r="G71" s="20"/>
      <c r="H71" s="20"/>
      <c r="I71" s="20"/>
      <c r="J71" s="20"/>
      <c r="K71" s="20"/>
      <c r="L71" s="20"/>
      <c r="M71" s="20"/>
      <c r="N71" s="20"/>
      <c r="O71" s="20"/>
      <c r="P71" s="20"/>
      <c r="Q71" s="20"/>
      <c r="R71" s="20"/>
      <c r="S71" s="20"/>
      <c r="T71" s="20"/>
      <c r="U71" s="20"/>
      <c r="V71" s="20"/>
      <c r="W71" s="20"/>
      <c r="X71" s="20"/>
      <c r="Y71" s="20"/>
      <c r="Z71" s="20"/>
    </row>
    <row r="72" spans="3:26" ht="17.25" customHeight="1">
      <c r="C72" s="47"/>
      <c r="D72" s="20"/>
      <c r="E72" s="20"/>
      <c r="F72" s="20"/>
      <c r="G72" s="20"/>
      <c r="H72" s="20"/>
      <c r="I72" s="20"/>
      <c r="J72" s="20"/>
      <c r="K72" s="20"/>
      <c r="L72" s="20"/>
      <c r="M72" s="20"/>
      <c r="N72" s="20"/>
      <c r="O72" s="20"/>
      <c r="P72" s="20"/>
      <c r="Q72" s="20"/>
      <c r="R72" s="20"/>
      <c r="S72" s="20"/>
      <c r="T72" s="20"/>
      <c r="U72" s="20"/>
      <c r="V72" s="20"/>
      <c r="W72" s="20"/>
      <c r="X72" s="20"/>
      <c r="Y72" s="20"/>
      <c r="Z72" s="20"/>
    </row>
    <row r="73" spans="3:26" ht="17.25" customHeight="1">
      <c r="C73" s="47"/>
      <c r="D73" s="20"/>
      <c r="E73" s="20"/>
      <c r="F73" s="20"/>
      <c r="G73" s="20"/>
      <c r="H73" s="20"/>
      <c r="I73" s="20"/>
      <c r="J73" s="20"/>
      <c r="K73" s="20"/>
      <c r="L73" s="20"/>
      <c r="M73" s="20"/>
      <c r="N73" s="20"/>
      <c r="O73" s="20"/>
      <c r="P73" s="20"/>
      <c r="Q73" s="20"/>
      <c r="R73" s="20"/>
      <c r="S73" s="20"/>
      <c r="T73" s="20"/>
      <c r="U73" s="20"/>
      <c r="V73" s="20"/>
      <c r="W73" s="20"/>
      <c r="X73" s="20"/>
      <c r="Y73" s="20"/>
      <c r="Z73" s="20"/>
    </row>
    <row r="74" spans="3:26" ht="17.25" customHeight="1">
      <c r="C74" s="47"/>
      <c r="D74" s="20"/>
      <c r="E74" s="20"/>
      <c r="F74" s="20"/>
      <c r="G74" s="20"/>
      <c r="H74" s="20"/>
      <c r="I74" s="20"/>
      <c r="J74" s="20"/>
      <c r="K74" s="20"/>
      <c r="L74" s="20"/>
      <c r="M74" s="20"/>
      <c r="N74" s="20"/>
      <c r="O74" s="20"/>
      <c r="P74" s="20"/>
      <c r="Q74" s="20"/>
      <c r="R74" s="20"/>
      <c r="S74" s="20"/>
      <c r="T74" s="20"/>
      <c r="U74" s="20"/>
      <c r="V74" s="20"/>
      <c r="W74" s="20"/>
      <c r="X74" s="20"/>
      <c r="Y74" s="20"/>
      <c r="Z74" s="20"/>
    </row>
    <row r="75" spans="3:26" ht="17.25" customHeight="1">
      <c r="C75" s="47"/>
      <c r="D75" s="20"/>
      <c r="E75" s="20"/>
      <c r="F75" s="20"/>
      <c r="G75" s="20"/>
      <c r="H75" s="20"/>
      <c r="I75" s="20"/>
      <c r="J75" s="20"/>
      <c r="K75" s="20"/>
      <c r="L75" s="20"/>
      <c r="M75" s="20"/>
      <c r="N75" s="20"/>
      <c r="O75" s="20"/>
      <c r="P75" s="20"/>
      <c r="Q75" s="20"/>
      <c r="R75" s="20"/>
      <c r="S75" s="20"/>
      <c r="T75" s="20"/>
      <c r="U75" s="20"/>
      <c r="V75" s="20"/>
      <c r="W75" s="20"/>
      <c r="X75" s="20"/>
      <c r="Y75" s="20"/>
      <c r="Z75" s="20"/>
    </row>
    <row r="76" spans="3:26" ht="17.25" customHeight="1">
      <c r="C76" s="47"/>
      <c r="D76" s="20"/>
      <c r="E76" s="20"/>
      <c r="F76" s="20"/>
      <c r="G76" s="20"/>
      <c r="H76" s="20"/>
      <c r="I76" s="20"/>
      <c r="J76" s="20"/>
      <c r="K76" s="20"/>
      <c r="L76" s="20"/>
      <c r="M76" s="20"/>
      <c r="N76" s="20"/>
      <c r="O76" s="20"/>
      <c r="P76" s="20"/>
      <c r="Q76" s="20"/>
      <c r="R76" s="20"/>
      <c r="S76" s="20"/>
      <c r="T76" s="20"/>
      <c r="U76" s="20"/>
      <c r="V76" s="20"/>
      <c r="W76" s="20"/>
      <c r="X76" s="20"/>
      <c r="Y76" s="20"/>
      <c r="Z76" s="20"/>
    </row>
    <row r="77" spans="3:26" ht="17.25" customHeight="1">
      <c r="C77" s="47"/>
      <c r="D77" s="20"/>
      <c r="E77" s="20"/>
      <c r="F77" s="20"/>
      <c r="G77" s="20"/>
      <c r="H77" s="20"/>
      <c r="I77" s="20"/>
      <c r="J77" s="20"/>
      <c r="K77" s="20"/>
      <c r="L77" s="20"/>
      <c r="M77" s="20"/>
      <c r="N77" s="20"/>
      <c r="O77" s="20"/>
      <c r="P77" s="20"/>
      <c r="Q77" s="20"/>
      <c r="R77" s="20"/>
      <c r="S77" s="20"/>
      <c r="T77" s="20"/>
      <c r="U77" s="20"/>
      <c r="V77" s="20"/>
      <c r="W77" s="20"/>
      <c r="X77" s="20"/>
      <c r="Y77" s="20"/>
      <c r="Z77" s="20"/>
    </row>
    <row r="78" spans="3:26" ht="17.25" customHeight="1">
      <c r="C78" s="47"/>
      <c r="D78" s="20"/>
      <c r="E78" s="20"/>
      <c r="F78" s="20"/>
      <c r="G78" s="20"/>
      <c r="H78" s="20"/>
      <c r="I78" s="20"/>
      <c r="J78" s="20"/>
      <c r="K78" s="20"/>
      <c r="L78" s="20"/>
      <c r="M78" s="20"/>
      <c r="N78" s="20"/>
      <c r="O78" s="20"/>
      <c r="P78" s="20"/>
      <c r="Q78" s="20"/>
      <c r="R78" s="20"/>
      <c r="S78" s="20"/>
      <c r="T78" s="20"/>
      <c r="U78" s="20"/>
      <c r="V78" s="20"/>
      <c r="W78" s="20"/>
      <c r="X78" s="20"/>
      <c r="Y78" s="20"/>
      <c r="Z78" s="20"/>
    </row>
    <row r="79" spans="3:26" ht="17.25" customHeight="1">
      <c r="C79" s="47"/>
      <c r="D79" s="20"/>
      <c r="E79" s="20"/>
      <c r="F79" s="20"/>
      <c r="G79" s="20"/>
      <c r="H79" s="20"/>
      <c r="I79" s="20"/>
      <c r="J79" s="20"/>
      <c r="K79" s="20"/>
      <c r="L79" s="20"/>
      <c r="M79" s="20"/>
      <c r="N79" s="20"/>
      <c r="O79" s="20"/>
      <c r="P79" s="20"/>
      <c r="Q79" s="20"/>
      <c r="R79" s="20"/>
      <c r="S79" s="20"/>
      <c r="T79" s="20"/>
      <c r="U79" s="20"/>
      <c r="V79" s="20"/>
      <c r="W79" s="20"/>
      <c r="X79" s="20"/>
      <c r="Y79" s="20"/>
      <c r="Z79" s="20"/>
    </row>
    <row r="80" spans="3:26" ht="17.25" customHeight="1">
      <c r="C80" s="47"/>
      <c r="D80" s="20"/>
      <c r="E80" s="20"/>
      <c r="F80" s="20"/>
      <c r="G80" s="20"/>
      <c r="H80" s="20"/>
      <c r="I80" s="20"/>
      <c r="J80" s="20"/>
      <c r="K80" s="20"/>
      <c r="L80" s="20"/>
      <c r="M80" s="20"/>
      <c r="N80" s="20"/>
      <c r="O80" s="20"/>
      <c r="P80" s="20"/>
      <c r="Q80" s="20"/>
      <c r="R80" s="20"/>
      <c r="S80" s="20"/>
      <c r="T80" s="20"/>
      <c r="U80" s="20"/>
      <c r="V80" s="20"/>
      <c r="W80" s="20"/>
      <c r="X80" s="20"/>
      <c r="Y80" s="20"/>
      <c r="Z80" s="20"/>
    </row>
    <row r="81" spans="3:26" ht="17.25" customHeight="1">
      <c r="C81" s="47"/>
      <c r="D81" s="20"/>
      <c r="E81" s="20"/>
      <c r="F81" s="20"/>
      <c r="G81" s="20"/>
      <c r="H81" s="20"/>
      <c r="I81" s="20"/>
      <c r="J81" s="20"/>
      <c r="K81" s="20"/>
      <c r="L81" s="20"/>
      <c r="M81" s="20"/>
      <c r="N81" s="20"/>
      <c r="O81" s="20"/>
      <c r="P81" s="20"/>
      <c r="Q81" s="20"/>
      <c r="R81" s="20"/>
      <c r="S81" s="20"/>
      <c r="T81" s="20"/>
      <c r="U81" s="20"/>
      <c r="V81" s="20"/>
      <c r="W81" s="20"/>
      <c r="X81" s="20"/>
      <c r="Y81" s="20"/>
      <c r="Z81" s="20"/>
    </row>
    <row r="82" spans="3:26" ht="17.25" customHeight="1">
      <c r="C82" s="47"/>
      <c r="D82" s="20"/>
      <c r="E82" s="20"/>
      <c r="F82" s="20"/>
      <c r="G82" s="20"/>
      <c r="H82" s="20"/>
      <c r="I82" s="20"/>
      <c r="J82" s="20"/>
      <c r="K82" s="20"/>
      <c r="L82" s="20"/>
      <c r="M82" s="20"/>
      <c r="N82" s="20"/>
      <c r="O82" s="20"/>
      <c r="P82" s="20"/>
      <c r="Q82" s="20"/>
      <c r="R82" s="20"/>
      <c r="S82" s="20"/>
      <c r="T82" s="20"/>
      <c r="U82" s="20"/>
      <c r="V82" s="20"/>
      <c r="W82" s="20"/>
      <c r="X82" s="20"/>
      <c r="Y82" s="20"/>
      <c r="Z82" s="20"/>
    </row>
    <row r="83" spans="3:26" ht="17.25" customHeight="1">
      <c r="C83" s="47"/>
      <c r="D83" s="20"/>
      <c r="E83" s="20"/>
      <c r="F83" s="20"/>
      <c r="G83" s="20"/>
      <c r="H83" s="20"/>
      <c r="I83" s="20"/>
      <c r="J83" s="20"/>
      <c r="K83" s="20"/>
      <c r="L83" s="20"/>
      <c r="M83" s="20"/>
      <c r="N83" s="20"/>
      <c r="O83" s="20"/>
      <c r="P83" s="20"/>
      <c r="Q83" s="20"/>
      <c r="R83" s="20"/>
      <c r="S83" s="20"/>
      <c r="T83" s="20"/>
      <c r="U83" s="20"/>
      <c r="V83" s="20"/>
      <c r="W83" s="20"/>
      <c r="X83" s="20"/>
      <c r="Y83" s="20"/>
      <c r="Z83" s="20"/>
    </row>
    <row r="84" spans="3:26" ht="17.25" customHeight="1">
      <c r="C84" s="47"/>
      <c r="D84" s="20"/>
      <c r="E84" s="20"/>
      <c r="F84" s="20"/>
      <c r="G84" s="20"/>
      <c r="H84" s="20"/>
      <c r="I84" s="20"/>
      <c r="J84" s="20"/>
      <c r="K84" s="20"/>
      <c r="L84" s="20"/>
      <c r="M84" s="20"/>
      <c r="N84" s="20"/>
      <c r="O84" s="20"/>
      <c r="P84" s="20"/>
      <c r="Q84" s="20"/>
      <c r="R84" s="20"/>
      <c r="S84" s="20"/>
      <c r="T84" s="20"/>
      <c r="U84" s="20"/>
      <c r="V84" s="20"/>
      <c r="W84" s="20"/>
      <c r="X84" s="20"/>
      <c r="Y84" s="20"/>
      <c r="Z84" s="20"/>
    </row>
    <row r="85" spans="3:26" ht="17.25" customHeight="1">
      <c r="C85" s="47"/>
      <c r="D85" s="20"/>
      <c r="E85" s="20"/>
      <c r="F85" s="20"/>
      <c r="G85" s="20"/>
      <c r="H85" s="20"/>
      <c r="I85" s="20"/>
      <c r="J85" s="20"/>
      <c r="K85" s="20"/>
      <c r="L85" s="20"/>
      <c r="M85" s="20"/>
      <c r="N85" s="20"/>
      <c r="O85" s="20"/>
      <c r="P85" s="20"/>
      <c r="Q85" s="20"/>
      <c r="R85" s="20"/>
      <c r="S85" s="20"/>
      <c r="T85" s="20"/>
      <c r="U85" s="20"/>
      <c r="V85" s="20"/>
      <c r="W85" s="20"/>
      <c r="X85" s="20"/>
      <c r="Y85" s="20"/>
      <c r="Z85" s="20"/>
    </row>
    <row r="86" spans="3:26" ht="17.25" customHeight="1">
      <c r="C86" s="47"/>
      <c r="D86" s="20"/>
      <c r="E86" s="20"/>
      <c r="F86" s="20"/>
      <c r="G86" s="20"/>
      <c r="H86" s="20"/>
      <c r="I86" s="20"/>
      <c r="J86" s="20"/>
      <c r="K86" s="20"/>
      <c r="L86" s="20"/>
      <c r="M86" s="20"/>
      <c r="N86" s="20"/>
      <c r="O86" s="20"/>
      <c r="P86" s="20"/>
      <c r="Q86" s="20"/>
      <c r="R86" s="20"/>
      <c r="S86" s="20"/>
      <c r="T86" s="20"/>
      <c r="U86" s="20"/>
      <c r="V86" s="20"/>
      <c r="W86" s="20"/>
      <c r="X86" s="20"/>
      <c r="Y86" s="20"/>
      <c r="Z86" s="20"/>
    </row>
    <row r="87" spans="3:26" ht="17.25" customHeight="1">
      <c r="C87" s="47"/>
      <c r="D87" s="20"/>
      <c r="E87" s="20"/>
      <c r="F87" s="20"/>
      <c r="G87" s="20"/>
      <c r="H87" s="20"/>
      <c r="I87" s="20"/>
      <c r="J87" s="20"/>
      <c r="K87" s="20"/>
      <c r="L87" s="20"/>
      <c r="M87" s="20"/>
      <c r="N87" s="20"/>
      <c r="O87" s="20"/>
      <c r="P87" s="20"/>
      <c r="Q87" s="20"/>
      <c r="R87" s="20"/>
      <c r="S87" s="20"/>
      <c r="T87" s="20"/>
      <c r="U87" s="20"/>
      <c r="V87" s="20"/>
      <c r="W87" s="20"/>
      <c r="X87" s="20"/>
      <c r="Y87" s="20"/>
      <c r="Z87" s="20"/>
    </row>
    <row r="88" spans="3:26" ht="17.25" customHeight="1">
      <c r="C88" s="47"/>
      <c r="D88" s="20"/>
      <c r="E88" s="20"/>
      <c r="F88" s="20"/>
      <c r="G88" s="20"/>
      <c r="H88" s="20"/>
      <c r="I88" s="20"/>
      <c r="J88" s="20"/>
      <c r="K88" s="20"/>
      <c r="L88" s="20"/>
      <c r="M88" s="20"/>
      <c r="N88" s="20"/>
      <c r="O88" s="20"/>
      <c r="P88" s="20"/>
      <c r="Q88" s="20"/>
      <c r="R88" s="20"/>
      <c r="S88" s="20"/>
      <c r="T88" s="20"/>
      <c r="U88" s="20"/>
      <c r="V88" s="20"/>
      <c r="W88" s="20"/>
      <c r="X88" s="20"/>
      <c r="Y88" s="20"/>
      <c r="Z88" s="20"/>
    </row>
    <row r="89" spans="3:26" ht="17.25" customHeight="1">
      <c r="C89" s="47"/>
      <c r="D89" s="20"/>
      <c r="E89" s="20"/>
      <c r="F89" s="20"/>
      <c r="G89" s="20"/>
      <c r="H89" s="20"/>
      <c r="I89" s="20"/>
      <c r="J89" s="20"/>
      <c r="K89" s="20"/>
      <c r="L89" s="20"/>
      <c r="M89" s="20"/>
      <c r="N89" s="20"/>
      <c r="O89" s="20"/>
      <c r="P89" s="20"/>
      <c r="Q89" s="20"/>
      <c r="R89" s="20"/>
      <c r="S89" s="20"/>
      <c r="T89" s="20"/>
      <c r="U89" s="20"/>
      <c r="V89" s="20"/>
      <c r="W89" s="20"/>
      <c r="X89" s="20"/>
      <c r="Y89" s="20"/>
      <c r="Z89" s="20"/>
    </row>
    <row r="90" spans="3:26" ht="17.25" customHeight="1">
      <c r="C90" s="47"/>
      <c r="D90" s="20"/>
      <c r="E90" s="20"/>
      <c r="F90" s="20"/>
      <c r="G90" s="20"/>
      <c r="H90" s="20"/>
      <c r="I90" s="20"/>
      <c r="J90" s="20"/>
      <c r="K90" s="20"/>
      <c r="L90" s="20"/>
      <c r="M90" s="20"/>
      <c r="N90" s="20"/>
      <c r="O90" s="20"/>
      <c r="P90" s="20"/>
      <c r="Q90" s="20"/>
      <c r="R90" s="20"/>
      <c r="S90" s="20"/>
      <c r="T90" s="20"/>
      <c r="U90" s="20"/>
      <c r="V90" s="20"/>
      <c r="W90" s="20"/>
      <c r="X90" s="20"/>
      <c r="Y90" s="20"/>
      <c r="Z90" s="20"/>
    </row>
    <row r="91" spans="3:26" ht="17.25" customHeight="1">
      <c r="C91" s="47"/>
      <c r="D91" s="20"/>
      <c r="E91" s="20"/>
      <c r="F91" s="20"/>
      <c r="G91" s="20"/>
      <c r="H91" s="20"/>
      <c r="I91" s="20"/>
      <c r="J91" s="20"/>
      <c r="K91" s="20"/>
      <c r="L91" s="20"/>
      <c r="M91" s="20"/>
      <c r="N91" s="20"/>
      <c r="O91" s="20"/>
      <c r="P91" s="20"/>
      <c r="Q91" s="20"/>
      <c r="R91" s="20"/>
      <c r="S91" s="20"/>
      <c r="T91" s="20"/>
      <c r="U91" s="20"/>
      <c r="V91" s="20"/>
      <c r="W91" s="20"/>
      <c r="X91" s="20"/>
      <c r="Y91" s="20"/>
      <c r="Z91" s="20"/>
    </row>
    <row r="92" spans="3:26" ht="17.25" customHeight="1">
      <c r="C92" s="47"/>
      <c r="D92" s="20"/>
      <c r="E92" s="20"/>
      <c r="F92" s="20"/>
      <c r="G92" s="20"/>
      <c r="H92" s="20"/>
      <c r="I92" s="20"/>
      <c r="J92" s="20"/>
      <c r="K92" s="20"/>
      <c r="L92" s="20"/>
      <c r="M92" s="20"/>
      <c r="N92" s="20"/>
      <c r="O92" s="20"/>
      <c r="P92" s="20"/>
      <c r="Q92" s="20"/>
      <c r="R92" s="20"/>
      <c r="S92" s="20"/>
      <c r="T92" s="20"/>
      <c r="U92" s="20"/>
      <c r="V92" s="20"/>
      <c r="W92" s="20"/>
      <c r="X92" s="20"/>
      <c r="Y92" s="20"/>
      <c r="Z92" s="20"/>
    </row>
    <row r="93" spans="3:26" ht="17.25" customHeight="1">
      <c r="C93" s="47"/>
      <c r="D93" s="20"/>
      <c r="E93" s="20"/>
      <c r="F93" s="20"/>
      <c r="G93" s="20"/>
      <c r="H93" s="20"/>
      <c r="I93" s="20"/>
      <c r="J93" s="20"/>
      <c r="K93" s="20"/>
      <c r="L93" s="20"/>
      <c r="M93" s="20"/>
      <c r="N93" s="20"/>
      <c r="O93" s="20"/>
      <c r="P93" s="20"/>
      <c r="Q93" s="20"/>
      <c r="R93" s="20"/>
      <c r="S93" s="20"/>
      <c r="T93" s="20"/>
      <c r="U93" s="20"/>
      <c r="V93" s="20"/>
      <c r="W93" s="20"/>
      <c r="X93" s="20"/>
      <c r="Y93" s="20"/>
      <c r="Z93" s="20"/>
    </row>
    <row r="94" spans="3:26" ht="17.25" customHeight="1">
      <c r="C94" s="47"/>
      <c r="D94" s="20"/>
      <c r="E94" s="20"/>
      <c r="F94" s="20"/>
      <c r="G94" s="20"/>
      <c r="H94" s="20"/>
      <c r="I94" s="20"/>
      <c r="J94" s="20"/>
      <c r="K94" s="20"/>
      <c r="L94" s="20"/>
      <c r="M94" s="20"/>
      <c r="N94" s="20"/>
      <c r="O94" s="20"/>
      <c r="P94" s="20"/>
      <c r="Q94" s="20"/>
      <c r="R94" s="20"/>
      <c r="S94" s="20"/>
      <c r="T94" s="20"/>
      <c r="U94" s="20"/>
      <c r="V94" s="20"/>
      <c r="W94" s="20"/>
      <c r="X94" s="20"/>
      <c r="Y94" s="20"/>
      <c r="Z94" s="20"/>
    </row>
    <row r="95" spans="3:26" ht="17.25" customHeight="1">
      <c r="C95" s="47"/>
      <c r="D95" s="20"/>
      <c r="E95" s="20"/>
      <c r="F95" s="20"/>
      <c r="G95" s="20"/>
      <c r="H95" s="20"/>
      <c r="I95" s="20"/>
      <c r="J95" s="20"/>
      <c r="K95" s="20"/>
      <c r="L95" s="20"/>
      <c r="M95" s="20"/>
      <c r="N95" s="20"/>
      <c r="O95" s="20"/>
      <c r="P95" s="20"/>
      <c r="Q95" s="20"/>
      <c r="R95" s="20"/>
      <c r="S95" s="20"/>
      <c r="T95" s="20"/>
      <c r="U95" s="20"/>
      <c r="V95" s="20"/>
      <c r="W95" s="20"/>
      <c r="X95" s="20"/>
      <c r="Y95" s="20"/>
      <c r="Z95" s="20"/>
    </row>
    <row r="96" spans="3:26" ht="17.25" customHeight="1">
      <c r="C96" s="47"/>
      <c r="D96" s="20"/>
      <c r="E96" s="20"/>
      <c r="F96" s="20"/>
      <c r="G96" s="20"/>
      <c r="H96" s="20"/>
      <c r="I96" s="20"/>
      <c r="J96" s="20"/>
      <c r="K96" s="20"/>
      <c r="L96" s="20"/>
      <c r="M96" s="20"/>
      <c r="N96" s="20"/>
      <c r="O96" s="20"/>
      <c r="P96" s="20"/>
      <c r="Q96" s="20"/>
      <c r="R96" s="20"/>
      <c r="S96" s="20"/>
      <c r="T96" s="20"/>
      <c r="U96" s="20"/>
      <c r="V96" s="20"/>
      <c r="W96" s="20"/>
      <c r="X96" s="20"/>
      <c r="Y96" s="20"/>
      <c r="Z96" s="20"/>
    </row>
    <row r="97" spans="3:26" ht="17.25" customHeight="1">
      <c r="C97" s="47"/>
      <c r="D97" s="20"/>
      <c r="E97" s="20"/>
      <c r="F97" s="20"/>
      <c r="G97" s="20"/>
      <c r="H97" s="20"/>
      <c r="I97" s="20"/>
      <c r="J97" s="20"/>
      <c r="K97" s="20"/>
      <c r="L97" s="20"/>
      <c r="M97" s="20"/>
      <c r="N97" s="20"/>
      <c r="O97" s="20"/>
      <c r="P97" s="20"/>
      <c r="Q97" s="20"/>
      <c r="R97" s="20"/>
      <c r="S97" s="20"/>
      <c r="T97" s="20"/>
      <c r="U97" s="20"/>
      <c r="V97" s="20"/>
      <c r="W97" s="20"/>
      <c r="X97" s="20"/>
      <c r="Y97" s="20"/>
      <c r="Z97" s="20"/>
    </row>
    <row r="98" spans="3:26" ht="17.25" customHeight="1">
      <c r="C98" s="47"/>
      <c r="D98" s="20"/>
      <c r="E98" s="20"/>
      <c r="F98" s="20"/>
      <c r="G98" s="20"/>
      <c r="H98" s="20"/>
      <c r="I98" s="20"/>
      <c r="J98" s="20"/>
      <c r="K98" s="20"/>
      <c r="L98" s="20"/>
      <c r="M98" s="20"/>
      <c r="N98" s="20"/>
      <c r="O98" s="20"/>
      <c r="P98" s="20"/>
      <c r="Q98" s="20"/>
      <c r="R98" s="20"/>
      <c r="S98" s="20"/>
      <c r="T98" s="20"/>
      <c r="U98" s="20"/>
      <c r="V98" s="20"/>
      <c r="W98" s="20"/>
      <c r="X98" s="20"/>
      <c r="Y98" s="20"/>
      <c r="Z98" s="20"/>
    </row>
    <row r="99" spans="3:26" ht="17.25" customHeight="1">
      <c r="C99" s="47"/>
      <c r="D99" s="20"/>
      <c r="E99" s="20"/>
      <c r="F99" s="20"/>
      <c r="G99" s="20"/>
      <c r="H99" s="20"/>
      <c r="I99" s="20"/>
      <c r="J99" s="20"/>
      <c r="K99" s="20"/>
      <c r="L99" s="20"/>
      <c r="M99" s="20"/>
      <c r="N99" s="20"/>
      <c r="O99" s="20"/>
      <c r="P99" s="20"/>
      <c r="Q99" s="20"/>
      <c r="R99" s="20"/>
      <c r="S99" s="20"/>
      <c r="T99" s="20"/>
      <c r="U99" s="20"/>
      <c r="V99" s="20"/>
      <c r="W99" s="20"/>
      <c r="X99" s="20"/>
      <c r="Y99" s="20"/>
      <c r="Z99" s="20"/>
    </row>
    <row r="100" spans="3:26" ht="17.25" customHeight="1">
      <c r="C100" s="47"/>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3:26" ht="17.25" customHeight="1">
      <c r="C101" s="47"/>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3:26" ht="17.25" customHeight="1">
      <c r="C102" s="47"/>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3:26" ht="17.25" customHeight="1">
      <c r="C103" s="47"/>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3:26" ht="17.25" customHeight="1">
      <c r="C104" s="47"/>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3:26" ht="17.25" customHeight="1">
      <c r="C105" s="47"/>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3:26" ht="17.25" customHeight="1">
      <c r="C106" s="47"/>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3:26" ht="17.25" customHeight="1">
      <c r="C107" s="47"/>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3:26" ht="17.25" customHeight="1">
      <c r="C108" s="47"/>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3:26" ht="17.25" customHeight="1">
      <c r="C109" s="47"/>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3:26" ht="17.25" customHeight="1">
      <c r="C110" s="47"/>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3:26" ht="17.25" customHeight="1">
      <c r="C111" s="47"/>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3:26" ht="17.25" customHeight="1">
      <c r="C112" s="47"/>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3:26" ht="17.25" customHeight="1">
      <c r="C113" s="47"/>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3:26" ht="17.25" customHeight="1">
      <c r="C114" s="47"/>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3:26" ht="17.25" customHeight="1">
      <c r="C115" s="47"/>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3:26" ht="17.25" customHeight="1">
      <c r="C116" s="47"/>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3:26" ht="17.25" customHeight="1">
      <c r="C117" s="47"/>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3:26" ht="17.25" customHeight="1">
      <c r="C118" s="47"/>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3:26" ht="17.25" customHeight="1">
      <c r="C119" s="47"/>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3:26" ht="17.25" customHeight="1">
      <c r="C120" s="47"/>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3:26" ht="17.25" customHeight="1">
      <c r="C121" s="47"/>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3:26" ht="17.25" customHeight="1">
      <c r="C122" s="47"/>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3:26" ht="17.25" customHeight="1">
      <c r="C123" s="47"/>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3:26" ht="17.25" customHeight="1">
      <c r="C124" s="47"/>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3:26" ht="17.25" customHeight="1">
      <c r="C125" s="47"/>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3:26" ht="17.25" customHeight="1">
      <c r="C126" s="47"/>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3:26" ht="17.25" customHeight="1">
      <c r="C127" s="47"/>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3:26" ht="17.25" customHeight="1">
      <c r="C128" s="47"/>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3:26" ht="17.25" customHeight="1">
      <c r="C129" s="47"/>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3:26" ht="17.25" customHeight="1">
      <c r="C130" s="47"/>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3:26" ht="17.25" customHeight="1">
      <c r="C131" s="47"/>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3:26" ht="17.25" customHeight="1">
      <c r="C132" s="47"/>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3:26" ht="17.25" customHeight="1">
      <c r="C133" s="47"/>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3:26" ht="17.25" customHeight="1">
      <c r="C134" s="47"/>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3:26" ht="17.25" customHeight="1">
      <c r="C135" s="47"/>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3:26" ht="17.25" customHeight="1">
      <c r="C136" s="47"/>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3:26" ht="17.25" customHeight="1">
      <c r="C137" s="47"/>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3:26" ht="17.25" customHeight="1">
      <c r="C138" s="47"/>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3:26" ht="17.25" customHeight="1">
      <c r="C139" s="47"/>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3:26" ht="17.25" customHeight="1">
      <c r="C140" s="47"/>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3:26" ht="17.25" customHeight="1">
      <c r="C141" s="47"/>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3:26" ht="17.25" customHeight="1">
      <c r="C142" s="47"/>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3:26" ht="17.25" customHeight="1">
      <c r="C143" s="47"/>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3:26" ht="17.25" customHeight="1">
      <c r="C144" s="47"/>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3:26" ht="17.25" customHeight="1">
      <c r="C145" s="47"/>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3:26" ht="17.25" customHeight="1">
      <c r="C146" s="47"/>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3:26" ht="17.25" customHeight="1">
      <c r="C147" s="47"/>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3:26" ht="17.25" customHeight="1">
      <c r="C148" s="47"/>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3:26" ht="17.25" customHeight="1">
      <c r="C149" s="47"/>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3:26" ht="17.25" customHeight="1">
      <c r="C150" s="47"/>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3:26" ht="17.25" customHeight="1">
      <c r="C151" s="47"/>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3:26" ht="17.25" customHeight="1">
      <c r="C152" s="47"/>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3:26" ht="17.25" customHeight="1">
      <c r="C153" s="47"/>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3:26" ht="17.25" customHeight="1">
      <c r="C154" s="47"/>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3:26" ht="17.25" customHeight="1">
      <c r="C155" s="47"/>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3:26" ht="17.25" customHeight="1">
      <c r="C156" s="47"/>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3:26" ht="17.25" customHeight="1">
      <c r="C157" s="47"/>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3:26" ht="17.25" customHeight="1">
      <c r="C158" s="47"/>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3:26" ht="17.25" customHeight="1">
      <c r="C159" s="47"/>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3:26" ht="17.25" customHeight="1">
      <c r="C160" s="47"/>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3:26" ht="17.25" customHeight="1">
      <c r="C161" s="47"/>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3:26" ht="17.25" customHeight="1">
      <c r="C162" s="47"/>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3:26" ht="17.25" customHeight="1">
      <c r="C163" s="47"/>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3:26" ht="17.25" customHeight="1">
      <c r="C164" s="47"/>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3:26" ht="17.25" customHeight="1">
      <c r="C165" s="47"/>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3:26" ht="17.25" customHeight="1">
      <c r="C166" s="47"/>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3:26" ht="17.25" customHeight="1">
      <c r="C167" s="47"/>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3:26" ht="17.25" customHeight="1">
      <c r="C168" s="47"/>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3:26" ht="17.25" customHeight="1">
      <c r="C169" s="47"/>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3:26" ht="17.25" customHeight="1">
      <c r="C170" s="47"/>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3:26" ht="17.25" customHeight="1">
      <c r="C171" s="47"/>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3:26" ht="17.25" customHeight="1">
      <c r="C172" s="47"/>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3:26" ht="17.25" customHeight="1">
      <c r="C173" s="47"/>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3:26" ht="17.25" customHeight="1">
      <c r="C174" s="47"/>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3:26" ht="17.25" customHeight="1">
      <c r="C175" s="47"/>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3:26" ht="17.25" customHeight="1">
      <c r="C176" s="47"/>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3:26" ht="17.25" customHeight="1">
      <c r="C177" s="47"/>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3:26" ht="17.25" customHeight="1">
      <c r="C178" s="47"/>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3:26" ht="17.25" customHeight="1">
      <c r="C179" s="47"/>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3:26" ht="17.25" customHeight="1">
      <c r="C180" s="47"/>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3:26" ht="17.25" customHeight="1">
      <c r="C181" s="47"/>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3:26" ht="17.25" customHeight="1">
      <c r="C182" s="47"/>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3:26" ht="17.25" customHeight="1">
      <c r="C183" s="47"/>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3:26" ht="17.25" customHeight="1">
      <c r="C184" s="47"/>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3:26" ht="17.25" customHeight="1">
      <c r="C185" s="47"/>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3:26" ht="17.25" customHeight="1">
      <c r="C186" s="47"/>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3:26" ht="17.25" customHeight="1">
      <c r="C187" s="47"/>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3:26" ht="17.25" customHeight="1">
      <c r="C188" s="47"/>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3:26" ht="17.25" customHeight="1">
      <c r="C189" s="47"/>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3:26" ht="17.25" customHeight="1">
      <c r="C190" s="47"/>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3:26" ht="17.25" customHeight="1">
      <c r="C191" s="47"/>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3:26" ht="17.25" customHeight="1">
      <c r="C192" s="47"/>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3:26" ht="17.25" customHeight="1">
      <c r="C193" s="47"/>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3:26" ht="17.25" customHeight="1">
      <c r="C194" s="47"/>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3:26" ht="17.25" customHeight="1">
      <c r="C195" s="47"/>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3:26" ht="17.25" customHeight="1">
      <c r="C196" s="47"/>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3:26" ht="17.25" customHeight="1">
      <c r="C197" s="47"/>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3:26" ht="17.25" customHeight="1">
      <c r="C198" s="47"/>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3:26" ht="17.25" customHeight="1">
      <c r="C199" s="47"/>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3:26" ht="17.25" customHeight="1">
      <c r="C200" s="47"/>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3:26" ht="17.25" customHeight="1">
      <c r="C201" s="47"/>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3:26" ht="17.25" customHeight="1">
      <c r="C202" s="47"/>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3:26" ht="17.25" customHeight="1">
      <c r="C203" s="47"/>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3:26" ht="17.25" customHeight="1">
      <c r="C204" s="47"/>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3:26" ht="17.25" customHeight="1">
      <c r="C205" s="47"/>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3:26" ht="17.25" customHeight="1">
      <c r="C206" s="47"/>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3:26" ht="17.25" customHeight="1">
      <c r="C207" s="47"/>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3:26" ht="17.25" customHeight="1">
      <c r="C208" s="47"/>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3:26" ht="17.25" customHeight="1">
      <c r="C209" s="47"/>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3:26" ht="17.25" customHeight="1">
      <c r="C210" s="47"/>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3:26" ht="17.25" customHeight="1">
      <c r="C211" s="47"/>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3:26" ht="17.25" customHeight="1">
      <c r="C212" s="47"/>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3:26" ht="17.25" customHeight="1">
      <c r="C213" s="47"/>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3:26" ht="17.25" customHeight="1">
      <c r="C214" s="47"/>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3:26" ht="17.25" customHeight="1">
      <c r="C215" s="47"/>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3:26" ht="17.25" customHeight="1">
      <c r="C216" s="47"/>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3:26" ht="17.25" customHeight="1">
      <c r="C217" s="47"/>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3:26" ht="17.25" customHeight="1">
      <c r="C218" s="47"/>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3:26" ht="17.25" customHeight="1">
      <c r="C219" s="47"/>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3:26" ht="17.25" customHeight="1">
      <c r="C220" s="47"/>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3:26" ht="17.25" customHeight="1">
      <c r="C221" s="47"/>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3:26" ht="17.25" customHeight="1">
      <c r="C222" s="47"/>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3:26" ht="17.25" customHeight="1">
      <c r="C223" s="47"/>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3:26" ht="17.25" customHeight="1">
      <c r="C224" s="47"/>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3:26" ht="17.25" customHeight="1">
      <c r="C225" s="47"/>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3:26" ht="17.25" customHeight="1">
      <c r="C226" s="47"/>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3:26" ht="17.25" customHeight="1">
      <c r="C227" s="47"/>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3:26" ht="17.25" customHeight="1">
      <c r="C228" s="47"/>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3:26" ht="17.25" customHeight="1">
      <c r="C229" s="47"/>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3:26" ht="17.25" customHeight="1">
      <c r="C230" s="47"/>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3:26" ht="17.25" customHeight="1">
      <c r="C231" s="47"/>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3:26" ht="17.25" customHeight="1">
      <c r="C232" s="47"/>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3:26" ht="17.25" customHeight="1">
      <c r="C233" s="47"/>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3:26" ht="17.25" customHeight="1">
      <c r="C234" s="47"/>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3:26" ht="17.25" customHeight="1">
      <c r="C235" s="47"/>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3:26" ht="17.25" customHeight="1">
      <c r="C236" s="47"/>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3:26" ht="17.25" customHeight="1">
      <c r="C237" s="47"/>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3:26" ht="17.25" customHeight="1">
      <c r="C238" s="47"/>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3:26" ht="17.25" customHeight="1">
      <c r="C239" s="47"/>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3:26" ht="17.25" customHeight="1">
      <c r="C240" s="47"/>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3:26" ht="17.25" customHeight="1">
      <c r="C241" s="47"/>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3:26" ht="17.25" customHeight="1">
      <c r="C242" s="47"/>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3:26" ht="17.25" customHeight="1">
      <c r="C243" s="47"/>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3:26" ht="17.25" customHeight="1">
      <c r="C244" s="47"/>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3:26" ht="17.25" customHeight="1">
      <c r="C245" s="47"/>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3:26" ht="17.25" customHeight="1">
      <c r="C246" s="47"/>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3:26" ht="17.25" customHeight="1">
      <c r="C247" s="47"/>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3:26" ht="17.25" customHeight="1">
      <c r="C248" s="47"/>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3:26" ht="17.25" customHeight="1">
      <c r="C249" s="47"/>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3:26" ht="17.25" customHeight="1">
      <c r="C250" s="47"/>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3:26" ht="17.25" customHeight="1">
      <c r="C251" s="47"/>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3:26" ht="17.25" customHeight="1">
      <c r="C252" s="47"/>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3:26" ht="17.25" customHeight="1">
      <c r="C253" s="47"/>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3:26" ht="17.25" customHeight="1">
      <c r="C254" s="47"/>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3:26" ht="17.25" customHeight="1">
      <c r="C255" s="47"/>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3:26" ht="17.25" customHeight="1">
      <c r="C256" s="47"/>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3:26" ht="17.25" customHeight="1">
      <c r="C257" s="47"/>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3:26" ht="17.25" customHeight="1">
      <c r="C258" s="47"/>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3:26" ht="17.25" customHeight="1">
      <c r="C259" s="47"/>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3:26" ht="17.25" customHeight="1">
      <c r="C260" s="47"/>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3:26" ht="17.25" customHeight="1">
      <c r="C261" s="47"/>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3:26" ht="17.25" customHeight="1">
      <c r="C262" s="47"/>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3:26" ht="17.25" customHeight="1">
      <c r="C263" s="47"/>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3:26" ht="17.25" customHeight="1">
      <c r="C264" s="47"/>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3:26" ht="17.25" customHeight="1">
      <c r="C265" s="47"/>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3:26" ht="17.25" customHeight="1">
      <c r="C266" s="47"/>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3:26" ht="17.25" customHeight="1">
      <c r="C267" s="47"/>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3:26" ht="17.25" customHeight="1">
      <c r="C268" s="47"/>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3:26" ht="17.25" customHeight="1">
      <c r="C269" s="47"/>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3:26" ht="17.25" customHeight="1">
      <c r="C270" s="47"/>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3:26" ht="17.25" customHeight="1">
      <c r="C271" s="47"/>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3:26" ht="17.25" customHeight="1">
      <c r="C272" s="47"/>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3:26" ht="17.25" customHeight="1">
      <c r="C273" s="47"/>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3:26" ht="17.25" customHeight="1">
      <c r="C274" s="47"/>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3:26" ht="17.25" customHeight="1">
      <c r="C275" s="47"/>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3:26" ht="17.25" customHeight="1">
      <c r="C276" s="47"/>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3:26" ht="17.25" customHeight="1">
      <c r="C277" s="47"/>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3:26" ht="17.25" customHeight="1">
      <c r="C278" s="47"/>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3:26" ht="17.25" customHeight="1">
      <c r="C279" s="47"/>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3:26" ht="17.25" customHeight="1">
      <c r="C280" s="47"/>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3:26" ht="17.25" customHeight="1">
      <c r="C281" s="47"/>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3:26" ht="17.25" customHeight="1">
      <c r="C282" s="47"/>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3:26" ht="17.25" customHeight="1">
      <c r="C283" s="47"/>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3:26" ht="17.25" customHeight="1">
      <c r="C284" s="47"/>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3:26" ht="17.25" customHeight="1">
      <c r="C285" s="47"/>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3:26" ht="17.25" customHeight="1">
      <c r="C286" s="47"/>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3:26" ht="17.25" customHeight="1">
      <c r="C287" s="47"/>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3:26" ht="17.25" customHeight="1">
      <c r="C288" s="47"/>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3:26" ht="17.25" customHeight="1">
      <c r="C289" s="47"/>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3:26" ht="17.25" customHeight="1">
      <c r="C290" s="47"/>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3:26" ht="17.25" customHeight="1">
      <c r="C291" s="47"/>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3:26" ht="17.25" customHeight="1">
      <c r="C292" s="47"/>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3:26" ht="17.25" customHeight="1">
      <c r="C293" s="47"/>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3:26" ht="17.25" customHeight="1">
      <c r="C294" s="47"/>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3:26" ht="17.25" customHeight="1">
      <c r="C295" s="47"/>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3:26" ht="17.25" customHeight="1">
      <c r="C296" s="47"/>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3:26" ht="17.25" customHeight="1">
      <c r="C297" s="47"/>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3:26" ht="17.25" customHeight="1">
      <c r="C298" s="47"/>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3:26" ht="17.25" customHeight="1">
      <c r="C299" s="47"/>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3:26" ht="17.25" customHeight="1">
      <c r="C300" s="47"/>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3:26" ht="17.25" customHeight="1">
      <c r="C301" s="47"/>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3:26" ht="17.25" customHeight="1">
      <c r="C302" s="47"/>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3:26" ht="17.25" customHeight="1">
      <c r="C303" s="47"/>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3:26" ht="17.25" customHeight="1">
      <c r="C304" s="47"/>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3:26" ht="17.25" customHeight="1">
      <c r="C305" s="47"/>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3:26" ht="17.25" customHeight="1">
      <c r="C306" s="47"/>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3:26" ht="17.25" customHeight="1">
      <c r="C307" s="47"/>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3:26" ht="17.25" customHeight="1">
      <c r="C308" s="47"/>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3:26" ht="17.25" customHeight="1">
      <c r="C309" s="47"/>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3:26" ht="17.25" customHeight="1">
      <c r="C310" s="47"/>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3:26" ht="17.25" customHeight="1">
      <c r="C311" s="47"/>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3:26" ht="17.25" customHeight="1">
      <c r="C312" s="47"/>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3:26" ht="17.25" customHeight="1">
      <c r="C313" s="47"/>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3:26" ht="17.25" customHeight="1">
      <c r="C314" s="47"/>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3:26" ht="17.25" customHeight="1">
      <c r="C315" s="47"/>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3:26" ht="17.25" customHeight="1">
      <c r="C316" s="47"/>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3:26" ht="17.25" customHeight="1">
      <c r="C317" s="47"/>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3:26" ht="17.25" customHeight="1">
      <c r="C318" s="47"/>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3:26" ht="17.25" customHeight="1">
      <c r="C319" s="47"/>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3:26" ht="17.25" customHeight="1">
      <c r="C320" s="47"/>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3:26" ht="17.25" customHeight="1">
      <c r="C321" s="47"/>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3:26" ht="17.25" customHeight="1">
      <c r="C322" s="47"/>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3:26" ht="17.25" customHeight="1">
      <c r="C323" s="47"/>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3:26" ht="17.25" customHeight="1">
      <c r="C324" s="47"/>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3:26" ht="17.25" customHeight="1">
      <c r="C325" s="47"/>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3:26" ht="17.25" customHeight="1">
      <c r="C326" s="47"/>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3:26" ht="17.25" customHeight="1">
      <c r="C327" s="47"/>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3:26" ht="17.25" customHeight="1">
      <c r="C328" s="47"/>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3:26" ht="17.25" customHeight="1">
      <c r="C329" s="47"/>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3:26" ht="17.25" customHeight="1">
      <c r="C330" s="47"/>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3:26" ht="17.25" customHeight="1">
      <c r="C331" s="47"/>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3:26" ht="17.25" customHeight="1">
      <c r="C332" s="47"/>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3:26" ht="17.25" customHeight="1">
      <c r="C333" s="47"/>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3:26" ht="17.25" customHeight="1">
      <c r="C334" s="47"/>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3:26" ht="17.25" customHeight="1">
      <c r="C335" s="47"/>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3:26" ht="17.25" customHeight="1">
      <c r="C336" s="47"/>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3:26" ht="17.25" customHeight="1">
      <c r="C337" s="47"/>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3:26" ht="17.25" customHeight="1">
      <c r="C338" s="47"/>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3:26" ht="17.25" customHeight="1">
      <c r="C339" s="47"/>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3:26" ht="17.25" customHeight="1">
      <c r="C340" s="47"/>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3:26" ht="17.25" customHeight="1">
      <c r="C341" s="47"/>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3:26" ht="17.25" customHeight="1">
      <c r="C342" s="47"/>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3:26" ht="17.25" customHeight="1">
      <c r="C343" s="47"/>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3:26" ht="17.25" customHeight="1">
      <c r="C344" s="47"/>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3:26" ht="17.25" customHeight="1">
      <c r="C345" s="47"/>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3:26" ht="17.25" customHeight="1">
      <c r="C346" s="47"/>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3:26" ht="17.25" customHeight="1">
      <c r="C347" s="47"/>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3:26" ht="17.25" customHeight="1">
      <c r="C348" s="47"/>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3:26" ht="17.25" customHeight="1">
      <c r="C349" s="47"/>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3:26" ht="17.25" customHeight="1">
      <c r="C350" s="47"/>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3:26" ht="17.25" customHeight="1">
      <c r="C351" s="47"/>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3:26" ht="17.25" customHeight="1">
      <c r="C352" s="47"/>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3:26" ht="17.25" customHeight="1">
      <c r="C353" s="47"/>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3:26" ht="17.25" customHeight="1">
      <c r="C354" s="47"/>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3:26" ht="17.25" customHeight="1">
      <c r="C355" s="47"/>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3:26" ht="17.25" customHeight="1">
      <c r="C356" s="47"/>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3:26" ht="17.25" customHeight="1">
      <c r="C357" s="47"/>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3:26" ht="17.25" customHeight="1">
      <c r="C358" s="47"/>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3:26" ht="17.25" customHeight="1">
      <c r="C359" s="47"/>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3:26" ht="17.25" customHeight="1">
      <c r="C360" s="47"/>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3:26" ht="17.25" customHeight="1">
      <c r="C361" s="47"/>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3:26" ht="17.25" customHeight="1">
      <c r="C362" s="47"/>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3:26" ht="17.25" customHeight="1">
      <c r="C363" s="47"/>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3:26" ht="17.25" customHeight="1">
      <c r="C364" s="47"/>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3:26" ht="17.25" customHeight="1">
      <c r="C365" s="47"/>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3:26" ht="17.25" customHeight="1">
      <c r="C366" s="47"/>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3:26" ht="17.25" customHeight="1">
      <c r="C367" s="47"/>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3:26" ht="17.25" customHeight="1">
      <c r="C368" s="47"/>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3:26" ht="17.25" customHeight="1">
      <c r="C369" s="47"/>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3:26" ht="17.25" customHeight="1">
      <c r="C370" s="47"/>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3:26" ht="17.25" customHeight="1">
      <c r="C371" s="47"/>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3:26" ht="17.25" customHeight="1">
      <c r="C372" s="47"/>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3:26" ht="17.25" customHeight="1">
      <c r="C373" s="47"/>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3:26" ht="17.25" customHeight="1">
      <c r="C374" s="47"/>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3:26" ht="17.25" customHeight="1">
      <c r="C375" s="47"/>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3:26" ht="17.25" customHeight="1">
      <c r="C376" s="47"/>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3:26" ht="17.25" customHeight="1">
      <c r="C377" s="47"/>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3:26" ht="17.25" customHeight="1">
      <c r="C378" s="47"/>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3:26" ht="17.25" customHeight="1">
      <c r="C379" s="47"/>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3:26" ht="17.25" customHeight="1">
      <c r="C380" s="47"/>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3:26" ht="17.25" customHeight="1">
      <c r="C381" s="47"/>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3:26" ht="17.25" customHeight="1">
      <c r="C382" s="47"/>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3:26" ht="17.25" customHeight="1">
      <c r="C383" s="47"/>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3:26" ht="17.25" customHeight="1">
      <c r="C384" s="47"/>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3:26" ht="17.25" customHeight="1">
      <c r="C385" s="47"/>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3:26" ht="17.25" customHeight="1">
      <c r="C386" s="47"/>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3:26" ht="17.25" customHeight="1">
      <c r="C387" s="47"/>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3:26" ht="17.25" customHeight="1">
      <c r="C388" s="47"/>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3:26" ht="17.25" customHeight="1">
      <c r="C389" s="47"/>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3:26" ht="17.25" customHeight="1">
      <c r="C390" s="47"/>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3:26" ht="17.25" customHeight="1">
      <c r="C391" s="47"/>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3:26" ht="17.25" customHeight="1">
      <c r="C392" s="47"/>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3:26" ht="17.25" customHeight="1">
      <c r="C393" s="47"/>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3:26" ht="17.25" customHeight="1">
      <c r="C394" s="47"/>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3:26" ht="17.25" customHeight="1">
      <c r="C395" s="47"/>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3:26" ht="17.25" customHeight="1">
      <c r="C396" s="47"/>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3:26" ht="17.25" customHeight="1">
      <c r="C397" s="47"/>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3:26" ht="17.25" customHeight="1">
      <c r="C398" s="47"/>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3:26" ht="17.25" customHeight="1">
      <c r="C399" s="47"/>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3:26" ht="17.25" customHeight="1">
      <c r="C400" s="47"/>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3:26" ht="17.25" customHeight="1">
      <c r="C401" s="47"/>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3:26" ht="17.25" customHeight="1">
      <c r="C402" s="47"/>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3:26" ht="17.25" customHeight="1">
      <c r="C403" s="47"/>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3:26" ht="17.25" customHeight="1">
      <c r="C404" s="47"/>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3:26" ht="17.25" customHeight="1">
      <c r="C405" s="47"/>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3:26" ht="17.25" customHeight="1">
      <c r="C406" s="47"/>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3:26" ht="17.25" customHeight="1">
      <c r="C407" s="47"/>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3:26" ht="17.25" customHeight="1">
      <c r="C408" s="47"/>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3:26" ht="17.25" customHeight="1">
      <c r="C409" s="47"/>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3:26" ht="17.25" customHeight="1">
      <c r="C410" s="47"/>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3:26" ht="17.25" customHeight="1">
      <c r="C411" s="47"/>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3:26" ht="17.25" customHeight="1">
      <c r="C412" s="47"/>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3:26" ht="17.25" customHeight="1">
      <c r="C413" s="47"/>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3:26" ht="17.25" customHeight="1">
      <c r="C414" s="47"/>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3:26" ht="17.25" customHeight="1">
      <c r="C415" s="47"/>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3:26" ht="17.25" customHeight="1">
      <c r="C416" s="47"/>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3:26" ht="17.25" customHeight="1">
      <c r="C417" s="47"/>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3:26" ht="17.25" customHeight="1">
      <c r="C418" s="47"/>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3:26" ht="17.25" customHeight="1">
      <c r="C419" s="47"/>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3:26" ht="17.25" customHeight="1">
      <c r="C420" s="47"/>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3:26" ht="17.25" customHeight="1">
      <c r="C421" s="47"/>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3:26" ht="17.25" customHeight="1">
      <c r="C422" s="47"/>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3:26" ht="17.25" customHeight="1">
      <c r="C423" s="47"/>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3:26" ht="17.25" customHeight="1">
      <c r="C424" s="47"/>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3:26" ht="17.25" customHeight="1">
      <c r="C425" s="47"/>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3:26" ht="17.25" customHeight="1">
      <c r="C426" s="47"/>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3:26" ht="17.25" customHeight="1">
      <c r="C427" s="47"/>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3:26" ht="17.25" customHeight="1">
      <c r="C428" s="47"/>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3:26" ht="17.25" customHeight="1">
      <c r="C429" s="47"/>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3:26" ht="17.25" customHeight="1">
      <c r="C430" s="47"/>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3:26" ht="17.25" customHeight="1">
      <c r="C431" s="47"/>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3:26" ht="17.25" customHeight="1">
      <c r="C432" s="47"/>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3:26" ht="17.25" customHeight="1">
      <c r="C433" s="47"/>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3:26" ht="17.25" customHeight="1">
      <c r="C434" s="47"/>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3:26" ht="17.25" customHeight="1">
      <c r="C435" s="47"/>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3:26" ht="17.25" customHeight="1">
      <c r="C436" s="47"/>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3:26" ht="17.25" customHeight="1">
      <c r="C437" s="47"/>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3:26" ht="17.25" customHeight="1">
      <c r="C438" s="47"/>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3:26" ht="17.25" customHeight="1">
      <c r="C439" s="47"/>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3:26" ht="17.25" customHeight="1">
      <c r="C440" s="47"/>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3:26" ht="17.25" customHeight="1">
      <c r="C441" s="47"/>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3:26" ht="17.25" customHeight="1">
      <c r="C442" s="47"/>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3:26" ht="17.25" customHeight="1">
      <c r="C443" s="47"/>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3:26" ht="17.25" customHeight="1">
      <c r="C444" s="47"/>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3:26" ht="17.25" customHeight="1">
      <c r="C445" s="47"/>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3:26" ht="17.25" customHeight="1">
      <c r="C446" s="47"/>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3:26" ht="17.25" customHeight="1">
      <c r="C447" s="47"/>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3:26" ht="17.25" customHeight="1">
      <c r="C448" s="47"/>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3:26" ht="17.25" customHeight="1">
      <c r="C449" s="47"/>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3:26" ht="17.25" customHeight="1">
      <c r="C450" s="47"/>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3:26" ht="17.25" customHeight="1">
      <c r="C451" s="47"/>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3:26" ht="17.25" customHeight="1">
      <c r="C452" s="47"/>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3:26" ht="17.25" customHeight="1">
      <c r="C453" s="47"/>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3:26" ht="17.25" customHeight="1">
      <c r="C454" s="47"/>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3:26" ht="17.25" customHeight="1">
      <c r="C455" s="47"/>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3:26" ht="17.25" customHeight="1">
      <c r="C456" s="47"/>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3:26" ht="17.25" customHeight="1">
      <c r="C457" s="47"/>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3:26" ht="17.25" customHeight="1">
      <c r="C458" s="47"/>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3:26" ht="17.25" customHeight="1">
      <c r="C459" s="47"/>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3:26" ht="17.25" customHeight="1">
      <c r="C460" s="47"/>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3:26" ht="17.25" customHeight="1">
      <c r="C461" s="47"/>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3:26" ht="17.25" customHeight="1">
      <c r="C462" s="47"/>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3:26" ht="17.25" customHeight="1">
      <c r="C463" s="47"/>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3:26" ht="17.25" customHeight="1">
      <c r="C464" s="47"/>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3:26" ht="17.25" customHeight="1">
      <c r="C465" s="47"/>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3:26" ht="17.25" customHeight="1">
      <c r="C466" s="47"/>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3:26" ht="17.25" customHeight="1">
      <c r="C467" s="47"/>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3:26" ht="17.25" customHeight="1">
      <c r="C468" s="47"/>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3:26" ht="17.25" customHeight="1">
      <c r="C469" s="47"/>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3:26" ht="17.25" customHeight="1">
      <c r="C470" s="47"/>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3:26" ht="17.25" customHeight="1">
      <c r="C471" s="47"/>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3:26" ht="17.25" customHeight="1">
      <c r="C472" s="47"/>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3:26" ht="17.25" customHeight="1">
      <c r="C473" s="47"/>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3:26" ht="17.25" customHeight="1">
      <c r="C474" s="47"/>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3:26" ht="17.25" customHeight="1">
      <c r="C475" s="47"/>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3:26" ht="17.25" customHeight="1">
      <c r="C476" s="47"/>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3:26" ht="17.25" customHeight="1">
      <c r="C477" s="47"/>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3:26" ht="17.25" customHeight="1">
      <c r="C478" s="47"/>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3:26" ht="17.25" customHeight="1">
      <c r="C479" s="47"/>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3:26" ht="17.25" customHeight="1">
      <c r="C480" s="47"/>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3:26" ht="17.25" customHeight="1">
      <c r="C481" s="47"/>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3:26" ht="17.25" customHeight="1">
      <c r="C482" s="47"/>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3:26" ht="17.25" customHeight="1">
      <c r="C483" s="47"/>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3:26" ht="17.25" customHeight="1">
      <c r="C484" s="47"/>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3:26" ht="17.25" customHeight="1">
      <c r="C485" s="47"/>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3:26" ht="17.25" customHeight="1">
      <c r="C486" s="47"/>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3:26" ht="17.25" customHeight="1">
      <c r="C487" s="47"/>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3:26" ht="17.25" customHeight="1">
      <c r="C488" s="47"/>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3:26" ht="17.25" customHeight="1">
      <c r="C489" s="47"/>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3:26" ht="17.25" customHeight="1">
      <c r="C490" s="47"/>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3:26" ht="17.25" customHeight="1">
      <c r="C491" s="47"/>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3:26" ht="17.25" customHeight="1">
      <c r="C492" s="47"/>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3:26" ht="17.25" customHeight="1">
      <c r="C493" s="47"/>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3:26" ht="17.25" customHeight="1">
      <c r="C494" s="47"/>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3:26" ht="17.25" customHeight="1">
      <c r="C495" s="47"/>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3:26" ht="17.25" customHeight="1">
      <c r="C496" s="47"/>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3:26" ht="17.25" customHeight="1">
      <c r="C497" s="47"/>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3:26" ht="17.25" customHeight="1">
      <c r="C498" s="47"/>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3:26" ht="17.25" customHeight="1">
      <c r="C499" s="47"/>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3:26" ht="17.25" customHeight="1">
      <c r="C500" s="47"/>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3:26" ht="17.25" customHeight="1">
      <c r="C501" s="47"/>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3:26" ht="17.25" customHeight="1">
      <c r="C502" s="47"/>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3:26" ht="17.25" customHeight="1">
      <c r="C503" s="47"/>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3:26" ht="17.25" customHeight="1">
      <c r="C504" s="47"/>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3:26" ht="17.25" customHeight="1">
      <c r="C505" s="47"/>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3:26" ht="17.25" customHeight="1">
      <c r="C506" s="47"/>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3:26" ht="17.25" customHeight="1">
      <c r="C507" s="47"/>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3:26" ht="17.25" customHeight="1">
      <c r="C508" s="47"/>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3:26" ht="17.25" customHeight="1">
      <c r="C509" s="47"/>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3:26" ht="17.25" customHeight="1">
      <c r="C510" s="47"/>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3:26" ht="17.25" customHeight="1">
      <c r="C511" s="47"/>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3:26" ht="17.25" customHeight="1">
      <c r="C512" s="47"/>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3:26" ht="17.25" customHeight="1">
      <c r="C513" s="47"/>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3:26" ht="17.25" customHeight="1">
      <c r="C514" s="47"/>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3:26" ht="17.25" customHeight="1">
      <c r="C515" s="47"/>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3:26" ht="17.25" customHeight="1">
      <c r="C516" s="47"/>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3:26" ht="17.25" customHeight="1">
      <c r="C517" s="47"/>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3:26" ht="17.25" customHeight="1">
      <c r="C518" s="47"/>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3:26" ht="17.25" customHeight="1">
      <c r="C519" s="47"/>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3:26" ht="17.25" customHeight="1">
      <c r="C520" s="47"/>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3:26" ht="17.25" customHeight="1">
      <c r="C521" s="47"/>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3:26" ht="17.25" customHeight="1">
      <c r="C522" s="47"/>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3:26" ht="17.25" customHeight="1">
      <c r="C523" s="47"/>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3:26" ht="17.25" customHeight="1">
      <c r="C524" s="47"/>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3:26" ht="17.25" customHeight="1">
      <c r="C525" s="47"/>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3:26" ht="17.25" customHeight="1">
      <c r="C526" s="47"/>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3:26" ht="17.25" customHeight="1">
      <c r="C527" s="47"/>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3:26" ht="17.25" customHeight="1">
      <c r="C528" s="47"/>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3:26" ht="17.25" customHeight="1">
      <c r="C529" s="47"/>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3:26" ht="17.25" customHeight="1">
      <c r="C530" s="47"/>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3:26" ht="17.25" customHeight="1">
      <c r="C531" s="47"/>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3:26" ht="17.25" customHeight="1">
      <c r="C532" s="47"/>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3:26" ht="17.25" customHeight="1">
      <c r="C533" s="47"/>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3:26" ht="17.25" customHeight="1">
      <c r="C534" s="47"/>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3:26" ht="17.25" customHeight="1">
      <c r="C535" s="47"/>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3:26" ht="17.25" customHeight="1">
      <c r="C536" s="47"/>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3:26" ht="17.25" customHeight="1">
      <c r="C537" s="47"/>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3:26" ht="17.25" customHeight="1">
      <c r="C538" s="47"/>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3:26" ht="17.25" customHeight="1">
      <c r="C539" s="47"/>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3:26" ht="17.25" customHeight="1">
      <c r="C540" s="47"/>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3:26" ht="17.25" customHeight="1">
      <c r="C541" s="47"/>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3:26" ht="17.25" customHeight="1">
      <c r="C542" s="47"/>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3:26" ht="17.25" customHeight="1">
      <c r="C543" s="47"/>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3:26" ht="17.25" customHeight="1">
      <c r="C544" s="47"/>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3:26" ht="17.25" customHeight="1">
      <c r="C545" s="47"/>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3:26" ht="17.25" customHeight="1">
      <c r="C546" s="47"/>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3:26" ht="17.25" customHeight="1">
      <c r="C547" s="47"/>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3:26" ht="17.25" customHeight="1">
      <c r="C548" s="47"/>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3:26" ht="17.25" customHeight="1">
      <c r="C549" s="47"/>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3:26" ht="17.25" customHeight="1">
      <c r="C550" s="47"/>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3:26" ht="17.25" customHeight="1">
      <c r="C551" s="47"/>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3:26" ht="17.25" customHeight="1">
      <c r="C552" s="47"/>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3:26" ht="17.25" customHeight="1">
      <c r="C553" s="47"/>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3:26" ht="17.25" customHeight="1">
      <c r="C554" s="47"/>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3:26" ht="17.25" customHeight="1">
      <c r="C555" s="47"/>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3:26" ht="17.25" customHeight="1">
      <c r="C556" s="47"/>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3:26" ht="17.25" customHeight="1">
      <c r="C557" s="47"/>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3:26" ht="17.25" customHeight="1">
      <c r="C558" s="47"/>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3:26" ht="17.25" customHeight="1">
      <c r="C559" s="47"/>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3:26" ht="17.25" customHeight="1">
      <c r="C560" s="47"/>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3:26" ht="17.25" customHeight="1">
      <c r="C561" s="47"/>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3:26" ht="17.25" customHeight="1">
      <c r="C562" s="47"/>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3:26" ht="17.25" customHeight="1">
      <c r="C563" s="47"/>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3:26" ht="17.25" customHeight="1">
      <c r="C564" s="47"/>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3:26" ht="17.25" customHeight="1">
      <c r="C565" s="47"/>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3:26" ht="17.25" customHeight="1">
      <c r="C566" s="47"/>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3:26" ht="17.25" customHeight="1">
      <c r="C567" s="47"/>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3:26" ht="17.25" customHeight="1">
      <c r="C568" s="47"/>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3:26" ht="17.25" customHeight="1">
      <c r="C569" s="47"/>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3:26" ht="17.25" customHeight="1">
      <c r="C570" s="47"/>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3:26" ht="17.25" customHeight="1">
      <c r="C571" s="47"/>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3:26" ht="17.25" customHeight="1">
      <c r="C572" s="47"/>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3:26" ht="17.25" customHeight="1">
      <c r="C573" s="47"/>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3:26" ht="17.25" customHeight="1">
      <c r="C574" s="47"/>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3:26" ht="17.25" customHeight="1">
      <c r="C575" s="47"/>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3:26" ht="17.25" customHeight="1">
      <c r="C576" s="47"/>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3:26" ht="17.25" customHeight="1">
      <c r="C577" s="47"/>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3:26" ht="17.25" customHeight="1">
      <c r="C578" s="47"/>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3:26" ht="17.25" customHeight="1">
      <c r="C579" s="47"/>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3:26" ht="17.25" customHeight="1">
      <c r="C580" s="47"/>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3:26" ht="17.25" customHeight="1">
      <c r="C581" s="47"/>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3:26" ht="17.25" customHeight="1">
      <c r="C582" s="47"/>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3:26" ht="17.25" customHeight="1">
      <c r="C583" s="47"/>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3:26" ht="17.25" customHeight="1">
      <c r="C584" s="47"/>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3:26" ht="17.25" customHeight="1">
      <c r="C585" s="47"/>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3:26" ht="17.25" customHeight="1">
      <c r="C586" s="47"/>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3:26" ht="17.25" customHeight="1">
      <c r="C587" s="47"/>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3:26" ht="17.25" customHeight="1">
      <c r="C588" s="47"/>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3:26" ht="17.25" customHeight="1">
      <c r="C589" s="47"/>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3:26" ht="17.25" customHeight="1">
      <c r="C590" s="47"/>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3:26" ht="17.25" customHeight="1">
      <c r="C591" s="47"/>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3:26" ht="17.25" customHeight="1">
      <c r="C592" s="47"/>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3:26" ht="17.25" customHeight="1">
      <c r="C593" s="47"/>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3:26" ht="17.25" customHeight="1">
      <c r="C594" s="47"/>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3:26" ht="17.25" customHeight="1">
      <c r="C595" s="47"/>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3:26" ht="17.25" customHeight="1">
      <c r="C596" s="47"/>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3:26" ht="17.25" customHeight="1">
      <c r="C597" s="47"/>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3:26" ht="17.25" customHeight="1">
      <c r="C598" s="47"/>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3:26" ht="17.25" customHeight="1">
      <c r="C599" s="47"/>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3:26" ht="17.25" customHeight="1">
      <c r="C600" s="47"/>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3:26" ht="17.25" customHeight="1">
      <c r="C601" s="47"/>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3:26" ht="17.25" customHeight="1">
      <c r="C602" s="47"/>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3:26" ht="17.25" customHeight="1">
      <c r="C603" s="47"/>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3:26" ht="17.25" customHeight="1">
      <c r="C604" s="47"/>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3:26" ht="17.25" customHeight="1">
      <c r="C605" s="47"/>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3:26" ht="17.25" customHeight="1">
      <c r="C606" s="47"/>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3:26" ht="17.25" customHeight="1">
      <c r="C607" s="47"/>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3:26" ht="17.25" customHeight="1">
      <c r="C608" s="47"/>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3:26" ht="17.25" customHeight="1">
      <c r="C609" s="47"/>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3:26" ht="17.25" customHeight="1">
      <c r="C610" s="47"/>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3:26" ht="17.25" customHeight="1">
      <c r="C611" s="47"/>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3:26" ht="17.25" customHeight="1">
      <c r="C612" s="47"/>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3:26" ht="17.25" customHeight="1">
      <c r="C613" s="47"/>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3:26" ht="17.25" customHeight="1">
      <c r="C614" s="47"/>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3:26" ht="17.25" customHeight="1">
      <c r="C615" s="47"/>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3:26" ht="17.25" customHeight="1">
      <c r="C616" s="47"/>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3:26" ht="17.25" customHeight="1">
      <c r="C617" s="47"/>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3:26" ht="17.25" customHeight="1">
      <c r="C618" s="47"/>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3:26" ht="17.25" customHeight="1">
      <c r="C619" s="47"/>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3:26" ht="17.25" customHeight="1">
      <c r="C620" s="47"/>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3:26" ht="17.25" customHeight="1">
      <c r="C621" s="47"/>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3:26" ht="17.25" customHeight="1">
      <c r="C622" s="47"/>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3:26" ht="17.25" customHeight="1">
      <c r="C623" s="47"/>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3:26" ht="17.25" customHeight="1">
      <c r="C624" s="47"/>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3:26" ht="17.25" customHeight="1">
      <c r="C625" s="47"/>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3:26" ht="17.25" customHeight="1">
      <c r="C626" s="47"/>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3:26" ht="17.25" customHeight="1">
      <c r="C627" s="47"/>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3:26" ht="17.25" customHeight="1">
      <c r="C628" s="47"/>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3:26" ht="17.25" customHeight="1">
      <c r="C629" s="47"/>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3:26" ht="17.25" customHeight="1">
      <c r="C630" s="47"/>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3:26" ht="17.25" customHeight="1">
      <c r="C631" s="47"/>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3:26" ht="17.25" customHeight="1">
      <c r="C632" s="47"/>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3:26" ht="17.25" customHeight="1">
      <c r="C633" s="47"/>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3:26" ht="17.25" customHeight="1">
      <c r="C634" s="47"/>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3:26" ht="17.25" customHeight="1">
      <c r="C635" s="47"/>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3:26" ht="17.25" customHeight="1">
      <c r="C636" s="47"/>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3:26" ht="17.25" customHeight="1">
      <c r="C637" s="47"/>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3:26" ht="17.25" customHeight="1">
      <c r="C638" s="47"/>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3:26" ht="17.25" customHeight="1">
      <c r="C639" s="47"/>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3:26" ht="17.25" customHeight="1">
      <c r="C640" s="47"/>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3:26" ht="17.25" customHeight="1">
      <c r="C641" s="47"/>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3:26" ht="17.25" customHeight="1">
      <c r="C642" s="47"/>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3:26" ht="17.25" customHeight="1">
      <c r="C643" s="47"/>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3:26" ht="17.25" customHeight="1">
      <c r="C644" s="47"/>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3:26" ht="17.25" customHeight="1">
      <c r="C645" s="47"/>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3:26" ht="17.25" customHeight="1">
      <c r="C646" s="47"/>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3:26" ht="17.25" customHeight="1">
      <c r="C647" s="47"/>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3:26" ht="17.25" customHeight="1">
      <c r="C648" s="47"/>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3:26" ht="17.25" customHeight="1">
      <c r="C649" s="47"/>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3:26" ht="17.25" customHeight="1">
      <c r="C650" s="47"/>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3:26" ht="17.25" customHeight="1">
      <c r="C651" s="47"/>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3:26" ht="17.25" customHeight="1">
      <c r="C652" s="47"/>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3:26" ht="17.25" customHeight="1">
      <c r="C653" s="47"/>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3:26" ht="17.25" customHeight="1">
      <c r="C654" s="47"/>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3:26" ht="17.25" customHeight="1">
      <c r="C655" s="47"/>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3:26" ht="17.25" customHeight="1">
      <c r="C656" s="47"/>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3:26" ht="17.25" customHeight="1">
      <c r="C657" s="47"/>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3:26" ht="17.25" customHeight="1">
      <c r="C658" s="47"/>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3:26" ht="17.25" customHeight="1">
      <c r="C659" s="47"/>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3:26" ht="17.25" customHeight="1">
      <c r="C660" s="47"/>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3:26" ht="17.25" customHeight="1">
      <c r="C661" s="47"/>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3:26" ht="17.25" customHeight="1">
      <c r="C662" s="47"/>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3:26" ht="17.25" customHeight="1">
      <c r="C663" s="47"/>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3:26" ht="17.25" customHeight="1">
      <c r="C664" s="47"/>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3:26" ht="17.25" customHeight="1">
      <c r="C665" s="47"/>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3:26" ht="17.25" customHeight="1">
      <c r="C666" s="47"/>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3:26" ht="17.25" customHeight="1">
      <c r="C667" s="47"/>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3:26" ht="17.25" customHeight="1">
      <c r="C668" s="47"/>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3:26" ht="17.25" customHeight="1">
      <c r="C669" s="47"/>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3:26" ht="17.25" customHeight="1">
      <c r="C670" s="47"/>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3:26" ht="17.25" customHeight="1">
      <c r="C671" s="47"/>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3:26" ht="17.25" customHeight="1">
      <c r="C672" s="47"/>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3:26" ht="17.25" customHeight="1">
      <c r="C673" s="47"/>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3:26" ht="17.25" customHeight="1">
      <c r="C674" s="47"/>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3:26" ht="17.25" customHeight="1">
      <c r="C675" s="47"/>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3:26" ht="17.25" customHeight="1">
      <c r="C676" s="47"/>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3:26" ht="17.25" customHeight="1">
      <c r="C677" s="47"/>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3:26" ht="17.25" customHeight="1">
      <c r="C678" s="47"/>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3:26" ht="17.25" customHeight="1">
      <c r="C679" s="47"/>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3:26" ht="17.25" customHeight="1">
      <c r="C680" s="47"/>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3:26" ht="17.25" customHeight="1">
      <c r="C681" s="47"/>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3:26" ht="17.25" customHeight="1">
      <c r="C682" s="47"/>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3:26" ht="17.25" customHeight="1">
      <c r="C683" s="47"/>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3:26" ht="17.25" customHeight="1">
      <c r="C684" s="47"/>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3:26" ht="17.25" customHeight="1">
      <c r="C685" s="47"/>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3:26" ht="17.25" customHeight="1">
      <c r="C686" s="47"/>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3:26" ht="17.25" customHeight="1">
      <c r="C687" s="47"/>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3:26" ht="17.25" customHeight="1">
      <c r="C688" s="47"/>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3:26" ht="17.25" customHeight="1">
      <c r="C689" s="47"/>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3:26" ht="17.25" customHeight="1">
      <c r="C690" s="47"/>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3:26" ht="17.25" customHeight="1">
      <c r="C691" s="47"/>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3:26" ht="17.25" customHeight="1">
      <c r="C692" s="47"/>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3:26" ht="17.25" customHeight="1">
      <c r="C693" s="47"/>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3:26" ht="17.25" customHeight="1">
      <c r="C694" s="47"/>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3:26" ht="17.25" customHeight="1">
      <c r="C695" s="47"/>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3:26" ht="17.25" customHeight="1">
      <c r="C696" s="47"/>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3:26" ht="17.25" customHeight="1">
      <c r="C697" s="47"/>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3:26" ht="17.25" customHeight="1">
      <c r="C698" s="47"/>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3:26" ht="17.25" customHeight="1">
      <c r="C699" s="47"/>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3:26" ht="17.25" customHeight="1">
      <c r="C700" s="47"/>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3:26" ht="17.25" customHeight="1">
      <c r="C701" s="47"/>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3:26" ht="17.25" customHeight="1">
      <c r="C702" s="47"/>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3:26" ht="17.25" customHeight="1">
      <c r="C703" s="47"/>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3:26" ht="17.25" customHeight="1">
      <c r="C704" s="47"/>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3:26" ht="17.25" customHeight="1">
      <c r="C705" s="47"/>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3:26" ht="17.25" customHeight="1">
      <c r="C706" s="47"/>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3:26" ht="17.25" customHeight="1">
      <c r="C707" s="47"/>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3:26" ht="17.25" customHeight="1">
      <c r="C708" s="47"/>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3:26" ht="17.25" customHeight="1">
      <c r="C709" s="47"/>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3:26" ht="17.25" customHeight="1">
      <c r="C710" s="47"/>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3:26" ht="17.25" customHeight="1">
      <c r="C711" s="47"/>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3:26" ht="17.25" customHeight="1">
      <c r="C712" s="47"/>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3:26" ht="17.25" customHeight="1">
      <c r="C713" s="47"/>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3:26" ht="17.25" customHeight="1">
      <c r="C714" s="47"/>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3:26" ht="17.25" customHeight="1">
      <c r="C715" s="47"/>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3:26" ht="17.25" customHeight="1">
      <c r="C716" s="47"/>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3:26" ht="17.25" customHeight="1">
      <c r="C717" s="47"/>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3:26" ht="17.25" customHeight="1">
      <c r="C718" s="47"/>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3:26" ht="17.25" customHeight="1">
      <c r="C719" s="47"/>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3:26" ht="17.25" customHeight="1">
      <c r="C720" s="47"/>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3:26" ht="17.25" customHeight="1">
      <c r="C721" s="47"/>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3:26" ht="17.25" customHeight="1">
      <c r="C722" s="47"/>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3:26" ht="17.25" customHeight="1">
      <c r="C723" s="47"/>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3:26" ht="17.25" customHeight="1">
      <c r="C724" s="47"/>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3:26" ht="17.25" customHeight="1">
      <c r="C725" s="47"/>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3:26" ht="17.25" customHeight="1">
      <c r="C726" s="47"/>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3:26" ht="17.25" customHeight="1">
      <c r="C727" s="47"/>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3:26" ht="17.25" customHeight="1">
      <c r="C728" s="47"/>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3:26" ht="17.25" customHeight="1">
      <c r="C729" s="47"/>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3:26" ht="17.25" customHeight="1">
      <c r="C730" s="47"/>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3:26" ht="17.25" customHeight="1">
      <c r="C731" s="47"/>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3:26" ht="17.25" customHeight="1">
      <c r="C732" s="47"/>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3:26" ht="17.25" customHeight="1">
      <c r="C733" s="47"/>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3:26" ht="17.25" customHeight="1">
      <c r="C734" s="47"/>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3:26" ht="17.25" customHeight="1">
      <c r="C735" s="47"/>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3:26" ht="17.25" customHeight="1">
      <c r="C736" s="47"/>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3:26" ht="17.25" customHeight="1">
      <c r="C737" s="47"/>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3:26" ht="17.25" customHeight="1">
      <c r="C738" s="47"/>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3:26" ht="17.25" customHeight="1">
      <c r="C739" s="47"/>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3:26" ht="17.25" customHeight="1">
      <c r="C740" s="47"/>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3:26" ht="17.25" customHeight="1">
      <c r="C741" s="47"/>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3:26" ht="17.25" customHeight="1">
      <c r="C742" s="47"/>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3:26" ht="17.25" customHeight="1">
      <c r="C743" s="47"/>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3:26" ht="17.25" customHeight="1">
      <c r="C744" s="47"/>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3:26" ht="17.25" customHeight="1">
      <c r="C745" s="47"/>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3:26" ht="17.25" customHeight="1">
      <c r="C746" s="47"/>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3:26" ht="17.25" customHeight="1">
      <c r="C747" s="47"/>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3:26" ht="17.25" customHeight="1">
      <c r="C748" s="47"/>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3:26" ht="17.25" customHeight="1">
      <c r="C749" s="47"/>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3:26" ht="17.25" customHeight="1">
      <c r="C750" s="47"/>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3:26" ht="17.25" customHeight="1">
      <c r="C751" s="47"/>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3:26" ht="17.25" customHeight="1">
      <c r="C752" s="47"/>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3:26" ht="17.25" customHeight="1">
      <c r="C753" s="47"/>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3:26" ht="17.25" customHeight="1">
      <c r="C754" s="47"/>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3:26" ht="17.25" customHeight="1">
      <c r="C755" s="47"/>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3:26" ht="17.25" customHeight="1">
      <c r="C756" s="47"/>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3:26" ht="17.25" customHeight="1">
      <c r="C757" s="47"/>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3:26" ht="17.25" customHeight="1">
      <c r="C758" s="47"/>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3:26" ht="17.25" customHeight="1">
      <c r="C759" s="47"/>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3:26" ht="17.25" customHeight="1">
      <c r="C760" s="47"/>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3:26" ht="17.25" customHeight="1">
      <c r="C761" s="47"/>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3:26" ht="17.25" customHeight="1">
      <c r="C762" s="47"/>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3:26" ht="17.25" customHeight="1">
      <c r="C763" s="47"/>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3:26" ht="17.25" customHeight="1">
      <c r="C764" s="47"/>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3:26" ht="17.25" customHeight="1">
      <c r="C765" s="47"/>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3:26" ht="17.25" customHeight="1">
      <c r="C766" s="47"/>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3:26" ht="17.25" customHeight="1">
      <c r="C767" s="47"/>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3:26" ht="17.25" customHeight="1">
      <c r="C768" s="47"/>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3:26" ht="17.25" customHeight="1">
      <c r="C769" s="47"/>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3:26" ht="17.25" customHeight="1">
      <c r="C770" s="47"/>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3:26" ht="17.25" customHeight="1">
      <c r="C771" s="47"/>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3:26" ht="17.25" customHeight="1">
      <c r="C772" s="47"/>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3:26" ht="17.25" customHeight="1">
      <c r="C773" s="47"/>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3:26" ht="17.25" customHeight="1">
      <c r="C774" s="47"/>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3:26" ht="17.25" customHeight="1">
      <c r="C775" s="47"/>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3:26" ht="17.25" customHeight="1">
      <c r="C776" s="47"/>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3:26" ht="17.25" customHeight="1">
      <c r="C777" s="47"/>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3:26" ht="17.25" customHeight="1">
      <c r="C778" s="47"/>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3:26" ht="17.25" customHeight="1">
      <c r="C779" s="47"/>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3:26" ht="17.25" customHeight="1">
      <c r="C780" s="47"/>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3:26" ht="17.25" customHeight="1">
      <c r="C781" s="47"/>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3:26" ht="17.25" customHeight="1">
      <c r="C782" s="47"/>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3:26" ht="17.25" customHeight="1">
      <c r="C783" s="47"/>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3:26" ht="17.25" customHeight="1">
      <c r="C784" s="47"/>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3:26" ht="17.25" customHeight="1">
      <c r="C785" s="47"/>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3:26" ht="17.25" customHeight="1">
      <c r="C786" s="47"/>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3:26" ht="17.25" customHeight="1">
      <c r="C787" s="47"/>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3:26" ht="17.25" customHeight="1">
      <c r="C788" s="47"/>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3:26" ht="17.25" customHeight="1">
      <c r="C789" s="47"/>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3:26" ht="17.25" customHeight="1">
      <c r="C790" s="47"/>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3:26" ht="17.25" customHeight="1">
      <c r="C791" s="47"/>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3:26" ht="17.25" customHeight="1">
      <c r="C792" s="47"/>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3:26" ht="17.25" customHeight="1">
      <c r="C793" s="47"/>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3:26" ht="17.25" customHeight="1">
      <c r="C794" s="47"/>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3:26" ht="17.25" customHeight="1">
      <c r="C795" s="47"/>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3:26" ht="17.25" customHeight="1">
      <c r="C796" s="47"/>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3:26" ht="17.25" customHeight="1">
      <c r="C797" s="47"/>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3:26" ht="17.25" customHeight="1">
      <c r="C798" s="47"/>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3:26" ht="17.25" customHeight="1">
      <c r="C799" s="47"/>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3:26" ht="17.25" customHeight="1">
      <c r="C800" s="47"/>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3:26" ht="17.25" customHeight="1">
      <c r="C801" s="47"/>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3:26" ht="17.25" customHeight="1">
      <c r="C802" s="47"/>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3:26" ht="17.25" customHeight="1">
      <c r="C803" s="47"/>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3:26" ht="17.25" customHeight="1">
      <c r="C804" s="47"/>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3:26" ht="17.25" customHeight="1">
      <c r="C805" s="47"/>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3:26" ht="17.25" customHeight="1">
      <c r="C806" s="47"/>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3:26" ht="17.25" customHeight="1">
      <c r="C807" s="47"/>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3:26" ht="17.25" customHeight="1">
      <c r="C808" s="47"/>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3:26" ht="17.25" customHeight="1">
      <c r="C809" s="47"/>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3:26" ht="17.25" customHeight="1">
      <c r="C810" s="47"/>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3:26" ht="17.25" customHeight="1">
      <c r="C811" s="47"/>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3:26" ht="17.25" customHeight="1">
      <c r="C812" s="47"/>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3:26" ht="17.25" customHeight="1">
      <c r="C813" s="47"/>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3:26" ht="17.25" customHeight="1">
      <c r="C814" s="47"/>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3:26" ht="17.25" customHeight="1">
      <c r="C815" s="47"/>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3:26" ht="17.25" customHeight="1">
      <c r="C816" s="47"/>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3:26" ht="17.25" customHeight="1">
      <c r="C817" s="47"/>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3:26" ht="17.25" customHeight="1">
      <c r="C818" s="47"/>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3:26" ht="17.25" customHeight="1">
      <c r="C819" s="47"/>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3:26" ht="17.25" customHeight="1">
      <c r="C820" s="47"/>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3:26" ht="17.25" customHeight="1">
      <c r="C821" s="47"/>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3:26" ht="17.25" customHeight="1">
      <c r="C822" s="47"/>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3:26" ht="17.25" customHeight="1">
      <c r="C823" s="47"/>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3:26" ht="17.25" customHeight="1">
      <c r="C824" s="47"/>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3:26" ht="17.25" customHeight="1">
      <c r="C825" s="47"/>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3:26" ht="17.25" customHeight="1">
      <c r="C826" s="47"/>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3:26" ht="17.25" customHeight="1">
      <c r="C827" s="47"/>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3:26" ht="17.25" customHeight="1">
      <c r="C828" s="47"/>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3:26" ht="17.25" customHeight="1">
      <c r="C829" s="47"/>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3:26" ht="17.25" customHeight="1">
      <c r="C830" s="47"/>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3:26" ht="17.25" customHeight="1">
      <c r="C831" s="47"/>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3:26" ht="17.25" customHeight="1">
      <c r="C832" s="47"/>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3:26" ht="17.25" customHeight="1">
      <c r="C833" s="47"/>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3:26" ht="17.25" customHeight="1">
      <c r="C834" s="47"/>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3:26" ht="17.25" customHeight="1">
      <c r="C835" s="47"/>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3:26" ht="17.25" customHeight="1">
      <c r="C836" s="47"/>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3:26" ht="17.25" customHeight="1">
      <c r="C837" s="47"/>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3:26" ht="17.25" customHeight="1">
      <c r="C838" s="47"/>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3:26" ht="17.25" customHeight="1">
      <c r="C839" s="47"/>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3:26" ht="17.25" customHeight="1">
      <c r="C840" s="47"/>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3:26" ht="17.25" customHeight="1">
      <c r="C841" s="47"/>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3:26" ht="17.25" customHeight="1">
      <c r="C842" s="47"/>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3:26" ht="17.25" customHeight="1">
      <c r="C843" s="47"/>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3:26" ht="17.25" customHeight="1">
      <c r="C844" s="47"/>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3:26" ht="17.25" customHeight="1">
      <c r="C845" s="47"/>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3:26" ht="17.25" customHeight="1">
      <c r="C846" s="47"/>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3:26" ht="17.25" customHeight="1">
      <c r="C847" s="47"/>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3:26" ht="17.25" customHeight="1">
      <c r="C848" s="47"/>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3:26" ht="17.25" customHeight="1">
      <c r="C849" s="47"/>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3:26" ht="17.25" customHeight="1">
      <c r="C850" s="47"/>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3:26" ht="17.25" customHeight="1">
      <c r="C851" s="47"/>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3:26" ht="17.25" customHeight="1">
      <c r="C852" s="47"/>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3:26" ht="17.25" customHeight="1">
      <c r="C853" s="47"/>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3:26" ht="17.25" customHeight="1">
      <c r="C854" s="47"/>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3:26" ht="17.25" customHeight="1">
      <c r="C855" s="47"/>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3:26" ht="17.25" customHeight="1">
      <c r="C856" s="47"/>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3:26" ht="17.25" customHeight="1">
      <c r="C857" s="47"/>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3:26" ht="17.25" customHeight="1">
      <c r="C858" s="47"/>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3:26" ht="17.25" customHeight="1">
      <c r="C859" s="47"/>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3:26" ht="17.25" customHeight="1">
      <c r="C860" s="47"/>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3:26" ht="17.25" customHeight="1">
      <c r="C861" s="47"/>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3:26" ht="17.25" customHeight="1">
      <c r="C862" s="47"/>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3:26" ht="17.25" customHeight="1">
      <c r="C863" s="47"/>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3:26" ht="17.25" customHeight="1">
      <c r="C864" s="47"/>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3:26" ht="17.25" customHeight="1">
      <c r="C865" s="47"/>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3:26" ht="17.25" customHeight="1">
      <c r="C866" s="47"/>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3:26" ht="17.25" customHeight="1">
      <c r="C867" s="47"/>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3:26" ht="17.25" customHeight="1">
      <c r="C868" s="47"/>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3:26" ht="17.25" customHeight="1">
      <c r="C869" s="47"/>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3:26" ht="17.25" customHeight="1">
      <c r="C870" s="47"/>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3:26" ht="17.25" customHeight="1">
      <c r="C871" s="47"/>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3:26" ht="17.25" customHeight="1">
      <c r="C872" s="47"/>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3:26" ht="17.25" customHeight="1">
      <c r="C873" s="47"/>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3:26" ht="17.25" customHeight="1">
      <c r="C874" s="47"/>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3:26" ht="17.25" customHeight="1">
      <c r="C875" s="47"/>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3:26" ht="17.25" customHeight="1">
      <c r="C876" s="47"/>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3:26" ht="17.25" customHeight="1">
      <c r="C877" s="47"/>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3:26" ht="17.25" customHeight="1">
      <c r="C878" s="47"/>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3:26" ht="17.25" customHeight="1">
      <c r="C879" s="47"/>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3:26" ht="17.25" customHeight="1">
      <c r="C880" s="47"/>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3:26" ht="17.25" customHeight="1">
      <c r="C881" s="47"/>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3:26" ht="17.25" customHeight="1">
      <c r="C882" s="47"/>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3:26" ht="17.25" customHeight="1">
      <c r="C883" s="47"/>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3:26" ht="17.25" customHeight="1">
      <c r="C884" s="47"/>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3:26" ht="17.25" customHeight="1">
      <c r="C885" s="47"/>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3:26" ht="17.25" customHeight="1">
      <c r="C886" s="47"/>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3:26" ht="17.25" customHeight="1">
      <c r="C887" s="47"/>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3:26" ht="17.25" customHeight="1">
      <c r="C888" s="47"/>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3:26" ht="17.25" customHeight="1">
      <c r="C889" s="47"/>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3:26" ht="17.25" customHeight="1">
      <c r="C890" s="47"/>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3:26" ht="17.25" customHeight="1">
      <c r="C891" s="47"/>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3:26" ht="17.25" customHeight="1">
      <c r="C892" s="47"/>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3:26" ht="17.25" customHeight="1">
      <c r="C893" s="47"/>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3:26" ht="17.25" customHeight="1">
      <c r="C894" s="47"/>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3:26" ht="17.25" customHeight="1">
      <c r="C895" s="47"/>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3:26" ht="17.25" customHeight="1">
      <c r="C896" s="47"/>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3:26" ht="17.25" customHeight="1">
      <c r="C897" s="47"/>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3:26" ht="17.25" customHeight="1">
      <c r="C898" s="47"/>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3:26" ht="17.25" customHeight="1">
      <c r="C899" s="47"/>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3:26" ht="17.25" customHeight="1">
      <c r="C900" s="47"/>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3:26" ht="17.25" customHeight="1">
      <c r="C901" s="47"/>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3:26" ht="17.25" customHeight="1">
      <c r="C902" s="47"/>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3:26" ht="17.25" customHeight="1">
      <c r="C903" s="47"/>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3:26" ht="17.25" customHeight="1">
      <c r="C904" s="47"/>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3:26" ht="17.25" customHeight="1">
      <c r="C905" s="47"/>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3:26" ht="17.25" customHeight="1">
      <c r="C906" s="47"/>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3:26" ht="17.25" customHeight="1">
      <c r="C907" s="47"/>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3:26" ht="17.25" customHeight="1">
      <c r="C908" s="47"/>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3:26" ht="17.25" customHeight="1">
      <c r="C909" s="47"/>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3:26" ht="17.25" customHeight="1">
      <c r="C910" s="47"/>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3:26" ht="17.25" customHeight="1">
      <c r="C911" s="47"/>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3:26" ht="17.25" customHeight="1">
      <c r="C912" s="47"/>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3:26" ht="17.25" customHeight="1">
      <c r="C913" s="47"/>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3:26" ht="17.25" customHeight="1">
      <c r="C914" s="47"/>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3:26" ht="17.25" customHeight="1">
      <c r="C915" s="47"/>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3:26" ht="17.25" customHeight="1">
      <c r="C916" s="47"/>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3:26" ht="17.25" customHeight="1">
      <c r="C917" s="47"/>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3:26" ht="17.25" customHeight="1">
      <c r="C918" s="47"/>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3:26" ht="17.25" customHeight="1">
      <c r="C919" s="47"/>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3:26" ht="17.25" customHeight="1">
      <c r="C920" s="47"/>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3:26" ht="17.25" customHeight="1">
      <c r="C921" s="47"/>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3:26" ht="17.25" customHeight="1">
      <c r="C922" s="47"/>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3:26" ht="17.25" customHeight="1">
      <c r="C923" s="47"/>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3:26" ht="17.25" customHeight="1">
      <c r="C924" s="47"/>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3:26" ht="17.25" customHeight="1">
      <c r="C925" s="47"/>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3:26" ht="17.25" customHeight="1">
      <c r="C926" s="47"/>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3:26" ht="17.25" customHeight="1">
      <c r="C927" s="47"/>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3:26" ht="17.25" customHeight="1">
      <c r="C928" s="47"/>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3:26" ht="17.25" customHeight="1">
      <c r="C929" s="47"/>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3:26" ht="17.25" customHeight="1">
      <c r="C930" s="47"/>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3:26" ht="17.25" customHeight="1">
      <c r="C931" s="47"/>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3:26" ht="17.25" customHeight="1">
      <c r="C932" s="47"/>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3:26" ht="17.25" customHeight="1">
      <c r="C933" s="47"/>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3:26" ht="17.25" customHeight="1">
      <c r="C934" s="47"/>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3:26" ht="17.25" customHeight="1">
      <c r="C935" s="47"/>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3:26" ht="17.25" customHeight="1">
      <c r="C936" s="47"/>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3:26" ht="17.25" customHeight="1">
      <c r="C937" s="47"/>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3:26" ht="17.25" customHeight="1">
      <c r="C938" s="47"/>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3:26" ht="17.25" customHeight="1">
      <c r="C939" s="47"/>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3:26" ht="17.25" customHeight="1">
      <c r="C940" s="47"/>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3:26" ht="17.25" customHeight="1">
      <c r="C941" s="47"/>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3:26" ht="17.25" customHeight="1">
      <c r="C942" s="47"/>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3:26" ht="17.25" customHeight="1">
      <c r="C943" s="47"/>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3:26" ht="17.25" customHeight="1">
      <c r="C944" s="47"/>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3:26" ht="17.25" customHeight="1">
      <c r="C945" s="47"/>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3:26" ht="17.25" customHeight="1">
      <c r="C946" s="47"/>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3:26" ht="17.25" customHeight="1">
      <c r="C947" s="47"/>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3:26" ht="17.25" customHeight="1">
      <c r="C948" s="47"/>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3:26" ht="17.25" customHeight="1">
      <c r="C949" s="47"/>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3:26" ht="17.25" customHeight="1">
      <c r="C950" s="47"/>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3:26" ht="17.25" customHeight="1">
      <c r="C951" s="47"/>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3:26" ht="17.25" customHeight="1">
      <c r="C952" s="47"/>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3:26" ht="17.25" customHeight="1">
      <c r="C953" s="47"/>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3:26" ht="17.25" customHeight="1">
      <c r="C954" s="47"/>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3:26" ht="17.25" customHeight="1">
      <c r="C955" s="47"/>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3:26" ht="17.25" customHeight="1">
      <c r="C956" s="47"/>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3:26" ht="17.25" customHeight="1">
      <c r="C957" s="47"/>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3:26" ht="17.25" customHeight="1">
      <c r="C958" s="47"/>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3:26" ht="17.25" customHeight="1">
      <c r="C959" s="47"/>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3:26" ht="17.25" customHeight="1">
      <c r="C960" s="47"/>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3:26" ht="17.25" customHeight="1">
      <c r="C961" s="47"/>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3:26" ht="17.25" customHeight="1">
      <c r="C962" s="47"/>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3:26" ht="17.25" customHeight="1">
      <c r="C963" s="47"/>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3:26" ht="17.25" customHeight="1">
      <c r="C964" s="47"/>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3:26" ht="17.25" customHeight="1">
      <c r="C965" s="47"/>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3:26" ht="17.25" customHeight="1">
      <c r="C966" s="47"/>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3:26" ht="17.25" customHeight="1">
      <c r="C967" s="47"/>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3:26" ht="17.25" customHeight="1">
      <c r="C968" s="47"/>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3:26" ht="17.25" customHeight="1">
      <c r="C969" s="47"/>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3:26" ht="17.25" customHeight="1">
      <c r="C970" s="47"/>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3:26" ht="17.25" customHeight="1">
      <c r="C971" s="47"/>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3:26" ht="17.25" customHeight="1">
      <c r="C972" s="47"/>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3:26" ht="17.25" customHeight="1">
      <c r="C973" s="47"/>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3:26" ht="17.25" customHeight="1">
      <c r="C974" s="47"/>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3:26" ht="17.25" customHeight="1">
      <c r="C975" s="47"/>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3:26" ht="17.25" customHeight="1">
      <c r="C976" s="47"/>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3:26" ht="17.25" customHeight="1">
      <c r="C977" s="47"/>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3:26" ht="17.25" customHeight="1">
      <c r="C978" s="47"/>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3:26" ht="17.25" customHeight="1">
      <c r="C979" s="47"/>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3:26" ht="17.25" customHeight="1">
      <c r="C980" s="47"/>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3:26" ht="17.25" customHeight="1">
      <c r="C981" s="47"/>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3:26" ht="17.25" customHeight="1">
      <c r="C982" s="47"/>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3:26" ht="17.25" customHeight="1">
      <c r="C983" s="47"/>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3:26" ht="17.25" customHeight="1">
      <c r="C984" s="47"/>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3:26" ht="17.25" customHeight="1">
      <c r="C985" s="47"/>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3:26" ht="17.25" customHeight="1">
      <c r="C986" s="47"/>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3:26" ht="17.25" customHeight="1">
      <c r="C987" s="47"/>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3:26" ht="17.25" customHeight="1">
      <c r="C988" s="47"/>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3:26" ht="17.25" customHeight="1">
      <c r="C989" s="47"/>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3:26" ht="17.25" customHeight="1">
      <c r="C990" s="47"/>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3:26" ht="17.25" customHeight="1">
      <c r="C991" s="47"/>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3:26" ht="17.25" customHeight="1">
      <c r="C992" s="47"/>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3:26" ht="17.25" customHeight="1">
      <c r="C993" s="47"/>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3:26" ht="17.25" customHeight="1">
      <c r="C994" s="47"/>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3:26" ht="17.25" customHeight="1">
      <c r="C995" s="47"/>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3:26" ht="17.25" customHeight="1">
      <c r="C996" s="47"/>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3:26" ht="17.25" customHeight="1">
      <c r="C997" s="47"/>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3:26" ht="17.25" customHeight="1">
      <c r="C998" s="47"/>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3:26" ht="17.25" customHeight="1">
      <c r="C999" s="47"/>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3:26" ht="17.25" customHeight="1">
      <c r="C1000" s="47"/>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4">
    <cfRule type="containsBlanks" dxfId="13" priority="1">
      <formula>LEN(TRIM(B4))=0</formula>
    </cfRule>
  </conditionalFormatting>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7"/>
  </sheetPr>
  <dimension ref="A1:AA997"/>
  <sheetViews>
    <sheetView workbookViewId="0">
      <selection activeCell="B17" sqref="B17"/>
    </sheetView>
  </sheetViews>
  <sheetFormatPr baseColWidth="10" defaultColWidth="11.28515625" defaultRowHeight="15" customHeight="1"/>
  <cols>
    <col min="1" max="1" width="28" customWidth="1"/>
    <col min="2" max="2" width="19.7109375" customWidth="1"/>
    <col min="3" max="3" width="12.140625" customWidth="1"/>
    <col min="4" max="27" width="11.42578125" customWidth="1"/>
  </cols>
  <sheetData>
    <row r="1" spans="1:27" ht="70.5" customHeight="1">
      <c r="A1" s="48" t="s">
        <v>5857</v>
      </c>
      <c r="B1" s="48" t="s">
        <v>5858</v>
      </c>
      <c r="C1" s="229" t="s">
        <v>5859</v>
      </c>
      <c r="D1" s="226"/>
      <c r="E1" s="226"/>
      <c r="F1" s="226"/>
      <c r="G1" s="226"/>
      <c r="H1" s="226"/>
      <c r="I1" s="226"/>
      <c r="J1" s="226"/>
      <c r="K1" s="226"/>
      <c r="L1" s="226"/>
      <c r="M1" s="226"/>
      <c r="N1" s="226"/>
      <c r="O1" s="226"/>
      <c r="P1" s="226"/>
      <c r="Q1" s="226"/>
      <c r="R1" s="226"/>
      <c r="S1" s="226"/>
      <c r="T1" s="226"/>
      <c r="U1" s="226"/>
      <c r="V1" s="226"/>
      <c r="W1" s="226"/>
      <c r="X1" s="226"/>
      <c r="Y1" s="226"/>
      <c r="Z1" s="226"/>
      <c r="AA1" s="227"/>
    </row>
    <row r="2" spans="1:27" ht="17.25" customHeight="1">
      <c r="A2" s="41" t="s">
        <v>5860</v>
      </c>
      <c r="B2" s="42" t="s">
        <v>5038</v>
      </c>
      <c r="C2" s="42" t="s">
        <v>5861</v>
      </c>
      <c r="D2" s="42" t="s">
        <v>5862</v>
      </c>
      <c r="E2" s="42" t="s">
        <v>5863</v>
      </c>
      <c r="F2" s="42" t="s">
        <v>5864</v>
      </c>
      <c r="G2" s="42" t="s">
        <v>5865</v>
      </c>
      <c r="H2" s="42" t="s">
        <v>5866</v>
      </c>
      <c r="I2" s="42" t="s">
        <v>5867</v>
      </c>
      <c r="J2" s="42" t="s">
        <v>5868</v>
      </c>
      <c r="K2" s="42" t="s">
        <v>5869</v>
      </c>
      <c r="L2" s="42" t="s">
        <v>5870</v>
      </c>
      <c r="M2" s="42" t="s">
        <v>5871</v>
      </c>
      <c r="N2" s="42" t="s">
        <v>5872</v>
      </c>
      <c r="O2" s="42" t="s">
        <v>5873</v>
      </c>
      <c r="P2" s="42" t="s">
        <v>5874</v>
      </c>
      <c r="Q2" s="42" t="s">
        <v>5875</v>
      </c>
      <c r="R2" s="42" t="s">
        <v>5876</v>
      </c>
      <c r="S2" s="42" t="s">
        <v>5877</v>
      </c>
      <c r="T2" s="42" t="s">
        <v>5878</v>
      </c>
      <c r="U2" s="42" t="s">
        <v>5879</v>
      </c>
      <c r="V2" s="42" t="s">
        <v>5880</v>
      </c>
      <c r="W2" s="42" t="s">
        <v>5881</v>
      </c>
      <c r="X2" s="42" t="s">
        <v>5882</v>
      </c>
      <c r="Y2" s="42" t="s">
        <v>5883</v>
      </c>
      <c r="Z2" s="42" t="s">
        <v>5884</v>
      </c>
      <c r="AA2" s="42" t="s">
        <v>5885</v>
      </c>
    </row>
    <row r="3" spans="1:27" ht="17.25" customHeight="1">
      <c r="A3" s="66" t="s">
        <v>5886</v>
      </c>
      <c r="B3" s="66" t="s">
        <v>5887</v>
      </c>
      <c r="C3" s="67">
        <v>0</v>
      </c>
      <c r="D3" s="67">
        <v>0</v>
      </c>
      <c r="E3" s="67">
        <v>0</v>
      </c>
      <c r="F3" s="67">
        <v>0</v>
      </c>
      <c r="G3" s="67">
        <v>0</v>
      </c>
      <c r="H3" s="67">
        <v>0</v>
      </c>
      <c r="I3" s="67">
        <v>0.1</v>
      </c>
      <c r="J3" s="67">
        <v>0.2</v>
      </c>
      <c r="K3" s="67">
        <v>0.95</v>
      </c>
      <c r="L3" s="67">
        <v>0.95</v>
      </c>
      <c r="M3" s="67">
        <v>0.95</v>
      </c>
      <c r="N3" s="67">
        <v>0.95</v>
      </c>
      <c r="O3" s="67">
        <v>0.5</v>
      </c>
      <c r="P3" s="67">
        <v>0.95</v>
      </c>
      <c r="Q3" s="67">
        <v>0.95</v>
      </c>
      <c r="R3" s="67">
        <v>0.95</v>
      </c>
      <c r="S3" s="67">
        <v>0.95</v>
      </c>
      <c r="T3" s="67">
        <v>0.3</v>
      </c>
      <c r="U3" s="67">
        <v>0.1</v>
      </c>
      <c r="V3" s="67">
        <v>0.1</v>
      </c>
      <c r="W3" s="67">
        <v>0.05</v>
      </c>
      <c r="X3" s="67">
        <v>0.05</v>
      </c>
      <c r="Y3" s="67">
        <v>0.05</v>
      </c>
      <c r="Z3" s="67">
        <v>0</v>
      </c>
      <c r="AA3" s="67">
        <v>0</v>
      </c>
    </row>
    <row r="4" spans="1:27" ht="17.25" customHeight="1">
      <c r="A4" s="66" t="s">
        <v>5888</v>
      </c>
      <c r="B4" s="66" t="s">
        <v>5887</v>
      </c>
      <c r="C4" s="67">
        <v>0</v>
      </c>
      <c r="D4" s="67">
        <v>0</v>
      </c>
      <c r="E4" s="67">
        <v>0</v>
      </c>
      <c r="F4" s="67">
        <v>0</v>
      </c>
      <c r="G4" s="67">
        <v>0</v>
      </c>
      <c r="H4" s="67">
        <v>0</v>
      </c>
      <c r="I4" s="67">
        <v>0</v>
      </c>
      <c r="J4" s="67">
        <v>0</v>
      </c>
      <c r="K4" s="67">
        <v>0</v>
      </c>
      <c r="L4" s="67">
        <v>0</v>
      </c>
      <c r="M4" s="67">
        <v>0</v>
      </c>
      <c r="N4" s="67">
        <v>0</v>
      </c>
      <c r="O4" s="67">
        <v>0</v>
      </c>
      <c r="P4" s="67">
        <v>0</v>
      </c>
      <c r="Q4" s="67">
        <v>0</v>
      </c>
      <c r="R4" s="67">
        <v>0</v>
      </c>
      <c r="S4" s="67">
        <v>0</v>
      </c>
      <c r="T4" s="67">
        <v>0</v>
      </c>
      <c r="U4" s="67">
        <v>0</v>
      </c>
      <c r="V4" s="67">
        <v>0</v>
      </c>
      <c r="W4" s="67">
        <v>0</v>
      </c>
      <c r="X4" s="67">
        <v>0</v>
      </c>
      <c r="Y4" s="67">
        <v>0</v>
      </c>
      <c r="Z4" s="67">
        <v>0</v>
      </c>
      <c r="AA4" s="67">
        <v>0</v>
      </c>
    </row>
    <row r="5" spans="1:27" ht="17.25" customHeight="1">
      <c r="A5" s="66" t="s">
        <v>5889</v>
      </c>
      <c r="B5" s="66" t="s">
        <v>5887</v>
      </c>
      <c r="C5" s="67">
        <v>0.05</v>
      </c>
      <c r="D5" s="67">
        <v>0.05</v>
      </c>
      <c r="E5" s="67">
        <v>0.05</v>
      </c>
      <c r="F5" s="67">
        <v>0.05</v>
      </c>
      <c r="G5" s="67">
        <v>0.05</v>
      </c>
      <c r="H5" s="67">
        <v>0.1</v>
      </c>
      <c r="I5" s="67">
        <v>0.3</v>
      </c>
      <c r="J5" s="67">
        <v>0.9</v>
      </c>
      <c r="K5" s="67">
        <v>0.9</v>
      </c>
      <c r="L5" s="67">
        <v>0.9</v>
      </c>
      <c r="M5" s="67">
        <v>0.9</v>
      </c>
      <c r="N5" s="67">
        <v>0.9</v>
      </c>
      <c r="O5" s="67">
        <v>0.9</v>
      </c>
      <c r="P5" s="67">
        <v>0.9</v>
      </c>
      <c r="Q5" s="67">
        <v>0.9</v>
      </c>
      <c r="R5" s="67">
        <v>0.9</v>
      </c>
      <c r="S5" s="67">
        <v>0.9</v>
      </c>
      <c r="T5" s="67">
        <v>0.5</v>
      </c>
      <c r="U5" s="67">
        <v>0.3</v>
      </c>
      <c r="V5" s="67">
        <v>0.2</v>
      </c>
      <c r="W5" s="67">
        <v>0.1</v>
      </c>
      <c r="X5" s="67">
        <v>0.1</v>
      </c>
      <c r="Y5" s="67">
        <v>0.05</v>
      </c>
      <c r="Z5" s="67">
        <v>0.05</v>
      </c>
      <c r="AA5" s="67">
        <v>0.05</v>
      </c>
    </row>
    <row r="6" spans="1:27" ht="17.25" customHeight="1">
      <c r="A6" s="66" t="s">
        <v>5890</v>
      </c>
      <c r="B6" s="66" t="s">
        <v>5887</v>
      </c>
      <c r="C6" s="67">
        <v>0.05</v>
      </c>
      <c r="D6" s="67">
        <v>0.05</v>
      </c>
      <c r="E6" s="67">
        <v>0.05</v>
      </c>
      <c r="F6" s="67">
        <v>0.05</v>
      </c>
      <c r="G6" s="67">
        <v>0.05</v>
      </c>
      <c r="H6" s="67">
        <v>0.05</v>
      </c>
      <c r="I6" s="67">
        <v>0.05</v>
      </c>
      <c r="J6" s="67">
        <v>0.05</v>
      </c>
      <c r="K6" s="67">
        <v>0.05</v>
      </c>
      <c r="L6" s="67">
        <v>0.05</v>
      </c>
      <c r="M6" s="67">
        <v>0.05</v>
      </c>
      <c r="N6" s="67">
        <v>0.05</v>
      </c>
      <c r="O6" s="67">
        <v>0.05</v>
      </c>
      <c r="P6" s="67">
        <v>0.05</v>
      </c>
      <c r="Q6" s="67">
        <v>0.05</v>
      </c>
      <c r="R6" s="67">
        <v>0.05</v>
      </c>
      <c r="S6" s="67">
        <v>0.05</v>
      </c>
      <c r="T6" s="67">
        <v>0.05</v>
      </c>
      <c r="U6" s="67">
        <v>0.05</v>
      </c>
      <c r="V6" s="67">
        <v>0.05</v>
      </c>
      <c r="W6" s="67">
        <v>0.05</v>
      </c>
      <c r="X6" s="67">
        <v>0.05</v>
      </c>
      <c r="Y6" s="67">
        <v>0.05</v>
      </c>
      <c r="Z6" s="67">
        <v>0.05</v>
      </c>
      <c r="AA6" s="67">
        <v>0.05</v>
      </c>
    </row>
    <row r="7" spans="1:27" ht="17.25" customHeight="1">
      <c r="A7" s="66" t="s">
        <v>5891</v>
      </c>
      <c r="B7" s="66" t="s">
        <v>5887</v>
      </c>
      <c r="C7" s="67">
        <v>0.4</v>
      </c>
      <c r="D7" s="67">
        <v>0.4</v>
      </c>
      <c r="E7" s="67">
        <v>0.4</v>
      </c>
      <c r="F7" s="67">
        <v>0.4</v>
      </c>
      <c r="G7" s="67">
        <v>0.4</v>
      </c>
      <c r="H7" s="67">
        <v>0.4</v>
      </c>
      <c r="I7" s="67">
        <v>0.4</v>
      </c>
      <c r="J7" s="67">
        <v>0.9</v>
      </c>
      <c r="K7" s="67">
        <v>0.9</v>
      </c>
      <c r="L7" s="67">
        <v>0.9</v>
      </c>
      <c r="M7" s="67">
        <v>0.9</v>
      </c>
      <c r="N7" s="67">
        <v>0.9</v>
      </c>
      <c r="O7" s="67">
        <v>0.9</v>
      </c>
      <c r="P7" s="67">
        <v>0.9</v>
      </c>
      <c r="Q7" s="67">
        <v>0.9</v>
      </c>
      <c r="R7" s="67">
        <v>0.9</v>
      </c>
      <c r="S7" s="67">
        <v>0.9</v>
      </c>
      <c r="T7" s="67">
        <v>0.5</v>
      </c>
      <c r="U7" s="67">
        <v>0.4</v>
      </c>
      <c r="V7" s="67">
        <v>0.4</v>
      </c>
      <c r="W7" s="67">
        <v>0.4</v>
      </c>
      <c r="X7" s="67">
        <v>0.4</v>
      </c>
      <c r="Y7" s="67">
        <v>0.4</v>
      </c>
      <c r="Z7" s="67">
        <v>0.4</v>
      </c>
      <c r="AA7" s="67">
        <v>0.4</v>
      </c>
    </row>
    <row r="8" spans="1:27" ht="17.25" customHeight="1">
      <c r="A8" s="66" t="s">
        <v>5892</v>
      </c>
      <c r="B8" s="66" t="s">
        <v>5887</v>
      </c>
      <c r="C8" s="67">
        <v>0.3</v>
      </c>
      <c r="D8" s="67">
        <v>0.3</v>
      </c>
      <c r="E8" s="67">
        <v>0.3</v>
      </c>
      <c r="F8" s="67">
        <v>0.3</v>
      </c>
      <c r="G8" s="67">
        <v>0.3</v>
      </c>
      <c r="H8" s="67">
        <v>0.3</v>
      </c>
      <c r="I8" s="67">
        <v>0.3</v>
      </c>
      <c r="J8" s="67">
        <v>0.3</v>
      </c>
      <c r="K8" s="67">
        <v>0.3</v>
      </c>
      <c r="L8" s="67">
        <v>0.3</v>
      </c>
      <c r="M8" s="67">
        <v>0.3</v>
      </c>
      <c r="N8" s="67">
        <v>0.3</v>
      </c>
      <c r="O8" s="67">
        <v>0.3</v>
      </c>
      <c r="P8" s="67">
        <v>0.3</v>
      </c>
      <c r="Q8" s="67">
        <v>0.3</v>
      </c>
      <c r="R8" s="67">
        <v>0.3</v>
      </c>
      <c r="S8" s="67">
        <v>0.3</v>
      </c>
      <c r="T8" s="67">
        <v>0.3</v>
      </c>
      <c r="U8" s="67">
        <v>0.3</v>
      </c>
      <c r="V8" s="67">
        <v>0.3</v>
      </c>
      <c r="W8" s="67">
        <v>0.3</v>
      </c>
      <c r="X8" s="67">
        <v>0.3</v>
      </c>
      <c r="Y8" s="67">
        <v>0.3</v>
      </c>
      <c r="Z8" s="67">
        <v>0.3</v>
      </c>
      <c r="AA8" s="67">
        <v>0.3</v>
      </c>
    </row>
    <row r="9" spans="1:27" ht="17.25" customHeight="1">
      <c r="A9" s="66" t="s">
        <v>5893</v>
      </c>
      <c r="B9" s="66" t="s">
        <v>5887</v>
      </c>
      <c r="C9" s="67">
        <v>0</v>
      </c>
      <c r="D9" s="67">
        <v>0</v>
      </c>
      <c r="E9" s="67">
        <v>0</v>
      </c>
      <c r="F9" s="67">
        <v>0</v>
      </c>
      <c r="G9" s="67">
        <v>0</v>
      </c>
      <c r="H9" s="67">
        <v>0</v>
      </c>
      <c r="I9" s="67">
        <v>0</v>
      </c>
      <c r="J9" s="67">
        <v>0.1</v>
      </c>
      <c r="K9" s="67">
        <v>0.2</v>
      </c>
      <c r="L9" s="67">
        <v>0.5</v>
      </c>
      <c r="M9" s="67">
        <v>0.8</v>
      </c>
      <c r="N9" s="67">
        <v>0.9</v>
      </c>
      <c r="O9" s="67">
        <v>1</v>
      </c>
      <c r="P9" s="67">
        <v>1</v>
      </c>
      <c r="Q9" s="67">
        <v>1</v>
      </c>
      <c r="R9" s="67">
        <v>1</v>
      </c>
      <c r="S9" s="67">
        <v>1</v>
      </c>
      <c r="T9" s="67">
        <v>0.9</v>
      </c>
      <c r="U9" s="67">
        <v>0.8</v>
      </c>
      <c r="V9" s="67">
        <v>0.6</v>
      </c>
      <c r="W9" s="67">
        <v>0.4</v>
      </c>
      <c r="X9" s="67">
        <v>0.2</v>
      </c>
      <c r="Y9" s="67">
        <v>0.1</v>
      </c>
      <c r="Z9" s="67">
        <v>0</v>
      </c>
      <c r="AA9" s="67">
        <v>0</v>
      </c>
    </row>
    <row r="10" spans="1:27" ht="17.25" customHeight="1">
      <c r="A10" s="66" t="s">
        <v>5894</v>
      </c>
      <c r="B10" s="66" t="s">
        <v>5887</v>
      </c>
      <c r="C10" s="67">
        <v>0.05</v>
      </c>
      <c r="D10" s="67">
        <v>0.05</v>
      </c>
      <c r="E10" s="67">
        <v>0.05</v>
      </c>
      <c r="F10" s="67">
        <v>0.05</v>
      </c>
      <c r="G10" s="67">
        <v>0.05</v>
      </c>
      <c r="H10" s="67">
        <v>0.05</v>
      </c>
      <c r="I10" s="67">
        <v>0.1</v>
      </c>
      <c r="J10" s="67">
        <v>0.2</v>
      </c>
      <c r="K10" s="67">
        <v>0.5</v>
      </c>
      <c r="L10" s="67">
        <v>0.9</v>
      </c>
      <c r="M10" s="67">
        <v>1</v>
      </c>
      <c r="N10" s="67">
        <v>1</v>
      </c>
      <c r="O10" s="67">
        <v>1</v>
      </c>
      <c r="P10" s="67">
        <v>1</v>
      </c>
      <c r="Q10" s="67">
        <v>1</v>
      </c>
      <c r="R10" s="67">
        <v>1</v>
      </c>
      <c r="S10" s="67">
        <v>1</v>
      </c>
      <c r="T10" s="67">
        <v>1</v>
      </c>
      <c r="U10" s="67">
        <v>1</v>
      </c>
      <c r="V10" s="67">
        <v>1</v>
      </c>
      <c r="W10" s="67">
        <v>0.9</v>
      </c>
      <c r="X10" s="67">
        <v>0.5</v>
      </c>
      <c r="Y10" s="67">
        <v>0.1</v>
      </c>
      <c r="Z10" s="67">
        <v>0.05</v>
      </c>
      <c r="AA10" s="67">
        <v>0.05</v>
      </c>
    </row>
    <row r="11" spans="1:27" ht="17.25" customHeight="1">
      <c r="A11" s="66" t="s">
        <v>5895</v>
      </c>
      <c r="B11" s="66" t="s">
        <v>5887</v>
      </c>
      <c r="C11" s="67">
        <v>0.1</v>
      </c>
      <c r="D11" s="67">
        <v>0.1</v>
      </c>
      <c r="E11" s="67">
        <v>0.1</v>
      </c>
      <c r="F11" s="67">
        <v>0.1</v>
      </c>
      <c r="G11" s="67">
        <v>0.1</v>
      </c>
      <c r="H11" s="67">
        <v>0.1</v>
      </c>
      <c r="I11" s="67">
        <v>0.1</v>
      </c>
      <c r="J11" s="67">
        <v>0.2</v>
      </c>
      <c r="K11" s="67">
        <v>0.6</v>
      </c>
      <c r="L11" s="67">
        <v>0.9</v>
      </c>
      <c r="M11" s="67">
        <v>1</v>
      </c>
      <c r="N11" s="67">
        <v>1</v>
      </c>
      <c r="O11" s="67">
        <v>1</v>
      </c>
      <c r="P11" s="67">
        <v>1</v>
      </c>
      <c r="Q11" s="67">
        <v>1</v>
      </c>
      <c r="R11" s="67">
        <v>1</v>
      </c>
      <c r="S11" s="67">
        <v>1</v>
      </c>
      <c r="T11" s="67">
        <v>1</v>
      </c>
      <c r="U11" s="67">
        <v>1</v>
      </c>
      <c r="V11" s="67">
        <v>1</v>
      </c>
      <c r="W11" s="67">
        <v>0.9</v>
      </c>
      <c r="X11" s="67">
        <v>0.6</v>
      </c>
      <c r="Y11" s="67">
        <v>0.2</v>
      </c>
      <c r="Z11" s="67">
        <v>0.1</v>
      </c>
      <c r="AA11" s="67">
        <v>0.1</v>
      </c>
    </row>
    <row r="12" spans="1:27" ht="17.25" customHeight="1">
      <c r="A12" s="66" t="s">
        <v>5896</v>
      </c>
      <c r="B12" s="66" t="s">
        <v>5887</v>
      </c>
      <c r="C12" s="67">
        <v>1</v>
      </c>
      <c r="D12" s="67">
        <v>1</v>
      </c>
      <c r="E12" s="67">
        <v>1</v>
      </c>
      <c r="F12" s="67">
        <v>1</v>
      </c>
      <c r="G12" s="67">
        <v>1</v>
      </c>
      <c r="H12" s="67">
        <v>1</v>
      </c>
      <c r="I12" s="67">
        <v>1</v>
      </c>
      <c r="J12" s="67">
        <v>0.8</v>
      </c>
      <c r="K12" s="67">
        <v>0.5</v>
      </c>
      <c r="L12" s="67">
        <v>0.2</v>
      </c>
      <c r="M12" s="67">
        <v>0.2</v>
      </c>
      <c r="N12" s="67">
        <v>0.2</v>
      </c>
      <c r="O12" s="67">
        <v>0.2</v>
      </c>
      <c r="P12" s="67">
        <v>0.2</v>
      </c>
      <c r="Q12" s="67">
        <v>0.2</v>
      </c>
      <c r="R12" s="67">
        <v>0.2</v>
      </c>
      <c r="S12" s="67">
        <v>0.3</v>
      </c>
      <c r="T12" s="67">
        <v>0.5</v>
      </c>
      <c r="U12" s="67">
        <v>0.7</v>
      </c>
      <c r="V12" s="67">
        <v>0.8</v>
      </c>
      <c r="W12" s="67">
        <v>0.9</v>
      </c>
      <c r="X12" s="67">
        <v>1</v>
      </c>
      <c r="Y12" s="67">
        <v>1</v>
      </c>
      <c r="Z12" s="67">
        <v>1</v>
      </c>
      <c r="AA12" s="67">
        <v>1</v>
      </c>
    </row>
    <row r="13" spans="1:27" ht="17.25" customHeight="1">
      <c r="A13" s="66" t="s">
        <v>5897</v>
      </c>
      <c r="B13" s="66" t="s">
        <v>5887</v>
      </c>
      <c r="C13" s="67">
        <v>1</v>
      </c>
      <c r="D13" s="67">
        <v>1</v>
      </c>
      <c r="E13" s="67">
        <v>1</v>
      </c>
      <c r="F13" s="67">
        <v>1</v>
      </c>
      <c r="G13" s="67">
        <v>1</v>
      </c>
      <c r="H13" s="67">
        <v>1</v>
      </c>
      <c r="I13" s="67">
        <v>1</v>
      </c>
      <c r="J13" s="67">
        <v>0.9</v>
      </c>
      <c r="K13" s="67">
        <v>0.8</v>
      </c>
      <c r="L13" s="67">
        <v>0.7</v>
      </c>
      <c r="M13" s="67">
        <v>0.7</v>
      </c>
      <c r="N13" s="67">
        <v>0.7</v>
      </c>
      <c r="O13" s="67">
        <v>0.7</v>
      </c>
      <c r="P13" s="67">
        <v>0.7</v>
      </c>
      <c r="Q13" s="67">
        <v>0.7</v>
      </c>
      <c r="R13" s="67">
        <v>0.7</v>
      </c>
      <c r="S13" s="67">
        <v>0.8</v>
      </c>
      <c r="T13" s="67">
        <v>0.8</v>
      </c>
      <c r="U13" s="67">
        <v>0.9</v>
      </c>
      <c r="V13" s="67">
        <v>0.9</v>
      </c>
      <c r="W13" s="67">
        <v>1</v>
      </c>
      <c r="X13" s="67">
        <v>1</v>
      </c>
      <c r="Y13" s="67">
        <v>1</v>
      </c>
      <c r="Z13" s="67">
        <v>1</v>
      </c>
      <c r="AA13" s="67">
        <v>1</v>
      </c>
    </row>
    <row r="14" spans="1:27" ht="17.25" customHeight="1">
      <c r="A14" s="66" t="s">
        <v>5898</v>
      </c>
      <c r="B14" s="66" t="s">
        <v>5887</v>
      </c>
      <c r="C14" s="67">
        <v>0.1</v>
      </c>
      <c r="D14" s="67">
        <v>0.1</v>
      </c>
      <c r="E14" s="67">
        <v>0.1</v>
      </c>
      <c r="F14" s="67">
        <v>0.1</v>
      </c>
      <c r="G14" s="67">
        <v>0.1</v>
      </c>
      <c r="H14" s="67">
        <v>0.2</v>
      </c>
      <c r="I14" s="67">
        <v>0.4</v>
      </c>
      <c r="J14" s="67">
        <v>0.5</v>
      </c>
      <c r="K14" s="67">
        <v>0.1</v>
      </c>
      <c r="L14" s="67">
        <v>0</v>
      </c>
      <c r="M14" s="67">
        <v>0</v>
      </c>
      <c r="N14" s="67">
        <v>0</v>
      </c>
      <c r="O14" s="67">
        <v>0</v>
      </c>
      <c r="P14" s="67">
        <v>0</v>
      </c>
      <c r="Q14" s="67">
        <v>0</v>
      </c>
      <c r="R14" s="67">
        <v>0</v>
      </c>
      <c r="S14" s="67">
        <v>0</v>
      </c>
      <c r="T14" s="67">
        <v>0.1</v>
      </c>
      <c r="U14" s="67">
        <v>0.4</v>
      </c>
      <c r="V14" s="67">
        <v>0.7</v>
      </c>
      <c r="W14" s="67">
        <v>0.9</v>
      </c>
      <c r="X14" s="67">
        <v>0.8</v>
      </c>
      <c r="Y14" s="67">
        <v>0.6</v>
      </c>
      <c r="Z14" s="67">
        <v>0.3</v>
      </c>
      <c r="AA14" s="67">
        <v>0.3</v>
      </c>
    </row>
    <row r="15" spans="1:27" ht="17.25" customHeight="1">
      <c r="A15" s="66" t="s">
        <v>5899</v>
      </c>
      <c r="B15" s="66" t="s">
        <v>5887</v>
      </c>
      <c r="C15" s="67">
        <v>0.1</v>
      </c>
      <c r="D15" s="67">
        <v>0.1</v>
      </c>
      <c r="E15" s="67">
        <v>0.1</v>
      </c>
      <c r="F15" s="67">
        <v>0.1</v>
      </c>
      <c r="G15" s="67">
        <v>0.1</v>
      </c>
      <c r="H15" s="67">
        <v>0.2</v>
      </c>
      <c r="I15" s="67">
        <v>0.3</v>
      </c>
      <c r="J15" s="67">
        <v>0.4</v>
      </c>
      <c r="K15" s="67">
        <v>0.3</v>
      </c>
      <c r="L15" s="67">
        <v>0.2</v>
      </c>
      <c r="M15" s="67">
        <v>0.1</v>
      </c>
      <c r="N15" s="67">
        <v>0.1</v>
      </c>
      <c r="O15" s="67">
        <v>0.1</v>
      </c>
      <c r="P15" s="67">
        <v>0.1</v>
      </c>
      <c r="Q15" s="67">
        <v>0.1</v>
      </c>
      <c r="R15" s="67">
        <v>0.2</v>
      </c>
      <c r="S15" s="67">
        <v>0.3</v>
      </c>
      <c r="T15" s="67">
        <v>0.5</v>
      </c>
      <c r="U15" s="67">
        <v>0.7</v>
      </c>
      <c r="V15" s="67">
        <v>0.9</v>
      </c>
      <c r="W15" s="67">
        <v>0.9</v>
      </c>
      <c r="X15" s="67">
        <v>0.8</v>
      </c>
      <c r="Y15" s="67">
        <v>0.6</v>
      </c>
      <c r="Z15" s="67">
        <v>0.3</v>
      </c>
      <c r="AA15" s="67">
        <v>0.3</v>
      </c>
    </row>
    <row r="16" spans="1:27" ht="17.25" customHeight="1">
      <c r="A16" s="66" t="s">
        <v>5900</v>
      </c>
      <c r="B16" s="66" t="s">
        <v>5887</v>
      </c>
      <c r="C16" s="67">
        <v>0.4</v>
      </c>
      <c r="D16" s="67">
        <v>0.4</v>
      </c>
      <c r="E16" s="67">
        <v>0.4</v>
      </c>
      <c r="F16" s="67">
        <v>0.4</v>
      </c>
      <c r="G16" s="67">
        <v>0.4</v>
      </c>
      <c r="H16" s="67">
        <v>0.5</v>
      </c>
      <c r="I16" s="67">
        <v>0.6</v>
      </c>
      <c r="J16" s="67">
        <v>0.6</v>
      </c>
      <c r="K16" s="67">
        <v>0.4</v>
      </c>
      <c r="L16" s="67">
        <v>0.3</v>
      </c>
      <c r="M16" s="67">
        <v>0.3</v>
      </c>
      <c r="N16" s="67">
        <v>0.3</v>
      </c>
      <c r="O16" s="67">
        <v>0.3</v>
      </c>
      <c r="P16" s="67">
        <v>0.3</v>
      </c>
      <c r="Q16" s="67">
        <v>0.3</v>
      </c>
      <c r="R16" s="67">
        <v>0.3</v>
      </c>
      <c r="S16" s="67">
        <v>0.4</v>
      </c>
      <c r="T16" s="67">
        <v>0.5</v>
      </c>
      <c r="U16" s="67">
        <v>0.6</v>
      </c>
      <c r="V16" s="67">
        <v>0.8</v>
      </c>
      <c r="W16" s="67">
        <v>0.9</v>
      </c>
      <c r="X16" s="67">
        <v>0.9</v>
      </c>
      <c r="Y16" s="67">
        <v>0.8</v>
      </c>
      <c r="Z16" s="67">
        <v>0.6</v>
      </c>
      <c r="AA16" s="67">
        <v>0.6</v>
      </c>
    </row>
    <row r="17" spans="1:27" ht="17.25" customHeight="1">
      <c r="A17" s="66" t="s">
        <v>5901</v>
      </c>
      <c r="B17" s="66" t="s">
        <v>5887</v>
      </c>
      <c r="C17" s="67">
        <v>0.4</v>
      </c>
      <c r="D17" s="67">
        <v>0.4</v>
      </c>
      <c r="E17" s="67">
        <v>0.4</v>
      </c>
      <c r="F17" s="67">
        <v>0.4</v>
      </c>
      <c r="G17" s="67">
        <v>0.4</v>
      </c>
      <c r="H17" s="67">
        <v>0.5</v>
      </c>
      <c r="I17" s="67">
        <v>0.6</v>
      </c>
      <c r="J17" s="67">
        <v>0.7</v>
      </c>
      <c r="K17" s="67">
        <v>0.6</v>
      </c>
      <c r="L17" s="67">
        <v>0.5</v>
      </c>
      <c r="M17" s="67">
        <v>0.5</v>
      </c>
      <c r="N17" s="67">
        <v>0.5</v>
      </c>
      <c r="O17" s="67">
        <v>0.5</v>
      </c>
      <c r="P17" s="67">
        <v>0.5</v>
      </c>
      <c r="Q17" s="67">
        <v>0.5</v>
      </c>
      <c r="R17" s="67">
        <v>0.6</v>
      </c>
      <c r="S17" s="67">
        <v>0.7</v>
      </c>
      <c r="T17" s="67">
        <v>0.8</v>
      </c>
      <c r="U17" s="67">
        <v>0.9</v>
      </c>
      <c r="V17" s="67">
        <v>0.9</v>
      </c>
      <c r="W17" s="67">
        <v>0.9</v>
      </c>
      <c r="X17" s="67">
        <v>0.9</v>
      </c>
      <c r="Y17" s="67">
        <v>0.8</v>
      </c>
      <c r="Z17" s="67">
        <v>0.6</v>
      </c>
      <c r="AA17" s="67">
        <v>0.6</v>
      </c>
    </row>
    <row r="18" spans="1:27" ht="17.25" customHeight="1">
      <c r="A18" s="66" t="s">
        <v>5902</v>
      </c>
      <c r="B18" s="66" t="s">
        <v>5887</v>
      </c>
      <c r="C18" s="67">
        <v>0</v>
      </c>
      <c r="D18" s="67">
        <v>0</v>
      </c>
      <c r="E18" s="67">
        <v>0</v>
      </c>
      <c r="F18" s="67">
        <v>0</v>
      </c>
      <c r="G18" s="67">
        <v>0</v>
      </c>
      <c r="H18" s="67">
        <v>0</v>
      </c>
      <c r="I18" s="67">
        <v>0</v>
      </c>
      <c r="J18" s="67">
        <v>0.2</v>
      </c>
      <c r="K18" s="67">
        <v>0.9</v>
      </c>
      <c r="L18" s="67">
        <v>1</v>
      </c>
      <c r="M18" s="67">
        <v>1</v>
      </c>
      <c r="N18" s="67">
        <v>1</v>
      </c>
      <c r="O18" s="67">
        <v>0.8</v>
      </c>
      <c r="P18" s="67">
        <v>1</v>
      </c>
      <c r="Q18" s="67">
        <v>1</v>
      </c>
      <c r="R18" s="67">
        <v>1</v>
      </c>
      <c r="S18" s="67">
        <v>0.5</v>
      </c>
      <c r="T18" s="67">
        <v>0.1</v>
      </c>
      <c r="U18" s="67">
        <v>0.1</v>
      </c>
      <c r="V18" s="67">
        <v>0</v>
      </c>
      <c r="W18" s="67">
        <v>0</v>
      </c>
      <c r="X18" s="67">
        <v>0</v>
      </c>
      <c r="Y18" s="67">
        <v>0</v>
      </c>
      <c r="Z18" s="67">
        <v>0</v>
      </c>
      <c r="AA18" s="67">
        <v>0</v>
      </c>
    </row>
    <row r="19" spans="1:27" ht="17.25" customHeight="1">
      <c r="A19" s="66" t="s">
        <v>5903</v>
      </c>
      <c r="B19" s="66" t="s">
        <v>5887</v>
      </c>
      <c r="C19" s="67">
        <v>0</v>
      </c>
      <c r="D19" s="67">
        <v>0</v>
      </c>
      <c r="E19" s="67">
        <v>0</v>
      </c>
      <c r="F19" s="67">
        <v>0</v>
      </c>
      <c r="G19" s="67">
        <v>0</v>
      </c>
      <c r="H19" s="67">
        <v>0</v>
      </c>
      <c r="I19" s="67">
        <v>0</v>
      </c>
      <c r="J19" s="67">
        <v>0</v>
      </c>
      <c r="K19" s="67">
        <v>0</v>
      </c>
      <c r="L19" s="67">
        <v>0</v>
      </c>
      <c r="M19" s="67">
        <v>0</v>
      </c>
      <c r="N19" s="67">
        <v>0</v>
      </c>
      <c r="O19" s="67">
        <v>0</v>
      </c>
      <c r="P19" s="67">
        <v>0</v>
      </c>
      <c r="Q19" s="67">
        <v>0</v>
      </c>
      <c r="R19" s="67">
        <v>0</v>
      </c>
      <c r="S19" s="67">
        <v>0</v>
      </c>
      <c r="T19" s="67">
        <v>0</v>
      </c>
      <c r="U19" s="67">
        <v>0</v>
      </c>
      <c r="V19" s="67">
        <v>0</v>
      </c>
      <c r="W19" s="67">
        <v>0</v>
      </c>
      <c r="X19" s="67">
        <v>0</v>
      </c>
      <c r="Y19" s="67">
        <v>0</v>
      </c>
      <c r="Z19" s="67">
        <v>0</v>
      </c>
      <c r="AA19" s="67">
        <v>0</v>
      </c>
    </row>
    <row r="20" spans="1:27" ht="17.25" customHeight="1">
      <c r="A20" s="66" t="s">
        <v>5904</v>
      </c>
      <c r="B20" s="66" t="s">
        <v>5887</v>
      </c>
      <c r="C20" s="67">
        <v>0</v>
      </c>
      <c r="D20" s="67">
        <v>0</v>
      </c>
      <c r="E20" s="67">
        <v>0</v>
      </c>
      <c r="F20" s="67">
        <v>0</v>
      </c>
      <c r="G20" s="67">
        <v>0</v>
      </c>
      <c r="H20" s="67">
        <v>0</v>
      </c>
      <c r="I20" s="67">
        <v>0.1</v>
      </c>
      <c r="J20" s="67">
        <v>0.5</v>
      </c>
      <c r="K20" s="67">
        <v>0.9</v>
      </c>
      <c r="L20" s="67">
        <v>1</v>
      </c>
      <c r="M20" s="67">
        <v>1</v>
      </c>
      <c r="N20" s="67">
        <v>1</v>
      </c>
      <c r="O20" s="67">
        <v>1</v>
      </c>
      <c r="P20" s="67">
        <v>1</v>
      </c>
      <c r="Q20" s="67">
        <v>1</v>
      </c>
      <c r="R20" s="67">
        <v>1</v>
      </c>
      <c r="S20" s="67">
        <v>0.7</v>
      </c>
      <c r="T20" s="67">
        <v>0.3</v>
      </c>
      <c r="U20" s="67">
        <v>0.1</v>
      </c>
      <c r="V20" s="67">
        <v>0</v>
      </c>
      <c r="W20" s="67">
        <v>0</v>
      </c>
      <c r="X20" s="67">
        <v>0</v>
      </c>
      <c r="Y20" s="67">
        <v>0</v>
      </c>
      <c r="Z20" s="67">
        <v>0</v>
      </c>
      <c r="AA20" s="67">
        <v>0</v>
      </c>
    </row>
    <row r="21" spans="1:27" ht="17.25" customHeight="1">
      <c r="A21" s="66" t="s">
        <v>5905</v>
      </c>
      <c r="B21" s="66" t="s">
        <v>5887</v>
      </c>
      <c r="C21" s="67">
        <v>0</v>
      </c>
      <c r="D21" s="67">
        <v>0</v>
      </c>
      <c r="E21" s="67">
        <v>0</v>
      </c>
      <c r="F21" s="67">
        <v>0</v>
      </c>
      <c r="G21" s="67">
        <v>0</v>
      </c>
      <c r="H21" s="67">
        <v>0</v>
      </c>
      <c r="I21" s="67">
        <v>0</v>
      </c>
      <c r="J21" s="67">
        <v>0</v>
      </c>
      <c r="K21" s="67">
        <v>0</v>
      </c>
      <c r="L21" s="67">
        <v>0</v>
      </c>
      <c r="M21" s="67">
        <v>0</v>
      </c>
      <c r="N21" s="67">
        <v>0</v>
      </c>
      <c r="O21" s="67">
        <v>0</v>
      </c>
      <c r="P21" s="67">
        <v>0</v>
      </c>
      <c r="Q21" s="67">
        <v>0</v>
      </c>
      <c r="R21" s="67">
        <v>0</v>
      </c>
      <c r="S21" s="67">
        <v>0</v>
      </c>
      <c r="T21" s="67">
        <v>0</v>
      </c>
      <c r="U21" s="67">
        <v>0</v>
      </c>
      <c r="V21" s="67">
        <v>0</v>
      </c>
      <c r="W21" s="67">
        <v>0</v>
      </c>
      <c r="X21" s="67">
        <v>0</v>
      </c>
      <c r="Y21" s="67">
        <v>0</v>
      </c>
      <c r="Z21" s="67">
        <v>0</v>
      </c>
      <c r="AA21" s="67">
        <v>0</v>
      </c>
    </row>
    <row r="22" spans="1:27" ht="17.25" customHeight="1">
      <c r="A22" s="66" t="s">
        <v>5906</v>
      </c>
      <c r="B22" s="66" t="s">
        <v>5887</v>
      </c>
      <c r="C22" s="67">
        <v>0.1</v>
      </c>
      <c r="D22" s="67">
        <v>0.1</v>
      </c>
      <c r="E22" s="67">
        <v>0.1</v>
      </c>
      <c r="F22" s="67">
        <v>0.1</v>
      </c>
      <c r="G22" s="67">
        <v>0.1</v>
      </c>
      <c r="H22" s="67">
        <v>0.1</v>
      </c>
      <c r="I22" s="67">
        <v>0.1</v>
      </c>
      <c r="J22" s="67">
        <v>0.3</v>
      </c>
      <c r="K22" s="67">
        <v>0.8</v>
      </c>
      <c r="L22" s="67">
        <v>0.9</v>
      </c>
      <c r="M22" s="67">
        <v>0.9</v>
      </c>
      <c r="N22" s="67">
        <v>0.9</v>
      </c>
      <c r="O22" s="67">
        <v>0.8</v>
      </c>
      <c r="P22" s="67">
        <v>0.9</v>
      </c>
      <c r="Q22" s="67">
        <v>0.9</v>
      </c>
      <c r="R22" s="67">
        <v>0.9</v>
      </c>
      <c r="S22" s="67">
        <v>0.6</v>
      </c>
      <c r="T22" s="67">
        <v>0.3</v>
      </c>
      <c r="U22" s="67">
        <v>0.2</v>
      </c>
      <c r="V22" s="67">
        <v>0.1</v>
      </c>
      <c r="W22" s="67">
        <v>0.1</v>
      </c>
      <c r="X22" s="67">
        <v>0.1</v>
      </c>
      <c r="Y22" s="67">
        <v>0.1</v>
      </c>
      <c r="Z22" s="67">
        <v>0.1</v>
      </c>
      <c r="AA22" s="67">
        <v>0.1</v>
      </c>
    </row>
    <row r="23" spans="1:27" ht="17.25" customHeight="1">
      <c r="A23" s="66" t="s">
        <v>5907</v>
      </c>
      <c r="B23" s="66" t="s">
        <v>5887</v>
      </c>
      <c r="C23" s="67">
        <v>0.1</v>
      </c>
      <c r="D23" s="67">
        <v>0.1</v>
      </c>
      <c r="E23" s="67">
        <v>0.1</v>
      </c>
      <c r="F23" s="67">
        <v>0.1</v>
      </c>
      <c r="G23" s="67">
        <v>0.1</v>
      </c>
      <c r="H23" s="67">
        <v>0.1</v>
      </c>
      <c r="I23" s="67">
        <v>0.1</v>
      </c>
      <c r="J23" s="67">
        <v>0.1</v>
      </c>
      <c r="K23" s="67">
        <v>0.1</v>
      </c>
      <c r="L23" s="67">
        <v>0.1</v>
      </c>
      <c r="M23" s="67">
        <v>0.1</v>
      </c>
      <c r="N23" s="67">
        <v>0.1</v>
      </c>
      <c r="O23" s="67">
        <v>0.1</v>
      </c>
      <c r="P23" s="67">
        <v>0.1</v>
      </c>
      <c r="Q23" s="67">
        <v>0.1</v>
      </c>
      <c r="R23" s="67">
        <v>0.1</v>
      </c>
      <c r="S23" s="67">
        <v>0.1</v>
      </c>
      <c r="T23" s="67">
        <v>0.1</v>
      </c>
      <c r="U23" s="67">
        <v>0.1</v>
      </c>
      <c r="V23" s="67">
        <v>0.1</v>
      </c>
      <c r="W23" s="67">
        <v>0.1</v>
      </c>
      <c r="X23" s="67">
        <v>0.1</v>
      </c>
      <c r="Y23" s="67">
        <v>0.1</v>
      </c>
      <c r="Z23" s="67">
        <v>0.1</v>
      </c>
      <c r="AA23" s="67">
        <v>0.1</v>
      </c>
    </row>
    <row r="24" spans="1:27" ht="17.25" customHeight="1">
      <c r="A24" s="66" t="s">
        <v>5908</v>
      </c>
      <c r="B24" s="66" t="s">
        <v>5887</v>
      </c>
      <c r="C24" s="67">
        <v>0.4</v>
      </c>
      <c r="D24" s="67">
        <v>0.4</v>
      </c>
      <c r="E24" s="67">
        <v>0.4</v>
      </c>
      <c r="F24" s="67">
        <v>0.4</v>
      </c>
      <c r="G24" s="67">
        <v>0.4</v>
      </c>
      <c r="H24" s="67">
        <v>0.5</v>
      </c>
      <c r="I24" s="67">
        <v>0.6</v>
      </c>
      <c r="J24" s="67">
        <v>0.8</v>
      </c>
      <c r="K24" s="67">
        <v>0.9</v>
      </c>
      <c r="L24" s="67">
        <v>1</v>
      </c>
      <c r="M24" s="67">
        <v>1</v>
      </c>
      <c r="N24" s="67">
        <v>1</v>
      </c>
      <c r="O24" s="67">
        <v>1</v>
      </c>
      <c r="P24" s="67">
        <v>1</v>
      </c>
      <c r="Q24" s="67">
        <v>1</v>
      </c>
      <c r="R24" s="67">
        <v>1</v>
      </c>
      <c r="S24" s="67">
        <v>0.9</v>
      </c>
      <c r="T24" s="67">
        <v>0.8</v>
      </c>
      <c r="U24" s="67">
        <v>0.6</v>
      </c>
      <c r="V24" s="67">
        <v>0.5</v>
      </c>
      <c r="W24" s="67">
        <v>0.5</v>
      </c>
      <c r="X24" s="67">
        <v>0.5</v>
      </c>
      <c r="Y24" s="67">
        <v>0.4</v>
      </c>
      <c r="Z24" s="67">
        <v>0.4</v>
      </c>
      <c r="AA24" s="67">
        <v>0.4</v>
      </c>
    </row>
    <row r="25" spans="1:27" ht="17.25" customHeight="1">
      <c r="A25" s="66" t="s">
        <v>5909</v>
      </c>
      <c r="B25" s="66" t="s">
        <v>5887</v>
      </c>
      <c r="C25" s="67">
        <v>0.3</v>
      </c>
      <c r="D25" s="67">
        <v>0.3</v>
      </c>
      <c r="E25" s="67">
        <v>0.3</v>
      </c>
      <c r="F25" s="67">
        <v>0.3</v>
      </c>
      <c r="G25" s="67">
        <v>0.3</v>
      </c>
      <c r="H25" s="67">
        <v>0.4</v>
      </c>
      <c r="I25" s="67">
        <v>0.6</v>
      </c>
      <c r="J25" s="67">
        <v>0.8</v>
      </c>
      <c r="K25" s="67">
        <v>0.9</v>
      </c>
      <c r="L25" s="67">
        <v>1</v>
      </c>
      <c r="M25" s="67">
        <v>1</v>
      </c>
      <c r="N25" s="67">
        <v>1</v>
      </c>
      <c r="O25" s="67">
        <v>1</v>
      </c>
      <c r="P25" s="67">
        <v>1</v>
      </c>
      <c r="Q25" s="67">
        <v>1</v>
      </c>
      <c r="R25" s="67">
        <v>1</v>
      </c>
      <c r="S25" s="67">
        <v>0.9</v>
      </c>
      <c r="T25" s="67">
        <v>0.8</v>
      </c>
      <c r="U25" s="67">
        <v>0.7</v>
      </c>
      <c r="V25" s="67">
        <v>0.6</v>
      </c>
      <c r="W25" s="67">
        <v>0.5</v>
      </c>
      <c r="X25" s="67">
        <v>0.5</v>
      </c>
      <c r="Y25" s="67">
        <v>0.4</v>
      </c>
      <c r="Z25" s="67">
        <v>0.3</v>
      </c>
      <c r="AA25" s="67">
        <v>0.3</v>
      </c>
    </row>
    <row r="26" spans="1:27" ht="17.25" customHeight="1">
      <c r="A26" s="66" t="s">
        <v>5910</v>
      </c>
      <c r="B26" s="66" t="s">
        <v>5887</v>
      </c>
      <c r="C26" s="67">
        <v>0.5</v>
      </c>
      <c r="D26" s="67">
        <v>0.5</v>
      </c>
      <c r="E26" s="67">
        <v>0.5</v>
      </c>
      <c r="F26" s="67">
        <v>0.5</v>
      </c>
      <c r="G26" s="67">
        <v>0.5</v>
      </c>
      <c r="H26" s="67">
        <v>0.5</v>
      </c>
      <c r="I26" s="67">
        <v>0.6</v>
      </c>
      <c r="J26" s="67">
        <v>0.8</v>
      </c>
      <c r="K26" s="67">
        <v>0.9</v>
      </c>
      <c r="L26" s="67">
        <v>0.9</v>
      </c>
      <c r="M26" s="67">
        <v>0.9</v>
      </c>
      <c r="N26" s="67">
        <v>0.9</v>
      </c>
      <c r="O26" s="67">
        <v>0.9</v>
      </c>
      <c r="P26" s="67">
        <v>0.9</v>
      </c>
      <c r="Q26" s="67">
        <v>0.9</v>
      </c>
      <c r="R26" s="67">
        <v>0.9</v>
      </c>
      <c r="S26" s="67">
        <v>0.9</v>
      </c>
      <c r="T26" s="67">
        <v>0.8</v>
      </c>
      <c r="U26" s="67">
        <v>0.7</v>
      </c>
      <c r="V26" s="67">
        <v>0.6</v>
      </c>
      <c r="W26" s="67">
        <v>0.6</v>
      </c>
      <c r="X26" s="67">
        <v>0.5</v>
      </c>
      <c r="Y26" s="67">
        <v>0.5</v>
      </c>
      <c r="Z26" s="67">
        <v>0.5</v>
      </c>
      <c r="AA26" s="67">
        <v>0.5</v>
      </c>
    </row>
    <row r="27" spans="1:27" ht="17.25" customHeight="1">
      <c r="A27" s="66" t="s">
        <v>5911</v>
      </c>
      <c r="B27" s="66" t="s">
        <v>5887</v>
      </c>
      <c r="C27" s="67">
        <v>0.9</v>
      </c>
      <c r="D27" s="67">
        <v>0.9</v>
      </c>
      <c r="E27" s="67">
        <v>0.9</v>
      </c>
      <c r="F27" s="67">
        <v>0.9</v>
      </c>
      <c r="G27" s="67">
        <v>0.9</v>
      </c>
      <c r="H27" s="67">
        <v>0.8</v>
      </c>
      <c r="I27" s="67">
        <v>0.7</v>
      </c>
      <c r="J27" s="67">
        <v>0.6</v>
      </c>
      <c r="K27" s="67">
        <v>0.4</v>
      </c>
      <c r="L27" s="67">
        <v>0.2</v>
      </c>
      <c r="M27" s="67">
        <v>0.2</v>
      </c>
      <c r="N27" s="67">
        <v>0.2</v>
      </c>
      <c r="O27" s="67">
        <v>0.2</v>
      </c>
      <c r="P27" s="67">
        <v>0.2</v>
      </c>
      <c r="Q27" s="67">
        <v>0.2</v>
      </c>
      <c r="R27" s="67">
        <v>0.3</v>
      </c>
      <c r="S27" s="67">
        <v>0.4</v>
      </c>
      <c r="T27" s="67">
        <v>0.5</v>
      </c>
      <c r="U27" s="67">
        <v>0.6</v>
      </c>
      <c r="V27" s="67">
        <v>0.7</v>
      </c>
      <c r="W27" s="67">
        <v>0.8</v>
      </c>
      <c r="X27" s="67">
        <v>0.8</v>
      </c>
      <c r="Y27" s="67">
        <v>0.9</v>
      </c>
      <c r="Z27" s="67">
        <v>0.9</v>
      </c>
      <c r="AA27" s="67">
        <v>0.9</v>
      </c>
    </row>
    <row r="28" spans="1:27" ht="17.25" customHeight="1">
      <c r="A28" s="66" t="s">
        <v>5912</v>
      </c>
      <c r="B28" s="66" t="s">
        <v>5887</v>
      </c>
      <c r="C28" s="67">
        <v>0.2</v>
      </c>
      <c r="D28" s="67">
        <v>0.2</v>
      </c>
      <c r="E28" s="67">
        <v>0.2</v>
      </c>
      <c r="F28" s="67">
        <v>0.2</v>
      </c>
      <c r="G28" s="67">
        <v>0.2</v>
      </c>
      <c r="H28" s="67">
        <v>0.3</v>
      </c>
      <c r="I28" s="67">
        <v>0.4</v>
      </c>
      <c r="J28" s="67">
        <v>0.3</v>
      </c>
      <c r="K28" s="67">
        <v>0.2</v>
      </c>
      <c r="L28" s="67">
        <v>0.1</v>
      </c>
      <c r="M28" s="67">
        <v>0.1</v>
      </c>
      <c r="N28" s="67">
        <v>0.1</v>
      </c>
      <c r="O28" s="67">
        <v>0.1</v>
      </c>
      <c r="P28" s="67">
        <v>0.1</v>
      </c>
      <c r="Q28" s="67">
        <v>0.1</v>
      </c>
      <c r="R28" s="67">
        <v>0.1</v>
      </c>
      <c r="S28" s="67">
        <v>0.2</v>
      </c>
      <c r="T28" s="67">
        <v>0.3</v>
      </c>
      <c r="U28" s="67">
        <v>0.5</v>
      </c>
      <c r="V28" s="67">
        <v>0.7</v>
      </c>
      <c r="W28" s="67">
        <v>0.8</v>
      </c>
      <c r="X28" s="67">
        <v>0.8</v>
      </c>
      <c r="Y28" s="67">
        <v>0.6</v>
      </c>
      <c r="Z28" s="67">
        <v>0.4</v>
      </c>
      <c r="AA28" s="67">
        <v>0.4</v>
      </c>
    </row>
    <row r="29" spans="1:27" ht="17.25" customHeight="1">
      <c r="A29" s="66" t="s">
        <v>5913</v>
      </c>
      <c r="B29" s="66" t="s">
        <v>5887</v>
      </c>
      <c r="C29" s="67">
        <v>0.3</v>
      </c>
      <c r="D29" s="67">
        <v>0.3</v>
      </c>
      <c r="E29" s="67">
        <v>0.3</v>
      </c>
      <c r="F29" s="67">
        <v>0.3</v>
      </c>
      <c r="G29" s="67">
        <v>0.3</v>
      </c>
      <c r="H29" s="67">
        <v>0.4</v>
      </c>
      <c r="I29" s="67">
        <v>0.5</v>
      </c>
      <c r="J29" s="67">
        <v>0.6</v>
      </c>
      <c r="K29" s="67">
        <v>0.5</v>
      </c>
      <c r="L29" s="67">
        <v>0.4</v>
      </c>
      <c r="M29" s="67">
        <v>0.3</v>
      </c>
      <c r="N29" s="67">
        <v>0.3</v>
      </c>
      <c r="O29" s="67">
        <v>0.3</v>
      </c>
      <c r="P29" s="67">
        <v>0.3</v>
      </c>
      <c r="Q29" s="67">
        <v>0.3</v>
      </c>
      <c r="R29" s="67">
        <v>0.3</v>
      </c>
      <c r="S29" s="67">
        <v>0.4</v>
      </c>
      <c r="T29" s="67">
        <v>0.5</v>
      </c>
      <c r="U29" s="67">
        <v>0.6</v>
      </c>
      <c r="V29" s="67">
        <v>0.7</v>
      </c>
      <c r="W29" s="67">
        <v>0.8</v>
      </c>
      <c r="X29" s="67">
        <v>0.8</v>
      </c>
      <c r="Y29" s="67">
        <v>0.7</v>
      </c>
      <c r="Z29" s="67">
        <v>0.5</v>
      </c>
      <c r="AA29" s="67">
        <v>0.5</v>
      </c>
    </row>
    <row r="30" spans="1:27" ht="17.25" customHeight="1">
      <c r="A30" s="66" t="s">
        <v>5914</v>
      </c>
      <c r="B30" s="66" t="s">
        <v>5887</v>
      </c>
      <c r="C30" s="67">
        <v>0</v>
      </c>
      <c r="D30" s="67">
        <v>0</v>
      </c>
      <c r="E30" s="67">
        <v>0</v>
      </c>
      <c r="F30" s="67">
        <v>0</v>
      </c>
      <c r="G30" s="67">
        <v>0</v>
      </c>
      <c r="H30" s="67">
        <v>0</v>
      </c>
      <c r="I30" s="67">
        <v>0.1</v>
      </c>
      <c r="J30" s="67">
        <v>0.2</v>
      </c>
      <c r="K30" s="67">
        <v>0.95</v>
      </c>
      <c r="L30" s="67">
        <v>0.95</v>
      </c>
      <c r="M30" s="67">
        <v>0.95</v>
      </c>
      <c r="N30" s="67">
        <v>0.95</v>
      </c>
      <c r="O30" s="67">
        <v>0.5</v>
      </c>
      <c r="P30" s="67">
        <v>0.95</v>
      </c>
      <c r="Q30" s="67">
        <v>0.95</v>
      </c>
      <c r="R30" s="67">
        <v>0.95</v>
      </c>
      <c r="S30" s="67">
        <v>0.95</v>
      </c>
      <c r="T30" s="67">
        <v>0.3</v>
      </c>
      <c r="U30" s="67">
        <v>0.1</v>
      </c>
      <c r="V30" s="67">
        <v>0.1</v>
      </c>
      <c r="W30" s="67">
        <v>0.05</v>
      </c>
      <c r="X30" s="67">
        <v>0.05</v>
      </c>
      <c r="Y30" s="67">
        <v>0.05</v>
      </c>
      <c r="Z30" s="67">
        <v>0</v>
      </c>
      <c r="AA30" s="67">
        <v>0</v>
      </c>
    </row>
    <row r="31" spans="1:27" ht="17.25" customHeight="1">
      <c r="A31" s="66" t="s">
        <v>5915</v>
      </c>
      <c r="B31" s="66" t="s">
        <v>5887</v>
      </c>
      <c r="C31" s="67">
        <v>0</v>
      </c>
      <c r="D31" s="67">
        <v>0</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row>
    <row r="32" spans="1:27" ht="17.25" customHeight="1">
      <c r="A32" s="66" t="s">
        <v>5916</v>
      </c>
      <c r="B32" s="66" t="s">
        <v>5887</v>
      </c>
      <c r="C32" s="67">
        <v>0.05</v>
      </c>
      <c r="D32" s="67">
        <v>0.05</v>
      </c>
      <c r="E32" s="67">
        <v>0.05</v>
      </c>
      <c r="F32" s="67">
        <v>0.05</v>
      </c>
      <c r="G32" s="67">
        <v>0.05</v>
      </c>
      <c r="H32" s="67">
        <v>0.1</v>
      </c>
      <c r="I32" s="67">
        <v>0.3</v>
      </c>
      <c r="J32" s="67">
        <v>0.9</v>
      </c>
      <c r="K32" s="67">
        <v>0.9</v>
      </c>
      <c r="L32" s="67">
        <v>0.9</v>
      </c>
      <c r="M32" s="67">
        <v>0.9</v>
      </c>
      <c r="N32" s="67">
        <v>0.9</v>
      </c>
      <c r="O32" s="67">
        <v>0.9</v>
      </c>
      <c r="P32" s="67">
        <v>0.9</v>
      </c>
      <c r="Q32" s="67">
        <v>0.9</v>
      </c>
      <c r="R32" s="67">
        <v>0.9</v>
      </c>
      <c r="S32" s="67">
        <v>0.9</v>
      </c>
      <c r="T32" s="67">
        <v>0.5</v>
      </c>
      <c r="U32" s="67">
        <v>0.3</v>
      </c>
      <c r="V32" s="67">
        <v>0.2</v>
      </c>
      <c r="W32" s="67">
        <v>0.1</v>
      </c>
      <c r="X32" s="67">
        <v>0.1</v>
      </c>
      <c r="Y32" s="67">
        <v>0.05</v>
      </c>
      <c r="Z32" s="67">
        <v>0.05</v>
      </c>
      <c r="AA32" s="67">
        <v>0.05</v>
      </c>
    </row>
    <row r="33" spans="1:27" ht="17.25" customHeight="1">
      <c r="A33" s="66" t="s">
        <v>5917</v>
      </c>
      <c r="B33" s="66" t="s">
        <v>5887</v>
      </c>
      <c r="C33" s="67">
        <v>0.05</v>
      </c>
      <c r="D33" s="67">
        <v>0.05</v>
      </c>
      <c r="E33" s="67">
        <v>0.05</v>
      </c>
      <c r="F33" s="67">
        <v>0.05</v>
      </c>
      <c r="G33" s="67">
        <v>0.05</v>
      </c>
      <c r="H33" s="67">
        <v>0.05</v>
      </c>
      <c r="I33" s="67">
        <v>0.05</v>
      </c>
      <c r="J33" s="67">
        <v>0.05</v>
      </c>
      <c r="K33" s="67">
        <v>0.05</v>
      </c>
      <c r="L33" s="67">
        <v>0.05</v>
      </c>
      <c r="M33" s="67">
        <v>0.05</v>
      </c>
      <c r="N33" s="67">
        <v>0.05</v>
      </c>
      <c r="O33" s="67">
        <v>0.05</v>
      </c>
      <c r="P33" s="67">
        <v>0.05</v>
      </c>
      <c r="Q33" s="67">
        <v>0.05</v>
      </c>
      <c r="R33" s="67">
        <v>0.05</v>
      </c>
      <c r="S33" s="67">
        <v>0.05</v>
      </c>
      <c r="T33" s="67">
        <v>0.05</v>
      </c>
      <c r="U33" s="67">
        <v>0.05</v>
      </c>
      <c r="V33" s="67">
        <v>0.05</v>
      </c>
      <c r="W33" s="67">
        <v>0.05</v>
      </c>
      <c r="X33" s="67">
        <v>0.05</v>
      </c>
      <c r="Y33" s="67">
        <v>0.05</v>
      </c>
      <c r="Z33" s="67">
        <v>0.05</v>
      </c>
      <c r="AA33" s="67">
        <v>0.05</v>
      </c>
    </row>
    <row r="34" spans="1:27" ht="17.25" customHeight="1">
      <c r="A34" s="66" t="s">
        <v>5918</v>
      </c>
      <c r="B34" s="66" t="s">
        <v>5887</v>
      </c>
      <c r="C34" s="67">
        <v>0.4</v>
      </c>
      <c r="D34" s="67">
        <v>0.4</v>
      </c>
      <c r="E34" s="67">
        <v>0.4</v>
      </c>
      <c r="F34" s="67">
        <v>0.4</v>
      </c>
      <c r="G34" s="67">
        <v>0.4</v>
      </c>
      <c r="H34" s="67">
        <v>0.4</v>
      </c>
      <c r="I34" s="67">
        <v>0.4</v>
      </c>
      <c r="J34" s="67">
        <v>0.9</v>
      </c>
      <c r="K34" s="67">
        <v>0.9</v>
      </c>
      <c r="L34" s="67">
        <v>0.9</v>
      </c>
      <c r="M34" s="67">
        <v>0.9</v>
      </c>
      <c r="N34" s="67">
        <v>0.9</v>
      </c>
      <c r="O34" s="67">
        <v>0.9</v>
      </c>
      <c r="P34" s="67">
        <v>0.9</v>
      </c>
      <c r="Q34" s="67">
        <v>0.9</v>
      </c>
      <c r="R34" s="67">
        <v>0.9</v>
      </c>
      <c r="S34" s="67">
        <v>0.9</v>
      </c>
      <c r="T34" s="67">
        <v>0.5</v>
      </c>
      <c r="U34" s="67">
        <v>0.4</v>
      </c>
      <c r="V34" s="67">
        <v>0.4</v>
      </c>
      <c r="W34" s="67">
        <v>0.4</v>
      </c>
      <c r="X34" s="67">
        <v>0.4</v>
      </c>
      <c r="Y34" s="67">
        <v>0.4</v>
      </c>
      <c r="Z34" s="67">
        <v>0.4</v>
      </c>
      <c r="AA34" s="67">
        <v>0.4</v>
      </c>
    </row>
    <row r="35" spans="1:27" ht="17.25" customHeight="1">
      <c r="A35" s="66" t="s">
        <v>5919</v>
      </c>
      <c r="B35" s="66" t="s">
        <v>5887</v>
      </c>
      <c r="C35" s="67">
        <v>0.3</v>
      </c>
      <c r="D35" s="67">
        <v>0.3</v>
      </c>
      <c r="E35" s="67">
        <v>0.3</v>
      </c>
      <c r="F35" s="67">
        <v>0.3</v>
      </c>
      <c r="G35" s="67">
        <v>0.3</v>
      </c>
      <c r="H35" s="67">
        <v>0.3</v>
      </c>
      <c r="I35" s="67">
        <v>0.3</v>
      </c>
      <c r="J35" s="67">
        <v>0.3</v>
      </c>
      <c r="K35" s="67">
        <v>0.3</v>
      </c>
      <c r="L35" s="67">
        <v>0.3</v>
      </c>
      <c r="M35" s="67">
        <v>0.3</v>
      </c>
      <c r="N35" s="67">
        <v>0.3</v>
      </c>
      <c r="O35" s="67">
        <v>0.3</v>
      </c>
      <c r="P35" s="67">
        <v>0.3</v>
      </c>
      <c r="Q35" s="67">
        <v>0.3</v>
      </c>
      <c r="R35" s="67">
        <v>0.3</v>
      </c>
      <c r="S35" s="67">
        <v>0.3</v>
      </c>
      <c r="T35" s="67">
        <v>0.3</v>
      </c>
      <c r="U35" s="67">
        <v>0.3</v>
      </c>
      <c r="V35" s="67">
        <v>0.3</v>
      </c>
      <c r="W35" s="67">
        <v>0.3</v>
      </c>
      <c r="X35" s="67">
        <v>0.3</v>
      </c>
      <c r="Y35" s="67">
        <v>0.3</v>
      </c>
      <c r="Z35" s="67">
        <v>0.3</v>
      </c>
      <c r="AA35" s="67">
        <v>0.3</v>
      </c>
    </row>
    <row r="36" spans="1:27" ht="17.25" customHeight="1">
      <c r="A36" s="66" t="s">
        <v>5920</v>
      </c>
      <c r="B36" s="66" t="s">
        <v>5921</v>
      </c>
      <c r="C36" s="67">
        <v>15</v>
      </c>
      <c r="D36" s="67">
        <v>15</v>
      </c>
      <c r="E36" s="67">
        <v>15</v>
      </c>
      <c r="F36" s="67">
        <v>15</v>
      </c>
      <c r="G36" s="67">
        <v>15</v>
      </c>
      <c r="H36" s="67">
        <v>15</v>
      </c>
      <c r="I36" s="67">
        <v>15</v>
      </c>
      <c r="J36" s="67">
        <v>20</v>
      </c>
      <c r="K36" s="67">
        <v>20</v>
      </c>
      <c r="L36" s="67">
        <v>20</v>
      </c>
      <c r="M36" s="67">
        <v>20</v>
      </c>
      <c r="N36" s="67">
        <v>20</v>
      </c>
      <c r="O36" s="67">
        <v>20</v>
      </c>
      <c r="P36" s="67">
        <v>20</v>
      </c>
      <c r="Q36" s="67">
        <v>20</v>
      </c>
      <c r="R36" s="67">
        <v>20</v>
      </c>
      <c r="S36" s="67">
        <v>20</v>
      </c>
      <c r="T36" s="67">
        <v>20</v>
      </c>
      <c r="U36" s="67">
        <v>20</v>
      </c>
      <c r="V36" s="67">
        <v>15</v>
      </c>
      <c r="W36" s="67">
        <v>15</v>
      </c>
      <c r="X36" s="67">
        <v>15</v>
      </c>
      <c r="Y36" s="67">
        <v>15</v>
      </c>
      <c r="Z36" s="67">
        <v>15</v>
      </c>
      <c r="AA36" s="67">
        <v>15</v>
      </c>
    </row>
    <row r="37" spans="1:27" ht="17.25" customHeight="1">
      <c r="A37" s="66" t="s">
        <v>5922</v>
      </c>
      <c r="B37" s="66" t="s">
        <v>5921</v>
      </c>
      <c r="C37" s="67">
        <v>15</v>
      </c>
      <c r="D37" s="67">
        <v>15</v>
      </c>
      <c r="E37" s="67">
        <v>15</v>
      </c>
      <c r="F37" s="67">
        <v>15</v>
      </c>
      <c r="G37" s="67">
        <v>15</v>
      </c>
      <c r="H37" s="67">
        <v>15</v>
      </c>
      <c r="I37" s="67">
        <v>15</v>
      </c>
      <c r="J37" s="67">
        <v>15</v>
      </c>
      <c r="K37" s="67">
        <v>15</v>
      </c>
      <c r="L37" s="67">
        <v>15</v>
      </c>
      <c r="M37" s="67">
        <v>15</v>
      </c>
      <c r="N37" s="67">
        <v>15</v>
      </c>
      <c r="O37" s="67">
        <v>15</v>
      </c>
      <c r="P37" s="67">
        <v>15</v>
      </c>
      <c r="Q37" s="67">
        <v>15</v>
      </c>
      <c r="R37" s="67">
        <v>15</v>
      </c>
      <c r="S37" s="67">
        <v>15</v>
      </c>
      <c r="T37" s="67">
        <v>15</v>
      </c>
      <c r="U37" s="67">
        <v>15</v>
      </c>
      <c r="V37" s="67">
        <v>15</v>
      </c>
      <c r="W37" s="67">
        <v>15</v>
      </c>
      <c r="X37" s="67">
        <v>15</v>
      </c>
      <c r="Y37" s="67">
        <v>15</v>
      </c>
      <c r="Z37" s="67">
        <v>15</v>
      </c>
      <c r="AA37" s="67">
        <v>15</v>
      </c>
    </row>
    <row r="38" spans="1:27" ht="17.25" customHeight="1">
      <c r="A38" s="66" t="s">
        <v>5923</v>
      </c>
      <c r="B38" s="66" t="s">
        <v>5921</v>
      </c>
      <c r="C38" s="67">
        <v>30</v>
      </c>
      <c r="D38" s="67">
        <v>30</v>
      </c>
      <c r="E38" s="67">
        <v>30</v>
      </c>
      <c r="F38" s="67">
        <v>30</v>
      </c>
      <c r="G38" s="67">
        <v>30</v>
      </c>
      <c r="H38" s="67">
        <v>30</v>
      </c>
      <c r="I38" s="67">
        <v>30</v>
      </c>
      <c r="J38" s="67">
        <v>26</v>
      </c>
      <c r="K38" s="67">
        <v>26</v>
      </c>
      <c r="L38" s="67">
        <v>26</v>
      </c>
      <c r="M38" s="67">
        <v>26</v>
      </c>
      <c r="N38" s="67">
        <v>26</v>
      </c>
      <c r="O38" s="67">
        <v>26</v>
      </c>
      <c r="P38" s="67">
        <v>26</v>
      </c>
      <c r="Q38" s="67">
        <v>26</v>
      </c>
      <c r="R38" s="67">
        <v>26</v>
      </c>
      <c r="S38" s="67">
        <v>26</v>
      </c>
      <c r="T38" s="67">
        <v>26</v>
      </c>
      <c r="U38" s="67">
        <v>26</v>
      </c>
      <c r="V38" s="67">
        <v>30</v>
      </c>
      <c r="W38" s="67">
        <v>30</v>
      </c>
      <c r="X38" s="67">
        <v>30</v>
      </c>
      <c r="Y38" s="67">
        <v>30</v>
      </c>
      <c r="Z38" s="67">
        <v>30</v>
      </c>
      <c r="AA38" s="67">
        <v>30</v>
      </c>
    </row>
    <row r="39" spans="1:27" ht="17.25" customHeight="1">
      <c r="A39" s="66" t="s">
        <v>5924</v>
      </c>
      <c r="B39" s="66" t="s">
        <v>5921</v>
      </c>
      <c r="C39" s="67">
        <v>30</v>
      </c>
      <c r="D39" s="67">
        <v>30</v>
      </c>
      <c r="E39" s="67">
        <v>30</v>
      </c>
      <c r="F39" s="67">
        <v>30</v>
      </c>
      <c r="G39" s="67">
        <v>30</v>
      </c>
      <c r="H39" s="67">
        <v>30</v>
      </c>
      <c r="I39" s="67">
        <v>30</v>
      </c>
      <c r="J39" s="67">
        <v>30</v>
      </c>
      <c r="K39" s="67">
        <v>30</v>
      </c>
      <c r="L39" s="67">
        <v>30</v>
      </c>
      <c r="M39" s="67">
        <v>30</v>
      </c>
      <c r="N39" s="67">
        <v>30</v>
      </c>
      <c r="O39" s="67">
        <v>30</v>
      </c>
      <c r="P39" s="67">
        <v>30</v>
      </c>
      <c r="Q39" s="67">
        <v>30</v>
      </c>
      <c r="R39" s="67">
        <v>30</v>
      </c>
      <c r="S39" s="67">
        <v>30</v>
      </c>
      <c r="T39" s="67">
        <v>30</v>
      </c>
      <c r="U39" s="67">
        <v>30</v>
      </c>
      <c r="V39" s="67">
        <v>30</v>
      </c>
      <c r="W39" s="67">
        <v>30</v>
      </c>
      <c r="X39" s="67">
        <v>30</v>
      </c>
      <c r="Y39" s="67">
        <v>30</v>
      </c>
      <c r="Z39" s="67">
        <v>30</v>
      </c>
      <c r="AA39" s="67">
        <v>30</v>
      </c>
    </row>
    <row r="40" spans="1:27" ht="17.25" customHeight="1">
      <c r="A40" s="66" t="s">
        <v>5925</v>
      </c>
      <c r="B40" s="66" t="s">
        <v>5921</v>
      </c>
      <c r="C40" s="67">
        <v>20</v>
      </c>
      <c r="D40" s="67">
        <v>20</v>
      </c>
      <c r="E40" s="67">
        <v>20</v>
      </c>
      <c r="F40" s="67">
        <v>20</v>
      </c>
      <c r="G40" s="67">
        <v>20</v>
      </c>
      <c r="H40" s="67">
        <v>20</v>
      </c>
      <c r="I40" s="67">
        <v>20</v>
      </c>
      <c r="J40" s="67">
        <v>20</v>
      </c>
      <c r="K40" s="67">
        <v>20</v>
      </c>
      <c r="L40" s="67">
        <v>20</v>
      </c>
      <c r="M40" s="67">
        <v>20</v>
      </c>
      <c r="N40" s="67">
        <v>20</v>
      </c>
      <c r="O40" s="67">
        <v>20</v>
      </c>
      <c r="P40" s="67">
        <v>20</v>
      </c>
      <c r="Q40" s="67">
        <v>20</v>
      </c>
      <c r="R40" s="67">
        <v>20</v>
      </c>
      <c r="S40" s="67">
        <v>20</v>
      </c>
      <c r="T40" s="67">
        <v>20</v>
      </c>
      <c r="U40" s="67">
        <v>20</v>
      </c>
      <c r="V40" s="67">
        <v>20</v>
      </c>
      <c r="W40" s="67">
        <v>20</v>
      </c>
      <c r="X40" s="67">
        <v>20</v>
      </c>
      <c r="Y40" s="67">
        <v>20</v>
      </c>
      <c r="Z40" s="67">
        <v>20</v>
      </c>
      <c r="AA40" s="67">
        <v>20</v>
      </c>
    </row>
    <row r="41" spans="1:27" ht="17.25" customHeight="1">
      <c r="A41" s="66" t="s">
        <v>5926</v>
      </c>
      <c r="B41" s="66" t="s">
        <v>5921</v>
      </c>
      <c r="C41" s="67">
        <v>26</v>
      </c>
      <c r="D41" s="67">
        <v>26</v>
      </c>
      <c r="E41" s="67">
        <v>26</v>
      </c>
      <c r="F41" s="67">
        <v>26</v>
      </c>
      <c r="G41" s="67">
        <v>26</v>
      </c>
      <c r="H41" s="67">
        <v>26</v>
      </c>
      <c r="I41" s="67">
        <v>26</v>
      </c>
      <c r="J41" s="67">
        <v>26</v>
      </c>
      <c r="K41" s="67">
        <v>26</v>
      </c>
      <c r="L41" s="67">
        <v>26</v>
      </c>
      <c r="M41" s="67">
        <v>26</v>
      </c>
      <c r="N41" s="67">
        <v>26</v>
      </c>
      <c r="O41" s="67">
        <v>26</v>
      </c>
      <c r="P41" s="67">
        <v>26</v>
      </c>
      <c r="Q41" s="67">
        <v>26</v>
      </c>
      <c r="R41" s="67">
        <v>26</v>
      </c>
      <c r="S41" s="67">
        <v>26</v>
      </c>
      <c r="T41" s="67">
        <v>26</v>
      </c>
      <c r="U41" s="67">
        <v>26</v>
      </c>
      <c r="V41" s="67">
        <v>26</v>
      </c>
      <c r="W41" s="67">
        <v>26</v>
      </c>
      <c r="X41" s="67">
        <v>26</v>
      </c>
      <c r="Y41" s="67">
        <v>26</v>
      </c>
      <c r="Z41" s="67">
        <v>26</v>
      </c>
      <c r="AA41" s="67">
        <v>26</v>
      </c>
    </row>
    <row r="42" spans="1:27" ht="17.25" customHeight="1">
      <c r="A42" s="66" t="s">
        <v>5927</v>
      </c>
      <c r="B42" s="66" t="s">
        <v>5921</v>
      </c>
      <c r="C42" s="67">
        <v>22</v>
      </c>
      <c r="D42" s="67">
        <v>22</v>
      </c>
      <c r="E42" s="67">
        <v>22</v>
      </c>
      <c r="F42" s="67">
        <v>22</v>
      </c>
      <c r="G42" s="67">
        <v>22</v>
      </c>
      <c r="H42" s="67">
        <v>22</v>
      </c>
      <c r="I42" s="67">
        <v>22</v>
      </c>
      <c r="J42" s="67">
        <v>22</v>
      </c>
      <c r="K42" s="67">
        <v>22</v>
      </c>
      <c r="L42" s="67">
        <v>22</v>
      </c>
      <c r="M42" s="67">
        <v>22</v>
      </c>
      <c r="N42" s="67">
        <v>22</v>
      </c>
      <c r="O42" s="67">
        <v>22</v>
      </c>
      <c r="P42" s="67">
        <v>22</v>
      </c>
      <c r="Q42" s="67">
        <v>22</v>
      </c>
      <c r="R42" s="67">
        <v>22</v>
      </c>
      <c r="S42" s="67">
        <v>22</v>
      </c>
      <c r="T42" s="67">
        <v>22</v>
      </c>
      <c r="U42" s="67">
        <v>22</v>
      </c>
      <c r="V42" s="67">
        <v>22</v>
      </c>
      <c r="W42" s="67">
        <v>22</v>
      </c>
      <c r="X42" s="67">
        <v>22</v>
      </c>
      <c r="Y42" s="67">
        <v>22</v>
      </c>
      <c r="Z42" s="67">
        <v>22</v>
      </c>
      <c r="AA42" s="67">
        <v>22</v>
      </c>
    </row>
    <row r="43" spans="1:27" ht="17.25" customHeight="1">
      <c r="A43" s="66" t="s">
        <v>5928</v>
      </c>
      <c r="B43" s="66" t="s">
        <v>5921</v>
      </c>
      <c r="C43" s="67">
        <v>24</v>
      </c>
      <c r="D43" s="67">
        <v>24</v>
      </c>
      <c r="E43" s="67">
        <v>24</v>
      </c>
      <c r="F43" s="67">
        <v>24</v>
      </c>
      <c r="G43" s="67">
        <v>24</v>
      </c>
      <c r="H43" s="67">
        <v>24</v>
      </c>
      <c r="I43" s="67">
        <v>24</v>
      </c>
      <c r="J43" s="67">
        <v>24</v>
      </c>
      <c r="K43" s="67">
        <v>24</v>
      </c>
      <c r="L43" s="67">
        <v>24</v>
      </c>
      <c r="M43" s="67">
        <v>24</v>
      </c>
      <c r="N43" s="67">
        <v>24</v>
      </c>
      <c r="O43" s="67">
        <v>24</v>
      </c>
      <c r="P43" s="67">
        <v>24</v>
      </c>
      <c r="Q43" s="67">
        <v>24</v>
      </c>
      <c r="R43" s="67">
        <v>24</v>
      </c>
      <c r="S43" s="67">
        <v>24</v>
      </c>
      <c r="T43" s="67">
        <v>24</v>
      </c>
      <c r="U43" s="67">
        <v>24</v>
      </c>
      <c r="V43" s="67">
        <v>24</v>
      </c>
      <c r="W43" s="67">
        <v>24</v>
      </c>
      <c r="X43" s="67">
        <v>24</v>
      </c>
      <c r="Y43" s="67">
        <v>24</v>
      </c>
      <c r="Z43" s="67">
        <v>24</v>
      </c>
      <c r="AA43" s="67">
        <v>24</v>
      </c>
    </row>
    <row r="44" spans="1:27" ht="17.25" customHeight="1">
      <c r="A44" s="15" t="s">
        <v>5929</v>
      </c>
      <c r="B44" s="15" t="s">
        <v>5887</v>
      </c>
      <c r="C44" s="15">
        <v>0.01</v>
      </c>
      <c r="D44" s="15">
        <v>0.01</v>
      </c>
      <c r="E44" s="15">
        <v>0.01</v>
      </c>
      <c r="F44" s="15">
        <v>0.01</v>
      </c>
      <c r="G44" s="15">
        <v>0.01</v>
      </c>
      <c r="H44" s="15">
        <v>0.01</v>
      </c>
      <c r="I44" s="15">
        <v>0.01</v>
      </c>
      <c r="J44" s="15">
        <v>0.17</v>
      </c>
      <c r="K44" s="15">
        <v>0.57999999999999996</v>
      </c>
      <c r="L44" s="15">
        <v>0.66</v>
      </c>
      <c r="M44" s="15">
        <v>0.78</v>
      </c>
      <c r="N44" s="15">
        <v>0.82</v>
      </c>
      <c r="O44" s="15">
        <v>0.71</v>
      </c>
      <c r="P44" s="15">
        <v>0.82</v>
      </c>
      <c r="Q44" s="15">
        <v>0.78</v>
      </c>
      <c r="R44" s="15">
        <v>0.74</v>
      </c>
      <c r="S44" s="15">
        <v>0.63</v>
      </c>
      <c r="T44" s="15">
        <v>0.41</v>
      </c>
      <c r="U44" s="15">
        <v>0.18</v>
      </c>
      <c r="V44" s="15">
        <v>0.18</v>
      </c>
      <c r="W44" s="15">
        <v>0.18</v>
      </c>
      <c r="X44" s="15">
        <v>0.1</v>
      </c>
      <c r="Y44" s="15">
        <v>0.01</v>
      </c>
      <c r="Z44" s="15">
        <v>0.01</v>
      </c>
      <c r="AA44" s="15">
        <v>0.01</v>
      </c>
    </row>
    <row r="45" spans="1:27" ht="17.25" customHeight="1">
      <c r="A45" s="15" t="s">
        <v>5930</v>
      </c>
      <c r="B45" s="15" t="s">
        <v>5887</v>
      </c>
      <c r="C45" s="15">
        <v>0.01</v>
      </c>
      <c r="D45" s="15">
        <v>0.01</v>
      </c>
      <c r="E45" s="15">
        <v>0.01</v>
      </c>
      <c r="F45" s="15">
        <v>0.01</v>
      </c>
      <c r="G45" s="15">
        <v>0.01</v>
      </c>
      <c r="H45" s="15">
        <v>0.01</v>
      </c>
      <c r="I45" s="15">
        <v>0.01</v>
      </c>
      <c r="J45" s="15">
        <v>0.01</v>
      </c>
      <c r="K45" s="15">
        <v>0.2</v>
      </c>
      <c r="L45" s="15">
        <v>0.28000000000000003</v>
      </c>
      <c r="M45" s="15">
        <v>0.3</v>
      </c>
      <c r="N45" s="15">
        <v>0.3</v>
      </c>
      <c r="O45" s="15">
        <v>0.24</v>
      </c>
      <c r="P45" s="15">
        <v>0.24</v>
      </c>
      <c r="Q45" s="15">
        <v>0.23</v>
      </c>
      <c r="R45" s="15">
        <v>0.23</v>
      </c>
      <c r="S45" s="15">
        <v>0.23</v>
      </c>
      <c r="T45" s="15">
        <v>0.1</v>
      </c>
      <c r="U45" s="15">
        <v>0.01</v>
      </c>
      <c r="V45" s="15">
        <v>0.01</v>
      </c>
      <c r="W45" s="15">
        <v>0.01</v>
      </c>
      <c r="X45" s="15">
        <v>0.01</v>
      </c>
      <c r="Y45" s="15">
        <v>0.01</v>
      </c>
      <c r="Z45" s="15">
        <v>0.01</v>
      </c>
      <c r="AA45" s="67">
        <v>0.01</v>
      </c>
    </row>
    <row r="46" spans="1:27" ht="17.25" customHeight="1">
      <c r="A46" s="15" t="s">
        <v>5931</v>
      </c>
      <c r="B46" s="15" t="s">
        <v>5887</v>
      </c>
      <c r="C46" s="15">
        <v>0.01</v>
      </c>
      <c r="D46" s="15">
        <v>0.01</v>
      </c>
      <c r="E46" s="15">
        <v>0.01</v>
      </c>
      <c r="F46" s="15">
        <v>0.01</v>
      </c>
      <c r="G46" s="15">
        <v>0.01</v>
      </c>
      <c r="H46" s="15">
        <v>0.01</v>
      </c>
      <c r="I46" s="15">
        <v>0.01</v>
      </c>
      <c r="J46" s="15">
        <v>0.01</v>
      </c>
      <c r="K46" s="15">
        <v>0.01</v>
      </c>
      <c r="L46" s="15">
        <v>0.01</v>
      </c>
      <c r="M46" s="15">
        <v>0.01</v>
      </c>
      <c r="N46" s="15">
        <v>0.01</v>
      </c>
      <c r="O46" s="15">
        <v>0.01</v>
      </c>
      <c r="P46" s="15">
        <v>0.01</v>
      </c>
      <c r="Q46" s="15">
        <v>0.01</v>
      </c>
      <c r="R46" s="15">
        <v>0.01</v>
      </c>
      <c r="S46" s="15">
        <v>0.01</v>
      </c>
      <c r="T46" s="15">
        <v>0.01</v>
      </c>
      <c r="U46" s="15">
        <v>0.01</v>
      </c>
      <c r="V46" s="15">
        <v>0.01</v>
      </c>
      <c r="W46" s="15">
        <v>0.01</v>
      </c>
      <c r="X46" s="15">
        <v>0.01</v>
      </c>
      <c r="Y46" s="15">
        <v>0.01</v>
      </c>
      <c r="Z46" s="15">
        <v>0.01</v>
      </c>
      <c r="AA46" s="15">
        <v>0.01</v>
      </c>
    </row>
    <row r="47" spans="1:27" ht="17.25" customHeight="1">
      <c r="A47" s="15" t="s">
        <v>5932</v>
      </c>
      <c r="B47" s="15" t="s">
        <v>5887</v>
      </c>
      <c r="C47" s="15">
        <v>0.05</v>
      </c>
      <c r="D47" s="15">
        <v>0.05</v>
      </c>
      <c r="E47" s="15">
        <v>0.05</v>
      </c>
      <c r="F47" s="15">
        <v>0.05</v>
      </c>
      <c r="G47" s="15">
        <v>0.05</v>
      </c>
      <c r="H47" s="15">
        <v>0.08</v>
      </c>
      <c r="I47" s="15">
        <v>7.0000000000000007E-2</v>
      </c>
      <c r="J47" s="15">
        <v>0.19</v>
      </c>
      <c r="K47" s="15">
        <v>0.35</v>
      </c>
      <c r="L47" s="15">
        <v>0.38</v>
      </c>
      <c r="M47" s="15">
        <v>0.39</v>
      </c>
      <c r="N47" s="15">
        <v>0.47</v>
      </c>
      <c r="O47" s="15">
        <v>0.56999999999999995</v>
      </c>
      <c r="P47" s="15">
        <v>0.54</v>
      </c>
      <c r="Q47" s="15">
        <v>0.34</v>
      </c>
      <c r="R47" s="15">
        <v>0.33</v>
      </c>
      <c r="S47" s="15">
        <v>0.44</v>
      </c>
      <c r="T47" s="15">
        <v>0.26</v>
      </c>
      <c r="U47" s="15">
        <v>0.21</v>
      </c>
      <c r="V47" s="15">
        <v>0.15</v>
      </c>
      <c r="W47" s="15">
        <v>0.17</v>
      </c>
      <c r="X47" s="15">
        <v>0.08</v>
      </c>
      <c r="Y47" s="15">
        <v>0.05</v>
      </c>
      <c r="Z47" s="15">
        <v>0.05</v>
      </c>
      <c r="AA47" s="15">
        <v>0.05</v>
      </c>
    </row>
    <row r="48" spans="1:27" ht="17.25" customHeight="1">
      <c r="A48" s="15" t="s">
        <v>5933</v>
      </c>
      <c r="B48" s="15" t="s">
        <v>5887</v>
      </c>
      <c r="C48" s="15">
        <v>0.05</v>
      </c>
      <c r="D48" s="15">
        <v>0.05</v>
      </c>
      <c r="E48" s="15">
        <v>0.05</v>
      </c>
      <c r="F48" s="15">
        <v>0.05</v>
      </c>
      <c r="G48" s="15">
        <v>0.05</v>
      </c>
      <c r="H48" s="15">
        <v>0.08</v>
      </c>
      <c r="I48" s="15">
        <v>7.0000000000000007E-2</v>
      </c>
      <c r="J48" s="15">
        <v>0.11</v>
      </c>
      <c r="K48" s="15">
        <v>0.15</v>
      </c>
      <c r="L48" s="15">
        <v>0.21</v>
      </c>
      <c r="M48" s="15">
        <v>0.19</v>
      </c>
      <c r="N48" s="15">
        <v>0.23</v>
      </c>
      <c r="O48" s="15">
        <v>0.3</v>
      </c>
      <c r="P48" s="15">
        <v>0.19</v>
      </c>
      <c r="Q48" s="15">
        <v>0.15</v>
      </c>
      <c r="R48" s="15">
        <v>0.12</v>
      </c>
      <c r="S48" s="15">
        <v>0.14000000000000001</v>
      </c>
      <c r="T48" s="15">
        <v>7.0000000000000007E-2</v>
      </c>
      <c r="U48" s="15">
        <v>7.0000000000000007E-2</v>
      </c>
      <c r="V48" s="15">
        <v>7.0000000000000007E-2</v>
      </c>
      <c r="W48" s="15">
        <v>7.0000000000000007E-2</v>
      </c>
      <c r="X48" s="15">
        <v>0.09</v>
      </c>
      <c r="Y48" s="15">
        <v>0.05</v>
      </c>
      <c r="Z48" s="15">
        <v>0.05</v>
      </c>
      <c r="AA48" s="15">
        <v>0.05</v>
      </c>
    </row>
    <row r="49" spans="1:27" ht="17.25" customHeight="1">
      <c r="A49" s="15" t="s">
        <v>5934</v>
      </c>
      <c r="B49" s="15" t="s">
        <v>5887</v>
      </c>
      <c r="C49" s="15">
        <v>0.04</v>
      </c>
      <c r="D49" s="15">
        <v>0.04</v>
      </c>
      <c r="E49" s="15">
        <v>0.04</v>
      </c>
      <c r="F49" s="15">
        <v>0.04</v>
      </c>
      <c r="G49" s="15">
        <v>0.04</v>
      </c>
      <c r="H49" s="15">
        <v>7.0000000000000007E-2</v>
      </c>
      <c r="I49" s="15">
        <v>0.04</v>
      </c>
      <c r="J49" s="15">
        <v>0.04</v>
      </c>
      <c r="K49" s="15">
        <v>0.04</v>
      </c>
      <c r="L49" s="15">
        <v>0.04</v>
      </c>
      <c r="M49" s="15">
        <v>0.04</v>
      </c>
      <c r="N49" s="15">
        <v>0.06</v>
      </c>
      <c r="O49" s="15">
        <v>0.06</v>
      </c>
      <c r="P49" s="15">
        <v>0.09</v>
      </c>
      <c r="Q49" s="15">
        <v>0.06</v>
      </c>
      <c r="R49" s="15">
        <v>0.04</v>
      </c>
      <c r="S49" s="15">
        <v>0.04</v>
      </c>
      <c r="T49" s="15">
        <v>0.04</v>
      </c>
      <c r="U49" s="15">
        <v>0.04</v>
      </c>
      <c r="V49" s="15">
        <v>0.04</v>
      </c>
      <c r="W49" s="15">
        <v>0.04</v>
      </c>
      <c r="X49" s="15">
        <v>7.0000000000000007E-2</v>
      </c>
      <c r="Y49" s="15">
        <v>0.04</v>
      </c>
      <c r="Z49" s="15">
        <v>0.04</v>
      </c>
      <c r="AA49" s="15">
        <v>0.04</v>
      </c>
    </row>
    <row r="50" spans="1:27" ht="17.25" customHeight="1">
      <c r="A50" s="173" t="s">
        <v>5935</v>
      </c>
      <c r="B50" s="15" t="s">
        <v>5887</v>
      </c>
      <c r="C50" s="15">
        <v>0.04</v>
      </c>
      <c r="D50" s="15">
        <v>0.05</v>
      </c>
      <c r="E50" s="15">
        <v>0.05</v>
      </c>
      <c r="F50" s="15">
        <v>0.04</v>
      </c>
      <c r="G50" s="15">
        <v>0.04</v>
      </c>
      <c r="H50" s="15">
        <v>0.04</v>
      </c>
      <c r="I50" s="15">
        <v>0.04</v>
      </c>
      <c r="J50" s="15">
        <v>0.15</v>
      </c>
      <c r="K50" s="15">
        <v>0.23</v>
      </c>
      <c r="L50" s="15">
        <v>0.32</v>
      </c>
      <c r="M50" s="15">
        <v>0.41</v>
      </c>
      <c r="N50" s="15">
        <v>0.56999999999999995</v>
      </c>
      <c r="O50" s="15">
        <v>0.62</v>
      </c>
      <c r="P50" s="15">
        <v>0.61</v>
      </c>
      <c r="Q50" s="15">
        <v>0.5</v>
      </c>
      <c r="R50" s="15">
        <v>0.45</v>
      </c>
      <c r="S50" s="15">
        <v>0.46</v>
      </c>
      <c r="T50" s="15">
        <v>0.47</v>
      </c>
      <c r="U50" s="15">
        <v>0.42</v>
      </c>
      <c r="V50" s="15">
        <v>0.34</v>
      </c>
      <c r="W50" s="15">
        <v>0.33</v>
      </c>
      <c r="X50" s="15">
        <v>0.23</v>
      </c>
      <c r="Y50" s="15">
        <v>0.13</v>
      </c>
      <c r="Z50" s="15">
        <v>0.08</v>
      </c>
      <c r="AA50" s="15">
        <v>0.08</v>
      </c>
    </row>
    <row r="51" spans="1:27" ht="17.25" customHeight="1">
      <c r="A51" s="173" t="s">
        <v>5936</v>
      </c>
      <c r="B51" s="15" t="s">
        <v>5887</v>
      </c>
      <c r="C51" s="15">
        <v>0.11</v>
      </c>
      <c r="D51" s="15">
        <v>0.1</v>
      </c>
      <c r="E51" s="15">
        <v>0.08</v>
      </c>
      <c r="F51" s="15">
        <v>0.06</v>
      </c>
      <c r="G51" s="15">
        <v>0.06</v>
      </c>
      <c r="H51" s="15">
        <v>0.06</v>
      </c>
      <c r="I51" s="15">
        <v>7.0000000000000007E-2</v>
      </c>
      <c r="J51" s="15">
        <v>0.2</v>
      </c>
      <c r="K51" s="15">
        <v>0.24</v>
      </c>
      <c r="L51" s="15">
        <v>0.27</v>
      </c>
      <c r="M51" s="15">
        <v>0.42</v>
      </c>
      <c r="N51" s="15">
        <v>0.54</v>
      </c>
      <c r="O51" s="15">
        <v>0.59</v>
      </c>
      <c r="P51" s="15">
        <v>0.6</v>
      </c>
      <c r="Q51" s="15">
        <v>0.49</v>
      </c>
      <c r="R51" s="15">
        <v>0.48</v>
      </c>
      <c r="S51" s="15">
        <v>0.47</v>
      </c>
      <c r="T51" s="15">
        <v>0.46</v>
      </c>
      <c r="U51" s="15">
        <v>0.44</v>
      </c>
      <c r="V51" s="15">
        <v>0.36</v>
      </c>
      <c r="W51" s="15">
        <v>0.28999999999999998</v>
      </c>
      <c r="X51" s="15">
        <v>0.22</v>
      </c>
      <c r="Y51" s="15">
        <v>0.16</v>
      </c>
      <c r="Z51" s="15">
        <v>0.13</v>
      </c>
      <c r="AA51" s="15">
        <v>0.13</v>
      </c>
    </row>
    <row r="52" spans="1:27" ht="17.25" customHeight="1">
      <c r="A52" s="173" t="s">
        <v>5937</v>
      </c>
      <c r="B52" s="15" t="s">
        <v>5887</v>
      </c>
      <c r="C52" s="15">
        <v>7.0000000000000007E-2</v>
      </c>
      <c r="D52" s="15">
        <v>7.0000000000000007E-2</v>
      </c>
      <c r="E52" s="15">
        <v>7.0000000000000007E-2</v>
      </c>
      <c r="F52" s="15">
        <v>0.06</v>
      </c>
      <c r="G52" s="15">
        <v>0.06</v>
      </c>
      <c r="H52" s="15">
        <v>0.06</v>
      </c>
      <c r="I52" s="15">
        <v>7.0000000000000007E-2</v>
      </c>
      <c r="J52" s="15">
        <v>0.1</v>
      </c>
      <c r="K52" s="15">
        <v>0.12</v>
      </c>
      <c r="L52" s="15">
        <v>0.14000000000000001</v>
      </c>
      <c r="M52" s="15">
        <v>0.28999999999999998</v>
      </c>
      <c r="N52" s="15">
        <v>0.31</v>
      </c>
      <c r="O52" s="15">
        <v>0.36</v>
      </c>
      <c r="P52" s="15">
        <v>0.36</v>
      </c>
      <c r="Q52" s="15">
        <v>0.34</v>
      </c>
      <c r="R52" s="15">
        <v>0.35</v>
      </c>
      <c r="S52" s="15">
        <v>0.37</v>
      </c>
      <c r="T52" s="15">
        <v>0.34</v>
      </c>
      <c r="U52" s="15">
        <v>0.25</v>
      </c>
      <c r="V52" s="15">
        <v>0.27</v>
      </c>
      <c r="W52" s="15">
        <v>0.21</v>
      </c>
      <c r="X52" s="15">
        <v>0.16</v>
      </c>
      <c r="Y52" s="15">
        <v>0.1</v>
      </c>
      <c r="Z52" s="15">
        <v>0.06</v>
      </c>
      <c r="AA52" s="15">
        <v>0.06</v>
      </c>
    </row>
    <row r="53" spans="1:27" ht="17.25" customHeight="1">
      <c r="A53" s="173" t="s">
        <v>5938</v>
      </c>
      <c r="B53" s="15" t="s">
        <v>5887</v>
      </c>
      <c r="C53" s="15">
        <v>0.05</v>
      </c>
      <c r="D53" s="15">
        <v>0.05</v>
      </c>
      <c r="E53" s="15">
        <v>0.05</v>
      </c>
      <c r="F53" s="15">
        <v>0.05</v>
      </c>
      <c r="G53" s="15">
        <v>0.05</v>
      </c>
      <c r="H53" s="15">
        <v>0.05</v>
      </c>
      <c r="I53" s="15">
        <v>0.05</v>
      </c>
      <c r="J53" s="15">
        <v>0.1</v>
      </c>
      <c r="K53" s="15">
        <v>0.34</v>
      </c>
      <c r="L53" s="15">
        <v>0.6</v>
      </c>
      <c r="M53" s="15">
        <v>0.63</v>
      </c>
      <c r="N53" s="15">
        <v>0.72</v>
      </c>
      <c r="O53" s="15">
        <v>0.79</v>
      </c>
      <c r="P53" s="15">
        <v>0.83</v>
      </c>
      <c r="Q53" s="15">
        <v>0.61</v>
      </c>
      <c r="R53" s="15">
        <v>0.65</v>
      </c>
      <c r="S53" s="15">
        <v>0.1</v>
      </c>
      <c r="T53" s="15">
        <v>0.1</v>
      </c>
      <c r="U53" s="15">
        <v>0.19</v>
      </c>
      <c r="V53" s="15">
        <v>0.25</v>
      </c>
      <c r="W53" s="15">
        <v>0.22</v>
      </c>
      <c r="X53" s="15">
        <v>0.22</v>
      </c>
      <c r="Y53" s="15">
        <v>0.12</v>
      </c>
      <c r="Z53" s="15">
        <v>0.09</v>
      </c>
      <c r="AA53" s="15">
        <v>0.09</v>
      </c>
    </row>
    <row r="54" spans="1:27" ht="17.25" customHeight="1">
      <c r="A54" s="173" t="s">
        <v>5939</v>
      </c>
      <c r="B54" s="15" t="s">
        <v>5887</v>
      </c>
      <c r="C54" s="15">
        <v>0.03</v>
      </c>
      <c r="D54" s="15">
        <v>0.03</v>
      </c>
      <c r="E54" s="15">
        <v>0.03</v>
      </c>
      <c r="F54" s="15">
        <v>0.03</v>
      </c>
      <c r="G54" s="15">
        <v>0.03</v>
      </c>
      <c r="H54" s="15">
        <v>0.03</v>
      </c>
      <c r="I54" s="15">
        <v>0.03</v>
      </c>
      <c r="J54" s="15">
        <v>0.03</v>
      </c>
      <c r="K54" s="15">
        <v>0.05</v>
      </c>
      <c r="L54" s="15">
        <v>0.05</v>
      </c>
      <c r="M54" s="15">
        <v>0.05</v>
      </c>
      <c r="N54" s="15">
        <v>0.05</v>
      </c>
      <c r="O54" s="15">
        <v>0.05</v>
      </c>
      <c r="P54" s="15">
        <v>0.03</v>
      </c>
      <c r="Q54" s="15">
        <v>0.03</v>
      </c>
      <c r="R54" s="15">
        <v>0.03</v>
      </c>
      <c r="S54" s="15">
        <v>0.03</v>
      </c>
      <c r="T54" s="15">
        <v>0.03</v>
      </c>
      <c r="U54" s="15">
        <v>0.03</v>
      </c>
      <c r="V54" s="15">
        <v>0.03</v>
      </c>
      <c r="W54" s="15">
        <v>0.03</v>
      </c>
      <c r="X54" s="15">
        <v>0.03</v>
      </c>
      <c r="Y54" s="15">
        <v>0.03</v>
      </c>
      <c r="Z54" s="15">
        <v>0.03</v>
      </c>
      <c r="AA54" s="15">
        <v>0.03</v>
      </c>
    </row>
    <row r="55" spans="1:27" ht="17.25" customHeight="1">
      <c r="A55" s="173" t="s">
        <v>5940</v>
      </c>
      <c r="B55" s="15" t="s">
        <v>5887</v>
      </c>
      <c r="C55" s="15">
        <v>0.03</v>
      </c>
      <c r="D55" s="15">
        <v>0.03</v>
      </c>
      <c r="E55" s="15">
        <v>0.03</v>
      </c>
      <c r="F55" s="15">
        <v>0.03</v>
      </c>
      <c r="G55" s="15">
        <v>0.03</v>
      </c>
      <c r="H55" s="15">
        <v>0.03</v>
      </c>
      <c r="I55" s="15">
        <v>0.03</v>
      </c>
      <c r="J55" s="15">
        <v>0.05</v>
      </c>
      <c r="K55" s="15">
        <v>0.05</v>
      </c>
      <c r="L55" s="15">
        <v>0.05</v>
      </c>
      <c r="M55" s="15">
        <v>0.05</v>
      </c>
      <c r="N55" s="15">
        <v>0.05</v>
      </c>
      <c r="O55" s="15">
        <v>0.05</v>
      </c>
      <c r="P55" s="15">
        <v>0.05</v>
      </c>
      <c r="Q55" s="15">
        <v>0.03</v>
      </c>
      <c r="R55" s="15">
        <v>0.03</v>
      </c>
      <c r="S55" s="15">
        <v>0.03</v>
      </c>
      <c r="T55" s="15">
        <v>0.03</v>
      </c>
      <c r="U55" s="15">
        <v>0.03</v>
      </c>
      <c r="V55" s="15">
        <v>0.03</v>
      </c>
      <c r="W55" s="15">
        <v>0.03</v>
      </c>
      <c r="X55" s="15">
        <v>0.03</v>
      </c>
      <c r="Y55" s="15">
        <v>0.03</v>
      </c>
      <c r="Z55" s="15">
        <v>0.03</v>
      </c>
      <c r="AA55" s="15">
        <v>0.03</v>
      </c>
    </row>
    <row r="56" spans="1:27" ht="17.25" customHeight="1">
      <c r="A56" s="96" t="s">
        <v>5941</v>
      </c>
      <c r="B56" s="98" t="s">
        <v>5887</v>
      </c>
      <c r="C56" s="174">
        <v>0.01</v>
      </c>
      <c r="D56" s="174">
        <v>0.01</v>
      </c>
      <c r="E56" s="174">
        <v>0.01</v>
      </c>
      <c r="F56" s="174">
        <v>0.01</v>
      </c>
      <c r="G56" s="174">
        <v>0.01</v>
      </c>
      <c r="H56" s="174">
        <v>0.01</v>
      </c>
      <c r="I56" s="174">
        <v>0.3</v>
      </c>
      <c r="J56" s="174">
        <v>0.5</v>
      </c>
      <c r="K56" s="174">
        <v>0.6</v>
      </c>
      <c r="L56" s="174">
        <v>0.6</v>
      </c>
      <c r="M56" s="174">
        <v>0.7</v>
      </c>
      <c r="N56" s="174">
        <v>0.5</v>
      </c>
      <c r="O56" s="174">
        <v>0.4</v>
      </c>
      <c r="P56" s="174">
        <v>0.5</v>
      </c>
      <c r="Q56" s="174">
        <v>0.4</v>
      </c>
      <c r="R56" s="174">
        <v>0.4</v>
      </c>
      <c r="S56" s="174">
        <v>0.4</v>
      </c>
      <c r="T56" s="174">
        <v>0.5</v>
      </c>
      <c r="U56" s="174">
        <v>0.6</v>
      </c>
      <c r="V56" s="174">
        <v>0.5</v>
      </c>
      <c r="W56" s="174">
        <v>0.4</v>
      </c>
      <c r="X56" s="174">
        <v>0.3</v>
      </c>
      <c r="Y56" s="174">
        <v>0.2</v>
      </c>
      <c r="Z56" s="174">
        <v>0.1</v>
      </c>
      <c r="AA56" s="174">
        <v>0.1</v>
      </c>
    </row>
    <row r="57" spans="1:27" ht="17.25" customHeight="1">
      <c r="A57" s="96" t="s">
        <v>5942</v>
      </c>
      <c r="B57" s="98" t="s">
        <v>5887</v>
      </c>
      <c r="C57" s="174">
        <v>0.01</v>
      </c>
      <c r="D57" s="174">
        <v>0.01</v>
      </c>
      <c r="E57" s="174">
        <v>0.01</v>
      </c>
      <c r="F57" s="174">
        <v>0.01</v>
      </c>
      <c r="G57" s="174">
        <v>0.01</v>
      </c>
      <c r="H57" s="174">
        <v>0.01</v>
      </c>
      <c r="I57" s="174">
        <v>0.5</v>
      </c>
      <c r="J57" s="174">
        <v>0.5</v>
      </c>
      <c r="K57" s="174">
        <v>0.4</v>
      </c>
      <c r="L57" s="174">
        <v>0.4</v>
      </c>
      <c r="M57" s="174">
        <v>0.3</v>
      </c>
      <c r="N57" s="174">
        <v>0.2</v>
      </c>
      <c r="O57" s="174">
        <v>0.2</v>
      </c>
      <c r="P57" s="174">
        <v>0.2</v>
      </c>
      <c r="Q57" s="174">
        <v>0.2</v>
      </c>
      <c r="R57" s="174">
        <v>0.2</v>
      </c>
      <c r="S57" s="174">
        <v>0.2</v>
      </c>
      <c r="T57" s="174">
        <v>0.2</v>
      </c>
      <c r="U57" s="174">
        <v>0.4</v>
      </c>
      <c r="V57" s="174">
        <v>0.4</v>
      </c>
      <c r="W57" s="174">
        <v>0.4</v>
      </c>
      <c r="X57" s="174">
        <v>0.4</v>
      </c>
      <c r="Y57" s="174">
        <v>0.2</v>
      </c>
      <c r="Z57" s="174">
        <v>0.1</v>
      </c>
      <c r="AA57" s="174">
        <v>0.1</v>
      </c>
    </row>
    <row r="58" spans="1:27" ht="17.25" customHeight="1">
      <c r="A58" s="173" t="s">
        <v>5943</v>
      </c>
      <c r="B58" s="98" t="s">
        <v>5887</v>
      </c>
      <c r="C58" s="15">
        <v>0</v>
      </c>
      <c r="D58" s="15">
        <v>0</v>
      </c>
      <c r="E58" s="15">
        <v>0</v>
      </c>
      <c r="F58" s="15">
        <v>0</v>
      </c>
      <c r="G58" s="15">
        <v>0</v>
      </c>
      <c r="H58" s="15">
        <v>0</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row>
    <row r="59" spans="1:27" ht="17.25" customHeight="1">
      <c r="A59" s="173" t="s">
        <v>163</v>
      </c>
      <c r="B59" s="15" t="s">
        <v>5887</v>
      </c>
      <c r="C59" s="15">
        <v>0</v>
      </c>
      <c r="D59" s="15">
        <v>0</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row>
    <row r="60" spans="1:27" ht="17.25" customHeight="1">
      <c r="A60" s="173"/>
    </row>
    <row r="61" spans="1:27" ht="17.25" customHeight="1">
      <c r="A61" s="173"/>
    </row>
    <row r="62" spans="1:27" ht="17.25" customHeight="1"/>
    <row r="63" spans="1:27" ht="17.25" customHeight="1"/>
    <row r="64" spans="1:27" ht="17.25" customHeight="1"/>
    <row r="65" spans="2:11" ht="17.25" customHeight="1"/>
    <row r="66" spans="2:11" ht="17.25" customHeight="1"/>
    <row r="67" spans="2:11" ht="17.25" customHeight="1"/>
    <row r="68" spans="2:11" ht="17.25" customHeight="1"/>
    <row r="69" spans="2:11" ht="17.25" customHeight="1"/>
    <row r="70" spans="2:11" ht="17.25" customHeight="1"/>
    <row r="71" spans="2:11" ht="17.25" customHeight="1"/>
    <row r="72" spans="2:11" ht="17.25" customHeight="1"/>
    <row r="73" spans="2:11" ht="17.25" customHeight="1"/>
    <row r="74" spans="2:11" ht="17.25" customHeight="1"/>
    <row r="75" spans="2:11" ht="17.25" customHeight="1"/>
    <row r="76" spans="2:11" ht="17.25" customHeight="1">
      <c r="B76" s="175" t="s">
        <v>5944</v>
      </c>
      <c r="C76" s="175"/>
      <c r="D76" s="175"/>
      <c r="E76" s="175"/>
      <c r="F76" s="175"/>
      <c r="G76" s="175"/>
      <c r="H76" s="175"/>
      <c r="I76" s="175"/>
      <c r="K76" s="176" t="s">
        <v>5945</v>
      </c>
    </row>
    <row r="77" spans="2:11" ht="17.25" customHeight="1">
      <c r="B77" s="177" t="s">
        <v>5946</v>
      </c>
      <c r="C77" s="178" t="s">
        <v>5947</v>
      </c>
      <c r="D77" s="179" t="s">
        <v>5948</v>
      </c>
      <c r="E77" s="180"/>
      <c r="F77" s="180"/>
      <c r="G77" s="180"/>
      <c r="H77" s="180"/>
      <c r="I77" s="181"/>
      <c r="K77" s="58" t="s">
        <v>5949</v>
      </c>
    </row>
    <row r="78" spans="2:11" ht="17.25" customHeight="1">
      <c r="B78" s="182" t="s">
        <v>5950</v>
      </c>
      <c r="C78" s="183" t="s">
        <v>5951</v>
      </c>
      <c r="D78" s="184" t="s">
        <v>5952</v>
      </c>
      <c r="E78" s="185"/>
      <c r="F78" s="185"/>
      <c r="G78" s="185"/>
      <c r="H78" s="185"/>
      <c r="I78" s="186"/>
      <c r="K78" s="58" t="s">
        <v>5953</v>
      </c>
    </row>
    <row r="79" spans="2:11" ht="17.25" customHeight="1">
      <c r="B79" s="182" t="s">
        <v>5954</v>
      </c>
      <c r="C79" s="183" t="s">
        <v>5951</v>
      </c>
      <c r="D79" s="184" t="s">
        <v>5955</v>
      </c>
      <c r="E79" s="185"/>
      <c r="F79" s="185"/>
      <c r="G79" s="185"/>
      <c r="H79" s="185"/>
      <c r="I79" s="186"/>
    </row>
    <row r="80" spans="2:11" ht="17.25" customHeight="1">
      <c r="B80" s="182" t="s">
        <v>5956</v>
      </c>
      <c r="C80" s="183" t="s">
        <v>5951</v>
      </c>
      <c r="D80" s="184" t="s">
        <v>5957</v>
      </c>
      <c r="E80" s="185"/>
      <c r="F80" s="185"/>
      <c r="G80" s="185"/>
      <c r="H80" s="185"/>
      <c r="I80" s="186"/>
    </row>
    <row r="81" spans="2:9" ht="17.25" customHeight="1">
      <c r="B81" s="182" t="s">
        <v>5958</v>
      </c>
      <c r="C81" s="183" t="s">
        <v>5959</v>
      </c>
      <c r="D81" s="184" t="s">
        <v>5960</v>
      </c>
      <c r="E81" s="185"/>
      <c r="F81" s="185"/>
      <c r="G81" s="185"/>
      <c r="H81" s="185"/>
      <c r="I81" s="186"/>
    </row>
    <row r="82" spans="2:9" ht="17.25" customHeight="1">
      <c r="B82" s="182" t="s">
        <v>5961</v>
      </c>
      <c r="C82" s="183" t="s">
        <v>5959</v>
      </c>
      <c r="D82" s="184" t="s">
        <v>5962</v>
      </c>
      <c r="E82" s="185"/>
      <c r="F82" s="185"/>
      <c r="G82" s="185"/>
      <c r="H82" s="185"/>
      <c r="I82" s="186"/>
    </row>
    <row r="83" spans="2:9" ht="17.25" customHeight="1">
      <c r="B83" s="182" t="s">
        <v>5963</v>
      </c>
      <c r="C83" s="183" t="s">
        <v>5959</v>
      </c>
      <c r="D83" s="184" t="s">
        <v>5964</v>
      </c>
      <c r="E83" s="185"/>
      <c r="F83" s="185"/>
      <c r="G83" s="185"/>
      <c r="H83" s="185"/>
      <c r="I83" s="186"/>
    </row>
    <row r="84" spans="2:9" ht="17.25" customHeight="1">
      <c r="B84" s="182" t="s">
        <v>5965</v>
      </c>
      <c r="C84" s="183" t="s">
        <v>5966</v>
      </c>
      <c r="D84" s="184" t="s">
        <v>5967</v>
      </c>
      <c r="E84" s="185"/>
      <c r="F84" s="185"/>
      <c r="G84" s="185"/>
      <c r="H84" s="185"/>
      <c r="I84" s="186"/>
    </row>
    <row r="85" spans="2:9" ht="17.25" customHeight="1">
      <c r="B85" s="182" t="s">
        <v>5968</v>
      </c>
      <c r="C85" s="183" t="s">
        <v>5969</v>
      </c>
      <c r="D85" s="184" t="s">
        <v>5970</v>
      </c>
      <c r="E85" s="185"/>
      <c r="F85" s="185"/>
      <c r="G85" s="185"/>
      <c r="H85" s="185"/>
      <c r="I85" s="186"/>
    </row>
    <row r="86" spans="2:9" ht="17.25" customHeight="1">
      <c r="B86" s="182" t="s">
        <v>5971</v>
      </c>
      <c r="C86" s="183" t="s">
        <v>5971</v>
      </c>
      <c r="D86" s="184" t="s">
        <v>5972</v>
      </c>
      <c r="E86" s="185"/>
      <c r="F86" s="185"/>
      <c r="G86" s="185"/>
      <c r="H86" s="185"/>
      <c r="I86" s="186"/>
    </row>
    <row r="87" spans="2:9" ht="17.25" customHeight="1">
      <c r="B87" s="182" t="s">
        <v>5973</v>
      </c>
      <c r="C87" s="183" t="s">
        <v>5974</v>
      </c>
      <c r="D87" s="184" t="s">
        <v>5975</v>
      </c>
      <c r="E87" s="185"/>
      <c r="F87" s="185"/>
      <c r="G87" s="185"/>
      <c r="H87" s="185"/>
      <c r="I87" s="186"/>
    </row>
    <row r="88" spans="2:9" ht="17.25" customHeight="1">
      <c r="B88" s="182" t="s">
        <v>5976</v>
      </c>
      <c r="C88" s="183" t="s">
        <v>5977</v>
      </c>
      <c r="D88" s="184" t="s">
        <v>5978</v>
      </c>
      <c r="E88" s="185"/>
      <c r="F88" s="185"/>
      <c r="G88" s="185"/>
      <c r="H88" s="185"/>
      <c r="I88" s="186"/>
    </row>
    <row r="89" spans="2:9" ht="17.25" customHeight="1">
      <c r="B89" s="187" t="s">
        <v>5979</v>
      </c>
      <c r="C89" s="188" t="s">
        <v>5980</v>
      </c>
      <c r="D89" s="189" t="s">
        <v>5981</v>
      </c>
      <c r="E89" s="190"/>
      <c r="F89" s="190"/>
      <c r="G89" s="190"/>
      <c r="H89" s="190"/>
      <c r="I89" s="191"/>
    </row>
    <row r="90" spans="2:9" ht="17.25" customHeight="1"/>
    <row r="91" spans="2:9" ht="17.25" customHeight="1"/>
    <row r="92" spans="2:9" ht="17.25" customHeight="1"/>
    <row r="93" spans="2:9" ht="17.25" customHeight="1"/>
    <row r="94" spans="2:9" ht="17.25" customHeight="1"/>
    <row r="95" spans="2:9" ht="17.25" customHeight="1"/>
    <row r="96" spans="2:9"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sheetData>
  <mergeCells count="1">
    <mergeCell ref="C1:AA1"/>
  </mergeCells>
  <conditionalFormatting sqref="A4:A33">
    <cfRule type="containsBlanks" dxfId="12" priority="1">
      <formula>LEN(TRIM(A4))=0</formula>
    </cfRule>
  </conditionalFormatting>
  <conditionalFormatting sqref="B4:AA33">
    <cfRule type="containsBlanks" dxfId="11" priority="2">
      <formula>LEN(TRIM(B4))=0</formula>
    </cfRule>
  </conditionalFormatting>
  <dataValidations count="1">
    <dataValidation type="list" allowBlank="1" showErrorMessage="1" sqref="B3:B33" xr:uid="{00000000-0002-0000-2000-000000000000}">
      <formula1>"Fraction,Temperature"</formula1>
    </dataValidation>
  </dataValidations>
  <hyperlinks>
    <hyperlink ref="K76" r:id="rId1" xr:uid="{00000000-0004-0000-2000-000000000000}"/>
  </hyperlinks>
  <pageMargins left="0.7" right="0.7" top="0.75" bottom="0.75" header="0" footer="0"/>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7"/>
  </sheetPr>
  <dimension ref="A1:Z1000"/>
  <sheetViews>
    <sheetView topLeftCell="A29" workbookViewId="0">
      <selection activeCell="H52" sqref="H52"/>
    </sheetView>
  </sheetViews>
  <sheetFormatPr baseColWidth="10" defaultColWidth="11.28515625" defaultRowHeight="15" customHeight="1"/>
  <cols>
    <col min="1" max="1" width="33" customWidth="1"/>
    <col min="2" max="2" width="17.85546875" customWidth="1"/>
    <col min="3" max="6" width="15.140625" customWidth="1"/>
    <col min="7" max="7" width="21.7109375" customWidth="1"/>
    <col min="8" max="26" width="10.85546875" customWidth="1"/>
  </cols>
  <sheetData>
    <row r="1" spans="1:26" ht="51" customHeight="1">
      <c r="A1" s="48" t="s">
        <v>5857</v>
      </c>
      <c r="B1" s="229" t="s">
        <v>5982</v>
      </c>
      <c r="C1" s="226"/>
      <c r="D1" s="226"/>
      <c r="E1" s="226"/>
      <c r="F1" s="226"/>
      <c r="G1" s="226"/>
      <c r="H1" s="227"/>
      <c r="I1" s="20"/>
      <c r="J1" s="20"/>
      <c r="K1" s="20"/>
      <c r="L1" s="20"/>
      <c r="M1" s="20"/>
      <c r="N1" s="20"/>
      <c r="O1" s="20"/>
      <c r="P1" s="20"/>
      <c r="Q1" s="20"/>
      <c r="R1" s="20"/>
      <c r="S1" s="20"/>
      <c r="T1" s="20"/>
      <c r="U1" s="20"/>
      <c r="V1" s="20"/>
      <c r="W1" s="20"/>
      <c r="X1" s="20"/>
      <c r="Y1" s="20"/>
      <c r="Z1" s="20"/>
    </row>
    <row r="2" spans="1:26" ht="17.25" customHeight="1">
      <c r="A2" s="41" t="s">
        <v>5983</v>
      </c>
      <c r="B2" s="42" t="s">
        <v>5984</v>
      </c>
      <c r="C2" s="42" t="s">
        <v>5985</v>
      </c>
      <c r="D2" s="42" t="s">
        <v>5986</v>
      </c>
      <c r="E2" s="42" t="s">
        <v>5987</v>
      </c>
      <c r="F2" s="42" t="s">
        <v>5988</v>
      </c>
      <c r="G2" s="42" t="s">
        <v>5989</v>
      </c>
      <c r="H2" s="170" t="s">
        <v>5990</v>
      </c>
      <c r="I2" s="20"/>
      <c r="J2" s="20"/>
      <c r="K2" s="20"/>
      <c r="L2" s="20"/>
      <c r="M2" s="20"/>
      <c r="N2" s="20"/>
      <c r="O2" s="20"/>
      <c r="P2" s="20"/>
      <c r="Q2" s="20"/>
      <c r="R2" s="20"/>
      <c r="S2" s="20"/>
      <c r="T2" s="20"/>
      <c r="U2" s="20"/>
      <c r="V2" s="20"/>
      <c r="W2" s="20"/>
      <c r="X2" s="20"/>
      <c r="Y2" s="20"/>
      <c r="Z2" s="20"/>
    </row>
    <row r="3" spans="1:26" ht="17.25" customHeight="1">
      <c r="A3" s="66" t="s">
        <v>5991</v>
      </c>
      <c r="B3" s="66" t="s">
        <v>5886</v>
      </c>
      <c r="C3" s="66" t="s">
        <v>5886</v>
      </c>
      <c r="D3" s="66" t="s">
        <v>5886</v>
      </c>
      <c r="E3" s="66" t="s">
        <v>5886</v>
      </c>
      <c r="F3" s="66" t="s">
        <v>5886</v>
      </c>
      <c r="G3" s="66" t="s">
        <v>5888</v>
      </c>
      <c r="H3" s="66" t="s">
        <v>5888</v>
      </c>
      <c r="I3" s="20"/>
      <c r="J3" s="20"/>
      <c r="K3" s="20"/>
      <c r="L3" s="20"/>
      <c r="M3" s="20"/>
      <c r="N3" s="20"/>
      <c r="O3" s="20"/>
      <c r="P3" s="20"/>
      <c r="Q3" s="20"/>
      <c r="R3" s="20"/>
      <c r="S3" s="20"/>
      <c r="T3" s="20"/>
      <c r="U3" s="20"/>
      <c r="V3" s="20"/>
      <c r="W3" s="20"/>
      <c r="X3" s="20"/>
      <c r="Y3" s="20"/>
      <c r="Z3" s="20"/>
    </row>
    <row r="4" spans="1:26" ht="17.25" customHeight="1">
      <c r="A4" s="66" t="s">
        <v>5992</v>
      </c>
      <c r="B4" s="66" t="s">
        <v>5889</v>
      </c>
      <c r="C4" s="66" t="s">
        <v>5889</v>
      </c>
      <c r="D4" s="66" t="s">
        <v>5889</v>
      </c>
      <c r="E4" s="66" t="s">
        <v>5889</v>
      </c>
      <c r="F4" s="66" t="s">
        <v>5889</v>
      </c>
      <c r="G4" s="66" t="s">
        <v>5890</v>
      </c>
      <c r="H4" s="66" t="s">
        <v>5890</v>
      </c>
      <c r="I4" s="20"/>
      <c r="J4" s="20"/>
      <c r="K4" s="20"/>
      <c r="L4" s="20"/>
      <c r="M4" s="20"/>
      <c r="N4" s="20"/>
      <c r="O4" s="20"/>
      <c r="P4" s="20"/>
      <c r="Q4" s="20"/>
      <c r="R4" s="20"/>
      <c r="S4" s="20"/>
      <c r="T4" s="20"/>
      <c r="U4" s="20"/>
      <c r="V4" s="20"/>
      <c r="W4" s="20"/>
      <c r="X4" s="20"/>
      <c r="Y4" s="20"/>
      <c r="Z4" s="20"/>
    </row>
    <row r="5" spans="1:26" ht="17.25" customHeight="1">
      <c r="A5" s="66" t="s">
        <v>5993</v>
      </c>
      <c r="B5" s="66" t="s">
        <v>5891</v>
      </c>
      <c r="C5" s="66" t="s">
        <v>5891</v>
      </c>
      <c r="D5" s="66" t="s">
        <v>5891</v>
      </c>
      <c r="E5" s="66" t="s">
        <v>5891</v>
      </c>
      <c r="F5" s="66" t="s">
        <v>5891</v>
      </c>
      <c r="G5" s="66" t="s">
        <v>5892</v>
      </c>
      <c r="H5" s="66" t="s">
        <v>5892</v>
      </c>
      <c r="I5" s="20"/>
      <c r="J5" s="20"/>
      <c r="K5" s="20"/>
      <c r="L5" s="20"/>
      <c r="M5" s="20"/>
      <c r="N5" s="20"/>
      <c r="O5" s="20"/>
      <c r="P5" s="20"/>
      <c r="Q5" s="20"/>
      <c r="R5" s="20"/>
      <c r="S5" s="20"/>
      <c r="T5" s="20"/>
      <c r="U5" s="20"/>
      <c r="V5" s="20"/>
      <c r="W5" s="20"/>
      <c r="X5" s="20"/>
      <c r="Y5" s="20"/>
      <c r="Z5" s="20"/>
    </row>
    <row r="6" spans="1:26" ht="17.25" customHeight="1">
      <c r="A6" s="66" t="s">
        <v>5994</v>
      </c>
      <c r="B6" s="66" t="s">
        <v>5920</v>
      </c>
      <c r="C6" s="66" t="s">
        <v>5920</v>
      </c>
      <c r="D6" s="66" t="s">
        <v>5920</v>
      </c>
      <c r="E6" s="66" t="s">
        <v>5920</v>
      </c>
      <c r="F6" s="66" t="s">
        <v>5920</v>
      </c>
      <c r="G6" s="66" t="s">
        <v>5922</v>
      </c>
      <c r="H6" s="66" t="s">
        <v>5922</v>
      </c>
      <c r="I6" s="20"/>
      <c r="J6" s="20"/>
      <c r="K6" s="20"/>
      <c r="L6" s="20"/>
      <c r="M6" s="20"/>
      <c r="N6" s="20"/>
      <c r="O6" s="20"/>
      <c r="P6" s="20"/>
      <c r="Q6" s="20"/>
      <c r="R6" s="20"/>
      <c r="S6" s="20"/>
      <c r="T6" s="20"/>
      <c r="U6" s="20"/>
      <c r="V6" s="20"/>
      <c r="W6" s="20"/>
      <c r="X6" s="20"/>
      <c r="Y6" s="20"/>
      <c r="Z6" s="20"/>
    </row>
    <row r="7" spans="1:26" ht="17.25" customHeight="1">
      <c r="A7" s="66" t="s">
        <v>5995</v>
      </c>
      <c r="B7" s="66" t="s">
        <v>5923</v>
      </c>
      <c r="C7" s="66" t="s">
        <v>5923</v>
      </c>
      <c r="D7" s="66" t="s">
        <v>5923</v>
      </c>
      <c r="E7" s="66" t="s">
        <v>5923</v>
      </c>
      <c r="F7" s="66" t="s">
        <v>5923</v>
      </c>
      <c r="G7" s="66" t="s">
        <v>5924</v>
      </c>
      <c r="H7" s="66" t="s">
        <v>5924</v>
      </c>
      <c r="I7" s="20"/>
      <c r="J7" s="20"/>
      <c r="K7" s="20"/>
      <c r="L7" s="20"/>
      <c r="M7" s="20"/>
      <c r="N7" s="20"/>
      <c r="O7" s="20"/>
      <c r="P7" s="20"/>
      <c r="Q7" s="20"/>
      <c r="R7" s="20"/>
      <c r="S7" s="20"/>
      <c r="T7" s="20"/>
      <c r="U7" s="20"/>
      <c r="V7" s="20"/>
      <c r="W7" s="20"/>
      <c r="X7" s="20"/>
      <c r="Y7" s="20"/>
      <c r="Z7" s="20"/>
    </row>
    <row r="8" spans="1:26" ht="17.25" customHeight="1">
      <c r="A8" s="66" t="s">
        <v>5996</v>
      </c>
      <c r="B8" s="66" t="s">
        <v>5893</v>
      </c>
      <c r="C8" s="66" t="s">
        <v>5893</v>
      </c>
      <c r="D8" s="66" t="s">
        <v>5893</v>
      </c>
      <c r="E8" s="66" t="s">
        <v>5893</v>
      </c>
      <c r="F8" s="66" t="s">
        <v>5893</v>
      </c>
      <c r="G8" s="66" t="s">
        <v>5893</v>
      </c>
      <c r="H8" s="66" t="s">
        <v>5893</v>
      </c>
      <c r="I8" s="20"/>
      <c r="J8" s="20"/>
      <c r="K8" s="20"/>
      <c r="L8" s="20"/>
      <c r="M8" s="20"/>
      <c r="N8" s="20"/>
      <c r="O8" s="20"/>
      <c r="P8" s="20"/>
      <c r="Q8" s="20"/>
      <c r="R8" s="20"/>
      <c r="S8" s="20"/>
      <c r="T8" s="20"/>
      <c r="U8" s="20"/>
      <c r="V8" s="20"/>
      <c r="W8" s="20"/>
      <c r="X8" s="20"/>
      <c r="Y8" s="20"/>
      <c r="Z8" s="20"/>
    </row>
    <row r="9" spans="1:26" ht="17.25" customHeight="1">
      <c r="A9" s="66" t="s">
        <v>5997</v>
      </c>
      <c r="B9" s="66" t="s">
        <v>5894</v>
      </c>
      <c r="C9" s="66" t="s">
        <v>5894</v>
      </c>
      <c r="D9" s="66" t="s">
        <v>5894</v>
      </c>
      <c r="E9" s="66" t="s">
        <v>5894</v>
      </c>
      <c r="F9" s="66" t="s">
        <v>5894</v>
      </c>
      <c r="G9" s="66" t="s">
        <v>5894</v>
      </c>
      <c r="H9" s="66" t="s">
        <v>5894</v>
      </c>
      <c r="I9" s="20"/>
      <c r="J9" s="20"/>
      <c r="K9" s="20"/>
      <c r="L9" s="20"/>
      <c r="M9" s="20"/>
      <c r="N9" s="20"/>
      <c r="O9" s="20"/>
      <c r="P9" s="20"/>
      <c r="Q9" s="20"/>
      <c r="R9" s="20"/>
      <c r="S9" s="20"/>
      <c r="T9" s="20"/>
      <c r="U9" s="20"/>
      <c r="V9" s="20"/>
      <c r="W9" s="20"/>
      <c r="X9" s="20"/>
      <c r="Y9" s="20"/>
      <c r="Z9" s="20"/>
    </row>
    <row r="10" spans="1:26" ht="17.25" customHeight="1">
      <c r="A10" s="66" t="s">
        <v>5998</v>
      </c>
      <c r="B10" s="66" t="s">
        <v>5895</v>
      </c>
      <c r="C10" s="66" t="s">
        <v>5895</v>
      </c>
      <c r="D10" s="66" t="s">
        <v>5895</v>
      </c>
      <c r="E10" s="66" t="s">
        <v>5895</v>
      </c>
      <c r="F10" s="66" t="s">
        <v>5895</v>
      </c>
      <c r="G10" s="66" t="s">
        <v>5895</v>
      </c>
      <c r="H10" s="66" t="s">
        <v>5895</v>
      </c>
      <c r="I10" s="20"/>
      <c r="J10" s="20"/>
      <c r="K10" s="20"/>
      <c r="L10" s="20"/>
      <c r="M10" s="20"/>
      <c r="N10" s="20"/>
      <c r="O10" s="20"/>
      <c r="P10" s="20"/>
      <c r="Q10" s="20"/>
      <c r="R10" s="20"/>
      <c r="S10" s="20"/>
      <c r="T10" s="20"/>
      <c r="U10" s="20"/>
      <c r="V10" s="20"/>
      <c r="W10" s="20"/>
      <c r="X10" s="20"/>
      <c r="Y10" s="20"/>
      <c r="Z10" s="20"/>
    </row>
    <row r="11" spans="1:26" ht="17.25" customHeight="1">
      <c r="A11" s="66" t="s">
        <v>5999</v>
      </c>
      <c r="B11" s="66" t="s">
        <v>5920</v>
      </c>
      <c r="C11" s="66" t="s">
        <v>5920</v>
      </c>
      <c r="D11" s="66" t="s">
        <v>5920</v>
      </c>
      <c r="E11" s="66" t="s">
        <v>5920</v>
      </c>
      <c r="F11" s="66" t="s">
        <v>5920</v>
      </c>
      <c r="G11" s="66" t="s">
        <v>5920</v>
      </c>
      <c r="H11" s="66" t="s">
        <v>5920</v>
      </c>
      <c r="I11" s="20"/>
      <c r="J11" s="20"/>
      <c r="K11" s="20"/>
      <c r="L11" s="20"/>
      <c r="M11" s="20"/>
      <c r="N11" s="20"/>
      <c r="O11" s="20"/>
      <c r="P11" s="20"/>
      <c r="Q11" s="20"/>
      <c r="R11" s="20"/>
      <c r="S11" s="20"/>
      <c r="T11" s="20"/>
      <c r="U11" s="20"/>
      <c r="V11" s="20"/>
      <c r="W11" s="20"/>
      <c r="X11" s="20"/>
      <c r="Y11" s="20"/>
      <c r="Z11" s="20"/>
    </row>
    <row r="12" spans="1:26" ht="17.25" customHeight="1">
      <c r="A12" s="66" t="s">
        <v>6000</v>
      </c>
      <c r="B12" s="66" t="s">
        <v>5923</v>
      </c>
      <c r="C12" s="66" t="s">
        <v>5923</v>
      </c>
      <c r="D12" s="66" t="s">
        <v>5923</v>
      </c>
      <c r="E12" s="66" t="s">
        <v>5923</v>
      </c>
      <c r="F12" s="66" t="s">
        <v>5923</v>
      </c>
      <c r="G12" s="66" t="s">
        <v>5923</v>
      </c>
      <c r="H12" s="66" t="s">
        <v>5923</v>
      </c>
      <c r="I12" s="20"/>
      <c r="J12" s="20"/>
      <c r="K12" s="20"/>
      <c r="L12" s="20"/>
      <c r="M12" s="20"/>
      <c r="N12" s="20"/>
      <c r="O12" s="20"/>
      <c r="P12" s="20"/>
      <c r="Q12" s="20"/>
      <c r="R12" s="20"/>
      <c r="S12" s="20"/>
      <c r="T12" s="20"/>
      <c r="U12" s="20"/>
      <c r="V12" s="20"/>
      <c r="W12" s="20"/>
      <c r="X12" s="20"/>
      <c r="Y12" s="20"/>
      <c r="Z12" s="20"/>
    </row>
    <row r="13" spans="1:26" ht="17.25" customHeight="1">
      <c r="A13" s="66" t="s">
        <v>6001</v>
      </c>
      <c r="B13" s="66" t="s">
        <v>5896</v>
      </c>
      <c r="C13" s="66" t="s">
        <v>5896</v>
      </c>
      <c r="D13" s="66" t="s">
        <v>5896</v>
      </c>
      <c r="E13" s="66" t="s">
        <v>5896</v>
      </c>
      <c r="F13" s="66" t="s">
        <v>5896</v>
      </c>
      <c r="G13" s="66" t="s">
        <v>5897</v>
      </c>
      <c r="H13" s="66" t="s">
        <v>5897</v>
      </c>
      <c r="I13" s="20"/>
      <c r="J13" s="20"/>
      <c r="K13" s="20"/>
      <c r="L13" s="20"/>
      <c r="M13" s="20"/>
      <c r="N13" s="20"/>
      <c r="O13" s="20"/>
      <c r="P13" s="20"/>
      <c r="Q13" s="20"/>
      <c r="R13" s="20"/>
      <c r="S13" s="20"/>
      <c r="T13" s="20"/>
      <c r="U13" s="20"/>
      <c r="V13" s="20"/>
      <c r="W13" s="20"/>
      <c r="X13" s="20"/>
      <c r="Y13" s="20"/>
      <c r="Z13" s="20"/>
    </row>
    <row r="14" spans="1:26" ht="17.25" customHeight="1">
      <c r="A14" s="66" t="s">
        <v>6002</v>
      </c>
      <c r="B14" s="66" t="s">
        <v>5898</v>
      </c>
      <c r="C14" s="66" t="s">
        <v>5898</v>
      </c>
      <c r="D14" s="66" t="s">
        <v>5898</v>
      </c>
      <c r="E14" s="66" t="s">
        <v>5898</v>
      </c>
      <c r="F14" s="66" t="s">
        <v>5898</v>
      </c>
      <c r="G14" s="66" t="s">
        <v>5899</v>
      </c>
      <c r="H14" s="66" t="s">
        <v>5899</v>
      </c>
      <c r="I14" s="20"/>
      <c r="J14" s="20"/>
      <c r="K14" s="20"/>
      <c r="L14" s="20"/>
      <c r="M14" s="20"/>
      <c r="N14" s="20"/>
      <c r="O14" s="20"/>
      <c r="P14" s="20"/>
      <c r="Q14" s="20"/>
      <c r="R14" s="20"/>
      <c r="S14" s="20"/>
      <c r="T14" s="20"/>
      <c r="U14" s="20"/>
      <c r="V14" s="20"/>
      <c r="W14" s="20"/>
      <c r="X14" s="20"/>
      <c r="Y14" s="20"/>
      <c r="Z14" s="20"/>
    </row>
    <row r="15" spans="1:26" ht="17.25" customHeight="1">
      <c r="A15" s="66" t="s">
        <v>6003</v>
      </c>
      <c r="B15" s="66" t="s">
        <v>5900</v>
      </c>
      <c r="C15" s="66" t="s">
        <v>5900</v>
      </c>
      <c r="D15" s="66" t="s">
        <v>5900</v>
      </c>
      <c r="E15" s="66" t="s">
        <v>5900</v>
      </c>
      <c r="F15" s="66" t="s">
        <v>5900</v>
      </c>
      <c r="G15" s="66" t="s">
        <v>5901</v>
      </c>
      <c r="H15" s="66" t="s">
        <v>5901</v>
      </c>
      <c r="I15" s="20"/>
      <c r="J15" s="20"/>
      <c r="K15" s="20"/>
      <c r="L15" s="20"/>
      <c r="M15" s="20"/>
      <c r="N15" s="20"/>
      <c r="O15" s="20"/>
      <c r="P15" s="20"/>
      <c r="Q15" s="20"/>
      <c r="R15" s="20"/>
      <c r="S15" s="20"/>
      <c r="T15" s="20"/>
      <c r="U15" s="20"/>
      <c r="V15" s="20"/>
      <c r="W15" s="20"/>
      <c r="X15" s="20"/>
      <c r="Y15" s="20"/>
      <c r="Z15" s="20"/>
    </row>
    <row r="16" spans="1:26" ht="17.25" customHeight="1">
      <c r="A16" s="66" t="s">
        <v>6004</v>
      </c>
      <c r="B16" s="66" t="s">
        <v>5925</v>
      </c>
      <c r="C16" s="66" t="s">
        <v>5925</v>
      </c>
      <c r="D16" s="66" t="s">
        <v>5925</v>
      </c>
      <c r="E16" s="66" t="s">
        <v>5925</v>
      </c>
      <c r="F16" s="66" t="s">
        <v>5925</v>
      </c>
      <c r="G16" s="66" t="s">
        <v>5925</v>
      </c>
      <c r="H16" s="66" t="s">
        <v>5925</v>
      </c>
      <c r="I16" s="20"/>
      <c r="J16" s="20"/>
      <c r="K16" s="20"/>
      <c r="L16" s="20"/>
      <c r="M16" s="20"/>
      <c r="N16" s="20"/>
      <c r="O16" s="20"/>
      <c r="P16" s="20"/>
      <c r="Q16" s="20"/>
      <c r="R16" s="20"/>
      <c r="S16" s="20"/>
      <c r="T16" s="20"/>
      <c r="U16" s="20"/>
      <c r="V16" s="20"/>
      <c r="W16" s="20"/>
      <c r="X16" s="20"/>
      <c r="Y16" s="20"/>
      <c r="Z16" s="20"/>
    </row>
    <row r="17" spans="1:26" ht="17.25" customHeight="1">
      <c r="A17" s="66" t="s">
        <v>6005</v>
      </c>
      <c r="B17" s="66" t="s">
        <v>5926</v>
      </c>
      <c r="C17" s="66" t="s">
        <v>5926</v>
      </c>
      <c r="D17" s="66" t="s">
        <v>5926</v>
      </c>
      <c r="E17" s="66" t="s">
        <v>5926</v>
      </c>
      <c r="F17" s="66" t="s">
        <v>5926</v>
      </c>
      <c r="G17" s="66" t="s">
        <v>5926</v>
      </c>
      <c r="H17" s="66" t="s">
        <v>5926</v>
      </c>
      <c r="I17" s="20"/>
      <c r="J17" s="20"/>
      <c r="K17" s="20"/>
      <c r="L17" s="20"/>
      <c r="M17" s="20"/>
      <c r="N17" s="20"/>
      <c r="O17" s="20"/>
      <c r="P17" s="20"/>
      <c r="Q17" s="20"/>
      <c r="R17" s="20"/>
      <c r="S17" s="20"/>
      <c r="T17" s="20"/>
      <c r="U17" s="20"/>
      <c r="V17" s="20"/>
      <c r="W17" s="20"/>
      <c r="X17" s="20"/>
      <c r="Y17" s="20"/>
      <c r="Z17" s="20"/>
    </row>
    <row r="18" spans="1:26" ht="17.25" customHeight="1">
      <c r="A18" s="66" t="s">
        <v>6006</v>
      </c>
      <c r="B18" s="66" t="s">
        <v>5902</v>
      </c>
      <c r="C18" s="66" t="s">
        <v>5902</v>
      </c>
      <c r="D18" s="66" t="s">
        <v>5902</v>
      </c>
      <c r="E18" s="66" t="s">
        <v>5902</v>
      </c>
      <c r="F18" s="66" t="s">
        <v>5902</v>
      </c>
      <c r="G18" s="66" t="s">
        <v>5903</v>
      </c>
      <c r="H18" s="66" t="s">
        <v>5903</v>
      </c>
      <c r="I18" s="20"/>
      <c r="J18" s="20"/>
      <c r="K18" s="20"/>
      <c r="L18" s="20"/>
      <c r="M18" s="20"/>
      <c r="N18" s="20"/>
      <c r="O18" s="20"/>
      <c r="P18" s="20"/>
      <c r="Q18" s="20"/>
      <c r="R18" s="20"/>
      <c r="S18" s="20"/>
      <c r="T18" s="20"/>
      <c r="U18" s="20"/>
      <c r="V18" s="20"/>
      <c r="W18" s="20"/>
      <c r="X18" s="20"/>
      <c r="Y18" s="20"/>
      <c r="Z18" s="20"/>
    </row>
    <row r="19" spans="1:26" ht="17.25" customHeight="1">
      <c r="A19" s="66" t="s">
        <v>6007</v>
      </c>
      <c r="B19" s="66" t="s">
        <v>5904</v>
      </c>
      <c r="C19" s="66" t="s">
        <v>5904</v>
      </c>
      <c r="D19" s="66" t="s">
        <v>5904</v>
      </c>
      <c r="E19" s="66" t="s">
        <v>5904</v>
      </c>
      <c r="F19" s="66" t="s">
        <v>5904</v>
      </c>
      <c r="G19" s="66" t="s">
        <v>5905</v>
      </c>
      <c r="H19" s="66" t="s">
        <v>5905</v>
      </c>
      <c r="I19" s="20"/>
      <c r="J19" s="20"/>
      <c r="K19" s="20"/>
      <c r="L19" s="20"/>
      <c r="M19" s="20"/>
      <c r="N19" s="20"/>
      <c r="O19" s="20"/>
      <c r="P19" s="20"/>
      <c r="Q19" s="20"/>
      <c r="R19" s="20"/>
      <c r="S19" s="20"/>
      <c r="T19" s="20"/>
      <c r="U19" s="20"/>
      <c r="V19" s="20"/>
      <c r="W19" s="20"/>
      <c r="X19" s="20"/>
      <c r="Y19" s="20"/>
      <c r="Z19" s="20"/>
    </row>
    <row r="20" spans="1:26" ht="17.25" customHeight="1">
      <c r="A20" s="66" t="s">
        <v>6008</v>
      </c>
      <c r="B20" s="66" t="s">
        <v>5906</v>
      </c>
      <c r="C20" s="66" t="s">
        <v>5906</v>
      </c>
      <c r="D20" s="66" t="s">
        <v>5906</v>
      </c>
      <c r="E20" s="66" t="s">
        <v>5906</v>
      </c>
      <c r="F20" s="66" t="s">
        <v>5906</v>
      </c>
      <c r="G20" s="66" t="s">
        <v>5907</v>
      </c>
      <c r="H20" s="66" t="s">
        <v>5907</v>
      </c>
      <c r="I20" s="20"/>
      <c r="J20" s="20"/>
      <c r="K20" s="20"/>
      <c r="L20" s="20"/>
      <c r="M20" s="20"/>
      <c r="N20" s="20"/>
      <c r="O20" s="20"/>
      <c r="P20" s="20"/>
      <c r="Q20" s="20"/>
      <c r="R20" s="20"/>
      <c r="S20" s="20"/>
      <c r="T20" s="20"/>
      <c r="U20" s="20"/>
      <c r="V20" s="20"/>
      <c r="W20" s="20"/>
      <c r="X20" s="20"/>
      <c r="Y20" s="20"/>
      <c r="Z20" s="20"/>
    </row>
    <row r="21" spans="1:26" ht="17.25" customHeight="1">
      <c r="A21" s="66" t="s">
        <v>6009</v>
      </c>
      <c r="B21" s="66" t="s">
        <v>5920</v>
      </c>
      <c r="C21" s="66" t="s">
        <v>5920</v>
      </c>
      <c r="D21" s="66" t="s">
        <v>5920</v>
      </c>
      <c r="E21" s="66" t="s">
        <v>5920</v>
      </c>
      <c r="F21" s="66" t="s">
        <v>5920</v>
      </c>
      <c r="G21" s="66" t="s">
        <v>5922</v>
      </c>
      <c r="H21" s="66" t="s">
        <v>5922</v>
      </c>
      <c r="I21" s="20"/>
      <c r="J21" s="20"/>
      <c r="K21" s="20"/>
      <c r="L21" s="20"/>
      <c r="M21" s="20"/>
      <c r="N21" s="20"/>
      <c r="O21" s="20"/>
      <c r="P21" s="20"/>
      <c r="Q21" s="20"/>
      <c r="R21" s="20"/>
      <c r="S21" s="20"/>
      <c r="T21" s="20"/>
      <c r="U21" s="20"/>
      <c r="V21" s="20"/>
      <c r="W21" s="20"/>
      <c r="X21" s="20"/>
      <c r="Y21" s="20"/>
      <c r="Z21" s="20"/>
    </row>
    <row r="22" spans="1:26" ht="17.25" customHeight="1">
      <c r="A22" s="66" t="s">
        <v>6010</v>
      </c>
      <c r="B22" s="66" t="s">
        <v>5923</v>
      </c>
      <c r="C22" s="66" t="s">
        <v>5923</v>
      </c>
      <c r="D22" s="66" t="s">
        <v>5923</v>
      </c>
      <c r="E22" s="66" t="s">
        <v>5923</v>
      </c>
      <c r="F22" s="66" t="s">
        <v>5923</v>
      </c>
      <c r="G22" s="66" t="s">
        <v>5924</v>
      </c>
      <c r="H22" s="66" t="s">
        <v>5924</v>
      </c>
      <c r="I22" s="20"/>
      <c r="J22" s="20"/>
      <c r="K22" s="20"/>
      <c r="L22" s="20"/>
      <c r="M22" s="20"/>
      <c r="N22" s="20"/>
      <c r="O22" s="20"/>
      <c r="P22" s="20"/>
      <c r="Q22" s="20"/>
      <c r="R22" s="20"/>
      <c r="S22" s="20"/>
      <c r="T22" s="20"/>
      <c r="U22" s="20"/>
      <c r="V22" s="20"/>
      <c r="W22" s="20"/>
      <c r="X22" s="20"/>
      <c r="Y22" s="20"/>
      <c r="Z22" s="20"/>
    </row>
    <row r="23" spans="1:26" ht="17.25" customHeight="1">
      <c r="A23" s="66" t="s">
        <v>6011</v>
      </c>
      <c r="B23" s="66" t="s">
        <v>5908</v>
      </c>
      <c r="C23" s="66" t="s">
        <v>5908</v>
      </c>
      <c r="D23" s="66" t="s">
        <v>5908</v>
      </c>
      <c r="E23" s="66" t="s">
        <v>5908</v>
      </c>
      <c r="F23" s="66" t="s">
        <v>5908</v>
      </c>
      <c r="G23" s="66" t="s">
        <v>5908</v>
      </c>
      <c r="H23" s="66" t="s">
        <v>5908</v>
      </c>
      <c r="I23" s="20"/>
      <c r="J23" s="20"/>
      <c r="K23" s="20"/>
      <c r="L23" s="20"/>
      <c r="M23" s="20"/>
      <c r="N23" s="20"/>
      <c r="O23" s="20"/>
      <c r="P23" s="20"/>
      <c r="Q23" s="20"/>
      <c r="R23" s="20"/>
      <c r="S23" s="20"/>
      <c r="T23" s="20"/>
      <c r="U23" s="20"/>
      <c r="V23" s="20"/>
      <c r="W23" s="20"/>
      <c r="X23" s="20"/>
      <c r="Y23" s="20"/>
      <c r="Z23" s="20"/>
    </row>
    <row r="24" spans="1:26" ht="17.25" customHeight="1">
      <c r="A24" s="66" t="s">
        <v>6012</v>
      </c>
      <c r="B24" s="66" t="s">
        <v>5909</v>
      </c>
      <c r="C24" s="66" t="s">
        <v>5909</v>
      </c>
      <c r="D24" s="66" t="s">
        <v>5909</v>
      </c>
      <c r="E24" s="66" t="s">
        <v>5909</v>
      </c>
      <c r="F24" s="66" t="s">
        <v>5909</v>
      </c>
      <c r="G24" s="66" t="s">
        <v>5909</v>
      </c>
      <c r="H24" s="66" t="s">
        <v>5909</v>
      </c>
      <c r="I24" s="20"/>
      <c r="J24" s="20"/>
      <c r="K24" s="20"/>
      <c r="L24" s="20"/>
      <c r="M24" s="20"/>
      <c r="N24" s="20"/>
      <c r="O24" s="20"/>
      <c r="P24" s="20"/>
      <c r="Q24" s="20"/>
      <c r="R24" s="20"/>
      <c r="S24" s="20"/>
      <c r="T24" s="20"/>
      <c r="U24" s="20"/>
      <c r="V24" s="20"/>
      <c r="W24" s="20"/>
      <c r="X24" s="20"/>
      <c r="Y24" s="20"/>
      <c r="Z24" s="20"/>
    </row>
    <row r="25" spans="1:26" ht="17.25" customHeight="1">
      <c r="A25" s="66" t="s">
        <v>6013</v>
      </c>
      <c r="B25" s="66" t="s">
        <v>5910</v>
      </c>
      <c r="C25" s="66" t="s">
        <v>5910</v>
      </c>
      <c r="D25" s="66" t="s">
        <v>5910</v>
      </c>
      <c r="E25" s="66" t="s">
        <v>5910</v>
      </c>
      <c r="F25" s="66" t="s">
        <v>5910</v>
      </c>
      <c r="G25" s="66" t="s">
        <v>5910</v>
      </c>
      <c r="H25" s="66" t="s">
        <v>5910</v>
      </c>
      <c r="I25" s="20"/>
      <c r="J25" s="20"/>
      <c r="K25" s="20"/>
      <c r="L25" s="20"/>
      <c r="M25" s="20"/>
      <c r="N25" s="20"/>
      <c r="O25" s="20"/>
      <c r="P25" s="20"/>
      <c r="Q25" s="20"/>
      <c r="R25" s="20"/>
      <c r="S25" s="20"/>
      <c r="T25" s="20"/>
      <c r="U25" s="20"/>
      <c r="V25" s="20"/>
      <c r="W25" s="20"/>
      <c r="X25" s="20"/>
      <c r="Y25" s="20"/>
      <c r="Z25" s="20"/>
    </row>
    <row r="26" spans="1:26" ht="17.25" customHeight="1">
      <c r="A26" s="66" t="s">
        <v>6014</v>
      </c>
      <c r="B26" s="66" t="s">
        <v>5927</v>
      </c>
      <c r="C26" s="66" t="s">
        <v>5927</v>
      </c>
      <c r="D26" s="66" t="s">
        <v>5927</v>
      </c>
      <c r="E26" s="66" t="s">
        <v>5927</v>
      </c>
      <c r="F26" s="66" t="s">
        <v>5927</v>
      </c>
      <c r="G26" s="66" t="s">
        <v>5927</v>
      </c>
      <c r="H26" s="66" t="s">
        <v>5927</v>
      </c>
      <c r="I26" s="20"/>
      <c r="J26" s="20"/>
      <c r="K26" s="20"/>
      <c r="L26" s="20"/>
      <c r="M26" s="20"/>
      <c r="N26" s="20"/>
      <c r="O26" s="20"/>
      <c r="P26" s="20"/>
      <c r="Q26" s="20"/>
      <c r="R26" s="20"/>
      <c r="S26" s="20"/>
      <c r="T26" s="20"/>
      <c r="U26" s="20"/>
      <c r="V26" s="20"/>
      <c r="W26" s="20"/>
      <c r="X26" s="20"/>
      <c r="Y26" s="20"/>
      <c r="Z26" s="20"/>
    </row>
    <row r="27" spans="1:26" ht="17.25" customHeight="1">
      <c r="A27" s="66" t="s">
        <v>6015</v>
      </c>
      <c r="B27" s="66" t="s">
        <v>5928</v>
      </c>
      <c r="C27" s="66" t="s">
        <v>5928</v>
      </c>
      <c r="D27" s="66" t="s">
        <v>5928</v>
      </c>
      <c r="E27" s="66" t="s">
        <v>5928</v>
      </c>
      <c r="F27" s="66" t="s">
        <v>5928</v>
      </c>
      <c r="G27" s="66" t="s">
        <v>5928</v>
      </c>
      <c r="H27" s="66" t="s">
        <v>5928</v>
      </c>
      <c r="I27" s="20"/>
      <c r="J27" s="20"/>
      <c r="K27" s="20"/>
      <c r="L27" s="20"/>
      <c r="M27" s="20"/>
      <c r="N27" s="20"/>
      <c r="O27" s="20"/>
      <c r="P27" s="20"/>
      <c r="Q27" s="20"/>
      <c r="R27" s="20"/>
      <c r="S27" s="20"/>
      <c r="T27" s="20"/>
      <c r="U27" s="20"/>
      <c r="V27" s="20"/>
      <c r="W27" s="20"/>
      <c r="X27" s="20"/>
      <c r="Y27" s="20"/>
      <c r="Z27" s="20"/>
    </row>
    <row r="28" spans="1:26" ht="17.25" customHeight="1">
      <c r="A28" s="66" t="s">
        <v>6016</v>
      </c>
      <c r="B28" s="66" t="s">
        <v>5911</v>
      </c>
      <c r="C28" s="66" t="s">
        <v>5911</v>
      </c>
      <c r="D28" s="66" t="s">
        <v>5911</v>
      </c>
      <c r="E28" s="66" t="s">
        <v>5911</v>
      </c>
      <c r="F28" s="66" t="s">
        <v>5911</v>
      </c>
      <c r="G28" s="66" t="s">
        <v>5911</v>
      </c>
      <c r="H28" s="66" t="s">
        <v>5911</v>
      </c>
      <c r="I28" s="20"/>
      <c r="J28" s="20"/>
      <c r="K28" s="20"/>
      <c r="L28" s="20"/>
      <c r="M28" s="20"/>
      <c r="N28" s="20"/>
      <c r="O28" s="20"/>
      <c r="P28" s="20"/>
      <c r="Q28" s="20"/>
      <c r="R28" s="20"/>
      <c r="S28" s="20"/>
      <c r="T28" s="20"/>
      <c r="U28" s="20"/>
      <c r="V28" s="20"/>
      <c r="W28" s="20"/>
      <c r="X28" s="20"/>
      <c r="Y28" s="20"/>
      <c r="Z28" s="20"/>
    </row>
    <row r="29" spans="1:26" ht="17.25" customHeight="1">
      <c r="A29" s="66" t="s">
        <v>6017</v>
      </c>
      <c r="B29" s="66" t="s">
        <v>5912</v>
      </c>
      <c r="C29" s="66" t="s">
        <v>5912</v>
      </c>
      <c r="D29" s="66" t="s">
        <v>5912</v>
      </c>
      <c r="E29" s="66" t="s">
        <v>5912</v>
      </c>
      <c r="F29" s="66" t="s">
        <v>5912</v>
      </c>
      <c r="G29" s="66" t="s">
        <v>5912</v>
      </c>
      <c r="H29" s="66" t="s">
        <v>5912</v>
      </c>
      <c r="I29" s="20"/>
      <c r="J29" s="20"/>
      <c r="K29" s="20"/>
      <c r="L29" s="20"/>
      <c r="M29" s="20"/>
      <c r="N29" s="20"/>
      <c r="O29" s="20"/>
      <c r="P29" s="20"/>
      <c r="Q29" s="20"/>
      <c r="R29" s="20"/>
      <c r="S29" s="20"/>
      <c r="T29" s="20"/>
      <c r="U29" s="20"/>
      <c r="V29" s="20"/>
      <c r="W29" s="20"/>
      <c r="X29" s="20"/>
      <c r="Y29" s="20"/>
      <c r="Z29" s="20"/>
    </row>
    <row r="30" spans="1:26" ht="17.25" customHeight="1">
      <c r="A30" s="66" t="s">
        <v>6018</v>
      </c>
      <c r="B30" s="66" t="s">
        <v>5913</v>
      </c>
      <c r="C30" s="66" t="s">
        <v>5913</v>
      </c>
      <c r="D30" s="66" t="s">
        <v>5913</v>
      </c>
      <c r="E30" s="66" t="s">
        <v>5913</v>
      </c>
      <c r="F30" s="66" t="s">
        <v>5913</v>
      </c>
      <c r="G30" s="66" t="s">
        <v>5913</v>
      </c>
      <c r="H30" s="66" t="s">
        <v>5913</v>
      </c>
      <c r="I30" s="20"/>
      <c r="J30" s="20"/>
      <c r="K30" s="20"/>
      <c r="L30" s="20"/>
      <c r="M30" s="20"/>
      <c r="N30" s="20"/>
      <c r="O30" s="20"/>
      <c r="P30" s="20"/>
      <c r="Q30" s="20"/>
      <c r="R30" s="20"/>
      <c r="S30" s="20"/>
      <c r="T30" s="20"/>
      <c r="U30" s="20"/>
      <c r="V30" s="20"/>
      <c r="W30" s="20"/>
      <c r="X30" s="20"/>
      <c r="Y30" s="20"/>
      <c r="Z30" s="20"/>
    </row>
    <row r="31" spans="1:26" ht="17.25" customHeight="1">
      <c r="A31" s="66" t="s">
        <v>6019</v>
      </c>
      <c r="B31" s="66" t="s">
        <v>5925</v>
      </c>
      <c r="C31" s="66" t="s">
        <v>5925</v>
      </c>
      <c r="D31" s="66" t="s">
        <v>5925</v>
      </c>
      <c r="E31" s="66" t="s">
        <v>5925</v>
      </c>
      <c r="F31" s="66" t="s">
        <v>5925</v>
      </c>
      <c r="G31" s="66" t="s">
        <v>5925</v>
      </c>
      <c r="H31" s="66" t="s">
        <v>5925</v>
      </c>
      <c r="I31" s="20"/>
      <c r="J31" s="20"/>
      <c r="K31" s="20"/>
      <c r="L31" s="20"/>
      <c r="M31" s="20"/>
      <c r="N31" s="20"/>
      <c r="O31" s="20"/>
      <c r="P31" s="20"/>
      <c r="Q31" s="20"/>
      <c r="R31" s="20"/>
      <c r="S31" s="20"/>
      <c r="T31" s="20"/>
      <c r="U31" s="20"/>
      <c r="V31" s="20"/>
      <c r="W31" s="20"/>
      <c r="X31" s="20"/>
      <c r="Y31" s="20"/>
      <c r="Z31" s="20"/>
    </row>
    <row r="32" spans="1:26" ht="17.25" customHeight="1">
      <c r="A32" s="66" t="s">
        <v>6020</v>
      </c>
      <c r="B32" s="66" t="s">
        <v>5926</v>
      </c>
      <c r="C32" s="66" t="s">
        <v>5926</v>
      </c>
      <c r="D32" s="66" t="s">
        <v>5926</v>
      </c>
      <c r="E32" s="66" t="s">
        <v>5926</v>
      </c>
      <c r="F32" s="66" t="s">
        <v>5926</v>
      </c>
      <c r="G32" s="66" t="s">
        <v>5926</v>
      </c>
      <c r="H32" s="66" t="s">
        <v>5926</v>
      </c>
      <c r="I32" s="20"/>
      <c r="J32" s="20"/>
      <c r="K32" s="20"/>
      <c r="L32" s="20"/>
      <c r="M32" s="20"/>
      <c r="N32" s="20"/>
      <c r="O32" s="20"/>
      <c r="P32" s="20"/>
      <c r="Q32" s="20"/>
      <c r="R32" s="20"/>
      <c r="S32" s="20"/>
      <c r="T32" s="20"/>
      <c r="U32" s="20"/>
      <c r="V32" s="20"/>
      <c r="W32" s="20"/>
      <c r="X32" s="20"/>
      <c r="Y32" s="20"/>
      <c r="Z32" s="20"/>
    </row>
    <row r="33" spans="1:26" ht="17.25" customHeight="1">
      <c r="A33" s="66" t="s">
        <v>6021</v>
      </c>
      <c r="B33" s="66" t="s">
        <v>5886</v>
      </c>
      <c r="C33" s="66" t="s">
        <v>5886</v>
      </c>
      <c r="D33" s="66" t="s">
        <v>5886</v>
      </c>
      <c r="E33" s="66" t="s">
        <v>5886</v>
      </c>
      <c r="F33" s="66" t="s">
        <v>5886</v>
      </c>
      <c r="G33" s="66" t="s">
        <v>5888</v>
      </c>
      <c r="H33" s="66" t="s">
        <v>5888</v>
      </c>
      <c r="I33" s="20"/>
      <c r="J33" s="20"/>
      <c r="K33" s="20"/>
      <c r="L33" s="20"/>
      <c r="M33" s="20"/>
      <c r="N33" s="20"/>
      <c r="O33" s="20"/>
      <c r="P33" s="20"/>
      <c r="Q33" s="20"/>
      <c r="R33" s="20"/>
      <c r="S33" s="20"/>
      <c r="T33" s="20"/>
      <c r="U33" s="20"/>
      <c r="V33" s="20"/>
      <c r="W33" s="20"/>
      <c r="X33" s="20"/>
      <c r="Y33" s="20"/>
      <c r="Z33" s="20"/>
    </row>
    <row r="34" spans="1:26" ht="17.25" customHeight="1">
      <c r="A34" s="66" t="s">
        <v>6022</v>
      </c>
      <c r="B34" s="66" t="s">
        <v>5889</v>
      </c>
      <c r="C34" s="66" t="s">
        <v>5889</v>
      </c>
      <c r="D34" s="66" t="s">
        <v>5889</v>
      </c>
      <c r="E34" s="66" t="s">
        <v>5889</v>
      </c>
      <c r="F34" s="66" t="s">
        <v>5889</v>
      </c>
      <c r="G34" s="66" t="s">
        <v>5890</v>
      </c>
      <c r="H34" s="66" t="s">
        <v>5890</v>
      </c>
      <c r="I34" s="20"/>
      <c r="J34" s="20"/>
      <c r="K34" s="20"/>
      <c r="L34" s="20"/>
      <c r="M34" s="20"/>
      <c r="N34" s="20"/>
      <c r="O34" s="20"/>
      <c r="P34" s="20"/>
      <c r="Q34" s="20"/>
      <c r="R34" s="20"/>
      <c r="S34" s="20"/>
      <c r="T34" s="20"/>
      <c r="U34" s="20"/>
      <c r="V34" s="20"/>
      <c r="W34" s="20"/>
      <c r="X34" s="20"/>
      <c r="Y34" s="20"/>
      <c r="Z34" s="20"/>
    </row>
    <row r="35" spans="1:26" ht="17.25" customHeight="1">
      <c r="A35" s="66" t="s">
        <v>6023</v>
      </c>
      <c r="B35" s="66" t="s">
        <v>5891</v>
      </c>
      <c r="C35" s="66" t="s">
        <v>5891</v>
      </c>
      <c r="D35" s="66" t="s">
        <v>5891</v>
      </c>
      <c r="E35" s="66" t="s">
        <v>5891</v>
      </c>
      <c r="F35" s="66" t="s">
        <v>5891</v>
      </c>
      <c r="G35" s="66" t="s">
        <v>5892</v>
      </c>
      <c r="H35" s="66" t="s">
        <v>5892</v>
      </c>
      <c r="I35" s="20"/>
      <c r="J35" s="20"/>
      <c r="K35" s="20"/>
      <c r="L35" s="20"/>
      <c r="M35" s="20"/>
      <c r="N35" s="20"/>
      <c r="O35" s="20"/>
      <c r="P35" s="20"/>
      <c r="Q35" s="20"/>
      <c r="R35" s="20"/>
      <c r="S35" s="20"/>
      <c r="T35" s="20"/>
      <c r="U35" s="20"/>
      <c r="V35" s="20"/>
      <c r="W35" s="20"/>
      <c r="X35" s="20"/>
      <c r="Y35" s="20"/>
      <c r="Z35" s="20"/>
    </row>
    <row r="36" spans="1:26" ht="17.25" customHeight="1">
      <c r="A36" s="66" t="s">
        <v>6024</v>
      </c>
      <c r="B36" s="66" t="s">
        <v>5920</v>
      </c>
      <c r="C36" s="66" t="s">
        <v>5920</v>
      </c>
      <c r="D36" s="66" t="s">
        <v>5920</v>
      </c>
      <c r="E36" s="66" t="s">
        <v>5920</v>
      </c>
      <c r="F36" s="66" t="s">
        <v>5920</v>
      </c>
      <c r="G36" s="66" t="s">
        <v>5920</v>
      </c>
      <c r="H36" s="66" t="s">
        <v>5920</v>
      </c>
      <c r="I36" s="20"/>
      <c r="J36" s="20"/>
      <c r="K36" s="20"/>
      <c r="L36" s="20"/>
      <c r="M36" s="20"/>
      <c r="N36" s="20"/>
      <c r="O36" s="20"/>
      <c r="P36" s="20"/>
      <c r="Q36" s="20"/>
      <c r="R36" s="20"/>
      <c r="S36" s="20"/>
      <c r="T36" s="20"/>
      <c r="U36" s="20"/>
      <c r="V36" s="20"/>
      <c r="W36" s="20"/>
      <c r="X36" s="20"/>
      <c r="Y36" s="20"/>
      <c r="Z36" s="20"/>
    </row>
    <row r="37" spans="1:26" ht="17.25" customHeight="1">
      <c r="A37" s="66" t="s">
        <v>6025</v>
      </c>
      <c r="B37" s="66" t="s">
        <v>5923</v>
      </c>
      <c r="C37" s="66" t="s">
        <v>5923</v>
      </c>
      <c r="D37" s="66" t="s">
        <v>5923</v>
      </c>
      <c r="E37" s="66" t="s">
        <v>5923</v>
      </c>
      <c r="F37" s="66" t="s">
        <v>5923</v>
      </c>
      <c r="G37" s="66" t="s">
        <v>5923</v>
      </c>
      <c r="H37" s="66" t="s">
        <v>5923</v>
      </c>
      <c r="I37" s="20"/>
      <c r="J37" s="20"/>
      <c r="K37" s="20"/>
      <c r="L37" s="20"/>
      <c r="M37" s="20"/>
      <c r="N37" s="20"/>
      <c r="O37" s="20"/>
      <c r="P37" s="20"/>
      <c r="Q37" s="20"/>
      <c r="R37" s="20"/>
      <c r="S37" s="20"/>
      <c r="T37" s="20"/>
      <c r="U37" s="20"/>
      <c r="V37" s="20"/>
      <c r="W37" s="20"/>
      <c r="X37" s="20"/>
      <c r="Y37" s="20"/>
      <c r="Z37" s="20"/>
    </row>
    <row r="38" spans="1:26" ht="17.25" customHeight="1">
      <c r="A38" s="66" t="s">
        <v>6026</v>
      </c>
      <c r="B38" s="66" t="s">
        <v>5914</v>
      </c>
      <c r="C38" s="66" t="s">
        <v>5914</v>
      </c>
      <c r="D38" s="66" t="s">
        <v>5914</v>
      </c>
      <c r="E38" s="66" t="s">
        <v>5914</v>
      </c>
      <c r="F38" s="66" t="s">
        <v>5914</v>
      </c>
      <c r="G38" s="66" t="s">
        <v>5915</v>
      </c>
      <c r="H38" s="66" t="s">
        <v>5915</v>
      </c>
      <c r="I38" s="20"/>
      <c r="J38" s="20"/>
      <c r="K38" s="20"/>
      <c r="L38" s="20"/>
      <c r="M38" s="20"/>
      <c r="N38" s="20"/>
      <c r="O38" s="20"/>
      <c r="P38" s="20"/>
      <c r="Q38" s="20"/>
      <c r="R38" s="20"/>
      <c r="S38" s="20"/>
      <c r="T38" s="20"/>
      <c r="U38" s="20"/>
      <c r="V38" s="20"/>
      <c r="W38" s="20"/>
      <c r="X38" s="20"/>
      <c r="Y38" s="20"/>
      <c r="Z38" s="20"/>
    </row>
    <row r="39" spans="1:26" ht="17.25" customHeight="1">
      <c r="A39" s="66" t="s">
        <v>6027</v>
      </c>
      <c r="B39" s="66" t="s">
        <v>5916</v>
      </c>
      <c r="C39" s="66" t="s">
        <v>5916</v>
      </c>
      <c r="D39" s="66" t="s">
        <v>5916</v>
      </c>
      <c r="E39" s="66" t="s">
        <v>5916</v>
      </c>
      <c r="F39" s="66" t="s">
        <v>5916</v>
      </c>
      <c r="G39" s="66" t="s">
        <v>5917</v>
      </c>
      <c r="H39" s="66" t="s">
        <v>5917</v>
      </c>
      <c r="I39" s="20"/>
      <c r="J39" s="20"/>
      <c r="K39" s="20"/>
      <c r="L39" s="20"/>
      <c r="M39" s="20"/>
      <c r="N39" s="20"/>
      <c r="O39" s="20"/>
      <c r="P39" s="20"/>
      <c r="Q39" s="20"/>
      <c r="R39" s="20"/>
      <c r="S39" s="20"/>
      <c r="T39" s="20"/>
      <c r="U39" s="20"/>
      <c r="V39" s="20"/>
      <c r="W39" s="20"/>
      <c r="X39" s="20"/>
      <c r="Y39" s="20"/>
      <c r="Z39" s="20"/>
    </row>
    <row r="40" spans="1:26" ht="17.25" customHeight="1">
      <c r="A40" s="66" t="s">
        <v>6028</v>
      </c>
      <c r="B40" s="66" t="s">
        <v>5918</v>
      </c>
      <c r="C40" s="66" t="s">
        <v>5918</v>
      </c>
      <c r="D40" s="66" t="s">
        <v>5918</v>
      </c>
      <c r="E40" s="66" t="s">
        <v>5918</v>
      </c>
      <c r="F40" s="66" t="s">
        <v>5918</v>
      </c>
      <c r="G40" s="66" t="s">
        <v>5919</v>
      </c>
      <c r="H40" s="66" t="s">
        <v>5919</v>
      </c>
      <c r="I40" s="20"/>
      <c r="J40" s="20"/>
      <c r="K40" s="20"/>
      <c r="L40" s="20"/>
      <c r="M40" s="20"/>
      <c r="N40" s="20"/>
      <c r="O40" s="20"/>
      <c r="P40" s="20"/>
      <c r="Q40" s="20"/>
      <c r="R40" s="20"/>
      <c r="S40" s="20"/>
      <c r="T40" s="20"/>
      <c r="U40" s="20"/>
      <c r="V40" s="20"/>
      <c r="W40" s="20"/>
      <c r="X40" s="20"/>
      <c r="Y40" s="20"/>
      <c r="Z40" s="20"/>
    </row>
    <row r="41" spans="1:26" ht="17.25" customHeight="1">
      <c r="A41" s="66" t="s">
        <v>6029</v>
      </c>
      <c r="B41" s="66" t="s">
        <v>5920</v>
      </c>
      <c r="C41" s="66" t="s">
        <v>5920</v>
      </c>
      <c r="D41" s="66" t="s">
        <v>5920</v>
      </c>
      <c r="E41" s="66" t="s">
        <v>5920</v>
      </c>
      <c r="F41" s="66" t="s">
        <v>5920</v>
      </c>
      <c r="G41" s="66" t="s">
        <v>5922</v>
      </c>
      <c r="H41" s="66" t="s">
        <v>5922</v>
      </c>
      <c r="I41" s="20"/>
      <c r="J41" s="20"/>
      <c r="K41" s="20"/>
      <c r="L41" s="20"/>
      <c r="M41" s="20"/>
      <c r="N41" s="20"/>
      <c r="O41" s="20"/>
      <c r="P41" s="20"/>
      <c r="Q41" s="20"/>
      <c r="R41" s="20"/>
      <c r="S41" s="20"/>
      <c r="T41" s="20"/>
      <c r="U41" s="20"/>
      <c r="V41" s="20"/>
      <c r="W41" s="20"/>
      <c r="X41" s="20"/>
      <c r="Y41" s="20"/>
      <c r="Z41" s="20"/>
    </row>
    <row r="42" spans="1:26" ht="17.25" customHeight="1">
      <c r="A42" s="66" t="s">
        <v>6030</v>
      </c>
      <c r="B42" s="66" t="s">
        <v>5923</v>
      </c>
      <c r="C42" s="66" t="s">
        <v>5923</v>
      </c>
      <c r="D42" s="66" t="s">
        <v>5923</v>
      </c>
      <c r="E42" s="66" t="s">
        <v>5923</v>
      </c>
      <c r="F42" s="66" t="s">
        <v>5923</v>
      </c>
      <c r="G42" s="66" t="s">
        <v>5924</v>
      </c>
      <c r="H42" s="66" t="s">
        <v>5924</v>
      </c>
      <c r="I42" s="20"/>
      <c r="J42" s="20"/>
      <c r="K42" s="20"/>
      <c r="L42" s="20"/>
      <c r="M42" s="20"/>
      <c r="N42" s="20"/>
      <c r="O42" s="20"/>
      <c r="P42" s="20"/>
      <c r="Q42" s="20"/>
      <c r="R42" s="20"/>
      <c r="S42" s="20"/>
      <c r="T42" s="20"/>
      <c r="U42" s="20"/>
      <c r="V42" s="20"/>
      <c r="W42" s="20"/>
      <c r="X42" s="20"/>
      <c r="Y42" s="20"/>
      <c r="Z42" s="20"/>
    </row>
    <row r="43" spans="1:26" ht="17.25" customHeight="1">
      <c r="A43" s="15" t="s">
        <v>5014</v>
      </c>
      <c r="B43" s="15" t="s">
        <v>5942</v>
      </c>
      <c r="C43" s="15" t="s">
        <v>5942</v>
      </c>
      <c r="D43" s="15" t="s">
        <v>5942</v>
      </c>
      <c r="E43" s="15" t="s">
        <v>5942</v>
      </c>
      <c r="F43" s="15" t="s">
        <v>5942</v>
      </c>
      <c r="G43" s="15" t="s">
        <v>5941</v>
      </c>
      <c r="H43" s="15" t="s">
        <v>5941</v>
      </c>
      <c r="I43" s="20"/>
      <c r="J43" s="20"/>
      <c r="K43" s="20"/>
      <c r="L43" s="20"/>
      <c r="M43" s="20"/>
      <c r="N43" s="20"/>
      <c r="O43" s="20"/>
      <c r="P43" s="20"/>
      <c r="Q43" s="20"/>
      <c r="R43" s="20"/>
      <c r="S43" s="20"/>
      <c r="T43" s="20"/>
      <c r="U43" s="20"/>
      <c r="V43" s="20"/>
      <c r="W43" s="20"/>
      <c r="X43" s="20"/>
      <c r="Y43" s="20"/>
      <c r="Z43" s="20"/>
    </row>
    <row r="44" spans="1:26" ht="17.25" customHeight="1">
      <c r="A44" s="15" t="s">
        <v>5016</v>
      </c>
      <c r="B44" s="15" t="s">
        <v>5942</v>
      </c>
      <c r="C44" s="15" t="s">
        <v>5942</v>
      </c>
      <c r="D44" s="15" t="s">
        <v>5942</v>
      </c>
      <c r="E44" s="15" t="s">
        <v>5942</v>
      </c>
      <c r="F44" s="15" t="s">
        <v>5942</v>
      </c>
      <c r="G44" s="15" t="s">
        <v>5941</v>
      </c>
      <c r="H44" s="15" t="s">
        <v>5941</v>
      </c>
      <c r="I44" s="20"/>
      <c r="J44" s="20"/>
      <c r="K44" s="20"/>
      <c r="L44" s="20"/>
      <c r="M44" s="20"/>
      <c r="N44" s="20"/>
      <c r="O44" s="20"/>
      <c r="P44" s="20"/>
      <c r="Q44" s="20"/>
      <c r="R44" s="20"/>
      <c r="S44" s="20"/>
      <c r="T44" s="20"/>
      <c r="U44" s="20"/>
      <c r="V44" s="20"/>
      <c r="W44" s="20"/>
      <c r="X44" s="20"/>
      <c r="Y44" s="20"/>
      <c r="Z44" s="20"/>
    </row>
    <row r="45" spans="1:26" ht="17.25" customHeight="1">
      <c r="A45" s="15" t="s">
        <v>5017</v>
      </c>
      <c r="B45" s="15" t="s">
        <v>5942</v>
      </c>
      <c r="C45" s="15" t="s">
        <v>5942</v>
      </c>
      <c r="D45" s="15" t="s">
        <v>5942</v>
      </c>
      <c r="E45" s="15" t="s">
        <v>5942</v>
      </c>
      <c r="F45" s="15" t="s">
        <v>5942</v>
      </c>
      <c r="G45" s="15" t="s">
        <v>5941</v>
      </c>
      <c r="H45" s="15" t="s">
        <v>5941</v>
      </c>
      <c r="I45" s="20"/>
      <c r="J45" s="20"/>
      <c r="K45" s="20"/>
      <c r="L45" s="20"/>
      <c r="M45" s="20"/>
      <c r="N45" s="20"/>
      <c r="O45" s="20"/>
      <c r="P45" s="20"/>
      <c r="Q45" s="20"/>
      <c r="R45" s="20"/>
      <c r="S45" s="20"/>
      <c r="T45" s="20"/>
      <c r="U45" s="20"/>
      <c r="V45" s="20"/>
      <c r="W45" s="20"/>
      <c r="X45" s="20"/>
      <c r="Y45" s="20"/>
      <c r="Z45" s="20"/>
    </row>
    <row r="46" spans="1:26" ht="17.25" customHeight="1">
      <c r="A46" s="15" t="s">
        <v>5018</v>
      </c>
      <c r="B46" s="15" t="s">
        <v>5932</v>
      </c>
      <c r="C46" s="15" t="s">
        <v>5932</v>
      </c>
      <c r="D46" s="15" t="s">
        <v>5932</v>
      </c>
      <c r="E46" s="15" t="s">
        <v>5932</v>
      </c>
      <c r="F46" s="15" t="s">
        <v>5932</v>
      </c>
      <c r="G46" s="15" t="s">
        <v>5933</v>
      </c>
      <c r="H46" s="47" t="s">
        <v>5934</v>
      </c>
      <c r="I46" s="20"/>
      <c r="J46" s="20"/>
      <c r="K46" s="20"/>
      <c r="L46" s="20"/>
      <c r="M46" s="20"/>
      <c r="N46" s="20"/>
      <c r="O46" s="20"/>
      <c r="P46" s="20"/>
      <c r="Q46" s="20"/>
      <c r="R46" s="20"/>
      <c r="S46" s="20"/>
      <c r="T46" s="20"/>
      <c r="U46" s="20"/>
      <c r="V46" s="20"/>
      <c r="W46" s="20"/>
      <c r="X46" s="20"/>
      <c r="Y46" s="20"/>
      <c r="Z46" s="20"/>
    </row>
    <row r="47" spans="1:26" ht="17.25" customHeight="1">
      <c r="A47" s="15" t="s">
        <v>5019</v>
      </c>
      <c r="B47" s="15" t="s">
        <v>5932</v>
      </c>
      <c r="C47" s="15" t="s">
        <v>5932</v>
      </c>
      <c r="D47" s="15" t="s">
        <v>5932</v>
      </c>
      <c r="E47" s="15" t="s">
        <v>5932</v>
      </c>
      <c r="F47" s="15" t="s">
        <v>5932</v>
      </c>
      <c r="G47" s="15" t="s">
        <v>5933</v>
      </c>
      <c r="H47" s="47" t="s">
        <v>5934</v>
      </c>
      <c r="I47" s="20"/>
      <c r="J47" s="20"/>
      <c r="K47" s="20"/>
      <c r="L47" s="20"/>
      <c r="M47" s="20"/>
      <c r="N47" s="20"/>
      <c r="O47" s="20"/>
      <c r="P47" s="20"/>
      <c r="Q47" s="20"/>
      <c r="R47" s="20"/>
      <c r="S47" s="20"/>
      <c r="T47" s="20"/>
      <c r="U47" s="20"/>
      <c r="V47" s="20"/>
      <c r="W47" s="20"/>
      <c r="X47" s="20"/>
      <c r="Y47" s="20"/>
      <c r="Z47" s="20"/>
    </row>
    <row r="48" spans="1:26" ht="17.25" customHeight="1">
      <c r="A48" s="15" t="s">
        <v>5020</v>
      </c>
      <c r="B48" s="15" t="s">
        <v>5932</v>
      </c>
      <c r="C48" s="15" t="s">
        <v>5932</v>
      </c>
      <c r="D48" s="15" t="s">
        <v>5932</v>
      </c>
      <c r="E48" s="15" t="s">
        <v>5932</v>
      </c>
      <c r="F48" s="15" t="s">
        <v>5932</v>
      </c>
      <c r="G48" s="15" t="s">
        <v>5933</v>
      </c>
      <c r="H48" s="47" t="s">
        <v>5934</v>
      </c>
      <c r="I48" s="20"/>
      <c r="J48" s="20"/>
      <c r="K48" s="20"/>
      <c r="L48" s="20"/>
      <c r="M48" s="20"/>
      <c r="N48" s="20"/>
      <c r="O48" s="20"/>
      <c r="P48" s="20"/>
      <c r="Q48" s="20"/>
      <c r="R48" s="20"/>
      <c r="S48" s="20"/>
      <c r="T48" s="20"/>
      <c r="U48" s="20"/>
      <c r="V48" s="20"/>
      <c r="W48" s="20"/>
      <c r="X48" s="20"/>
      <c r="Y48" s="20"/>
      <c r="Z48" s="20"/>
    </row>
    <row r="49" spans="1:26" ht="17.25" customHeight="1">
      <c r="A49" s="15" t="s">
        <v>5021</v>
      </c>
      <c r="B49" s="15" t="s">
        <v>5935</v>
      </c>
      <c r="C49" s="15" t="s">
        <v>5935</v>
      </c>
      <c r="D49" s="15" t="s">
        <v>5935</v>
      </c>
      <c r="E49" s="15" t="s">
        <v>5935</v>
      </c>
      <c r="F49" s="15" t="s">
        <v>5935</v>
      </c>
      <c r="G49" s="15" t="s">
        <v>5936</v>
      </c>
      <c r="H49" s="47" t="s">
        <v>5937</v>
      </c>
      <c r="I49" s="20"/>
      <c r="J49" s="20"/>
      <c r="K49" s="20"/>
      <c r="L49" s="20"/>
      <c r="M49" s="20"/>
      <c r="N49" s="20"/>
      <c r="O49" s="20"/>
      <c r="P49" s="20"/>
      <c r="Q49" s="20"/>
      <c r="R49" s="20"/>
      <c r="S49" s="20"/>
      <c r="T49" s="20"/>
      <c r="U49" s="20"/>
      <c r="V49" s="20"/>
      <c r="W49" s="20"/>
      <c r="X49" s="20"/>
      <c r="Y49" s="20"/>
      <c r="Z49" s="20"/>
    </row>
    <row r="50" spans="1:26" ht="17.25" customHeight="1">
      <c r="A50" s="15" t="s">
        <v>5022</v>
      </c>
      <c r="B50" s="15" t="s">
        <v>5935</v>
      </c>
      <c r="C50" s="15" t="s">
        <v>5935</v>
      </c>
      <c r="D50" s="15" t="s">
        <v>5935</v>
      </c>
      <c r="E50" s="15" t="s">
        <v>5935</v>
      </c>
      <c r="F50" s="15" t="s">
        <v>5935</v>
      </c>
      <c r="G50" s="15" t="s">
        <v>5936</v>
      </c>
      <c r="H50" s="47" t="s">
        <v>5937</v>
      </c>
      <c r="I50" s="20"/>
      <c r="J50" s="20"/>
      <c r="K50" s="20"/>
      <c r="L50" s="20"/>
      <c r="M50" s="20"/>
      <c r="N50" s="20"/>
      <c r="O50" s="20"/>
      <c r="P50" s="20"/>
      <c r="Q50" s="20"/>
      <c r="R50" s="20"/>
      <c r="S50" s="20"/>
      <c r="T50" s="20"/>
      <c r="U50" s="20"/>
      <c r="V50" s="20"/>
      <c r="W50" s="20"/>
      <c r="X50" s="20"/>
      <c r="Y50" s="20"/>
      <c r="Z50" s="20"/>
    </row>
    <row r="51" spans="1:26" ht="17.25" customHeight="1">
      <c r="A51" s="15" t="s">
        <v>5023</v>
      </c>
      <c r="B51" s="15" t="s">
        <v>5935</v>
      </c>
      <c r="C51" s="15" t="s">
        <v>5935</v>
      </c>
      <c r="D51" s="15" t="s">
        <v>5935</v>
      </c>
      <c r="E51" s="15" t="s">
        <v>5935</v>
      </c>
      <c r="F51" s="15" t="s">
        <v>5935</v>
      </c>
      <c r="G51" s="15" t="s">
        <v>5936</v>
      </c>
      <c r="H51" s="47" t="s">
        <v>5937</v>
      </c>
      <c r="I51" s="20"/>
      <c r="J51" s="20"/>
      <c r="K51" s="20"/>
      <c r="L51" s="20"/>
      <c r="M51" s="20"/>
      <c r="N51" s="20"/>
      <c r="O51" s="20"/>
      <c r="P51" s="20"/>
      <c r="Q51" s="20"/>
      <c r="R51" s="20"/>
      <c r="S51" s="20"/>
      <c r="T51" s="20"/>
      <c r="U51" s="20"/>
      <c r="V51" s="20"/>
      <c r="W51" s="20"/>
      <c r="X51" s="20"/>
      <c r="Y51" s="20"/>
      <c r="Z51" s="20"/>
    </row>
    <row r="52" spans="1:26" ht="17.25" customHeight="1">
      <c r="A52" s="15" t="s">
        <v>5024</v>
      </c>
      <c r="B52" s="15" t="s">
        <v>5938</v>
      </c>
      <c r="C52" s="15" t="s">
        <v>5938</v>
      </c>
      <c r="D52" s="15" t="s">
        <v>5938</v>
      </c>
      <c r="E52" s="15" t="s">
        <v>5938</v>
      </c>
      <c r="F52" s="15" t="s">
        <v>5938</v>
      </c>
      <c r="G52" s="15" t="s">
        <v>5939</v>
      </c>
      <c r="H52" s="47" t="s">
        <v>5940</v>
      </c>
      <c r="I52" s="20"/>
      <c r="J52" s="20"/>
      <c r="K52" s="20"/>
      <c r="L52" s="20"/>
      <c r="M52" s="20"/>
      <c r="N52" s="20"/>
      <c r="O52" s="20"/>
      <c r="P52" s="20"/>
      <c r="Q52" s="20"/>
      <c r="R52" s="20"/>
      <c r="S52" s="20"/>
      <c r="T52" s="20"/>
      <c r="U52" s="20"/>
      <c r="V52" s="20"/>
      <c r="W52" s="20"/>
      <c r="X52" s="20"/>
      <c r="Y52" s="20"/>
      <c r="Z52" s="20"/>
    </row>
    <row r="53" spans="1:26" ht="17.25" customHeight="1">
      <c r="A53" s="15" t="s">
        <v>5025</v>
      </c>
      <c r="B53" s="15" t="s">
        <v>5929</v>
      </c>
      <c r="C53" s="15" t="s">
        <v>5929</v>
      </c>
      <c r="D53" s="15" t="s">
        <v>5929</v>
      </c>
      <c r="E53" s="15" t="s">
        <v>5929</v>
      </c>
      <c r="F53" s="15" t="s">
        <v>5929</v>
      </c>
      <c r="G53" s="15" t="s">
        <v>5930</v>
      </c>
      <c r="H53" s="47" t="s">
        <v>5931</v>
      </c>
      <c r="I53" s="20"/>
      <c r="J53" s="20"/>
      <c r="K53" s="20"/>
      <c r="L53" s="20"/>
      <c r="M53" s="20"/>
      <c r="N53" s="20"/>
      <c r="O53" s="20"/>
      <c r="P53" s="20"/>
      <c r="Q53" s="20"/>
      <c r="R53" s="20"/>
      <c r="S53" s="20"/>
      <c r="T53" s="20"/>
      <c r="U53" s="20"/>
      <c r="V53" s="20"/>
      <c r="W53" s="20"/>
      <c r="X53" s="20"/>
      <c r="Y53" s="20"/>
      <c r="Z53" s="20"/>
    </row>
    <row r="54" spans="1:26" ht="17.25" customHeight="1">
      <c r="A54" s="15" t="s">
        <v>5026</v>
      </c>
      <c r="B54" s="15" t="s">
        <v>5929</v>
      </c>
      <c r="C54" s="15" t="s">
        <v>5929</v>
      </c>
      <c r="D54" s="15" t="s">
        <v>5929</v>
      </c>
      <c r="E54" s="15" t="s">
        <v>5929</v>
      </c>
      <c r="F54" s="15" t="s">
        <v>5929</v>
      </c>
      <c r="G54" s="15" t="s">
        <v>5930</v>
      </c>
      <c r="H54" s="47" t="s">
        <v>5931</v>
      </c>
      <c r="I54" s="20"/>
      <c r="J54" s="20"/>
      <c r="K54" s="20"/>
      <c r="L54" s="20"/>
      <c r="M54" s="20"/>
      <c r="N54" s="20"/>
      <c r="O54" s="20"/>
      <c r="P54" s="20"/>
      <c r="Q54" s="20"/>
      <c r="R54" s="20"/>
      <c r="S54" s="20"/>
      <c r="T54" s="20"/>
      <c r="U54" s="20"/>
      <c r="V54" s="20"/>
      <c r="W54" s="20"/>
      <c r="X54" s="20"/>
      <c r="Y54" s="20"/>
      <c r="Z54" s="20"/>
    </row>
    <row r="55" spans="1:26" ht="17.25" customHeight="1">
      <c r="A55" s="55" t="s">
        <v>5027</v>
      </c>
      <c r="B55" s="15" t="s">
        <v>5938</v>
      </c>
      <c r="C55" s="15" t="s">
        <v>5938</v>
      </c>
      <c r="D55" s="15" t="s">
        <v>5938</v>
      </c>
      <c r="E55" s="15" t="s">
        <v>5938</v>
      </c>
      <c r="F55" s="15" t="s">
        <v>5938</v>
      </c>
      <c r="G55" s="15" t="s">
        <v>5939</v>
      </c>
      <c r="H55" s="47" t="s">
        <v>5940</v>
      </c>
      <c r="I55" s="20"/>
      <c r="J55" s="20"/>
      <c r="K55" s="20"/>
      <c r="L55" s="20"/>
      <c r="M55" s="20"/>
      <c r="N55" s="20"/>
      <c r="O55" s="20"/>
      <c r="P55" s="20"/>
      <c r="Q55" s="20"/>
      <c r="R55" s="20"/>
      <c r="S55" s="20"/>
      <c r="T55" s="20"/>
      <c r="U55" s="20"/>
      <c r="V55" s="20"/>
      <c r="W55" s="20"/>
      <c r="X55" s="20"/>
      <c r="Y55" s="20"/>
      <c r="Z55" s="20"/>
    </row>
    <row r="56" spans="1:26" ht="17.25" customHeight="1">
      <c r="A56" s="55" t="s">
        <v>5028</v>
      </c>
      <c r="B56" s="15" t="s">
        <v>5938</v>
      </c>
      <c r="C56" s="15" t="s">
        <v>5938</v>
      </c>
      <c r="D56" s="15" t="s">
        <v>5938</v>
      </c>
      <c r="E56" s="15" t="s">
        <v>5938</v>
      </c>
      <c r="F56" s="15" t="s">
        <v>5938</v>
      </c>
      <c r="G56" s="15" t="s">
        <v>5939</v>
      </c>
      <c r="H56" s="47" t="s">
        <v>5940</v>
      </c>
      <c r="I56" s="20"/>
      <c r="J56" s="20"/>
      <c r="K56" s="20"/>
      <c r="L56" s="20"/>
      <c r="M56" s="20"/>
      <c r="N56" s="20"/>
      <c r="O56" s="20"/>
      <c r="P56" s="20"/>
      <c r="Q56" s="20"/>
      <c r="R56" s="20"/>
      <c r="S56" s="20"/>
      <c r="T56" s="20"/>
      <c r="U56" s="20"/>
      <c r="V56" s="20"/>
      <c r="W56" s="20"/>
      <c r="X56" s="20"/>
      <c r="Y56" s="20"/>
      <c r="Z56" s="20"/>
    </row>
    <row r="57" spans="1:26" ht="17.25" customHeight="1">
      <c r="A57" s="55" t="s">
        <v>5029</v>
      </c>
      <c r="B57" s="15" t="s">
        <v>5935</v>
      </c>
      <c r="C57" s="15" t="s">
        <v>5935</v>
      </c>
      <c r="D57" s="15" t="s">
        <v>5935</v>
      </c>
      <c r="E57" s="15" t="s">
        <v>5935</v>
      </c>
      <c r="F57" s="15" t="s">
        <v>5935</v>
      </c>
      <c r="G57" s="15" t="s">
        <v>5936</v>
      </c>
      <c r="H57" s="47" t="s">
        <v>5937</v>
      </c>
      <c r="I57" s="20"/>
      <c r="J57" s="20"/>
      <c r="K57" s="20"/>
      <c r="L57" s="20"/>
      <c r="M57" s="20"/>
      <c r="N57" s="20"/>
      <c r="O57" s="20"/>
      <c r="P57" s="20"/>
      <c r="Q57" s="20"/>
      <c r="R57" s="20"/>
      <c r="S57" s="20"/>
      <c r="T57" s="20"/>
      <c r="U57" s="20"/>
      <c r="V57" s="20"/>
      <c r="W57" s="20"/>
      <c r="X57" s="20"/>
      <c r="Y57" s="20"/>
      <c r="Z57" s="20"/>
    </row>
    <row r="58" spans="1:26" ht="17.25" customHeight="1">
      <c r="A58" s="55" t="s">
        <v>5030</v>
      </c>
      <c r="B58" s="15" t="s">
        <v>5943</v>
      </c>
      <c r="C58" s="15" t="s">
        <v>5943</v>
      </c>
      <c r="D58" s="15" t="s">
        <v>5943</v>
      </c>
      <c r="E58" s="15" t="s">
        <v>5943</v>
      </c>
      <c r="F58" s="15" t="s">
        <v>5943</v>
      </c>
      <c r="G58" s="15" t="s">
        <v>5943</v>
      </c>
      <c r="H58" s="15" t="s">
        <v>5943</v>
      </c>
      <c r="I58" s="20"/>
      <c r="J58" s="20"/>
      <c r="K58" s="20"/>
      <c r="L58" s="20"/>
      <c r="M58" s="20"/>
      <c r="N58" s="20"/>
      <c r="O58" s="20"/>
      <c r="P58" s="20"/>
      <c r="Q58" s="20"/>
      <c r="R58" s="20"/>
      <c r="S58" s="20"/>
      <c r="T58" s="20"/>
      <c r="U58" s="20"/>
      <c r="V58" s="20"/>
      <c r="W58" s="20"/>
      <c r="X58" s="20"/>
      <c r="Y58" s="20"/>
      <c r="Z58" s="20"/>
    </row>
    <row r="59" spans="1:26" ht="17.25" customHeight="1">
      <c r="A59" s="55" t="s">
        <v>5031</v>
      </c>
      <c r="B59" s="15" t="s">
        <v>5942</v>
      </c>
      <c r="C59" s="15" t="s">
        <v>5942</v>
      </c>
      <c r="D59" s="15" t="s">
        <v>5942</v>
      </c>
      <c r="E59" s="15" t="s">
        <v>5942</v>
      </c>
      <c r="F59" s="15" t="s">
        <v>5942</v>
      </c>
      <c r="G59" s="15" t="s">
        <v>5941</v>
      </c>
      <c r="H59" s="15" t="s">
        <v>5941</v>
      </c>
      <c r="I59" s="20"/>
      <c r="J59" s="20"/>
      <c r="K59" s="20"/>
      <c r="L59" s="20"/>
      <c r="M59" s="20"/>
      <c r="N59" s="20"/>
      <c r="O59" s="20"/>
      <c r="P59" s="20"/>
      <c r="Q59" s="20"/>
      <c r="R59" s="20"/>
      <c r="S59" s="20"/>
      <c r="T59" s="20"/>
      <c r="U59" s="20"/>
      <c r="V59" s="20"/>
      <c r="W59" s="20"/>
      <c r="X59" s="20"/>
      <c r="Y59" s="20"/>
      <c r="Z59" s="20"/>
    </row>
    <row r="60" spans="1:26" ht="17.25" customHeight="1">
      <c r="A60" s="55" t="s">
        <v>5032</v>
      </c>
      <c r="B60" s="15" t="s">
        <v>5943</v>
      </c>
      <c r="C60" s="15" t="s">
        <v>5943</v>
      </c>
      <c r="D60" s="15" t="s">
        <v>5943</v>
      </c>
      <c r="E60" s="15" t="s">
        <v>5943</v>
      </c>
      <c r="F60" s="15" t="s">
        <v>5943</v>
      </c>
      <c r="G60" s="15" t="s">
        <v>5943</v>
      </c>
      <c r="H60" s="15" t="s">
        <v>5943</v>
      </c>
      <c r="I60" s="20"/>
      <c r="J60" s="20"/>
      <c r="K60" s="20"/>
      <c r="L60" s="20"/>
      <c r="M60" s="20"/>
      <c r="N60" s="20"/>
      <c r="O60" s="20"/>
      <c r="P60" s="20"/>
      <c r="Q60" s="20"/>
      <c r="R60" s="20"/>
      <c r="S60" s="20"/>
      <c r="T60" s="20"/>
      <c r="U60" s="20"/>
      <c r="V60" s="20"/>
      <c r="W60" s="20"/>
      <c r="X60" s="20"/>
      <c r="Y60" s="20"/>
      <c r="Z60" s="20"/>
    </row>
    <row r="61" spans="1:26" ht="17.25" customHeight="1">
      <c r="A61" s="55" t="s">
        <v>5033</v>
      </c>
      <c r="B61" s="15" t="s">
        <v>5943</v>
      </c>
      <c r="C61" s="15" t="s">
        <v>5943</v>
      </c>
      <c r="D61" s="15" t="s">
        <v>5943</v>
      </c>
      <c r="E61" s="15" t="s">
        <v>5943</v>
      </c>
      <c r="F61" s="15" t="s">
        <v>5943</v>
      </c>
      <c r="G61" s="15" t="s">
        <v>5943</v>
      </c>
      <c r="H61" s="15" t="s">
        <v>5943</v>
      </c>
      <c r="I61" s="20"/>
      <c r="J61" s="20"/>
      <c r="K61" s="20"/>
      <c r="L61" s="20"/>
      <c r="M61" s="20"/>
      <c r="N61" s="20"/>
      <c r="O61" s="20"/>
      <c r="P61" s="20"/>
      <c r="Q61" s="20"/>
      <c r="R61" s="20"/>
      <c r="S61" s="20"/>
      <c r="T61" s="20"/>
      <c r="U61" s="20"/>
      <c r="V61" s="20"/>
      <c r="W61" s="20"/>
      <c r="X61" s="20"/>
      <c r="Y61" s="20"/>
      <c r="Z61" s="20"/>
    </row>
    <row r="62" spans="1:26" ht="17.25" customHeight="1">
      <c r="A62" s="15" t="s">
        <v>163</v>
      </c>
      <c r="B62" s="15" t="s">
        <v>163</v>
      </c>
      <c r="C62" s="15" t="s">
        <v>163</v>
      </c>
      <c r="D62" s="15" t="s">
        <v>163</v>
      </c>
      <c r="E62" s="15" t="s">
        <v>163</v>
      </c>
      <c r="F62" s="15" t="s">
        <v>163</v>
      </c>
      <c r="G62" s="15" t="s">
        <v>163</v>
      </c>
      <c r="H62" s="15" t="s">
        <v>163</v>
      </c>
      <c r="I62" s="20"/>
      <c r="J62" s="20"/>
      <c r="K62" s="20"/>
      <c r="L62" s="20"/>
      <c r="M62" s="20"/>
      <c r="N62" s="20"/>
      <c r="O62" s="20"/>
      <c r="P62" s="20"/>
      <c r="Q62" s="20"/>
      <c r="R62" s="20"/>
      <c r="S62" s="20"/>
      <c r="T62" s="20"/>
      <c r="U62" s="20"/>
      <c r="V62" s="20"/>
      <c r="W62" s="20"/>
      <c r="X62" s="20"/>
      <c r="Y62" s="20"/>
      <c r="Z62" s="20"/>
    </row>
    <row r="63" spans="1:26" ht="17.25" customHeight="1">
      <c r="A63" s="15"/>
      <c r="B63" s="15"/>
      <c r="C63" s="15"/>
      <c r="D63" s="15"/>
      <c r="E63" s="15"/>
      <c r="F63" s="15"/>
      <c r="G63" s="15"/>
      <c r="H63" s="47"/>
      <c r="I63" s="20"/>
      <c r="J63" s="20"/>
      <c r="K63" s="20"/>
      <c r="L63" s="20"/>
      <c r="M63" s="20"/>
      <c r="N63" s="20"/>
      <c r="O63" s="20"/>
      <c r="P63" s="20"/>
      <c r="Q63" s="20"/>
      <c r="R63" s="20"/>
      <c r="S63" s="20"/>
      <c r="T63" s="20"/>
      <c r="U63" s="20"/>
      <c r="V63" s="20"/>
      <c r="W63" s="20"/>
      <c r="X63" s="20"/>
      <c r="Y63" s="20"/>
      <c r="Z63" s="20"/>
    </row>
    <row r="64" spans="1:26" ht="17.25" customHeight="1">
      <c r="A64" s="15"/>
      <c r="B64" s="15"/>
      <c r="C64" s="15"/>
      <c r="D64" s="15"/>
      <c r="E64" s="15"/>
      <c r="F64" s="15"/>
      <c r="G64" s="15"/>
      <c r="H64" s="47"/>
      <c r="I64" s="20"/>
      <c r="J64" s="20"/>
      <c r="K64" s="20"/>
      <c r="L64" s="20"/>
      <c r="M64" s="20"/>
      <c r="N64" s="20"/>
      <c r="O64" s="20"/>
      <c r="P64" s="20"/>
      <c r="Q64" s="20"/>
      <c r="R64" s="20"/>
      <c r="S64" s="20"/>
      <c r="T64" s="20"/>
      <c r="U64" s="20"/>
      <c r="V64" s="20"/>
      <c r="W64" s="20"/>
      <c r="X64" s="20"/>
      <c r="Y64" s="20"/>
      <c r="Z64" s="20"/>
    </row>
    <row r="65" spans="1:26" ht="17.25" customHeight="1">
      <c r="A65" s="15"/>
      <c r="B65" s="15"/>
      <c r="C65" s="15"/>
      <c r="D65" s="15"/>
      <c r="E65" s="15"/>
      <c r="F65" s="15"/>
      <c r="G65" s="15"/>
      <c r="H65" s="47"/>
      <c r="I65" s="20"/>
      <c r="J65" s="20"/>
      <c r="K65" s="20"/>
      <c r="L65" s="20"/>
      <c r="M65" s="20"/>
      <c r="N65" s="20"/>
      <c r="O65" s="20"/>
      <c r="P65" s="20"/>
      <c r="Q65" s="20"/>
      <c r="R65" s="20"/>
      <c r="S65" s="20"/>
      <c r="T65" s="20"/>
      <c r="U65" s="20"/>
      <c r="V65" s="20"/>
      <c r="W65" s="20"/>
      <c r="X65" s="20"/>
      <c r="Y65" s="20"/>
      <c r="Z65" s="20"/>
    </row>
    <row r="66" spans="1:26" ht="17.25" customHeight="1">
      <c r="A66" s="15"/>
      <c r="B66" s="15"/>
      <c r="C66" s="15"/>
      <c r="D66" s="15"/>
      <c r="E66" s="15"/>
      <c r="F66" s="15"/>
      <c r="G66" s="15"/>
      <c r="H66" s="47"/>
      <c r="I66" s="20"/>
      <c r="J66" s="20"/>
      <c r="K66" s="20"/>
      <c r="L66" s="20"/>
      <c r="M66" s="20"/>
      <c r="N66" s="20"/>
      <c r="O66" s="20"/>
      <c r="P66" s="20"/>
      <c r="Q66" s="20"/>
      <c r="R66" s="20"/>
      <c r="S66" s="20"/>
      <c r="T66" s="20"/>
      <c r="U66" s="20"/>
      <c r="V66" s="20"/>
      <c r="W66" s="20"/>
      <c r="X66" s="20"/>
      <c r="Y66" s="20"/>
      <c r="Z66" s="20"/>
    </row>
    <row r="67" spans="1:26" ht="17.25" customHeight="1">
      <c r="A67" s="15"/>
      <c r="B67" s="15"/>
      <c r="C67" s="15"/>
      <c r="D67" s="15"/>
      <c r="E67" s="15"/>
      <c r="F67" s="15"/>
      <c r="G67" s="15"/>
      <c r="H67" s="47"/>
      <c r="I67" s="20"/>
      <c r="J67" s="20"/>
      <c r="K67" s="20"/>
      <c r="L67" s="20"/>
      <c r="M67" s="20"/>
      <c r="N67" s="20"/>
      <c r="O67" s="20"/>
      <c r="P67" s="20"/>
      <c r="Q67" s="20"/>
      <c r="R67" s="20"/>
      <c r="S67" s="20"/>
      <c r="T67" s="20"/>
      <c r="U67" s="20"/>
      <c r="V67" s="20"/>
      <c r="W67" s="20"/>
      <c r="X67" s="20"/>
      <c r="Y67" s="20"/>
      <c r="Z67" s="20"/>
    </row>
    <row r="68" spans="1:26" ht="17.25" customHeight="1">
      <c r="A68" s="15"/>
      <c r="B68" s="15"/>
      <c r="C68" s="15"/>
      <c r="D68" s="15"/>
      <c r="E68" s="15"/>
      <c r="F68" s="15"/>
      <c r="G68" s="15"/>
      <c r="H68" s="47"/>
      <c r="I68" s="20"/>
      <c r="J68" s="20"/>
      <c r="K68" s="20"/>
      <c r="L68" s="20"/>
      <c r="M68" s="20"/>
      <c r="N68" s="20"/>
      <c r="O68" s="20"/>
      <c r="P68" s="20"/>
      <c r="Q68" s="20"/>
      <c r="R68" s="20"/>
      <c r="S68" s="20"/>
      <c r="T68" s="20"/>
      <c r="U68" s="20"/>
      <c r="V68" s="20"/>
      <c r="W68" s="20"/>
      <c r="X68" s="20"/>
      <c r="Y68" s="20"/>
      <c r="Z68" s="20"/>
    </row>
    <row r="69" spans="1:26" ht="17.25" customHeight="1">
      <c r="A69" s="15"/>
      <c r="B69" s="15"/>
      <c r="C69" s="15"/>
      <c r="D69" s="15"/>
      <c r="E69" s="15"/>
      <c r="F69" s="15"/>
      <c r="G69" s="15"/>
      <c r="H69" s="47"/>
      <c r="I69" s="20"/>
      <c r="J69" s="20"/>
      <c r="K69" s="20"/>
      <c r="L69" s="20"/>
      <c r="M69" s="20"/>
      <c r="N69" s="20"/>
      <c r="O69" s="20"/>
      <c r="P69" s="20"/>
      <c r="Q69" s="20"/>
      <c r="R69" s="20"/>
      <c r="S69" s="20"/>
      <c r="T69" s="20"/>
      <c r="U69" s="20"/>
      <c r="V69" s="20"/>
      <c r="W69" s="20"/>
      <c r="X69" s="20"/>
      <c r="Y69" s="20"/>
      <c r="Z69" s="20"/>
    </row>
    <row r="70" spans="1:26" ht="17.25" customHeight="1">
      <c r="A70" s="15"/>
      <c r="B70" s="15"/>
      <c r="C70" s="15"/>
      <c r="D70" s="15"/>
      <c r="E70" s="15"/>
      <c r="F70" s="15"/>
      <c r="G70" s="15"/>
      <c r="H70" s="47"/>
      <c r="I70" s="20"/>
      <c r="J70" s="20"/>
      <c r="K70" s="20"/>
      <c r="L70" s="20"/>
      <c r="M70" s="20"/>
      <c r="N70" s="20"/>
      <c r="O70" s="20"/>
      <c r="P70" s="20"/>
      <c r="Q70" s="20"/>
      <c r="R70" s="20"/>
      <c r="S70" s="20"/>
      <c r="T70" s="20"/>
      <c r="U70" s="20"/>
      <c r="V70" s="20"/>
      <c r="W70" s="20"/>
      <c r="X70" s="20"/>
      <c r="Y70" s="20"/>
      <c r="Z70" s="20"/>
    </row>
    <row r="71" spans="1:26" ht="17.25" customHeight="1">
      <c r="A71" s="15"/>
      <c r="B71" s="15"/>
      <c r="C71" s="15"/>
      <c r="D71" s="15"/>
      <c r="E71" s="15"/>
      <c r="F71" s="15"/>
      <c r="G71" s="15"/>
      <c r="H71" s="47"/>
      <c r="I71" s="20"/>
      <c r="J71" s="20"/>
      <c r="K71" s="20"/>
      <c r="L71" s="20"/>
      <c r="M71" s="20"/>
      <c r="N71" s="20"/>
      <c r="O71" s="20"/>
      <c r="P71" s="20"/>
      <c r="Q71" s="20"/>
      <c r="R71" s="20"/>
      <c r="S71" s="20"/>
      <c r="T71" s="20"/>
      <c r="U71" s="20"/>
      <c r="V71" s="20"/>
      <c r="W71" s="20"/>
      <c r="X71" s="20"/>
      <c r="Y71" s="20"/>
      <c r="Z71" s="20"/>
    </row>
    <row r="72" spans="1:26" ht="17.25" customHeight="1">
      <c r="A72" s="15"/>
      <c r="B72" s="15"/>
      <c r="C72" s="15"/>
      <c r="D72" s="15"/>
      <c r="E72" s="15"/>
      <c r="F72" s="15"/>
      <c r="G72" s="15"/>
      <c r="H72" s="47"/>
      <c r="I72" s="20"/>
      <c r="J72" s="20"/>
      <c r="K72" s="20"/>
      <c r="L72" s="20"/>
      <c r="M72" s="20"/>
      <c r="N72" s="20"/>
      <c r="O72" s="20"/>
      <c r="P72" s="20"/>
      <c r="Q72" s="20"/>
      <c r="R72" s="20"/>
      <c r="S72" s="20"/>
      <c r="T72" s="20"/>
      <c r="U72" s="20"/>
      <c r="V72" s="20"/>
      <c r="W72" s="20"/>
      <c r="X72" s="20"/>
      <c r="Y72" s="20"/>
      <c r="Z72" s="20"/>
    </row>
    <row r="73" spans="1:26" ht="17.25" customHeight="1">
      <c r="A73" s="15"/>
      <c r="B73" s="15"/>
      <c r="C73" s="15"/>
      <c r="D73" s="15"/>
      <c r="E73" s="15"/>
      <c r="F73" s="15"/>
      <c r="G73" s="15"/>
      <c r="H73" s="47"/>
      <c r="I73" s="20"/>
      <c r="J73" s="20"/>
      <c r="K73" s="20"/>
      <c r="L73" s="20"/>
      <c r="M73" s="20"/>
      <c r="N73" s="20"/>
      <c r="O73" s="20"/>
      <c r="P73" s="20"/>
      <c r="Q73" s="20"/>
      <c r="R73" s="20"/>
      <c r="S73" s="20"/>
      <c r="T73" s="20"/>
      <c r="U73" s="20"/>
      <c r="V73" s="20"/>
      <c r="W73" s="20"/>
      <c r="X73" s="20"/>
      <c r="Y73" s="20"/>
      <c r="Z73" s="20"/>
    </row>
    <row r="74" spans="1:26" ht="17.25" customHeight="1">
      <c r="A74" s="15"/>
      <c r="B74" s="15"/>
      <c r="C74" s="15"/>
      <c r="D74" s="15"/>
      <c r="E74" s="15"/>
      <c r="F74" s="15"/>
      <c r="G74" s="15"/>
      <c r="H74" s="47"/>
      <c r="I74" s="20"/>
      <c r="J74" s="20"/>
      <c r="K74" s="20"/>
      <c r="L74" s="20"/>
      <c r="M74" s="20"/>
      <c r="N74" s="20"/>
      <c r="O74" s="20"/>
      <c r="P74" s="20"/>
      <c r="Q74" s="20"/>
      <c r="R74" s="20"/>
      <c r="S74" s="20"/>
      <c r="T74" s="20"/>
      <c r="U74" s="20"/>
      <c r="V74" s="20"/>
      <c r="W74" s="20"/>
      <c r="X74" s="20"/>
      <c r="Y74" s="20"/>
      <c r="Z74" s="20"/>
    </row>
    <row r="75" spans="1:26" ht="17.25" customHeight="1">
      <c r="A75" s="15"/>
      <c r="B75" s="15"/>
      <c r="C75" s="15"/>
      <c r="D75" s="15"/>
      <c r="E75" s="15"/>
      <c r="F75" s="15"/>
      <c r="G75" s="15"/>
      <c r="H75" s="47"/>
      <c r="I75" s="20"/>
      <c r="J75" s="20"/>
      <c r="K75" s="20"/>
      <c r="L75" s="20"/>
      <c r="M75" s="20"/>
      <c r="N75" s="20"/>
      <c r="O75" s="20"/>
      <c r="P75" s="20"/>
      <c r="Q75" s="20"/>
      <c r="R75" s="20"/>
      <c r="S75" s="20"/>
      <c r="T75" s="20"/>
      <c r="U75" s="20"/>
      <c r="V75" s="20"/>
      <c r="W75" s="20"/>
      <c r="X75" s="20"/>
      <c r="Y75" s="20"/>
      <c r="Z75" s="20"/>
    </row>
    <row r="76" spans="1:26" ht="17.25" customHeight="1">
      <c r="A76" s="15"/>
      <c r="B76" s="15"/>
      <c r="C76" s="15"/>
      <c r="D76" s="15"/>
      <c r="E76" s="15"/>
      <c r="F76" s="15"/>
      <c r="G76" s="15"/>
      <c r="H76" s="47"/>
      <c r="I76" s="20"/>
      <c r="J76" s="20"/>
      <c r="K76" s="20"/>
      <c r="L76" s="20"/>
      <c r="M76" s="20"/>
      <c r="N76" s="20"/>
      <c r="O76" s="20"/>
      <c r="P76" s="20"/>
      <c r="Q76" s="20"/>
      <c r="R76" s="20"/>
      <c r="S76" s="20"/>
      <c r="T76" s="20"/>
      <c r="U76" s="20"/>
      <c r="V76" s="20"/>
      <c r="W76" s="20"/>
      <c r="X76" s="20"/>
      <c r="Y76" s="20"/>
      <c r="Z76" s="20"/>
    </row>
    <row r="77" spans="1:26" ht="17.25" customHeight="1">
      <c r="A77" s="15"/>
      <c r="B77" s="15"/>
      <c r="C77" s="15"/>
      <c r="D77" s="15"/>
      <c r="E77" s="15"/>
      <c r="F77" s="15"/>
      <c r="G77" s="15"/>
      <c r="H77" s="47"/>
      <c r="I77" s="20"/>
      <c r="J77" s="20"/>
      <c r="K77" s="20"/>
      <c r="L77" s="20"/>
      <c r="M77" s="20"/>
      <c r="N77" s="20"/>
      <c r="O77" s="20"/>
      <c r="P77" s="20"/>
      <c r="Q77" s="20"/>
      <c r="R77" s="20"/>
      <c r="S77" s="20"/>
      <c r="T77" s="20"/>
      <c r="U77" s="20"/>
      <c r="V77" s="20"/>
      <c r="W77" s="20"/>
      <c r="X77" s="20"/>
      <c r="Y77" s="20"/>
      <c r="Z77" s="20"/>
    </row>
    <row r="78" spans="1:26" ht="17.25" customHeight="1">
      <c r="A78" s="15"/>
      <c r="B78" s="15"/>
      <c r="C78" s="15"/>
      <c r="D78" s="15"/>
      <c r="E78" s="15"/>
      <c r="F78" s="15"/>
      <c r="G78" s="15"/>
      <c r="H78" s="47"/>
      <c r="I78" s="20"/>
      <c r="J78" s="20"/>
      <c r="K78" s="20"/>
      <c r="L78" s="20"/>
      <c r="M78" s="20"/>
      <c r="N78" s="20"/>
      <c r="O78" s="20"/>
      <c r="P78" s="20"/>
      <c r="Q78" s="20"/>
      <c r="R78" s="20"/>
      <c r="S78" s="20"/>
      <c r="T78" s="20"/>
      <c r="U78" s="20"/>
      <c r="V78" s="20"/>
      <c r="W78" s="20"/>
      <c r="X78" s="20"/>
      <c r="Y78" s="20"/>
      <c r="Z78" s="20"/>
    </row>
    <row r="79" spans="1:26" ht="17.25" customHeight="1">
      <c r="A79" s="15"/>
      <c r="B79" s="15"/>
      <c r="C79" s="15"/>
      <c r="D79" s="15"/>
      <c r="E79" s="15"/>
      <c r="F79" s="15"/>
      <c r="G79" s="15"/>
      <c r="H79" s="47"/>
      <c r="I79" s="20"/>
      <c r="J79" s="20"/>
      <c r="K79" s="20"/>
      <c r="L79" s="20"/>
      <c r="M79" s="20"/>
      <c r="N79" s="20"/>
      <c r="O79" s="20"/>
      <c r="P79" s="20"/>
      <c r="Q79" s="20"/>
      <c r="R79" s="20"/>
      <c r="S79" s="20"/>
      <c r="T79" s="20"/>
      <c r="U79" s="20"/>
      <c r="V79" s="20"/>
      <c r="W79" s="20"/>
      <c r="X79" s="20"/>
      <c r="Y79" s="20"/>
      <c r="Z79" s="20"/>
    </row>
    <row r="80" spans="1:26" ht="17.25" customHeight="1">
      <c r="A80" s="15"/>
      <c r="B80" s="15"/>
      <c r="C80" s="15"/>
      <c r="D80" s="15"/>
      <c r="E80" s="15"/>
      <c r="F80" s="15"/>
      <c r="G80" s="15"/>
      <c r="H80" s="47"/>
      <c r="I80" s="20"/>
      <c r="J80" s="20"/>
      <c r="K80" s="20"/>
      <c r="L80" s="20"/>
      <c r="M80" s="20"/>
      <c r="N80" s="20"/>
      <c r="O80" s="20"/>
      <c r="P80" s="20"/>
      <c r="Q80" s="20"/>
      <c r="R80" s="20"/>
      <c r="S80" s="20"/>
      <c r="T80" s="20"/>
      <c r="U80" s="20"/>
      <c r="V80" s="20"/>
      <c r="W80" s="20"/>
      <c r="X80" s="20"/>
      <c r="Y80" s="20"/>
      <c r="Z80" s="20"/>
    </row>
    <row r="81" spans="1:26" ht="17.25" customHeight="1">
      <c r="A81" s="15"/>
      <c r="B81" s="15"/>
      <c r="C81" s="15"/>
      <c r="D81" s="15"/>
      <c r="E81" s="15"/>
      <c r="F81" s="15"/>
      <c r="G81" s="15"/>
      <c r="H81" s="47"/>
      <c r="I81" s="20"/>
      <c r="J81" s="20"/>
      <c r="K81" s="20"/>
      <c r="L81" s="20"/>
      <c r="M81" s="20"/>
      <c r="N81" s="20"/>
      <c r="O81" s="20"/>
      <c r="P81" s="20"/>
      <c r="Q81" s="20"/>
      <c r="R81" s="20"/>
      <c r="S81" s="20"/>
      <c r="T81" s="20"/>
      <c r="U81" s="20"/>
      <c r="V81" s="20"/>
      <c r="W81" s="20"/>
      <c r="X81" s="20"/>
      <c r="Y81" s="20"/>
      <c r="Z81" s="20"/>
    </row>
    <row r="82" spans="1:26" ht="17.25" customHeight="1">
      <c r="A82" s="15"/>
      <c r="B82" s="15"/>
      <c r="C82" s="15"/>
      <c r="D82" s="15"/>
      <c r="E82" s="15"/>
      <c r="F82" s="15"/>
      <c r="G82" s="15"/>
      <c r="H82" s="47"/>
      <c r="I82" s="20"/>
      <c r="J82" s="20"/>
      <c r="K82" s="20"/>
      <c r="L82" s="20"/>
      <c r="M82" s="20"/>
      <c r="N82" s="20"/>
      <c r="O82" s="20"/>
      <c r="P82" s="20"/>
      <c r="Q82" s="20"/>
      <c r="R82" s="20"/>
      <c r="S82" s="20"/>
      <c r="T82" s="20"/>
      <c r="U82" s="20"/>
      <c r="V82" s="20"/>
      <c r="W82" s="20"/>
      <c r="X82" s="20"/>
      <c r="Y82" s="20"/>
      <c r="Z82" s="20"/>
    </row>
    <row r="83" spans="1:26" ht="17.25" customHeight="1">
      <c r="A83" s="15"/>
      <c r="B83" s="15"/>
      <c r="C83" s="15"/>
      <c r="D83" s="15"/>
      <c r="E83" s="15"/>
      <c r="F83" s="15"/>
      <c r="G83" s="15"/>
      <c r="H83" s="47"/>
      <c r="I83" s="20"/>
      <c r="J83" s="20"/>
      <c r="K83" s="20"/>
      <c r="L83" s="20"/>
      <c r="M83" s="20"/>
      <c r="N83" s="20"/>
      <c r="O83" s="20"/>
      <c r="P83" s="20"/>
      <c r="Q83" s="20"/>
      <c r="R83" s="20"/>
      <c r="S83" s="20"/>
      <c r="T83" s="20"/>
      <c r="U83" s="20"/>
      <c r="V83" s="20"/>
      <c r="W83" s="20"/>
      <c r="X83" s="20"/>
      <c r="Y83" s="20"/>
      <c r="Z83" s="20"/>
    </row>
    <row r="84" spans="1:26" ht="17.25" customHeight="1">
      <c r="A84" s="15"/>
      <c r="B84" s="15"/>
      <c r="C84" s="15"/>
      <c r="D84" s="15"/>
      <c r="E84" s="15"/>
      <c r="F84" s="15"/>
      <c r="G84" s="15"/>
      <c r="H84" s="47"/>
      <c r="I84" s="20"/>
      <c r="J84" s="20"/>
      <c r="K84" s="20"/>
      <c r="L84" s="20"/>
      <c r="M84" s="20"/>
      <c r="N84" s="20"/>
      <c r="O84" s="20"/>
      <c r="P84" s="20"/>
      <c r="Q84" s="20"/>
      <c r="R84" s="20"/>
      <c r="S84" s="20"/>
      <c r="T84" s="20"/>
      <c r="U84" s="20"/>
      <c r="V84" s="20"/>
      <c r="W84" s="20"/>
      <c r="X84" s="20"/>
      <c r="Y84" s="20"/>
      <c r="Z84" s="20"/>
    </row>
    <row r="85" spans="1:26" ht="17.25" customHeight="1">
      <c r="A85" s="15"/>
      <c r="B85" s="15"/>
      <c r="C85" s="15"/>
      <c r="D85" s="15"/>
      <c r="E85" s="15"/>
      <c r="F85" s="15"/>
      <c r="G85" s="15"/>
      <c r="H85" s="47"/>
      <c r="I85" s="20"/>
      <c r="J85" s="20"/>
      <c r="K85" s="20"/>
      <c r="L85" s="20"/>
      <c r="M85" s="20"/>
      <c r="N85" s="20"/>
      <c r="O85" s="20"/>
      <c r="P85" s="20"/>
      <c r="Q85" s="20"/>
      <c r="R85" s="20"/>
      <c r="S85" s="20"/>
      <c r="T85" s="20"/>
      <c r="U85" s="20"/>
      <c r="V85" s="20"/>
      <c r="W85" s="20"/>
      <c r="X85" s="20"/>
      <c r="Y85" s="20"/>
      <c r="Z85" s="20"/>
    </row>
    <row r="86" spans="1:26" ht="17.25" customHeight="1">
      <c r="A86" s="15"/>
      <c r="B86" s="15"/>
      <c r="C86" s="15"/>
      <c r="D86" s="15"/>
      <c r="E86" s="15"/>
      <c r="F86" s="15"/>
      <c r="G86" s="15"/>
      <c r="H86" s="47"/>
      <c r="I86" s="20"/>
      <c r="J86" s="20"/>
      <c r="K86" s="20"/>
      <c r="L86" s="20"/>
      <c r="M86" s="20"/>
      <c r="N86" s="20"/>
      <c r="O86" s="20"/>
      <c r="P86" s="20"/>
      <c r="Q86" s="20"/>
      <c r="R86" s="20"/>
      <c r="S86" s="20"/>
      <c r="T86" s="20"/>
      <c r="U86" s="20"/>
      <c r="V86" s="20"/>
      <c r="W86" s="20"/>
      <c r="X86" s="20"/>
      <c r="Y86" s="20"/>
      <c r="Z86" s="20"/>
    </row>
    <row r="87" spans="1:26" ht="17.25" customHeight="1">
      <c r="A87" s="15"/>
      <c r="B87" s="15"/>
      <c r="C87" s="15"/>
      <c r="D87" s="15"/>
      <c r="E87" s="15"/>
      <c r="F87" s="15"/>
      <c r="G87" s="15"/>
      <c r="H87" s="47"/>
      <c r="I87" s="20"/>
      <c r="J87" s="20"/>
      <c r="K87" s="20"/>
      <c r="L87" s="20"/>
      <c r="M87" s="20"/>
      <c r="N87" s="20"/>
      <c r="O87" s="20"/>
      <c r="P87" s="20"/>
      <c r="Q87" s="20"/>
      <c r="R87" s="20"/>
      <c r="S87" s="20"/>
      <c r="T87" s="20"/>
      <c r="U87" s="20"/>
      <c r="V87" s="20"/>
      <c r="W87" s="20"/>
      <c r="X87" s="20"/>
      <c r="Y87" s="20"/>
      <c r="Z87" s="20"/>
    </row>
    <row r="88" spans="1:26" ht="17.25" customHeight="1">
      <c r="A88" s="15"/>
      <c r="B88" s="15"/>
      <c r="C88" s="15"/>
      <c r="D88" s="15"/>
      <c r="E88" s="15"/>
      <c r="F88" s="15"/>
      <c r="G88" s="15"/>
      <c r="H88" s="47"/>
      <c r="I88" s="20"/>
      <c r="J88" s="20"/>
      <c r="K88" s="20"/>
      <c r="L88" s="20"/>
      <c r="M88" s="20"/>
      <c r="N88" s="20"/>
      <c r="O88" s="20"/>
      <c r="P88" s="20"/>
      <c r="Q88" s="20"/>
      <c r="R88" s="20"/>
      <c r="S88" s="20"/>
      <c r="T88" s="20"/>
      <c r="U88" s="20"/>
      <c r="V88" s="20"/>
      <c r="W88" s="20"/>
      <c r="X88" s="20"/>
      <c r="Y88" s="20"/>
      <c r="Z88" s="20"/>
    </row>
    <row r="89" spans="1:26" ht="17.25" customHeight="1">
      <c r="A89" s="15"/>
      <c r="B89" s="15"/>
      <c r="C89" s="15"/>
      <c r="D89" s="15"/>
      <c r="E89" s="15"/>
      <c r="F89" s="15"/>
      <c r="G89" s="15"/>
      <c r="H89" s="47"/>
      <c r="I89" s="20"/>
      <c r="J89" s="20"/>
      <c r="K89" s="20"/>
      <c r="L89" s="20"/>
      <c r="M89" s="20"/>
      <c r="N89" s="20"/>
      <c r="O89" s="20"/>
      <c r="P89" s="20"/>
      <c r="Q89" s="20"/>
      <c r="R89" s="20"/>
      <c r="S89" s="20"/>
      <c r="T89" s="20"/>
      <c r="U89" s="20"/>
      <c r="V89" s="20"/>
      <c r="W89" s="20"/>
      <c r="X89" s="20"/>
      <c r="Y89" s="20"/>
      <c r="Z89" s="20"/>
    </row>
    <row r="90" spans="1:26" ht="17.25" customHeight="1">
      <c r="A90" s="15"/>
      <c r="B90" s="15"/>
      <c r="C90" s="15"/>
      <c r="D90" s="15"/>
      <c r="E90" s="15"/>
      <c r="F90" s="15"/>
      <c r="G90" s="15"/>
      <c r="H90" s="47"/>
      <c r="I90" s="20"/>
      <c r="J90" s="20"/>
      <c r="K90" s="20"/>
      <c r="L90" s="20"/>
      <c r="M90" s="20"/>
      <c r="N90" s="20"/>
      <c r="O90" s="20"/>
      <c r="P90" s="20"/>
      <c r="Q90" s="20"/>
      <c r="R90" s="20"/>
      <c r="S90" s="20"/>
      <c r="T90" s="20"/>
      <c r="U90" s="20"/>
      <c r="V90" s="20"/>
      <c r="W90" s="20"/>
      <c r="X90" s="20"/>
      <c r="Y90" s="20"/>
      <c r="Z90" s="20"/>
    </row>
    <row r="91" spans="1:26" ht="17.25" customHeight="1">
      <c r="A91" s="15"/>
      <c r="B91" s="15"/>
      <c r="C91" s="15"/>
      <c r="D91" s="15"/>
      <c r="E91" s="15"/>
      <c r="F91" s="15"/>
      <c r="G91" s="15"/>
      <c r="H91" s="47"/>
      <c r="I91" s="20"/>
      <c r="J91" s="20"/>
      <c r="K91" s="20"/>
      <c r="L91" s="20"/>
      <c r="M91" s="20"/>
      <c r="N91" s="20"/>
      <c r="O91" s="20"/>
      <c r="P91" s="20"/>
      <c r="Q91" s="20"/>
      <c r="R91" s="20"/>
      <c r="S91" s="20"/>
      <c r="T91" s="20"/>
      <c r="U91" s="20"/>
      <c r="V91" s="20"/>
      <c r="W91" s="20"/>
      <c r="X91" s="20"/>
      <c r="Y91" s="20"/>
      <c r="Z91" s="20"/>
    </row>
    <row r="92" spans="1:26" ht="17.25" customHeight="1">
      <c r="A92" s="15"/>
      <c r="B92" s="15"/>
      <c r="C92" s="15"/>
      <c r="D92" s="15"/>
      <c r="E92" s="15"/>
      <c r="F92" s="15"/>
      <c r="G92" s="15"/>
      <c r="H92" s="47"/>
      <c r="I92" s="20"/>
      <c r="J92" s="20"/>
      <c r="K92" s="20"/>
      <c r="L92" s="20"/>
      <c r="M92" s="20"/>
      <c r="N92" s="20"/>
      <c r="O92" s="20"/>
      <c r="P92" s="20"/>
      <c r="Q92" s="20"/>
      <c r="R92" s="20"/>
      <c r="S92" s="20"/>
      <c r="T92" s="20"/>
      <c r="U92" s="20"/>
      <c r="V92" s="20"/>
      <c r="W92" s="20"/>
      <c r="X92" s="20"/>
      <c r="Y92" s="20"/>
      <c r="Z92" s="20"/>
    </row>
    <row r="93" spans="1:26" ht="17.25" customHeight="1">
      <c r="A93" s="15"/>
      <c r="B93" s="15"/>
      <c r="C93" s="15"/>
      <c r="D93" s="15"/>
      <c r="E93" s="15"/>
      <c r="F93" s="15"/>
      <c r="G93" s="15"/>
      <c r="H93" s="47"/>
      <c r="I93" s="20"/>
      <c r="J93" s="20"/>
      <c r="K93" s="20"/>
      <c r="L93" s="20"/>
      <c r="M93" s="20"/>
      <c r="N93" s="20"/>
      <c r="O93" s="20"/>
      <c r="P93" s="20"/>
      <c r="Q93" s="20"/>
      <c r="R93" s="20"/>
      <c r="S93" s="20"/>
      <c r="T93" s="20"/>
      <c r="U93" s="20"/>
      <c r="V93" s="20"/>
      <c r="W93" s="20"/>
      <c r="X93" s="20"/>
      <c r="Y93" s="20"/>
      <c r="Z93" s="20"/>
    </row>
    <row r="94" spans="1:26" ht="17.25" customHeight="1">
      <c r="A94" s="15"/>
      <c r="B94" s="15"/>
      <c r="C94" s="15"/>
      <c r="D94" s="15"/>
      <c r="E94" s="15"/>
      <c r="F94" s="15"/>
      <c r="G94" s="15"/>
      <c r="H94" s="47"/>
      <c r="I94" s="20"/>
      <c r="J94" s="20"/>
      <c r="K94" s="20"/>
      <c r="L94" s="20"/>
      <c r="M94" s="20"/>
      <c r="N94" s="20"/>
      <c r="O94" s="20"/>
      <c r="P94" s="20"/>
      <c r="Q94" s="20"/>
      <c r="R94" s="20"/>
      <c r="S94" s="20"/>
      <c r="T94" s="20"/>
      <c r="U94" s="20"/>
      <c r="V94" s="20"/>
      <c r="W94" s="20"/>
      <c r="X94" s="20"/>
      <c r="Y94" s="20"/>
      <c r="Z94" s="20"/>
    </row>
    <row r="95" spans="1:26" ht="17.25" customHeight="1">
      <c r="A95" s="15"/>
      <c r="B95" s="15"/>
      <c r="C95" s="15"/>
      <c r="D95" s="15"/>
      <c r="E95" s="15"/>
      <c r="F95" s="15"/>
      <c r="G95" s="15"/>
      <c r="H95" s="47"/>
      <c r="I95" s="20"/>
      <c r="J95" s="20"/>
      <c r="K95" s="20"/>
      <c r="L95" s="20"/>
      <c r="M95" s="20"/>
      <c r="N95" s="20"/>
      <c r="O95" s="20"/>
      <c r="P95" s="20"/>
      <c r="Q95" s="20"/>
      <c r="R95" s="20"/>
      <c r="S95" s="20"/>
      <c r="T95" s="20"/>
      <c r="U95" s="20"/>
      <c r="V95" s="20"/>
      <c r="W95" s="20"/>
      <c r="X95" s="20"/>
      <c r="Y95" s="20"/>
      <c r="Z95" s="20"/>
    </row>
    <row r="96" spans="1:26" ht="17.25" customHeight="1">
      <c r="A96" s="15"/>
      <c r="B96" s="15"/>
      <c r="C96" s="15"/>
      <c r="D96" s="15"/>
      <c r="E96" s="15"/>
      <c r="F96" s="15"/>
      <c r="G96" s="15"/>
      <c r="H96" s="47"/>
      <c r="I96" s="20"/>
      <c r="J96" s="20"/>
      <c r="K96" s="20"/>
      <c r="L96" s="20"/>
      <c r="M96" s="20"/>
      <c r="N96" s="20"/>
      <c r="O96" s="20"/>
      <c r="P96" s="20"/>
      <c r="Q96" s="20"/>
      <c r="R96" s="20"/>
      <c r="S96" s="20"/>
      <c r="T96" s="20"/>
      <c r="U96" s="20"/>
      <c r="V96" s="20"/>
      <c r="W96" s="20"/>
      <c r="X96" s="20"/>
      <c r="Y96" s="20"/>
      <c r="Z96" s="20"/>
    </row>
    <row r="97" spans="1:26" ht="17.25" customHeight="1">
      <c r="A97" s="15"/>
      <c r="B97" s="15"/>
      <c r="C97" s="15"/>
      <c r="D97" s="15"/>
      <c r="E97" s="15"/>
      <c r="F97" s="15"/>
      <c r="G97" s="15"/>
      <c r="H97" s="47"/>
      <c r="I97" s="20"/>
      <c r="J97" s="20"/>
      <c r="K97" s="20"/>
      <c r="L97" s="20"/>
      <c r="M97" s="20"/>
      <c r="N97" s="20"/>
      <c r="O97" s="20"/>
      <c r="P97" s="20"/>
      <c r="Q97" s="20"/>
      <c r="R97" s="20"/>
      <c r="S97" s="20"/>
      <c r="T97" s="20"/>
      <c r="U97" s="20"/>
      <c r="V97" s="20"/>
      <c r="W97" s="20"/>
      <c r="X97" s="20"/>
      <c r="Y97" s="20"/>
      <c r="Z97" s="20"/>
    </row>
    <row r="98" spans="1:26" ht="17.25" customHeight="1">
      <c r="A98" s="15"/>
      <c r="B98" s="15"/>
      <c r="C98" s="15"/>
      <c r="D98" s="15"/>
      <c r="E98" s="15"/>
      <c r="F98" s="15"/>
      <c r="G98" s="15"/>
      <c r="H98" s="47"/>
      <c r="I98" s="20"/>
      <c r="J98" s="20"/>
      <c r="K98" s="20"/>
      <c r="L98" s="20"/>
      <c r="M98" s="20"/>
      <c r="N98" s="20"/>
      <c r="O98" s="20"/>
      <c r="P98" s="20"/>
      <c r="Q98" s="20"/>
      <c r="R98" s="20"/>
      <c r="S98" s="20"/>
      <c r="T98" s="20"/>
      <c r="U98" s="20"/>
      <c r="V98" s="20"/>
      <c r="W98" s="20"/>
      <c r="X98" s="20"/>
      <c r="Y98" s="20"/>
      <c r="Z98" s="20"/>
    </row>
    <row r="99" spans="1:26" ht="17.25" customHeight="1">
      <c r="A99" s="15"/>
      <c r="B99" s="15"/>
      <c r="C99" s="15"/>
      <c r="D99" s="15"/>
      <c r="E99" s="15"/>
      <c r="F99" s="15"/>
      <c r="G99" s="15"/>
      <c r="H99" s="47"/>
      <c r="I99" s="20"/>
      <c r="J99" s="20"/>
      <c r="K99" s="20"/>
      <c r="L99" s="20"/>
      <c r="M99" s="20"/>
      <c r="N99" s="20"/>
      <c r="O99" s="20"/>
      <c r="P99" s="20"/>
      <c r="Q99" s="20"/>
      <c r="R99" s="20"/>
      <c r="S99" s="20"/>
      <c r="T99" s="20"/>
      <c r="U99" s="20"/>
      <c r="V99" s="20"/>
      <c r="W99" s="20"/>
      <c r="X99" s="20"/>
      <c r="Y99" s="20"/>
      <c r="Z99" s="20"/>
    </row>
    <row r="100" spans="1:26" ht="17.25" customHeight="1">
      <c r="A100" s="15"/>
      <c r="B100" s="15"/>
      <c r="C100" s="15"/>
      <c r="D100" s="15"/>
      <c r="E100" s="15"/>
      <c r="F100" s="15"/>
      <c r="G100" s="15"/>
      <c r="H100" s="47"/>
      <c r="I100" s="20"/>
      <c r="J100" s="20"/>
      <c r="K100" s="20"/>
      <c r="L100" s="20"/>
      <c r="M100" s="20"/>
      <c r="N100" s="20"/>
      <c r="O100" s="20"/>
      <c r="P100" s="20"/>
      <c r="Q100" s="20"/>
      <c r="R100" s="20"/>
      <c r="S100" s="20"/>
      <c r="T100" s="20"/>
      <c r="U100" s="20"/>
      <c r="V100" s="20"/>
      <c r="W100" s="20"/>
      <c r="X100" s="20"/>
      <c r="Y100" s="20"/>
      <c r="Z100" s="20"/>
    </row>
    <row r="101" spans="1:26" ht="17.25" customHeight="1">
      <c r="A101" s="15"/>
      <c r="B101" s="15"/>
      <c r="C101" s="15"/>
      <c r="D101" s="15"/>
      <c r="E101" s="15"/>
      <c r="F101" s="15"/>
      <c r="G101" s="15"/>
      <c r="H101" s="47"/>
      <c r="I101" s="20"/>
      <c r="J101" s="20"/>
      <c r="K101" s="20"/>
      <c r="L101" s="20"/>
      <c r="M101" s="20"/>
      <c r="N101" s="20"/>
      <c r="O101" s="20"/>
      <c r="P101" s="20"/>
      <c r="Q101" s="20"/>
      <c r="R101" s="20"/>
      <c r="S101" s="20"/>
      <c r="T101" s="20"/>
      <c r="U101" s="20"/>
      <c r="V101" s="20"/>
      <c r="W101" s="20"/>
      <c r="X101" s="20"/>
      <c r="Y101" s="20"/>
      <c r="Z101" s="20"/>
    </row>
    <row r="102" spans="1:26" ht="17.25" customHeight="1">
      <c r="A102" s="15"/>
      <c r="B102" s="15"/>
      <c r="C102" s="15"/>
      <c r="D102" s="15"/>
      <c r="E102" s="15"/>
      <c r="F102" s="15"/>
      <c r="G102" s="15"/>
      <c r="H102" s="47"/>
      <c r="I102" s="20"/>
      <c r="J102" s="20"/>
      <c r="K102" s="20"/>
      <c r="L102" s="20"/>
      <c r="M102" s="20"/>
      <c r="N102" s="20"/>
      <c r="O102" s="20"/>
      <c r="P102" s="20"/>
      <c r="Q102" s="20"/>
      <c r="R102" s="20"/>
      <c r="S102" s="20"/>
      <c r="T102" s="20"/>
      <c r="U102" s="20"/>
      <c r="V102" s="20"/>
      <c r="W102" s="20"/>
      <c r="X102" s="20"/>
      <c r="Y102" s="20"/>
      <c r="Z102" s="20"/>
    </row>
    <row r="103" spans="1:26" ht="17.25" customHeight="1">
      <c r="A103" s="15"/>
      <c r="B103" s="15"/>
      <c r="C103" s="15"/>
      <c r="D103" s="15"/>
      <c r="E103" s="15"/>
      <c r="F103" s="15"/>
      <c r="G103" s="15"/>
      <c r="H103" s="47"/>
      <c r="I103" s="20"/>
      <c r="J103" s="20"/>
      <c r="K103" s="20"/>
      <c r="L103" s="20"/>
      <c r="M103" s="20"/>
      <c r="N103" s="20"/>
      <c r="O103" s="20"/>
      <c r="P103" s="20"/>
      <c r="Q103" s="20"/>
      <c r="R103" s="20"/>
      <c r="S103" s="20"/>
      <c r="T103" s="20"/>
      <c r="U103" s="20"/>
      <c r="V103" s="20"/>
      <c r="W103" s="20"/>
      <c r="X103" s="20"/>
      <c r="Y103" s="20"/>
      <c r="Z103" s="20"/>
    </row>
    <row r="104" spans="1:26" ht="17.25" customHeight="1">
      <c r="A104" s="15"/>
      <c r="B104" s="15"/>
      <c r="C104" s="15"/>
      <c r="D104" s="15"/>
      <c r="E104" s="15"/>
      <c r="F104" s="15"/>
      <c r="G104" s="15"/>
      <c r="H104" s="47"/>
      <c r="I104" s="20"/>
      <c r="J104" s="20"/>
      <c r="K104" s="20"/>
      <c r="L104" s="20"/>
      <c r="M104" s="20"/>
      <c r="N104" s="20"/>
      <c r="O104" s="20"/>
      <c r="P104" s="20"/>
      <c r="Q104" s="20"/>
      <c r="R104" s="20"/>
      <c r="S104" s="20"/>
      <c r="T104" s="20"/>
      <c r="U104" s="20"/>
      <c r="V104" s="20"/>
      <c r="W104" s="20"/>
      <c r="X104" s="20"/>
      <c r="Y104" s="20"/>
      <c r="Z104" s="20"/>
    </row>
    <row r="105" spans="1:26" ht="17.25" customHeight="1">
      <c r="A105" s="15"/>
      <c r="B105" s="15"/>
      <c r="C105" s="15"/>
      <c r="D105" s="15"/>
      <c r="E105" s="15"/>
      <c r="F105" s="15"/>
      <c r="G105" s="15"/>
      <c r="H105" s="47"/>
      <c r="I105" s="20"/>
      <c r="J105" s="20"/>
      <c r="K105" s="20"/>
      <c r="L105" s="20"/>
      <c r="M105" s="20"/>
      <c r="N105" s="20"/>
      <c r="O105" s="20"/>
      <c r="P105" s="20"/>
      <c r="Q105" s="20"/>
      <c r="R105" s="20"/>
      <c r="S105" s="20"/>
      <c r="T105" s="20"/>
      <c r="U105" s="20"/>
      <c r="V105" s="20"/>
      <c r="W105" s="20"/>
      <c r="X105" s="20"/>
      <c r="Y105" s="20"/>
      <c r="Z105" s="20"/>
    </row>
    <row r="106" spans="1:26" ht="17.25" customHeight="1">
      <c r="A106" s="15"/>
      <c r="B106" s="15"/>
      <c r="C106" s="15"/>
      <c r="D106" s="15"/>
      <c r="E106" s="15"/>
      <c r="F106" s="15"/>
      <c r="G106" s="15"/>
      <c r="H106" s="47"/>
      <c r="I106" s="20"/>
      <c r="J106" s="20"/>
      <c r="K106" s="20"/>
      <c r="L106" s="20"/>
      <c r="M106" s="20"/>
      <c r="N106" s="20"/>
      <c r="O106" s="20"/>
      <c r="P106" s="20"/>
      <c r="Q106" s="20"/>
      <c r="R106" s="20"/>
      <c r="S106" s="20"/>
      <c r="T106" s="20"/>
      <c r="U106" s="20"/>
      <c r="V106" s="20"/>
      <c r="W106" s="20"/>
      <c r="X106" s="20"/>
      <c r="Y106" s="20"/>
      <c r="Z106" s="20"/>
    </row>
    <row r="107" spans="1:26" ht="17.25" customHeight="1">
      <c r="A107" s="15"/>
      <c r="B107" s="15"/>
      <c r="C107" s="15"/>
      <c r="D107" s="15"/>
      <c r="E107" s="15"/>
      <c r="F107" s="15"/>
      <c r="G107" s="15"/>
      <c r="H107" s="47"/>
      <c r="I107" s="20"/>
      <c r="J107" s="20"/>
      <c r="K107" s="20"/>
      <c r="L107" s="20"/>
      <c r="M107" s="20"/>
      <c r="N107" s="20"/>
      <c r="O107" s="20"/>
      <c r="P107" s="20"/>
      <c r="Q107" s="20"/>
      <c r="R107" s="20"/>
      <c r="S107" s="20"/>
      <c r="T107" s="20"/>
      <c r="U107" s="20"/>
      <c r="V107" s="20"/>
      <c r="W107" s="20"/>
      <c r="X107" s="20"/>
      <c r="Y107" s="20"/>
      <c r="Z107" s="20"/>
    </row>
    <row r="108" spans="1:26" ht="17.25" customHeight="1">
      <c r="A108" s="15"/>
      <c r="B108" s="15"/>
      <c r="C108" s="15"/>
      <c r="D108" s="15"/>
      <c r="E108" s="15"/>
      <c r="F108" s="15"/>
      <c r="G108" s="15"/>
      <c r="H108" s="47"/>
      <c r="I108" s="20"/>
      <c r="J108" s="20"/>
      <c r="K108" s="20"/>
      <c r="L108" s="20"/>
      <c r="M108" s="20"/>
      <c r="N108" s="20"/>
      <c r="O108" s="20"/>
      <c r="P108" s="20"/>
      <c r="Q108" s="20"/>
      <c r="R108" s="20"/>
      <c r="S108" s="20"/>
      <c r="T108" s="20"/>
      <c r="U108" s="20"/>
      <c r="V108" s="20"/>
      <c r="W108" s="20"/>
      <c r="X108" s="20"/>
      <c r="Y108" s="20"/>
      <c r="Z108" s="20"/>
    </row>
    <row r="109" spans="1:26" ht="17.25" customHeight="1">
      <c r="A109" s="15"/>
      <c r="B109" s="15"/>
      <c r="C109" s="15"/>
      <c r="D109" s="15"/>
      <c r="E109" s="15"/>
      <c r="F109" s="15"/>
      <c r="G109" s="15"/>
      <c r="H109" s="47"/>
      <c r="I109" s="20"/>
      <c r="J109" s="20"/>
      <c r="K109" s="20"/>
      <c r="L109" s="20"/>
      <c r="M109" s="20"/>
      <c r="N109" s="20"/>
      <c r="O109" s="20"/>
      <c r="P109" s="20"/>
      <c r="Q109" s="20"/>
      <c r="R109" s="20"/>
      <c r="S109" s="20"/>
      <c r="T109" s="20"/>
      <c r="U109" s="20"/>
      <c r="V109" s="20"/>
      <c r="W109" s="20"/>
      <c r="X109" s="20"/>
      <c r="Y109" s="20"/>
      <c r="Z109" s="20"/>
    </row>
    <row r="110" spans="1:26" ht="17.25" customHeight="1">
      <c r="A110" s="15"/>
      <c r="B110" s="15"/>
      <c r="C110" s="15"/>
      <c r="D110" s="15"/>
      <c r="E110" s="15"/>
      <c r="F110" s="15"/>
      <c r="G110" s="15"/>
      <c r="H110" s="47"/>
      <c r="I110" s="20"/>
      <c r="J110" s="20"/>
      <c r="K110" s="20"/>
      <c r="L110" s="20"/>
      <c r="M110" s="20"/>
      <c r="N110" s="20"/>
      <c r="O110" s="20"/>
      <c r="P110" s="20"/>
      <c r="Q110" s="20"/>
      <c r="R110" s="20"/>
      <c r="S110" s="20"/>
      <c r="T110" s="20"/>
      <c r="U110" s="20"/>
      <c r="V110" s="20"/>
      <c r="W110" s="20"/>
      <c r="X110" s="20"/>
      <c r="Y110" s="20"/>
      <c r="Z110" s="20"/>
    </row>
    <row r="111" spans="1:26" ht="17.25" customHeight="1">
      <c r="A111" s="15"/>
      <c r="B111" s="15"/>
      <c r="C111" s="15"/>
      <c r="D111" s="15"/>
      <c r="E111" s="15"/>
      <c r="F111" s="15"/>
      <c r="G111" s="15"/>
      <c r="H111" s="47"/>
      <c r="I111" s="20"/>
      <c r="J111" s="20"/>
      <c r="K111" s="20"/>
      <c r="L111" s="20"/>
      <c r="M111" s="20"/>
      <c r="N111" s="20"/>
      <c r="O111" s="20"/>
      <c r="P111" s="20"/>
      <c r="Q111" s="20"/>
      <c r="R111" s="20"/>
      <c r="S111" s="20"/>
      <c r="T111" s="20"/>
      <c r="U111" s="20"/>
      <c r="V111" s="20"/>
      <c r="W111" s="20"/>
      <c r="X111" s="20"/>
      <c r="Y111" s="20"/>
      <c r="Z111" s="20"/>
    </row>
    <row r="112" spans="1:26" ht="17.25" customHeight="1">
      <c r="A112" s="15"/>
      <c r="B112" s="15"/>
      <c r="C112" s="15"/>
      <c r="D112" s="15"/>
      <c r="E112" s="15"/>
      <c r="F112" s="15"/>
      <c r="G112" s="15"/>
      <c r="H112" s="47"/>
      <c r="I112" s="20"/>
      <c r="J112" s="20"/>
      <c r="K112" s="20"/>
      <c r="L112" s="20"/>
      <c r="M112" s="20"/>
      <c r="N112" s="20"/>
      <c r="O112" s="20"/>
      <c r="P112" s="20"/>
      <c r="Q112" s="20"/>
      <c r="R112" s="20"/>
      <c r="S112" s="20"/>
      <c r="T112" s="20"/>
      <c r="U112" s="20"/>
      <c r="V112" s="20"/>
      <c r="W112" s="20"/>
      <c r="X112" s="20"/>
      <c r="Y112" s="20"/>
      <c r="Z112" s="20"/>
    </row>
    <row r="113" spans="1:26" ht="17.25" customHeight="1">
      <c r="A113" s="15"/>
      <c r="B113" s="15"/>
      <c r="C113" s="15"/>
      <c r="D113" s="15"/>
      <c r="E113" s="15"/>
      <c r="F113" s="15"/>
      <c r="G113" s="15"/>
      <c r="H113" s="47"/>
      <c r="I113" s="20"/>
      <c r="J113" s="20"/>
      <c r="K113" s="20"/>
      <c r="L113" s="20"/>
      <c r="M113" s="20"/>
      <c r="N113" s="20"/>
      <c r="O113" s="20"/>
      <c r="P113" s="20"/>
      <c r="Q113" s="20"/>
      <c r="R113" s="20"/>
      <c r="S113" s="20"/>
      <c r="T113" s="20"/>
      <c r="U113" s="20"/>
      <c r="V113" s="20"/>
      <c r="W113" s="20"/>
      <c r="X113" s="20"/>
      <c r="Y113" s="20"/>
      <c r="Z113" s="20"/>
    </row>
    <row r="114" spans="1:26" ht="17.25" customHeight="1">
      <c r="A114" s="15"/>
      <c r="B114" s="15"/>
      <c r="C114" s="15"/>
      <c r="D114" s="15"/>
      <c r="E114" s="15"/>
      <c r="F114" s="15"/>
      <c r="G114" s="15"/>
      <c r="H114" s="47"/>
      <c r="I114" s="20"/>
      <c r="J114" s="20"/>
      <c r="K114" s="20"/>
      <c r="L114" s="20"/>
      <c r="M114" s="20"/>
      <c r="N114" s="20"/>
      <c r="O114" s="20"/>
      <c r="P114" s="20"/>
      <c r="Q114" s="20"/>
      <c r="R114" s="20"/>
      <c r="S114" s="20"/>
      <c r="T114" s="20"/>
      <c r="U114" s="20"/>
      <c r="V114" s="20"/>
      <c r="W114" s="20"/>
      <c r="X114" s="20"/>
      <c r="Y114" s="20"/>
      <c r="Z114" s="20"/>
    </row>
    <row r="115" spans="1:26" ht="17.25" customHeight="1">
      <c r="A115" s="15"/>
      <c r="B115" s="15"/>
      <c r="C115" s="15"/>
      <c r="D115" s="15"/>
      <c r="E115" s="15"/>
      <c r="F115" s="15"/>
      <c r="G115" s="15"/>
      <c r="H115" s="47"/>
      <c r="I115" s="20"/>
      <c r="J115" s="20"/>
      <c r="K115" s="20"/>
      <c r="L115" s="20"/>
      <c r="M115" s="20"/>
      <c r="N115" s="20"/>
      <c r="O115" s="20"/>
      <c r="P115" s="20"/>
      <c r="Q115" s="20"/>
      <c r="R115" s="20"/>
      <c r="S115" s="20"/>
      <c r="T115" s="20"/>
      <c r="U115" s="20"/>
      <c r="V115" s="20"/>
      <c r="W115" s="20"/>
      <c r="X115" s="20"/>
      <c r="Y115" s="20"/>
      <c r="Z115" s="20"/>
    </row>
    <row r="116" spans="1:26" ht="17.25" customHeight="1">
      <c r="A116" s="15"/>
      <c r="B116" s="15"/>
      <c r="C116" s="15"/>
      <c r="D116" s="15"/>
      <c r="E116" s="15"/>
      <c r="F116" s="15"/>
      <c r="G116" s="15"/>
      <c r="H116" s="47"/>
      <c r="I116" s="20"/>
      <c r="J116" s="20"/>
      <c r="K116" s="20"/>
      <c r="L116" s="20"/>
      <c r="M116" s="20"/>
      <c r="N116" s="20"/>
      <c r="O116" s="20"/>
      <c r="P116" s="20"/>
      <c r="Q116" s="20"/>
      <c r="R116" s="20"/>
      <c r="S116" s="20"/>
      <c r="T116" s="20"/>
      <c r="U116" s="20"/>
      <c r="V116" s="20"/>
      <c r="W116" s="20"/>
      <c r="X116" s="20"/>
      <c r="Y116" s="20"/>
      <c r="Z116" s="20"/>
    </row>
    <row r="117" spans="1:26" ht="17.25" customHeight="1">
      <c r="A117" s="15"/>
      <c r="B117" s="15"/>
      <c r="C117" s="15"/>
      <c r="D117" s="15"/>
      <c r="E117" s="15"/>
      <c r="F117" s="15"/>
      <c r="G117" s="15"/>
      <c r="H117" s="47"/>
      <c r="I117" s="20"/>
      <c r="J117" s="20"/>
      <c r="K117" s="20"/>
      <c r="L117" s="20"/>
      <c r="M117" s="20"/>
      <c r="N117" s="20"/>
      <c r="O117" s="20"/>
      <c r="P117" s="20"/>
      <c r="Q117" s="20"/>
      <c r="R117" s="20"/>
      <c r="S117" s="20"/>
      <c r="T117" s="20"/>
      <c r="U117" s="20"/>
      <c r="V117" s="20"/>
      <c r="W117" s="20"/>
      <c r="X117" s="20"/>
      <c r="Y117" s="20"/>
      <c r="Z117" s="20"/>
    </row>
    <row r="118" spans="1:26" ht="17.25" customHeight="1">
      <c r="A118" s="15"/>
      <c r="B118" s="15"/>
      <c r="C118" s="15"/>
      <c r="D118" s="15"/>
      <c r="E118" s="15"/>
      <c r="F118" s="15"/>
      <c r="G118" s="15"/>
      <c r="H118" s="47"/>
      <c r="I118" s="20"/>
      <c r="J118" s="20"/>
      <c r="K118" s="20"/>
      <c r="L118" s="20"/>
      <c r="M118" s="20"/>
      <c r="N118" s="20"/>
      <c r="O118" s="20"/>
      <c r="P118" s="20"/>
      <c r="Q118" s="20"/>
      <c r="R118" s="20"/>
      <c r="S118" s="20"/>
      <c r="T118" s="20"/>
      <c r="U118" s="20"/>
      <c r="V118" s="20"/>
      <c r="W118" s="20"/>
      <c r="X118" s="20"/>
      <c r="Y118" s="20"/>
      <c r="Z118" s="20"/>
    </row>
    <row r="119" spans="1:26" ht="17.25" customHeight="1">
      <c r="A119" s="15"/>
      <c r="B119" s="15"/>
      <c r="C119" s="15"/>
      <c r="D119" s="15"/>
      <c r="E119" s="15"/>
      <c r="F119" s="15"/>
      <c r="G119" s="15"/>
      <c r="H119" s="47"/>
      <c r="I119" s="20"/>
      <c r="J119" s="20"/>
      <c r="K119" s="20"/>
      <c r="L119" s="20"/>
      <c r="M119" s="20"/>
      <c r="N119" s="20"/>
      <c r="O119" s="20"/>
      <c r="P119" s="20"/>
      <c r="Q119" s="20"/>
      <c r="R119" s="20"/>
      <c r="S119" s="20"/>
      <c r="T119" s="20"/>
      <c r="U119" s="20"/>
      <c r="V119" s="20"/>
      <c r="W119" s="20"/>
      <c r="X119" s="20"/>
      <c r="Y119" s="20"/>
      <c r="Z119" s="20"/>
    </row>
    <row r="120" spans="1:26" ht="17.25" customHeight="1">
      <c r="A120" s="15"/>
      <c r="B120" s="15"/>
      <c r="C120" s="15"/>
      <c r="D120" s="15"/>
      <c r="E120" s="15"/>
      <c r="F120" s="15"/>
      <c r="G120" s="15"/>
      <c r="H120" s="47"/>
      <c r="I120" s="20"/>
      <c r="J120" s="20"/>
      <c r="K120" s="20"/>
      <c r="L120" s="20"/>
      <c r="M120" s="20"/>
      <c r="N120" s="20"/>
      <c r="O120" s="20"/>
      <c r="P120" s="20"/>
      <c r="Q120" s="20"/>
      <c r="R120" s="20"/>
      <c r="S120" s="20"/>
      <c r="T120" s="20"/>
      <c r="U120" s="20"/>
      <c r="V120" s="20"/>
      <c r="W120" s="20"/>
      <c r="X120" s="20"/>
      <c r="Y120" s="20"/>
      <c r="Z120" s="20"/>
    </row>
    <row r="121" spans="1:26" ht="17.25" customHeight="1">
      <c r="A121" s="15"/>
      <c r="B121" s="15"/>
      <c r="C121" s="15"/>
      <c r="D121" s="15"/>
      <c r="E121" s="15"/>
      <c r="F121" s="15"/>
      <c r="G121" s="15"/>
      <c r="H121" s="47"/>
      <c r="I121" s="20"/>
      <c r="J121" s="20"/>
      <c r="K121" s="20"/>
      <c r="L121" s="20"/>
      <c r="M121" s="20"/>
      <c r="N121" s="20"/>
      <c r="O121" s="20"/>
      <c r="P121" s="20"/>
      <c r="Q121" s="20"/>
      <c r="R121" s="20"/>
      <c r="S121" s="20"/>
      <c r="T121" s="20"/>
      <c r="U121" s="20"/>
      <c r="V121" s="20"/>
      <c r="W121" s="20"/>
      <c r="X121" s="20"/>
      <c r="Y121" s="20"/>
      <c r="Z121" s="20"/>
    </row>
    <row r="122" spans="1:26" ht="17.25" customHeight="1">
      <c r="A122" s="15"/>
      <c r="B122" s="15"/>
      <c r="C122" s="15"/>
      <c r="D122" s="15"/>
      <c r="E122" s="15"/>
      <c r="F122" s="15"/>
      <c r="G122" s="15"/>
      <c r="H122" s="47"/>
      <c r="I122" s="20"/>
      <c r="J122" s="20"/>
      <c r="K122" s="20"/>
      <c r="L122" s="20"/>
      <c r="M122" s="20"/>
      <c r="N122" s="20"/>
      <c r="O122" s="20"/>
      <c r="P122" s="20"/>
      <c r="Q122" s="20"/>
      <c r="R122" s="20"/>
      <c r="S122" s="20"/>
      <c r="T122" s="20"/>
      <c r="U122" s="20"/>
      <c r="V122" s="20"/>
      <c r="W122" s="20"/>
      <c r="X122" s="20"/>
      <c r="Y122" s="20"/>
      <c r="Z122" s="20"/>
    </row>
    <row r="123" spans="1:26" ht="17.25" customHeight="1">
      <c r="A123" s="15"/>
      <c r="B123" s="15"/>
      <c r="C123" s="15"/>
      <c r="D123" s="15"/>
      <c r="E123" s="15"/>
      <c r="F123" s="15"/>
      <c r="G123" s="15"/>
      <c r="H123" s="47"/>
      <c r="I123" s="20"/>
      <c r="J123" s="20"/>
      <c r="K123" s="20"/>
      <c r="L123" s="20"/>
      <c r="M123" s="20"/>
      <c r="N123" s="20"/>
      <c r="O123" s="20"/>
      <c r="P123" s="20"/>
      <c r="Q123" s="20"/>
      <c r="R123" s="20"/>
      <c r="S123" s="20"/>
      <c r="T123" s="20"/>
      <c r="U123" s="20"/>
      <c r="V123" s="20"/>
      <c r="W123" s="20"/>
      <c r="X123" s="20"/>
      <c r="Y123" s="20"/>
      <c r="Z123" s="20"/>
    </row>
    <row r="124" spans="1:26" ht="17.25" customHeight="1">
      <c r="A124" s="15"/>
      <c r="B124" s="15"/>
      <c r="C124" s="15"/>
      <c r="D124" s="15"/>
      <c r="E124" s="15"/>
      <c r="F124" s="15"/>
      <c r="G124" s="15"/>
      <c r="H124" s="47"/>
      <c r="I124" s="20"/>
      <c r="J124" s="20"/>
      <c r="K124" s="20"/>
      <c r="L124" s="20"/>
      <c r="M124" s="20"/>
      <c r="N124" s="20"/>
      <c r="O124" s="20"/>
      <c r="P124" s="20"/>
      <c r="Q124" s="20"/>
      <c r="R124" s="20"/>
      <c r="S124" s="20"/>
      <c r="T124" s="20"/>
      <c r="U124" s="20"/>
      <c r="V124" s="20"/>
      <c r="W124" s="20"/>
      <c r="X124" s="20"/>
      <c r="Y124" s="20"/>
      <c r="Z124" s="20"/>
    </row>
    <row r="125" spans="1:26" ht="17.25" customHeight="1">
      <c r="A125" s="15"/>
      <c r="B125" s="15"/>
      <c r="C125" s="15"/>
      <c r="D125" s="15"/>
      <c r="E125" s="15"/>
      <c r="F125" s="15"/>
      <c r="G125" s="15"/>
      <c r="H125" s="47"/>
      <c r="I125" s="20"/>
      <c r="J125" s="20"/>
      <c r="K125" s="20"/>
      <c r="L125" s="20"/>
      <c r="M125" s="20"/>
      <c r="N125" s="20"/>
      <c r="O125" s="20"/>
      <c r="P125" s="20"/>
      <c r="Q125" s="20"/>
      <c r="R125" s="20"/>
      <c r="S125" s="20"/>
      <c r="T125" s="20"/>
      <c r="U125" s="20"/>
      <c r="V125" s="20"/>
      <c r="W125" s="20"/>
      <c r="X125" s="20"/>
      <c r="Y125" s="20"/>
      <c r="Z125" s="20"/>
    </row>
    <row r="126" spans="1:26" ht="17.25" customHeight="1">
      <c r="A126" s="15"/>
      <c r="B126" s="15"/>
      <c r="C126" s="15"/>
      <c r="D126" s="15"/>
      <c r="E126" s="15"/>
      <c r="F126" s="15"/>
      <c r="G126" s="15"/>
      <c r="H126" s="47"/>
      <c r="I126" s="20"/>
      <c r="J126" s="20"/>
      <c r="K126" s="20"/>
      <c r="L126" s="20"/>
      <c r="M126" s="20"/>
      <c r="N126" s="20"/>
      <c r="O126" s="20"/>
      <c r="P126" s="20"/>
      <c r="Q126" s="20"/>
      <c r="R126" s="20"/>
      <c r="S126" s="20"/>
      <c r="T126" s="20"/>
      <c r="U126" s="20"/>
      <c r="V126" s="20"/>
      <c r="W126" s="20"/>
      <c r="X126" s="20"/>
      <c r="Y126" s="20"/>
      <c r="Z126" s="20"/>
    </row>
    <row r="127" spans="1:26" ht="17.25" customHeight="1">
      <c r="A127" s="15"/>
      <c r="B127" s="15"/>
      <c r="C127" s="15"/>
      <c r="D127" s="15"/>
      <c r="E127" s="15"/>
      <c r="F127" s="15"/>
      <c r="G127" s="15"/>
      <c r="H127" s="47"/>
      <c r="I127" s="20"/>
      <c r="J127" s="20"/>
      <c r="K127" s="20"/>
      <c r="L127" s="20"/>
      <c r="M127" s="20"/>
      <c r="N127" s="20"/>
      <c r="O127" s="20"/>
      <c r="P127" s="20"/>
      <c r="Q127" s="20"/>
      <c r="R127" s="20"/>
      <c r="S127" s="20"/>
      <c r="T127" s="20"/>
      <c r="U127" s="20"/>
      <c r="V127" s="20"/>
      <c r="W127" s="20"/>
      <c r="X127" s="20"/>
      <c r="Y127" s="20"/>
      <c r="Z127" s="20"/>
    </row>
    <row r="128" spans="1:26" ht="17.25" customHeight="1">
      <c r="A128" s="15"/>
      <c r="B128" s="15"/>
      <c r="C128" s="15"/>
      <c r="D128" s="15"/>
      <c r="E128" s="15"/>
      <c r="F128" s="15"/>
      <c r="G128" s="15"/>
      <c r="H128" s="47"/>
      <c r="I128" s="20"/>
      <c r="J128" s="20"/>
      <c r="K128" s="20"/>
      <c r="L128" s="20"/>
      <c r="M128" s="20"/>
      <c r="N128" s="20"/>
      <c r="O128" s="20"/>
      <c r="P128" s="20"/>
      <c r="Q128" s="20"/>
      <c r="R128" s="20"/>
      <c r="S128" s="20"/>
      <c r="T128" s="20"/>
      <c r="U128" s="20"/>
      <c r="V128" s="20"/>
      <c r="W128" s="20"/>
      <c r="X128" s="20"/>
      <c r="Y128" s="20"/>
      <c r="Z128" s="20"/>
    </row>
    <row r="129" spans="1:26" ht="17.25" customHeight="1">
      <c r="A129" s="15"/>
      <c r="B129" s="15"/>
      <c r="C129" s="15"/>
      <c r="D129" s="15"/>
      <c r="E129" s="15"/>
      <c r="F129" s="15"/>
      <c r="G129" s="15"/>
      <c r="H129" s="47"/>
      <c r="I129" s="20"/>
      <c r="J129" s="20"/>
      <c r="K129" s="20"/>
      <c r="L129" s="20"/>
      <c r="M129" s="20"/>
      <c r="N129" s="20"/>
      <c r="O129" s="20"/>
      <c r="P129" s="20"/>
      <c r="Q129" s="20"/>
      <c r="R129" s="20"/>
      <c r="S129" s="20"/>
      <c r="T129" s="20"/>
      <c r="U129" s="20"/>
      <c r="V129" s="20"/>
      <c r="W129" s="20"/>
      <c r="X129" s="20"/>
      <c r="Y129" s="20"/>
      <c r="Z129" s="20"/>
    </row>
    <row r="130" spans="1:26" ht="17.25" customHeight="1">
      <c r="A130" s="15"/>
      <c r="B130" s="15"/>
      <c r="C130" s="15"/>
      <c r="D130" s="15"/>
      <c r="E130" s="15"/>
      <c r="F130" s="15"/>
      <c r="G130" s="15"/>
      <c r="H130" s="47"/>
      <c r="I130" s="20"/>
      <c r="J130" s="20"/>
      <c r="K130" s="20"/>
      <c r="L130" s="20"/>
      <c r="M130" s="20"/>
      <c r="N130" s="20"/>
      <c r="O130" s="20"/>
      <c r="P130" s="20"/>
      <c r="Q130" s="20"/>
      <c r="R130" s="20"/>
      <c r="S130" s="20"/>
      <c r="T130" s="20"/>
      <c r="U130" s="20"/>
      <c r="V130" s="20"/>
      <c r="W130" s="20"/>
      <c r="X130" s="20"/>
      <c r="Y130" s="20"/>
      <c r="Z130" s="20"/>
    </row>
    <row r="131" spans="1:26" ht="17.25" customHeight="1">
      <c r="A131" s="15"/>
      <c r="B131" s="15"/>
      <c r="C131" s="15"/>
      <c r="D131" s="15"/>
      <c r="E131" s="15"/>
      <c r="F131" s="15"/>
      <c r="G131" s="15"/>
      <c r="H131" s="47"/>
      <c r="I131" s="20"/>
      <c r="J131" s="20"/>
      <c r="K131" s="20"/>
      <c r="L131" s="20"/>
      <c r="M131" s="20"/>
      <c r="N131" s="20"/>
      <c r="O131" s="20"/>
      <c r="P131" s="20"/>
      <c r="Q131" s="20"/>
      <c r="R131" s="20"/>
      <c r="S131" s="20"/>
      <c r="T131" s="20"/>
      <c r="U131" s="20"/>
      <c r="V131" s="20"/>
      <c r="W131" s="20"/>
      <c r="X131" s="20"/>
      <c r="Y131" s="20"/>
      <c r="Z131" s="20"/>
    </row>
    <row r="132" spans="1:26" ht="17.25" customHeight="1">
      <c r="A132" s="15"/>
      <c r="B132" s="15"/>
      <c r="C132" s="15"/>
      <c r="D132" s="15"/>
      <c r="E132" s="15"/>
      <c r="F132" s="15"/>
      <c r="G132" s="15"/>
      <c r="H132" s="47"/>
      <c r="I132" s="20"/>
      <c r="J132" s="20"/>
      <c r="K132" s="20"/>
      <c r="L132" s="20"/>
      <c r="M132" s="20"/>
      <c r="N132" s="20"/>
      <c r="O132" s="20"/>
      <c r="P132" s="20"/>
      <c r="Q132" s="20"/>
      <c r="R132" s="20"/>
      <c r="S132" s="20"/>
      <c r="T132" s="20"/>
      <c r="U132" s="20"/>
      <c r="V132" s="20"/>
      <c r="W132" s="20"/>
      <c r="X132" s="20"/>
      <c r="Y132" s="20"/>
      <c r="Z132" s="20"/>
    </row>
    <row r="133" spans="1:26" ht="17.25" customHeight="1">
      <c r="A133" s="15"/>
      <c r="B133" s="15"/>
      <c r="C133" s="15"/>
      <c r="D133" s="15"/>
      <c r="E133" s="15"/>
      <c r="F133" s="15"/>
      <c r="G133" s="15"/>
      <c r="H133" s="47"/>
      <c r="I133" s="20"/>
      <c r="J133" s="20"/>
      <c r="K133" s="20"/>
      <c r="L133" s="20"/>
      <c r="M133" s="20"/>
      <c r="N133" s="20"/>
      <c r="O133" s="20"/>
      <c r="P133" s="20"/>
      <c r="Q133" s="20"/>
      <c r="R133" s="20"/>
      <c r="S133" s="20"/>
      <c r="T133" s="20"/>
      <c r="U133" s="20"/>
      <c r="V133" s="20"/>
      <c r="W133" s="20"/>
      <c r="X133" s="20"/>
      <c r="Y133" s="20"/>
      <c r="Z133" s="20"/>
    </row>
    <row r="134" spans="1:26" ht="17.25" customHeight="1">
      <c r="A134" s="15"/>
      <c r="B134" s="15"/>
      <c r="C134" s="15"/>
      <c r="D134" s="15"/>
      <c r="E134" s="15"/>
      <c r="F134" s="15"/>
      <c r="G134" s="15"/>
      <c r="H134" s="47"/>
      <c r="I134" s="20"/>
      <c r="J134" s="20"/>
      <c r="K134" s="20"/>
      <c r="L134" s="20"/>
      <c r="M134" s="20"/>
      <c r="N134" s="20"/>
      <c r="O134" s="20"/>
      <c r="P134" s="20"/>
      <c r="Q134" s="20"/>
      <c r="R134" s="20"/>
      <c r="S134" s="20"/>
      <c r="T134" s="20"/>
      <c r="U134" s="20"/>
      <c r="V134" s="20"/>
      <c r="W134" s="20"/>
      <c r="X134" s="20"/>
      <c r="Y134" s="20"/>
      <c r="Z134" s="20"/>
    </row>
    <row r="135" spans="1:26" ht="17.25" customHeight="1">
      <c r="A135" s="15"/>
      <c r="B135" s="15"/>
      <c r="C135" s="15"/>
      <c r="D135" s="15"/>
      <c r="E135" s="15"/>
      <c r="F135" s="15"/>
      <c r="G135" s="15"/>
      <c r="H135" s="47"/>
      <c r="I135" s="20"/>
      <c r="J135" s="20"/>
      <c r="K135" s="20"/>
      <c r="L135" s="20"/>
      <c r="M135" s="20"/>
      <c r="N135" s="20"/>
      <c r="O135" s="20"/>
      <c r="P135" s="20"/>
      <c r="Q135" s="20"/>
      <c r="R135" s="20"/>
      <c r="S135" s="20"/>
      <c r="T135" s="20"/>
      <c r="U135" s="20"/>
      <c r="V135" s="20"/>
      <c r="W135" s="20"/>
      <c r="X135" s="20"/>
      <c r="Y135" s="20"/>
      <c r="Z135" s="20"/>
    </row>
    <row r="136" spans="1:26" ht="17.25" customHeight="1">
      <c r="A136" s="15"/>
      <c r="B136" s="15"/>
      <c r="C136" s="15"/>
      <c r="D136" s="15"/>
      <c r="E136" s="15"/>
      <c r="F136" s="15"/>
      <c r="G136" s="15"/>
      <c r="H136" s="47"/>
      <c r="I136" s="20"/>
      <c r="J136" s="20"/>
      <c r="K136" s="20"/>
      <c r="L136" s="20"/>
      <c r="M136" s="20"/>
      <c r="N136" s="20"/>
      <c r="O136" s="20"/>
      <c r="P136" s="20"/>
      <c r="Q136" s="20"/>
      <c r="R136" s="20"/>
      <c r="S136" s="20"/>
      <c r="T136" s="20"/>
      <c r="U136" s="20"/>
      <c r="V136" s="20"/>
      <c r="W136" s="20"/>
      <c r="X136" s="20"/>
      <c r="Y136" s="20"/>
      <c r="Z136" s="20"/>
    </row>
    <row r="137" spans="1:26" ht="17.25" customHeight="1">
      <c r="A137" s="15"/>
      <c r="B137" s="15"/>
      <c r="C137" s="15"/>
      <c r="D137" s="15"/>
      <c r="E137" s="15"/>
      <c r="F137" s="15"/>
      <c r="G137" s="15"/>
      <c r="H137" s="47"/>
      <c r="I137" s="20"/>
      <c r="J137" s="20"/>
      <c r="K137" s="20"/>
      <c r="L137" s="20"/>
      <c r="M137" s="20"/>
      <c r="N137" s="20"/>
      <c r="O137" s="20"/>
      <c r="P137" s="20"/>
      <c r="Q137" s="20"/>
      <c r="R137" s="20"/>
      <c r="S137" s="20"/>
      <c r="T137" s="20"/>
      <c r="U137" s="20"/>
      <c r="V137" s="20"/>
      <c r="W137" s="20"/>
      <c r="X137" s="20"/>
      <c r="Y137" s="20"/>
      <c r="Z137" s="20"/>
    </row>
    <row r="138" spans="1:26" ht="17.25" customHeight="1">
      <c r="A138" s="15"/>
      <c r="B138" s="15"/>
      <c r="C138" s="15"/>
      <c r="D138" s="15"/>
      <c r="E138" s="15"/>
      <c r="F138" s="15"/>
      <c r="G138" s="15"/>
      <c r="H138" s="47"/>
      <c r="I138" s="20"/>
      <c r="J138" s="20"/>
      <c r="K138" s="20"/>
      <c r="L138" s="20"/>
      <c r="M138" s="20"/>
      <c r="N138" s="20"/>
      <c r="O138" s="20"/>
      <c r="P138" s="20"/>
      <c r="Q138" s="20"/>
      <c r="R138" s="20"/>
      <c r="S138" s="20"/>
      <c r="T138" s="20"/>
      <c r="U138" s="20"/>
      <c r="V138" s="20"/>
      <c r="W138" s="20"/>
      <c r="X138" s="20"/>
      <c r="Y138" s="20"/>
      <c r="Z138" s="20"/>
    </row>
    <row r="139" spans="1:26" ht="17.25" customHeight="1">
      <c r="A139" s="15"/>
      <c r="B139" s="15"/>
      <c r="C139" s="15"/>
      <c r="D139" s="15"/>
      <c r="E139" s="15"/>
      <c r="F139" s="15"/>
      <c r="G139" s="15"/>
      <c r="H139" s="47"/>
      <c r="I139" s="20"/>
      <c r="J139" s="20"/>
      <c r="K139" s="20"/>
      <c r="L139" s="20"/>
      <c r="M139" s="20"/>
      <c r="N139" s="20"/>
      <c r="O139" s="20"/>
      <c r="P139" s="20"/>
      <c r="Q139" s="20"/>
      <c r="R139" s="20"/>
      <c r="S139" s="20"/>
      <c r="T139" s="20"/>
      <c r="U139" s="20"/>
      <c r="V139" s="20"/>
      <c r="W139" s="20"/>
      <c r="X139" s="20"/>
      <c r="Y139" s="20"/>
      <c r="Z139" s="20"/>
    </row>
    <row r="140" spans="1:26" ht="17.25" customHeight="1">
      <c r="A140" s="15"/>
      <c r="B140" s="15"/>
      <c r="C140" s="15"/>
      <c r="D140" s="15"/>
      <c r="E140" s="15"/>
      <c r="F140" s="15"/>
      <c r="G140" s="15"/>
      <c r="H140" s="47"/>
      <c r="I140" s="20"/>
      <c r="J140" s="20"/>
      <c r="K140" s="20"/>
      <c r="L140" s="20"/>
      <c r="M140" s="20"/>
      <c r="N140" s="20"/>
      <c r="O140" s="20"/>
      <c r="P140" s="20"/>
      <c r="Q140" s="20"/>
      <c r="R140" s="20"/>
      <c r="S140" s="20"/>
      <c r="T140" s="20"/>
      <c r="U140" s="20"/>
      <c r="V140" s="20"/>
      <c r="W140" s="20"/>
      <c r="X140" s="20"/>
      <c r="Y140" s="20"/>
      <c r="Z140" s="20"/>
    </row>
    <row r="141" spans="1:26" ht="17.25" customHeight="1">
      <c r="A141" s="15"/>
      <c r="B141" s="15"/>
      <c r="C141" s="15"/>
      <c r="D141" s="15"/>
      <c r="E141" s="15"/>
      <c r="F141" s="15"/>
      <c r="G141" s="15"/>
      <c r="H141" s="47"/>
      <c r="I141" s="20"/>
      <c r="J141" s="20"/>
      <c r="K141" s="20"/>
      <c r="L141" s="20"/>
      <c r="M141" s="20"/>
      <c r="N141" s="20"/>
      <c r="O141" s="20"/>
      <c r="P141" s="20"/>
      <c r="Q141" s="20"/>
      <c r="R141" s="20"/>
      <c r="S141" s="20"/>
      <c r="T141" s="20"/>
      <c r="U141" s="20"/>
      <c r="V141" s="20"/>
      <c r="W141" s="20"/>
      <c r="X141" s="20"/>
      <c r="Y141" s="20"/>
      <c r="Z141" s="20"/>
    </row>
    <row r="142" spans="1:26" ht="17.25" customHeight="1">
      <c r="A142" s="15"/>
      <c r="B142" s="15"/>
      <c r="C142" s="15"/>
      <c r="D142" s="15"/>
      <c r="E142" s="15"/>
      <c r="F142" s="15"/>
      <c r="G142" s="15"/>
      <c r="H142" s="47"/>
      <c r="I142" s="20"/>
      <c r="J142" s="20"/>
      <c r="K142" s="20"/>
      <c r="L142" s="20"/>
      <c r="M142" s="20"/>
      <c r="N142" s="20"/>
      <c r="O142" s="20"/>
      <c r="P142" s="20"/>
      <c r="Q142" s="20"/>
      <c r="R142" s="20"/>
      <c r="S142" s="20"/>
      <c r="T142" s="20"/>
      <c r="U142" s="20"/>
      <c r="V142" s="20"/>
      <c r="W142" s="20"/>
      <c r="X142" s="20"/>
      <c r="Y142" s="20"/>
      <c r="Z142" s="20"/>
    </row>
    <row r="143" spans="1:26" ht="17.25" customHeight="1">
      <c r="A143" s="15"/>
      <c r="B143" s="15"/>
      <c r="C143" s="15"/>
      <c r="D143" s="15"/>
      <c r="E143" s="15"/>
      <c r="F143" s="15"/>
      <c r="G143" s="15"/>
      <c r="H143" s="47"/>
      <c r="I143" s="20"/>
      <c r="J143" s="20"/>
      <c r="K143" s="20"/>
      <c r="L143" s="20"/>
      <c r="M143" s="20"/>
      <c r="N143" s="20"/>
      <c r="O143" s="20"/>
      <c r="P143" s="20"/>
      <c r="Q143" s="20"/>
      <c r="R143" s="20"/>
      <c r="S143" s="20"/>
      <c r="T143" s="20"/>
      <c r="U143" s="20"/>
      <c r="V143" s="20"/>
      <c r="W143" s="20"/>
      <c r="X143" s="20"/>
      <c r="Y143" s="20"/>
      <c r="Z143" s="20"/>
    </row>
    <row r="144" spans="1:26" ht="17.25" customHeight="1">
      <c r="A144" s="15"/>
      <c r="B144" s="15"/>
      <c r="C144" s="15"/>
      <c r="D144" s="15"/>
      <c r="E144" s="15"/>
      <c r="F144" s="15"/>
      <c r="G144" s="15"/>
      <c r="H144" s="47"/>
      <c r="I144" s="20"/>
      <c r="J144" s="20"/>
      <c r="K144" s="20"/>
      <c r="L144" s="20"/>
      <c r="M144" s="20"/>
      <c r="N144" s="20"/>
      <c r="O144" s="20"/>
      <c r="P144" s="20"/>
      <c r="Q144" s="20"/>
      <c r="R144" s="20"/>
      <c r="S144" s="20"/>
      <c r="T144" s="20"/>
      <c r="U144" s="20"/>
      <c r="V144" s="20"/>
      <c r="W144" s="20"/>
      <c r="X144" s="20"/>
      <c r="Y144" s="20"/>
      <c r="Z144" s="20"/>
    </row>
    <row r="145" spans="1:26" ht="17.25" customHeight="1">
      <c r="A145" s="15"/>
      <c r="B145" s="15"/>
      <c r="C145" s="15"/>
      <c r="D145" s="15"/>
      <c r="E145" s="15"/>
      <c r="F145" s="15"/>
      <c r="G145" s="15"/>
      <c r="H145" s="47"/>
      <c r="I145" s="20"/>
      <c r="J145" s="20"/>
      <c r="K145" s="20"/>
      <c r="L145" s="20"/>
      <c r="M145" s="20"/>
      <c r="N145" s="20"/>
      <c r="O145" s="20"/>
      <c r="P145" s="20"/>
      <c r="Q145" s="20"/>
      <c r="R145" s="20"/>
      <c r="S145" s="20"/>
      <c r="T145" s="20"/>
      <c r="U145" s="20"/>
      <c r="V145" s="20"/>
      <c r="W145" s="20"/>
      <c r="X145" s="20"/>
      <c r="Y145" s="20"/>
      <c r="Z145" s="20"/>
    </row>
    <row r="146" spans="1:26" ht="17.25" customHeight="1">
      <c r="A146" s="15"/>
      <c r="B146" s="15"/>
      <c r="C146" s="15"/>
      <c r="D146" s="15"/>
      <c r="E146" s="15"/>
      <c r="F146" s="15"/>
      <c r="G146" s="15"/>
      <c r="H146" s="47"/>
      <c r="I146" s="20"/>
      <c r="J146" s="20"/>
      <c r="K146" s="20"/>
      <c r="L146" s="20"/>
      <c r="M146" s="20"/>
      <c r="N146" s="20"/>
      <c r="O146" s="20"/>
      <c r="P146" s="20"/>
      <c r="Q146" s="20"/>
      <c r="R146" s="20"/>
      <c r="S146" s="20"/>
      <c r="T146" s="20"/>
      <c r="U146" s="20"/>
      <c r="V146" s="20"/>
      <c r="W146" s="20"/>
      <c r="X146" s="20"/>
      <c r="Y146" s="20"/>
      <c r="Z146" s="20"/>
    </row>
    <row r="147" spans="1:26" ht="17.25" customHeight="1">
      <c r="A147" s="15"/>
      <c r="B147" s="15"/>
      <c r="C147" s="15"/>
      <c r="D147" s="15"/>
      <c r="E147" s="15"/>
      <c r="F147" s="15"/>
      <c r="G147" s="15"/>
      <c r="H147" s="47"/>
      <c r="I147" s="20"/>
      <c r="J147" s="20"/>
      <c r="K147" s="20"/>
      <c r="L147" s="20"/>
      <c r="M147" s="20"/>
      <c r="N147" s="20"/>
      <c r="O147" s="20"/>
      <c r="P147" s="20"/>
      <c r="Q147" s="20"/>
      <c r="R147" s="20"/>
      <c r="S147" s="20"/>
      <c r="T147" s="20"/>
      <c r="U147" s="20"/>
      <c r="V147" s="20"/>
      <c r="W147" s="20"/>
      <c r="X147" s="20"/>
      <c r="Y147" s="20"/>
      <c r="Z147" s="20"/>
    </row>
    <row r="148" spans="1:26" ht="17.25" customHeight="1">
      <c r="A148" s="15"/>
      <c r="B148" s="15"/>
      <c r="C148" s="15"/>
      <c r="D148" s="15"/>
      <c r="E148" s="15"/>
      <c r="F148" s="15"/>
      <c r="G148" s="15"/>
      <c r="H148" s="47"/>
      <c r="I148" s="20"/>
      <c r="J148" s="20"/>
      <c r="K148" s="20"/>
      <c r="L148" s="20"/>
      <c r="M148" s="20"/>
      <c r="N148" s="20"/>
      <c r="O148" s="20"/>
      <c r="P148" s="20"/>
      <c r="Q148" s="20"/>
      <c r="R148" s="20"/>
      <c r="S148" s="20"/>
      <c r="T148" s="20"/>
      <c r="U148" s="20"/>
      <c r="V148" s="20"/>
      <c r="W148" s="20"/>
      <c r="X148" s="20"/>
      <c r="Y148" s="20"/>
      <c r="Z148" s="20"/>
    </row>
    <row r="149" spans="1:26" ht="17.25" customHeight="1">
      <c r="A149" s="15"/>
      <c r="B149" s="15"/>
      <c r="C149" s="15"/>
      <c r="D149" s="15"/>
      <c r="E149" s="15"/>
      <c r="F149" s="15"/>
      <c r="G149" s="15"/>
      <c r="H149" s="47"/>
      <c r="I149" s="20"/>
      <c r="J149" s="20"/>
      <c r="K149" s="20"/>
      <c r="L149" s="20"/>
      <c r="M149" s="20"/>
      <c r="N149" s="20"/>
      <c r="O149" s="20"/>
      <c r="P149" s="20"/>
      <c r="Q149" s="20"/>
      <c r="R149" s="20"/>
      <c r="S149" s="20"/>
      <c r="T149" s="20"/>
      <c r="U149" s="20"/>
      <c r="V149" s="20"/>
      <c r="W149" s="20"/>
      <c r="X149" s="20"/>
      <c r="Y149" s="20"/>
      <c r="Z149" s="20"/>
    </row>
    <row r="150" spans="1:26" ht="17.25" customHeight="1">
      <c r="A150" s="15"/>
      <c r="B150" s="15"/>
      <c r="C150" s="15"/>
      <c r="D150" s="15"/>
      <c r="E150" s="15"/>
      <c r="F150" s="15"/>
      <c r="G150" s="15"/>
      <c r="H150" s="47"/>
      <c r="I150" s="20"/>
      <c r="J150" s="20"/>
      <c r="K150" s="20"/>
      <c r="L150" s="20"/>
      <c r="M150" s="20"/>
      <c r="N150" s="20"/>
      <c r="O150" s="20"/>
      <c r="P150" s="20"/>
      <c r="Q150" s="20"/>
      <c r="R150" s="20"/>
      <c r="S150" s="20"/>
      <c r="T150" s="20"/>
      <c r="U150" s="20"/>
      <c r="V150" s="20"/>
      <c r="W150" s="20"/>
      <c r="X150" s="20"/>
      <c r="Y150" s="20"/>
      <c r="Z150" s="20"/>
    </row>
    <row r="151" spans="1:26" ht="17.25" customHeight="1">
      <c r="A151" s="15"/>
      <c r="B151" s="15"/>
      <c r="C151" s="15"/>
      <c r="D151" s="15"/>
      <c r="E151" s="15"/>
      <c r="F151" s="15"/>
      <c r="G151" s="15"/>
      <c r="H151" s="47"/>
      <c r="I151" s="20"/>
      <c r="J151" s="20"/>
      <c r="K151" s="20"/>
      <c r="L151" s="20"/>
      <c r="M151" s="20"/>
      <c r="N151" s="20"/>
      <c r="O151" s="20"/>
      <c r="P151" s="20"/>
      <c r="Q151" s="20"/>
      <c r="R151" s="20"/>
      <c r="S151" s="20"/>
      <c r="T151" s="20"/>
      <c r="U151" s="20"/>
      <c r="V151" s="20"/>
      <c r="W151" s="20"/>
      <c r="X151" s="20"/>
      <c r="Y151" s="20"/>
      <c r="Z151" s="20"/>
    </row>
    <row r="152" spans="1:26" ht="17.25" customHeight="1">
      <c r="A152" s="15"/>
      <c r="B152" s="15"/>
      <c r="C152" s="15"/>
      <c r="D152" s="15"/>
      <c r="E152" s="15"/>
      <c r="F152" s="15"/>
      <c r="G152" s="15"/>
      <c r="H152" s="47"/>
      <c r="I152" s="20"/>
      <c r="J152" s="20"/>
      <c r="K152" s="20"/>
      <c r="L152" s="20"/>
      <c r="M152" s="20"/>
      <c r="N152" s="20"/>
      <c r="O152" s="20"/>
      <c r="P152" s="20"/>
      <c r="Q152" s="20"/>
      <c r="R152" s="20"/>
      <c r="S152" s="20"/>
      <c r="T152" s="20"/>
      <c r="U152" s="20"/>
      <c r="V152" s="20"/>
      <c r="W152" s="20"/>
      <c r="X152" s="20"/>
      <c r="Y152" s="20"/>
      <c r="Z152" s="20"/>
    </row>
    <row r="153" spans="1:26" ht="17.25" customHeight="1">
      <c r="A153" s="15"/>
      <c r="B153" s="15"/>
      <c r="C153" s="15"/>
      <c r="D153" s="15"/>
      <c r="E153" s="15"/>
      <c r="F153" s="15"/>
      <c r="G153" s="15"/>
      <c r="H153" s="47"/>
      <c r="I153" s="20"/>
      <c r="J153" s="20"/>
      <c r="K153" s="20"/>
      <c r="L153" s="20"/>
      <c r="M153" s="20"/>
      <c r="N153" s="20"/>
      <c r="O153" s="20"/>
      <c r="P153" s="20"/>
      <c r="Q153" s="20"/>
      <c r="R153" s="20"/>
      <c r="S153" s="20"/>
      <c r="T153" s="20"/>
      <c r="U153" s="20"/>
      <c r="V153" s="20"/>
      <c r="W153" s="20"/>
      <c r="X153" s="20"/>
      <c r="Y153" s="20"/>
      <c r="Z153" s="20"/>
    </row>
    <row r="154" spans="1:26" ht="17.25" customHeight="1">
      <c r="A154" s="15"/>
      <c r="B154" s="15"/>
      <c r="C154" s="15"/>
      <c r="D154" s="15"/>
      <c r="E154" s="15"/>
      <c r="F154" s="15"/>
      <c r="G154" s="15"/>
      <c r="H154" s="47"/>
      <c r="I154" s="20"/>
      <c r="J154" s="20"/>
      <c r="K154" s="20"/>
      <c r="L154" s="20"/>
      <c r="M154" s="20"/>
      <c r="N154" s="20"/>
      <c r="O154" s="20"/>
      <c r="P154" s="20"/>
      <c r="Q154" s="20"/>
      <c r="R154" s="20"/>
      <c r="S154" s="20"/>
      <c r="T154" s="20"/>
      <c r="U154" s="20"/>
      <c r="V154" s="20"/>
      <c r="W154" s="20"/>
      <c r="X154" s="20"/>
      <c r="Y154" s="20"/>
      <c r="Z154" s="20"/>
    </row>
    <row r="155" spans="1:26" ht="17.25" customHeight="1">
      <c r="A155" s="15"/>
      <c r="B155" s="15"/>
      <c r="C155" s="15"/>
      <c r="D155" s="15"/>
      <c r="E155" s="15"/>
      <c r="F155" s="15"/>
      <c r="G155" s="15"/>
      <c r="H155" s="47"/>
      <c r="I155" s="20"/>
      <c r="J155" s="20"/>
      <c r="K155" s="20"/>
      <c r="L155" s="20"/>
      <c r="M155" s="20"/>
      <c r="N155" s="20"/>
      <c r="O155" s="20"/>
      <c r="P155" s="20"/>
      <c r="Q155" s="20"/>
      <c r="R155" s="20"/>
      <c r="S155" s="20"/>
      <c r="T155" s="20"/>
      <c r="U155" s="20"/>
      <c r="V155" s="20"/>
      <c r="W155" s="20"/>
      <c r="X155" s="20"/>
      <c r="Y155" s="20"/>
      <c r="Z155" s="20"/>
    </row>
    <row r="156" spans="1:26" ht="17.25" customHeight="1">
      <c r="A156" s="15"/>
      <c r="B156" s="15"/>
      <c r="C156" s="15"/>
      <c r="D156" s="15"/>
      <c r="E156" s="15"/>
      <c r="F156" s="15"/>
      <c r="G156" s="15"/>
      <c r="H156" s="47"/>
      <c r="I156" s="20"/>
      <c r="J156" s="20"/>
      <c r="K156" s="20"/>
      <c r="L156" s="20"/>
      <c r="M156" s="20"/>
      <c r="N156" s="20"/>
      <c r="O156" s="20"/>
      <c r="P156" s="20"/>
      <c r="Q156" s="20"/>
      <c r="R156" s="20"/>
      <c r="S156" s="20"/>
      <c r="T156" s="20"/>
      <c r="U156" s="20"/>
      <c r="V156" s="20"/>
      <c r="W156" s="20"/>
      <c r="X156" s="20"/>
      <c r="Y156" s="20"/>
      <c r="Z156" s="20"/>
    </row>
    <row r="157" spans="1:26" ht="17.25" customHeight="1">
      <c r="A157" s="15"/>
      <c r="B157" s="15"/>
      <c r="C157" s="15"/>
      <c r="D157" s="15"/>
      <c r="E157" s="15"/>
      <c r="F157" s="15"/>
      <c r="G157" s="15"/>
      <c r="H157" s="47"/>
      <c r="I157" s="20"/>
      <c r="J157" s="20"/>
      <c r="K157" s="20"/>
      <c r="L157" s="20"/>
      <c r="M157" s="20"/>
      <c r="N157" s="20"/>
      <c r="O157" s="20"/>
      <c r="P157" s="20"/>
      <c r="Q157" s="20"/>
      <c r="R157" s="20"/>
      <c r="S157" s="20"/>
      <c r="T157" s="20"/>
      <c r="U157" s="20"/>
      <c r="V157" s="20"/>
      <c r="W157" s="20"/>
      <c r="X157" s="20"/>
      <c r="Y157" s="20"/>
      <c r="Z157" s="20"/>
    </row>
    <row r="158" spans="1:26" ht="17.25" customHeight="1">
      <c r="A158" s="15"/>
      <c r="B158" s="15"/>
      <c r="C158" s="15"/>
      <c r="D158" s="15"/>
      <c r="E158" s="15"/>
      <c r="F158" s="15"/>
      <c r="G158" s="15"/>
      <c r="H158" s="47"/>
      <c r="I158" s="20"/>
      <c r="J158" s="20"/>
      <c r="K158" s="20"/>
      <c r="L158" s="20"/>
      <c r="M158" s="20"/>
      <c r="N158" s="20"/>
      <c r="O158" s="20"/>
      <c r="P158" s="20"/>
      <c r="Q158" s="20"/>
      <c r="R158" s="20"/>
      <c r="S158" s="20"/>
      <c r="T158" s="20"/>
      <c r="U158" s="20"/>
      <c r="V158" s="20"/>
      <c r="W158" s="20"/>
      <c r="X158" s="20"/>
      <c r="Y158" s="20"/>
      <c r="Z158" s="20"/>
    </row>
    <row r="159" spans="1:26" ht="17.25" customHeight="1">
      <c r="A159" s="15"/>
      <c r="B159" s="15"/>
      <c r="C159" s="15"/>
      <c r="D159" s="15"/>
      <c r="E159" s="15"/>
      <c r="F159" s="15"/>
      <c r="G159" s="15"/>
      <c r="H159" s="47"/>
      <c r="I159" s="20"/>
      <c r="J159" s="20"/>
      <c r="K159" s="20"/>
      <c r="L159" s="20"/>
      <c r="M159" s="20"/>
      <c r="N159" s="20"/>
      <c r="O159" s="20"/>
      <c r="P159" s="20"/>
      <c r="Q159" s="20"/>
      <c r="R159" s="20"/>
      <c r="S159" s="20"/>
      <c r="T159" s="20"/>
      <c r="U159" s="20"/>
      <c r="V159" s="20"/>
      <c r="W159" s="20"/>
      <c r="X159" s="20"/>
      <c r="Y159" s="20"/>
      <c r="Z159" s="20"/>
    </row>
    <row r="160" spans="1:26" ht="17.25" customHeight="1">
      <c r="A160" s="15"/>
      <c r="B160" s="15"/>
      <c r="C160" s="15"/>
      <c r="D160" s="15"/>
      <c r="E160" s="15"/>
      <c r="F160" s="15"/>
      <c r="G160" s="15"/>
      <c r="H160" s="47"/>
      <c r="I160" s="20"/>
      <c r="J160" s="20"/>
      <c r="K160" s="20"/>
      <c r="L160" s="20"/>
      <c r="M160" s="20"/>
      <c r="N160" s="20"/>
      <c r="O160" s="20"/>
      <c r="P160" s="20"/>
      <c r="Q160" s="20"/>
      <c r="R160" s="20"/>
      <c r="S160" s="20"/>
      <c r="T160" s="20"/>
      <c r="U160" s="20"/>
      <c r="V160" s="20"/>
      <c r="W160" s="20"/>
      <c r="X160" s="20"/>
      <c r="Y160" s="20"/>
      <c r="Z160" s="20"/>
    </row>
    <row r="161" spans="1:26" ht="17.25" customHeight="1">
      <c r="A161" s="15"/>
      <c r="B161" s="15"/>
      <c r="C161" s="15"/>
      <c r="D161" s="15"/>
      <c r="E161" s="15"/>
      <c r="F161" s="15"/>
      <c r="G161" s="15"/>
      <c r="H161" s="47"/>
      <c r="I161" s="20"/>
      <c r="J161" s="20"/>
      <c r="K161" s="20"/>
      <c r="L161" s="20"/>
      <c r="M161" s="20"/>
      <c r="N161" s="20"/>
      <c r="O161" s="20"/>
      <c r="P161" s="20"/>
      <c r="Q161" s="20"/>
      <c r="R161" s="20"/>
      <c r="S161" s="20"/>
      <c r="T161" s="20"/>
      <c r="U161" s="20"/>
      <c r="V161" s="20"/>
      <c r="W161" s="20"/>
      <c r="X161" s="20"/>
      <c r="Y161" s="20"/>
      <c r="Z161" s="20"/>
    </row>
    <row r="162" spans="1:26" ht="17.25" customHeight="1">
      <c r="A162" s="15"/>
      <c r="B162" s="15"/>
      <c r="C162" s="15"/>
      <c r="D162" s="15"/>
      <c r="E162" s="15"/>
      <c r="F162" s="15"/>
      <c r="G162" s="15"/>
      <c r="H162" s="47"/>
      <c r="I162" s="20"/>
      <c r="J162" s="20"/>
      <c r="K162" s="20"/>
      <c r="L162" s="20"/>
      <c r="M162" s="20"/>
      <c r="N162" s="20"/>
      <c r="O162" s="20"/>
      <c r="P162" s="20"/>
      <c r="Q162" s="20"/>
      <c r="R162" s="20"/>
      <c r="S162" s="20"/>
      <c r="T162" s="20"/>
      <c r="U162" s="20"/>
      <c r="V162" s="20"/>
      <c r="W162" s="20"/>
      <c r="X162" s="20"/>
      <c r="Y162" s="20"/>
      <c r="Z162" s="20"/>
    </row>
    <row r="163" spans="1:26" ht="17.25" customHeight="1">
      <c r="A163" s="15"/>
      <c r="B163" s="15"/>
      <c r="C163" s="15"/>
      <c r="D163" s="15"/>
      <c r="E163" s="15"/>
      <c r="F163" s="15"/>
      <c r="G163" s="15"/>
      <c r="H163" s="47"/>
      <c r="I163" s="20"/>
      <c r="J163" s="20"/>
      <c r="K163" s="20"/>
      <c r="L163" s="20"/>
      <c r="M163" s="20"/>
      <c r="N163" s="20"/>
      <c r="O163" s="20"/>
      <c r="P163" s="20"/>
      <c r="Q163" s="20"/>
      <c r="R163" s="20"/>
      <c r="S163" s="20"/>
      <c r="T163" s="20"/>
      <c r="U163" s="20"/>
      <c r="V163" s="20"/>
      <c r="W163" s="20"/>
      <c r="X163" s="20"/>
      <c r="Y163" s="20"/>
      <c r="Z163" s="20"/>
    </row>
    <row r="164" spans="1:26" ht="17.25" customHeight="1">
      <c r="A164" s="15"/>
      <c r="B164" s="15"/>
      <c r="C164" s="15"/>
      <c r="D164" s="15"/>
      <c r="E164" s="15"/>
      <c r="F164" s="15"/>
      <c r="G164" s="15"/>
      <c r="H164" s="47"/>
      <c r="I164" s="20"/>
      <c r="J164" s="20"/>
      <c r="K164" s="20"/>
      <c r="L164" s="20"/>
      <c r="M164" s="20"/>
      <c r="N164" s="20"/>
      <c r="O164" s="20"/>
      <c r="P164" s="20"/>
      <c r="Q164" s="20"/>
      <c r="R164" s="20"/>
      <c r="S164" s="20"/>
      <c r="T164" s="20"/>
      <c r="U164" s="20"/>
      <c r="V164" s="20"/>
      <c r="W164" s="20"/>
      <c r="X164" s="20"/>
      <c r="Y164" s="20"/>
      <c r="Z164" s="20"/>
    </row>
    <row r="165" spans="1:26" ht="17.25" customHeight="1">
      <c r="A165" s="15"/>
      <c r="B165" s="15"/>
      <c r="C165" s="15"/>
      <c r="D165" s="15"/>
      <c r="E165" s="15"/>
      <c r="F165" s="15"/>
      <c r="G165" s="15"/>
      <c r="H165" s="47"/>
      <c r="I165" s="20"/>
      <c r="J165" s="20"/>
      <c r="K165" s="20"/>
      <c r="L165" s="20"/>
      <c r="M165" s="20"/>
      <c r="N165" s="20"/>
      <c r="O165" s="20"/>
      <c r="P165" s="20"/>
      <c r="Q165" s="20"/>
      <c r="R165" s="20"/>
      <c r="S165" s="20"/>
      <c r="T165" s="20"/>
      <c r="U165" s="20"/>
      <c r="V165" s="20"/>
      <c r="W165" s="20"/>
      <c r="X165" s="20"/>
      <c r="Y165" s="20"/>
      <c r="Z165" s="20"/>
    </row>
    <row r="166" spans="1:26" ht="17.25" customHeight="1">
      <c r="A166" s="15"/>
      <c r="B166" s="15"/>
      <c r="C166" s="15"/>
      <c r="D166" s="15"/>
      <c r="E166" s="15"/>
      <c r="F166" s="15"/>
      <c r="G166" s="15"/>
      <c r="H166" s="47"/>
      <c r="I166" s="20"/>
      <c r="J166" s="20"/>
      <c r="K166" s="20"/>
      <c r="L166" s="20"/>
      <c r="M166" s="20"/>
      <c r="N166" s="20"/>
      <c r="O166" s="20"/>
      <c r="P166" s="20"/>
      <c r="Q166" s="20"/>
      <c r="R166" s="20"/>
      <c r="S166" s="20"/>
      <c r="T166" s="20"/>
      <c r="U166" s="20"/>
      <c r="V166" s="20"/>
      <c r="W166" s="20"/>
      <c r="X166" s="20"/>
      <c r="Y166" s="20"/>
      <c r="Z166" s="20"/>
    </row>
    <row r="167" spans="1:26" ht="17.25" customHeight="1">
      <c r="A167" s="15"/>
      <c r="B167" s="15"/>
      <c r="C167" s="15"/>
      <c r="D167" s="15"/>
      <c r="E167" s="15"/>
      <c r="F167" s="15"/>
      <c r="G167" s="15"/>
      <c r="H167" s="47"/>
      <c r="I167" s="20"/>
      <c r="J167" s="20"/>
      <c r="K167" s="20"/>
      <c r="L167" s="20"/>
      <c r="M167" s="20"/>
      <c r="N167" s="20"/>
      <c r="O167" s="20"/>
      <c r="P167" s="20"/>
      <c r="Q167" s="20"/>
      <c r="R167" s="20"/>
      <c r="S167" s="20"/>
      <c r="T167" s="20"/>
      <c r="U167" s="20"/>
      <c r="V167" s="20"/>
      <c r="W167" s="20"/>
      <c r="X167" s="20"/>
      <c r="Y167" s="20"/>
      <c r="Z167" s="20"/>
    </row>
    <row r="168" spans="1:26" ht="17.25" customHeight="1">
      <c r="A168" s="15"/>
      <c r="B168" s="15"/>
      <c r="C168" s="15"/>
      <c r="D168" s="15"/>
      <c r="E168" s="15"/>
      <c r="F168" s="15"/>
      <c r="G168" s="15"/>
      <c r="H168" s="47"/>
      <c r="I168" s="20"/>
      <c r="J168" s="20"/>
      <c r="K168" s="20"/>
      <c r="L168" s="20"/>
      <c r="M168" s="20"/>
      <c r="N168" s="20"/>
      <c r="O168" s="20"/>
      <c r="P168" s="20"/>
      <c r="Q168" s="20"/>
      <c r="R168" s="20"/>
      <c r="S168" s="20"/>
      <c r="T168" s="20"/>
      <c r="U168" s="20"/>
      <c r="V168" s="20"/>
      <c r="W168" s="20"/>
      <c r="X168" s="20"/>
      <c r="Y168" s="20"/>
      <c r="Z168" s="20"/>
    </row>
    <row r="169" spans="1:26" ht="17.25" customHeight="1">
      <c r="A169" s="15"/>
      <c r="B169" s="15"/>
      <c r="C169" s="15"/>
      <c r="D169" s="15"/>
      <c r="E169" s="15"/>
      <c r="F169" s="15"/>
      <c r="G169" s="15"/>
      <c r="H169" s="47"/>
      <c r="I169" s="20"/>
      <c r="J169" s="20"/>
      <c r="K169" s="20"/>
      <c r="L169" s="20"/>
      <c r="M169" s="20"/>
      <c r="N169" s="20"/>
      <c r="O169" s="20"/>
      <c r="P169" s="20"/>
      <c r="Q169" s="20"/>
      <c r="R169" s="20"/>
      <c r="S169" s="20"/>
      <c r="T169" s="20"/>
      <c r="U169" s="20"/>
      <c r="V169" s="20"/>
      <c r="W169" s="20"/>
      <c r="X169" s="20"/>
      <c r="Y169" s="20"/>
      <c r="Z169" s="20"/>
    </row>
    <row r="170" spans="1:26" ht="17.25" customHeight="1">
      <c r="A170" s="15"/>
      <c r="B170" s="15"/>
      <c r="C170" s="15"/>
      <c r="D170" s="15"/>
      <c r="E170" s="15"/>
      <c r="F170" s="15"/>
      <c r="G170" s="15"/>
      <c r="H170" s="47"/>
      <c r="I170" s="20"/>
      <c r="J170" s="20"/>
      <c r="K170" s="20"/>
      <c r="L170" s="20"/>
      <c r="M170" s="20"/>
      <c r="N170" s="20"/>
      <c r="O170" s="20"/>
      <c r="P170" s="20"/>
      <c r="Q170" s="20"/>
      <c r="R170" s="20"/>
      <c r="S170" s="20"/>
      <c r="T170" s="20"/>
      <c r="U170" s="20"/>
      <c r="V170" s="20"/>
      <c r="W170" s="20"/>
      <c r="X170" s="20"/>
      <c r="Y170" s="20"/>
      <c r="Z170" s="20"/>
    </row>
    <row r="171" spans="1:26" ht="17.25" customHeight="1">
      <c r="A171" s="15"/>
      <c r="B171" s="15"/>
      <c r="C171" s="15"/>
      <c r="D171" s="15"/>
      <c r="E171" s="15"/>
      <c r="F171" s="15"/>
      <c r="G171" s="15"/>
      <c r="H171" s="47"/>
      <c r="I171" s="20"/>
      <c r="J171" s="20"/>
      <c r="K171" s="20"/>
      <c r="L171" s="20"/>
      <c r="M171" s="20"/>
      <c r="N171" s="20"/>
      <c r="O171" s="20"/>
      <c r="P171" s="20"/>
      <c r="Q171" s="20"/>
      <c r="R171" s="20"/>
      <c r="S171" s="20"/>
      <c r="T171" s="20"/>
      <c r="U171" s="20"/>
      <c r="V171" s="20"/>
      <c r="W171" s="20"/>
      <c r="X171" s="20"/>
      <c r="Y171" s="20"/>
      <c r="Z171" s="20"/>
    </row>
    <row r="172" spans="1:26" ht="17.25" customHeight="1">
      <c r="A172" s="15"/>
      <c r="B172" s="15"/>
      <c r="C172" s="15"/>
      <c r="D172" s="15"/>
      <c r="E172" s="15"/>
      <c r="F172" s="15"/>
      <c r="G172" s="15"/>
      <c r="H172" s="47"/>
      <c r="I172" s="20"/>
      <c r="J172" s="20"/>
      <c r="K172" s="20"/>
      <c r="L172" s="20"/>
      <c r="M172" s="20"/>
      <c r="N172" s="20"/>
      <c r="O172" s="20"/>
      <c r="P172" s="20"/>
      <c r="Q172" s="20"/>
      <c r="R172" s="20"/>
      <c r="S172" s="20"/>
      <c r="T172" s="20"/>
      <c r="U172" s="20"/>
      <c r="V172" s="20"/>
      <c r="W172" s="20"/>
      <c r="X172" s="20"/>
      <c r="Y172" s="20"/>
      <c r="Z172" s="20"/>
    </row>
    <row r="173" spans="1:26" ht="17.25" customHeight="1">
      <c r="A173" s="15"/>
      <c r="B173" s="15"/>
      <c r="C173" s="15"/>
      <c r="D173" s="15"/>
      <c r="E173" s="15"/>
      <c r="F173" s="15"/>
      <c r="G173" s="15"/>
      <c r="H173" s="47"/>
      <c r="I173" s="20"/>
      <c r="J173" s="20"/>
      <c r="K173" s="20"/>
      <c r="L173" s="20"/>
      <c r="M173" s="20"/>
      <c r="N173" s="20"/>
      <c r="O173" s="20"/>
      <c r="P173" s="20"/>
      <c r="Q173" s="20"/>
      <c r="R173" s="20"/>
      <c r="S173" s="20"/>
      <c r="T173" s="20"/>
      <c r="U173" s="20"/>
      <c r="V173" s="20"/>
      <c r="W173" s="20"/>
      <c r="X173" s="20"/>
      <c r="Y173" s="20"/>
      <c r="Z173" s="20"/>
    </row>
    <row r="174" spans="1:26" ht="17.25" customHeight="1">
      <c r="A174" s="15"/>
      <c r="B174" s="15"/>
      <c r="C174" s="15"/>
      <c r="D174" s="15"/>
      <c r="E174" s="15"/>
      <c r="F174" s="15"/>
      <c r="G174" s="15"/>
      <c r="H174" s="47"/>
      <c r="I174" s="20"/>
      <c r="J174" s="20"/>
      <c r="K174" s="20"/>
      <c r="L174" s="20"/>
      <c r="M174" s="20"/>
      <c r="N174" s="20"/>
      <c r="O174" s="20"/>
      <c r="P174" s="20"/>
      <c r="Q174" s="20"/>
      <c r="R174" s="20"/>
      <c r="S174" s="20"/>
      <c r="T174" s="20"/>
      <c r="U174" s="20"/>
      <c r="V174" s="20"/>
      <c r="W174" s="20"/>
      <c r="X174" s="20"/>
      <c r="Y174" s="20"/>
      <c r="Z174" s="20"/>
    </row>
    <row r="175" spans="1:26" ht="17.25" customHeight="1">
      <c r="A175" s="15"/>
      <c r="B175" s="15"/>
      <c r="C175" s="15"/>
      <c r="D175" s="15"/>
      <c r="E175" s="15"/>
      <c r="F175" s="15"/>
      <c r="G175" s="15"/>
      <c r="H175" s="47"/>
      <c r="I175" s="20"/>
      <c r="J175" s="20"/>
      <c r="K175" s="20"/>
      <c r="L175" s="20"/>
      <c r="M175" s="20"/>
      <c r="N175" s="20"/>
      <c r="O175" s="20"/>
      <c r="P175" s="20"/>
      <c r="Q175" s="20"/>
      <c r="R175" s="20"/>
      <c r="S175" s="20"/>
      <c r="T175" s="20"/>
      <c r="U175" s="20"/>
      <c r="V175" s="20"/>
      <c r="W175" s="20"/>
      <c r="X175" s="20"/>
      <c r="Y175" s="20"/>
      <c r="Z175" s="20"/>
    </row>
    <row r="176" spans="1:26" ht="17.25" customHeight="1">
      <c r="A176" s="15"/>
      <c r="B176" s="15"/>
      <c r="C176" s="15"/>
      <c r="D176" s="15"/>
      <c r="E176" s="15"/>
      <c r="F176" s="15"/>
      <c r="G176" s="15"/>
      <c r="H176" s="47"/>
      <c r="I176" s="20"/>
      <c r="J176" s="20"/>
      <c r="K176" s="20"/>
      <c r="L176" s="20"/>
      <c r="M176" s="20"/>
      <c r="N176" s="20"/>
      <c r="O176" s="20"/>
      <c r="P176" s="20"/>
      <c r="Q176" s="20"/>
      <c r="R176" s="20"/>
      <c r="S176" s="20"/>
      <c r="T176" s="20"/>
      <c r="U176" s="20"/>
      <c r="V176" s="20"/>
      <c r="W176" s="20"/>
      <c r="X176" s="20"/>
      <c r="Y176" s="20"/>
      <c r="Z176" s="20"/>
    </row>
    <row r="177" spans="1:26" ht="17.25" customHeight="1">
      <c r="A177" s="15"/>
      <c r="B177" s="15"/>
      <c r="C177" s="15"/>
      <c r="D177" s="15"/>
      <c r="E177" s="15"/>
      <c r="F177" s="15"/>
      <c r="G177" s="15"/>
      <c r="H177" s="47"/>
      <c r="I177" s="20"/>
      <c r="J177" s="20"/>
      <c r="K177" s="20"/>
      <c r="L177" s="20"/>
      <c r="M177" s="20"/>
      <c r="N177" s="20"/>
      <c r="O177" s="20"/>
      <c r="P177" s="20"/>
      <c r="Q177" s="20"/>
      <c r="R177" s="20"/>
      <c r="S177" s="20"/>
      <c r="T177" s="20"/>
      <c r="U177" s="20"/>
      <c r="V177" s="20"/>
      <c r="W177" s="20"/>
      <c r="X177" s="20"/>
      <c r="Y177" s="20"/>
      <c r="Z177" s="20"/>
    </row>
    <row r="178" spans="1:26" ht="17.25" customHeight="1">
      <c r="A178" s="15"/>
      <c r="B178" s="15"/>
      <c r="C178" s="15"/>
      <c r="D178" s="15"/>
      <c r="E178" s="15"/>
      <c r="F178" s="15"/>
      <c r="G178" s="15"/>
      <c r="H178" s="47"/>
      <c r="I178" s="20"/>
      <c r="J178" s="20"/>
      <c r="K178" s="20"/>
      <c r="L178" s="20"/>
      <c r="M178" s="20"/>
      <c r="N178" s="20"/>
      <c r="O178" s="20"/>
      <c r="P178" s="20"/>
      <c r="Q178" s="20"/>
      <c r="R178" s="20"/>
      <c r="S178" s="20"/>
      <c r="T178" s="20"/>
      <c r="U178" s="20"/>
      <c r="V178" s="20"/>
      <c r="W178" s="20"/>
      <c r="X178" s="20"/>
      <c r="Y178" s="20"/>
      <c r="Z178" s="20"/>
    </row>
    <row r="179" spans="1:26" ht="17.25" customHeight="1">
      <c r="A179" s="15"/>
      <c r="B179" s="15"/>
      <c r="C179" s="15"/>
      <c r="D179" s="15"/>
      <c r="E179" s="15"/>
      <c r="F179" s="15"/>
      <c r="G179" s="15"/>
      <c r="H179" s="47"/>
      <c r="I179" s="20"/>
      <c r="J179" s="20"/>
      <c r="K179" s="20"/>
      <c r="L179" s="20"/>
      <c r="M179" s="20"/>
      <c r="N179" s="20"/>
      <c r="O179" s="20"/>
      <c r="P179" s="20"/>
      <c r="Q179" s="20"/>
      <c r="R179" s="20"/>
      <c r="S179" s="20"/>
      <c r="T179" s="20"/>
      <c r="U179" s="20"/>
      <c r="V179" s="20"/>
      <c r="W179" s="20"/>
      <c r="X179" s="20"/>
      <c r="Y179" s="20"/>
      <c r="Z179" s="20"/>
    </row>
    <row r="180" spans="1:26" ht="17.25" customHeight="1">
      <c r="A180" s="15"/>
      <c r="B180" s="15"/>
      <c r="C180" s="15"/>
      <c r="D180" s="15"/>
      <c r="E180" s="15"/>
      <c r="F180" s="15"/>
      <c r="G180" s="15"/>
      <c r="H180" s="47"/>
      <c r="I180" s="20"/>
      <c r="J180" s="20"/>
      <c r="K180" s="20"/>
      <c r="L180" s="20"/>
      <c r="M180" s="20"/>
      <c r="N180" s="20"/>
      <c r="O180" s="20"/>
      <c r="P180" s="20"/>
      <c r="Q180" s="20"/>
      <c r="R180" s="20"/>
      <c r="S180" s="20"/>
      <c r="T180" s="20"/>
      <c r="U180" s="20"/>
      <c r="V180" s="20"/>
      <c r="W180" s="20"/>
      <c r="X180" s="20"/>
      <c r="Y180" s="20"/>
      <c r="Z180" s="20"/>
    </row>
    <row r="181" spans="1:26" ht="17.25" customHeight="1">
      <c r="A181" s="15"/>
      <c r="B181" s="15"/>
      <c r="C181" s="15"/>
      <c r="D181" s="15"/>
      <c r="E181" s="15"/>
      <c r="F181" s="15"/>
      <c r="G181" s="15"/>
      <c r="H181" s="47"/>
      <c r="I181" s="20"/>
      <c r="J181" s="20"/>
      <c r="K181" s="20"/>
      <c r="L181" s="20"/>
      <c r="M181" s="20"/>
      <c r="N181" s="20"/>
      <c r="O181" s="20"/>
      <c r="P181" s="20"/>
      <c r="Q181" s="20"/>
      <c r="R181" s="20"/>
      <c r="S181" s="20"/>
      <c r="T181" s="20"/>
      <c r="U181" s="20"/>
      <c r="V181" s="20"/>
      <c r="W181" s="20"/>
      <c r="X181" s="20"/>
      <c r="Y181" s="20"/>
      <c r="Z181" s="20"/>
    </row>
    <row r="182" spans="1:26" ht="17.25" customHeight="1">
      <c r="A182" s="15"/>
      <c r="B182" s="15"/>
      <c r="C182" s="15"/>
      <c r="D182" s="15"/>
      <c r="E182" s="15"/>
      <c r="F182" s="15"/>
      <c r="G182" s="15"/>
      <c r="H182" s="47"/>
      <c r="I182" s="20"/>
      <c r="J182" s="20"/>
      <c r="K182" s="20"/>
      <c r="L182" s="20"/>
      <c r="M182" s="20"/>
      <c r="N182" s="20"/>
      <c r="O182" s="20"/>
      <c r="P182" s="20"/>
      <c r="Q182" s="20"/>
      <c r="R182" s="20"/>
      <c r="S182" s="20"/>
      <c r="T182" s="20"/>
      <c r="U182" s="20"/>
      <c r="V182" s="20"/>
      <c r="W182" s="20"/>
      <c r="X182" s="20"/>
      <c r="Y182" s="20"/>
      <c r="Z182" s="20"/>
    </row>
    <row r="183" spans="1:26" ht="17.25" customHeight="1">
      <c r="A183" s="15"/>
      <c r="B183" s="15"/>
      <c r="C183" s="15"/>
      <c r="D183" s="15"/>
      <c r="E183" s="15"/>
      <c r="F183" s="15"/>
      <c r="G183" s="15"/>
      <c r="H183" s="47"/>
      <c r="I183" s="20"/>
      <c r="J183" s="20"/>
      <c r="K183" s="20"/>
      <c r="L183" s="20"/>
      <c r="M183" s="20"/>
      <c r="N183" s="20"/>
      <c r="O183" s="20"/>
      <c r="P183" s="20"/>
      <c r="Q183" s="20"/>
      <c r="R183" s="20"/>
      <c r="S183" s="20"/>
      <c r="T183" s="20"/>
      <c r="U183" s="20"/>
      <c r="V183" s="20"/>
      <c r="W183" s="20"/>
      <c r="X183" s="20"/>
      <c r="Y183" s="20"/>
      <c r="Z183" s="20"/>
    </row>
    <row r="184" spans="1:26" ht="17.25" customHeight="1">
      <c r="A184" s="15"/>
      <c r="B184" s="15"/>
      <c r="C184" s="15"/>
      <c r="D184" s="15"/>
      <c r="E184" s="15"/>
      <c r="F184" s="15"/>
      <c r="G184" s="15"/>
      <c r="H184" s="47"/>
      <c r="I184" s="20"/>
      <c r="J184" s="20"/>
      <c r="K184" s="20"/>
      <c r="L184" s="20"/>
      <c r="M184" s="20"/>
      <c r="N184" s="20"/>
      <c r="O184" s="20"/>
      <c r="P184" s="20"/>
      <c r="Q184" s="20"/>
      <c r="R184" s="20"/>
      <c r="S184" s="20"/>
      <c r="T184" s="20"/>
      <c r="U184" s="20"/>
      <c r="V184" s="20"/>
      <c r="W184" s="20"/>
      <c r="X184" s="20"/>
      <c r="Y184" s="20"/>
      <c r="Z184" s="20"/>
    </row>
    <row r="185" spans="1:26" ht="17.25" customHeight="1">
      <c r="A185" s="15"/>
      <c r="B185" s="15"/>
      <c r="C185" s="15"/>
      <c r="D185" s="15"/>
      <c r="E185" s="15"/>
      <c r="F185" s="15"/>
      <c r="G185" s="15"/>
      <c r="H185" s="47"/>
      <c r="I185" s="20"/>
      <c r="J185" s="20"/>
      <c r="K185" s="20"/>
      <c r="L185" s="20"/>
      <c r="M185" s="20"/>
      <c r="N185" s="20"/>
      <c r="O185" s="20"/>
      <c r="P185" s="20"/>
      <c r="Q185" s="20"/>
      <c r="R185" s="20"/>
      <c r="S185" s="20"/>
      <c r="T185" s="20"/>
      <c r="U185" s="20"/>
      <c r="V185" s="20"/>
      <c r="W185" s="20"/>
      <c r="X185" s="20"/>
      <c r="Y185" s="20"/>
      <c r="Z185" s="20"/>
    </row>
    <row r="186" spans="1:26" ht="17.25" customHeight="1">
      <c r="A186" s="15"/>
      <c r="B186" s="15"/>
      <c r="C186" s="15"/>
      <c r="D186" s="15"/>
      <c r="E186" s="15"/>
      <c r="F186" s="15"/>
      <c r="G186" s="15"/>
      <c r="H186" s="47"/>
      <c r="I186" s="20"/>
      <c r="J186" s="20"/>
      <c r="K186" s="20"/>
      <c r="L186" s="20"/>
      <c r="M186" s="20"/>
      <c r="N186" s="20"/>
      <c r="O186" s="20"/>
      <c r="P186" s="20"/>
      <c r="Q186" s="20"/>
      <c r="R186" s="20"/>
      <c r="S186" s="20"/>
      <c r="T186" s="20"/>
      <c r="U186" s="20"/>
      <c r="V186" s="20"/>
      <c r="W186" s="20"/>
      <c r="X186" s="20"/>
      <c r="Y186" s="20"/>
      <c r="Z186" s="20"/>
    </row>
    <row r="187" spans="1:26" ht="17.25" customHeight="1">
      <c r="A187" s="15"/>
      <c r="B187" s="15"/>
      <c r="C187" s="15"/>
      <c r="D187" s="15"/>
      <c r="E187" s="15"/>
      <c r="F187" s="15"/>
      <c r="G187" s="15"/>
      <c r="H187" s="47"/>
      <c r="I187" s="20"/>
      <c r="J187" s="20"/>
      <c r="K187" s="20"/>
      <c r="L187" s="20"/>
      <c r="M187" s="20"/>
      <c r="N187" s="20"/>
      <c r="O187" s="20"/>
      <c r="P187" s="20"/>
      <c r="Q187" s="20"/>
      <c r="R187" s="20"/>
      <c r="S187" s="20"/>
      <c r="T187" s="20"/>
      <c r="U187" s="20"/>
      <c r="V187" s="20"/>
      <c r="W187" s="20"/>
      <c r="X187" s="20"/>
      <c r="Y187" s="20"/>
      <c r="Z187" s="20"/>
    </row>
    <row r="188" spans="1:26" ht="17.25" customHeight="1">
      <c r="A188" s="15"/>
      <c r="B188" s="15"/>
      <c r="C188" s="15"/>
      <c r="D188" s="15"/>
      <c r="E188" s="15"/>
      <c r="F188" s="15"/>
      <c r="G188" s="15"/>
      <c r="H188" s="47"/>
      <c r="I188" s="20"/>
      <c r="J188" s="20"/>
      <c r="K188" s="20"/>
      <c r="L188" s="20"/>
      <c r="M188" s="20"/>
      <c r="N188" s="20"/>
      <c r="O188" s="20"/>
      <c r="P188" s="20"/>
      <c r="Q188" s="20"/>
      <c r="R188" s="20"/>
      <c r="S188" s="20"/>
      <c r="T188" s="20"/>
      <c r="U188" s="20"/>
      <c r="V188" s="20"/>
      <c r="W188" s="20"/>
      <c r="X188" s="20"/>
      <c r="Y188" s="20"/>
      <c r="Z188" s="20"/>
    </row>
    <row r="189" spans="1:26" ht="17.25" customHeight="1">
      <c r="A189" s="15"/>
      <c r="B189" s="15"/>
      <c r="C189" s="15"/>
      <c r="D189" s="15"/>
      <c r="E189" s="15"/>
      <c r="F189" s="15"/>
      <c r="G189" s="15"/>
      <c r="H189" s="47"/>
      <c r="I189" s="20"/>
      <c r="J189" s="20"/>
      <c r="K189" s="20"/>
      <c r="L189" s="20"/>
      <c r="M189" s="20"/>
      <c r="N189" s="20"/>
      <c r="O189" s="20"/>
      <c r="P189" s="20"/>
      <c r="Q189" s="20"/>
      <c r="R189" s="20"/>
      <c r="S189" s="20"/>
      <c r="T189" s="20"/>
      <c r="U189" s="20"/>
      <c r="V189" s="20"/>
      <c r="W189" s="20"/>
      <c r="X189" s="20"/>
      <c r="Y189" s="20"/>
      <c r="Z189" s="20"/>
    </row>
    <row r="190" spans="1:26" ht="17.25" customHeight="1">
      <c r="A190" s="15"/>
      <c r="B190" s="15"/>
      <c r="C190" s="15"/>
      <c r="D190" s="15"/>
      <c r="E190" s="15"/>
      <c r="F190" s="15"/>
      <c r="G190" s="15"/>
      <c r="H190" s="47"/>
      <c r="I190" s="20"/>
      <c r="J190" s="20"/>
      <c r="K190" s="20"/>
      <c r="L190" s="20"/>
      <c r="M190" s="20"/>
      <c r="N190" s="20"/>
      <c r="O190" s="20"/>
      <c r="P190" s="20"/>
      <c r="Q190" s="20"/>
      <c r="R190" s="20"/>
      <c r="S190" s="20"/>
      <c r="T190" s="20"/>
      <c r="U190" s="20"/>
      <c r="V190" s="20"/>
      <c r="W190" s="20"/>
      <c r="X190" s="20"/>
      <c r="Y190" s="20"/>
      <c r="Z190" s="20"/>
    </row>
    <row r="191" spans="1:26" ht="17.25" customHeight="1">
      <c r="A191" s="15"/>
      <c r="B191" s="15"/>
      <c r="C191" s="15"/>
      <c r="D191" s="15"/>
      <c r="E191" s="15"/>
      <c r="F191" s="15"/>
      <c r="G191" s="15"/>
      <c r="H191" s="47"/>
      <c r="I191" s="20"/>
      <c r="J191" s="20"/>
      <c r="K191" s="20"/>
      <c r="L191" s="20"/>
      <c r="M191" s="20"/>
      <c r="N191" s="20"/>
      <c r="O191" s="20"/>
      <c r="P191" s="20"/>
      <c r="Q191" s="20"/>
      <c r="R191" s="20"/>
      <c r="S191" s="20"/>
      <c r="T191" s="20"/>
      <c r="U191" s="20"/>
      <c r="V191" s="20"/>
      <c r="W191" s="20"/>
      <c r="X191" s="20"/>
      <c r="Y191" s="20"/>
      <c r="Z191" s="20"/>
    </row>
    <row r="192" spans="1:26" ht="17.25" customHeight="1">
      <c r="A192" s="15"/>
      <c r="B192" s="15"/>
      <c r="C192" s="15"/>
      <c r="D192" s="15"/>
      <c r="E192" s="15"/>
      <c r="F192" s="15"/>
      <c r="G192" s="15"/>
      <c r="H192" s="47"/>
      <c r="I192" s="20"/>
      <c r="J192" s="20"/>
      <c r="K192" s="20"/>
      <c r="L192" s="20"/>
      <c r="M192" s="20"/>
      <c r="N192" s="20"/>
      <c r="O192" s="20"/>
      <c r="P192" s="20"/>
      <c r="Q192" s="20"/>
      <c r="R192" s="20"/>
      <c r="S192" s="20"/>
      <c r="T192" s="20"/>
      <c r="U192" s="20"/>
      <c r="V192" s="20"/>
      <c r="W192" s="20"/>
      <c r="X192" s="20"/>
      <c r="Y192" s="20"/>
      <c r="Z192" s="20"/>
    </row>
    <row r="193" spans="1:26" ht="17.25" customHeight="1">
      <c r="A193" s="15"/>
      <c r="B193" s="15"/>
      <c r="C193" s="15"/>
      <c r="D193" s="15"/>
      <c r="E193" s="15"/>
      <c r="F193" s="15"/>
      <c r="G193" s="15"/>
      <c r="H193" s="47"/>
      <c r="I193" s="20"/>
      <c r="J193" s="20"/>
      <c r="K193" s="20"/>
      <c r="L193" s="20"/>
      <c r="M193" s="20"/>
      <c r="N193" s="20"/>
      <c r="O193" s="20"/>
      <c r="P193" s="20"/>
      <c r="Q193" s="20"/>
      <c r="R193" s="20"/>
      <c r="S193" s="20"/>
      <c r="T193" s="20"/>
      <c r="U193" s="20"/>
      <c r="V193" s="20"/>
      <c r="W193" s="20"/>
      <c r="X193" s="20"/>
      <c r="Y193" s="20"/>
      <c r="Z193" s="20"/>
    </row>
    <row r="194" spans="1:26" ht="17.25" customHeight="1">
      <c r="A194" s="15"/>
      <c r="B194" s="15"/>
      <c r="C194" s="15"/>
      <c r="D194" s="15"/>
      <c r="E194" s="15"/>
      <c r="F194" s="15"/>
      <c r="G194" s="15"/>
      <c r="H194" s="47"/>
      <c r="I194" s="20"/>
      <c r="J194" s="20"/>
      <c r="K194" s="20"/>
      <c r="L194" s="20"/>
      <c r="M194" s="20"/>
      <c r="N194" s="20"/>
      <c r="O194" s="20"/>
      <c r="P194" s="20"/>
      <c r="Q194" s="20"/>
      <c r="R194" s="20"/>
      <c r="S194" s="20"/>
      <c r="T194" s="20"/>
      <c r="U194" s="20"/>
      <c r="V194" s="20"/>
      <c r="W194" s="20"/>
      <c r="X194" s="20"/>
      <c r="Y194" s="20"/>
      <c r="Z194" s="20"/>
    </row>
    <row r="195" spans="1:26" ht="17.25" customHeight="1">
      <c r="A195" s="15"/>
      <c r="B195" s="15"/>
      <c r="C195" s="15"/>
      <c r="D195" s="15"/>
      <c r="E195" s="15"/>
      <c r="F195" s="15"/>
      <c r="G195" s="15"/>
      <c r="H195" s="47"/>
      <c r="I195" s="20"/>
      <c r="J195" s="20"/>
      <c r="K195" s="20"/>
      <c r="L195" s="20"/>
      <c r="M195" s="20"/>
      <c r="N195" s="20"/>
      <c r="O195" s="20"/>
      <c r="P195" s="20"/>
      <c r="Q195" s="20"/>
      <c r="R195" s="20"/>
      <c r="S195" s="20"/>
      <c r="T195" s="20"/>
      <c r="U195" s="20"/>
      <c r="V195" s="20"/>
      <c r="W195" s="20"/>
      <c r="X195" s="20"/>
      <c r="Y195" s="20"/>
      <c r="Z195" s="20"/>
    </row>
    <row r="196" spans="1:26" ht="17.25" customHeight="1">
      <c r="A196" s="15"/>
      <c r="B196" s="15"/>
      <c r="C196" s="15"/>
      <c r="D196" s="15"/>
      <c r="E196" s="15"/>
      <c r="F196" s="15"/>
      <c r="G196" s="15"/>
      <c r="H196" s="47"/>
      <c r="I196" s="20"/>
      <c r="J196" s="20"/>
      <c r="K196" s="20"/>
      <c r="L196" s="20"/>
      <c r="M196" s="20"/>
      <c r="N196" s="20"/>
      <c r="O196" s="20"/>
      <c r="P196" s="20"/>
      <c r="Q196" s="20"/>
      <c r="R196" s="20"/>
      <c r="S196" s="20"/>
      <c r="T196" s="20"/>
      <c r="U196" s="20"/>
      <c r="V196" s="20"/>
      <c r="W196" s="20"/>
      <c r="X196" s="20"/>
      <c r="Y196" s="20"/>
      <c r="Z196" s="20"/>
    </row>
    <row r="197" spans="1:26" ht="17.25" customHeight="1">
      <c r="A197" s="15"/>
      <c r="B197" s="15"/>
      <c r="C197" s="15"/>
      <c r="D197" s="15"/>
      <c r="E197" s="15"/>
      <c r="F197" s="15"/>
      <c r="G197" s="15"/>
      <c r="H197" s="47"/>
      <c r="I197" s="20"/>
      <c r="J197" s="20"/>
      <c r="K197" s="20"/>
      <c r="L197" s="20"/>
      <c r="M197" s="20"/>
      <c r="N197" s="20"/>
      <c r="O197" s="20"/>
      <c r="P197" s="20"/>
      <c r="Q197" s="20"/>
      <c r="R197" s="20"/>
      <c r="S197" s="20"/>
      <c r="T197" s="20"/>
      <c r="U197" s="20"/>
      <c r="V197" s="20"/>
      <c r="W197" s="20"/>
      <c r="X197" s="20"/>
      <c r="Y197" s="20"/>
      <c r="Z197" s="20"/>
    </row>
    <row r="198" spans="1:26" ht="17.25" customHeight="1">
      <c r="A198" s="15"/>
      <c r="B198" s="15"/>
      <c r="C198" s="15"/>
      <c r="D198" s="15"/>
      <c r="E198" s="15"/>
      <c r="F198" s="15"/>
      <c r="G198" s="15"/>
      <c r="H198" s="47"/>
      <c r="I198" s="20"/>
      <c r="J198" s="20"/>
      <c r="K198" s="20"/>
      <c r="L198" s="20"/>
      <c r="M198" s="20"/>
      <c r="N198" s="20"/>
      <c r="O198" s="20"/>
      <c r="P198" s="20"/>
      <c r="Q198" s="20"/>
      <c r="R198" s="20"/>
      <c r="S198" s="20"/>
      <c r="T198" s="20"/>
      <c r="U198" s="20"/>
      <c r="V198" s="20"/>
      <c r="W198" s="20"/>
      <c r="X198" s="20"/>
      <c r="Y198" s="20"/>
      <c r="Z198" s="20"/>
    </row>
    <row r="199" spans="1:26" ht="17.25" customHeight="1">
      <c r="A199" s="15"/>
      <c r="B199" s="15"/>
      <c r="C199" s="15"/>
      <c r="D199" s="15"/>
      <c r="E199" s="15"/>
      <c r="F199" s="15"/>
      <c r="G199" s="15"/>
      <c r="H199" s="47"/>
      <c r="I199" s="20"/>
      <c r="J199" s="20"/>
      <c r="K199" s="20"/>
      <c r="L199" s="20"/>
      <c r="M199" s="20"/>
      <c r="N199" s="20"/>
      <c r="O199" s="20"/>
      <c r="P199" s="20"/>
      <c r="Q199" s="20"/>
      <c r="R199" s="20"/>
      <c r="S199" s="20"/>
      <c r="T199" s="20"/>
      <c r="U199" s="20"/>
      <c r="V199" s="20"/>
      <c r="W199" s="20"/>
      <c r="X199" s="20"/>
      <c r="Y199" s="20"/>
      <c r="Z199" s="20"/>
    </row>
    <row r="200" spans="1:26" ht="17.25" customHeight="1">
      <c r="A200" s="15"/>
      <c r="B200" s="15"/>
      <c r="C200" s="15"/>
      <c r="D200" s="15"/>
      <c r="E200" s="15"/>
      <c r="F200" s="15"/>
      <c r="G200" s="15"/>
      <c r="H200" s="47"/>
      <c r="I200" s="20"/>
      <c r="J200" s="20"/>
      <c r="K200" s="20"/>
      <c r="L200" s="20"/>
      <c r="M200" s="20"/>
      <c r="N200" s="20"/>
      <c r="O200" s="20"/>
      <c r="P200" s="20"/>
      <c r="Q200" s="20"/>
      <c r="R200" s="20"/>
      <c r="S200" s="20"/>
      <c r="T200" s="20"/>
      <c r="U200" s="20"/>
      <c r="V200" s="20"/>
      <c r="W200" s="20"/>
      <c r="X200" s="20"/>
      <c r="Y200" s="20"/>
      <c r="Z200" s="20"/>
    </row>
    <row r="201" spans="1:26" ht="17.25" customHeight="1">
      <c r="A201" s="15"/>
      <c r="B201" s="15"/>
      <c r="C201" s="15"/>
      <c r="D201" s="15"/>
      <c r="E201" s="15"/>
      <c r="F201" s="15"/>
      <c r="G201" s="15"/>
      <c r="H201" s="47"/>
      <c r="I201" s="20"/>
      <c r="J201" s="20"/>
      <c r="K201" s="20"/>
      <c r="L201" s="20"/>
      <c r="M201" s="20"/>
      <c r="N201" s="20"/>
      <c r="O201" s="20"/>
      <c r="P201" s="20"/>
      <c r="Q201" s="20"/>
      <c r="R201" s="20"/>
      <c r="S201" s="20"/>
      <c r="T201" s="20"/>
      <c r="U201" s="20"/>
      <c r="V201" s="20"/>
      <c r="W201" s="20"/>
      <c r="X201" s="20"/>
      <c r="Y201" s="20"/>
      <c r="Z201" s="20"/>
    </row>
    <row r="202" spans="1:26" ht="17.25" customHeight="1">
      <c r="A202" s="15"/>
      <c r="B202" s="15"/>
      <c r="C202" s="15"/>
      <c r="D202" s="15"/>
      <c r="E202" s="15"/>
      <c r="F202" s="15"/>
      <c r="G202" s="15"/>
      <c r="H202" s="47"/>
      <c r="I202" s="20"/>
      <c r="J202" s="20"/>
      <c r="K202" s="20"/>
      <c r="L202" s="20"/>
      <c r="M202" s="20"/>
      <c r="N202" s="20"/>
      <c r="O202" s="20"/>
      <c r="P202" s="20"/>
      <c r="Q202" s="20"/>
      <c r="R202" s="20"/>
      <c r="S202" s="20"/>
      <c r="T202" s="20"/>
      <c r="U202" s="20"/>
      <c r="V202" s="20"/>
      <c r="W202" s="20"/>
      <c r="X202" s="20"/>
      <c r="Y202" s="20"/>
      <c r="Z202" s="20"/>
    </row>
    <row r="203" spans="1:26" ht="17.25" customHeight="1">
      <c r="A203" s="15"/>
      <c r="B203" s="15"/>
      <c r="C203" s="15"/>
      <c r="D203" s="15"/>
      <c r="E203" s="15"/>
      <c r="F203" s="15"/>
      <c r="G203" s="15"/>
      <c r="H203" s="47"/>
      <c r="I203" s="20"/>
      <c r="J203" s="20"/>
      <c r="K203" s="20"/>
      <c r="L203" s="20"/>
      <c r="M203" s="20"/>
      <c r="N203" s="20"/>
      <c r="O203" s="20"/>
      <c r="P203" s="20"/>
      <c r="Q203" s="20"/>
      <c r="R203" s="20"/>
      <c r="S203" s="20"/>
      <c r="T203" s="20"/>
      <c r="U203" s="20"/>
      <c r="V203" s="20"/>
      <c r="W203" s="20"/>
      <c r="X203" s="20"/>
      <c r="Y203" s="20"/>
      <c r="Z203" s="20"/>
    </row>
    <row r="204" spans="1:26" ht="17.25" customHeight="1">
      <c r="A204" s="15"/>
      <c r="B204" s="15"/>
      <c r="C204" s="15"/>
      <c r="D204" s="15"/>
      <c r="E204" s="15"/>
      <c r="F204" s="15"/>
      <c r="G204" s="15"/>
      <c r="H204" s="47"/>
      <c r="I204" s="20"/>
      <c r="J204" s="20"/>
      <c r="K204" s="20"/>
      <c r="L204" s="20"/>
      <c r="M204" s="20"/>
      <c r="N204" s="20"/>
      <c r="O204" s="20"/>
      <c r="P204" s="20"/>
      <c r="Q204" s="20"/>
      <c r="R204" s="20"/>
      <c r="S204" s="20"/>
      <c r="T204" s="20"/>
      <c r="U204" s="20"/>
      <c r="V204" s="20"/>
      <c r="W204" s="20"/>
      <c r="X204" s="20"/>
      <c r="Y204" s="20"/>
      <c r="Z204" s="20"/>
    </row>
    <row r="205" spans="1:26" ht="17.25" customHeight="1">
      <c r="A205" s="15"/>
      <c r="B205" s="15"/>
      <c r="C205" s="15"/>
      <c r="D205" s="15"/>
      <c r="E205" s="15"/>
      <c r="F205" s="15"/>
      <c r="G205" s="15"/>
      <c r="H205" s="47"/>
      <c r="I205" s="20"/>
      <c r="J205" s="20"/>
      <c r="K205" s="20"/>
      <c r="L205" s="20"/>
      <c r="M205" s="20"/>
      <c r="N205" s="20"/>
      <c r="O205" s="20"/>
      <c r="P205" s="20"/>
      <c r="Q205" s="20"/>
      <c r="R205" s="20"/>
      <c r="S205" s="20"/>
      <c r="T205" s="20"/>
      <c r="U205" s="20"/>
      <c r="V205" s="20"/>
      <c r="W205" s="20"/>
      <c r="X205" s="20"/>
      <c r="Y205" s="20"/>
      <c r="Z205" s="20"/>
    </row>
    <row r="206" spans="1:26" ht="17.25" customHeight="1">
      <c r="A206" s="15"/>
      <c r="B206" s="15"/>
      <c r="C206" s="15"/>
      <c r="D206" s="15"/>
      <c r="E206" s="15"/>
      <c r="F206" s="15"/>
      <c r="G206" s="15"/>
      <c r="H206" s="47"/>
      <c r="I206" s="20"/>
      <c r="J206" s="20"/>
      <c r="K206" s="20"/>
      <c r="L206" s="20"/>
      <c r="M206" s="20"/>
      <c r="N206" s="20"/>
      <c r="O206" s="20"/>
      <c r="P206" s="20"/>
      <c r="Q206" s="20"/>
      <c r="R206" s="20"/>
      <c r="S206" s="20"/>
      <c r="T206" s="20"/>
      <c r="U206" s="20"/>
      <c r="V206" s="20"/>
      <c r="W206" s="20"/>
      <c r="X206" s="20"/>
      <c r="Y206" s="20"/>
      <c r="Z206" s="20"/>
    </row>
    <row r="207" spans="1:26" ht="17.25" customHeight="1">
      <c r="A207" s="15"/>
      <c r="B207" s="15"/>
      <c r="C207" s="15"/>
      <c r="D207" s="15"/>
      <c r="E207" s="15"/>
      <c r="F207" s="15"/>
      <c r="G207" s="15"/>
      <c r="H207" s="47"/>
      <c r="I207" s="20"/>
      <c r="J207" s="20"/>
      <c r="K207" s="20"/>
      <c r="L207" s="20"/>
      <c r="M207" s="20"/>
      <c r="N207" s="20"/>
      <c r="O207" s="20"/>
      <c r="P207" s="20"/>
      <c r="Q207" s="20"/>
      <c r="R207" s="20"/>
      <c r="S207" s="20"/>
      <c r="T207" s="20"/>
      <c r="U207" s="20"/>
      <c r="V207" s="20"/>
      <c r="W207" s="20"/>
      <c r="X207" s="20"/>
      <c r="Y207" s="20"/>
      <c r="Z207" s="20"/>
    </row>
    <row r="208" spans="1:26" ht="17.25" customHeight="1">
      <c r="A208" s="15"/>
      <c r="B208" s="15"/>
      <c r="C208" s="15"/>
      <c r="D208" s="15"/>
      <c r="E208" s="15"/>
      <c r="F208" s="15"/>
      <c r="G208" s="15"/>
      <c r="H208" s="47"/>
      <c r="I208" s="20"/>
      <c r="J208" s="20"/>
      <c r="K208" s="20"/>
      <c r="L208" s="20"/>
      <c r="M208" s="20"/>
      <c r="N208" s="20"/>
      <c r="O208" s="20"/>
      <c r="P208" s="20"/>
      <c r="Q208" s="20"/>
      <c r="R208" s="20"/>
      <c r="S208" s="20"/>
      <c r="T208" s="20"/>
      <c r="U208" s="20"/>
      <c r="V208" s="20"/>
      <c r="W208" s="20"/>
      <c r="X208" s="20"/>
      <c r="Y208" s="20"/>
      <c r="Z208" s="20"/>
    </row>
    <row r="209" spans="1:26" ht="17.25" customHeight="1">
      <c r="A209" s="15"/>
      <c r="B209" s="15"/>
      <c r="C209" s="15"/>
      <c r="D209" s="15"/>
      <c r="E209" s="15"/>
      <c r="F209" s="15"/>
      <c r="G209" s="15"/>
      <c r="H209" s="47"/>
      <c r="I209" s="20"/>
      <c r="J209" s="20"/>
      <c r="K209" s="20"/>
      <c r="L209" s="20"/>
      <c r="M209" s="20"/>
      <c r="N209" s="20"/>
      <c r="O209" s="20"/>
      <c r="P209" s="20"/>
      <c r="Q209" s="20"/>
      <c r="R209" s="20"/>
      <c r="S209" s="20"/>
      <c r="T209" s="20"/>
      <c r="U209" s="20"/>
      <c r="V209" s="20"/>
      <c r="W209" s="20"/>
      <c r="X209" s="20"/>
      <c r="Y209" s="20"/>
      <c r="Z209" s="20"/>
    </row>
    <row r="210" spans="1:26" ht="17.25" customHeight="1">
      <c r="A210" s="15"/>
      <c r="B210" s="15"/>
      <c r="C210" s="15"/>
      <c r="D210" s="15"/>
      <c r="E210" s="15"/>
      <c r="F210" s="15"/>
      <c r="G210" s="15"/>
      <c r="H210" s="47"/>
      <c r="I210" s="20"/>
      <c r="J210" s="20"/>
      <c r="K210" s="20"/>
      <c r="L210" s="20"/>
      <c r="M210" s="20"/>
      <c r="N210" s="20"/>
      <c r="O210" s="20"/>
      <c r="P210" s="20"/>
      <c r="Q210" s="20"/>
      <c r="R210" s="20"/>
      <c r="S210" s="20"/>
      <c r="T210" s="20"/>
      <c r="U210" s="20"/>
      <c r="V210" s="20"/>
      <c r="W210" s="20"/>
      <c r="X210" s="20"/>
      <c r="Y210" s="20"/>
      <c r="Z210" s="20"/>
    </row>
    <row r="211" spans="1:26" ht="17.25" customHeight="1">
      <c r="A211" s="15"/>
      <c r="B211" s="15"/>
      <c r="C211" s="15"/>
      <c r="D211" s="15"/>
      <c r="E211" s="15"/>
      <c r="F211" s="15"/>
      <c r="G211" s="15"/>
      <c r="H211" s="47"/>
      <c r="I211" s="20"/>
      <c r="J211" s="20"/>
      <c r="K211" s="20"/>
      <c r="L211" s="20"/>
      <c r="M211" s="20"/>
      <c r="N211" s="20"/>
      <c r="O211" s="20"/>
      <c r="P211" s="20"/>
      <c r="Q211" s="20"/>
      <c r="R211" s="20"/>
      <c r="S211" s="20"/>
      <c r="T211" s="20"/>
      <c r="U211" s="20"/>
      <c r="V211" s="20"/>
      <c r="W211" s="20"/>
      <c r="X211" s="20"/>
      <c r="Y211" s="20"/>
      <c r="Z211" s="20"/>
    </row>
    <row r="212" spans="1:26" ht="17.25" customHeight="1">
      <c r="A212" s="15"/>
      <c r="B212" s="15"/>
      <c r="C212" s="15"/>
      <c r="D212" s="15"/>
      <c r="E212" s="15"/>
      <c r="F212" s="15"/>
      <c r="G212" s="15"/>
      <c r="H212" s="47"/>
      <c r="I212" s="20"/>
      <c r="J212" s="20"/>
      <c r="K212" s="20"/>
      <c r="L212" s="20"/>
      <c r="M212" s="20"/>
      <c r="N212" s="20"/>
      <c r="O212" s="20"/>
      <c r="P212" s="20"/>
      <c r="Q212" s="20"/>
      <c r="R212" s="20"/>
      <c r="S212" s="20"/>
      <c r="T212" s="20"/>
      <c r="U212" s="20"/>
      <c r="V212" s="20"/>
      <c r="W212" s="20"/>
      <c r="X212" s="20"/>
      <c r="Y212" s="20"/>
      <c r="Z212" s="20"/>
    </row>
    <row r="213" spans="1:26" ht="17.25" customHeight="1">
      <c r="A213" s="15"/>
      <c r="B213" s="15"/>
      <c r="C213" s="15"/>
      <c r="D213" s="15"/>
      <c r="E213" s="15"/>
      <c r="F213" s="15"/>
      <c r="G213" s="15"/>
      <c r="H213" s="47"/>
      <c r="I213" s="20"/>
      <c r="J213" s="20"/>
      <c r="K213" s="20"/>
      <c r="L213" s="20"/>
      <c r="M213" s="20"/>
      <c r="N213" s="20"/>
      <c r="O213" s="20"/>
      <c r="P213" s="20"/>
      <c r="Q213" s="20"/>
      <c r="R213" s="20"/>
      <c r="S213" s="20"/>
      <c r="T213" s="20"/>
      <c r="U213" s="20"/>
      <c r="V213" s="20"/>
      <c r="W213" s="20"/>
      <c r="X213" s="20"/>
      <c r="Y213" s="20"/>
      <c r="Z213" s="20"/>
    </row>
    <row r="214" spans="1:26" ht="17.25" customHeight="1">
      <c r="A214" s="15"/>
      <c r="B214" s="15"/>
      <c r="C214" s="15"/>
      <c r="D214" s="15"/>
      <c r="E214" s="15"/>
      <c r="F214" s="15"/>
      <c r="G214" s="15"/>
      <c r="H214" s="47"/>
      <c r="I214" s="20"/>
      <c r="J214" s="20"/>
      <c r="K214" s="20"/>
      <c r="L214" s="20"/>
      <c r="M214" s="20"/>
      <c r="N214" s="20"/>
      <c r="O214" s="20"/>
      <c r="P214" s="20"/>
      <c r="Q214" s="20"/>
      <c r="R214" s="20"/>
      <c r="S214" s="20"/>
      <c r="T214" s="20"/>
      <c r="U214" s="20"/>
      <c r="V214" s="20"/>
      <c r="W214" s="20"/>
      <c r="X214" s="20"/>
      <c r="Y214" s="20"/>
      <c r="Z214" s="20"/>
    </row>
    <row r="215" spans="1:26" ht="17.25" customHeight="1">
      <c r="A215" s="15"/>
      <c r="B215" s="15"/>
      <c r="C215" s="15"/>
      <c r="D215" s="15"/>
      <c r="E215" s="15"/>
      <c r="F215" s="15"/>
      <c r="G215" s="15"/>
      <c r="H215" s="47"/>
      <c r="I215" s="20"/>
      <c r="J215" s="20"/>
      <c r="K215" s="20"/>
      <c r="L215" s="20"/>
      <c r="M215" s="20"/>
      <c r="N215" s="20"/>
      <c r="O215" s="20"/>
      <c r="P215" s="20"/>
      <c r="Q215" s="20"/>
      <c r="R215" s="20"/>
      <c r="S215" s="20"/>
      <c r="T215" s="20"/>
      <c r="U215" s="20"/>
      <c r="V215" s="20"/>
      <c r="W215" s="20"/>
      <c r="X215" s="20"/>
      <c r="Y215" s="20"/>
      <c r="Z215" s="20"/>
    </row>
    <row r="216" spans="1:26" ht="17.25" customHeight="1">
      <c r="A216" s="15"/>
      <c r="B216" s="15"/>
      <c r="C216" s="15"/>
      <c r="D216" s="15"/>
      <c r="E216" s="15"/>
      <c r="F216" s="15"/>
      <c r="G216" s="15"/>
      <c r="H216" s="47"/>
      <c r="I216" s="20"/>
      <c r="J216" s="20"/>
      <c r="K216" s="20"/>
      <c r="L216" s="20"/>
      <c r="M216" s="20"/>
      <c r="N216" s="20"/>
      <c r="O216" s="20"/>
      <c r="P216" s="20"/>
      <c r="Q216" s="20"/>
      <c r="R216" s="20"/>
      <c r="S216" s="20"/>
      <c r="T216" s="20"/>
      <c r="U216" s="20"/>
      <c r="V216" s="20"/>
      <c r="W216" s="20"/>
      <c r="X216" s="20"/>
      <c r="Y216" s="20"/>
      <c r="Z216" s="20"/>
    </row>
    <row r="217" spans="1:26" ht="17.25" customHeight="1">
      <c r="A217" s="15"/>
      <c r="B217" s="15"/>
      <c r="C217" s="15"/>
      <c r="D217" s="15"/>
      <c r="E217" s="15"/>
      <c r="F217" s="15"/>
      <c r="G217" s="15"/>
      <c r="H217" s="47"/>
      <c r="I217" s="20"/>
      <c r="J217" s="20"/>
      <c r="K217" s="20"/>
      <c r="L217" s="20"/>
      <c r="M217" s="20"/>
      <c r="N217" s="20"/>
      <c r="O217" s="20"/>
      <c r="P217" s="20"/>
      <c r="Q217" s="20"/>
      <c r="R217" s="20"/>
      <c r="S217" s="20"/>
      <c r="T217" s="20"/>
      <c r="U217" s="20"/>
      <c r="V217" s="20"/>
      <c r="W217" s="20"/>
      <c r="X217" s="20"/>
      <c r="Y217" s="20"/>
      <c r="Z217" s="20"/>
    </row>
    <row r="218" spans="1:26" ht="17.25" customHeight="1">
      <c r="A218" s="15"/>
      <c r="B218" s="15"/>
      <c r="C218" s="15"/>
      <c r="D218" s="15"/>
      <c r="E218" s="15"/>
      <c r="F218" s="15"/>
      <c r="G218" s="15"/>
      <c r="H218" s="47"/>
      <c r="I218" s="20"/>
      <c r="J218" s="20"/>
      <c r="K218" s="20"/>
      <c r="L218" s="20"/>
      <c r="M218" s="20"/>
      <c r="N218" s="20"/>
      <c r="O218" s="20"/>
      <c r="P218" s="20"/>
      <c r="Q218" s="20"/>
      <c r="R218" s="20"/>
      <c r="S218" s="20"/>
      <c r="T218" s="20"/>
      <c r="U218" s="20"/>
      <c r="V218" s="20"/>
      <c r="W218" s="20"/>
      <c r="X218" s="20"/>
      <c r="Y218" s="20"/>
      <c r="Z218" s="20"/>
    </row>
    <row r="219" spans="1:26" ht="17.25" customHeight="1">
      <c r="A219" s="15"/>
      <c r="B219" s="15"/>
      <c r="C219" s="15"/>
      <c r="D219" s="15"/>
      <c r="E219" s="15"/>
      <c r="F219" s="15"/>
      <c r="G219" s="15"/>
      <c r="H219" s="47"/>
      <c r="I219" s="20"/>
      <c r="J219" s="20"/>
      <c r="K219" s="20"/>
      <c r="L219" s="20"/>
      <c r="M219" s="20"/>
      <c r="N219" s="20"/>
      <c r="O219" s="20"/>
      <c r="P219" s="20"/>
      <c r="Q219" s="20"/>
      <c r="R219" s="20"/>
      <c r="S219" s="20"/>
      <c r="T219" s="20"/>
      <c r="U219" s="20"/>
      <c r="V219" s="20"/>
      <c r="W219" s="20"/>
      <c r="X219" s="20"/>
      <c r="Y219" s="20"/>
      <c r="Z219" s="20"/>
    </row>
    <row r="220" spans="1:26" ht="17.25" customHeight="1">
      <c r="A220" s="15"/>
      <c r="B220" s="15"/>
      <c r="C220" s="15"/>
      <c r="D220" s="15"/>
      <c r="E220" s="15"/>
      <c r="F220" s="15"/>
      <c r="G220" s="15"/>
      <c r="H220" s="47"/>
      <c r="I220" s="20"/>
      <c r="J220" s="20"/>
      <c r="K220" s="20"/>
      <c r="L220" s="20"/>
      <c r="M220" s="20"/>
      <c r="N220" s="20"/>
      <c r="O220" s="20"/>
      <c r="P220" s="20"/>
      <c r="Q220" s="20"/>
      <c r="R220" s="20"/>
      <c r="S220" s="20"/>
      <c r="T220" s="20"/>
      <c r="U220" s="20"/>
      <c r="V220" s="20"/>
      <c r="W220" s="20"/>
      <c r="X220" s="20"/>
      <c r="Y220" s="20"/>
      <c r="Z220" s="20"/>
    </row>
    <row r="221" spans="1:26" ht="17.25" customHeight="1">
      <c r="A221" s="15"/>
      <c r="B221" s="15"/>
      <c r="C221" s="15"/>
      <c r="D221" s="15"/>
      <c r="E221" s="15"/>
      <c r="F221" s="15"/>
      <c r="G221" s="15"/>
      <c r="H221" s="47"/>
      <c r="I221" s="20"/>
      <c r="J221" s="20"/>
      <c r="K221" s="20"/>
      <c r="L221" s="20"/>
      <c r="M221" s="20"/>
      <c r="N221" s="20"/>
      <c r="O221" s="20"/>
      <c r="P221" s="20"/>
      <c r="Q221" s="20"/>
      <c r="R221" s="20"/>
      <c r="S221" s="20"/>
      <c r="T221" s="20"/>
      <c r="U221" s="20"/>
      <c r="V221" s="20"/>
      <c r="W221" s="20"/>
      <c r="X221" s="20"/>
      <c r="Y221" s="20"/>
      <c r="Z221" s="20"/>
    </row>
    <row r="222" spans="1:26" ht="17.25" customHeight="1">
      <c r="A222" s="15"/>
      <c r="B222" s="15"/>
      <c r="C222" s="15"/>
      <c r="D222" s="15"/>
      <c r="E222" s="15"/>
      <c r="F222" s="15"/>
      <c r="G222" s="15"/>
      <c r="H222" s="47"/>
      <c r="I222" s="20"/>
      <c r="J222" s="20"/>
      <c r="K222" s="20"/>
      <c r="L222" s="20"/>
      <c r="M222" s="20"/>
      <c r="N222" s="20"/>
      <c r="O222" s="20"/>
      <c r="P222" s="20"/>
      <c r="Q222" s="20"/>
      <c r="R222" s="20"/>
      <c r="S222" s="20"/>
      <c r="T222" s="20"/>
      <c r="U222" s="20"/>
      <c r="V222" s="20"/>
      <c r="W222" s="20"/>
      <c r="X222" s="20"/>
      <c r="Y222" s="20"/>
      <c r="Z222" s="20"/>
    </row>
    <row r="223" spans="1:26" ht="17.25" customHeight="1">
      <c r="A223" s="15"/>
      <c r="B223" s="15"/>
      <c r="C223" s="15"/>
      <c r="D223" s="15"/>
      <c r="E223" s="15"/>
      <c r="F223" s="15"/>
      <c r="G223" s="15"/>
      <c r="H223" s="47"/>
      <c r="I223" s="20"/>
      <c r="J223" s="20"/>
      <c r="K223" s="20"/>
      <c r="L223" s="20"/>
      <c r="M223" s="20"/>
      <c r="N223" s="20"/>
      <c r="O223" s="20"/>
      <c r="P223" s="20"/>
      <c r="Q223" s="20"/>
      <c r="R223" s="20"/>
      <c r="S223" s="20"/>
      <c r="T223" s="20"/>
      <c r="U223" s="20"/>
      <c r="V223" s="20"/>
      <c r="W223" s="20"/>
      <c r="X223" s="20"/>
      <c r="Y223" s="20"/>
      <c r="Z223" s="20"/>
    </row>
    <row r="224" spans="1:26" ht="17.25" customHeight="1">
      <c r="A224" s="15"/>
      <c r="B224" s="15"/>
      <c r="C224" s="15"/>
      <c r="D224" s="15"/>
      <c r="E224" s="15"/>
      <c r="F224" s="15"/>
      <c r="G224" s="15"/>
      <c r="H224" s="47"/>
      <c r="I224" s="20"/>
      <c r="J224" s="20"/>
      <c r="K224" s="20"/>
      <c r="L224" s="20"/>
      <c r="M224" s="20"/>
      <c r="N224" s="20"/>
      <c r="O224" s="20"/>
      <c r="P224" s="20"/>
      <c r="Q224" s="20"/>
      <c r="R224" s="20"/>
      <c r="S224" s="20"/>
      <c r="T224" s="20"/>
      <c r="U224" s="20"/>
      <c r="V224" s="20"/>
      <c r="W224" s="20"/>
      <c r="X224" s="20"/>
      <c r="Y224" s="20"/>
      <c r="Z224" s="20"/>
    </row>
    <row r="225" spans="1:26" ht="17.25" customHeight="1">
      <c r="A225" s="15"/>
      <c r="B225" s="15"/>
      <c r="C225" s="15"/>
      <c r="D225" s="15"/>
      <c r="E225" s="15"/>
      <c r="F225" s="15"/>
      <c r="G225" s="15"/>
      <c r="H225" s="47"/>
      <c r="I225" s="20"/>
      <c r="J225" s="20"/>
      <c r="K225" s="20"/>
      <c r="L225" s="20"/>
      <c r="M225" s="20"/>
      <c r="N225" s="20"/>
      <c r="O225" s="20"/>
      <c r="P225" s="20"/>
      <c r="Q225" s="20"/>
      <c r="R225" s="20"/>
      <c r="S225" s="20"/>
      <c r="T225" s="20"/>
      <c r="U225" s="20"/>
      <c r="V225" s="20"/>
      <c r="W225" s="20"/>
      <c r="X225" s="20"/>
      <c r="Y225" s="20"/>
      <c r="Z225" s="20"/>
    </row>
    <row r="226" spans="1:26" ht="17.25" customHeight="1">
      <c r="A226" s="15"/>
      <c r="B226" s="15"/>
      <c r="C226" s="15"/>
      <c r="D226" s="15"/>
      <c r="E226" s="15"/>
      <c r="F226" s="15"/>
      <c r="G226" s="15"/>
      <c r="H226" s="47"/>
      <c r="I226" s="20"/>
      <c r="J226" s="20"/>
      <c r="K226" s="20"/>
      <c r="L226" s="20"/>
      <c r="M226" s="20"/>
      <c r="N226" s="20"/>
      <c r="O226" s="20"/>
      <c r="P226" s="20"/>
      <c r="Q226" s="20"/>
      <c r="R226" s="20"/>
      <c r="S226" s="20"/>
      <c r="T226" s="20"/>
      <c r="U226" s="20"/>
      <c r="V226" s="20"/>
      <c r="W226" s="20"/>
      <c r="X226" s="20"/>
      <c r="Y226" s="20"/>
      <c r="Z226" s="20"/>
    </row>
    <row r="227" spans="1:26" ht="17.25" customHeight="1">
      <c r="A227" s="15"/>
      <c r="B227" s="15"/>
      <c r="C227" s="15"/>
      <c r="D227" s="15"/>
      <c r="E227" s="15"/>
      <c r="F227" s="15"/>
      <c r="G227" s="15"/>
      <c r="H227" s="47"/>
      <c r="I227" s="20"/>
      <c r="J227" s="20"/>
      <c r="K227" s="20"/>
      <c r="L227" s="20"/>
      <c r="M227" s="20"/>
      <c r="N227" s="20"/>
      <c r="O227" s="20"/>
      <c r="P227" s="20"/>
      <c r="Q227" s="20"/>
      <c r="R227" s="20"/>
      <c r="S227" s="20"/>
      <c r="T227" s="20"/>
      <c r="U227" s="20"/>
      <c r="V227" s="20"/>
      <c r="W227" s="20"/>
      <c r="X227" s="20"/>
      <c r="Y227" s="20"/>
      <c r="Z227" s="20"/>
    </row>
    <row r="228" spans="1:26" ht="17.25" customHeight="1">
      <c r="A228" s="15"/>
      <c r="B228" s="15"/>
      <c r="C228" s="15"/>
      <c r="D228" s="15"/>
      <c r="E228" s="15"/>
      <c r="F228" s="15"/>
      <c r="G228" s="15"/>
      <c r="H228" s="47"/>
      <c r="I228" s="20"/>
      <c r="J228" s="20"/>
      <c r="K228" s="20"/>
      <c r="L228" s="20"/>
      <c r="M228" s="20"/>
      <c r="N228" s="20"/>
      <c r="O228" s="20"/>
      <c r="P228" s="20"/>
      <c r="Q228" s="20"/>
      <c r="R228" s="20"/>
      <c r="S228" s="20"/>
      <c r="T228" s="20"/>
      <c r="U228" s="20"/>
      <c r="V228" s="20"/>
      <c r="W228" s="20"/>
      <c r="X228" s="20"/>
      <c r="Y228" s="20"/>
      <c r="Z228" s="20"/>
    </row>
    <row r="229" spans="1:26" ht="17.25" customHeight="1">
      <c r="A229" s="15"/>
      <c r="B229" s="15"/>
      <c r="C229" s="15"/>
      <c r="D229" s="15"/>
      <c r="E229" s="15"/>
      <c r="F229" s="15"/>
      <c r="G229" s="15"/>
      <c r="H229" s="47"/>
      <c r="I229" s="20"/>
      <c r="J229" s="20"/>
      <c r="K229" s="20"/>
      <c r="L229" s="20"/>
      <c r="M229" s="20"/>
      <c r="N229" s="20"/>
      <c r="O229" s="20"/>
      <c r="P229" s="20"/>
      <c r="Q229" s="20"/>
      <c r="R229" s="20"/>
      <c r="S229" s="20"/>
      <c r="T229" s="20"/>
      <c r="U229" s="20"/>
      <c r="V229" s="20"/>
      <c r="W229" s="20"/>
      <c r="X229" s="20"/>
      <c r="Y229" s="20"/>
      <c r="Z229" s="20"/>
    </row>
    <row r="230" spans="1:26" ht="17.25" customHeight="1">
      <c r="A230" s="15"/>
      <c r="B230" s="15"/>
      <c r="C230" s="15"/>
      <c r="D230" s="15"/>
      <c r="E230" s="15"/>
      <c r="F230" s="15"/>
      <c r="G230" s="15"/>
      <c r="H230" s="47"/>
      <c r="I230" s="20"/>
      <c r="J230" s="20"/>
      <c r="K230" s="20"/>
      <c r="L230" s="20"/>
      <c r="M230" s="20"/>
      <c r="N230" s="20"/>
      <c r="O230" s="20"/>
      <c r="P230" s="20"/>
      <c r="Q230" s="20"/>
      <c r="R230" s="20"/>
      <c r="S230" s="20"/>
      <c r="T230" s="20"/>
      <c r="U230" s="20"/>
      <c r="V230" s="20"/>
      <c r="W230" s="20"/>
      <c r="X230" s="20"/>
      <c r="Y230" s="20"/>
      <c r="Z230" s="20"/>
    </row>
    <row r="231" spans="1:26" ht="17.25" customHeight="1">
      <c r="A231" s="15"/>
      <c r="B231" s="15"/>
      <c r="C231" s="15"/>
      <c r="D231" s="15"/>
      <c r="E231" s="15"/>
      <c r="F231" s="15"/>
      <c r="G231" s="15"/>
      <c r="H231" s="47"/>
      <c r="I231" s="20"/>
      <c r="J231" s="20"/>
      <c r="K231" s="20"/>
      <c r="L231" s="20"/>
      <c r="M231" s="20"/>
      <c r="N231" s="20"/>
      <c r="O231" s="20"/>
      <c r="P231" s="20"/>
      <c r="Q231" s="20"/>
      <c r="R231" s="20"/>
      <c r="S231" s="20"/>
      <c r="T231" s="20"/>
      <c r="U231" s="20"/>
      <c r="V231" s="20"/>
      <c r="W231" s="20"/>
      <c r="X231" s="20"/>
      <c r="Y231" s="20"/>
      <c r="Z231" s="20"/>
    </row>
    <row r="232" spans="1:26" ht="17.25" customHeight="1">
      <c r="A232" s="15"/>
      <c r="B232" s="15"/>
      <c r="C232" s="15"/>
      <c r="D232" s="15"/>
      <c r="E232" s="15"/>
      <c r="F232" s="15"/>
      <c r="G232" s="15"/>
      <c r="H232" s="47"/>
      <c r="I232" s="20"/>
      <c r="J232" s="20"/>
      <c r="K232" s="20"/>
      <c r="L232" s="20"/>
      <c r="M232" s="20"/>
      <c r="N232" s="20"/>
      <c r="O232" s="20"/>
      <c r="P232" s="20"/>
      <c r="Q232" s="20"/>
      <c r="R232" s="20"/>
      <c r="S232" s="20"/>
      <c r="T232" s="20"/>
      <c r="U232" s="20"/>
      <c r="V232" s="20"/>
      <c r="W232" s="20"/>
      <c r="X232" s="20"/>
      <c r="Y232" s="20"/>
      <c r="Z232" s="20"/>
    </row>
    <row r="233" spans="1:26" ht="17.25" customHeight="1">
      <c r="A233" s="15"/>
      <c r="B233" s="15"/>
      <c r="C233" s="15"/>
      <c r="D233" s="15"/>
      <c r="E233" s="15"/>
      <c r="F233" s="15"/>
      <c r="G233" s="15"/>
      <c r="H233" s="47"/>
      <c r="I233" s="20"/>
      <c r="J233" s="20"/>
      <c r="K233" s="20"/>
      <c r="L233" s="20"/>
      <c r="M233" s="20"/>
      <c r="N233" s="20"/>
      <c r="O233" s="20"/>
      <c r="P233" s="20"/>
      <c r="Q233" s="20"/>
      <c r="R233" s="20"/>
      <c r="S233" s="20"/>
      <c r="T233" s="20"/>
      <c r="U233" s="20"/>
      <c r="V233" s="20"/>
      <c r="W233" s="20"/>
      <c r="X233" s="20"/>
      <c r="Y233" s="20"/>
      <c r="Z233" s="20"/>
    </row>
    <row r="234" spans="1:26" ht="17.25" customHeight="1">
      <c r="A234" s="15"/>
      <c r="B234" s="15"/>
      <c r="C234" s="15"/>
      <c r="D234" s="15"/>
      <c r="E234" s="15"/>
      <c r="F234" s="15"/>
      <c r="G234" s="15"/>
      <c r="H234" s="47"/>
      <c r="I234" s="20"/>
      <c r="J234" s="20"/>
      <c r="K234" s="20"/>
      <c r="L234" s="20"/>
      <c r="M234" s="20"/>
      <c r="N234" s="20"/>
      <c r="O234" s="20"/>
      <c r="P234" s="20"/>
      <c r="Q234" s="20"/>
      <c r="R234" s="20"/>
      <c r="S234" s="20"/>
      <c r="T234" s="20"/>
      <c r="U234" s="20"/>
      <c r="V234" s="20"/>
      <c r="W234" s="20"/>
      <c r="X234" s="20"/>
      <c r="Y234" s="20"/>
      <c r="Z234" s="20"/>
    </row>
    <row r="235" spans="1:26" ht="17.25" customHeight="1">
      <c r="A235" s="15"/>
      <c r="B235" s="15"/>
      <c r="C235" s="15"/>
      <c r="D235" s="15"/>
      <c r="E235" s="15"/>
      <c r="F235" s="15"/>
      <c r="G235" s="15"/>
      <c r="H235" s="47"/>
      <c r="I235" s="20"/>
      <c r="J235" s="20"/>
      <c r="K235" s="20"/>
      <c r="L235" s="20"/>
      <c r="M235" s="20"/>
      <c r="N235" s="20"/>
      <c r="O235" s="20"/>
      <c r="P235" s="20"/>
      <c r="Q235" s="20"/>
      <c r="R235" s="20"/>
      <c r="S235" s="20"/>
      <c r="T235" s="20"/>
      <c r="U235" s="20"/>
      <c r="V235" s="20"/>
      <c r="W235" s="20"/>
      <c r="X235" s="20"/>
      <c r="Y235" s="20"/>
      <c r="Z235" s="20"/>
    </row>
    <row r="236" spans="1:26" ht="17.25" customHeight="1">
      <c r="A236" s="15"/>
      <c r="B236" s="15"/>
      <c r="C236" s="15"/>
      <c r="D236" s="15"/>
      <c r="E236" s="15"/>
      <c r="F236" s="15"/>
      <c r="G236" s="15"/>
      <c r="H236" s="47"/>
      <c r="I236" s="20"/>
      <c r="J236" s="20"/>
      <c r="K236" s="20"/>
      <c r="L236" s="20"/>
      <c r="M236" s="20"/>
      <c r="N236" s="20"/>
      <c r="O236" s="20"/>
      <c r="P236" s="20"/>
      <c r="Q236" s="20"/>
      <c r="R236" s="20"/>
      <c r="S236" s="20"/>
      <c r="T236" s="20"/>
      <c r="U236" s="20"/>
      <c r="V236" s="20"/>
      <c r="W236" s="20"/>
      <c r="X236" s="20"/>
      <c r="Y236" s="20"/>
      <c r="Z236" s="20"/>
    </row>
    <row r="237" spans="1:26" ht="17.25" customHeight="1">
      <c r="A237" s="15"/>
      <c r="B237" s="15"/>
      <c r="C237" s="15"/>
      <c r="D237" s="15"/>
      <c r="E237" s="15"/>
      <c r="F237" s="15"/>
      <c r="G237" s="15"/>
      <c r="H237" s="47"/>
      <c r="I237" s="20"/>
      <c r="J237" s="20"/>
      <c r="K237" s="20"/>
      <c r="L237" s="20"/>
      <c r="M237" s="20"/>
      <c r="N237" s="20"/>
      <c r="O237" s="20"/>
      <c r="P237" s="20"/>
      <c r="Q237" s="20"/>
      <c r="R237" s="20"/>
      <c r="S237" s="20"/>
      <c r="T237" s="20"/>
      <c r="U237" s="20"/>
      <c r="V237" s="20"/>
      <c r="W237" s="20"/>
      <c r="X237" s="20"/>
      <c r="Y237" s="20"/>
      <c r="Z237" s="20"/>
    </row>
    <row r="238" spans="1:26" ht="17.25" customHeight="1">
      <c r="A238" s="15"/>
      <c r="B238" s="15"/>
      <c r="C238" s="15"/>
      <c r="D238" s="15"/>
      <c r="E238" s="15"/>
      <c r="F238" s="15"/>
      <c r="G238" s="15"/>
      <c r="H238" s="47"/>
      <c r="I238" s="20"/>
      <c r="J238" s="20"/>
      <c r="K238" s="20"/>
      <c r="L238" s="20"/>
      <c r="M238" s="20"/>
      <c r="N238" s="20"/>
      <c r="O238" s="20"/>
      <c r="P238" s="20"/>
      <c r="Q238" s="20"/>
      <c r="R238" s="20"/>
      <c r="S238" s="20"/>
      <c r="T238" s="20"/>
      <c r="U238" s="20"/>
      <c r="V238" s="20"/>
      <c r="W238" s="20"/>
      <c r="X238" s="20"/>
      <c r="Y238" s="20"/>
      <c r="Z238" s="20"/>
    </row>
    <row r="239" spans="1:26" ht="17.25" customHeight="1">
      <c r="A239" s="15"/>
      <c r="B239" s="15"/>
      <c r="C239" s="15"/>
      <c r="D239" s="15"/>
      <c r="E239" s="15"/>
      <c r="F239" s="15"/>
      <c r="G239" s="15"/>
      <c r="H239" s="47"/>
      <c r="I239" s="20"/>
      <c r="J239" s="20"/>
      <c r="K239" s="20"/>
      <c r="L239" s="20"/>
      <c r="M239" s="20"/>
      <c r="N239" s="20"/>
      <c r="O239" s="20"/>
      <c r="P239" s="20"/>
      <c r="Q239" s="20"/>
      <c r="R239" s="20"/>
      <c r="S239" s="20"/>
      <c r="T239" s="20"/>
      <c r="U239" s="20"/>
      <c r="V239" s="20"/>
      <c r="W239" s="20"/>
      <c r="X239" s="20"/>
      <c r="Y239" s="20"/>
      <c r="Z239" s="20"/>
    </row>
    <row r="240" spans="1:26" ht="17.25" customHeight="1">
      <c r="A240" s="15"/>
      <c r="B240" s="15"/>
      <c r="C240" s="15"/>
      <c r="D240" s="15"/>
      <c r="E240" s="15"/>
      <c r="F240" s="15"/>
      <c r="G240" s="15"/>
      <c r="H240" s="47"/>
      <c r="I240" s="20"/>
      <c r="J240" s="20"/>
      <c r="K240" s="20"/>
      <c r="L240" s="20"/>
      <c r="M240" s="20"/>
      <c r="N240" s="20"/>
      <c r="O240" s="20"/>
      <c r="P240" s="20"/>
      <c r="Q240" s="20"/>
      <c r="R240" s="20"/>
      <c r="S240" s="20"/>
      <c r="T240" s="20"/>
      <c r="U240" s="20"/>
      <c r="V240" s="20"/>
      <c r="W240" s="20"/>
      <c r="X240" s="20"/>
      <c r="Y240" s="20"/>
      <c r="Z240" s="20"/>
    </row>
    <row r="241" spans="1:26" ht="17.25" customHeight="1">
      <c r="A241" s="15"/>
      <c r="B241" s="15"/>
      <c r="C241" s="15"/>
      <c r="D241" s="15"/>
      <c r="E241" s="15"/>
      <c r="F241" s="15"/>
      <c r="G241" s="15"/>
      <c r="H241" s="47"/>
      <c r="I241" s="20"/>
      <c r="J241" s="20"/>
      <c r="K241" s="20"/>
      <c r="L241" s="20"/>
      <c r="M241" s="20"/>
      <c r="N241" s="20"/>
      <c r="O241" s="20"/>
      <c r="P241" s="20"/>
      <c r="Q241" s="20"/>
      <c r="R241" s="20"/>
      <c r="S241" s="20"/>
      <c r="T241" s="20"/>
      <c r="U241" s="20"/>
      <c r="V241" s="20"/>
      <c r="W241" s="20"/>
      <c r="X241" s="20"/>
      <c r="Y241" s="20"/>
      <c r="Z241" s="20"/>
    </row>
    <row r="242" spans="1:26" ht="17.25" customHeight="1">
      <c r="A242" s="15"/>
      <c r="B242" s="15"/>
      <c r="C242" s="15"/>
      <c r="D242" s="15"/>
      <c r="E242" s="15"/>
      <c r="F242" s="15"/>
      <c r="G242" s="15"/>
      <c r="H242" s="47"/>
      <c r="I242" s="20"/>
      <c r="J242" s="20"/>
      <c r="K242" s="20"/>
      <c r="L242" s="20"/>
      <c r="M242" s="20"/>
      <c r="N242" s="20"/>
      <c r="O242" s="20"/>
      <c r="P242" s="20"/>
      <c r="Q242" s="20"/>
      <c r="R242" s="20"/>
      <c r="S242" s="20"/>
      <c r="T242" s="20"/>
      <c r="U242" s="20"/>
      <c r="V242" s="20"/>
      <c r="W242" s="20"/>
      <c r="X242" s="20"/>
      <c r="Y242" s="20"/>
      <c r="Z242" s="20"/>
    </row>
    <row r="243" spans="1:26" ht="17.25" customHeight="1">
      <c r="A243" s="15"/>
      <c r="B243" s="15"/>
      <c r="C243" s="15"/>
      <c r="D243" s="15"/>
      <c r="E243" s="15"/>
      <c r="F243" s="15"/>
      <c r="G243" s="15"/>
      <c r="H243" s="47"/>
      <c r="I243" s="20"/>
      <c r="J243" s="20"/>
      <c r="K243" s="20"/>
      <c r="L243" s="20"/>
      <c r="M243" s="20"/>
      <c r="N243" s="20"/>
      <c r="O243" s="20"/>
      <c r="P243" s="20"/>
      <c r="Q243" s="20"/>
      <c r="R243" s="20"/>
      <c r="S243" s="20"/>
      <c r="T243" s="20"/>
      <c r="U243" s="20"/>
      <c r="V243" s="20"/>
      <c r="W243" s="20"/>
      <c r="X243" s="20"/>
      <c r="Y243" s="20"/>
      <c r="Z243" s="20"/>
    </row>
    <row r="244" spans="1:26" ht="17.25" customHeight="1">
      <c r="A244" s="15"/>
      <c r="B244" s="15"/>
      <c r="C244" s="15"/>
      <c r="D244" s="15"/>
      <c r="E244" s="15"/>
      <c r="F244" s="15"/>
      <c r="G244" s="15"/>
      <c r="H244" s="47"/>
      <c r="I244" s="20"/>
      <c r="J244" s="20"/>
      <c r="K244" s="20"/>
      <c r="L244" s="20"/>
      <c r="M244" s="20"/>
      <c r="N244" s="20"/>
      <c r="O244" s="20"/>
      <c r="P244" s="20"/>
      <c r="Q244" s="20"/>
      <c r="R244" s="20"/>
      <c r="S244" s="20"/>
      <c r="T244" s="20"/>
      <c r="U244" s="20"/>
      <c r="V244" s="20"/>
      <c r="W244" s="20"/>
      <c r="X244" s="20"/>
      <c r="Y244" s="20"/>
      <c r="Z244" s="20"/>
    </row>
    <row r="245" spans="1:26" ht="17.25" customHeight="1">
      <c r="A245" s="15"/>
      <c r="B245" s="15"/>
      <c r="C245" s="15"/>
      <c r="D245" s="15"/>
      <c r="E245" s="15"/>
      <c r="F245" s="15"/>
      <c r="G245" s="15"/>
      <c r="H245" s="47"/>
      <c r="I245" s="20"/>
      <c r="J245" s="20"/>
      <c r="K245" s="20"/>
      <c r="L245" s="20"/>
      <c r="M245" s="20"/>
      <c r="N245" s="20"/>
      <c r="O245" s="20"/>
      <c r="P245" s="20"/>
      <c r="Q245" s="20"/>
      <c r="R245" s="20"/>
      <c r="S245" s="20"/>
      <c r="T245" s="20"/>
      <c r="U245" s="20"/>
      <c r="V245" s="20"/>
      <c r="W245" s="20"/>
      <c r="X245" s="20"/>
      <c r="Y245" s="20"/>
      <c r="Z245" s="20"/>
    </row>
    <row r="246" spans="1:26" ht="17.25" customHeight="1">
      <c r="A246" s="15"/>
      <c r="B246" s="15"/>
      <c r="C246" s="15"/>
      <c r="D246" s="15"/>
      <c r="E246" s="15"/>
      <c r="F246" s="15"/>
      <c r="G246" s="15"/>
      <c r="H246" s="47"/>
      <c r="I246" s="20"/>
      <c r="J246" s="20"/>
      <c r="K246" s="20"/>
      <c r="L246" s="20"/>
      <c r="M246" s="20"/>
      <c r="N246" s="20"/>
      <c r="O246" s="20"/>
      <c r="P246" s="20"/>
      <c r="Q246" s="20"/>
      <c r="R246" s="20"/>
      <c r="S246" s="20"/>
      <c r="T246" s="20"/>
      <c r="U246" s="20"/>
      <c r="V246" s="20"/>
      <c r="W246" s="20"/>
      <c r="X246" s="20"/>
      <c r="Y246" s="20"/>
      <c r="Z246" s="20"/>
    </row>
    <row r="247" spans="1:26" ht="17.25" customHeight="1">
      <c r="A247" s="15"/>
      <c r="B247" s="15"/>
      <c r="C247" s="15"/>
      <c r="D247" s="15"/>
      <c r="E247" s="15"/>
      <c r="F247" s="15"/>
      <c r="G247" s="15"/>
      <c r="H247" s="47"/>
      <c r="I247" s="20"/>
      <c r="J247" s="20"/>
      <c r="K247" s="20"/>
      <c r="L247" s="20"/>
      <c r="M247" s="20"/>
      <c r="N247" s="20"/>
      <c r="O247" s="20"/>
      <c r="P247" s="20"/>
      <c r="Q247" s="20"/>
      <c r="R247" s="20"/>
      <c r="S247" s="20"/>
      <c r="T247" s="20"/>
      <c r="U247" s="20"/>
      <c r="V247" s="20"/>
      <c r="W247" s="20"/>
      <c r="X247" s="20"/>
      <c r="Y247" s="20"/>
      <c r="Z247" s="20"/>
    </row>
    <row r="248" spans="1:26" ht="17.25" customHeight="1">
      <c r="A248" s="15"/>
      <c r="B248" s="15"/>
      <c r="C248" s="15"/>
      <c r="D248" s="15"/>
      <c r="E248" s="15"/>
      <c r="F248" s="15"/>
      <c r="G248" s="15"/>
      <c r="H248" s="47"/>
      <c r="I248" s="20"/>
      <c r="J248" s="20"/>
      <c r="K248" s="20"/>
      <c r="L248" s="20"/>
      <c r="M248" s="20"/>
      <c r="N248" s="20"/>
      <c r="O248" s="20"/>
      <c r="P248" s="20"/>
      <c r="Q248" s="20"/>
      <c r="R248" s="20"/>
      <c r="S248" s="20"/>
      <c r="T248" s="20"/>
      <c r="U248" s="20"/>
      <c r="V248" s="20"/>
      <c r="W248" s="20"/>
      <c r="X248" s="20"/>
      <c r="Y248" s="20"/>
      <c r="Z248" s="20"/>
    </row>
    <row r="249" spans="1:26" ht="17.25" customHeight="1">
      <c r="A249" s="15"/>
      <c r="B249" s="15"/>
      <c r="C249" s="15"/>
      <c r="D249" s="15"/>
      <c r="E249" s="15"/>
      <c r="F249" s="15"/>
      <c r="G249" s="15"/>
      <c r="H249" s="47"/>
      <c r="I249" s="20"/>
      <c r="J249" s="20"/>
      <c r="K249" s="20"/>
      <c r="L249" s="20"/>
      <c r="M249" s="20"/>
      <c r="N249" s="20"/>
      <c r="O249" s="20"/>
      <c r="P249" s="20"/>
      <c r="Q249" s="20"/>
      <c r="R249" s="20"/>
      <c r="S249" s="20"/>
      <c r="T249" s="20"/>
      <c r="U249" s="20"/>
      <c r="V249" s="20"/>
      <c r="W249" s="20"/>
      <c r="X249" s="20"/>
      <c r="Y249" s="20"/>
      <c r="Z249" s="20"/>
    </row>
    <row r="250" spans="1:26" ht="17.25" customHeight="1">
      <c r="A250" s="15"/>
      <c r="B250" s="15"/>
      <c r="C250" s="15"/>
      <c r="D250" s="15"/>
      <c r="E250" s="15"/>
      <c r="F250" s="15"/>
      <c r="G250" s="15"/>
      <c r="H250" s="47"/>
      <c r="I250" s="20"/>
      <c r="J250" s="20"/>
      <c r="K250" s="20"/>
      <c r="L250" s="20"/>
      <c r="M250" s="20"/>
      <c r="N250" s="20"/>
      <c r="O250" s="20"/>
      <c r="P250" s="20"/>
      <c r="Q250" s="20"/>
      <c r="R250" s="20"/>
      <c r="S250" s="20"/>
      <c r="T250" s="20"/>
      <c r="U250" s="20"/>
      <c r="V250" s="20"/>
      <c r="W250" s="20"/>
      <c r="X250" s="20"/>
      <c r="Y250" s="20"/>
      <c r="Z250" s="20"/>
    </row>
    <row r="251" spans="1:26" ht="17.25" customHeight="1">
      <c r="A251" s="15"/>
      <c r="B251" s="15"/>
      <c r="C251" s="15"/>
      <c r="D251" s="15"/>
      <c r="E251" s="15"/>
      <c r="F251" s="15"/>
      <c r="G251" s="15"/>
      <c r="H251" s="47"/>
      <c r="I251" s="20"/>
      <c r="J251" s="20"/>
      <c r="K251" s="20"/>
      <c r="L251" s="20"/>
      <c r="M251" s="20"/>
      <c r="N251" s="20"/>
      <c r="O251" s="20"/>
      <c r="P251" s="20"/>
      <c r="Q251" s="20"/>
      <c r="R251" s="20"/>
      <c r="S251" s="20"/>
      <c r="T251" s="20"/>
      <c r="U251" s="20"/>
      <c r="V251" s="20"/>
      <c r="W251" s="20"/>
      <c r="X251" s="20"/>
      <c r="Y251" s="20"/>
      <c r="Z251" s="20"/>
    </row>
    <row r="252" spans="1:26" ht="17.25" customHeight="1">
      <c r="A252" s="15"/>
      <c r="B252" s="15"/>
      <c r="C252" s="15"/>
      <c r="D252" s="15"/>
      <c r="E252" s="15"/>
      <c r="F252" s="15"/>
      <c r="G252" s="15"/>
      <c r="H252" s="47"/>
      <c r="I252" s="20"/>
      <c r="J252" s="20"/>
      <c r="K252" s="20"/>
      <c r="L252" s="20"/>
      <c r="M252" s="20"/>
      <c r="N252" s="20"/>
      <c r="O252" s="20"/>
      <c r="P252" s="20"/>
      <c r="Q252" s="20"/>
      <c r="R252" s="20"/>
      <c r="S252" s="20"/>
      <c r="T252" s="20"/>
      <c r="U252" s="20"/>
      <c r="V252" s="20"/>
      <c r="W252" s="20"/>
      <c r="X252" s="20"/>
      <c r="Y252" s="20"/>
      <c r="Z252" s="20"/>
    </row>
    <row r="253" spans="1:26" ht="17.25" customHeight="1">
      <c r="A253" s="15"/>
      <c r="B253" s="15"/>
      <c r="C253" s="15"/>
      <c r="D253" s="15"/>
      <c r="E253" s="15"/>
      <c r="F253" s="15"/>
      <c r="G253" s="15"/>
      <c r="H253" s="47"/>
      <c r="I253" s="20"/>
      <c r="J253" s="20"/>
      <c r="K253" s="20"/>
      <c r="L253" s="20"/>
      <c r="M253" s="20"/>
      <c r="N253" s="20"/>
      <c r="O253" s="20"/>
      <c r="P253" s="20"/>
      <c r="Q253" s="20"/>
      <c r="R253" s="20"/>
      <c r="S253" s="20"/>
      <c r="T253" s="20"/>
      <c r="U253" s="20"/>
      <c r="V253" s="20"/>
      <c r="W253" s="20"/>
      <c r="X253" s="20"/>
      <c r="Y253" s="20"/>
      <c r="Z253" s="20"/>
    </row>
    <row r="254" spans="1:26" ht="17.25" customHeight="1">
      <c r="A254" s="15"/>
      <c r="B254" s="15"/>
      <c r="C254" s="15"/>
      <c r="D254" s="15"/>
      <c r="E254" s="15"/>
      <c r="F254" s="15"/>
      <c r="G254" s="15"/>
      <c r="H254" s="47"/>
      <c r="I254" s="20"/>
      <c r="J254" s="20"/>
      <c r="K254" s="20"/>
      <c r="L254" s="20"/>
      <c r="M254" s="20"/>
      <c r="N254" s="20"/>
      <c r="O254" s="20"/>
      <c r="P254" s="20"/>
      <c r="Q254" s="20"/>
      <c r="R254" s="20"/>
      <c r="S254" s="20"/>
      <c r="T254" s="20"/>
      <c r="U254" s="20"/>
      <c r="V254" s="20"/>
      <c r="W254" s="20"/>
      <c r="X254" s="20"/>
      <c r="Y254" s="20"/>
      <c r="Z254" s="20"/>
    </row>
    <row r="255" spans="1:26" ht="17.25" customHeight="1">
      <c r="A255" s="15"/>
      <c r="B255" s="15"/>
      <c r="C255" s="15"/>
      <c r="D255" s="15"/>
      <c r="E255" s="15"/>
      <c r="F255" s="15"/>
      <c r="G255" s="15"/>
      <c r="H255" s="47"/>
      <c r="I255" s="20"/>
      <c r="J255" s="20"/>
      <c r="K255" s="20"/>
      <c r="L255" s="20"/>
      <c r="M255" s="20"/>
      <c r="N255" s="20"/>
      <c r="O255" s="20"/>
      <c r="P255" s="20"/>
      <c r="Q255" s="20"/>
      <c r="R255" s="20"/>
      <c r="S255" s="20"/>
      <c r="T255" s="20"/>
      <c r="U255" s="20"/>
      <c r="V255" s="20"/>
      <c r="W255" s="20"/>
      <c r="X255" s="20"/>
      <c r="Y255" s="20"/>
      <c r="Z255" s="20"/>
    </row>
    <row r="256" spans="1:26" ht="17.25" customHeight="1">
      <c r="A256" s="15"/>
      <c r="B256" s="15"/>
      <c r="C256" s="15"/>
      <c r="D256" s="15"/>
      <c r="E256" s="15"/>
      <c r="F256" s="15"/>
      <c r="G256" s="15"/>
      <c r="H256" s="47"/>
      <c r="I256" s="20"/>
      <c r="J256" s="20"/>
      <c r="K256" s="20"/>
      <c r="L256" s="20"/>
      <c r="M256" s="20"/>
      <c r="N256" s="20"/>
      <c r="O256" s="20"/>
      <c r="P256" s="20"/>
      <c r="Q256" s="20"/>
      <c r="R256" s="20"/>
      <c r="S256" s="20"/>
      <c r="T256" s="20"/>
      <c r="U256" s="20"/>
      <c r="V256" s="20"/>
      <c r="W256" s="20"/>
      <c r="X256" s="20"/>
      <c r="Y256" s="20"/>
      <c r="Z256" s="20"/>
    </row>
    <row r="257" spans="1:26" ht="17.25" customHeight="1">
      <c r="A257" s="15"/>
      <c r="B257" s="15"/>
      <c r="C257" s="15"/>
      <c r="D257" s="15"/>
      <c r="E257" s="15"/>
      <c r="F257" s="15"/>
      <c r="G257" s="15"/>
      <c r="H257" s="47"/>
      <c r="I257" s="20"/>
      <c r="J257" s="20"/>
      <c r="K257" s="20"/>
      <c r="L257" s="20"/>
      <c r="M257" s="20"/>
      <c r="N257" s="20"/>
      <c r="O257" s="20"/>
      <c r="P257" s="20"/>
      <c r="Q257" s="20"/>
      <c r="R257" s="20"/>
      <c r="S257" s="20"/>
      <c r="T257" s="20"/>
      <c r="U257" s="20"/>
      <c r="V257" s="20"/>
      <c r="W257" s="20"/>
      <c r="X257" s="20"/>
      <c r="Y257" s="20"/>
      <c r="Z257" s="20"/>
    </row>
    <row r="258" spans="1:26" ht="17.25" customHeight="1">
      <c r="A258" s="15"/>
      <c r="B258" s="15"/>
      <c r="C258" s="15"/>
      <c r="D258" s="15"/>
      <c r="E258" s="15"/>
      <c r="F258" s="15"/>
      <c r="G258" s="15"/>
      <c r="H258" s="47"/>
      <c r="I258" s="20"/>
      <c r="J258" s="20"/>
      <c r="K258" s="20"/>
      <c r="L258" s="20"/>
      <c r="M258" s="20"/>
      <c r="N258" s="20"/>
      <c r="O258" s="20"/>
      <c r="P258" s="20"/>
      <c r="Q258" s="20"/>
      <c r="R258" s="20"/>
      <c r="S258" s="20"/>
      <c r="T258" s="20"/>
      <c r="U258" s="20"/>
      <c r="V258" s="20"/>
      <c r="W258" s="20"/>
      <c r="X258" s="20"/>
      <c r="Y258" s="20"/>
      <c r="Z258" s="20"/>
    </row>
    <row r="259" spans="1:26" ht="17.25" customHeight="1">
      <c r="A259" s="15"/>
      <c r="B259" s="15"/>
      <c r="C259" s="15"/>
      <c r="D259" s="15"/>
      <c r="E259" s="15"/>
      <c r="F259" s="15"/>
      <c r="G259" s="15"/>
      <c r="H259" s="47"/>
      <c r="I259" s="20"/>
      <c r="J259" s="20"/>
      <c r="K259" s="20"/>
      <c r="L259" s="20"/>
      <c r="M259" s="20"/>
      <c r="N259" s="20"/>
      <c r="O259" s="20"/>
      <c r="P259" s="20"/>
      <c r="Q259" s="20"/>
      <c r="R259" s="20"/>
      <c r="S259" s="20"/>
      <c r="T259" s="20"/>
      <c r="U259" s="20"/>
      <c r="V259" s="20"/>
      <c r="W259" s="20"/>
      <c r="X259" s="20"/>
      <c r="Y259" s="20"/>
      <c r="Z259" s="20"/>
    </row>
    <row r="260" spans="1:26" ht="17.25" customHeight="1">
      <c r="A260" s="15"/>
      <c r="B260" s="15"/>
      <c r="C260" s="15"/>
      <c r="D260" s="15"/>
      <c r="E260" s="15"/>
      <c r="F260" s="15"/>
      <c r="G260" s="15"/>
      <c r="H260" s="47"/>
      <c r="I260" s="20"/>
      <c r="J260" s="20"/>
      <c r="K260" s="20"/>
      <c r="L260" s="20"/>
      <c r="M260" s="20"/>
      <c r="N260" s="20"/>
      <c r="O260" s="20"/>
      <c r="P260" s="20"/>
      <c r="Q260" s="20"/>
      <c r="R260" s="20"/>
      <c r="S260" s="20"/>
      <c r="T260" s="20"/>
      <c r="U260" s="20"/>
      <c r="V260" s="20"/>
      <c r="W260" s="20"/>
      <c r="X260" s="20"/>
      <c r="Y260" s="20"/>
      <c r="Z260" s="20"/>
    </row>
    <row r="261" spans="1:26" ht="17.25" customHeight="1">
      <c r="A261" s="15"/>
      <c r="B261" s="15"/>
      <c r="C261" s="15"/>
      <c r="D261" s="15"/>
      <c r="E261" s="15"/>
      <c r="F261" s="15"/>
      <c r="G261" s="15"/>
      <c r="H261" s="47"/>
      <c r="I261" s="20"/>
      <c r="J261" s="20"/>
      <c r="K261" s="20"/>
      <c r="L261" s="20"/>
      <c r="M261" s="20"/>
      <c r="N261" s="20"/>
      <c r="O261" s="20"/>
      <c r="P261" s="20"/>
      <c r="Q261" s="20"/>
      <c r="R261" s="20"/>
      <c r="S261" s="20"/>
      <c r="T261" s="20"/>
      <c r="U261" s="20"/>
      <c r="V261" s="20"/>
      <c r="W261" s="20"/>
      <c r="X261" s="20"/>
      <c r="Y261" s="20"/>
      <c r="Z261" s="20"/>
    </row>
    <row r="262" spans="1:26" ht="17.25" customHeight="1">
      <c r="A262" s="15"/>
      <c r="B262" s="15"/>
      <c r="C262" s="15"/>
      <c r="D262" s="15"/>
      <c r="E262" s="15"/>
      <c r="F262" s="15"/>
      <c r="G262" s="15"/>
      <c r="H262" s="47"/>
      <c r="I262" s="20"/>
      <c r="J262" s="20"/>
      <c r="K262" s="20"/>
      <c r="L262" s="20"/>
      <c r="M262" s="20"/>
      <c r="N262" s="20"/>
      <c r="O262" s="20"/>
      <c r="P262" s="20"/>
      <c r="Q262" s="20"/>
      <c r="R262" s="20"/>
      <c r="S262" s="20"/>
      <c r="T262" s="20"/>
      <c r="U262" s="20"/>
      <c r="V262" s="20"/>
      <c r="W262" s="20"/>
      <c r="X262" s="20"/>
      <c r="Y262" s="20"/>
      <c r="Z262" s="20"/>
    </row>
    <row r="263" spans="1:26" ht="17.25" customHeight="1">
      <c r="A263" s="15"/>
      <c r="B263" s="15"/>
      <c r="C263" s="15"/>
      <c r="D263" s="15"/>
      <c r="E263" s="15"/>
      <c r="F263" s="15"/>
      <c r="G263" s="15"/>
      <c r="H263" s="47"/>
      <c r="I263" s="20"/>
      <c r="J263" s="20"/>
      <c r="K263" s="20"/>
      <c r="L263" s="20"/>
      <c r="M263" s="20"/>
      <c r="N263" s="20"/>
      <c r="O263" s="20"/>
      <c r="P263" s="20"/>
      <c r="Q263" s="20"/>
      <c r="R263" s="20"/>
      <c r="S263" s="20"/>
      <c r="T263" s="20"/>
      <c r="U263" s="20"/>
      <c r="V263" s="20"/>
      <c r="W263" s="20"/>
      <c r="X263" s="20"/>
      <c r="Y263" s="20"/>
      <c r="Z263" s="20"/>
    </row>
    <row r="264" spans="1:26" ht="17.25" customHeight="1">
      <c r="A264" s="15"/>
      <c r="B264" s="15"/>
      <c r="C264" s="15"/>
      <c r="D264" s="15"/>
      <c r="E264" s="15"/>
      <c r="F264" s="15"/>
      <c r="G264" s="15"/>
      <c r="H264" s="47"/>
      <c r="I264" s="20"/>
      <c r="J264" s="20"/>
      <c r="K264" s="20"/>
      <c r="L264" s="20"/>
      <c r="M264" s="20"/>
      <c r="N264" s="20"/>
      <c r="O264" s="20"/>
      <c r="P264" s="20"/>
      <c r="Q264" s="20"/>
      <c r="R264" s="20"/>
      <c r="S264" s="20"/>
      <c r="T264" s="20"/>
      <c r="U264" s="20"/>
      <c r="V264" s="20"/>
      <c r="W264" s="20"/>
      <c r="X264" s="20"/>
      <c r="Y264" s="20"/>
      <c r="Z264" s="20"/>
    </row>
    <row r="265" spans="1:26" ht="17.25" customHeight="1">
      <c r="A265" s="15"/>
      <c r="B265" s="15"/>
      <c r="C265" s="15"/>
      <c r="D265" s="15"/>
      <c r="E265" s="15"/>
      <c r="F265" s="15"/>
      <c r="G265" s="15"/>
      <c r="H265" s="47"/>
      <c r="I265" s="20"/>
      <c r="J265" s="20"/>
      <c r="K265" s="20"/>
      <c r="L265" s="20"/>
      <c r="M265" s="20"/>
      <c r="N265" s="20"/>
      <c r="O265" s="20"/>
      <c r="P265" s="20"/>
      <c r="Q265" s="20"/>
      <c r="R265" s="20"/>
      <c r="S265" s="20"/>
      <c r="T265" s="20"/>
      <c r="U265" s="20"/>
      <c r="V265" s="20"/>
      <c r="W265" s="20"/>
      <c r="X265" s="20"/>
      <c r="Y265" s="20"/>
      <c r="Z265" s="20"/>
    </row>
    <row r="266" spans="1:26" ht="17.25" customHeight="1">
      <c r="A266" s="15"/>
      <c r="B266" s="15"/>
      <c r="C266" s="15"/>
      <c r="D266" s="15"/>
      <c r="E266" s="15"/>
      <c r="F266" s="15"/>
      <c r="G266" s="15"/>
      <c r="H266" s="47"/>
      <c r="I266" s="20"/>
      <c r="J266" s="20"/>
      <c r="K266" s="20"/>
      <c r="L266" s="20"/>
      <c r="M266" s="20"/>
      <c r="N266" s="20"/>
      <c r="O266" s="20"/>
      <c r="P266" s="20"/>
      <c r="Q266" s="20"/>
      <c r="R266" s="20"/>
      <c r="S266" s="20"/>
      <c r="T266" s="20"/>
      <c r="U266" s="20"/>
      <c r="V266" s="20"/>
      <c r="W266" s="20"/>
      <c r="X266" s="20"/>
      <c r="Y266" s="20"/>
      <c r="Z266" s="20"/>
    </row>
    <row r="267" spans="1:26" ht="17.25" customHeight="1">
      <c r="A267" s="15"/>
      <c r="B267" s="15"/>
      <c r="C267" s="15"/>
      <c r="D267" s="15"/>
      <c r="E267" s="15"/>
      <c r="F267" s="15"/>
      <c r="G267" s="15"/>
      <c r="H267" s="47"/>
      <c r="I267" s="20"/>
      <c r="J267" s="20"/>
      <c r="K267" s="20"/>
      <c r="L267" s="20"/>
      <c r="M267" s="20"/>
      <c r="N267" s="20"/>
      <c r="O267" s="20"/>
      <c r="P267" s="20"/>
      <c r="Q267" s="20"/>
      <c r="R267" s="20"/>
      <c r="S267" s="20"/>
      <c r="T267" s="20"/>
      <c r="U267" s="20"/>
      <c r="V267" s="20"/>
      <c r="W267" s="20"/>
      <c r="X267" s="20"/>
      <c r="Y267" s="20"/>
      <c r="Z267" s="20"/>
    </row>
    <row r="268" spans="1:26" ht="17.25" customHeight="1">
      <c r="A268" s="15"/>
      <c r="B268" s="15"/>
      <c r="C268" s="15"/>
      <c r="D268" s="15"/>
      <c r="E268" s="15"/>
      <c r="F268" s="15"/>
      <c r="G268" s="15"/>
      <c r="H268" s="47"/>
      <c r="I268" s="20"/>
      <c r="J268" s="20"/>
      <c r="K268" s="20"/>
      <c r="L268" s="20"/>
      <c r="M268" s="20"/>
      <c r="N268" s="20"/>
      <c r="O268" s="20"/>
      <c r="P268" s="20"/>
      <c r="Q268" s="20"/>
      <c r="R268" s="20"/>
      <c r="S268" s="20"/>
      <c r="T268" s="20"/>
      <c r="U268" s="20"/>
      <c r="V268" s="20"/>
      <c r="W268" s="20"/>
      <c r="X268" s="20"/>
      <c r="Y268" s="20"/>
      <c r="Z268" s="20"/>
    </row>
    <row r="269" spans="1:26" ht="17.25" customHeight="1">
      <c r="A269" s="15"/>
      <c r="B269" s="15"/>
      <c r="C269" s="15"/>
      <c r="D269" s="15"/>
      <c r="E269" s="15"/>
      <c r="F269" s="15"/>
      <c r="G269" s="15"/>
      <c r="H269" s="47"/>
      <c r="I269" s="20"/>
      <c r="J269" s="20"/>
      <c r="K269" s="20"/>
      <c r="L269" s="20"/>
      <c r="M269" s="20"/>
      <c r="N269" s="20"/>
      <c r="O269" s="20"/>
      <c r="P269" s="20"/>
      <c r="Q269" s="20"/>
      <c r="R269" s="20"/>
      <c r="S269" s="20"/>
      <c r="T269" s="20"/>
      <c r="U269" s="20"/>
      <c r="V269" s="20"/>
      <c r="W269" s="20"/>
      <c r="X269" s="20"/>
      <c r="Y269" s="20"/>
      <c r="Z269" s="20"/>
    </row>
    <row r="270" spans="1:26" ht="17.25" customHeight="1">
      <c r="A270" s="15"/>
      <c r="B270" s="15"/>
      <c r="C270" s="15"/>
      <c r="D270" s="15"/>
      <c r="E270" s="15"/>
      <c r="F270" s="15"/>
      <c r="G270" s="15"/>
      <c r="H270" s="47"/>
      <c r="I270" s="20"/>
      <c r="J270" s="20"/>
      <c r="K270" s="20"/>
      <c r="L270" s="20"/>
      <c r="M270" s="20"/>
      <c r="N270" s="20"/>
      <c r="O270" s="20"/>
      <c r="P270" s="20"/>
      <c r="Q270" s="20"/>
      <c r="R270" s="20"/>
      <c r="S270" s="20"/>
      <c r="T270" s="20"/>
      <c r="U270" s="20"/>
      <c r="V270" s="20"/>
      <c r="W270" s="20"/>
      <c r="X270" s="20"/>
      <c r="Y270" s="20"/>
      <c r="Z270" s="20"/>
    </row>
    <row r="271" spans="1:26" ht="17.25" customHeight="1">
      <c r="A271" s="15"/>
      <c r="B271" s="15"/>
      <c r="C271" s="15"/>
      <c r="D271" s="15"/>
      <c r="E271" s="15"/>
      <c r="F271" s="15"/>
      <c r="G271" s="15"/>
      <c r="H271" s="47"/>
      <c r="I271" s="20"/>
      <c r="J271" s="20"/>
      <c r="K271" s="20"/>
      <c r="L271" s="20"/>
      <c r="M271" s="20"/>
      <c r="N271" s="20"/>
      <c r="O271" s="20"/>
      <c r="P271" s="20"/>
      <c r="Q271" s="20"/>
      <c r="R271" s="20"/>
      <c r="S271" s="20"/>
      <c r="T271" s="20"/>
      <c r="U271" s="20"/>
      <c r="V271" s="20"/>
      <c r="W271" s="20"/>
      <c r="X271" s="20"/>
      <c r="Y271" s="20"/>
      <c r="Z271" s="20"/>
    </row>
    <row r="272" spans="1:26" ht="17.25" customHeight="1">
      <c r="A272" s="15"/>
      <c r="B272" s="15"/>
      <c r="C272" s="15"/>
      <c r="D272" s="15"/>
      <c r="E272" s="15"/>
      <c r="F272" s="15"/>
      <c r="G272" s="15"/>
      <c r="H272" s="47"/>
      <c r="I272" s="20"/>
      <c r="J272" s="20"/>
      <c r="K272" s="20"/>
      <c r="L272" s="20"/>
      <c r="M272" s="20"/>
      <c r="N272" s="20"/>
      <c r="O272" s="20"/>
      <c r="P272" s="20"/>
      <c r="Q272" s="20"/>
      <c r="R272" s="20"/>
      <c r="S272" s="20"/>
      <c r="T272" s="20"/>
      <c r="U272" s="20"/>
      <c r="V272" s="20"/>
      <c r="W272" s="20"/>
      <c r="X272" s="20"/>
      <c r="Y272" s="20"/>
      <c r="Z272" s="20"/>
    </row>
    <row r="273" spans="1:26" ht="17.25" customHeight="1">
      <c r="A273" s="15"/>
      <c r="B273" s="15"/>
      <c r="C273" s="15"/>
      <c r="D273" s="15"/>
      <c r="E273" s="15"/>
      <c r="F273" s="15"/>
      <c r="G273" s="15"/>
      <c r="H273" s="47"/>
      <c r="I273" s="20"/>
      <c r="J273" s="20"/>
      <c r="K273" s="20"/>
      <c r="L273" s="20"/>
      <c r="M273" s="20"/>
      <c r="N273" s="20"/>
      <c r="O273" s="20"/>
      <c r="P273" s="20"/>
      <c r="Q273" s="20"/>
      <c r="R273" s="20"/>
      <c r="S273" s="20"/>
      <c r="T273" s="20"/>
      <c r="U273" s="20"/>
      <c r="V273" s="20"/>
      <c r="W273" s="20"/>
      <c r="X273" s="20"/>
      <c r="Y273" s="20"/>
      <c r="Z273" s="20"/>
    </row>
    <row r="274" spans="1:26" ht="17.25" customHeight="1">
      <c r="A274" s="15"/>
      <c r="B274" s="15"/>
      <c r="C274" s="15"/>
      <c r="D274" s="15"/>
      <c r="E274" s="15"/>
      <c r="F274" s="15"/>
      <c r="G274" s="15"/>
      <c r="H274" s="47"/>
      <c r="I274" s="20"/>
      <c r="J274" s="20"/>
      <c r="K274" s="20"/>
      <c r="L274" s="20"/>
      <c r="M274" s="20"/>
      <c r="N274" s="20"/>
      <c r="O274" s="20"/>
      <c r="P274" s="20"/>
      <c r="Q274" s="20"/>
      <c r="R274" s="20"/>
      <c r="S274" s="20"/>
      <c r="T274" s="20"/>
      <c r="U274" s="20"/>
      <c r="V274" s="20"/>
      <c r="W274" s="20"/>
      <c r="X274" s="20"/>
      <c r="Y274" s="20"/>
      <c r="Z274" s="20"/>
    </row>
    <row r="275" spans="1:26" ht="17.25" customHeight="1">
      <c r="A275" s="15"/>
      <c r="B275" s="15"/>
      <c r="C275" s="15"/>
      <c r="D275" s="15"/>
      <c r="E275" s="15"/>
      <c r="F275" s="15"/>
      <c r="G275" s="15"/>
      <c r="H275" s="47"/>
      <c r="I275" s="20"/>
      <c r="J275" s="20"/>
      <c r="K275" s="20"/>
      <c r="L275" s="20"/>
      <c r="M275" s="20"/>
      <c r="N275" s="20"/>
      <c r="O275" s="20"/>
      <c r="P275" s="20"/>
      <c r="Q275" s="20"/>
      <c r="R275" s="20"/>
      <c r="S275" s="20"/>
      <c r="T275" s="20"/>
      <c r="U275" s="20"/>
      <c r="V275" s="20"/>
      <c r="W275" s="20"/>
      <c r="X275" s="20"/>
      <c r="Y275" s="20"/>
      <c r="Z275" s="20"/>
    </row>
    <row r="276" spans="1:26" ht="17.25" customHeight="1">
      <c r="A276" s="15"/>
      <c r="B276" s="15"/>
      <c r="C276" s="15"/>
      <c r="D276" s="15"/>
      <c r="E276" s="15"/>
      <c r="F276" s="15"/>
      <c r="G276" s="15"/>
      <c r="H276" s="47"/>
      <c r="I276" s="20"/>
      <c r="J276" s="20"/>
      <c r="K276" s="20"/>
      <c r="L276" s="20"/>
      <c r="M276" s="20"/>
      <c r="N276" s="20"/>
      <c r="O276" s="20"/>
      <c r="P276" s="20"/>
      <c r="Q276" s="20"/>
      <c r="R276" s="20"/>
      <c r="S276" s="20"/>
      <c r="T276" s="20"/>
      <c r="U276" s="20"/>
      <c r="V276" s="20"/>
      <c r="W276" s="20"/>
      <c r="X276" s="20"/>
      <c r="Y276" s="20"/>
      <c r="Z276" s="20"/>
    </row>
    <row r="277" spans="1:26" ht="17.25" customHeight="1">
      <c r="A277" s="15"/>
      <c r="B277" s="15"/>
      <c r="C277" s="15"/>
      <c r="D277" s="15"/>
      <c r="E277" s="15"/>
      <c r="F277" s="15"/>
      <c r="G277" s="15"/>
      <c r="H277" s="47"/>
      <c r="I277" s="20"/>
      <c r="J277" s="20"/>
      <c r="K277" s="20"/>
      <c r="L277" s="20"/>
      <c r="M277" s="20"/>
      <c r="N277" s="20"/>
      <c r="O277" s="20"/>
      <c r="P277" s="20"/>
      <c r="Q277" s="20"/>
      <c r="R277" s="20"/>
      <c r="S277" s="20"/>
      <c r="T277" s="20"/>
      <c r="U277" s="20"/>
      <c r="V277" s="20"/>
      <c r="W277" s="20"/>
      <c r="X277" s="20"/>
      <c r="Y277" s="20"/>
      <c r="Z277" s="20"/>
    </row>
    <row r="278" spans="1:26" ht="17.25" customHeight="1">
      <c r="A278" s="15"/>
      <c r="B278" s="15"/>
      <c r="C278" s="15"/>
      <c r="D278" s="15"/>
      <c r="E278" s="15"/>
      <c r="F278" s="15"/>
      <c r="G278" s="15"/>
      <c r="H278" s="47"/>
      <c r="I278" s="20"/>
      <c r="J278" s="20"/>
      <c r="K278" s="20"/>
      <c r="L278" s="20"/>
      <c r="M278" s="20"/>
      <c r="N278" s="20"/>
      <c r="O278" s="20"/>
      <c r="P278" s="20"/>
      <c r="Q278" s="20"/>
      <c r="R278" s="20"/>
      <c r="S278" s="20"/>
      <c r="T278" s="20"/>
      <c r="U278" s="20"/>
      <c r="V278" s="20"/>
      <c r="W278" s="20"/>
      <c r="X278" s="20"/>
      <c r="Y278" s="20"/>
      <c r="Z278" s="20"/>
    </row>
    <row r="279" spans="1:26" ht="17.25" customHeight="1">
      <c r="A279" s="15"/>
      <c r="B279" s="15"/>
      <c r="C279" s="15"/>
      <c r="D279" s="15"/>
      <c r="E279" s="15"/>
      <c r="F279" s="15"/>
      <c r="G279" s="15"/>
      <c r="H279" s="47"/>
      <c r="I279" s="20"/>
      <c r="J279" s="20"/>
      <c r="K279" s="20"/>
      <c r="L279" s="20"/>
      <c r="M279" s="20"/>
      <c r="N279" s="20"/>
      <c r="O279" s="20"/>
      <c r="P279" s="20"/>
      <c r="Q279" s="20"/>
      <c r="R279" s="20"/>
      <c r="S279" s="20"/>
      <c r="T279" s="20"/>
      <c r="U279" s="20"/>
      <c r="V279" s="20"/>
      <c r="W279" s="20"/>
      <c r="X279" s="20"/>
      <c r="Y279" s="20"/>
      <c r="Z279" s="20"/>
    </row>
    <row r="280" spans="1:26" ht="17.25" customHeight="1">
      <c r="A280" s="15"/>
      <c r="B280" s="15"/>
      <c r="C280" s="15"/>
      <c r="D280" s="15"/>
      <c r="E280" s="15"/>
      <c r="F280" s="15"/>
      <c r="G280" s="15"/>
      <c r="H280" s="47"/>
      <c r="I280" s="20"/>
      <c r="J280" s="20"/>
      <c r="K280" s="20"/>
      <c r="L280" s="20"/>
      <c r="M280" s="20"/>
      <c r="N280" s="20"/>
      <c r="O280" s="20"/>
      <c r="P280" s="20"/>
      <c r="Q280" s="20"/>
      <c r="R280" s="20"/>
      <c r="S280" s="20"/>
      <c r="T280" s="20"/>
      <c r="U280" s="20"/>
      <c r="V280" s="20"/>
      <c r="W280" s="20"/>
      <c r="X280" s="20"/>
      <c r="Y280" s="20"/>
      <c r="Z280" s="20"/>
    </row>
    <row r="281" spans="1:26" ht="17.25" customHeight="1">
      <c r="A281" s="15"/>
      <c r="B281" s="15"/>
      <c r="C281" s="15"/>
      <c r="D281" s="15"/>
      <c r="E281" s="15"/>
      <c r="F281" s="15"/>
      <c r="G281" s="15"/>
      <c r="H281" s="47"/>
      <c r="I281" s="20"/>
      <c r="J281" s="20"/>
      <c r="K281" s="20"/>
      <c r="L281" s="20"/>
      <c r="M281" s="20"/>
      <c r="N281" s="20"/>
      <c r="O281" s="20"/>
      <c r="P281" s="20"/>
      <c r="Q281" s="20"/>
      <c r="R281" s="20"/>
      <c r="S281" s="20"/>
      <c r="T281" s="20"/>
      <c r="U281" s="20"/>
      <c r="V281" s="20"/>
      <c r="W281" s="20"/>
      <c r="X281" s="20"/>
      <c r="Y281" s="20"/>
      <c r="Z281" s="20"/>
    </row>
    <row r="282" spans="1:26" ht="17.25" customHeight="1">
      <c r="A282" s="15"/>
      <c r="B282" s="15"/>
      <c r="C282" s="15"/>
      <c r="D282" s="15"/>
      <c r="E282" s="15"/>
      <c r="F282" s="15"/>
      <c r="G282" s="15"/>
      <c r="H282" s="47"/>
      <c r="I282" s="20"/>
      <c r="J282" s="20"/>
      <c r="K282" s="20"/>
      <c r="L282" s="20"/>
      <c r="M282" s="20"/>
      <c r="N282" s="20"/>
      <c r="O282" s="20"/>
      <c r="P282" s="20"/>
      <c r="Q282" s="20"/>
      <c r="R282" s="20"/>
      <c r="S282" s="20"/>
      <c r="T282" s="20"/>
      <c r="U282" s="20"/>
      <c r="V282" s="20"/>
      <c r="W282" s="20"/>
      <c r="X282" s="20"/>
      <c r="Y282" s="20"/>
      <c r="Z282" s="20"/>
    </row>
    <row r="283" spans="1:26" ht="17.25" customHeight="1">
      <c r="A283" s="15"/>
      <c r="B283" s="15"/>
      <c r="C283" s="15"/>
      <c r="D283" s="15"/>
      <c r="E283" s="15"/>
      <c r="F283" s="15"/>
      <c r="G283" s="15"/>
      <c r="H283" s="47"/>
      <c r="I283" s="20"/>
      <c r="J283" s="20"/>
      <c r="K283" s="20"/>
      <c r="L283" s="20"/>
      <c r="M283" s="20"/>
      <c r="N283" s="20"/>
      <c r="O283" s="20"/>
      <c r="P283" s="20"/>
      <c r="Q283" s="20"/>
      <c r="R283" s="20"/>
      <c r="S283" s="20"/>
      <c r="T283" s="20"/>
      <c r="U283" s="20"/>
      <c r="V283" s="20"/>
      <c r="W283" s="20"/>
      <c r="X283" s="20"/>
      <c r="Y283" s="20"/>
      <c r="Z283" s="20"/>
    </row>
    <row r="284" spans="1:26" ht="17.25" customHeight="1">
      <c r="A284" s="15"/>
      <c r="B284" s="15"/>
      <c r="C284" s="15"/>
      <c r="D284" s="15"/>
      <c r="E284" s="15"/>
      <c r="F284" s="15"/>
      <c r="G284" s="15"/>
      <c r="H284" s="47"/>
      <c r="I284" s="20"/>
      <c r="J284" s="20"/>
      <c r="K284" s="20"/>
      <c r="L284" s="20"/>
      <c r="M284" s="20"/>
      <c r="N284" s="20"/>
      <c r="O284" s="20"/>
      <c r="P284" s="20"/>
      <c r="Q284" s="20"/>
      <c r="R284" s="20"/>
      <c r="S284" s="20"/>
      <c r="T284" s="20"/>
      <c r="U284" s="20"/>
      <c r="V284" s="20"/>
      <c r="W284" s="20"/>
      <c r="X284" s="20"/>
      <c r="Y284" s="20"/>
      <c r="Z284" s="20"/>
    </row>
    <row r="285" spans="1:26" ht="17.25" customHeight="1">
      <c r="A285" s="15"/>
      <c r="B285" s="15"/>
      <c r="C285" s="15"/>
      <c r="D285" s="15"/>
      <c r="E285" s="15"/>
      <c r="F285" s="15"/>
      <c r="G285" s="15"/>
      <c r="H285" s="47"/>
      <c r="I285" s="20"/>
      <c r="J285" s="20"/>
      <c r="K285" s="20"/>
      <c r="L285" s="20"/>
      <c r="M285" s="20"/>
      <c r="N285" s="20"/>
      <c r="O285" s="20"/>
      <c r="P285" s="20"/>
      <c r="Q285" s="20"/>
      <c r="R285" s="20"/>
      <c r="S285" s="20"/>
      <c r="T285" s="20"/>
      <c r="U285" s="20"/>
      <c r="V285" s="20"/>
      <c r="W285" s="20"/>
      <c r="X285" s="20"/>
      <c r="Y285" s="20"/>
      <c r="Z285" s="20"/>
    </row>
    <row r="286" spans="1:26" ht="17.25" customHeight="1">
      <c r="A286" s="15"/>
      <c r="B286" s="15"/>
      <c r="C286" s="15"/>
      <c r="D286" s="15"/>
      <c r="E286" s="15"/>
      <c r="F286" s="15"/>
      <c r="G286" s="15"/>
      <c r="H286" s="47"/>
      <c r="I286" s="20"/>
      <c r="J286" s="20"/>
      <c r="K286" s="20"/>
      <c r="L286" s="20"/>
      <c r="M286" s="20"/>
      <c r="N286" s="20"/>
      <c r="O286" s="20"/>
      <c r="P286" s="20"/>
      <c r="Q286" s="20"/>
      <c r="R286" s="20"/>
      <c r="S286" s="20"/>
      <c r="T286" s="20"/>
      <c r="U286" s="20"/>
      <c r="V286" s="20"/>
      <c r="W286" s="20"/>
      <c r="X286" s="20"/>
      <c r="Y286" s="20"/>
      <c r="Z286" s="20"/>
    </row>
    <row r="287" spans="1:26" ht="17.25" customHeight="1">
      <c r="A287" s="15"/>
      <c r="B287" s="15"/>
      <c r="C287" s="15"/>
      <c r="D287" s="15"/>
      <c r="E287" s="15"/>
      <c r="F287" s="15"/>
      <c r="G287" s="15"/>
      <c r="H287" s="47"/>
      <c r="I287" s="20"/>
      <c r="J287" s="20"/>
      <c r="K287" s="20"/>
      <c r="L287" s="20"/>
      <c r="M287" s="20"/>
      <c r="N287" s="20"/>
      <c r="O287" s="20"/>
      <c r="P287" s="20"/>
      <c r="Q287" s="20"/>
      <c r="R287" s="20"/>
      <c r="S287" s="20"/>
      <c r="T287" s="20"/>
      <c r="U287" s="20"/>
      <c r="V287" s="20"/>
      <c r="W287" s="20"/>
      <c r="X287" s="20"/>
      <c r="Y287" s="20"/>
      <c r="Z287" s="20"/>
    </row>
    <row r="288" spans="1:26" ht="17.25" customHeight="1">
      <c r="A288" s="15"/>
      <c r="B288" s="15"/>
      <c r="C288" s="15"/>
      <c r="D288" s="15"/>
      <c r="E288" s="15"/>
      <c r="F288" s="15"/>
      <c r="G288" s="15"/>
      <c r="H288" s="47"/>
      <c r="I288" s="20"/>
      <c r="J288" s="20"/>
      <c r="K288" s="20"/>
      <c r="L288" s="20"/>
      <c r="M288" s="20"/>
      <c r="N288" s="20"/>
      <c r="O288" s="20"/>
      <c r="P288" s="20"/>
      <c r="Q288" s="20"/>
      <c r="R288" s="20"/>
      <c r="S288" s="20"/>
      <c r="T288" s="20"/>
      <c r="U288" s="20"/>
      <c r="V288" s="20"/>
      <c r="W288" s="20"/>
      <c r="X288" s="20"/>
      <c r="Y288" s="20"/>
      <c r="Z288" s="20"/>
    </row>
    <row r="289" spans="1:26" ht="17.25" customHeight="1">
      <c r="A289" s="15"/>
      <c r="B289" s="15"/>
      <c r="C289" s="15"/>
      <c r="D289" s="15"/>
      <c r="E289" s="15"/>
      <c r="F289" s="15"/>
      <c r="G289" s="15"/>
      <c r="H289" s="47"/>
      <c r="I289" s="20"/>
      <c r="J289" s="20"/>
      <c r="K289" s="20"/>
      <c r="L289" s="20"/>
      <c r="M289" s="20"/>
      <c r="N289" s="20"/>
      <c r="O289" s="20"/>
      <c r="P289" s="20"/>
      <c r="Q289" s="20"/>
      <c r="R289" s="20"/>
      <c r="S289" s="20"/>
      <c r="T289" s="20"/>
      <c r="U289" s="20"/>
      <c r="V289" s="20"/>
      <c r="W289" s="20"/>
      <c r="X289" s="20"/>
      <c r="Y289" s="20"/>
      <c r="Z289" s="20"/>
    </row>
    <row r="290" spans="1:26" ht="17.25" customHeight="1">
      <c r="A290" s="15"/>
      <c r="B290" s="15"/>
      <c r="C290" s="15"/>
      <c r="D290" s="15"/>
      <c r="E290" s="15"/>
      <c r="F290" s="15"/>
      <c r="G290" s="15"/>
      <c r="H290" s="47"/>
      <c r="I290" s="20"/>
      <c r="J290" s="20"/>
      <c r="K290" s="20"/>
      <c r="L290" s="20"/>
      <c r="M290" s="20"/>
      <c r="N290" s="20"/>
      <c r="O290" s="20"/>
      <c r="P290" s="20"/>
      <c r="Q290" s="20"/>
      <c r="R290" s="20"/>
      <c r="S290" s="20"/>
      <c r="T290" s="20"/>
      <c r="U290" s="20"/>
      <c r="V290" s="20"/>
      <c r="W290" s="20"/>
      <c r="X290" s="20"/>
      <c r="Y290" s="20"/>
      <c r="Z290" s="20"/>
    </row>
    <row r="291" spans="1:26" ht="17.25" customHeight="1">
      <c r="A291" s="15"/>
      <c r="B291" s="15"/>
      <c r="C291" s="15"/>
      <c r="D291" s="15"/>
      <c r="E291" s="15"/>
      <c r="F291" s="15"/>
      <c r="G291" s="15"/>
      <c r="H291" s="47"/>
      <c r="I291" s="20"/>
      <c r="J291" s="20"/>
      <c r="K291" s="20"/>
      <c r="L291" s="20"/>
      <c r="M291" s="20"/>
      <c r="N291" s="20"/>
      <c r="O291" s="20"/>
      <c r="P291" s="20"/>
      <c r="Q291" s="20"/>
      <c r="R291" s="20"/>
      <c r="S291" s="20"/>
      <c r="T291" s="20"/>
      <c r="U291" s="20"/>
      <c r="V291" s="20"/>
      <c r="W291" s="20"/>
      <c r="X291" s="20"/>
      <c r="Y291" s="20"/>
      <c r="Z291" s="20"/>
    </row>
    <row r="292" spans="1:26" ht="17.25" customHeight="1">
      <c r="A292" s="15"/>
      <c r="B292" s="15"/>
      <c r="C292" s="15"/>
      <c r="D292" s="15"/>
      <c r="E292" s="15"/>
      <c r="F292" s="15"/>
      <c r="G292" s="15"/>
      <c r="H292" s="47"/>
      <c r="I292" s="20"/>
      <c r="J292" s="20"/>
      <c r="K292" s="20"/>
      <c r="L292" s="20"/>
      <c r="M292" s="20"/>
      <c r="N292" s="20"/>
      <c r="O292" s="20"/>
      <c r="P292" s="20"/>
      <c r="Q292" s="20"/>
      <c r="R292" s="20"/>
      <c r="S292" s="20"/>
      <c r="T292" s="20"/>
      <c r="U292" s="20"/>
      <c r="V292" s="20"/>
      <c r="W292" s="20"/>
      <c r="X292" s="20"/>
      <c r="Y292" s="20"/>
      <c r="Z292" s="20"/>
    </row>
    <row r="293" spans="1:26" ht="17.25" customHeight="1">
      <c r="A293" s="15"/>
      <c r="B293" s="15"/>
      <c r="C293" s="15"/>
      <c r="D293" s="15"/>
      <c r="E293" s="15"/>
      <c r="F293" s="15"/>
      <c r="G293" s="15"/>
      <c r="H293" s="47"/>
      <c r="I293" s="20"/>
      <c r="J293" s="20"/>
      <c r="K293" s="20"/>
      <c r="L293" s="20"/>
      <c r="M293" s="20"/>
      <c r="N293" s="20"/>
      <c r="O293" s="20"/>
      <c r="P293" s="20"/>
      <c r="Q293" s="20"/>
      <c r="R293" s="20"/>
      <c r="S293" s="20"/>
      <c r="T293" s="20"/>
      <c r="U293" s="20"/>
      <c r="V293" s="20"/>
      <c r="W293" s="20"/>
      <c r="X293" s="20"/>
      <c r="Y293" s="20"/>
      <c r="Z293" s="20"/>
    </row>
    <row r="294" spans="1:26" ht="17.25" customHeight="1">
      <c r="A294" s="15"/>
      <c r="B294" s="15"/>
      <c r="C294" s="15"/>
      <c r="D294" s="15"/>
      <c r="E294" s="15"/>
      <c r="F294" s="15"/>
      <c r="G294" s="15"/>
      <c r="H294" s="47"/>
      <c r="I294" s="20"/>
      <c r="J294" s="20"/>
      <c r="K294" s="20"/>
      <c r="L294" s="20"/>
      <c r="M294" s="20"/>
      <c r="N294" s="20"/>
      <c r="O294" s="20"/>
      <c r="P294" s="20"/>
      <c r="Q294" s="20"/>
      <c r="R294" s="20"/>
      <c r="S294" s="20"/>
      <c r="T294" s="20"/>
      <c r="U294" s="20"/>
      <c r="V294" s="20"/>
      <c r="W294" s="20"/>
      <c r="X294" s="20"/>
      <c r="Y294" s="20"/>
      <c r="Z294" s="20"/>
    </row>
    <row r="295" spans="1:26" ht="17.25" customHeight="1">
      <c r="A295" s="15"/>
      <c r="B295" s="15"/>
      <c r="C295" s="15"/>
      <c r="D295" s="15"/>
      <c r="E295" s="15"/>
      <c r="F295" s="15"/>
      <c r="G295" s="15"/>
      <c r="H295" s="47"/>
      <c r="I295" s="20"/>
      <c r="J295" s="20"/>
      <c r="K295" s="20"/>
      <c r="L295" s="20"/>
      <c r="M295" s="20"/>
      <c r="N295" s="20"/>
      <c r="O295" s="20"/>
      <c r="P295" s="20"/>
      <c r="Q295" s="20"/>
      <c r="R295" s="20"/>
      <c r="S295" s="20"/>
      <c r="T295" s="20"/>
      <c r="U295" s="20"/>
      <c r="V295" s="20"/>
      <c r="W295" s="20"/>
      <c r="X295" s="20"/>
      <c r="Y295" s="20"/>
      <c r="Z295" s="20"/>
    </row>
    <row r="296" spans="1:26" ht="17.25" customHeight="1">
      <c r="A296" s="15"/>
      <c r="B296" s="15"/>
      <c r="C296" s="15"/>
      <c r="D296" s="15"/>
      <c r="E296" s="15"/>
      <c r="F296" s="15"/>
      <c r="G296" s="15"/>
      <c r="H296" s="47"/>
      <c r="I296" s="20"/>
      <c r="J296" s="20"/>
      <c r="K296" s="20"/>
      <c r="L296" s="20"/>
      <c r="M296" s="20"/>
      <c r="N296" s="20"/>
      <c r="O296" s="20"/>
      <c r="P296" s="20"/>
      <c r="Q296" s="20"/>
      <c r="R296" s="20"/>
      <c r="S296" s="20"/>
      <c r="T296" s="20"/>
      <c r="U296" s="20"/>
      <c r="V296" s="20"/>
      <c r="W296" s="20"/>
      <c r="X296" s="20"/>
      <c r="Y296" s="20"/>
      <c r="Z296" s="20"/>
    </row>
    <row r="297" spans="1:26" ht="17.25" customHeight="1">
      <c r="A297" s="15"/>
      <c r="B297" s="15"/>
      <c r="C297" s="15"/>
      <c r="D297" s="15"/>
      <c r="E297" s="15"/>
      <c r="F297" s="15"/>
      <c r="G297" s="15"/>
      <c r="H297" s="47"/>
      <c r="I297" s="20"/>
      <c r="J297" s="20"/>
      <c r="K297" s="20"/>
      <c r="L297" s="20"/>
      <c r="M297" s="20"/>
      <c r="N297" s="20"/>
      <c r="O297" s="20"/>
      <c r="P297" s="20"/>
      <c r="Q297" s="20"/>
      <c r="R297" s="20"/>
      <c r="S297" s="20"/>
      <c r="T297" s="20"/>
      <c r="U297" s="20"/>
      <c r="V297" s="20"/>
      <c r="W297" s="20"/>
      <c r="X297" s="20"/>
      <c r="Y297" s="20"/>
      <c r="Z297" s="20"/>
    </row>
    <row r="298" spans="1:26" ht="17.25" customHeight="1">
      <c r="A298" s="15"/>
      <c r="B298" s="15"/>
      <c r="C298" s="15"/>
      <c r="D298" s="15"/>
      <c r="E298" s="15"/>
      <c r="F298" s="15"/>
      <c r="G298" s="15"/>
      <c r="H298" s="47"/>
      <c r="I298" s="20"/>
      <c r="J298" s="20"/>
      <c r="K298" s="20"/>
      <c r="L298" s="20"/>
      <c r="M298" s="20"/>
      <c r="N298" s="20"/>
      <c r="O298" s="20"/>
      <c r="P298" s="20"/>
      <c r="Q298" s="20"/>
      <c r="R298" s="20"/>
      <c r="S298" s="20"/>
      <c r="T298" s="20"/>
      <c r="U298" s="20"/>
      <c r="V298" s="20"/>
      <c r="W298" s="20"/>
      <c r="X298" s="20"/>
      <c r="Y298" s="20"/>
      <c r="Z298" s="20"/>
    </row>
    <row r="299" spans="1:26" ht="17.25" customHeight="1">
      <c r="A299" s="15"/>
      <c r="B299" s="15"/>
      <c r="C299" s="15"/>
      <c r="D299" s="15"/>
      <c r="E299" s="15"/>
      <c r="F299" s="15"/>
      <c r="G299" s="15"/>
      <c r="H299" s="47"/>
      <c r="I299" s="20"/>
      <c r="J299" s="20"/>
      <c r="K299" s="20"/>
      <c r="L299" s="20"/>
      <c r="M299" s="20"/>
      <c r="N299" s="20"/>
      <c r="O299" s="20"/>
      <c r="P299" s="20"/>
      <c r="Q299" s="20"/>
      <c r="R299" s="20"/>
      <c r="S299" s="20"/>
      <c r="T299" s="20"/>
      <c r="U299" s="20"/>
      <c r="V299" s="20"/>
      <c r="W299" s="20"/>
      <c r="X299" s="20"/>
      <c r="Y299" s="20"/>
      <c r="Z299" s="20"/>
    </row>
    <row r="300" spans="1:26" ht="17.25" customHeight="1">
      <c r="A300" s="15"/>
      <c r="B300" s="15"/>
      <c r="C300" s="15"/>
      <c r="D300" s="15"/>
      <c r="E300" s="15"/>
      <c r="F300" s="15"/>
      <c r="G300" s="15"/>
      <c r="H300" s="47"/>
      <c r="I300" s="20"/>
      <c r="J300" s="20"/>
      <c r="K300" s="20"/>
      <c r="L300" s="20"/>
      <c r="M300" s="20"/>
      <c r="N300" s="20"/>
      <c r="O300" s="20"/>
      <c r="P300" s="20"/>
      <c r="Q300" s="20"/>
      <c r="R300" s="20"/>
      <c r="S300" s="20"/>
      <c r="T300" s="20"/>
      <c r="U300" s="20"/>
      <c r="V300" s="20"/>
      <c r="W300" s="20"/>
      <c r="X300" s="20"/>
      <c r="Y300" s="20"/>
      <c r="Z300" s="20"/>
    </row>
    <row r="301" spans="1:26" ht="17.25" customHeight="1">
      <c r="A301" s="15"/>
      <c r="B301" s="15"/>
      <c r="C301" s="15"/>
      <c r="D301" s="15"/>
      <c r="E301" s="15"/>
      <c r="F301" s="15"/>
      <c r="G301" s="15"/>
      <c r="H301" s="47"/>
      <c r="I301" s="20"/>
      <c r="J301" s="20"/>
      <c r="K301" s="20"/>
      <c r="L301" s="20"/>
      <c r="M301" s="20"/>
      <c r="N301" s="20"/>
      <c r="O301" s="20"/>
      <c r="P301" s="20"/>
      <c r="Q301" s="20"/>
      <c r="R301" s="20"/>
      <c r="S301" s="20"/>
      <c r="T301" s="20"/>
      <c r="U301" s="20"/>
      <c r="V301" s="20"/>
      <c r="W301" s="20"/>
      <c r="X301" s="20"/>
      <c r="Y301" s="20"/>
      <c r="Z301" s="20"/>
    </row>
    <row r="302" spans="1:26" ht="17.25" customHeight="1">
      <c r="A302" s="15"/>
      <c r="B302" s="15"/>
      <c r="C302" s="15"/>
      <c r="D302" s="15"/>
      <c r="E302" s="15"/>
      <c r="F302" s="15"/>
      <c r="G302" s="15"/>
      <c r="H302" s="47"/>
      <c r="I302" s="20"/>
      <c r="J302" s="20"/>
      <c r="K302" s="20"/>
      <c r="L302" s="20"/>
      <c r="M302" s="20"/>
      <c r="N302" s="20"/>
      <c r="O302" s="20"/>
      <c r="P302" s="20"/>
      <c r="Q302" s="20"/>
      <c r="R302" s="20"/>
      <c r="S302" s="20"/>
      <c r="T302" s="20"/>
      <c r="U302" s="20"/>
      <c r="V302" s="20"/>
      <c r="W302" s="20"/>
      <c r="X302" s="20"/>
      <c r="Y302" s="20"/>
      <c r="Z302" s="20"/>
    </row>
    <row r="303" spans="1:26" ht="17.25" customHeight="1">
      <c r="A303" s="15"/>
      <c r="B303" s="15"/>
      <c r="C303" s="15"/>
      <c r="D303" s="15"/>
      <c r="E303" s="15"/>
      <c r="F303" s="15"/>
      <c r="G303" s="15"/>
      <c r="H303" s="47"/>
      <c r="I303" s="20"/>
      <c r="J303" s="20"/>
      <c r="K303" s="20"/>
      <c r="L303" s="20"/>
      <c r="M303" s="20"/>
      <c r="N303" s="20"/>
      <c r="O303" s="20"/>
      <c r="P303" s="20"/>
      <c r="Q303" s="20"/>
      <c r="R303" s="20"/>
      <c r="S303" s="20"/>
      <c r="T303" s="20"/>
      <c r="U303" s="20"/>
      <c r="V303" s="20"/>
      <c r="W303" s="20"/>
      <c r="X303" s="20"/>
      <c r="Y303" s="20"/>
      <c r="Z303" s="20"/>
    </row>
    <row r="304" spans="1:26" ht="17.25" customHeight="1">
      <c r="A304" s="15"/>
      <c r="B304" s="15"/>
      <c r="C304" s="15"/>
      <c r="D304" s="15"/>
      <c r="E304" s="15"/>
      <c r="F304" s="15"/>
      <c r="G304" s="15"/>
      <c r="H304" s="47"/>
      <c r="I304" s="20"/>
      <c r="J304" s="20"/>
      <c r="K304" s="20"/>
      <c r="L304" s="20"/>
      <c r="M304" s="20"/>
      <c r="N304" s="20"/>
      <c r="O304" s="20"/>
      <c r="P304" s="20"/>
      <c r="Q304" s="20"/>
      <c r="R304" s="20"/>
      <c r="S304" s="20"/>
      <c r="T304" s="20"/>
      <c r="U304" s="20"/>
      <c r="V304" s="20"/>
      <c r="W304" s="20"/>
      <c r="X304" s="20"/>
      <c r="Y304" s="20"/>
      <c r="Z304" s="20"/>
    </row>
    <row r="305" spans="1:26" ht="17.25" customHeight="1">
      <c r="A305" s="15"/>
      <c r="B305" s="15"/>
      <c r="C305" s="15"/>
      <c r="D305" s="15"/>
      <c r="E305" s="15"/>
      <c r="F305" s="15"/>
      <c r="G305" s="15"/>
      <c r="H305" s="47"/>
      <c r="I305" s="20"/>
      <c r="J305" s="20"/>
      <c r="K305" s="20"/>
      <c r="L305" s="20"/>
      <c r="M305" s="20"/>
      <c r="N305" s="20"/>
      <c r="O305" s="20"/>
      <c r="P305" s="20"/>
      <c r="Q305" s="20"/>
      <c r="R305" s="20"/>
      <c r="S305" s="20"/>
      <c r="T305" s="20"/>
      <c r="U305" s="20"/>
      <c r="V305" s="20"/>
      <c r="W305" s="20"/>
      <c r="X305" s="20"/>
      <c r="Y305" s="20"/>
      <c r="Z305" s="20"/>
    </row>
    <row r="306" spans="1:26" ht="17.25" customHeight="1">
      <c r="A306" s="15"/>
      <c r="B306" s="15"/>
      <c r="C306" s="15"/>
      <c r="D306" s="15"/>
      <c r="E306" s="15"/>
      <c r="F306" s="15"/>
      <c r="G306" s="15"/>
      <c r="H306" s="47"/>
      <c r="I306" s="20"/>
      <c r="J306" s="20"/>
      <c r="K306" s="20"/>
      <c r="L306" s="20"/>
      <c r="M306" s="20"/>
      <c r="N306" s="20"/>
      <c r="O306" s="20"/>
      <c r="P306" s="20"/>
      <c r="Q306" s="20"/>
      <c r="R306" s="20"/>
      <c r="S306" s="20"/>
      <c r="T306" s="20"/>
      <c r="U306" s="20"/>
      <c r="V306" s="20"/>
      <c r="W306" s="20"/>
      <c r="X306" s="20"/>
      <c r="Y306" s="20"/>
      <c r="Z306" s="20"/>
    </row>
    <row r="307" spans="1:26" ht="17.25" customHeight="1">
      <c r="A307" s="15"/>
      <c r="B307" s="15"/>
      <c r="C307" s="15"/>
      <c r="D307" s="15"/>
      <c r="E307" s="15"/>
      <c r="F307" s="15"/>
      <c r="G307" s="15"/>
      <c r="H307" s="47"/>
      <c r="I307" s="20"/>
      <c r="J307" s="20"/>
      <c r="K307" s="20"/>
      <c r="L307" s="20"/>
      <c r="M307" s="20"/>
      <c r="N307" s="20"/>
      <c r="O307" s="20"/>
      <c r="P307" s="20"/>
      <c r="Q307" s="20"/>
      <c r="R307" s="20"/>
      <c r="S307" s="20"/>
      <c r="T307" s="20"/>
      <c r="U307" s="20"/>
      <c r="V307" s="20"/>
      <c r="W307" s="20"/>
      <c r="X307" s="20"/>
      <c r="Y307" s="20"/>
      <c r="Z307" s="20"/>
    </row>
    <row r="308" spans="1:26" ht="17.25" customHeight="1">
      <c r="A308" s="15"/>
      <c r="B308" s="15"/>
      <c r="C308" s="15"/>
      <c r="D308" s="15"/>
      <c r="E308" s="15"/>
      <c r="F308" s="15"/>
      <c r="G308" s="15"/>
      <c r="H308" s="47"/>
      <c r="I308" s="20"/>
      <c r="J308" s="20"/>
      <c r="K308" s="20"/>
      <c r="L308" s="20"/>
      <c r="M308" s="20"/>
      <c r="N308" s="20"/>
      <c r="O308" s="20"/>
      <c r="P308" s="20"/>
      <c r="Q308" s="20"/>
      <c r="R308" s="20"/>
      <c r="S308" s="20"/>
      <c r="T308" s="20"/>
      <c r="U308" s="20"/>
      <c r="V308" s="20"/>
      <c r="W308" s="20"/>
      <c r="X308" s="20"/>
      <c r="Y308" s="20"/>
      <c r="Z308" s="20"/>
    </row>
    <row r="309" spans="1:26" ht="17.25" customHeight="1">
      <c r="A309" s="15"/>
      <c r="B309" s="15"/>
      <c r="C309" s="15"/>
      <c r="D309" s="15"/>
      <c r="E309" s="15"/>
      <c r="F309" s="15"/>
      <c r="G309" s="15"/>
      <c r="H309" s="47"/>
      <c r="I309" s="20"/>
      <c r="J309" s="20"/>
      <c r="K309" s="20"/>
      <c r="L309" s="20"/>
      <c r="M309" s="20"/>
      <c r="N309" s="20"/>
      <c r="O309" s="20"/>
      <c r="P309" s="20"/>
      <c r="Q309" s="20"/>
      <c r="R309" s="20"/>
      <c r="S309" s="20"/>
      <c r="T309" s="20"/>
      <c r="U309" s="20"/>
      <c r="V309" s="20"/>
      <c r="W309" s="20"/>
      <c r="X309" s="20"/>
      <c r="Y309" s="20"/>
      <c r="Z309" s="20"/>
    </row>
    <row r="310" spans="1:26" ht="17.25" customHeight="1">
      <c r="A310" s="15"/>
      <c r="B310" s="15"/>
      <c r="C310" s="15"/>
      <c r="D310" s="15"/>
      <c r="E310" s="15"/>
      <c r="F310" s="15"/>
      <c r="G310" s="15"/>
      <c r="H310" s="47"/>
      <c r="I310" s="20"/>
      <c r="J310" s="20"/>
      <c r="K310" s="20"/>
      <c r="L310" s="20"/>
      <c r="M310" s="20"/>
      <c r="N310" s="20"/>
      <c r="O310" s="20"/>
      <c r="P310" s="20"/>
      <c r="Q310" s="20"/>
      <c r="R310" s="20"/>
      <c r="S310" s="20"/>
      <c r="T310" s="20"/>
      <c r="U310" s="20"/>
      <c r="V310" s="20"/>
      <c r="W310" s="20"/>
      <c r="X310" s="20"/>
      <c r="Y310" s="20"/>
      <c r="Z310" s="20"/>
    </row>
    <row r="311" spans="1:26" ht="17.25" customHeight="1">
      <c r="A311" s="15"/>
      <c r="B311" s="15"/>
      <c r="C311" s="15"/>
      <c r="D311" s="15"/>
      <c r="E311" s="15"/>
      <c r="F311" s="15"/>
      <c r="G311" s="15"/>
      <c r="H311" s="47"/>
      <c r="I311" s="20"/>
      <c r="J311" s="20"/>
      <c r="K311" s="20"/>
      <c r="L311" s="20"/>
      <c r="M311" s="20"/>
      <c r="N311" s="20"/>
      <c r="O311" s="20"/>
      <c r="P311" s="20"/>
      <c r="Q311" s="20"/>
      <c r="R311" s="20"/>
      <c r="S311" s="20"/>
      <c r="T311" s="20"/>
      <c r="U311" s="20"/>
      <c r="V311" s="20"/>
      <c r="W311" s="20"/>
      <c r="X311" s="20"/>
      <c r="Y311" s="20"/>
      <c r="Z311" s="20"/>
    </row>
    <row r="312" spans="1:26" ht="17.25" customHeight="1">
      <c r="A312" s="15"/>
      <c r="B312" s="15"/>
      <c r="C312" s="15"/>
      <c r="D312" s="15"/>
      <c r="E312" s="15"/>
      <c r="F312" s="15"/>
      <c r="G312" s="15"/>
      <c r="H312" s="47"/>
      <c r="I312" s="20"/>
      <c r="J312" s="20"/>
      <c r="K312" s="20"/>
      <c r="L312" s="20"/>
      <c r="M312" s="20"/>
      <c r="N312" s="20"/>
      <c r="O312" s="20"/>
      <c r="P312" s="20"/>
      <c r="Q312" s="20"/>
      <c r="R312" s="20"/>
      <c r="S312" s="20"/>
      <c r="T312" s="20"/>
      <c r="U312" s="20"/>
      <c r="V312" s="20"/>
      <c r="W312" s="20"/>
      <c r="X312" s="20"/>
      <c r="Y312" s="20"/>
      <c r="Z312" s="20"/>
    </row>
    <row r="313" spans="1:26" ht="17.25" customHeight="1">
      <c r="A313" s="15"/>
      <c r="B313" s="15"/>
      <c r="C313" s="15"/>
      <c r="D313" s="15"/>
      <c r="E313" s="15"/>
      <c r="F313" s="15"/>
      <c r="G313" s="15"/>
      <c r="H313" s="47"/>
      <c r="I313" s="20"/>
      <c r="J313" s="20"/>
      <c r="K313" s="20"/>
      <c r="L313" s="20"/>
      <c r="M313" s="20"/>
      <c r="N313" s="20"/>
      <c r="O313" s="20"/>
      <c r="P313" s="20"/>
      <c r="Q313" s="20"/>
      <c r="R313" s="20"/>
      <c r="S313" s="20"/>
      <c r="T313" s="20"/>
      <c r="U313" s="20"/>
      <c r="V313" s="20"/>
      <c r="W313" s="20"/>
      <c r="X313" s="20"/>
      <c r="Y313" s="20"/>
      <c r="Z313" s="20"/>
    </row>
    <row r="314" spans="1:26" ht="17.25" customHeight="1">
      <c r="A314" s="15"/>
      <c r="B314" s="15"/>
      <c r="C314" s="15"/>
      <c r="D314" s="15"/>
      <c r="E314" s="15"/>
      <c r="F314" s="15"/>
      <c r="G314" s="15"/>
      <c r="H314" s="47"/>
      <c r="I314" s="20"/>
      <c r="J314" s="20"/>
      <c r="K314" s="20"/>
      <c r="L314" s="20"/>
      <c r="M314" s="20"/>
      <c r="N314" s="20"/>
      <c r="O314" s="20"/>
      <c r="P314" s="20"/>
      <c r="Q314" s="20"/>
      <c r="R314" s="20"/>
      <c r="S314" s="20"/>
      <c r="T314" s="20"/>
      <c r="U314" s="20"/>
      <c r="V314" s="20"/>
      <c r="W314" s="20"/>
      <c r="X314" s="20"/>
      <c r="Y314" s="20"/>
      <c r="Z314" s="20"/>
    </row>
    <row r="315" spans="1:26" ht="17.25" customHeight="1">
      <c r="A315" s="15"/>
      <c r="B315" s="15"/>
      <c r="C315" s="15"/>
      <c r="D315" s="15"/>
      <c r="E315" s="15"/>
      <c r="F315" s="15"/>
      <c r="G315" s="15"/>
      <c r="H315" s="47"/>
      <c r="I315" s="20"/>
      <c r="J315" s="20"/>
      <c r="K315" s="20"/>
      <c r="L315" s="20"/>
      <c r="M315" s="20"/>
      <c r="N315" s="20"/>
      <c r="O315" s="20"/>
      <c r="P315" s="20"/>
      <c r="Q315" s="20"/>
      <c r="R315" s="20"/>
      <c r="S315" s="20"/>
      <c r="T315" s="20"/>
      <c r="U315" s="20"/>
      <c r="V315" s="20"/>
      <c r="W315" s="20"/>
      <c r="X315" s="20"/>
      <c r="Y315" s="20"/>
      <c r="Z315" s="20"/>
    </row>
    <row r="316" spans="1:26" ht="17.25" customHeight="1">
      <c r="A316" s="15"/>
      <c r="B316" s="15"/>
      <c r="C316" s="15"/>
      <c r="D316" s="15"/>
      <c r="E316" s="15"/>
      <c r="F316" s="15"/>
      <c r="G316" s="15"/>
      <c r="H316" s="47"/>
      <c r="I316" s="20"/>
      <c r="J316" s="20"/>
      <c r="K316" s="20"/>
      <c r="L316" s="20"/>
      <c r="M316" s="20"/>
      <c r="N316" s="20"/>
      <c r="O316" s="20"/>
      <c r="P316" s="20"/>
      <c r="Q316" s="20"/>
      <c r="R316" s="20"/>
      <c r="S316" s="20"/>
      <c r="T316" s="20"/>
      <c r="U316" s="20"/>
      <c r="V316" s="20"/>
      <c r="W316" s="20"/>
      <c r="X316" s="20"/>
      <c r="Y316" s="20"/>
      <c r="Z316" s="20"/>
    </row>
    <row r="317" spans="1:26" ht="17.25" customHeight="1">
      <c r="A317" s="15"/>
      <c r="B317" s="15"/>
      <c r="C317" s="15"/>
      <c r="D317" s="15"/>
      <c r="E317" s="15"/>
      <c r="F317" s="15"/>
      <c r="G317" s="15"/>
      <c r="H317" s="47"/>
      <c r="I317" s="20"/>
      <c r="J317" s="20"/>
      <c r="K317" s="20"/>
      <c r="L317" s="20"/>
      <c r="M317" s="20"/>
      <c r="N317" s="20"/>
      <c r="O317" s="20"/>
      <c r="P317" s="20"/>
      <c r="Q317" s="20"/>
      <c r="R317" s="20"/>
      <c r="S317" s="20"/>
      <c r="T317" s="20"/>
      <c r="U317" s="20"/>
      <c r="V317" s="20"/>
      <c r="W317" s="20"/>
      <c r="X317" s="20"/>
      <c r="Y317" s="20"/>
      <c r="Z317" s="20"/>
    </row>
    <row r="318" spans="1:26" ht="17.25" customHeight="1">
      <c r="A318" s="15"/>
      <c r="B318" s="15"/>
      <c r="C318" s="15"/>
      <c r="D318" s="15"/>
      <c r="E318" s="15"/>
      <c r="F318" s="15"/>
      <c r="G318" s="15"/>
      <c r="H318" s="47"/>
      <c r="I318" s="20"/>
      <c r="J318" s="20"/>
      <c r="K318" s="20"/>
      <c r="L318" s="20"/>
      <c r="M318" s="20"/>
      <c r="N318" s="20"/>
      <c r="O318" s="20"/>
      <c r="P318" s="20"/>
      <c r="Q318" s="20"/>
      <c r="R318" s="20"/>
      <c r="S318" s="20"/>
      <c r="T318" s="20"/>
      <c r="U318" s="20"/>
      <c r="V318" s="20"/>
      <c r="W318" s="20"/>
      <c r="X318" s="20"/>
      <c r="Y318" s="20"/>
      <c r="Z318" s="20"/>
    </row>
    <row r="319" spans="1:26" ht="17.25" customHeight="1">
      <c r="A319" s="15"/>
      <c r="B319" s="15"/>
      <c r="C319" s="15"/>
      <c r="D319" s="15"/>
      <c r="E319" s="15"/>
      <c r="F319" s="15"/>
      <c r="G319" s="15"/>
      <c r="H319" s="47"/>
      <c r="I319" s="20"/>
      <c r="J319" s="20"/>
      <c r="K319" s="20"/>
      <c r="L319" s="20"/>
      <c r="M319" s="20"/>
      <c r="N319" s="20"/>
      <c r="O319" s="20"/>
      <c r="P319" s="20"/>
      <c r="Q319" s="20"/>
      <c r="R319" s="20"/>
      <c r="S319" s="20"/>
      <c r="T319" s="20"/>
      <c r="U319" s="20"/>
      <c r="V319" s="20"/>
      <c r="W319" s="20"/>
      <c r="X319" s="20"/>
      <c r="Y319" s="20"/>
      <c r="Z319" s="20"/>
    </row>
    <row r="320" spans="1:26" ht="17.25" customHeight="1">
      <c r="A320" s="15"/>
      <c r="B320" s="15"/>
      <c r="C320" s="15"/>
      <c r="D320" s="15"/>
      <c r="E320" s="15"/>
      <c r="F320" s="15"/>
      <c r="G320" s="15"/>
      <c r="H320" s="47"/>
      <c r="I320" s="20"/>
      <c r="J320" s="20"/>
      <c r="K320" s="20"/>
      <c r="L320" s="20"/>
      <c r="M320" s="20"/>
      <c r="N320" s="20"/>
      <c r="O320" s="20"/>
      <c r="P320" s="20"/>
      <c r="Q320" s="20"/>
      <c r="R320" s="20"/>
      <c r="S320" s="20"/>
      <c r="T320" s="20"/>
      <c r="U320" s="20"/>
      <c r="V320" s="20"/>
      <c r="W320" s="20"/>
      <c r="X320" s="20"/>
      <c r="Y320" s="20"/>
      <c r="Z320" s="20"/>
    </row>
    <row r="321" spans="1:26" ht="17.25" customHeight="1">
      <c r="A321" s="15"/>
      <c r="B321" s="15"/>
      <c r="C321" s="15"/>
      <c r="D321" s="15"/>
      <c r="E321" s="15"/>
      <c r="F321" s="15"/>
      <c r="G321" s="15"/>
      <c r="H321" s="47"/>
      <c r="I321" s="20"/>
      <c r="J321" s="20"/>
      <c r="K321" s="20"/>
      <c r="L321" s="20"/>
      <c r="M321" s="20"/>
      <c r="N321" s="20"/>
      <c r="O321" s="20"/>
      <c r="P321" s="20"/>
      <c r="Q321" s="20"/>
      <c r="R321" s="20"/>
      <c r="S321" s="20"/>
      <c r="T321" s="20"/>
      <c r="U321" s="20"/>
      <c r="V321" s="20"/>
      <c r="W321" s="20"/>
      <c r="X321" s="20"/>
      <c r="Y321" s="20"/>
      <c r="Z321" s="20"/>
    </row>
    <row r="322" spans="1:26" ht="17.25" customHeight="1">
      <c r="A322" s="15"/>
      <c r="B322" s="15"/>
      <c r="C322" s="15"/>
      <c r="D322" s="15"/>
      <c r="E322" s="15"/>
      <c r="F322" s="15"/>
      <c r="G322" s="15"/>
      <c r="H322" s="47"/>
      <c r="I322" s="20"/>
      <c r="J322" s="20"/>
      <c r="K322" s="20"/>
      <c r="L322" s="20"/>
      <c r="M322" s="20"/>
      <c r="N322" s="20"/>
      <c r="O322" s="20"/>
      <c r="P322" s="20"/>
      <c r="Q322" s="20"/>
      <c r="R322" s="20"/>
      <c r="S322" s="20"/>
      <c r="T322" s="20"/>
      <c r="U322" s="20"/>
      <c r="V322" s="20"/>
      <c r="W322" s="20"/>
      <c r="X322" s="20"/>
      <c r="Y322" s="20"/>
      <c r="Z322" s="20"/>
    </row>
    <row r="323" spans="1:26" ht="17.25" customHeight="1">
      <c r="A323" s="15"/>
      <c r="B323" s="15"/>
      <c r="C323" s="15"/>
      <c r="D323" s="15"/>
      <c r="E323" s="15"/>
      <c r="F323" s="15"/>
      <c r="G323" s="15"/>
      <c r="H323" s="47"/>
      <c r="I323" s="20"/>
      <c r="J323" s="20"/>
      <c r="K323" s="20"/>
      <c r="L323" s="20"/>
      <c r="M323" s="20"/>
      <c r="N323" s="20"/>
      <c r="O323" s="20"/>
      <c r="P323" s="20"/>
      <c r="Q323" s="20"/>
      <c r="R323" s="20"/>
      <c r="S323" s="20"/>
      <c r="T323" s="20"/>
      <c r="U323" s="20"/>
      <c r="V323" s="20"/>
      <c r="W323" s="20"/>
      <c r="X323" s="20"/>
      <c r="Y323" s="20"/>
      <c r="Z323" s="20"/>
    </row>
    <row r="324" spans="1:26" ht="17.25" customHeight="1">
      <c r="A324" s="15"/>
      <c r="B324" s="15"/>
      <c r="C324" s="15"/>
      <c r="D324" s="15"/>
      <c r="E324" s="15"/>
      <c r="F324" s="15"/>
      <c r="G324" s="15"/>
      <c r="H324" s="47"/>
      <c r="I324" s="20"/>
      <c r="J324" s="20"/>
      <c r="K324" s="20"/>
      <c r="L324" s="20"/>
      <c r="M324" s="20"/>
      <c r="N324" s="20"/>
      <c r="O324" s="20"/>
      <c r="P324" s="20"/>
      <c r="Q324" s="20"/>
      <c r="R324" s="20"/>
      <c r="S324" s="20"/>
      <c r="T324" s="20"/>
      <c r="U324" s="20"/>
      <c r="V324" s="20"/>
      <c r="W324" s="20"/>
      <c r="X324" s="20"/>
      <c r="Y324" s="20"/>
      <c r="Z324" s="20"/>
    </row>
    <row r="325" spans="1:26" ht="17.25" customHeight="1">
      <c r="A325" s="15"/>
      <c r="B325" s="15"/>
      <c r="C325" s="15"/>
      <c r="D325" s="15"/>
      <c r="E325" s="15"/>
      <c r="F325" s="15"/>
      <c r="G325" s="15"/>
      <c r="H325" s="47"/>
      <c r="I325" s="20"/>
      <c r="J325" s="20"/>
      <c r="K325" s="20"/>
      <c r="L325" s="20"/>
      <c r="M325" s="20"/>
      <c r="N325" s="20"/>
      <c r="O325" s="20"/>
      <c r="P325" s="20"/>
      <c r="Q325" s="20"/>
      <c r="R325" s="20"/>
      <c r="S325" s="20"/>
      <c r="T325" s="20"/>
      <c r="U325" s="20"/>
      <c r="V325" s="20"/>
      <c r="W325" s="20"/>
      <c r="X325" s="20"/>
      <c r="Y325" s="20"/>
      <c r="Z325" s="20"/>
    </row>
    <row r="326" spans="1:26" ht="17.25" customHeight="1">
      <c r="A326" s="15"/>
      <c r="B326" s="15"/>
      <c r="C326" s="15"/>
      <c r="D326" s="15"/>
      <c r="E326" s="15"/>
      <c r="F326" s="15"/>
      <c r="G326" s="15"/>
      <c r="H326" s="47"/>
      <c r="I326" s="20"/>
      <c r="J326" s="20"/>
      <c r="K326" s="20"/>
      <c r="L326" s="20"/>
      <c r="M326" s="20"/>
      <c r="N326" s="20"/>
      <c r="O326" s="20"/>
      <c r="P326" s="20"/>
      <c r="Q326" s="20"/>
      <c r="R326" s="20"/>
      <c r="S326" s="20"/>
      <c r="T326" s="20"/>
      <c r="U326" s="20"/>
      <c r="V326" s="20"/>
      <c r="W326" s="20"/>
      <c r="X326" s="20"/>
      <c r="Y326" s="20"/>
      <c r="Z326" s="20"/>
    </row>
    <row r="327" spans="1:26" ht="17.25" customHeight="1">
      <c r="A327" s="15"/>
      <c r="B327" s="15"/>
      <c r="C327" s="15"/>
      <c r="D327" s="15"/>
      <c r="E327" s="15"/>
      <c r="F327" s="15"/>
      <c r="G327" s="15"/>
      <c r="H327" s="47"/>
      <c r="I327" s="20"/>
      <c r="J327" s="20"/>
      <c r="K327" s="20"/>
      <c r="L327" s="20"/>
      <c r="M327" s="20"/>
      <c r="N327" s="20"/>
      <c r="O327" s="20"/>
      <c r="P327" s="20"/>
      <c r="Q327" s="20"/>
      <c r="R327" s="20"/>
      <c r="S327" s="20"/>
      <c r="T327" s="20"/>
      <c r="U327" s="20"/>
      <c r="V327" s="20"/>
      <c r="W327" s="20"/>
      <c r="X327" s="20"/>
      <c r="Y327" s="20"/>
      <c r="Z327" s="20"/>
    </row>
    <row r="328" spans="1:26" ht="17.25" customHeight="1">
      <c r="A328" s="15"/>
      <c r="B328" s="15"/>
      <c r="C328" s="15"/>
      <c r="D328" s="15"/>
      <c r="E328" s="15"/>
      <c r="F328" s="15"/>
      <c r="G328" s="15"/>
      <c r="H328" s="47"/>
      <c r="I328" s="20"/>
      <c r="J328" s="20"/>
      <c r="K328" s="20"/>
      <c r="L328" s="20"/>
      <c r="M328" s="20"/>
      <c r="N328" s="20"/>
      <c r="O328" s="20"/>
      <c r="P328" s="20"/>
      <c r="Q328" s="20"/>
      <c r="R328" s="20"/>
      <c r="S328" s="20"/>
      <c r="T328" s="20"/>
      <c r="U328" s="20"/>
      <c r="V328" s="20"/>
      <c r="W328" s="20"/>
      <c r="X328" s="20"/>
      <c r="Y328" s="20"/>
      <c r="Z328" s="20"/>
    </row>
    <row r="329" spans="1:26" ht="17.25" customHeight="1">
      <c r="A329" s="15"/>
      <c r="B329" s="15"/>
      <c r="C329" s="15"/>
      <c r="D329" s="15"/>
      <c r="E329" s="15"/>
      <c r="F329" s="15"/>
      <c r="G329" s="15"/>
      <c r="H329" s="47"/>
      <c r="I329" s="20"/>
      <c r="J329" s="20"/>
      <c r="K329" s="20"/>
      <c r="L329" s="20"/>
      <c r="M329" s="20"/>
      <c r="N329" s="20"/>
      <c r="O329" s="20"/>
      <c r="P329" s="20"/>
      <c r="Q329" s="20"/>
      <c r="R329" s="20"/>
      <c r="S329" s="20"/>
      <c r="T329" s="20"/>
      <c r="U329" s="20"/>
      <c r="V329" s="20"/>
      <c r="W329" s="20"/>
      <c r="X329" s="20"/>
      <c r="Y329" s="20"/>
      <c r="Z329" s="20"/>
    </row>
    <row r="330" spans="1:26" ht="17.25" customHeight="1">
      <c r="A330" s="15"/>
      <c r="B330" s="15"/>
      <c r="C330" s="15"/>
      <c r="D330" s="15"/>
      <c r="E330" s="15"/>
      <c r="F330" s="15"/>
      <c r="G330" s="15"/>
      <c r="H330" s="47"/>
      <c r="I330" s="20"/>
      <c r="J330" s="20"/>
      <c r="K330" s="20"/>
      <c r="L330" s="20"/>
      <c r="M330" s="20"/>
      <c r="N330" s="20"/>
      <c r="O330" s="20"/>
      <c r="P330" s="20"/>
      <c r="Q330" s="20"/>
      <c r="R330" s="20"/>
      <c r="S330" s="20"/>
      <c r="T330" s="20"/>
      <c r="U330" s="20"/>
      <c r="V330" s="20"/>
      <c r="W330" s="20"/>
      <c r="X330" s="20"/>
      <c r="Y330" s="20"/>
      <c r="Z330" s="20"/>
    </row>
    <row r="331" spans="1:26" ht="17.25" customHeight="1">
      <c r="A331" s="15"/>
      <c r="B331" s="15"/>
      <c r="C331" s="15"/>
      <c r="D331" s="15"/>
      <c r="E331" s="15"/>
      <c r="F331" s="15"/>
      <c r="G331" s="15"/>
      <c r="H331" s="47"/>
      <c r="I331" s="20"/>
      <c r="J331" s="20"/>
      <c r="K331" s="20"/>
      <c r="L331" s="20"/>
      <c r="M331" s="20"/>
      <c r="N331" s="20"/>
      <c r="O331" s="20"/>
      <c r="P331" s="20"/>
      <c r="Q331" s="20"/>
      <c r="R331" s="20"/>
      <c r="S331" s="20"/>
      <c r="T331" s="20"/>
      <c r="U331" s="20"/>
      <c r="V331" s="20"/>
      <c r="W331" s="20"/>
      <c r="X331" s="20"/>
      <c r="Y331" s="20"/>
      <c r="Z331" s="20"/>
    </row>
    <row r="332" spans="1:26" ht="17.25" customHeight="1">
      <c r="A332" s="15"/>
      <c r="B332" s="15"/>
      <c r="C332" s="15"/>
      <c r="D332" s="15"/>
      <c r="E332" s="15"/>
      <c r="F332" s="15"/>
      <c r="G332" s="15"/>
      <c r="H332" s="47"/>
      <c r="I332" s="20"/>
      <c r="J332" s="20"/>
      <c r="K332" s="20"/>
      <c r="L332" s="20"/>
      <c r="M332" s="20"/>
      <c r="N332" s="20"/>
      <c r="O332" s="20"/>
      <c r="P332" s="20"/>
      <c r="Q332" s="20"/>
      <c r="R332" s="20"/>
      <c r="S332" s="20"/>
      <c r="T332" s="20"/>
      <c r="U332" s="20"/>
      <c r="V332" s="20"/>
      <c r="W332" s="20"/>
      <c r="X332" s="20"/>
      <c r="Y332" s="20"/>
      <c r="Z332" s="20"/>
    </row>
    <row r="333" spans="1:26" ht="17.25" customHeight="1">
      <c r="A333" s="15"/>
      <c r="B333" s="15"/>
      <c r="C333" s="15"/>
      <c r="D333" s="15"/>
      <c r="E333" s="15"/>
      <c r="F333" s="15"/>
      <c r="G333" s="15"/>
      <c r="H333" s="47"/>
      <c r="I333" s="20"/>
      <c r="J333" s="20"/>
      <c r="K333" s="20"/>
      <c r="L333" s="20"/>
      <c r="M333" s="20"/>
      <c r="N333" s="20"/>
      <c r="O333" s="20"/>
      <c r="P333" s="20"/>
      <c r="Q333" s="20"/>
      <c r="R333" s="20"/>
      <c r="S333" s="20"/>
      <c r="T333" s="20"/>
      <c r="U333" s="20"/>
      <c r="V333" s="20"/>
      <c r="W333" s="20"/>
      <c r="X333" s="20"/>
      <c r="Y333" s="20"/>
      <c r="Z333" s="20"/>
    </row>
    <row r="334" spans="1:26" ht="17.25" customHeight="1">
      <c r="A334" s="15"/>
      <c r="B334" s="15"/>
      <c r="C334" s="15"/>
      <c r="D334" s="15"/>
      <c r="E334" s="15"/>
      <c r="F334" s="15"/>
      <c r="G334" s="15"/>
      <c r="H334" s="47"/>
      <c r="I334" s="20"/>
      <c r="J334" s="20"/>
      <c r="K334" s="20"/>
      <c r="L334" s="20"/>
      <c r="M334" s="20"/>
      <c r="N334" s="20"/>
      <c r="O334" s="20"/>
      <c r="P334" s="20"/>
      <c r="Q334" s="20"/>
      <c r="R334" s="20"/>
      <c r="S334" s="20"/>
      <c r="T334" s="20"/>
      <c r="U334" s="20"/>
      <c r="V334" s="20"/>
      <c r="W334" s="20"/>
      <c r="X334" s="20"/>
      <c r="Y334" s="20"/>
      <c r="Z334" s="20"/>
    </row>
    <row r="335" spans="1:26" ht="17.25" customHeight="1">
      <c r="A335" s="15"/>
      <c r="B335" s="15"/>
      <c r="C335" s="15"/>
      <c r="D335" s="15"/>
      <c r="E335" s="15"/>
      <c r="F335" s="15"/>
      <c r="G335" s="15"/>
      <c r="H335" s="47"/>
      <c r="I335" s="20"/>
      <c r="J335" s="20"/>
      <c r="K335" s="20"/>
      <c r="L335" s="20"/>
      <c r="M335" s="20"/>
      <c r="N335" s="20"/>
      <c r="O335" s="20"/>
      <c r="P335" s="20"/>
      <c r="Q335" s="20"/>
      <c r="R335" s="20"/>
      <c r="S335" s="20"/>
      <c r="T335" s="20"/>
      <c r="U335" s="20"/>
      <c r="V335" s="20"/>
      <c r="W335" s="20"/>
      <c r="X335" s="20"/>
      <c r="Y335" s="20"/>
      <c r="Z335" s="20"/>
    </row>
    <row r="336" spans="1:26" ht="17.25" customHeight="1">
      <c r="A336" s="15"/>
      <c r="B336" s="15"/>
      <c r="C336" s="15"/>
      <c r="D336" s="15"/>
      <c r="E336" s="15"/>
      <c r="F336" s="15"/>
      <c r="G336" s="15"/>
      <c r="H336" s="47"/>
      <c r="I336" s="20"/>
      <c r="J336" s="20"/>
      <c r="K336" s="20"/>
      <c r="L336" s="20"/>
      <c r="M336" s="20"/>
      <c r="N336" s="20"/>
      <c r="O336" s="20"/>
      <c r="P336" s="20"/>
      <c r="Q336" s="20"/>
      <c r="R336" s="20"/>
      <c r="S336" s="20"/>
      <c r="T336" s="20"/>
      <c r="U336" s="20"/>
      <c r="V336" s="20"/>
      <c r="W336" s="20"/>
      <c r="X336" s="20"/>
      <c r="Y336" s="20"/>
      <c r="Z336" s="20"/>
    </row>
    <row r="337" spans="1:26" ht="17.25" customHeight="1">
      <c r="A337" s="15"/>
      <c r="B337" s="15"/>
      <c r="C337" s="15"/>
      <c r="D337" s="15"/>
      <c r="E337" s="15"/>
      <c r="F337" s="15"/>
      <c r="G337" s="15"/>
      <c r="H337" s="47"/>
      <c r="I337" s="20"/>
      <c r="J337" s="20"/>
      <c r="K337" s="20"/>
      <c r="L337" s="20"/>
      <c r="M337" s="20"/>
      <c r="N337" s="20"/>
      <c r="O337" s="20"/>
      <c r="P337" s="20"/>
      <c r="Q337" s="20"/>
      <c r="R337" s="20"/>
      <c r="S337" s="20"/>
      <c r="T337" s="20"/>
      <c r="U337" s="20"/>
      <c r="V337" s="20"/>
      <c r="W337" s="20"/>
      <c r="X337" s="20"/>
      <c r="Y337" s="20"/>
      <c r="Z337" s="20"/>
    </row>
    <row r="338" spans="1:26" ht="17.25" customHeight="1">
      <c r="A338" s="15"/>
      <c r="B338" s="15"/>
      <c r="C338" s="15"/>
      <c r="D338" s="15"/>
      <c r="E338" s="15"/>
      <c r="F338" s="15"/>
      <c r="G338" s="15"/>
      <c r="H338" s="47"/>
      <c r="I338" s="20"/>
      <c r="J338" s="20"/>
      <c r="K338" s="20"/>
      <c r="L338" s="20"/>
      <c r="M338" s="20"/>
      <c r="N338" s="20"/>
      <c r="O338" s="20"/>
      <c r="P338" s="20"/>
      <c r="Q338" s="20"/>
      <c r="R338" s="20"/>
      <c r="S338" s="20"/>
      <c r="T338" s="20"/>
      <c r="U338" s="20"/>
      <c r="V338" s="20"/>
      <c r="W338" s="20"/>
      <c r="X338" s="20"/>
      <c r="Y338" s="20"/>
      <c r="Z338" s="20"/>
    </row>
    <row r="339" spans="1:26" ht="17.25" customHeight="1">
      <c r="A339" s="15"/>
      <c r="B339" s="15"/>
      <c r="C339" s="15"/>
      <c r="D339" s="15"/>
      <c r="E339" s="15"/>
      <c r="F339" s="15"/>
      <c r="G339" s="15"/>
      <c r="H339" s="47"/>
      <c r="I339" s="20"/>
      <c r="J339" s="20"/>
      <c r="K339" s="20"/>
      <c r="L339" s="20"/>
      <c r="M339" s="20"/>
      <c r="N339" s="20"/>
      <c r="O339" s="20"/>
      <c r="P339" s="20"/>
      <c r="Q339" s="20"/>
      <c r="R339" s="20"/>
      <c r="S339" s="20"/>
      <c r="T339" s="20"/>
      <c r="U339" s="20"/>
      <c r="V339" s="20"/>
      <c r="W339" s="20"/>
      <c r="X339" s="20"/>
      <c r="Y339" s="20"/>
      <c r="Z339" s="20"/>
    </row>
    <row r="340" spans="1:26" ht="17.25" customHeight="1">
      <c r="A340" s="15"/>
      <c r="B340" s="15"/>
      <c r="C340" s="15"/>
      <c r="D340" s="15"/>
      <c r="E340" s="15"/>
      <c r="F340" s="15"/>
      <c r="G340" s="15"/>
      <c r="H340" s="47"/>
      <c r="I340" s="20"/>
      <c r="J340" s="20"/>
      <c r="K340" s="20"/>
      <c r="L340" s="20"/>
      <c r="M340" s="20"/>
      <c r="N340" s="20"/>
      <c r="O340" s="20"/>
      <c r="P340" s="20"/>
      <c r="Q340" s="20"/>
      <c r="R340" s="20"/>
      <c r="S340" s="20"/>
      <c r="T340" s="20"/>
      <c r="U340" s="20"/>
      <c r="V340" s="20"/>
      <c r="W340" s="20"/>
      <c r="X340" s="20"/>
      <c r="Y340" s="20"/>
      <c r="Z340" s="20"/>
    </row>
    <row r="341" spans="1:26" ht="17.25" customHeight="1">
      <c r="A341" s="15"/>
      <c r="B341" s="15"/>
      <c r="C341" s="15"/>
      <c r="D341" s="15"/>
      <c r="E341" s="15"/>
      <c r="F341" s="15"/>
      <c r="G341" s="15"/>
      <c r="H341" s="47"/>
      <c r="I341" s="20"/>
      <c r="J341" s="20"/>
      <c r="K341" s="20"/>
      <c r="L341" s="20"/>
      <c r="M341" s="20"/>
      <c r="N341" s="20"/>
      <c r="O341" s="20"/>
      <c r="P341" s="20"/>
      <c r="Q341" s="20"/>
      <c r="R341" s="20"/>
      <c r="S341" s="20"/>
      <c r="T341" s="20"/>
      <c r="U341" s="20"/>
      <c r="V341" s="20"/>
      <c r="W341" s="20"/>
      <c r="X341" s="20"/>
      <c r="Y341" s="20"/>
      <c r="Z341" s="20"/>
    </row>
    <row r="342" spans="1:26" ht="17.25" customHeight="1">
      <c r="A342" s="15"/>
      <c r="B342" s="15"/>
      <c r="C342" s="15"/>
      <c r="D342" s="15"/>
      <c r="E342" s="15"/>
      <c r="F342" s="15"/>
      <c r="G342" s="15"/>
      <c r="H342" s="47"/>
      <c r="I342" s="20"/>
      <c r="J342" s="20"/>
      <c r="K342" s="20"/>
      <c r="L342" s="20"/>
      <c r="M342" s="20"/>
      <c r="N342" s="20"/>
      <c r="O342" s="20"/>
      <c r="P342" s="20"/>
      <c r="Q342" s="20"/>
      <c r="R342" s="20"/>
      <c r="S342" s="20"/>
      <c r="T342" s="20"/>
      <c r="U342" s="20"/>
      <c r="V342" s="20"/>
      <c r="W342" s="20"/>
      <c r="X342" s="20"/>
      <c r="Y342" s="20"/>
      <c r="Z342" s="20"/>
    </row>
    <row r="343" spans="1:26" ht="17.25" customHeight="1">
      <c r="A343" s="15"/>
      <c r="B343" s="15"/>
      <c r="C343" s="15"/>
      <c r="D343" s="15"/>
      <c r="E343" s="15"/>
      <c r="F343" s="15"/>
      <c r="G343" s="15"/>
      <c r="H343" s="47"/>
      <c r="I343" s="20"/>
      <c r="J343" s="20"/>
      <c r="K343" s="20"/>
      <c r="L343" s="20"/>
      <c r="M343" s="20"/>
      <c r="N343" s="20"/>
      <c r="O343" s="20"/>
      <c r="P343" s="20"/>
      <c r="Q343" s="20"/>
      <c r="R343" s="20"/>
      <c r="S343" s="20"/>
      <c r="T343" s="20"/>
      <c r="U343" s="20"/>
      <c r="V343" s="20"/>
      <c r="W343" s="20"/>
      <c r="X343" s="20"/>
      <c r="Y343" s="20"/>
      <c r="Z343" s="20"/>
    </row>
    <row r="344" spans="1:26" ht="17.25" customHeight="1">
      <c r="A344" s="15"/>
      <c r="B344" s="15"/>
      <c r="C344" s="15"/>
      <c r="D344" s="15"/>
      <c r="E344" s="15"/>
      <c r="F344" s="15"/>
      <c r="G344" s="15"/>
      <c r="H344" s="47"/>
      <c r="I344" s="20"/>
      <c r="J344" s="20"/>
      <c r="K344" s="20"/>
      <c r="L344" s="20"/>
      <c r="M344" s="20"/>
      <c r="N344" s="20"/>
      <c r="O344" s="20"/>
      <c r="P344" s="20"/>
      <c r="Q344" s="20"/>
      <c r="R344" s="20"/>
      <c r="S344" s="20"/>
      <c r="T344" s="20"/>
      <c r="U344" s="20"/>
      <c r="V344" s="20"/>
      <c r="W344" s="20"/>
      <c r="X344" s="20"/>
      <c r="Y344" s="20"/>
      <c r="Z344" s="20"/>
    </row>
    <row r="345" spans="1:26" ht="17.25" customHeight="1">
      <c r="A345" s="15"/>
      <c r="B345" s="15"/>
      <c r="C345" s="15"/>
      <c r="D345" s="15"/>
      <c r="E345" s="15"/>
      <c r="F345" s="15"/>
      <c r="G345" s="15"/>
      <c r="H345" s="47"/>
      <c r="I345" s="20"/>
      <c r="J345" s="20"/>
      <c r="K345" s="20"/>
      <c r="L345" s="20"/>
      <c r="M345" s="20"/>
      <c r="N345" s="20"/>
      <c r="O345" s="20"/>
      <c r="P345" s="20"/>
      <c r="Q345" s="20"/>
      <c r="R345" s="20"/>
      <c r="S345" s="20"/>
      <c r="T345" s="20"/>
      <c r="U345" s="20"/>
      <c r="V345" s="20"/>
      <c r="W345" s="20"/>
      <c r="X345" s="20"/>
      <c r="Y345" s="20"/>
      <c r="Z345" s="20"/>
    </row>
    <row r="346" spans="1:26" ht="17.25" customHeight="1">
      <c r="A346" s="15"/>
      <c r="B346" s="15"/>
      <c r="C346" s="15"/>
      <c r="D346" s="15"/>
      <c r="E346" s="15"/>
      <c r="F346" s="15"/>
      <c r="G346" s="15"/>
      <c r="H346" s="47"/>
      <c r="I346" s="20"/>
      <c r="J346" s="20"/>
      <c r="K346" s="20"/>
      <c r="L346" s="20"/>
      <c r="M346" s="20"/>
      <c r="N346" s="20"/>
      <c r="O346" s="20"/>
      <c r="P346" s="20"/>
      <c r="Q346" s="20"/>
      <c r="R346" s="20"/>
      <c r="S346" s="20"/>
      <c r="T346" s="20"/>
      <c r="U346" s="20"/>
      <c r="V346" s="20"/>
      <c r="W346" s="20"/>
      <c r="X346" s="20"/>
      <c r="Y346" s="20"/>
      <c r="Z346" s="20"/>
    </row>
    <row r="347" spans="1:26" ht="17.25" customHeight="1">
      <c r="A347" s="15"/>
      <c r="B347" s="15"/>
      <c r="C347" s="15"/>
      <c r="D347" s="15"/>
      <c r="E347" s="15"/>
      <c r="F347" s="15"/>
      <c r="G347" s="15"/>
      <c r="H347" s="47"/>
      <c r="I347" s="20"/>
      <c r="J347" s="20"/>
      <c r="K347" s="20"/>
      <c r="L347" s="20"/>
      <c r="M347" s="20"/>
      <c r="N347" s="20"/>
      <c r="O347" s="20"/>
      <c r="P347" s="20"/>
      <c r="Q347" s="20"/>
      <c r="R347" s="20"/>
      <c r="S347" s="20"/>
      <c r="T347" s="20"/>
      <c r="U347" s="20"/>
      <c r="V347" s="20"/>
      <c r="W347" s="20"/>
      <c r="X347" s="20"/>
      <c r="Y347" s="20"/>
      <c r="Z347" s="20"/>
    </row>
    <row r="348" spans="1:26" ht="17.25" customHeight="1">
      <c r="A348" s="15"/>
      <c r="B348" s="15"/>
      <c r="C348" s="15"/>
      <c r="D348" s="15"/>
      <c r="E348" s="15"/>
      <c r="F348" s="15"/>
      <c r="G348" s="15"/>
      <c r="H348" s="47"/>
      <c r="I348" s="20"/>
      <c r="J348" s="20"/>
      <c r="K348" s="20"/>
      <c r="L348" s="20"/>
      <c r="M348" s="20"/>
      <c r="N348" s="20"/>
      <c r="O348" s="20"/>
      <c r="P348" s="20"/>
      <c r="Q348" s="20"/>
      <c r="R348" s="20"/>
      <c r="S348" s="20"/>
      <c r="T348" s="20"/>
      <c r="U348" s="20"/>
      <c r="V348" s="20"/>
      <c r="W348" s="20"/>
      <c r="X348" s="20"/>
      <c r="Y348" s="20"/>
      <c r="Z348" s="20"/>
    </row>
    <row r="349" spans="1:26" ht="17.25" customHeight="1">
      <c r="A349" s="15"/>
      <c r="B349" s="15"/>
      <c r="C349" s="15"/>
      <c r="D349" s="15"/>
      <c r="E349" s="15"/>
      <c r="F349" s="15"/>
      <c r="G349" s="15"/>
      <c r="H349" s="47"/>
      <c r="I349" s="20"/>
      <c r="J349" s="20"/>
      <c r="K349" s="20"/>
      <c r="L349" s="20"/>
      <c r="M349" s="20"/>
      <c r="N349" s="20"/>
      <c r="O349" s="20"/>
      <c r="P349" s="20"/>
      <c r="Q349" s="20"/>
      <c r="R349" s="20"/>
      <c r="S349" s="20"/>
      <c r="T349" s="20"/>
      <c r="U349" s="20"/>
      <c r="V349" s="20"/>
      <c r="W349" s="20"/>
      <c r="X349" s="20"/>
      <c r="Y349" s="20"/>
      <c r="Z349" s="20"/>
    </row>
    <row r="350" spans="1:26" ht="17.25" customHeight="1">
      <c r="A350" s="15"/>
      <c r="B350" s="15"/>
      <c r="C350" s="15"/>
      <c r="D350" s="15"/>
      <c r="E350" s="15"/>
      <c r="F350" s="15"/>
      <c r="G350" s="15"/>
      <c r="H350" s="47"/>
      <c r="I350" s="20"/>
      <c r="J350" s="20"/>
      <c r="K350" s="20"/>
      <c r="L350" s="20"/>
      <c r="M350" s="20"/>
      <c r="N350" s="20"/>
      <c r="O350" s="20"/>
      <c r="P350" s="20"/>
      <c r="Q350" s="20"/>
      <c r="R350" s="20"/>
      <c r="S350" s="20"/>
      <c r="T350" s="20"/>
      <c r="U350" s="20"/>
      <c r="V350" s="20"/>
      <c r="W350" s="20"/>
      <c r="X350" s="20"/>
      <c r="Y350" s="20"/>
      <c r="Z350" s="20"/>
    </row>
    <row r="351" spans="1:26" ht="17.25" customHeight="1">
      <c r="A351" s="15"/>
      <c r="B351" s="15"/>
      <c r="C351" s="15"/>
      <c r="D351" s="15"/>
      <c r="E351" s="15"/>
      <c r="F351" s="15"/>
      <c r="G351" s="15"/>
      <c r="H351" s="47"/>
      <c r="I351" s="20"/>
      <c r="J351" s="20"/>
      <c r="K351" s="20"/>
      <c r="L351" s="20"/>
      <c r="M351" s="20"/>
      <c r="N351" s="20"/>
      <c r="O351" s="20"/>
      <c r="P351" s="20"/>
      <c r="Q351" s="20"/>
      <c r="R351" s="20"/>
      <c r="S351" s="20"/>
      <c r="T351" s="20"/>
      <c r="U351" s="20"/>
      <c r="V351" s="20"/>
      <c r="W351" s="20"/>
      <c r="X351" s="20"/>
      <c r="Y351" s="20"/>
      <c r="Z351" s="20"/>
    </row>
    <row r="352" spans="1:26" ht="17.25" customHeight="1">
      <c r="A352" s="15"/>
      <c r="B352" s="15"/>
      <c r="C352" s="15"/>
      <c r="D352" s="15"/>
      <c r="E352" s="15"/>
      <c r="F352" s="15"/>
      <c r="G352" s="15"/>
      <c r="H352" s="47"/>
      <c r="I352" s="20"/>
      <c r="J352" s="20"/>
      <c r="K352" s="20"/>
      <c r="L352" s="20"/>
      <c r="M352" s="20"/>
      <c r="N352" s="20"/>
      <c r="O352" s="20"/>
      <c r="P352" s="20"/>
      <c r="Q352" s="20"/>
      <c r="R352" s="20"/>
      <c r="S352" s="20"/>
      <c r="T352" s="20"/>
      <c r="U352" s="20"/>
      <c r="V352" s="20"/>
      <c r="W352" s="20"/>
      <c r="X352" s="20"/>
      <c r="Y352" s="20"/>
      <c r="Z352" s="20"/>
    </row>
    <row r="353" spans="1:26" ht="17.25" customHeight="1">
      <c r="A353" s="15"/>
      <c r="B353" s="15"/>
      <c r="C353" s="15"/>
      <c r="D353" s="15"/>
      <c r="E353" s="15"/>
      <c r="F353" s="15"/>
      <c r="G353" s="15"/>
      <c r="H353" s="47"/>
      <c r="I353" s="20"/>
      <c r="J353" s="20"/>
      <c r="K353" s="20"/>
      <c r="L353" s="20"/>
      <c r="M353" s="20"/>
      <c r="N353" s="20"/>
      <c r="O353" s="20"/>
      <c r="P353" s="20"/>
      <c r="Q353" s="20"/>
      <c r="R353" s="20"/>
      <c r="S353" s="20"/>
      <c r="T353" s="20"/>
      <c r="U353" s="20"/>
      <c r="V353" s="20"/>
      <c r="W353" s="20"/>
      <c r="X353" s="20"/>
      <c r="Y353" s="20"/>
      <c r="Z353" s="20"/>
    </row>
    <row r="354" spans="1:26" ht="17.25" customHeight="1">
      <c r="A354" s="15"/>
      <c r="B354" s="15"/>
      <c r="C354" s="15"/>
      <c r="D354" s="15"/>
      <c r="E354" s="15"/>
      <c r="F354" s="15"/>
      <c r="G354" s="15"/>
      <c r="H354" s="47"/>
      <c r="I354" s="20"/>
      <c r="J354" s="20"/>
      <c r="K354" s="20"/>
      <c r="L354" s="20"/>
      <c r="M354" s="20"/>
      <c r="N354" s="20"/>
      <c r="O354" s="20"/>
      <c r="P354" s="20"/>
      <c r="Q354" s="20"/>
      <c r="R354" s="20"/>
      <c r="S354" s="20"/>
      <c r="T354" s="20"/>
      <c r="U354" s="20"/>
      <c r="V354" s="20"/>
      <c r="W354" s="20"/>
      <c r="X354" s="20"/>
      <c r="Y354" s="20"/>
      <c r="Z354" s="20"/>
    </row>
    <row r="355" spans="1:26" ht="17.25" customHeight="1">
      <c r="A355" s="15"/>
      <c r="B355" s="15"/>
      <c r="C355" s="15"/>
      <c r="D355" s="15"/>
      <c r="E355" s="15"/>
      <c r="F355" s="15"/>
      <c r="G355" s="15"/>
      <c r="H355" s="47"/>
      <c r="I355" s="20"/>
      <c r="J355" s="20"/>
      <c r="K355" s="20"/>
      <c r="L355" s="20"/>
      <c r="M355" s="20"/>
      <c r="N355" s="20"/>
      <c r="O355" s="20"/>
      <c r="P355" s="20"/>
      <c r="Q355" s="20"/>
      <c r="R355" s="20"/>
      <c r="S355" s="20"/>
      <c r="T355" s="20"/>
      <c r="U355" s="20"/>
      <c r="V355" s="20"/>
      <c r="W355" s="20"/>
      <c r="X355" s="20"/>
      <c r="Y355" s="20"/>
      <c r="Z355" s="20"/>
    </row>
    <row r="356" spans="1:26" ht="17.25" customHeight="1">
      <c r="A356" s="15"/>
      <c r="B356" s="15"/>
      <c r="C356" s="15"/>
      <c r="D356" s="15"/>
      <c r="E356" s="15"/>
      <c r="F356" s="15"/>
      <c r="G356" s="15"/>
      <c r="H356" s="47"/>
      <c r="I356" s="20"/>
      <c r="J356" s="20"/>
      <c r="K356" s="20"/>
      <c r="L356" s="20"/>
      <c r="M356" s="20"/>
      <c r="N356" s="20"/>
      <c r="O356" s="20"/>
      <c r="P356" s="20"/>
      <c r="Q356" s="20"/>
      <c r="R356" s="20"/>
      <c r="S356" s="20"/>
      <c r="T356" s="20"/>
      <c r="U356" s="20"/>
      <c r="V356" s="20"/>
      <c r="W356" s="20"/>
      <c r="X356" s="20"/>
      <c r="Y356" s="20"/>
      <c r="Z356" s="20"/>
    </row>
    <row r="357" spans="1:26" ht="17.25" customHeight="1">
      <c r="A357" s="15"/>
      <c r="B357" s="15"/>
      <c r="C357" s="15"/>
      <c r="D357" s="15"/>
      <c r="E357" s="15"/>
      <c r="F357" s="15"/>
      <c r="G357" s="15"/>
      <c r="H357" s="47"/>
      <c r="I357" s="20"/>
      <c r="J357" s="20"/>
      <c r="K357" s="20"/>
      <c r="L357" s="20"/>
      <c r="M357" s="20"/>
      <c r="N357" s="20"/>
      <c r="O357" s="20"/>
      <c r="P357" s="20"/>
      <c r="Q357" s="20"/>
      <c r="R357" s="20"/>
      <c r="S357" s="20"/>
      <c r="T357" s="20"/>
      <c r="U357" s="20"/>
      <c r="V357" s="20"/>
      <c r="W357" s="20"/>
      <c r="X357" s="20"/>
      <c r="Y357" s="20"/>
      <c r="Z357" s="20"/>
    </row>
    <row r="358" spans="1:26" ht="17.25" customHeight="1">
      <c r="A358" s="15"/>
      <c r="B358" s="15"/>
      <c r="C358" s="15"/>
      <c r="D358" s="15"/>
      <c r="E358" s="15"/>
      <c r="F358" s="15"/>
      <c r="G358" s="15"/>
      <c r="H358" s="47"/>
      <c r="I358" s="20"/>
      <c r="J358" s="20"/>
      <c r="K358" s="20"/>
      <c r="L358" s="20"/>
      <c r="M358" s="20"/>
      <c r="N358" s="20"/>
      <c r="O358" s="20"/>
      <c r="P358" s="20"/>
      <c r="Q358" s="20"/>
      <c r="R358" s="20"/>
      <c r="S358" s="20"/>
      <c r="T358" s="20"/>
      <c r="U358" s="20"/>
      <c r="V358" s="20"/>
      <c r="W358" s="20"/>
      <c r="X358" s="20"/>
      <c r="Y358" s="20"/>
      <c r="Z358" s="20"/>
    </row>
    <row r="359" spans="1:26" ht="17.25" customHeight="1">
      <c r="A359" s="15"/>
      <c r="B359" s="15"/>
      <c r="C359" s="15"/>
      <c r="D359" s="15"/>
      <c r="E359" s="15"/>
      <c r="F359" s="15"/>
      <c r="G359" s="15"/>
      <c r="H359" s="47"/>
      <c r="I359" s="20"/>
      <c r="J359" s="20"/>
      <c r="K359" s="20"/>
      <c r="L359" s="20"/>
      <c r="M359" s="20"/>
      <c r="N359" s="20"/>
      <c r="O359" s="20"/>
      <c r="P359" s="20"/>
      <c r="Q359" s="20"/>
      <c r="R359" s="20"/>
      <c r="S359" s="20"/>
      <c r="T359" s="20"/>
      <c r="U359" s="20"/>
      <c r="V359" s="20"/>
      <c r="W359" s="20"/>
      <c r="X359" s="20"/>
      <c r="Y359" s="20"/>
      <c r="Z359" s="20"/>
    </row>
    <row r="360" spans="1:26" ht="17.25" customHeight="1">
      <c r="A360" s="15"/>
      <c r="B360" s="15"/>
      <c r="C360" s="15"/>
      <c r="D360" s="15"/>
      <c r="E360" s="15"/>
      <c r="F360" s="15"/>
      <c r="G360" s="15"/>
      <c r="H360" s="47"/>
      <c r="I360" s="20"/>
      <c r="J360" s="20"/>
      <c r="K360" s="20"/>
      <c r="L360" s="20"/>
      <c r="M360" s="20"/>
      <c r="N360" s="20"/>
      <c r="O360" s="20"/>
      <c r="P360" s="20"/>
      <c r="Q360" s="20"/>
      <c r="R360" s="20"/>
      <c r="S360" s="20"/>
      <c r="T360" s="20"/>
      <c r="U360" s="20"/>
      <c r="V360" s="20"/>
      <c r="W360" s="20"/>
      <c r="X360" s="20"/>
      <c r="Y360" s="20"/>
      <c r="Z360" s="20"/>
    </row>
    <row r="361" spans="1:26" ht="17.25" customHeight="1">
      <c r="A361" s="15"/>
      <c r="B361" s="15"/>
      <c r="C361" s="15"/>
      <c r="D361" s="15"/>
      <c r="E361" s="15"/>
      <c r="F361" s="15"/>
      <c r="G361" s="15"/>
      <c r="H361" s="47"/>
      <c r="I361" s="20"/>
      <c r="J361" s="20"/>
      <c r="K361" s="20"/>
      <c r="L361" s="20"/>
      <c r="M361" s="20"/>
      <c r="N361" s="20"/>
      <c r="O361" s="20"/>
      <c r="P361" s="20"/>
      <c r="Q361" s="20"/>
      <c r="R361" s="20"/>
      <c r="S361" s="20"/>
      <c r="T361" s="20"/>
      <c r="U361" s="20"/>
      <c r="V361" s="20"/>
      <c r="W361" s="20"/>
      <c r="X361" s="20"/>
      <c r="Y361" s="20"/>
      <c r="Z361" s="20"/>
    </row>
    <row r="362" spans="1:26" ht="17.25" customHeight="1">
      <c r="A362" s="15"/>
      <c r="B362" s="15"/>
      <c r="C362" s="15"/>
      <c r="D362" s="15"/>
      <c r="E362" s="15"/>
      <c r="F362" s="15"/>
      <c r="G362" s="15"/>
      <c r="H362" s="47"/>
      <c r="I362" s="20"/>
      <c r="J362" s="20"/>
      <c r="K362" s="20"/>
      <c r="L362" s="20"/>
      <c r="M362" s="20"/>
      <c r="N362" s="20"/>
      <c r="O362" s="20"/>
      <c r="P362" s="20"/>
      <c r="Q362" s="20"/>
      <c r="R362" s="20"/>
      <c r="S362" s="20"/>
      <c r="T362" s="20"/>
      <c r="U362" s="20"/>
      <c r="V362" s="20"/>
      <c r="W362" s="20"/>
      <c r="X362" s="20"/>
      <c r="Y362" s="20"/>
      <c r="Z362" s="20"/>
    </row>
    <row r="363" spans="1:26" ht="17.25" customHeight="1">
      <c r="A363" s="15"/>
      <c r="B363" s="15"/>
      <c r="C363" s="15"/>
      <c r="D363" s="15"/>
      <c r="E363" s="15"/>
      <c r="F363" s="15"/>
      <c r="G363" s="15"/>
      <c r="H363" s="47"/>
      <c r="I363" s="20"/>
      <c r="J363" s="20"/>
      <c r="K363" s="20"/>
      <c r="L363" s="20"/>
      <c r="M363" s="20"/>
      <c r="N363" s="20"/>
      <c r="O363" s="20"/>
      <c r="P363" s="20"/>
      <c r="Q363" s="20"/>
      <c r="R363" s="20"/>
      <c r="S363" s="20"/>
      <c r="T363" s="20"/>
      <c r="U363" s="20"/>
      <c r="V363" s="20"/>
      <c r="W363" s="20"/>
      <c r="X363" s="20"/>
      <c r="Y363" s="20"/>
      <c r="Z363" s="20"/>
    </row>
    <row r="364" spans="1:26" ht="17.25" customHeight="1">
      <c r="A364" s="15"/>
      <c r="B364" s="15"/>
      <c r="C364" s="15"/>
      <c r="D364" s="15"/>
      <c r="E364" s="15"/>
      <c r="F364" s="15"/>
      <c r="G364" s="15"/>
      <c r="H364" s="47"/>
      <c r="I364" s="20"/>
      <c r="J364" s="20"/>
      <c r="K364" s="20"/>
      <c r="L364" s="20"/>
      <c r="M364" s="20"/>
      <c r="N364" s="20"/>
      <c r="O364" s="20"/>
      <c r="P364" s="20"/>
      <c r="Q364" s="20"/>
      <c r="R364" s="20"/>
      <c r="S364" s="20"/>
      <c r="T364" s="20"/>
      <c r="U364" s="20"/>
      <c r="V364" s="20"/>
      <c r="W364" s="20"/>
      <c r="X364" s="20"/>
      <c r="Y364" s="20"/>
      <c r="Z364" s="20"/>
    </row>
    <row r="365" spans="1:26" ht="17.25" customHeight="1">
      <c r="A365" s="15"/>
      <c r="B365" s="15"/>
      <c r="C365" s="15"/>
      <c r="D365" s="15"/>
      <c r="E365" s="15"/>
      <c r="F365" s="15"/>
      <c r="G365" s="15"/>
      <c r="H365" s="47"/>
      <c r="I365" s="20"/>
      <c r="J365" s="20"/>
      <c r="K365" s="20"/>
      <c r="L365" s="20"/>
      <c r="M365" s="20"/>
      <c r="N365" s="20"/>
      <c r="O365" s="20"/>
      <c r="P365" s="20"/>
      <c r="Q365" s="20"/>
      <c r="R365" s="20"/>
      <c r="S365" s="20"/>
      <c r="T365" s="20"/>
      <c r="U365" s="20"/>
      <c r="V365" s="20"/>
      <c r="W365" s="20"/>
      <c r="X365" s="20"/>
      <c r="Y365" s="20"/>
      <c r="Z365" s="20"/>
    </row>
    <row r="366" spans="1:26" ht="17.25" customHeight="1">
      <c r="A366" s="15"/>
      <c r="B366" s="15"/>
      <c r="C366" s="15"/>
      <c r="D366" s="15"/>
      <c r="E366" s="15"/>
      <c r="F366" s="15"/>
      <c r="G366" s="15"/>
      <c r="H366" s="47"/>
      <c r="I366" s="20"/>
      <c r="J366" s="20"/>
      <c r="K366" s="20"/>
      <c r="L366" s="20"/>
      <c r="M366" s="20"/>
      <c r="N366" s="20"/>
      <c r="O366" s="20"/>
      <c r="P366" s="20"/>
      <c r="Q366" s="20"/>
      <c r="R366" s="20"/>
      <c r="S366" s="20"/>
      <c r="T366" s="20"/>
      <c r="U366" s="20"/>
      <c r="V366" s="20"/>
      <c r="W366" s="20"/>
      <c r="X366" s="20"/>
      <c r="Y366" s="20"/>
      <c r="Z366" s="20"/>
    </row>
    <row r="367" spans="1:26" ht="17.25" customHeight="1">
      <c r="A367" s="15"/>
      <c r="B367" s="15"/>
      <c r="C367" s="15"/>
      <c r="D367" s="15"/>
      <c r="E367" s="15"/>
      <c r="F367" s="15"/>
      <c r="G367" s="15"/>
      <c r="H367" s="47"/>
      <c r="I367" s="20"/>
      <c r="J367" s="20"/>
      <c r="K367" s="20"/>
      <c r="L367" s="20"/>
      <c r="M367" s="20"/>
      <c r="N367" s="20"/>
      <c r="O367" s="20"/>
      <c r="P367" s="20"/>
      <c r="Q367" s="20"/>
      <c r="R367" s="20"/>
      <c r="S367" s="20"/>
      <c r="T367" s="20"/>
      <c r="U367" s="20"/>
      <c r="V367" s="20"/>
      <c r="W367" s="20"/>
      <c r="X367" s="20"/>
      <c r="Y367" s="20"/>
      <c r="Z367" s="20"/>
    </row>
    <row r="368" spans="1:26" ht="17.25" customHeight="1">
      <c r="A368" s="15"/>
      <c r="B368" s="15"/>
      <c r="C368" s="15"/>
      <c r="D368" s="15"/>
      <c r="E368" s="15"/>
      <c r="F368" s="15"/>
      <c r="G368" s="15"/>
      <c r="H368" s="47"/>
      <c r="I368" s="20"/>
      <c r="J368" s="20"/>
      <c r="K368" s="20"/>
      <c r="L368" s="20"/>
      <c r="M368" s="20"/>
      <c r="N368" s="20"/>
      <c r="O368" s="20"/>
      <c r="P368" s="20"/>
      <c r="Q368" s="20"/>
      <c r="R368" s="20"/>
      <c r="S368" s="20"/>
      <c r="T368" s="20"/>
      <c r="U368" s="20"/>
      <c r="V368" s="20"/>
      <c r="W368" s="20"/>
      <c r="X368" s="20"/>
      <c r="Y368" s="20"/>
      <c r="Z368" s="20"/>
    </row>
    <row r="369" spans="1:26" ht="17.25" customHeight="1">
      <c r="A369" s="15"/>
      <c r="B369" s="15"/>
      <c r="C369" s="15"/>
      <c r="D369" s="15"/>
      <c r="E369" s="15"/>
      <c r="F369" s="15"/>
      <c r="G369" s="15"/>
      <c r="H369" s="47"/>
      <c r="I369" s="20"/>
      <c r="J369" s="20"/>
      <c r="K369" s="20"/>
      <c r="L369" s="20"/>
      <c r="M369" s="20"/>
      <c r="N369" s="20"/>
      <c r="O369" s="20"/>
      <c r="P369" s="20"/>
      <c r="Q369" s="20"/>
      <c r="R369" s="20"/>
      <c r="S369" s="20"/>
      <c r="T369" s="20"/>
      <c r="U369" s="20"/>
      <c r="V369" s="20"/>
      <c r="W369" s="20"/>
      <c r="X369" s="20"/>
      <c r="Y369" s="20"/>
      <c r="Z369" s="20"/>
    </row>
    <row r="370" spans="1:26" ht="17.25" customHeight="1">
      <c r="A370" s="15"/>
      <c r="B370" s="15"/>
      <c r="C370" s="15"/>
      <c r="D370" s="15"/>
      <c r="E370" s="15"/>
      <c r="F370" s="15"/>
      <c r="G370" s="15"/>
      <c r="H370" s="47"/>
      <c r="I370" s="20"/>
      <c r="J370" s="20"/>
      <c r="K370" s="20"/>
      <c r="L370" s="20"/>
      <c r="M370" s="20"/>
      <c r="N370" s="20"/>
      <c r="O370" s="20"/>
      <c r="P370" s="20"/>
      <c r="Q370" s="20"/>
      <c r="R370" s="20"/>
      <c r="S370" s="20"/>
      <c r="T370" s="20"/>
      <c r="U370" s="20"/>
      <c r="V370" s="20"/>
      <c r="W370" s="20"/>
      <c r="X370" s="20"/>
      <c r="Y370" s="20"/>
      <c r="Z370" s="20"/>
    </row>
    <row r="371" spans="1:26" ht="17.25" customHeight="1">
      <c r="A371" s="15"/>
      <c r="B371" s="15"/>
      <c r="C371" s="15"/>
      <c r="D371" s="15"/>
      <c r="E371" s="15"/>
      <c r="F371" s="15"/>
      <c r="G371" s="15"/>
      <c r="H371" s="47"/>
      <c r="I371" s="20"/>
      <c r="J371" s="20"/>
      <c r="K371" s="20"/>
      <c r="L371" s="20"/>
      <c r="M371" s="20"/>
      <c r="N371" s="20"/>
      <c r="O371" s="20"/>
      <c r="P371" s="20"/>
      <c r="Q371" s="20"/>
      <c r="R371" s="20"/>
      <c r="S371" s="20"/>
      <c r="T371" s="20"/>
      <c r="U371" s="20"/>
      <c r="V371" s="20"/>
      <c r="W371" s="20"/>
      <c r="X371" s="20"/>
      <c r="Y371" s="20"/>
      <c r="Z371" s="20"/>
    </row>
    <row r="372" spans="1:26" ht="17.25" customHeight="1">
      <c r="A372" s="15"/>
      <c r="B372" s="15"/>
      <c r="C372" s="15"/>
      <c r="D372" s="15"/>
      <c r="E372" s="15"/>
      <c r="F372" s="15"/>
      <c r="G372" s="15"/>
      <c r="H372" s="47"/>
      <c r="I372" s="20"/>
      <c r="J372" s="20"/>
      <c r="K372" s="20"/>
      <c r="L372" s="20"/>
      <c r="M372" s="20"/>
      <c r="N372" s="20"/>
      <c r="O372" s="20"/>
      <c r="P372" s="20"/>
      <c r="Q372" s="20"/>
      <c r="R372" s="20"/>
      <c r="S372" s="20"/>
      <c r="T372" s="20"/>
      <c r="U372" s="20"/>
      <c r="V372" s="20"/>
      <c r="W372" s="20"/>
      <c r="X372" s="20"/>
      <c r="Y372" s="20"/>
      <c r="Z372" s="20"/>
    </row>
    <row r="373" spans="1:26" ht="17.25" customHeight="1">
      <c r="A373" s="15"/>
      <c r="B373" s="15"/>
      <c r="C373" s="15"/>
      <c r="D373" s="15"/>
      <c r="E373" s="15"/>
      <c r="F373" s="15"/>
      <c r="G373" s="15"/>
      <c r="H373" s="47"/>
      <c r="I373" s="20"/>
      <c r="J373" s="20"/>
      <c r="K373" s="20"/>
      <c r="L373" s="20"/>
      <c r="M373" s="20"/>
      <c r="N373" s="20"/>
      <c r="O373" s="20"/>
      <c r="P373" s="20"/>
      <c r="Q373" s="20"/>
      <c r="R373" s="20"/>
      <c r="S373" s="20"/>
      <c r="T373" s="20"/>
      <c r="U373" s="20"/>
      <c r="V373" s="20"/>
      <c r="W373" s="20"/>
      <c r="X373" s="20"/>
      <c r="Y373" s="20"/>
      <c r="Z373" s="20"/>
    </row>
    <row r="374" spans="1:26" ht="17.25" customHeight="1">
      <c r="A374" s="15"/>
      <c r="B374" s="15"/>
      <c r="C374" s="15"/>
      <c r="D374" s="15"/>
      <c r="E374" s="15"/>
      <c r="F374" s="15"/>
      <c r="G374" s="15"/>
      <c r="H374" s="47"/>
      <c r="I374" s="20"/>
      <c r="J374" s="20"/>
      <c r="K374" s="20"/>
      <c r="L374" s="20"/>
      <c r="M374" s="20"/>
      <c r="N374" s="20"/>
      <c r="O374" s="20"/>
      <c r="P374" s="20"/>
      <c r="Q374" s="20"/>
      <c r="R374" s="20"/>
      <c r="S374" s="20"/>
      <c r="T374" s="20"/>
      <c r="U374" s="20"/>
      <c r="V374" s="20"/>
      <c r="W374" s="20"/>
      <c r="X374" s="20"/>
      <c r="Y374" s="20"/>
      <c r="Z374" s="20"/>
    </row>
    <row r="375" spans="1:26" ht="17.25" customHeight="1">
      <c r="A375" s="15"/>
      <c r="B375" s="15"/>
      <c r="C375" s="15"/>
      <c r="D375" s="15"/>
      <c r="E375" s="15"/>
      <c r="F375" s="15"/>
      <c r="G375" s="15"/>
      <c r="H375" s="47"/>
      <c r="I375" s="20"/>
      <c r="J375" s="20"/>
      <c r="K375" s="20"/>
      <c r="L375" s="20"/>
      <c r="M375" s="20"/>
      <c r="N375" s="20"/>
      <c r="O375" s="20"/>
      <c r="P375" s="20"/>
      <c r="Q375" s="20"/>
      <c r="R375" s="20"/>
      <c r="S375" s="20"/>
      <c r="T375" s="20"/>
      <c r="U375" s="20"/>
      <c r="V375" s="20"/>
      <c r="W375" s="20"/>
      <c r="X375" s="20"/>
      <c r="Y375" s="20"/>
      <c r="Z375" s="20"/>
    </row>
    <row r="376" spans="1:26" ht="17.25" customHeight="1">
      <c r="A376" s="15"/>
      <c r="B376" s="15"/>
      <c r="C376" s="15"/>
      <c r="D376" s="15"/>
      <c r="E376" s="15"/>
      <c r="F376" s="15"/>
      <c r="G376" s="15"/>
      <c r="H376" s="47"/>
      <c r="I376" s="20"/>
      <c r="J376" s="20"/>
      <c r="K376" s="20"/>
      <c r="L376" s="20"/>
      <c r="M376" s="20"/>
      <c r="N376" s="20"/>
      <c r="O376" s="20"/>
      <c r="P376" s="20"/>
      <c r="Q376" s="20"/>
      <c r="R376" s="20"/>
      <c r="S376" s="20"/>
      <c r="T376" s="20"/>
      <c r="U376" s="20"/>
      <c r="V376" s="20"/>
      <c r="W376" s="20"/>
      <c r="X376" s="20"/>
      <c r="Y376" s="20"/>
      <c r="Z376" s="20"/>
    </row>
    <row r="377" spans="1:26" ht="17.25" customHeight="1">
      <c r="A377" s="15"/>
      <c r="B377" s="15"/>
      <c r="C377" s="15"/>
      <c r="D377" s="15"/>
      <c r="E377" s="15"/>
      <c r="F377" s="15"/>
      <c r="G377" s="15"/>
      <c r="H377" s="47"/>
      <c r="I377" s="20"/>
      <c r="J377" s="20"/>
      <c r="K377" s="20"/>
      <c r="L377" s="20"/>
      <c r="M377" s="20"/>
      <c r="N377" s="20"/>
      <c r="O377" s="20"/>
      <c r="P377" s="20"/>
      <c r="Q377" s="20"/>
      <c r="R377" s="20"/>
      <c r="S377" s="20"/>
      <c r="T377" s="20"/>
      <c r="U377" s="20"/>
      <c r="V377" s="20"/>
      <c r="W377" s="20"/>
      <c r="X377" s="20"/>
      <c r="Y377" s="20"/>
      <c r="Z377" s="20"/>
    </row>
    <row r="378" spans="1:26" ht="17.25" customHeight="1">
      <c r="A378" s="15"/>
      <c r="B378" s="15"/>
      <c r="C378" s="15"/>
      <c r="D378" s="15"/>
      <c r="E378" s="15"/>
      <c r="F378" s="15"/>
      <c r="G378" s="15"/>
      <c r="H378" s="47"/>
      <c r="I378" s="20"/>
      <c r="J378" s="20"/>
      <c r="K378" s="20"/>
      <c r="L378" s="20"/>
      <c r="M378" s="20"/>
      <c r="N378" s="20"/>
      <c r="O378" s="20"/>
      <c r="P378" s="20"/>
      <c r="Q378" s="20"/>
      <c r="R378" s="20"/>
      <c r="S378" s="20"/>
      <c r="T378" s="20"/>
      <c r="U378" s="20"/>
      <c r="V378" s="20"/>
      <c r="W378" s="20"/>
      <c r="X378" s="20"/>
      <c r="Y378" s="20"/>
      <c r="Z378" s="20"/>
    </row>
    <row r="379" spans="1:26" ht="17.25" customHeight="1">
      <c r="A379" s="15"/>
      <c r="B379" s="15"/>
      <c r="C379" s="15"/>
      <c r="D379" s="15"/>
      <c r="E379" s="15"/>
      <c r="F379" s="15"/>
      <c r="G379" s="15"/>
      <c r="H379" s="47"/>
      <c r="I379" s="20"/>
      <c r="J379" s="20"/>
      <c r="K379" s="20"/>
      <c r="L379" s="20"/>
      <c r="M379" s="20"/>
      <c r="N379" s="20"/>
      <c r="O379" s="20"/>
      <c r="P379" s="20"/>
      <c r="Q379" s="20"/>
      <c r="R379" s="20"/>
      <c r="S379" s="20"/>
      <c r="T379" s="20"/>
      <c r="U379" s="20"/>
      <c r="V379" s="20"/>
      <c r="W379" s="20"/>
      <c r="X379" s="20"/>
      <c r="Y379" s="20"/>
      <c r="Z379" s="20"/>
    </row>
    <row r="380" spans="1:26" ht="17.25" customHeight="1">
      <c r="A380" s="15"/>
      <c r="B380" s="15"/>
      <c r="C380" s="15"/>
      <c r="D380" s="15"/>
      <c r="E380" s="15"/>
      <c r="F380" s="15"/>
      <c r="G380" s="15"/>
      <c r="H380" s="47"/>
      <c r="I380" s="20"/>
      <c r="J380" s="20"/>
      <c r="K380" s="20"/>
      <c r="L380" s="20"/>
      <c r="M380" s="20"/>
      <c r="N380" s="20"/>
      <c r="O380" s="20"/>
      <c r="P380" s="20"/>
      <c r="Q380" s="20"/>
      <c r="R380" s="20"/>
      <c r="S380" s="20"/>
      <c r="T380" s="20"/>
      <c r="U380" s="20"/>
      <c r="V380" s="20"/>
      <c r="W380" s="20"/>
      <c r="X380" s="20"/>
      <c r="Y380" s="20"/>
      <c r="Z380" s="20"/>
    </row>
    <row r="381" spans="1:26" ht="17.25" customHeight="1">
      <c r="A381" s="15"/>
      <c r="B381" s="15"/>
      <c r="C381" s="15"/>
      <c r="D381" s="15"/>
      <c r="E381" s="15"/>
      <c r="F381" s="15"/>
      <c r="G381" s="15"/>
      <c r="H381" s="47"/>
      <c r="I381" s="20"/>
      <c r="J381" s="20"/>
      <c r="K381" s="20"/>
      <c r="L381" s="20"/>
      <c r="M381" s="20"/>
      <c r="N381" s="20"/>
      <c r="O381" s="20"/>
      <c r="P381" s="20"/>
      <c r="Q381" s="20"/>
      <c r="R381" s="20"/>
      <c r="S381" s="20"/>
      <c r="T381" s="20"/>
      <c r="U381" s="20"/>
      <c r="V381" s="20"/>
      <c r="W381" s="20"/>
      <c r="X381" s="20"/>
      <c r="Y381" s="20"/>
      <c r="Z381" s="20"/>
    </row>
    <row r="382" spans="1:26" ht="17.25" customHeight="1">
      <c r="A382" s="15"/>
      <c r="B382" s="15"/>
      <c r="C382" s="15"/>
      <c r="D382" s="15"/>
      <c r="E382" s="15"/>
      <c r="F382" s="15"/>
      <c r="G382" s="15"/>
      <c r="H382" s="47"/>
      <c r="I382" s="20"/>
      <c r="J382" s="20"/>
      <c r="K382" s="20"/>
      <c r="L382" s="20"/>
      <c r="M382" s="20"/>
      <c r="N382" s="20"/>
      <c r="O382" s="20"/>
      <c r="P382" s="20"/>
      <c r="Q382" s="20"/>
      <c r="R382" s="20"/>
      <c r="S382" s="20"/>
      <c r="T382" s="20"/>
      <c r="U382" s="20"/>
      <c r="V382" s="20"/>
      <c r="W382" s="20"/>
      <c r="X382" s="20"/>
      <c r="Y382" s="20"/>
      <c r="Z382" s="20"/>
    </row>
    <row r="383" spans="1:26" ht="17.25" customHeight="1">
      <c r="A383" s="15"/>
      <c r="B383" s="15"/>
      <c r="C383" s="15"/>
      <c r="D383" s="15"/>
      <c r="E383" s="15"/>
      <c r="F383" s="15"/>
      <c r="G383" s="15"/>
      <c r="H383" s="47"/>
      <c r="I383" s="20"/>
      <c r="J383" s="20"/>
      <c r="K383" s="20"/>
      <c r="L383" s="20"/>
      <c r="M383" s="20"/>
      <c r="N383" s="20"/>
      <c r="O383" s="20"/>
      <c r="P383" s="20"/>
      <c r="Q383" s="20"/>
      <c r="R383" s="20"/>
      <c r="S383" s="20"/>
      <c r="T383" s="20"/>
      <c r="U383" s="20"/>
      <c r="V383" s="20"/>
      <c r="W383" s="20"/>
      <c r="X383" s="20"/>
      <c r="Y383" s="20"/>
      <c r="Z383" s="20"/>
    </row>
    <row r="384" spans="1:26" ht="17.25" customHeight="1">
      <c r="A384" s="15"/>
      <c r="B384" s="15"/>
      <c r="C384" s="15"/>
      <c r="D384" s="15"/>
      <c r="E384" s="15"/>
      <c r="F384" s="15"/>
      <c r="G384" s="15"/>
      <c r="H384" s="47"/>
      <c r="I384" s="20"/>
      <c r="J384" s="20"/>
      <c r="K384" s="20"/>
      <c r="L384" s="20"/>
      <c r="M384" s="20"/>
      <c r="N384" s="20"/>
      <c r="O384" s="20"/>
      <c r="P384" s="20"/>
      <c r="Q384" s="20"/>
      <c r="R384" s="20"/>
      <c r="S384" s="20"/>
      <c r="T384" s="20"/>
      <c r="U384" s="20"/>
      <c r="V384" s="20"/>
      <c r="W384" s="20"/>
      <c r="X384" s="20"/>
      <c r="Y384" s="20"/>
      <c r="Z384" s="20"/>
    </row>
    <row r="385" spans="1:26" ht="17.25" customHeight="1">
      <c r="A385" s="15"/>
      <c r="B385" s="15"/>
      <c r="C385" s="15"/>
      <c r="D385" s="15"/>
      <c r="E385" s="15"/>
      <c r="F385" s="15"/>
      <c r="G385" s="15"/>
      <c r="H385" s="47"/>
      <c r="I385" s="20"/>
      <c r="J385" s="20"/>
      <c r="K385" s="20"/>
      <c r="L385" s="20"/>
      <c r="M385" s="20"/>
      <c r="N385" s="20"/>
      <c r="O385" s="20"/>
      <c r="P385" s="20"/>
      <c r="Q385" s="20"/>
      <c r="R385" s="20"/>
      <c r="S385" s="20"/>
      <c r="T385" s="20"/>
      <c r="U385" s="20"/>
      <c r="V385" s="20"/>
      <c r="W385" s="20"/>
      <c r="X385" s="20"/>
      <c r="Y385" s="20"/>
      <c r="Z385" s="20"/>
    </row>
    <row r="386" spans="1:26" ht="17.25" customHeight="1">
      <c r="A386" s="15"/>
      <c r="B386" s="15"/>
      <c r="C386" s="15"/>
      <c r="D386" s="15"/>
      <c r="E386" s="15"/>
      <c r="F386" s="15"/>
      <c r="G386" s="15"/>
      <c r="H386" s="47"/>
      <c r="I386" s="20"/>
      <c r="J386" s="20"/>
      <c r="K386" s="20"/>
      <c r="L386" s="20"/>
      <c r="M386" s="20"/>
      <c r="N386" s="20"/>
      <c r="O386" s="20"/>
      <c r="P386" s="20"/>
      <c r="Q386" s="20"/>
      <c r="R386" s="20"/>
      <c r="S386" s="20"/>
      <c r="T386" s="20"/>
      <c r="U386" s="20"/>
      <c r="V386" s="20"/>
      <c r="W386" s="20"/>
      <c r="X386" s="20"/>
      <c r="Y386" s="20"/>
      <c r="Z386" s="20"/>
    </row>
    <row r="387" spans="1:26" ht="17.25" customHeight="1">
      <c r="A387" s="15"/>
      <c r="B387" s="15"/>
      <c r="C387" s="15"/>
      <c r="D387" s="15"/>
      <c r="E387" s="15"/>
      <c r="F387" s="15"/>
      <c r="G387" s="15"/>
      <c r="H387" s="47"/>
      <c r="I387" s="20"/>
      <c r="J387" s="20"/>
      <c r="K387" s="20"/>
      <c r="L387" s="20"/>
      <c r="M387" s="20"/>
      <c r="N387" s="20"/>
      <c r="O387" s="20"/>
      <c r="P387" s="20"/>
      <c r="Q387" s="20"/>
      <c r="R387" s="20"/>
      <c r="S387" s="20"/>
      <c r="T387" s="20"/>
      <c r="U387" s="20"/>
      <c r="V387" s="20"/>
      <c r="W387" s="20"/>
      <c r="X387" s="20"/>
      <c r="Y387" s="20"/>
      <c r="Z387" s="20"/>
    </row>
    <row r="388" spans="1:26" ht="17.25" customHeight="1">
      <c r="A388" s="15"/>
      <c r="B388" s="15"/>
      <c r="C388" s="15"/>
      <c r="D388" s="15"/>
      <c r="E388" s="15"/>
      <c r="F388" s="15"/>
      <c r="G388" s="15"/>
      <c r="H388" s="47"/>
      <c r="I388" s="20"/>
      <c r="J388" s="20"/>
      <c r="K388" s="20"/>
      <c r="L388" s="20"/>
      <c r="M388" s="20"/>
      <c r="N388" s="20"/>
      <c r="O388" s="20"/>
      <c r="P388" s="20"/>
      <c r="Q388" s="20"/>
      <c r="R388" s="20"/>
      <c r="S388" s="20"/>
      <c r="T388" s="20"/>
      <c r="U388" s="20"/>
      <c r="V388" s="20"/>
      <c r="W388" s="20"/>
      <c r="X388" s="20"/>
      <c r="Y388" s="20"/>
      <c r="Z388" s="20"/>
    </row>
    <row r="389" spans="1:26" ht="17.25" customHeight="1">
      <c r="A389" s="15"/>
      <c r="B389" s="15"/>
      <c r="C389" s="15"/>
      <c r="D389" s="15"/>
      <c r="E389" s="15"/>
      <c r="F389" s="15"/>
      <c r="G389" s="15"/>
      <c r="H389" s="47"/>
      <c r="I389" s="20"/>
      <c r="J389" s="20"/>
      <c r="K389" s="20"/>
      <c r="L389" s="20"/>
      <c r="M389" s="20"/>
      <c r="N389" s="20"/>
      <c r="O389" s="20"/>
      <c r="P389" s="20"/>
      <c r="Q389" s="20"/>
      <c r="R389" s="20"/>
      <c r="S389" s="20"/>
      <c r="T389" s="20"/>
      <c r="U389" s="20"/>
      <c r="V389" s="20"/>
      <c r="W389" s="20"/>
      <c r="X389" s="20"/>
      <c r="Y389" s="20"/>
      <c r="Z389" s="20"/>
    </row>
    <row r="390" spans="1:26" ht="17.25" customHeight="1">
      <c r="A390" s="15"/>
      <c r="B390" s="15"/>
      <c r="C390" s="15"/>
      <c r="D390" s="15"/>
      <c r="E390" s="15"/>
      <c r="F390" s="15"/>
      <c r="G390" s="15"/>
      <c r="H390" s="47"/>
      <c r="I390" s="20"/>
      <c r="J390" s="20"/>
      <c r="K390" s="20"/>
      <c r="L390" s="20"/>
      <c r="M390" s="20"/>
      <c r="N390" s="20"/>
      <c r="O390" s="20"/>
      <c r="P390" s="20"/>
      <c r="Q390" s="20"/>
      <c r="R390" s="20"/>
      <c r="S390" s="20"/>
      <c r="T390" s="20"/>
      <c r="U390" s="20"/>
      <c r="V390" s="20"/>
      <c r="W390" s="20"/>
      <c r="X390" s="20"/>
      <c r="Y390" s="20"/>
      <c r="Z390" s="20"/>
    </row>
    <row r="391" spans="1:26" ht="17.25" customHeight="1">
      <c r="A391" s="15"/>
      <c r="B391" s="15"/>
      <c r="C391" s="15"/>
      <c r="D391" s="15"/>
      <c r="E391" s="15"/>
      <c r="F391" s="15"/>
      <c r="G391" s="15"/>
      <c r="H391" s="47"/>
      <c r="I391" s="20"/>
      <c r="J391" s="20"/>
      <c r="K391" s="20"/>
      <c r="L391" s="20"/>
      <c r="M391" s="20"/>
      <c r="N391" s="20"/>
      <c r="O391" s="20"/>
      <c r="P391" s="20"/>
      <c r="Q391" s="20"/>
      <c r="R391" s="20"/>
      <c r="S391" s="20"/>
      <c r="T391" s="20"/>
      <c r="U391" s="20"/>
      <c r="V391" s="20"/>
      <c r="W391" s="20"/>
      <c r="X391" s="20"/>
      <c r="Y391" s="20"/>
      <c r="Z391" s="20"/>
    </row>
    <row r="392" spans="1:26" ht="17.25" customHeight="1">
      <c r="A392" s="15"/>
      <c r="B392" s="15"/>
      <c r="C392" s="15"/>
      <c r="D392" s="15"/>
      <c r="E392" s="15"/>
      <c r="F392" s="15"/>
      <c r="G392" s="15"/>
      <c r="H392" s="47"/>
      <c r="I392" s="20"/>
      <c r="J392" s="20"/>
      <c r="K392" s="20"/>
      <c r="L392" s="20"/>
      <c r="M392" s="20"/>
      <c r="N392" s="20"/>
      <c r="O392" s="20"/>
      <c r="P392" s="20"/>
      <c r="Q392" s="20"/>
      <c r="R392" s="20"/>
      <c r="S392" s="20"/>
      <c r="T392" s="20"/>
      <c r="U392" s="20"/>
      <c r="V392" s="20"/>
      <c r="W392" s="20"/>
      <c r="X392" s="20"/>
      <c r="Y392" s="20"/>
      <c r="Z392" s="20"/>
    </row>
    <row r="393" spans="1:26" ht="17.25" customHeight="1">
      <c r="A393" s="15"/>
      <c r="B393" s="15"/>
      <c r="C393" s="15"/>
      <c r="D393" s="15"/>
      <c r="E393" s="15"/>
      <c r="F393" s="15"/>
      <c r="G393" s="15"/>
      <c r="H393" s="47"/>
      <c r="I393" s="20"/>
      <c r="J393" s="20"/>
      <c r="K393" s="20"/>
      <c r="L393" s="20"/>
      <c r="M393" s="20"/>
      <c r="N393" s="20"/>
      <c r="O393" s="20"/>
      <c r="P393" s="20"/>
      <c r="Q393" s="20"/>
      <c r="R393" s="20"/>
      <c r="S393" s="20"/>
      <c r="T393" s="20"/>
      <c r="U393" s="20"/>
      <c r="V393" s="20"/>
      <c r="W393" s="20"/>
      <c r="X393" s="20"/>
      <c r="Y393" s="20"/>
      <c r="Z393" s="20"/>
    </row>
    <row r="394" spans="1:26" ht="17.25" customHeight="1">
      <c r="A394" s="15"/>
      <c r="B394" s="15"/>
      <c r="C394" s="15"/>
      <c r="D394" s="15"/>
      <c r="E394" s="15"/>
      <c r="F394" s="15"/>
      <c r="G394" s="15"/>
      <c r="H394" s="47"/>
      <c r="I394" s="20"/>
      <c r="J394" s="20"/>
      <c r="K394" s="20"/>
      <c r="L394" s="20"/>
      <c r="M394" s="20"/>
      <c r="N394" s="20"/>
      <c r="O394" s="20"/>
      <c r="P394" s="20"/>
      <c r="Q394" s="20"/>
      <c r="R394" s="20"/>
      <c r="S394" s="20"/>
      <c r="T394" s="20"/>
      <c r="U394" s="20"/>
      <c r="V394" s="20"/>
      <c r="W394" s="20"/>
      <c r="X394" s="20"/>
      <c r="Y394" s="20"/>
      <c r="Z394" s="20"/>
    </row>
    <row r="395" spans="1:26" ht="17.25" customHeight="1">
      <c r="A395" s="15"/>
      <c r="B395" s="15"/>
      <c r="C395" s="15"/>
      <c r="D395" s="15"/>
      <c r="E395" s="15"/>
      <c r="F395" s="15"/>
      <c r="G395" s="15"/>
      <c r="H395" s="47"/>
      <c r="I395" s="20"/>
      <c r="J395" s="20"/>
      <c r="K395" s="20"/>
      <c r="L395" s="20"/>
      <c r="M395" s="20"/>
      <c r="N395" s="20"/>
      <c r="O395" s="20"/>
      <c r="P395" s="20"/>
      <c r="Q395" s="20"/>
      <c r="R395" s="20"/>
      <c r="S395" s="20"/>
      <c r="T395" s="20"/>
      <c r="U395" s="20"/>
      <c r="V395" s="20"/>
      <c r="W395" s="20"/>
      <c r="X395" s="20"/>
      <c r="Y395" s="20"/>
      <c r="Z395" s="20"/>
    </row>
    <row r="396" spans="1:26" ht="17.25" customHeight="1">
      <c r="A396" s="15"/>
      <c r="B396" s="15"/>
      <c r="C396" s="15"/>
      <c r="D396" s="15"/>
      <c r="E396" s="15"/>
      <c r="F396" s="15"/>
      <c r="G396" s="15"/>
      <c r="H396" s="47"/>
      <c r="I396" s="20"/>
      <c r="J396" s="20"/>
      <c r="K396" s="20"/>
      <c r="L396" s="20"/>
      <c r="M396" s="20"/>
      <c r="N396" s="20"/>
      <c r="O396" s="20"/>
      <c r="P396" s="20"/>
      <c r="Q396" s="20"/>
      <c r="R396" s="20"/>
      <c r="S396" s="20"/>
      <c r="T396" s="20"/>
      <c r="U396" s="20"/>
      <c r="V396" s="20"/>
      <c r="W396" s="20"/>
      <c r="X396" s="20"/>
      <c r="Y396" s="20"/>
      <c r="Z396" s="20"/>
    </row>
    <row r="397" spans="1:26" ht="17.25" customHeight="1">
      <c r="A397" s="15"/>
      <c r="B397" s="15"/>
      <c r="C397" s="15"/>
      <c r="D397" s="15"/>
      <c r="E397" s="15"/>
      <c r="F397" s="15"/>
      <c r="G397" s="15"/>
      <c r="H397" s="47"/>
      <c r="I397" s="20"/>
      <c r="J397" s="20"/>
      <c r="K397" s="20"/>
      <c r="L397" s="20"/>
      <c r="M397" s="20"/>
      <c r="N397" s="20"/>
      <c r="O397" s="20"/>
      <c r="P397" s="20"/>
      <c r="Q397" s="20"/>
      <c r="R397" s="20"/>
      <c r="S397" s="20"/>
      <c r="T397" s="20"/>
      <c r="U397" s="20"/>
      <c r="V397" s="20"/>
      <c r="W397" s="20"/>
      <c r="X397" s="20"/>
      <c r="Y397" s="20"/>
      <c r="Z397" s="20"/>
    </row>
    <row r="398" spans="1:26" ht="17.25" customHeight="1">
      <c r="A398" s="15"/>
      <c r="B398" s="15"/>
      <c r="C398" s="15"/>
      <c r="D398" s="15"/>
      <c r="E398" s="15"/>
      <c r="F398" s="15"/>
      <c r="G398" s="15"/>
      <c r="H398" s="47"/>
      <c r="I398" s="20"/>
      <c r="J398" s="20"/>
      <c r="K398" s="20"/>
      <c r="L398" s="20"/>
      <c r="M398" s="20"/>
      <c r="N398" s="20"/>
      <c r="O398" s="20"/>
      <c r="P398" s="20"/>
      <c r="Q398" s="20"/>
      <c r="R398" s="20"/>
      <c r="S398" s="20"/>
      <c r="T398" s="20"/>
      <c r="U398" s="20"/>
      <c r="V398" s="20"/>
      <c r="W398" s="20"/>
      <c r="X398" s="20"/>
      <c r="Y398" s="20"/>
      <c r="Z398" s="20"/>
    </row>
    <row r="399" spans="1:26" ht="17.25" customHeight="1">
      <c r="A399" s="15"/>
      <c r="B399" s="15"/>
      <c r="C399" s="15"/>
      <c r="D399" s="15"/>
      <c r="E399" s="15"/>
      <c r="F399" s="15"/>
      <c r="G399" s="15"/>
      <c r="H399" s="47"/>
      <c r="I399" s="20"/>
      <c r="J399" s="20"/>
      <c r="K399" s="20"/>
      <c r="L399" s="20"/>
      <c r="M399" s="20"/>
      <c r="N399" s="20"/>
      <c r="O399" s="20"/>
      <c r="P399" s="20"/>
      <c r="Q399" s="20"/>
      <c r="R399" s="20"/>
      <c r="S399" s="20"/>
      <c r="T399" s="20"/>
      <c r="U399" s="20"/>
      <c r="V399" s="20"/>
      <c r="W399" s="20"/>
      <c r="X399" s="20"/>
      <c r="Y399" s="20"/>
      <c r="Z399" s="20"/>
    </row>
    <row r="400" spans="1:26" ht="17.25" customHeight="1">
      <c r="A400" s="15"/>
      <c r="B400" s="15"/>
      <c r="C400" s="15"/>
      <c r="D400" s="15"/>
      <c r="E400" s="15"/>
      <c r="F400" s="15"/>
      <c r="G400" s="15"/>
      <c r="H400" s="47"/>
      <c r="I400" s="20"/>
      <c r="J400" s="20"/>
      <c r="K400" s="20"/>
      <c r="L400" s="20"/>
      <c r="M400" s="20"/>
      <c r="N400" s="20"/>
      <c r="O400" s="20"/>
      <c r="P400" s="20"/>
      <c r="Q400" s="20"/>
      <c r="R400" s="20"/>
      <c r="S400" s="20"/>
      <c r="T400" s="20"/>
      <c r="U400" s="20"/>
      <c r="V400" s="20"/>
      <c r="W400" s="20"/>
      <c r="X400" s="20"/>
      <c r="Y400" s="20"/>
      <c r="Z400" s="20"/>
    </row>
    <row r="401" spans="1:26" ht="17.25" customHeight="1">
      <c r="A401" s="15"/>
      <c r="B401" s="15"/>
      <c r="C401" s="15"/>
      <c r="D401" s="15"/>
      <c r="E401" s="15"/>
      <c r="F401" s="15"/>
      <c r="G401" s="15"/>
      <c r="H401" s="47"/>
      <c r="I401" s="20"/>
      <c r="J401" s="20"/>
      <c r="K401" s="20"/>
      <c r="L401" s="20"/>
      <c r="M401" s="20"/>
      <c r="N401" s="20"/>
      <c r="O401" s="20"/>
      <c r="P401" s="20"/>
      <c r="Q401" s="20"/>
      <c r="R401" s="20"/>
      <c r="S401" s="20"/>
      <c r="T401" s="20"/>
      <c r="U401" s="20"/>
      <c r="V401" s="20"/>
      <c r="W401" s="20"/>
      <c r="X401" s="20"/>
      <c r="Y401" s="20"/>
      <c r="Z401" s="20"/>
    </row>
    <row r="402" spans="1:26" ht="17.25" customHeight="1">
      <c r="A402" s="15"/>
      <c r="B402" s="15"/>
      <c r="C402" s="15"/>
      <c r="D402" s="15"/>
      <c r="E402" s="15"/>
      <c r="F402" s="15"/>
      <c r="G402" s="15"/>
      <c r="H402" s="47"/>
      <c r="I402" s="20"/>
      <c r="J402" s="20"/>
      <c r="K402" s="20"/>
      <c r="L402" s="20"/>
      <c r="M402" s="20"/>
      <c r="N402" s="20"/>
      <c r="O402" s="20"/>
      <c r="P402" s="20"/>
      <c r="Q402" s="20"/>
      <c r="R402" s="20"/>
      <c r="S402" s="20"/>
      <c r="T402" s="20"/>
      <c r="U402" s="20"/>
      <c r="V402" s="20"/>
      <c r="W402" s="20"/>
      <c r="X402" s="20"/>
      <c r="Y402" s="20"/>
      <c r="Z402" s="20"/>
    </row>
    <row r="403" spans="1:26" ht="17.25" customHeight="1">
      <c r="A403" s="15"/>
      <c r="B403" s="15"/>
      <c r="C403" s="15"/>
      <c r="D403" s="15"/>
      <c r="E403" s="15"/>
      <c r="F403" s="15"/>
      <c r="G403" s="15"/>
      <c r="H403" s="47"/>
      <c r="I403" s="20"/>
      <c r="J403" s="20"/>
      <c r="K403" s="20"/>
      <c r="L403" s="20"/>
      <c r="M403" s="20"/>
      <c r="N403" s="20"/>
      <c r="O403" s="20"/>
      <c r="P403" s="20"/>
      <c r="Q403" s="20"/>
      <c r="R403" s="20"/>
      <c r="S403" s="20"/>
      <c r="T403" s="20"/>
      <c r="U403" s="20"/>
      <c r="V403" s="20"/>
      <c r="W403" s="20"/>
      <c r="X403" s="20"/>
      <c r="Y403" s="20"/>
      <c r="Z403" s="20"/>
    </row>
    <row r="404" spans="1:26" ht="17.25" customHeight="1">
      <c r="A404" s="15"/>
      <c r="B404" s="15"/>
      <c r="C404" s="15"/>
      <c r="D404" s="15"/>
      <c r="E404" s="15"/>
      <c r="F404" s="15"/>
      <c r="G404" s="15"/>
      <c r="H404" s="47"/>
      <c r="I404" s="20"/>
      <c r="J404" s="20"/>
      <c r="K404" s="20"/>
      <c r="L404" s="20"/>
      <c r="M404" s="20"/>
      <c r="N404" s="20"/>
      <c r="O404" s="20"/>
      <c r="P404" s="20"/>
      <c r="Q404" s="20"/>
      <c r="R404" s="20"/>
      <c r="S404" s="20"/>
      <c r="T404" s="20"/>
      <c r="U404" s="20"/>
      <c r="V404" s="20"/>
      <c r="W404" s="20"/>
      <c r="X404" s="20"/>
      <c r="Y404" s="20"/>
      <c r="Z404" s="20"/>
    </row>
    <row r="405" spans="1:26" ht="17.25" customHeight="1">
      <c r="A405" s="15"/>
      <c r="B405" s="15"/>
      <c r="C405" s="15"/>
      <c r="D405" s="15"/>
      <c r="E405" s="15"/>
      <c r="F405" s="15"/>
      <c r="G405" s="15"/>
      <c r="H405" s="47"/>
      <c r="I405" s="20"/>
      <c r="J405" s="20"/>
      <c r="K405" s="20"/>
      <c r="L405" s="20"/>
      <c r="M405" s="20"/>
      <c r="N405" s="20"/>
      <c r="O405" s="20"/>
      <c r="P405" s="20"/>
      <c r="Q405" s="20"/>
      <c r="R405" s="20"/>
      <c r="S405" s="20"/>
      <c r="T405" s="20"/>
      <c r="U405" s="20"/>
      <c r="V405" s="20"/>
      <c r="W405" s="20"/>
      <c r="X405" s="20"/>
      <c r="Y405" s="20"/>
      <c r="Z405" s="20"/>
    </row>
    <row r="406" spans="1:26" ht="17.25" customHeight="1">
      <c r="A406" s="15"/>
      <c r="B406" s="15"/>
      <c r="C406" s="15"/>
      <c r="D406" s="15"/>
      <c r="E406" s="15"/>
      <c r="F406" s="15"/>
      <c r="G406" s="15"/>
      <c r="H406" s="47"/>
      <c r="I406" s="20"/>
      <c r="J406" s="20"/>
      <c r="K406" s="20"/>
      <c r="L406" s="20"/>
      <c r="M406" s="20"/>
      <c r="N406" s="20"/>
      <c r="O406" s="20"/>
      <c r="P406" s="20"/>
      <c r="Q406" s="20"/>
      <c r="R406" s="20"/>
      <c r="S406" s="20"/>
      <c r="T406" s="20"/>
      <c r="U406" s="20"/>
      <c r="V406" s="20"/>
      <c r="W406" s="20"/>
      <c r="X406" s="20"/>
      <c r="Y406" s="20"/>
      <c r="Z406" s="20"/>
    </row>
    <row r="407" spans="1:26" ht="17.25" customHeight="1">
      <c r="A407" s="15"/>
      <c r="B407" s="15"/>
      <c r="C407" s="15"/>
      <c r="D407" s="15"/>
      <c r="E407" s="15"/>
      <c r="F407" s="15"/>
      <c r="G407" s="15"/>
      <c r="H407" s="47"/>
      <c r="I407" s="20"/>
      <c r="J407" s="20"/>
      <c r="K407" s="20"/>
      <c r="L407" s="20"/>
      <c r="M407" s="20"/>
      <c r="N407" s="20"/>
      <c r="O407" s="20"/>
      <c r="P407" s="20"/>
      <c r="Q407" s="20"/>
      <c r="R407" s="20"/>
      <c r="S407" s="20"/>
      <c r="T407" s="20"/>
      <c r="U407" s="20"/>
      <c r="V407" s="20"/>
      <c r="W407" s="20"/>
      <c r="X407" s="20"/>
      <c r="Y407" s="20"/>
      <c r="Z407" s="20"/>
    </row>
    <row r="408" spans="1:26" ht="17.25" customHeight="1">
      <c r="A408" s="15"/>
      <c r="B408" s="15"/>
      <c r="C408" s="15"/>
      <c r="D408" s="15"/>
      <c r="E408" s="15"/>
      <c r="F408" s="15"/>
      <c r="G408" s="15"/>
      <c r="H408" s="47"/>
      <c r="I408" s="20"/>
      <c r="J408" s="20"/>
      <c r="K408" s="20"/>
      <c r="L408" s="20"/>
      <c r="M408" s="20"/>
      <c r="N408" s="20"/>
      <c r="O408" s="20"/>
      <c r="P408" s="20"/>
      <c r="Q408" s="20"/>
      <c r="R408" s="20"/>
      <c r="S408" s="20"/>
      <c r="T408" s="20"/>
      <c r="U408" s="20"/>
      <c r="V408" s="20"/>
      <c r="W408" s="20"/>
      <c r="X408" s="20"/>
      <c r="Y408" s="20"/>
      <c r="Z408" s="20"/>
    </row>
    <row r="409" spans="1:26" ht="17.25" customHeight="1">
      <c r="A409" s="15"/>
      <c r="B409" s="15"/>
      <c r="C409" s="15"/>
      <c r="D409" s="15"/>
      <c r="E409" s="15"/>
      <c r="F409" s="15"/>
      <c r="G409" s="15"/>
      <c r="H409" s="47"/>
      <c r="I409" s="20"/>
      <c r="J409" s="20"/>
      <c r="K409" s="20"/>
      <c r="L409" s="20"/>
      <c r="M409" s="20"/>
      <c r="N409" s="20"/>
      <c r="O409" s="20"/>
      <c r="P409" s="20"/>
      <c r="Q409" s="20"/>
      <c r="R409" s="20"/>
      <c r="S409" s="20"/>
      <c r="T409" s="20"/>
      <c r="U409" s="20"/>
      <c r="V409" s="20"/>
      <c r="W409" s="20"/>
      <c r="X409" s="20"/>
      <c r="Y409" s="20"/>
      <c r="Z409" s="20"/>
    </row>
    <row r="410" spans="1:26" ht="17.25" customHeight="1">
      <c r="A410" s="15"/>
      <c r="B410" s="15"/>
      <c r="C410" s="15"/>
      <c r="D410" s="15"/>
      <c r="E410" s="15"/>
      <c r="F410" s="15"/>
      <c r="G410" s="15"/>
      <c r="H410" s="47"/>
      <c r="I410" s="20"/>
      <c r="J410" s="20"/>
      <c r="K410" s="20"/>
      <c r="L410" s="20"/>
      <c r="M410" s="20"/>
      <c r="N410" s="20"/>
      <c r="O410" s="20"/>
      <c r="P410" s="20"/>
      <c r="Q410" s="20"/>
      <c r="R410" s="20"/>
      <c r="S410" s="20"/>
      <c r="T410" s="20"/>
      <c r="U410" s="20"/>
      <c r="V410" s="20"/>
      <c r="W410" s="20"/>
      <c r="X410" s="20"/>
      <c r="Y410" s="20"/>
      <c r="Z410" s="20"/>
    </row>
    <row r="411" spans="1:26" ht="17.25" customHeight="1">
      <c r="A411" s="15"/>
      <c r="B411" s="15"/>
      <c r="C411" s="15"/>
      <c r="D411" s="15"/>
      <c r="E411" s="15"/>
      <c r="F411" s="15"/>
      <c r="G411" s="15"/>
      <c r="H411" s="47"/>
      <c r="I411" s="20"/>
      <c r="J411" s="20"/>
      <c r="K411" s="20"/>
      <c r="L411" s="20"/>
      <c r="M411" s="20"/>
      <c r="N411" s="20"/>
      <c r="O411" s="20"/>
      <c r="P411" s="20"/>
      <c r="Q411" s="20"/>
      <c r="R411" s="20"/>
      <c r="S411" s="20"/>
      <c r="T411" s="20"/>
      <c r="U411" s="20"/>
      <c r="V411" s="20"/>
      <c r="W411" s="20"/>
      <c r="X411" s="20"/>
      <c r="Y411" s="20"/>
      <c r="Z411" s="20"/>
    </row>
    <row r="412" spans="1:26" ht="17.25" customHeight="1">
      <c r="A412" s="15"/>
      <c r="B412" s="15"/>
      <c r="C412" s="15"/>
      <c r="D412" s="15"/>
      <c r="E412" s="15"/>
      <c r="F412" s="15"/>
      <c r="G412" s="15"/>
      <c r="H412" s="47"/>
      <c r="I412" s="20"/>
      <c r="J412" s="20"/>
      <c r="K412" s="20"/>
      <c r="L412" s="20"/>
      <c r="M412" s="20"/>
      <c r="N412" s="20"/>
      <c r="O412" s="20"/>
      <c r="P412" s="20"/>
      <c r="Q412" s="20"/>
      <c r="R412" s="20"/>
      <c r="S412" s="20"/>
      <c r="T412" s="20"/>
      <c r="U412" s="20"/>
      <c r="V412" s="20"/>
      <c r="W412" s="20"/>
      <c r="X412" s="20"/>
      <c r="Y412" s="20"/>
      <c r="Z412" s="20"/>
    </row>
    <row r="413" spans="1:26" ht="17.25" customHeight="1">
      <c r="A413" s="15"/>
      <c r="B413" s="15"/>
      <c r="C413" s="15"/>
      <c r="D413" s="15"/>
      <c r="E413" s="15"/>
      <c r="F413" s="15"/>
      <c r="G413" s="15"/>
      <c r="H413" s="47"/>
      <c r="I413" s="20"/>
      <c r="J413" s="20"/>
      <c r="K413" s="20"/>
      <c r="L413" s="20"/>
      <c r="M413" s="20"/>
      <c r="N413" s="20"/>
      <c r="O413" s="20"/>
      <c r="P413" s="20"/>
      <c r="Q413" s="20"/>
      <c r="R413" s="20"/>
      <c r="S413" s="20"/>
      <c r="T413" s="20"/>
      <c r="U413" s="20"/>
      <c r="V413" s="20"/>
      <c r="W413" s="20"/>
      <c r="X413" s="20"/>
      <c r="Y413" s="20"/>
      <c r="Z413" s="20"/>
    </row>
    <row r="414" spans="1:26" ht="17.25" customHeight="1">
      <c r="A414" s="15"/>
      <c r="B414" s="15"/>
      <c r="C414" s="15"/>
      <c r="D414" s="15"/>
      <c r="E414" s="15"/>
      <c r="F414" s="15"/>
      <c r="G414" s="15"/>
      <c r="H414" s="47"/>
      <c r="I414" s="20"/>
      <c r="J414" s="20"/>
      <c r="K414" s="20"/>
      <c r="L414" s="20"/>
      <c r="M414" s="20"/>
      <c r="N414" s="20"/>
      <c r="O414" s="20"/>
      <c r="P414" s="20"/>
      <c r="Q414" s="20"/>
      <c r="R414" s="20"/>
      <c r="S414" s="20"/>
      <c r="T414" s="20"/>
      <c r="U414" s="20"/>
      <c r="V414" s="20"/>
      <c r="W414" s="20"/>
      <c r="X414" s="20"/>
      <c r="Y414" s="20"/>
      <c r="Z414" s="20"/>
    </row>
    <row r="415" spans="1:26" ht="17.25" customHeight="1">
      <c r="A415" s="15"/>
      <c r="B415" s="15"/>
      <c r="C415" s="15"/>
      <c r="D415" s="15"/>
      <c r="E415" s="15"/>
      <c r="F415" s="15"/>
      <c r="G415" s="15"/>
      <c r="H415" s="47"/>
      <c r="I415" s="20"/>
      <c r="J415" s="20"/>
      <c r="K415" s="20"/>
      <c r="L415" s="20"/>
      <c r="M415" s="20"/>
      <c r="N415" s="20"/>
      <c r="O415" s="20"/>
      <c r="P415" s="20"/>
      <c r="Q415" s="20"/>
      <c r="R415" s="20"/>
      <c r="S415" s="20"/>
      <c r="T415" s="20"/>
      <c r="U415" s="20"/>
      <c r="V415" s="20"/>
      <c r="W415" s="20"/>
      <c r="X415" s="20"/>
      <c r="Y415" s="20"/>
      <c r="Z415" s="20"/>
    </row>
    <row r="416" spans="1:26" ht="17.25" customHeight="1">
      <c r="A416" s="15"/>
      <c r="B416" s="15"/>
      <c r="C416" s="15"/>
      <c r="D416" s="15"/>
      <c r="E416" s="15"/>
      <c r="F416" s="15"/>
      <c r="G416" s="15"/>
      <c r="H416" s="47"/>
      <c r="I416" s="20"/>
      <c r="J416" s="20"/>
      <c r="K416" s="20"/>
      <c r="L416" s="20"/>
      <c r="M416" s="20"/>
      <c r="N416" s="20"/>
      <c r="O416" s="20"/>
      <c r="P416" s="20"/>
      <c r="Q416" s="20"/>
      <c r="R416" s="20"/>
      <c r="S416" s="20"/>
      <c r="T416" s="20"/>
      <c r="U416" s="20"/>
      <c r="V416" s="20"/>
      <c r="W416" s="20"/>
      <c r="X416" s="20"/>
      <c r="Y416" s="20"/>
      <c r="Z416" s="20"/>
    </row>
    <row r="417" spans="1:26" ht="17.25" customHeight="1">
      <c r="A417" s="15"/>
      <c r="B417" s="15"/>
      <c r="C417" s="15"/>
      <c r="D417" s="15"/>
      <c r="E417" s="15"/>
      <c r="F417" s="15"/>
      <c r="G417" s="15"/>
      <c r="H417" s="47"/>
      <c r="I417" s="20"/>
      <c r="J417" s="20"/>
      <c r="K417" s="20"/>
      <c r="L417" s="20"/>
      <c r="M417" s="20"/>
      <c r="N417" s="20"/>
      <c r="O417" s="20"/>
      <c r="P417" s="20"/>
      <c r="Q417" s="20"/>
      <c r="R417" s="20"/>
      <c r="S417" s="20"/>
      <c r="T417" s="20"/>
      <c r="U417" s="20"/>
      <c r="V417" s="20"/>
      <c r="W417" s="20"/>
      <c r="X417" s="20"/>
      <c r="Y417" s="20"/>
      <c r="Z417" s="20"/>
    </row>
    <row r="418" spans="1:26" ht="17.25" customHeight="1">
      <c r="A418" s="15"/>
      <c r="B418" s="15"/>
      <c r="C418" s="15"/>
      <c r="D418" s="15"/>
      <c r="E418" s="15"/>
      <c r="F418" s="15"/>
      <c r="G418" s="15"/>
      <c r="H418" s="47"/>
      <c r="I418" s="20"/>
      <c r="J418" s="20"/>
      <c r="K418" s="20"/>
      <c r="L418" s="20"/>
      <c r="M418" s="20"/>
      <c r="N418" s="20"/>
      <c r="O418" s="20"/>
      <c r="P418" s="20"/>
      <c r="Q418" s="20"/>
      <c r="R418" s="20"/>
      <c r="S418" s="20"/>
      <c r="T418" s="20"/>
      <c r="U418" s="20"/>
      <c r="V418" s="20"/>
      <c r="W418" s="20"/>
      <c r="X418" s="20"/>
      <c r="Y418" s="20"/>
      <c r="Z418" s="20"/>
    </row>
    <row r="419" spans="1:26" ht="17.25" customHeight="1">
      <c r="A419" s="15"/>
      <c r="B419" s="15"/>
      <c r="C419" s="15"/>
      <c r="D419" s="15"/>
      <c r="E419" s="15"/>
      <c r="F419" s="15"/>
      <c r="G419" s="15"/>
      <c r="H419" s="47"/>
      <c r="I419" s="20"/>
      <c r="J419" s="20"/>
      <c r="K419" s="20"/>
      <c r="L419" s="20"/>
      <c r="M419" s="20"/>
      <c r="N419" s="20"/>
      <c r="O419" s="20"/>
      <c r="P419" s="20"/>
      <c r="Q419" s="20"/>
      <c r="R419" s="20"/>
      <c r="S419" s="20"/>
      <c r="T419" s="20"/>
      <c r="U419" s="20"/>
      <c r="V419" s="20"/>
      <c r="W419" s="20"/>
      <c r="X419" s="20"/>
      <c r="Y419" s="20"/>
      <c r="Z419" s="20"/>
    </row>
    <row r="420" spans="1:26" ht="17.25" customHeight="1">
      <c r="A420" s="15"/>
      <c r="B420" s="15"/>
      <c r="C420" s="15"/>
      <c r="D420" s="15"/>
      <c r="E420" s="15"/>
      <c r="F420" s="15"/>
      <c r="G420" s="15"/>
      <c r="H420" s="47"/>
      <c r="I420" s="20"/>
      <c r="J420" s="20"/>
      <c r="K420" s="20"/>
      <c r="L420" s="20"/>
      <c r="M420" s="20"/>
      <c r="N420" s="20"/>
      <c r="O420" s="20"/>
      <c r="P420" s="20"/>
      <c r="Q420" s="20"/>
      <c r="R420" s="20"/>
      <c r="S420" s="20"/>
      <c r="T420" s="20"/>
      <c r="U420" s="20"/>
      <c r="V420" s="20"/>
      <c r="W420" s="20"/>
      <c r="X420" s="20"/>
      <c r="Y420" s="20"/>
      <c r="Z420" s="20"/>
    </row>
    <row r="421" spans="1:26" ht="17.25" customHeight="1">
      <c r="A421" s="15"/>
      <c r="B421" s="15"/>
      <c r="C421" s="15"/>
      <c r="D421" s="15"/>
      <c r="E421" s="15"/>
      <c r="F421" s="15"/>
      <c r="G421" s="15"/>
      <c r="H421" s="47"/>
      <c r="I421" s="20"/>
      <c r="J421" s="20"/>
      <c r="K421" s="20"/>
      <c r="L421" s="20"/>
      <c r="M421" s="20"/>
      <c r="N421" s="20"/>
      <c r="O421" s="20"/>
      <c r="P421" s="20"/>
      <c r="Q421" s="20"/>
      <c r="R421" s="20"/>
      <c r="S421" s="20"/>
      <c r="T421" s="20"/>
      <c r="U421" s="20"/>
      <c r="V421" s="20"/>
      <c r="W421" s="20"/>
      <c r="X421" s="20"/>
      <c r="Y421" s="20"/>
      <c r="Z421" s="20"/>
    </row>
    <row r="422" spans="1:26" ht="17.25" customHeight="1">
      <c r="A422" s="15"/>
      <c r="B422" s="15"/>
      <c r="C422" s="15"/>
      <c r="D422" s="15"/>
      <c r="E422" s="15"/>
      <c r="F422" s="15"/>
      <c r="G422" s="15"/>
      <c r="H422" s="47"/>
      <c r="I422" s="20"/>
      <c r="J422" s="20"/>
      <c r="K422" s="20"/>
      <c r="L422" s="20"/>
      <c r="M422" s="20"/>
      <c r="N422" s="20"/>
      <c r="O422" s="20"/>
      <c r="P422" s="20"/>
      <c r="Q422" s="20"/>
      <c r="R422" s="20"/>
      <c r="S422" s="20"/>
      <c r="T422" s="20"/>
      <c r="U422" s="20"/>
      <c r="V422" s="20"/>
      <c r="W422" s="20"/>
      <c r="X422" s="20"/>
      <c r="Y422" s="20"/>
      <c r="Z422" s="20"/>
    </row>
    <row r="423" spans="1:26" ht="17.25" customHeight="1">
      <c r="A423" s="15"/>
      <c r="B423" s="15"/>
      <c r="C423" s="15"/>
      <c r="D423" s="15"/>
      <c r="E423" s="15"/>
      <c r="F423" s="15"/>
      <c r="G423" s="15"/>
      <c r="H423" s="47"/>
      <c r="I423" s="20"/>
      <c r="J423" s="20"/>
      <c r="K423" s="20"/>
      <c r="L423" s="20"/>
      <c r="M423" s="20"/>
      <c r="N423" s="20"/>
      <c r="O423" s="20"/>
      <c r="P423" s="20"/>
      <c r="Q423" s="20"/>
      <c r="R423" s="20"/>
      <c r="S423" s="20"/>
      <c r="T423" s="20"/>
      <c r="U423" s="20"/>
      <c r="V423" s="20"/>
      <c r="W423" s="20"/>
      <c r="X423" s="20"/>
      <c r="Y423" s="20"/>
      <c r="Z423" s="20"/>
    </row>
    <row r="424" spans="1:26" ht="17.25" customHeight="1">
      <c r="A424" s="15"/>
      <c r="B424" s="15"/>
      <c r="C424" s="15"/>
      <c r="D424" s="15"/>
      <c r="E424" s="15"/>
      <c r="F424" s="15"/>
      <c r="G424" s="15"/>
      <c r="H424" s="47"/>
      <c r="I424" s="20"/>
      <c r="J424" s="20"/>
      <c r="K424" s="20"/>
      <c r="L424" s="20"/>
      <c r="M424" s="20"/>
      <c r="N424" s="20"/>
      <c r="O424" s="20"/>
      <c r="P424" s="20"/>
      <c r="Q424" s="20"/>
      <c r="R424" s="20"/>
      <c r="S424" s="20"/>
      <c r="T424" s="20"/>
      <c r="U424" s="20"/>
      <c r="V424" s="20"/>
      <c r="W424" s="20"/>
      <c r="X424" s="20"/>
      <c r="Y424" s="20"/>
      <c r="Z424" s="20"/>
    </row>
    <row r="425" spans="1:26" ht="17.25" customHeight="1">
      <c r="A425" s="15"/>
      <c r="B425" s="15"/>
      <c r="C425" s="15"/>
      <c r="D425" s="15"/>
      <c r="E425" s="15"/>
      <c r="F425" s="15"/>
      <c r="G425" s="15"/>
      <c r="H425" s="47"/>
      <c r="I425" s="20"/>
      <c r="J425" s="20"/>
      <c r="K425" s="20"/>
      <c r="L425" s="20"/>
      <c r="M425" s="20"/>
      <c r="N425" s="20"/>
      <c r="O425" s="20"/>
      <c r="P425" s="20"/>
      <c r="Q425" s="20"/>
      <c r="R425" s="20"/>
      <c r="S425" s="20"/>
      <c r="T425" s="20"/>
      <c r="U425" s="20"/>
      <c r="V425" s="20"/>
      <c r="W425" s="20"/>
      <c r="X425" s="20"/>
      <c r="Y425" s="20"/>
      <c r="Z425" s="20"/>
    </row>
    <row r="426" spans="1:26" ht="17.25" customHeight="1">
      <c r="A426" s="15"/>
      <c r="B426" s="15"/>
      <c r="C426" s="15"/>
      <c r="D426" s="15"/>
      <c r="E426" s="15"/>
      <c r="F426" s="15"/>
      <c r="G426" s="15"/>
      <c r="H426" s="47"/>
      <c r="I426" s="20"/>
      <c r="J426" s="20"/>
      <c r="K426" s="20"/>
      <c r="L426" s="20"/>
      <c r="M426" s="20"/>
      <c r="N426" s="20"/>
      <c r="O426" s="20"/>
      <c r="P426" s="20"/>
      <c r="Q426" s="20"/>
      <c r="R426" s="20"/>
      <c r="S426" s="20"/>
      <c r="T426" s="20"/>
      <c r="U426" s="20"/>
      <c r="V426" s="20"/>
      <c r="W426" s="20"/>
      <c r="X426" s="20"/>
      <c r="Y426" s="20"/>
      <c r="Z426" s="20"/>
    </row>
    <row r="427" spans="1:26" ht="17.25" customHeight="1">
      <c r="A427" s="15"/>
      <c r="B427" s="15"/>
      <c r="C427" s="15"/>
      <c r="D427" s="15"/>
      <c r="E427" s="15"/>
      <c r="F427" s="15"/>
      <c r="G427" s="15"/>
      <c r="H427" s="47"/>
      <c r="I427" s="20"/>
      <c r="J427" s="20"/>
      <c r="K427" s="20"/>
      <c r="L427" s="20"/>
      <c r="M427" s="20"/>
      <c r="N427" s="20"/>
      <c r="O427" s="20"/>
      <c r="P427" s="20"/>
      <c r="Q427" s="20"/>
      <c r="R427" s="20"/>
      <c r="S427" s="20"/>
      <c r="T427" s="20"/>
      <c r="U427" s="20"/>
      <c r="V427" s="20"/>
      <c r="W427" s="20"/>
      <c r="X427" s="20"/>
      <c r="Y427" s="20"/>
      <c r="Z427" s="20"/>
    </row>
    <row r="428" spans="1:26" ht="17.25" customHeight="1">
      <c r="A428" s="15"/>
      <c r="B428" s="15"/>
      <c r="C428" s="15"/>
      <c r="D428" s="15"/>
      <c r="E428" s="15"/>
      <c r="F428" s="15"/>
      <c r="G428" s="15"/>
      <c r="H428" s="47"/>
      <c r="I428" s="20"/>
      <c r="J428" s="20"/>
      <c r="K428" s="20"/>
      <c r="L428" s="20"/>
      <c r="M428" s="20"/>
      <c r="N428" s="20"/>
      <c r="O428" s="20"/>
      <c r="P428" s="20"/>
      <c r="Q428" s="20"/>
      <c r="R428" s="20"/>
      <c r="S428" s="20"/>
      <c r="T428" s="20"/>
      <c r="U428" s="20"/>
      <c r="V428" s="20"/>
      <c r="W428" s="20"/>
      <c r="X428" s="20"/>
      <c r="Y428" s="20"/>
      <c r="Z428" s="20"/>
    </row>
    <row r="429" spans="1:26" ht="17.25" customHeight="1">
      <c r="A429" s="15"/>
      <c r="B429" s="15"/>
      <c r="C429" s="15"/>
      <c r="D429" s="15"/>
      <c r="E429" s="15"/>
      <c r="F429" s="15"/>
      <c r="G429" s="15"/>
      <c r="H429" s="47"/>
      <c r="I429" s="20"/>
      <c r="J429" s="20"/>
      <c r="K429" s="20"/>
      <c r="L429" s="20"/>
      <c r="M429" s="20"/>
      <c r="N429" s="20"/>
      <c r="O429" s="20"/>
      <c r="P429" s="20"/>
      <c r="Q429" s="20"/>
      <c r="R429" s="20"/>
      <c r="S429" s="20"/>
      <c r="T429" s="20"/>
      <c r="U429" s="20"/>
      <c r="V429" s="20"/>
      <c r="W429" s="20"/>
      <c r="X429" s="20"/>
      <c r="Y429" s="20"/>
      <c r="Z429" s="20"/>
    </row>
    <row r="430" spans="1:26" ht="17.25" customHeight="1">
      <c r="A430" s="15"/>
      <c r="B430" s="15"/>
      <c r="C430" s="15"/>
      <c r="D430" s="15"/>
      <c r="E430" s="15"/>
      <c r="F430" s="15"/>
      <c r="G430" s="15"/>
      <c r="H430" s="47"/>
      <c r="I430" s="20"/>
      <c r="J430" s="20"/>
      <c r="K430" s="20"/>
      <c r="L430" s="20"/>
      <c r="M430" s="20"/>
      <c r="N430" s="20"/>
      <c r="O430" s="20"/>
      <c r="P430" s="20"/>
      <c r="Q430" s="20"/>
      <c r="R430" s="20"/>
      <c r="S430" s="20"/>
      <c r="T430" s="20"/>
      <c r="U430" s="20"/>
      <c r="V430" s="20"/>
      <c r="W430" s="20"/>
      <c r="X430" s="20"/>
      <c r="Y430" s="20"/>
      <c r="Z430" s="20"/>
    </row>
    <row r="431" spans="1:26" ht="17.25" customHeight="1">
      <c r="A431" s="15"/>
      <c r="B431" s="15"/>
      <c r="C431" s="15"/>
      <c r="D431" s="15"/>
      <c r="E431" s="15"/>
      <c r="F431" s="15"/>
      <c r="G431" s="15"/>
      <c r="H431" s="47"/>
      <c r="I431" s="20"/>
      <c r="J431" s="20"/>
      <c r="K431" s="20"/>
      <c r="L431" s="20"/>
      <c r="M431" s="20"/>
      <c r="N431" s="20"/>
      <c r="O431" s="20"/>
      <c r="P431" s="20"/>
      <c r="Q431" s="20"/>
      <c r="R431" s="20"/>
      <c r="S431" s="20"/>
      <c r="T431" s="20"/>
      <c r="U431" s="20"/>
      <c r="V431" s="20"/>
      <c r="W431" s="20"/>
      <c r="X431" s="20"/>
      <c r="Y431" s="20"/>
      <c r="Z431" s="20"/>
    </row>
    <row r="432" spans="1:26" ht="17.25" customHeight="1">
      <c r="A432" s="15"/>
      <c r="B432" s="15"/>
      <c r="C432" s="15"/>
      <c r="D432" s="15"/>
      <c r="E432" s="15"/>
      <c r="F432" s="15"/>
      <c r="G432" s="15"/>
      <c r="H432" s="47"/>
      <c r="I432" s="20"/>
      <c r="J432" s="20"/>
      <c r="K432" s="20"/>
      <c r="L432" s="20"/>
      <c r="M432" s="20"/>
      <c r="N432" s="20"/>
      <c r="O432" s="20"/>
      <c r="P432" s="20"/>
      <c r="Q432" s="20"/>
      <c r="R432" s="20"/>
      <c r="S432" s="20"/>
      <c r="T432" s="20"/>
      <c r="U432" s="20"/>
      <c r="V432" s="20"/>
      <c r="W432" s="20"/>
      <c r="X432" s="20"/>
      <c r="Y432" s="20"/>
      <c r="Z432" s="20"/>
    </row>
    <row r="433" spans="1:26" ht="17.25" customHeight="1">
      <c r="A433" s="15"/>
      <c r="B433" s="15"/>
      <c r="C433" s="15"/>
      <c r="D433" s="15"/>
      <c r="E433" s="15"/>
      <c r="F433" s="15"/>
      <c r="G433" s="15"/>
      <c r="H433" s="47"/>
      <c r="I433" s="20"/>
      <c r="J433" s="20"/>
      <c r="K433" s="20"/>
      <c r="L433" s="20"/>
      <c r="M433" s="20"/>
      <c r="N433" s="20"/>
      <c r="O433" s="20"/>
      <c r="P433" s="20"/>
      <c r="Q433" s="20"/>
      <c r="R433" s="20"/>
      <c r="S433" s="20"/>
      <c r="T433" s="20"/>
      <c r="U433" s="20"/>
      <c r="V433" s="20"/>
      <c r="W433" s="20"/>
      <c r="X433" s="20"/>
      <c r="Y433" s="20"/>
      <c r="Z433" s="20"/>
    </row>
    <row r="434" spans="1:26" ht="17.25" customHeight="1">
      <c r="A434" s="15"/>
      <c r="B434" s="15"/>
      <c r="C434" s="15"/>
      <c r="D434" s="15"/>
      <c r="E434" s="15"/>
      <c r="F434" s="15"/>
      <c r="G434" s="15"/>
      <c r="H434" s="47"/>
      <c r="I434" s="20"/>
      <c r="J434" s="20"/>
      <c r="K434" s="20"/>
      <c r="L434" s="20"/>
      <c r="M434" s="20"/>
      <c r="N434" s="20"/>
      <c r="O434" s="20"/>
      <c r="P434" s="20"/>
      <c r="Q434" s="20"/>
      <c r="R434" s="20"/>
      <c r="S434" s="20"/>
      <c r="T434" s="20"/>
      <c r="U434" s="20"/>
      <c r="V434" s="20"/>
      <c r="W434" s="20"/>
      <c r="X434" s="20"/>
      <c r="Y434" s="20"/>
      <c r="Z434" s="20"/>
    </row>
    <row r="435" spans="1:26" ht="17.25" customHeight="1">
      <c r="A435" s="15"/>
      <c r="B435" s="15"/>
      <c r="C435" s="15"/>
      <c r="D435" s="15"/>
      <c r="E435" s="15"/>
      <c r="F435" s="15"/>
      <c r="G435" s="15"/>
      <c r="H435" s="47"/>
      <c r="I435" s="20"/>
      <c r="J435" s="20"/>
      <c r="K435" s="20"/>
      <c r="L435" s="20"/>
      <c r="M435" s="20"/>
      <c r="N435" s="20"/>
      <c r="O435" s="20"/>
      <c r="P435" s="20"/>
      <c r="Q435" s="20"/>
      <c r="R435" s="20"/>
      <c r="S435" s="20"/>
      <c r="T435" s="20"/>
      <c r="U435" s="20"/>
      <c r="V435" s="20"/>
      <c r="W435" s="20"/>
      <c r="X435" s="20"/>
      <c r="Y435" s="20"/>
      <c r="Z435" s="20"/>
    </row>
    <row r="436" spans="1:26" ht="17.25" customHeight="1">
      <c r="A436" s="15"/>
      <c r="B436" s="15"/>
      <c r="C436" s="15"/>
      <c r="D436" s="15"/>
      <c r="E436" s="15"/>
      <c r="F436" s="15"/>
      <c r="G436" s="15"/>
      <c r="H436" s="47"/>
      <c r="I436" s="20"/>
      <c r="J436" s="20"/>
      <c r="K436" s="20"/>
      <c r="L436" s="20"/>
      <c r="M436" s="20"/>
      <c r="N436" s="20"/>
      <c r="O436" s="20"/>
      <c r="P436" s="20"/>
      <c r="Q436" s="20"/>
      <c r="R436" s="20"/>
      <c r="S436" s="20"/>
      <c r="T436" s="20"/>
      <c r="U436" s="20"/>
      <c r="V436" s="20"/>
      <c r="W436" s="20"/>
      <c r="X436" s="20"/>
      <c r="Y436" s="20"/>
      <c r="Z436" s="20"/>
    </row>
    <row r="437" spans="1:26" ht="17.25" customHeight="1">
      <c r="A437" s="15"/>
      <c r="B437" s="15"/>
      <c r="C437" s="15"/>
      <c r="D437" s="15"/>
      <c r="E437" s="15"/>
      <c r="F437" s="15"/>
      <c r="G437" s="15"/>
      <c r="H437" s="47"/>
      <c r="I437" s="20"/>
      <c r="J437" s="20"/>
      <c r="K437" s="20"/>
      <c r="L437" s="20"/>
      <c r="M437" s="20"/>
      <c r="N437" s="20"/>
      <c r="O437" s="20"/>
      <c r="P437" s="20"/>
      <c r="Q437" s="20"/>
      <c r="R437" s="20"/>
      <c r="S437" s="20"/>
      <c r="T437" s="20"/>
      <c r="U437" s="20"/>
      <c r="V437" s="20"/>
      <c r="W437" s="20"/>
      <c r="X437" s="20"/>
      <c r="Y437" s="20"/>
      <c r="Z437" s="20"/>
    </row>
    <row r="438" spans="1:26" ht="17.25" customHeight="1">
      <c r="A438" s="15"/>
      <c r="B438" s="15"/>
      <c r="C438" s="15"/>
      <c r="D438" s="15"/>
      <c r="E438" s="15"/>
      <c r="F438" s="15"/>
      <c r="G438" s="15"/>
      <c r="H438" s="47"/>
      <c r="I438" s="20"/>
      <c r="J438" s="20"/>
      <c r="K438" s="20"/>
      <c r="L438" s="20"/>
      <c r="M438" s="20"/>
      <c r="N438" s="20"/>
      <c r="O438" s="20"/>
      <c r="P438" s="20"/>
      <c r="Q438" s="20"/>
      <c r="R438" s="20"/>
      <c r="S438" s="20"/>
      <c r="T438" s="20"/>
      <c r="U438" s="20"/>
      <c r="V438" s="20"/>
      <c r="W438" s="20"/>
      <c r="X438" s="20"/>
      <c r="Y438" s="20"/>
      <c r="Z438" s="20"/>
    </row>
    <row r="439" spans="1:26" ht="17.25" customHeight="1">
      <c r="A439" s="15"/>
      <c r="B439" s="15"/>
      <c r="C439" s="15"/>
      <c r="D439" s="15"/>
      <c r="E439" s="15"/>
      <c r="F439" s="15"/>
      <c r="G439" s="15"/>
      <c r="H439" s="47"/>
      <c r="I439" s="20"/>
      <c r="J439" s="20"/>
      <c r="K439" s="20"/>
      <c r="L439" s="20"/>
      <c r="M439" s="20"/>
      <c r="N439" s="20"/>
      <c r="O439" s="20"/>
      <c r="P439" s="20"/>
      <c r="Q439" s="20"/>
      <c r="R439" s="20"/>
      <c r="S439" s="20"/>
      <c r="T439" s="20"/>
      <c r="U439" s="20"/>
      <c r="V439" s="20"/>
      <c r="W439" s="20"/>
      <c r="X439" s="20"/>
      <c r="Y439" s="20"/>
      <c r="Z439" s="20"/>
    </row>
    <row r="440" spans="1:26" ht="17.25" customHeight="1">
      <c r="A440" s="15"/>
      <c r="B440" s="15"/>
      <c r="C440" s="15"/>
      <c r="D440" s="15"/>
      <c r="E440" s="15"/>
      <c r="F440" s="15"/>
      <c r="G440" s="15"/>
      <c r="H440" s="47"/>
      <c r="I440" s="20"/>
      <c r="J440" s="20"/>
      <c r="K440" s="20"/>
      <c r="L440" s="20"/>
      <c r="M440" s="20"/>
      <c r="N440" s="20"/>
      <c r="O440" s="20"/>
      <c r="P440" s="20"/>
      <c r="Q440" s="20"/>
      <c r="R440" s="20"/>
      <c r="S440" s="20"/>
      <c r="T440" s="20"/>
      <c r="U440" s="20"/>
      <c r="V440" s="20"/>
      <c r="W440" s="20"/>
      <c r="X440" s="20"/>
      <c r="Y440" s="20"/>
      <c r="Z440" s="20"/>
    </row>
    <row r="441" spans="1:26" ht="17.25" customHeight="1">
      <c r="A441" s="15"/>
      <c r="B441" s="15"/>
      <c r="C441" s="15"/>
      <c r="D441" s="15"/>
      <c r="E441" s="15"/>
      <c r="F441" s="15"/>
      <c r="G441" s="15"/>
      <c r="H441" s="47"/>
      <c r="I441" s="20"/>
      <c r="J441" s="20"/>
      <c r="K441" s="20"/>
      <c r="L441" s="20"/>
      <c r="M441" s="20"/>
      <c r="N441" s="20"/>
      <c r="O441" s="20"/>
      <c r="P441" s="20"/>
      <c r="Q441" s="20"/>
      <c r="R441" s="20"/>
      <c r="S441" s="20"/>
      <c r="T441" s="20"/>
      <c r="U441" s="20"/>
      <c r="V441" s="20"/>
      <c r="W441" s="20"/>
      <c r="X441" s="20"/>
      <c r="Y441" s="20"/>
      <c r="Z441" s="20"/>
    </row>
    <row r="442" spans="1:26" ht="17.25" customHeight="1">
      <c r="A442" s="15"/>
      <c r="B442" s="15"/>
      <c r="C442" s="15"/>
      <c r="D442" s="15"/>
      <c r="E442" s="15"/>
      <c r="F442" s="15"/>
      <c r="G442" s="15"/>
      <c r="H442" s="47"/>
      <c r="I442" s="20"/>
      <c r="J442" s="20"/>
      <c r="K442" s="20"/>
      <c r="L442" s="20"/>
      <c r="M442" s="20"/>
      <c r="N442" s="20"/>
      <c r="O442" s="20"/>
      <c r="P442" s="20"/>
      <c r="Q442" s="20"/>
      <c r="R442" s="20"/>
      <c r="S442" s="20"/>
      <c r="T442" s="20"/>
      <c r="U442" s="20"/>
      <c r="V442" s="20"/>
      <c r="W442" s="20"/>
      <c r="X442" s="20"/>
      <c r="Y442" s="20"/>
      <c r="Z442" s="20"/>
    </row>
    <row r="443" spans="1:26" ht="17.25" customHeight="1">
      <c r="A443" s="15"/>
      <c r="B443" s="15"/>
      <c r="C443" s="15"/>
      <c r="D443" s="15"/>
      <c r="E443" s="15"/>
      <c r="F443" s="15"/>
      <c r="G443" s="15"/>
      <c r="H443" s="47"/>
      <c r="I443" s="20"/>
      <c r="J443" s="20"/>
      <c r="K443" s="20"/>
      <c r="L443" s="20"/>
      <c r="M443" s="20"/>
      <c r="N443" s="20"/>
      <c r="O443" s="20"/>
      <c r="P443" s="20"/>
      <c r="Q443" s="20"/>
      <c r="R443" s="20"/>
      <c r="S443" s="20"/>
      <c r="T443" s="20"/>
      <c r="U443" s="20"/>
      <c r="V443" s="20"/>
      <c r="W443" s="20"/>
      <c r="X443" s="20"/>
      <c r="Y443" s="20"/>
      <c r="Z443" s="20"/>
    </row>
    <row r="444" spans="1:26" ht="17.25" customHeight="1">
      <c r="A444" s="15"/>
      <c r="B444" s="15"/>
      <c r="C444" s="15"/>
      <c r="D444" s="15"/>
      <c r="E444" s="15"/>
      <c r="F444" s="15"/>
      <c r="G444" s="15"/>
      <c r="H444" s="47"/>
      <c r="I444" s="20"/>
      <c r="J444" s="20"/>
      <c r="K444" s="20"/>
      <c r="L444" s="20"/>
      <c r="M444" s="20"/>
      <c r="N444" s="20"/>
      <c r="O444" s="20"/>
      <c r="P444" s="20"/>
      <c r="Q444" s="20"/>
      <c r="R444" s="20"/>
      <c r="S444" s="20"/>
      <c r="T444" s="20"/>
      <c r="U444" s="20"/>
      <c r="V444" s="20"/>
      <c r="W444" s="20"/>
      <c r="X444" s="20"/>
      <c r="Y444" s="20"/>
      <c r="Z444" s="20"/>
    </row>
    <row r="445" spans="1:26" ht="17.25" customHeight="1">
      <c r="A445" s="15"/>
      <c r="B445" s="15"/>
      <c r="C445" s="15"/>
      <c r="D445" s="15"/>
      <c r="E445" s="15"/>
      <c r="F445" s="15"/>
      <c r="G445" s="15"/>
      <c r="H445" s="47"/>
      <c r="I445" s="20"/>
      <c r="J445" s="20"/>
      <c r="K445" s="20"/>
      <c r="L445" s="20"/>
      <c r="M445" s="20"/>
      <c r="N445" s="20"/>
      <c r="O445" s="20"/>
      <c r="P445" s="20"/>
      <c r="Q445" s="20"/>
      <c r="R445" s="20"/>
      <c r="S445" s="20"/>
      <c r="T445" s="20"/>
      <c r="U445" s="20"/>
      <c r="V445" s="20"/>
      <c r="W445" s="20"/>
      <c r="X445" s="20"/>
      <c r="Y445" s="20"/>
      <c r="Z445" s="20"/>
    </row>
    <row r="446" spans="1:26" ht="17.25" customHeight="1">
      <c r="A446" s="15"/>
      <c r="B446" s="15"/>
      <c r="C446" s="15"/>
      <c r="D446" s="15"/>
      <c r="E446" s="15"/>
      <c r="F446" s="15"/>
      <c r="G446" s="15"/>
      <c r="H446" s="47"/>
      <c r="I446" s="20"/>
      <c r="J446" s="20"/>
      <c r="K446" s="20"/>
      <c r="L446" s="20"/>
      <c r="M446" s="20"/>
      <c r="N446" s="20"/>
      <c r="O446" s="20"/>
      <c r="P446" s="20"/>
      <c r="Q446" s="20"/>
      <c r="R446" s="20"/>
      <c r="S446" s="20"/>
      <c r="T446" s="20"/>
      <c r="U446" s="20"/>
      <c r="V446" s="20"/>
      <c r="W446" s="20"/>
      <c r="X446" s="20"/>
      <c r="Y446" s="20"/>
      <c r="Z446" s="20"/>
    </row>
    <row r="447" spans="1:26" ht="17.25" customHeight="1">
      <c r="A447" s="15"/>
      <c r="B447" s="15"/>
      <c r="C447" s="15"/>
      <c r="D447" s="15"/>
      <c r="E447" s="15"/>
      <c r="F447" s="15"/>
      <c r="G447" s="15"/>
      <c r="H447" s="47"/>
      <c r="I447" s="20"/>
      <c r="J447" s="20"/>
      <c r="K447" s="20"/>
      <c r="L447" s="20"/>
      <c r="M447" s="20"/>
      <c r="N447" s="20"/>
      <c r="O447" s="20"/>
      <c r="P447" s="20"/>
      <c r="Q447" s="20"/>
      <c r="R447" s="20"/>
      <c r="S447" s="20"/>
      <c r="T447" s="20"/>
      <c r="U447" s="20"/>
      <c r="V447" s="20"/>
      <c r="W447" s="20"/>
      <c r="X447" s="20"/>
      <c r="Y447" s="20"/>
      <c r="Z447" s="20"/>
    </row>
    <row r="448" spans="1:26" ht="17.25" customHeight="1">
      <c r="A448" s="15"/>
      <c r="B448" s="15"/>
      <c r="C448" s="15"/>
      <c r="D448" s="15"/>
      <c r="E448" s="15"/>
      <c r="F448" s="15"/>
      <c r="G448" s="15"/>
      <c r="H448" s="47"/>
      <c r="I448" s="20"/>
      <c r="J448" s="20"/>
      <c r="K448" s="20"/>
      <c r="L448" s="20"/>
      <c r="M448" s="20"/>
      <c r="N448" s="20"/>
      <c r="O448" s="20"/>
      <c r="P448" s="20"/>
      <c r="Q448" s="20"/>
      <c r="R448" s="20"/>
      <c r="S448" s="20"/>
      <c r="T448" s="20"/>
      <c r="U448" s="20"/>
      <c r="V448" s="20"/>
      <c r="W448" s="20"/>
      <c r="X448" s="20"/>
      <c r="Y448" s="20"/>
      <c r="Z448" s="20"/>
    </row>
    <row r="449" spans="1:26" ht="17.25" customHeight="1">
      <c r="A449" s="15"/>
      <c r="B449" s="15"/>
      <c r="C449" s="15"/>
      <c r="D449" s="15"/>
      <c r="E449" s="15"/>
      <c r="F449" s="15"/>
      <c r="G449" s="15"/>
      <c r="H449" s="47"/>
      <c r="I449" s="20"/>
      <c r="J449" s="20"/>
      <c r="K449" s="20"/>
      <c r="L449" s="20"/>
      <c r="M449" s="20"/>
      <c r="N449" s="20"/>
      <c r="O449" s="20"/>
      <c r="P449" s="20"/>
      <c r="Q449" s="20"/>
      <c r="R449" s="20"/>
      <c r="S449" s="20"/>
      <c r="T449" s="20"/>
      <c r="U449" s="20"/>
      <c r="V449" s="20"/>
      <c r="W449" s="20"/>
      <c r="X449" s="20"/>
      <c r="Y449" s="20"/>
      <c r="Z449" s="20"/>
    </row>
    <row r="450" spans="1:26" ht="17.25" customHeight="1">
      <c r="A450" s="15"/>
      <c r="B450" s="15"/>
      <c r="C450" s="15"/>
      <c r="D450" s="15"/>
      <c r="E450" s="15"/>
      <c r="F450" s="15"/>
      <c r="G450" s="15"/>
      <c r="H450" s="47"/>
      <c r="I450" s="20"/>
      <c r="J450" s="20"/>
      <c r="K450" s="20"/>
      <c r="L450" s="20"/>
      <c r="M450" s="20"/>
      <c r="N450" s="20"/>
      <c r="O450" s="20"/>
      <c r="P450" s="20"/>
      <c r="Q450" s="20"/>
      <c r="R450" s="20"/>
      <c r="S450" s="20"/>
      <c r="T450" s="20"/>
      <c r="U450" s="20"/>
      <c r="V450" s="20"/>
      <c r="W450" s="20"/>
      <c r="X450" s="20"/>
      <c r="Y450" s="20"/>
      <c r="Z450" s="20"/>
    </row>
    <row r="451" spans="1:26" ht="17.25" customHeight="1">
      <c r="A451" s="15"/>
      <c r="B451" s="15"/>
      <c r="C451" s="15"/>
      <c r="D451" s="15"/>
      <c r="E451" s="15"/>
      <c r="F451" s="15"/>
      <c r="G451" s="15"/>
      <c r="H451" s="47"/>
      <c r="I451" s="20"/>
      <c r="J451" s="20"/>
      <c r="K451" s="20"/>
      <c r="L451" s="20"/>
      <c r="M451" s="20"/>
      <c r="N451" s="20"/>
      <c r="O451" s="20"/>
      <c r="P451" s="20"/>
      <c r="Q451" s="20"/>
      <c r="R451" s="20"/>
      <c r="S451" s="20"/>
      <c r="T451" s="20"/>
      <c r="U451" s="20"/>
      <c r="V451" s="20"/>
      <c r="W451" s="20"/>
      <c r="X451" s="20"/>
      <c r="Y451" s="20"/>
      <c r="Z451" s="20"/>
    </row>
    <row r="452" spans="1:26" ht="17.25" customHeight="1">
      <c r="A452" s="15"/>
      <c r="B452" s="15"/>
      <c r="C452" s="15"/>
      <c r="D452" s="15"/>
      <c r="E452" s="15"/>
      <c r="F452" s="15"/>
      <c r="G452" s="15"/>
      <c r="H452" s="47"/>
      <c r="I452" s="20"/>
      <c r="J452" s="20"/>
      <c r="K452" s="20"/>
      <c r="L452" s="20"/>
      <c r="M452" s="20"/>
      <c r="N452" s="20"/>
      <c r="O452" s="20"/>
      <c r="P452" s="20"/>
      <c r="Q452" s="20"/>
      <c r="R452" s="20"/>
      <c r="S452" s="20"/>
      <c r="T452" s="20"/>
      <c r="U452" s="20"/>
      <c r="V452" s="20"/>
      <c r="W452" s="20"/>
      <c r="X452" s="20"/>
      <c r="Y452" s="20"/>
      <c r="Z452" s="20"/>
    </row>
    <row r="453" spans="1:26" ht="17.25" customHeight="1">
      <c r="A453" s="15"/>
      <c r="B453" s="15"/>
      <c r="C453" s="15"/>
      <c r="D453" s="15"/>
      <c r="E453" s="15"/>
      <c r="F453" s="15"/>
      <c r="G453" s="15"/>
      <c r="H453" s="47"/>
      <c r="I453" s="20"/>
      <c r="J453" s="20"/>
      <c r="K453" s="20"/>
      <c r="L453" s="20"/>
      <c r="M453" s="20"/>
      <c r="N453" s="20"/>
      <c r="O453" s="20"/>
      <c r="P453" s="20"/>
      <c r="Q453" s="20"/>
      <c r="R453" s="20"/>
      <c r="S453" s="20"/>
      <c r="T453" s="20"/>
      <c r="U453" s="20"/>
      <c r="V453" s="20"/>
      <c r="W453" s="20"/>
      <c r="X453" s="20"/>
      <c r="Y453" s="20"/>
      <c r="Z453" s="20"/>
    </row>
    <row r="454" spans="1:26" ht="17.25" customHeight="1">
      <c r="A454" s="15"/>
      <c r="B454" s="15"/>
      <c r="C454" s="15"/>
      <c r="D454" s="15"/>
      <c r="E454" s="15"/>
      <c r="F454" s="15"/>
      <c r="G454" s="15"/>
      <c r="H454" s="47"/>
      <c r="I454" s="20"/>
      <c r="J454" s="20"/>
      <c r="K454" s="20"/>
      <c r="L454" s="20"/>
      <c r="M454" s="20"/>
      <c r="N454" s="20"/>
      <c r="O454" s="20"/>
      <c r="P454" s="20"/>
      <c r="Q454" s="20"/>
      <c r="R454" s="20"/>
      <c r="S454" s="20"/>
      <c r="T454" s="20"/>
      <c r="U454" s="20"/>
      <c r="V454" s="20"/>
      <c r="W454" s="20"/>
      <c r="X454" s="20"/>
      <c r="Y454" s="20"/>
      <c r="Z454" s="20"/>
    </row>
    <row r="455" spans="1:26" ht="17.25" customHeight="1">
      <c r="A455" s="15"/>
      <c r="B455" s="15"/>
      <c r="C455" s="15"/>
      <c r="D455" s="15"/>
      <c r="E455" s="15"/>
      <c r="F455" s="15"/>
      <c r="G455" s="15"/>
      <c r="H455" s="47"/>
      <c r="I455" s="20"/>
      <c r="J455" s="20"/>
      <c r="K455" s="20"/>
      <c r="L455" s="20"/>
      <c r="M455" s="20"/>
      <c r="N455" s="20"/>
      <c r="O455" s="20"/>
      <c r="P455" s="20"/>
      <c r="Q455" s="20"/>
      <c r="R455" s="20"/>
      <c r="S455" s="20"/>
      <c r="T455" s="20"/>
      <c r="U455" s="20"/>
      <c r="V455" s="20"/>
      <c r="W455" s="20"/>
      <c r="X455" s="20"/>
      <c r="Y455" s="20"/>
      <c r="Z455" s="20"/>
    </row>
    <row r="456" spans="1:26" ht="17.25" customHeight="1">
      <c r="A456" s="15"/>
      <c r="B456" s="15"/>
      <c r="C456" s="15"/>
      <c r="D456" s="15"/>
      <c r="E456" s="15"/>
      <c r="F456" s="15"/>
      <c r="G456" s="15"/>
      <c r="H456" s="47"/>
      <c r="I456" s="20"/>
      <c r="J456" s="20"/>
      <c r="K456" s="20"/>
      <c r="L456" s="20"/>
      <c r="M456" s="20"/>
      <c r="N456" s="20"/>
      <c r="O456" s="20"/>
      <c r="P456" s="20"/>
      <c r="Q456" s="20"/>
      <c r="R456" s="20"/>
      <c r="S456" s="20"/>
      <c r="T456" s="20"/>
      <c r="U456" s="20"/>
      <c r="V456" s="20"/>
      <c r="W456" s="20"/>
      <c r="X456" s="20"/>
      <c r="Y456" s="20"/>
      <c r="Z456" s="20"/>
    </row>
    <row r="457" spans="1:26" ht="17.25" customHeight="1">
      <c r="A457" s="15"/>
      <c r="B457" s="15"/>
      <c r="C457" s="15"/>
      <c r="D457" s="15"/>
      <c r="E457" s="15"/>
      <c r="F457" s="15"/>
      <c r="G457" s="15"/>
      <c r="H457" s="47"/>
      <c r="I457" s="20"/>
      <c r="J457" s="20"/>
      <c r="K457" s="20"/>
      <c r="L457" s="20"/>
      <c r="M457" s="20"/>
      <c r="N457" s="20"/>
      <c r="O457" s="20"/>
      <c r="P457" s="20"/>
      <c r="Q457" s="20"/>
      <c r="R457" s="20"/>
      <c r="S457" s="20"/>
      <c r="T457" s="20"/>
      <c r="U457" s="20"/>
      <c r="V457" s="20"/>
      <c r="W457" s="20"/>
      <c r="X457" s="20"/>
      <c r="Y457" s="20"/>
      <c r="Z457" s="20"/>
    </row>
    <row r="458" spans="1:26" ht="17.25" customHeight="1">
      <c r="A458" s="15"/>
      <c r="B458" s="15"/>
      <c r="C458" s="15"/>
      <c r="D458" s="15"/>
      <c r="E458" s="15"/>
      <c r="F458" s="15"/>
      <c r="G458" s="15"/>
      <c r="H458" s="47"/>
      <c r="I458" s="20"/>
      <c r="J458" s="20"/>
      <c r="K458" s="20"/>
      <c r="L458" s="20"/>
      <c r="M458" s="20"/>
      <c r="N458" s="20"/>
      <c r="O458" s="20"/>
      <c r="P458" s="20"/>
      <c r="Q458" s="20"/>
      <c r="R458" s="20"/>
      <c r="S458" s="20"/>
      <c r="T458" s="20"/>
      <c r="U458" s="20"/>
      <c r="V458" s="20"/>
      <c r="W458" s="20"/>
      <c r="X458" s="20"/>
      <c r="Y458" s="20"/>
      <c r="Z458" s="20"/>
    </row>
    <row r="459" spans="1:26" ht="17.25" customHeight="1">
      <c r="A459" s="15"/>
      <c r="B459" s="15"/>
      <c r="C459" s="15"/>
      <c r="D459" s="15"/>
      <c r="E459" s="15"/>
      <c r="F459" s="15"/>
      <c r="G459" s="15"/>
      <c r="H459" s="47"/>
      <c r="I459" s="20"/>
      <c r="J459" s="20"/>
      <c r="K459" s="20"/>
      <c r="L459" s="20"/>
      <c r="M459" s="20"/>
      <c r="N459" s="20"/>
      <c r="O459" s="20"/>
      <c r="P459" s="20"/>
      <c r="Q459" s="20"/>
      <c r="R459" s="20"/>
      <c r="S459" s="20"/>
      <c r="T459" s="20"/>
      <c r="U459" s="20"/>
      <c r="V459" s="20"/>
      <c r="W459" s="20"/>
      <c r="X459" s="20"/>
      <c r="Y459" s="20"/>
      <c r="Z459" s="20"/>
    </row>
    <row r="460" spans="1:26" ht="17.25" customHeight="1">
      <c r="A460" s="15"/>
      <c r="B460" s="15"/>
      <c r="C460" s="15"/>
      <c r="D460" s="15"/>
      <c r="E460" s="15"/>
      <c r="F460" s="15"/>
      <c r="G460" s="15"/>
      <c r="H460" s="47"/>
      <c r="I460" s="20"/>
      <c r="J460" s="20"/>
      <c r="K460" s="20"/>
      <c r="L460" s="20"/>
      <c r="M460" s="20"/>
      <c r="N460" s="20"/>
      <c r="O460" s="20"/>
      <c r="P460" s="20"/>
      <c r="Q460" s="20"/>
      <c r="R460" s="20"/>
      <c r="S460" s="20"/>
      <c r="T460" s="20"/>
      <c r="U460" s="20"/>
      <c r="V460" s="20"/>
      <c r="W460" s="20"/>
      <c r="X460" s="20"/>
      <c r="Y460" s="20"/>
      <c r="Z460" s="20"/>
    </row>
    <row r="461" spans="1:26" ht="17.25" customHeight="1">
      <c r="A461" s="15"/>
      <c r="B461" s="15"/>
      <c r="C461" s="15"/>
      <c r="D461" s="15"/>
      <c r="E461" s="15"/>
      <c r="F461" s="15"/>
      <c r="G461" s="15"/>
      <c r="H461" s="47"/>
      <c r="I461" s="20"/>
      <c r="J461" s="20"/>
      <c r="K461" s="20"/>
      <c r="L461" s="20"/>
      <c r="M461" s="20"/>
      <c r="N461" s="20"/>
      <c r="O461" s="20"/>
      <c r="P461" s="20"/>
      <c r="Q461" s="20"/>
      <c r="R461" s="20"/>
      <c r="S461" s="20"/>
      <c r="T461" s="20"/>
      <c r="U461" s="20"/>
      <c r="V461" s="20"/>
      <c r="W461" s="20"/>
      <c r="X461" s="20"/>
      <c r="Y461" s="20"/>
      <c r="Z461" s="20"/>
    </row>
    <row r="462" spans="1:26" ht="17.25" customHeight="1">
      <c r="A462" s="15"/>
      <c r="B462" s="15"/>
      <c r="C462" s="15"/>
      <c r="D462" s="15"/>
      <c r="E462" s="15"/>
      <c r="F462" s="15"/>
      <c r="G462" s="15"/>
      <c r="H462" s="47"/>
      <c r="I462" s="20"/>
      <c r="J462" s="20"/>
      <c r="K462" s="20"/>
      <c r="L462" s="20"/>
      <c r="M462" s="20"/>
      <c r="N462" s="20"/>
      <c r="O462" s="20"/>
      <c r="P462" s="20"/>
      <c r="Q462" s="20"/>
      <c r="R462" s="20"/>
      <c r="S462" s="20"/>
      <c r="T462" s="20"/>
      <c r="U462" s="20"/>
      <c r="V462" s="20"/>
      <c r="W462" s="20"/>
      <c r="X462" s="20"/>
      <c r="Y462" s="20"/>
      <c r="Z462" s="20"/>
    </row>
    <row r="463" spans="1:26" ht="17.25" customHeight="1">
      <c r="A463" s="15"/>
      <c r="B463" s="15"/>
      <c r="C463" s="15"/>
      <c r="D463" s="15"/>
      <c r="E463" s="15"/>
      <c r="F463" s="15"/>
      <c r="G463" s="15"/>
      <c r="H463" s="47"/>
      <c r="I463" s="20"/>
      <c r="J463" s="20"/>
      <c r="K463" s="20"/>
      <c r="L463" s="20"/>
      <c r="M463" s="20"/>
      <c r="N463" s="20"/>
      <c r="O463" s="20"/>
      <c r="P463" s="20"/>
      <c r="Q463" s="20"/>
      <c r="R463" s="20"/>
      <c r="S463" s="20"/>
      <c r="T463" s="20"/>
      <c r="U463" s="20"/>
      <c r="V463" s="20"/>
      <c r="W463" s="20"/>
      <c r="X463" s="20"/>
      <c r="Y463" s="20"/>
      <c r="Z463" s="20"/>
    </row>
    <row r="464" spans="1:26" ht="17.25" customHeight="1">
      <c r="A464" s="15"/>
      <c r="B464" s="15"/>
      <c r="C464" s="15"/>
      <c r="D464" s="15"/>
      <c r="E464" s="15"/>
      <c r="F464" s="15"/>
      <c r="G464" s="15"/>
      <c r="H464" s="47"/>
      <c r="I464" s="20"/>
      <c r="J464" s="20"/>
      <c r="K464" s="20"/>
      <c r="L464" s="20"/>
      <c r="M464" s="20"/>
      <c r="N464" s="20"/>
      <c r="O464" s="20"/>
      <c r="P464" s="20"/>
      <c r="Q464" s="20"/>
      <c r="R464" s="20"/>
      <c r="S464" s="20"/>
      <c r="T464" s="20"/>
      <c r="U464" s="20"/>
      <c r="V464" s="20"/>
      <c r="W464" s="20"/>
      <c r="X464" s="20"/>
      <c r="Y464" s="20"/>
      <c r="Z464" s="20"/>
    </row>
    <row r="465" spans="1:26" ht="17.25" customHeight="1">
      <c r="A465" s="15"/>
      <c r="B465" s="15"/>
      <c r="C465" s="15"/>
      <c r="D465" s="15"/>
      <c r="E465" s="15"/>
      <c r="F465" s="15"/>
      <c r="G465" s="15"/>
      <c r="H465" s="47"/>
      <c r="I465" s="20"/>
      <c r="J465" s="20"/>
      <c r="K465" s="20"/>
      <c r="L465" s="20"/>
      <c r="M465" s="20"/>
      <c r="N465" s="20"/>
      <c r="O465" s="20"/>
      <c r="P465" s="20"/>
      <c r="Q465" s="20"/>
      <c r="R465" s="20"/>
      <c r="S465" s="20"/>
      <c r="T465" s="20"/>
      <c r="U465" s="20"/>
      <c r="V465" s="20"/>
      <c r="W465" s="20"/>
      <c r="X465" s="20"/>
      <c r="Y465" s="20"/>
      <c r="Z465" s="20"/>
    </row>
    <row r="466" spans="1:26" ht="17.25" customHeight="1">
      <c r="A466" s="15"/>
      <c r="B466" s="15"/>
      <c r="C466" s="15"/>
      <c r="D466" s="15"/>
      <c r="E466" s="15"/>
      <c r="F466" s="15"/>
      <c r="G466" s="15"/>
      <c r="H466" s="47"/>
      <c r="I466" s="20"/>
      <c r="J466" s="20"/>
      <c r="K466" s="20"/>
      <c r="L466" s="20"/>
      <c r="M466" s="20"/>
      <c r="N466" s="20"/>
      <c r="O466" s="20"/>
      <c r="P466" s="20"/>
      <c r="Q466" s="20"/>
      <c r="R466" s="20"/>
      <c r="S466" s="20"/>
      <c r="T466" s="20"/>
      <c r="U466" s="20"/>
      <c r="V466" s="20"/>
      <c r="W466" s="20"/>
      <c r="X466" s="20"/>
      <c r="Y466" s="20"/>
      <c r="Z466" s="20"/>
    </row>
    <row r="467" spans="1:26" ht="17.25" customHeight="1">
      <c r="A467" s="15"/>
      <c r="B467" s="15"/>
      <c r="C467" s="15"/>
      <c r="D467" s="15"/>
      <c r="E467" s="15"/>
      <c r="F467" s="15"/>
      <c r="G467" s="15"/>
      <c r="H467" s="47"/>
      <c r="I467" s="20"/>
      <c r="J467" s="20"/>
      <c r="K467" s="20"/>
      <c r="L467" s="20"/>
      <c r="M467" s="20"/>
      <c r="N467" s="20"/>
      <c r="O467" s="20"/>
      <c r="P467" s="20"/>
      <c r="Q467" s="20"/>
      <c r="R467" s="20"/>
      <c r="S467" s="20"/>
      <c r="T467" s="20"/>
      <c r="U467" s="20"/>
      <c r="V467" s="20"/>
      <c r="W467" s="20"/>
      <c r="X467" s="20"/>
      <c r="Y467" s="20"/>
      <c r="Z467" s="20"/>
    </row>
    <row r="468" spans="1:26" ht="17.25" customHeight="1">
      <c r="A468" s="15"/>
      <c r="B468" s="15"/>
      <c r="C468" s="15"/>
      <c r="D468" s="15"/>
      <c r="E468" s="15"/>
      <c r="F468" s="15"/>
      <c r="G468" s="15"/>
      <c r="H468" s="47"/>
      <c r="I468" s="20"/>
      <c r="J468" s="20"/>
      <c r="K468" s="20"/>
      <c r="L468" s="20"/>
      <c r="M468" s="20"/>
      <c r="N468" s="20"/>
      <c r="O468" s="20"/>
      <c r="P468" s="20"/>
      <c r="Q468" s="20"/>
      <c r="R468" s="20"/>
      <c r="S468" s="20"/>
      <c r="T468" s="20"/>
      <c r="U468" s="20"/>
      <c r="V468" s="20"/>
      <c r="W468" s="20"/>
      <c r="X468" s="20"/>
      <c r="Y468" s="20"/>
      <c r="Z468" s="20"/>
    </row>
    <row r="469" spans="1:26" ht="17.25" customHeight="1">
      <c r="A469" s="15"/>
      <c r="B469" s="15"/>
      <c r="C469" s="15"/>
      <c r="D469" s="15"/>
      <c r="E469" s="15"/>
      <c r="F469" s="15"/>
      <c r="G469" s="15"/>
      <c r="H469" s="47"/>
      <c r="I469" s="20"/>
      <c r="J469" s="20"/>
      <c r="K469" s="20"/>
      <c r="L469" s="20"/>
      <c r="M469" s="20"/>
      <c r="N469" s="20"/>
      <c r="O469" s="20"/>
      <c r="P469" s="20"/>
      <c r="Q469" s="20"/>
      <c r="R469" s="20"/>
      <c r="S469" s="20"/>
      <c r="T469" s="20"/>
      <c r="U469" s="20"/>
      <c r="V469" s="20"/>
      <c r="W469" s="20"/>
      <c r="X469" s="20"/>
      <c r="Y469" s="20"/>
      <c r="Z469" s="20"/>
    </row>
    <row r="470" spans="1:26" ht="17.25" customHeight="1">
      <c r="A470" s="15"/>
      <c r="B470" s="15"/>
      <c r="C470" s="15"/>
      <c r="D470" s="15"/>
      <c r="E470" s="15"/>
      <c r="F470" s="15"/>
      <c r="G470" s="15"/>
      <c r="H470" s="47"/>
      <c r="I470" s="20"/>
      <c r="J470" s="20"/>
      <c r="K470" s="20"/>
      <c r="L470" s="20"/>
      <c r="M470" s="20"/>
      <c r="N470" s="20"/>
      <c r="O470" s="20"/>
      <c r="P470" s="20"/>
      <c r="Q470" s="20"/>
      <c r="R470" s="20"/>
      <c r="S470" s="20"/>
      <c r="T470" s="20"/>
      <c r="U470" s="20"/>
      <c r="V470" s="20"/>
      <c r="W470" s="20"/>
      <c r="X470" s="20"/>
      <c r="Y470" s="20"/>
      <c r="Z470" s="20"/>
    </row>
    <row r="471" spans="1:26" ht="17.25" customHeight="1">
      <c r="A471" s="15"/>
      <c r="B471" s="15"/>
      <c r="C471" s="15"/>
      <c r="D471" s="15"/>
      <c r="E471" s="15"/>
      <c r="F471" s="15"/>
      <c r="G471" s="15"/>
      <c r="H471" s="47"/>
      <c r="I471" s="20"/>
      <c r="J471" s="20"/>
      <c r="K471" s="20"/>
      <c r="L471" s="20"/>
      <c r="M471" s="20"/>
      <c r="N471" s="20"/>
      <c r="O471" s="20"/>
      <c r="P471" s="20"/>
      <c r="Q471" s="20"/>
      <c r="R471" s="20"/>
      <c r="S471" s="20"/>
      <c r="T471" s="20"/>
      <c r="U471" s="20"/>
      <c r="V471" s="20"/>
      <c r="W471" s="20"/>
      <c r="X471" s="20"/>
      <c r="Y471" s="20"/>
      <c r="Z471" s="20"/>
    </row>
    <row r="472" spans="1:26" ht="17.25" customHeight="1">
      <c r="A472" s="15"/>
      <c r="B472" s="15"/>
      <c r="C472" s="15"/>
      <c r="D472" s="15"/>
      <c r="E472" s="15"/>
      <c r="F472" s="15"/>
      <c r="G472" s="15"/>
      <c r="H472" s="47"/>
      <c r="I472" s="20"/>
      <c r="J472" s="20"/>
      <c r="K472" s="20"/>
      <c r="L472" s="20"/>
      <c r="M472" s="20"/>
      <c r="N472" s="20"/>
      <c r="O472" s="20"/>
      <c r="P472" s="20"/>
      <c r="Q472" s="20"/>
      <c r="R472" s="20"/>
      <c r="S472" s="20"/>
      <c r="T472" s="20"/>
      <c r="U472" s="20"/>
      <c r="V472" s="20"/>
      <c r="W472" s="20"/>
      <c r="X472" s="20"/>
      <c r="Y472" s="20"/>
      <c r="Z472" s="20"/>
    </row>
    <row r="473" spans="1:26" ht="17.25" customHeight="1">
      <c r="A473" s="15"/>
      <c r="B473" s="15"/>
      <c r="C473" s="15"/>
      <c r="D473" s="15"/>
      <c r="E473" s="15"/>
      <c r="F473" s="15"/>
      <c r="G473" s="15"/>
      <c r="H473" s="47"/>
      <c r="I473" s="20"/>
      <c r="J473" s="20"/>
      <c r="K473" s="20"/>
      <c r="L473" s="20"/>
      <c r="M473" s="20"/>
      <c r="N473" s="20"/>
      <c r="O473" s="20"/>
      <c r="P473" s="20"/>
      <c r="Q473" s="20"/>
      <c r="R473" s="20"/>
      <c r="S473" s="20"/>
      <c r="T473" s="20"/>
      <c r="U473" s="20"/>
      <c r="V473" s="20"/>
      <c r="W473" s="20"/>
      <c r="X473" s="20"/>
      <c r="Y473" s="20"/>
      <c r="Z473" s="20"/>
    </row>
    <row r="474" spans="1:26" ht="17.25" customHeight="1">
      <c r="A474" s="15"/>
      <c r="B474" s="15"/>
      <c r="C474" s="15"/>
      <c r="D474" s="15"/>
      <c r="E474" s="15"/>
      <c r="F474" s="15"/>
      <c r="G474" s="15"/>
      <c r="H474" s="47"/>
      <c r="I474" s="20"/>
      <c r="J474" s="20"/>
      <c r="K474" s="20"/>
      <c r="L474" s="20"/>
      <c r="M474" s="20"/>
      <c r="N474" s="20"/>
      <c r="O474" s="20"/>
      <c r="P474" s="20"/>
      <c r="Q474" s="20"/>
      <c r="R474" s="20"/>
      <c r="S474" s="20"/>
      <c r="T474" s="20"/>
      <c r="U474" s="20"/>
      <c r="V474" s="20"/>
      <c r="W474" s="20"/>
      <c r="X474" s="20"/>
      <c r="Y474" s="20"/>
      <c r="Z474" s="20"/>
    </row>
    <row r="475" spans="1:26" ht="17.25" customHeight="1">
      <c r="A475" s="15"/>
      <c r="B475" s="15"/>
      <c r="C475" s="15"/>
      <c r="D475" s="15"/>
      <c r="E475" s="15"/>
      <c r="F475" s="15"/>
      <c r="G475" s="15"/>
      <c r="H475" s="47"/>
      <c r="I475" s="20"/>
      <c r="J475" s="20"/>
      <c r="K475" s="20"/>
      <c r="L475" s="20"/>
      <c r="M475" s="20"/>
      <c r="N475" s="20"/>
      <c r="O475" s="20"/>
      <c r="P475" s="20"/>
      <c r="Q475" s="20"/>
      <c r="R475" s="20"/>
      <c r="S475" s="20"/>
      <c r="T475" s="20"/>
      <c r="U475" s="20"/>
      <c r="V475" s="20"/>
      <c r="W475" s="20"/>
      <c r="X475" s="20"/>
      <c r="Y475" s="20"/>
      <c r="Z475" s="20"/>
    </row>
    <row r="476" spans="1:26" ht="17.25" customHeight="1">
      <c r="A476" s="15"/>
      <c r="B476" s="15"/>
      <c r="C476" s="15"/>
      <c r="D476" s="15"/>
      <c r="E476" s="15"/>
      <c r="F476" s="15"/>
      <c r="G476" s="15"/>
      <c r="H476" s="47"/>
      <c r="I476" s="20"/>
      <c r="J476" s="20"/>
      <c r="K476" s="20"/>
      <c r="L476" s="20"/>
      <c r="M476" s="20"/>
      <c r="N476" s="20"/>
      <c r="O476" s="20"/>
      <c r="P476" s="20"/>
      <c r="Q476" s="20"/>
      <c r="R476" s="20"/>
      <c r="S476" s="20"/>
      <c r="T476" s="20"/>
      <c r="U476" s="20"/>
      <c r="V476" s="20"/>
      <c r="W476" s="20"/>
      <c r="X476" s="20"/>
      <c r="Y476" s="20"/>
      <c r="Z476" s="20"/>
    </row>
    <row r="477" spans="1:26" ht="17.25" customHeight="1">
      <c r="A477" s="15"/>
      <c r="B477" s="15"/>
      <c r="C477" s="15"/>
      <c r="D477" s="15"/>
      <c r="E477" s="15"/>
      <c r="F477" s="15"/>
      <c r="G477" s="15"/>
      <c r="H477" s="47"/>
      <c r="I477" s="20"/>
      <c r="J477" s="20"/>
      <c r="K477" s="20"/>
      <c r="L477" s="20"/>
      <c r="M477" s="20"/>
      <c r="N477" s="20"/>
      <c r="O477" s="20"/>
      <c r="P477" s="20"/>
      <c r="Q477" s="20"/>
      <c r="R477" s="20"/>
      <c r="S477" s="20"/>
      <c r="T477" s="20"/>
      <c r="U477" s="20"/>
      <c r="V477" s="20"/>
      <c r="W477" s="20"/>
      <c r="X477" s="20"/>
      <c r="Y477" s="20"/>
      <c r="Z477" s="20"/>
    </row>
    <row r="478" spans="1:26" ht="17.25" customHeight="1">
      <c r="A478" s="15"/>
      <c r="B478" s="15"/>
      <c r="C478" s="15"/>
      <c r="D478" s="15"/>
      <c r="E478" s="15"/>
      <c r="F478" s="15"/>
      <c r="G478" s="15"/>
      <c r="H478" s="47"/>
      <c r="I478" s="20"/>
      <c r="J478" s="20"/>
      <c r="K478" s="20"/>
      <c r="L478" s="20"/>
      <c r="M478" s="20"/>
      <c r="N478" s="20"/>
      <c r="O478" s="20"/>
      <c r="P478" s="20"/>
      <c r="Q478" s="20"/>
      <c r="R478" s="20"/>
      <c r="S478" s="20"/>
      <c r="T478" s="20"/>
      <c r="U478" s="20"/>
      <c r="V478" s="20"/>
      <c r="W478" s="20"/>
      <c r="X478" s="20"/>
      <c r="Y478" s="20"/>
      <c r="Z478" s="20"/>
    </row>
    <row r="479" spans="1:26" ht="17.25" customHeight="1">
      <c r="A479" s="15"/>
      <c r="B479" s="15"/>
      <c r="C479" s="15"/>
      <c r="D479" s="15"/>
      <c r="E479" s="15"/>
      <c r="F479" s="15"/>
      <c r="G479" s="15"/>
      <c r="H479" s="47"/>
      <c r="I479" s="20"/>
      <c r="J479" s="20"/>
      <c r="K479" s="20"/>
      <c r="L479" s="20"/>
      <c r="M479" s="20"/>
      <c r="N479" s="20"/>
      <c r="O479" s="20"/>
      <c r="P479" s="20"/>
      <c r="Q479" s="20"/>
      <c r="R479" s="20"/>
      <c r="S479" s="20"/>
      <c r="T479" s="20"/>
      <c r="U479" s="20"/>
      <c r="V479" s="20"/>
      <c r="W479" s="20"/>
      <c r="X479" s="20"/>
      <c r="Y479" s="20"/>
      <c r="Z479" s="20"/>
    </row>
    <row r="480" spans="1:26" ht="17.25" customHeight="1">
      <c r="A480" s="15"/>
      <c r="B480" s="15"/>
      <c r="C480" s="15"/>
      <c r="D480" s="15"/>
      <c r="E480" s="15"/>
      <c r="F480" s="15"/>
      <c r="G480" s="15"/>
      <c r="H480" s="47"/>
      <c r="I480" s="20"/>
      <c r="J480" s="20"/>
      <c r="K480" s="20"/>
      <c r="L480" s="20"/>
      <c r="M480" s="20"/>
      <c r="N480" s="20"/>
      <c r="O480" s="20"/>
      <c r="P480" s="20"/>
      <c r="Q480" s="20"/>
      <c r="R480" s="20"/>
      <c r="S480" s="20"/>
      <c r="T480" s="20"/>
      <c r="U480" s="20"/>
      <c r="V480" s="20"/>
      <c r="W480" s="20"/>
      <c r="X480" s="20"/>
      <c r="Y480" s="20"/>
      <c r="Z480" s="20"/>
    </row>
    <row r="481" spans="1:26" ht="17.25" customHeight="1">
      <c r="A481" s="15"/>
      <c r="B481" s="15"/>
      <c r="C481" s="15"/>
      <c r="D481" s="15"/>
      <c r="E481" s="15"/>
      <c r="F481" s="15"/>
      <c r="G481" s="15"/>
      <c r="H481" s="47"/>
      <c r="I481" s="20"/>
      <c r="J481" s="20"/>
      <c r="K481" s="20"/>
      <c r="L481" s="20"/>
      <c r="M481" s="20"/>
      <c r="N481" s="20"/>
      <c r="O481" s="20"/>
      <c r="P481" s="20"/>
      <c r="Q481" s="20"/>
      <c r="R481" s="20"/>
      <c r="S481" s="20"/>
      <c r="T481" s="20"/>
      <c r="U481" s="20"/>
      <c r="V481" s="20"/>
      <c r="W481" s="20"/>
      <c r="X481" s="20"/>
      <c r="Y481" s="20"/>
      <c r="Z481" s="20"/>
    </row>
    <row r="482" spans="1:26" ht="17.25" customHeight="1">
      <c r="A482" s="15"/>
      <c r="B482" s="15"/>
      <c r="C482" s="15"/>
      <c r="D482" s="15"/>
      <c r="E482" s="15"/>
      <c r="F482" s="15"/>
      <c r="G482" s="15"/>
      <c r="H482" s="47"/>
      <c r="I482" s="20"/>
      <c r="J482" s="20"/>
      <c r="K482" s="20"/>
      <c r="L482" s="20"/>
      <c r="M482" s="20"/>
      <c r="N482" s="20"/>
      <c r="O482" s="20"/>
      <c r="P482" s="20"/>
      <c r="Q482" s="20"/>
      <c r="R482" s="20"/>
      <c r="S482" s="20"/>
      <c r="T482" s="20"/>
      <c r="U482" s="20"/>
      <c r="V482" s="20"/>
      <c r="W482" s="20"/>
      <c r="X482" s="20"/>
      <c r="Y482" s="20"/>
      <c r="Z482" s="20"/>
    </row>
    <row r="483" spans="1:26" ht="17.25" customHeight="1">
      <c r="A483" s="15"/>
      <c r="B483" s="15"/>
      <c r="C483" s="15"/>
      <c r="D483" s="15"/>
      <c r="E483" s="15"/>
      <c r="F483" s="15"/>
      <c r="G483" s="15"/>
      <c r="H483" s="47"/>
      <c r="I483" s="20"/>
      <c r="J483" s="20"/>
      <c r="K483" s="20"/>
      <c r="L483" s="20"/>
      <c r="M483" s="20"/>
      <c r="N483" s="20"/>
      <c r="O483" s="20"/>
      <c r="P483" s="20"/>
      <c r="Q483" s="20"/>
      <c r="R483" s="20"/>
      <c r="S483" s="20"/>
      <c r="T483" s="20"/>
      <c r="U483" s="20"/>
      <c r="V483" s="20"/>
      <c r="W483" s="20"/>
      <c r="X483" s="20"/>
      <c r="Y483" s="20"/>
      <c r="Z483" s="20"/>
    </row>
    <row r="484" spans="1:26" ht="17.25" customHeight="1">
      <c r="A484" s="15"/>
      <c r="B484" s="15"/>
      <c r="C484" s="15"/>
      <c r="D484" s="15"/>
      <c r="E484" s="15"/>
      <c r="F484" s="15"/>
      <c r="G484" s="15"/>
      <c r="H484" s="47"/>
      <c r="I484" s="20"/>
      <c r="J484" s="20"/>
      <c r="K484" s="20"/>
      <c r="L484" s="20"/>
      <c r="M484" s="20"/>
      <c r="N484" s="20"/>
      <c r="O484" s="20"/>
      <c r="P484" s="20"/>
      <c r="Q484" s="20"/>
      <c r="R484" s="20"/>
      <c r="S484" s="20"/>
      <c r="T484" s="20"/>
      <c r="U484" s="20"/>
      <c r="V484" s="20"/>
      <c r="W484" s="20"/>
      <c r="X484" s="20"/>
      <c r="Y484" s="20"/>
      <c r="Z484" s="20"/>
    </row>
    <row r="485" spans="1:26" ht="17.25" customHeight="1">
      <c r="A485" s="15"/>
      <c r="B485" s="15"/>
      <c r="C485" s="15"/>
      <c r="D485" s="15"/>
      <c r="E485" s="15"/>
      <c r="F485" s="15"/>
      <c r="G485" s="15"/>
      <c r="H485" s="47"/>
      <c r="I485" s="20"/>
      <c r="J485" s="20"/>
      <c r="K485" s="20"/>
      <c r="L485" s="20"/>
      <c r="M485" s="20"/>
      <c r="N485" s="20"/>
      <c r="O485" s="20"/>
      <c r="P485" s="20"/>
      <c r="Q485" s="20"/>
      <c r="R485" s="20"/>
      <c r="S485" s="20"/>
      <c r="T485" s="20"/>
      <c r="U485" s="20"/>
      <c r="V485" s="20"/>
      <c r="W485" s="20"/>
      <c r="X485" s="20"/>
      <c r="Y485" s="20"/>
      <c r="Z485" s="20"/>
    </row>
    <row r="486" spans="1:26" ht="17.25" customHeight="1">
      <c r="A486" s="15"/>
      <c r="B486" s="15"/>
      <c r="C486" s="15"/>
      <c r="D486" s="15"/>
      <c r="E486" s="15"/>
      <c r="F486" s="15"/>
      <c r="G486" s="15"/>
      <c r="H486" s="47"/>
      <c r="I486" s="20"/>
      <c r="J486" s="20"/>
      <c r="K486" s="20"/>
      <c r="L486" s="20"/>
      <c r="M486" s="20"/>
      <c r="N486" s="20"/>
      <c r="O486" s="20"/>
      <c r="P486" s="20"/>
      <c r="Q486" s="20"/>
      <c r="R486" s="20"/>
      <c r="S486" s="20"/>
      <c r="T486" s="20"/>
      <c r="U486" s="20"/>
      <c r="V486" s="20"/>
      <c r="W486" s="20"/>
      <c r="X486" s="20"/>
      <c r="Y486" s="20"/>
      <c r="Z486" s="20"/>
    </row>
    <row r="487" spans="1:26" ht="17.25" customHeight="1">
      <c r="A487" s="15"/>
      <c r="B487" s="15"/>
      <c r="C487" s="15"/>
      <c r="D487" s="15"/>
      <c r="E487" s="15"/>
      <c r="F487" s="15"/>
      <c r="G487" s="15"/>
      <c r="H487" s="47"/>
      <c r="I487" s="20"/>
      <c r="J487" s="20"/>
      <c r="K487" s="20"/>
      <c r="L487" s="20"/>
      <c r="M487" s="20"/>
      <c r="N487" s="20"/>
      <c r="O487" s="20"/>
      <c r="P487" s="20"/>
      <c r="Q487" s="20"/>
      <c r="R487" s="20"/>
      <c r="S487" s="20"/>
      <c r="T487" s="20"/>
      <c r="U487" s="20"/>
      <c r="V487" s="20"/>
      <c r="W487" s="20"/>
      <c r="X487" s="20"/>
      <c r="Y487" s="20"/>
      <c r="Z487" s="20"/>
    </row>
    <row r="488" spans="1:26" ht="17.25" customHeight="1">
      <c r="A488" s="15"/>
      <c r="B488" s="15"/>
      <c r="C488" s="15"/>
      <c r="D488" s="15"/>
      <c r="E488" s="15"/>
      <c r="F488" s="15"/>
      <c r="G488" s="15"/>
      <c r="H488" s="47"/>
      <c r="I488" s="20"/>
      <c r="J488" s="20"/>
      <c r="K488" s="20"/>
      <c r="L488" s="20"/>
      <c r="M488" s="20"/>
      <c r="N488" s="20"/>
      <c r="O488" s="20"/>
      <c r="P488" s="20"/>
      <c r="Q488" s="20"/>
      <c r="R488" s="20"/>
      <c r="S488" s="20"/>
      <c r="T488" s="20"/>
      <c r="U488" s="20"/>
      <c r="V488" s="20"/>
      <c r="W488" s="20"/>
      <c r="X488" s="20"/>
      <c r="Y488" s="20"/>
      <c r="Z488" s="20"/>
    </row>
    <row r="489" spans="1:26" ht="17.25" customHeight="1">
      <c r="A489" s="15"/>
      <c r="B489" s="15"/>
      <c r="C489" s="15"/>
      <c r="D489" s="15"/>
      <c r="E489" s="15"/>
      <c r="F489" s="15"/>
      <c r="G489" s="15"/>
      <c r="H489" s="47"/>
      <c r="I489" s="20"/>
      <c r="J489" s="20"/>
      <c r="K489" s="20"/>
      <c r="L489" s="20"/>
      <c r="M489" s="20"/>
      <c r="N489" s="20"/>
      <c r="O489" s="20"/>
      <c r="P489" s="20"/>
      <c r="Q489" s="20"/>
      <c r="R489" s="20"/>
      <c r="S489" s="20"/>
      <c r="T489" s="20"/>
      <c r="U489" s="20"/>
      <c r="V489" s="20"/>
      <c r="W489" s="20"/>
      <c r="X489" s="20"/>
      <c r="Y489" s="20"/>
      <c r="Z489" s="20"/>
    </row>
    <row r="490" spans="1:26" ht="17.25" customHeight="1">
      <c r="A490" s="15"/>
      <c r="B490" s="15"/>
      <c r="C490" s="15"/>
      <c r="D490" s="15"/>
      <c r="E490" s="15"/>
      <c r="F490" s="15"/>
      <c r="G490" s="15"/>
      <c r="H490" s="47"/>
      <c r="I490" s="20"/>
      <c r="J490" s="20"/>
      <c r="K490" s="20"/>
      <c r="L490" s="20"/>
      <c r="M490" s="20"/>
      <c r="N490" s="20"/>
      <c r="O490" s="20"/>
      <c r="P490" s="20"/>
      <c r="Q490" s="20"/>
      <c r="R490" s="20"/>
      <c r="S490" s="20"/>
      <c r="T490" s="20"/>
      <c r="U490" s="20"/>
      <c r="V490" s="20"/>
      <c r="W490" s="20"/>
      <c r="X490" s="20"/>
      <c r="Y490" s="20"/>
      <c r="Z490" s="20"/>
    </row>
    <row r="491" spans="1:26" ht="17.25" customHeight="1">
      <c r="A491" s="15"/>
      <c r="B491" s="15"/>
      <c r="C491" s="15"/>
      <c r="D491" s="15"/>
      <c r="E491" s="15"/>
      <c r="F491" s="15"/>
      <c r="G491" s="15"/>
      <c r="H491" s="47"/>
      <c r="I491" s="20"/>
      <c r="J491" s="20"/>
      <c r="K491" s="20"/>
      <c r="L491" s="20"/>
      <c r="M491" s="20"/>
      <c r="N491" s="20"/>
      <c r="O491" s="20"/>
      <c r="P491" s="20"/>
      <c r="Q491" s="20"/>
      <c r="R491" s="20"/>
      <c r="S491" s="20"/>
      <c r="T491" s="20"/>
      <c r="U491" s="20"/>
      <c r="V491" s="20"/>
      <c r="W491" s="20"/>
      <c r="X491" s="20"/>
      <c r="Y491" s="20"/>
      <c r="Z491" s="20"/>
    </row>
    <row r="492" spans="1:26" ht="17.25" customHeight="1">
      <c r="A492" s="15"/>
      <c r="B492" s="15"/>
      <c r="C492" s="15"/>
      <c r="D492" s="15"/>
      <c r="E492" s="15"/>
      <c r="F492" s="15"/>
      <c r="G492" s="15"/>
      <c r="H492" s="47"/>
      <c r="I492" s="20"/>
      <c r="J492" s="20"/>
      <c r="K492" s="20"/>
      <c r="L492" s="20"/>
      <c r="M492" s="20"/>
      <c r="N492" s="20"/>
      <c r="O492" s="20"/>
      <c r="P492" s="20"/>
      <c r="Q492" s="20"/>
      <c r="R492" s="20"/>
      <c r="S492" s="20"/>
      <c r="T492" s="20"/>
      <c r="U492" s="20"/>
      <c r="V492" s="20"/>
      <c r="W492" s="20"/>
      <c r="X492" s="20"/>
      <c r="Y492" s="20"/>
      <c r="Z492" s="20"/>
    </row>
    <row r="493" spans="1:26" ht="17.25" customHeight="1">
      <c r="A493" s="15"/>
      <c r="B493" s="15"/>
      <c r="C493" s="15"/>
      <c r="D493" s="15"/>
      <c r="E493" s="15"/>
      <c r="F493" s="15"/>
      <c r="G493" s="15"/>
      <c r="H493" s="47"/>
      <c r="I493" s="20"/>
      <c r="J493" s="20"/>
      <c r="K493" s="20"/>
      <c r="L493" s="20"/>
      <c r="M493" s="20"/>
      <c r="N493" s="20"/>
      <c r="O493" s="20"/>
      <c r="P493" s="20"/>
      <c r="Q493" s="20"/>
      <c r="R493" s="20"/>
      <c r="S493" s="20"/>
      <c r="T493" s="20"/>
      <c r="U493" s="20"/>
      <c r="V493" s="20"/>
      <c r="W493" s="20"/>
      <c r="X493" s="20"/>
      <c r="Y493" s="20"/>
      <c r="Z493" s="20"/>
    </row>
    <row r="494" spans="1:26" ht="17.25" customHeight="1">
      <c r="A494" s="15"/>
      <c r="B494" s="15"/>
      <c r="C494" s="15"/>
      <c r="D494" s="15"/>
      <c r="E494" s="15"/>
      <c r="F494" s="15"/>
      <c r="G494" s="15"/>
      <c r="H494" s="47"/>
      <c r="I494" s="20"/>
      <c r="J494" s="20"/>
      <c r="K494" s="20"/>
      <c r="L494" s="20"/>
      <c r="M494" s="20"/>
      <c r="N494" s="20"/>
      <c r="O494" s="20"/>
      <c r="P494" s="20"/>
      <c r="Q494" s="20"/>
      <c r="R494" s="20"/>
      <c r="S494" s="20"/>
      <c r="T494" s="20"/>
      <c r="U494" s="20"/>
      <c r="V494" s="20"/>
      <c r="W494" s="20"/>
      <c r="X494" s="20"/>
      <c r="Y494" s="20"/>
      <c r="Z494" s="20"/>
    </row>
    <row r="495" spans="1:26" ht="17.25" customHeight="1">
      <c r="A495" s="15"/>
      <c r="B495" s="15"/>
      <c r="C495" s="15"/>
      <c r="D495" s="15"/>
      <c r="E495" s="15"/>
      <c r="F495" s="15"/>
      <c r="G495" s="15"/>
      <c r="H495" s="47"/>
      <c r="I495" s="20"/>
      <c r="J495" s="20"/>
      <c r="K495" s="20"/>
      <c r="L495" s="20"/>
      <c r="M495" s="20"/>
      <c r="N495" s="20"/>
      <c r="O495" s="20"/>
      <c r="P495" s="20"/>
      <c r="Q495" s="20"/>
      <c r="R495" s="20"/>
      <c r="S495" s="20"/>
      <c r="T495" s="20"/>
      <c r="U495" s="20"/>
      <c r="V495" s="20"/>
      <c r="W495" s="20"/>
      <c r="X495" s="20"/>
      <c r="Y495" s="20"/>
      <c r="Z495" s="20"/>
    </row>
    <row r="496" spans="1:26" ht="17.25" customHeight="1">
      <c r="A496" s="15"/>
      <c r="B496" s="15"/>
      <c r="C496" s="15"/>
      <c r="D496" s="15"/>
      <c r="E496" s="15"/>
      <c r="F496" s="15"/>
      <c r="G496" s="15"/>
      <c r="H496" s="47"/>
      <c r="I496" s="20"/>
      <c r="J496" s="20"/>
      <c r="K496" s="20"/>
      <c r="L496" s="20"/>
      <c r="M496" s="20"/>
      <c r="N496" s="20"/>
      <c r="O496" s="20"/>
      <c r="P496" s="20"/>
      <c r="Q496" s="20"/>
      <c r="R496" s="20"/>
      <c r="S496" s="20"/>
      <c r="T496" s="20"/>
      <c r="U496" s="20"/>
      <c r="V496" s="20"/>
      <c r="W496" s="20"/>
      <c r="X496" s="20"/>
      <c r="Y496" s="20"/>
      <c r="Z496" s="20"/>
    </row>
    <row r="497" spans="1:26" ht="17.25" customHeight="1">
      <c r="A497" s="15"/>
      <c r="B497" s="15"/>
      <c r="C497" s="15"/>
      <c r="D497" s="15"/>
      <c r="E497" s="15"/>
      <c r="F497" s="15"/>
      <c r="G497" s="15"/>
      <c r="H497" s="47"/>
      <c r="I497" s="20"/>
      <c r="J497" s="20"/>
      <c r="K497" s="20"/>
      <c r="L497" s="20"/>
      <c r="M497" s="20"/>
      <c r="N497" s="20"/>
      <c r="O497" s="20"/>
      <c r="P497" s="20"/>
      <c r="Q497" s="20"/>
      <c r="R497" s="20"/>
      <c r="S497" s="20"/>
      <c r="T497" s="20"/>
      <c r="U497" s="20"/>
      <c r="V497" s="20"/>
      <c r="W497" s="20"/>
      <c r="X497" s="20"/>
      <c r="Y497" s="20"/>
      <c r="Z497" s="20"/>
    </row>
    <row r="498" spans="1:26" ht="17.25" customHeight="1">
      <c r="A498" s="15"/>
      <c r="B498" s="15"/>
      <c r="C498" s="15"/>
      <c r="D498" s="15"/>
      <c r="E498" s="15"/>
      <c r="F498" s="15"/>
      <c r="G498" s="15"/>
      <c r="H498" s="47"/>
      <c r="I498" s="20"/>
      <c r="J498" s="20"/>
      <c r="K498" s="20"/>
      <c r="L498" s="20"/>
      <c r="M498" s="20"/>
      <c r="N498" s="20"/>
      <c r="O498" s="20"/>
      <c r="P498" s="20"/>
      <c r="Q498" s="20"/>
      <c r="R498" s="20"/>
      <c r="S498" s="20"/>
      <c r="T498" s="20"/>
      <c r="U498" s="20"/>
      <c r="V498" s="20"/>
      <c r="W498" s="20"/>
      <c r="X498" s="20"/>
      <c r="Y498" s="20"/>
      <c r="Z498" s="20"/>
    </row>
    <row r="499" spans="1:26" ht="17.25" customHeight="1">
      <c r="A499" s="15"/>
      <c r="B499" s="15"/>
      <c r="C499" s="15"/>
      <c r="D499" s="15"/>
      <c r="E499" s="15"/>
      <c r="F499" s="15"/>
      <c r="G499" s="15"/>
      <c r="H499" s="47"/>
      <c r="I499" s="20"/>
      <c r="J499" s="20"/>
      <c r="K499" s="20"/>
      <c r="L499" s="20"/>
      <c r="M499" s="20"/>
      <c r="N499" s="20"/>
      <c r="O499" s="20"/>
      <c r="P499" s="20"/>
      <c r="Q499" s="20"/>
      <c r="R499" s="20"/>
      <c r="S499" s="20"/>
      <c r="T499" s="20"/>
      <c r="U499" s="20"/>
      <c r="V499" s="20"/>
      <c r="W499" s="20"/>
      <c r="X499" s="20"/>
      <c r="Y499" s="20"/>
      <c r="Z499" s="20"/>
    </row>
    <row r="500" spans="1:26" ht="17.25" customHeight="1">
      <c r="A500" s="15"/>
      <c r="B500" s="15"/>
      <c r="C500" s="15"/>
      <c r="D500" s="15"/>
      <c r="E500" s="15"/>
      <c r="F500" s="15"/>
      <c r="G500" s="15"/>
      <c r="H500" s="47"/>
      <c r="I500" s="20"/>
      <c r="J500" s="20"/>
      <c r="K500" s="20"/>
      <c r="L500" s="20"/>
      <c r="M500" s="20"/>
      <c r="N500" s="20"/>
      <c r="O500" s="20"/>
      <c r="P500" s="20"/>
      <c r="Q500" s="20"/>
      <c r="R500" s="20"/>
      <c r="S500" s="20"/>
      <c r="T500" s="20"/>
      <c r="U500" s="20"/>
      <c r="V500" s="20"/>
      <c r="W500" s="20"/>
      <c r="X500" s="20"/>
      <c r="Y500" s="20"/>
      <c r="Z500" s="20"/>
    </row>
    <row r="501" spans="1:26" ht="17.25" customHeight="1">
      <c r="A501" s="15"/>
      <c r="B501" s="15"/>
      <c r="C501" s="15"/>
      <c r="D501" s="15"/>
      <c r="E501" s="15"/>
      <c r="F501" s="15"/>
      <c r="G501" s="15"/>
      <c r="H501" s="47"/>
      <c r="I501" s="20"/>
      <c r="J501" s="20"/>
      <c r="K501" s="20"/>
      <c r="L501" s="20"/>
      <c r="M501" s="20"/>
      <c r="N501" s="20"/>
      <c r="O501" s="20"/>
      <c r="P501" s="20"/>
      <c r="Q501" s="20"/>
      <c r="R501" s="20"/>
      <c r="S501" s="20"/>
      <c r="T501" s="20"/>
      <c r="U501" s="20"/>
      <c r="V501" s="20"/>
      <c r="W501" s="20"/>
      <c r="X501" s="20"/>
      <c r="Y501" s="20"/>
      <c r="Z501" s="20"/>
    </row>
    <row r="502" spans="1:26" ht="17.25" customHeight="1">
      <c r="A502" s="15"/>
      <c r="B502" s="15"/>
      <c r="C502" s="15"/>
      <c r="D502" s="15"/>
      <c r="E502" s="15"/>
      <c r="F502" s="15"/>
      <c r="G502" s="15"/>
      <c r="H502" s="47"/>
      <c r="I502" s="20"/>
      <c r="J502" s="20"/>
      <c r="K502" s="20"/>
      <c r="L502" s="20"/>
      <c r="M502" s="20"/>
      <c r="N502" s="20"/>
      <c r="O502" s="20"/>
      <c r="P502" s="20"/>
      <c r="Q502" s="20"/>
      <c r="R502" s="20"/>
      <c r="S502" s="20"/>
      <c r="T502" s="20"/>
      <c r="U502" s="20"/>
      <c r="V502" s="20"/>
      <c r="W502" s="20"/>
      <c r="X502" s="20"/>
      <c r="Y502" s="20"/>
      <c r="Z502" s="20"/>
    </row>
    <row r="503" spans="1:26" ht="17.25" customHeight="1">
      <c r="A503" s="15"/>
      <c r="B503" s="15"/>
      <c r="C503" s="15"/>
      <c r="D503" s="15"/>
      <c r="E503" s="15"/>
      <c r="F503" s="15"/>
      <c r="G503" s="15"/>
      <c r="H503" s="47"/>
      <c r="I503" s="20"/>
      <c r="J503" s="20"/>
      <c r="K503" s="20"/>
      <c r="L503" s="20"/>
      <c r="M503" s="20"/>
      <c r="N503" s="20"/>
      <c r="O503" s="20"/>
      <c r="P503" s="20"/>
      <c r="Q503" s="20"/>
      <c r="R503" s="20"/>
      <c r="S503" s="20"/>
      <c r="T503" s="20"/>
      <c r="U503" s="20"/>
      <c r="V503" s="20"/>
      <c r="W503" s="20"/>
      <c r="X503" s="20"/>
      <c r="Y503" s="20"/>
      <c r="Z503" s="20"/>
    </row>
    <row r="504" spans="1:26" ht="17.25" customHeight="1">
      <c r="A504" s="15"/>
      <c r="B504" s="15"/>
      <c r="C504" s="15"/>
      <c r="D504" s="15"/>
      <c r="E504" s="15"/>
      <c r="F504" s="15"/>
      <c r="G504" s="15"/>
      <c r="H504" s="47"/>
      <c r="I504" s="20"/>
      <c r="J504" s="20"/>
      <c r="K504" s="20"/>
      <c r="L504" s="20"/>
      <c r="M504" s="20"/>
      <c r="N504" s="20"/>
      <c r="O504" s="20"/>
      <c r="P504" s="20"/>
      <c r="Q504" s="20"/>
      <c r="R504" s="20"/>
      <c r="S504" s="20"/>
      <c r="T504" s="20"/>
      <c r="U504" s="20"/>
      <c r="V504" s="20"/>
      <c r="W504" s="20"/>
      <c r="X504" s="20"/>
      <c r="Y504" s="20"/>
      <c r="Z504" s="20"/>
    </row>
    <row r="505" spans="1:26" ht="17.25" customHeight="1">
      <c r="A505" s="15"/>
      <c r="B505" s="15"/>
      <c r="C505" s="15"/>
      <c r="D505" s="15"/>
      <c r="E505" s="15"/>
      <c r="F505" s="15"/>
      <c r="G505" s="15"/>
      <c r="H505" s="47"/>
      <c r="I505" s="20"/>
      <c r="J505" s="20"/>
      <c r="K505" s="20"/>
      <c r="L505" s="20"/>
      <c r="M505" s="20"/>
      <c r="N505" s="20"/>
      <c r="O505" s="20"/>
      <c r="P505" s="20"/>
      <c r="Q505" s="20"/>
      <c r="R505" s="20"/>
      <c r="S505" s="20"/>
      <c r="T505" s="20"/>
      <c r="U505" s="20"/>
      <c r="V505" s="20"/>
      <c r="W505" s="20"/>
      <c r="X505" s="20"/>
      <c r="Y505" s="20"/>
      <c r="Z505" s="20"/>
    </row>
    <row r="506" spans="1:26" ht="17.25" customHeight="1">
      <c r="A506" s="15"/>
      <c r="B506" s="15"/>
      <c r="C506" s="15"/>
      <c r="D506" s="15"/>
      <c r="E506" s="15"/>
      <c r="F506" s="15"/>
      <c r="G506" s="15"/>
      <c r="H506" s="47"/>
      <c r="I506" s="20"/>
      <c r="J506" s="20"/>
      <c r="K506" s="20"/>
      <c r="L506" s="20"/>
      <c r="M506" s="20"/>
      <c r="N506" s="20"/>
      <c r="O506" s="20"/>
      <c r="P506" s="20"/>
      <c r="Q506" s="20"/>
      <c r="R506" s="20"/>
      <c r="S506" s="20"/>
      <c r="T506" s="20"/>
      <c r="U506" s="20"/>
      <c r="V506" s="20"/>
      <c r="W506" s="20"/>
      <c r="X506" s="20"/>
      <c r="Y506" s="20"/>
      <c r="Z506" s="20"/>
    </row>
    <row r="507" spans="1:26" ht="17.25" customHeight="1">
      <c r="A507" s="15"/>
      <c r="B507" s="15"/>
      <c r="C507" s="15"/>
      <c r="D507" s="15"/>
      <c r="E507" s="15"/>
      <c r="F507" s="15"/>
      <c r="G507" s="15"/>
      <c r="H507" s="47"/>
      <c r="I507" s="20"/>
      <c r="J507" s="20"/>
      <c r="K507" s="20"/>
      <c r="L507" s="20"/>
      <c r="M507" s="20"/>
      <c r="N507" s="20"/>
      <c r="O507" s="20"/>
      <c r="P507" s="20"/>
      <c r="Q507" s="20"/>
      <c r="R507" s="20"/>
      <c r="S507" s="20"/>
      <c r="T507" s="20"/>
      <c r="U507" s="20"/>
      <c r="V507" s="20"/>
      <c r="W507" s="20"/>
      <c r="X507" s="20"/>
      <c r="Y507" s="20"/>
      <c r="Z507" s="20"/>
    </row>
    <row r="508" spans="1:26" ht="17.25" customHeight="1">
      <c r="A508" s="15"/>
      <c r="B508" s="15"/>
      <c r="C508" s="15"/>
      <c r="D508" s="15"/>
      <c r="E508" s="15"/>
      <c r="F508" s="15"/>
      <c r="G508" s="15"/>
      <c r="H508" s="47"/>
      <c r="I508" s="20"/>
      <c r="J508" s="20"/>
      <c r="K508" s="20"/>
      <c r="L508" s="20"/>
      <c r="M508" s="20"/>
      <c r="N508" s="20"/>
      <c r="O508" s="20"/>
      <c r="P508" s="20"/>
      <c r="Q508" s="20"/>
      <c r="R508" s="20"/>
      <c r="S508" s="20"/>
      <c r="T508" s="20"/>
      <c r="U508" s="20"/>
      <c r="V508" s="20"/>
      <c r="W508" s="20"/>
      <c r="X508" s="20"/>
      <c r="Y508" s="20"/>
      <c r="Z508" s="20"/>
    </row>
    <row r="509" spans="1:26" ht="17.25" customHeight="1">
      <c r="A509" s="15"/>
      <c r="B509" s="15"/>
      <c r="C509" s="15"/>
      <c r="D509" s="15"/>
      <c r="E509" s="15"/>
      <c r="F509" s="15"/>
      <c r="G509" s="15"/>
      <c r="H509" s="47"/>
      <c r="I509" s="20"/>
      <c r="J509" s="20"/>
      <c r="K509" s="20"/>
      <c r="L509" s="20"/>
      <c r="M509" s="20"/>
      <c r="N509" s="20"/>
      <c r="O509" s="20"/>
      <c r="P509" s="20"/>
      <c r="Q509" s="20"/>
      <c r="R509" s="20"/>
      <c r="S509" s="20"/>
      <c r="T509" s="20"/>
      <c r="U509" s="20"/>
      <c r="V509" s="20"/>
      <c r="W509" s="20"/>
      <c r="X509" s="20"/>
      <c r="Y509" s="20"/>
      <c r="Z509" s="20"/>
    </row>
    <row r="510" spans="1:26" ht="17.25" customHeight="1">
      <c r="A510" s="15"/>
      <c r="B510" s="15"/>
      <c r="C510" s="15"/>
      <c r="D510" s="15"/>
      <c r="E510" s="15"/>
      <c r="F510" s="15"/>
      <c r="G510" s="15"/>
      <c r="H510" s="47"/>
      <c r="I510" s="20"/>
      <c r="J510" s="20"/>
      <c r="K510" s="20"/>
      <c r="L510" s="20"/>
      <c r="M510" s="20"/>
      <c r="N510" s="20"/>
      <c r="O510" s="20"/>
      <c r="P510" s="20"/>
      <c r="Q510" s="20"/>
      <c r="R510" s="20"/>
      <c r="S510" s="20"/>
      <c r="T510" s="20"/>
      <c r="U510" s="20"/>
      <c r="V510" s="20"/>
      <c r="W510" s="20"/>
      <c r="X510" s="20"/>
      <c r="Y510" s="20"/>
      <c r="Z510" s="20"/>
    </row>
    <row r="511" spans="1:26" ht="17.25" customHeight="1">
      <c r="A511" s="15"/>
      <c r="B511" s="15"/>
      <c r="C511" s="15"/>
      <c r="D511" s="15"/>
      <c r="E511" s="15"/>
      <c r="F511" s="15"/>
      <c r="G511" s="15"/>
      <c r="H511" s="47"/>
      <c r="I511" s="20"/>
      <c r="J511" s="20"/>
      <c r="K511" s="20"/>
      <c r="L511" s="20"/>
      <c r="M511" s="20"/>
      <c r="N511" s="20"/>
      <c r="O511" s="20"/>
      <c r="P511" s="20"/>
      <c r="Q511" s="20"/>
      <c r="R511" s="20"/>
      <c r="S511" s="20"/>
      <c r="T511" s="20"/>
      <c r="U511" s="20"/>
      <c r="V511" s="20"/>
      <c r="W511" s="20"/>
      <c r="X511" s="20"/>
      <c r="Y511" s="20"/>
      <c r="Z511" s="20"/>
    </row>
    <row r="512" spans="1:26" ht="17.25" customHeight="1">
      <c r="A512" s="15"/>
      <c r="B512" s="15"/>
      <c r="C512" s="15"/>
      <c r="D512" s="15"/>
      <c r="E512" s="15"/>
      <c r="F512" s="15"/>
      <c r="G512" s="15"/>
      <c r="H512" s="47"/>
      <c r="I512" s="20"/>
      <c r="J512" s="20"/>
      <c r="K512" s="20"/>
      <c r="L512" s="20"/>
      <c r="M512" s="20"/>
      <c r="N512" s="20"/>
      <c r="O512" s="20"/>
      <c r="P512" s="20"/>
      <c r="Q512" s="20"/>
      <c r="R512" s="20"/>
      <c r="S512" s="20"/>
      <c r="T512" s="20"/>
      <c r="U512" s="20"/>
      <c r="V512" s="20"/>
      <c r="W512" s="20"/>
      <c r="X512" s="20"/>
      <c r="Y512" s="20"/>
      <c r="Z512" s="20"/>
    </row>
    <row r="513" spans="1:26" ht="17.25" customHeight="1">
      <c r="A513" s="15"/>
      <c r="B513" s="15"/>
      <c r="C513" s="15"/>
      <c r="D513" s="15"/>
      <c r="E513" s="15"/>
      <c r="F513" s="15"/>
      <c r="G513" s="15"/>
      <c r="H513" s="47"/>
      <c r="I513" s="20"/>
      <c r="J513" s="20"/>
      <c r="K513" s="20"/>
      <c r="L513" s="20"/>
      <c r="M513" s="20"/>
      <c r="N513" s="20"/>
      <c r="O513" s="20"/>
      <c r="P513" s="20"/>
      <c r="Q513" s="20"/>
      <c r="R513" s="20"/>
      <c r="S513" s="20"/>
      <c r="T513" s="20"/>
      <c r="U513" s="20"/>
      <c r="V513" s="20"/>
      <c r="W513" s="20"/>
      <c r="X513" s="20"/>
      <c r="Y513" s="20"/>
      <c r="Z513" s="20"/>
    </row>
    <row r="514" spans="1:26" ht="17.25" customHeight="1">
      <c r="A514" s="15"/>
      <c r="B514" s="15"/>
      <c r="C514" s="15"/>
      <c r="D514" s="15"/>
      <c r="E514" s="15"/>
      <c r="F514" s="15"/>
      <c r="G514" s="15"/>
      <c r="H514" s="47"/>
      <c r="I514" s="20"/>
      <c r="J514" s="20"/>
      <c r="K514" s="20"/>
      <c r="L514" s="20"/>
      <c r="M514" s="20"/>
      <c r="N514" s="20"/>
      <c r="O514" s="20"/>
      <c r="P514" s="20"/>
      <c r="Q514" s="20"/>
      <c r="R514" s="20"/>
      <c r="S514" s="20"/>
      <c r="T514" s="20"/>
      <c r="U514" s="20"/>
      <c r="V514" s="20"/>
      <c r="W514" s="20"/>
      <c r="X514" s="20"/>
      <c r="Y514" s="20"/>
      <c r="Z514" s="20"/>
    </row>
    <row r="515" spans="1:26" ht="17.25" customHeight="1">
      <c r="A515" s="15"/>
      <c r="B515" s="15"/>
      <c r="C515" s="15"/>
      <c r="D515" s="15"/>
      <c r="E515" s="15"/>
      <c r="F515" s="15"/>
      <c r="G515" s="15"/>
      <c r="H515" s="47"/>
      <c r="I515" s="20"/>
      <c r="J515" s="20"/>
      <c r="K515" s="20"/>
      <c r="L515" s="20"/>
      <c r="M515" s="20"/>
      <c r="N515" s="20"/>
      <c r="O515" s="20"/>
      <c r="P515" s="20"/>
      <c r="Q515" s="20"/>
      <c r="R515" s="20"/>
      <c r="S515" s="20"/>
      <c r="T515" s="20"/>
      <c r="U515" s="20"/>
      <c r="V515" s="20"/>
      <c r="W515" s="20"/>
      <c r="X515" s="20"/>
      <c r="Y515" s="20"/>
      <c r="Z515" s="20"/>
    </row>
    <row r="516" spans="1:26" ht="17.25" customHeight="1">
      <c r="A516" s="15"/>
      <c r="B516" s="15"/>
      <c r="C516" s="15"/>
      <c r="D516" s="15"/>
      <c r="E516" s="15"/>
      <c r="F516" s="15"/>
      <c r="G516" s="15"/>
      <c r="H516" s="47"/>
      <c r="I516" s="20"/>
      <c r="J516" s="20"/>
      <c r="K516" s="20"/>
      <c r="L516" s="20"/>
      <c r="M516" s="20"/>
      <c r="N516" s="20"/>
      <c r="O516" s="20"/>
      <c r="P516" s="20"/>
      <c r="Q516" s="20"/>
      <c r="R516" s="20"/>
      <c r="S516" s="20"/>
      <c r="T516" s="20"/>
      <c r="U516" s="20"/>
      <c r="V516" s="20"/>
      <c r="W516" s="20"/>
      <c r="X516" s="20"/>
      <c r="Y516" s="20"/>
      <c r="Z516" s="20"/>
    </row>
    <row r="517" spans="1:26" ht="17.25" customHeight="1">
      <c r="A517" s="15"/>
      <c r="B517" s="15"/>
      <c r="C517" s="15"/>
      <c r="D517" s="15"/>
      <c r="E517" s="15"/>
      <c r="F517" s="15"/>
      <c r="G517" s="15"/>
      <c r="H517" s="47"/>
      <c r="I517" s="20"/>
      <c r="J517" s="20"/>
      <c r="K517" s="20"/>
      <c r="L517" s="20"/>
      <c r="M517" s="20"/>
      <c r="N517" s="20"/>
      <c r="O517" s="20"/>
      <c r="P517" s="20"/>
      <c r="Q517" s="20"/>
      <c r="R517" s="20"/>
      <c r="S517" s="20"/>
      <c r="T517" s="20"/>
      <c r="U517" s="20"/>
      <c r="V517" s="20"/>
      <c r="W517" s="20"/>
      <c r="X517" s="20"/>
      <c r="Y517" s="20"/>
      <c r="Z517" s="20"/>
    </row>
    <row r="518" spans="1:26" ht="17.25" customHeight="1">
      <c r="A518" s="15"/>
      <c r="B518" s="15"/>
      <c r="C518" s="15"/>
      <c r="D518" s="15"/>
      <c r="E518" s="15"/>
      <c r="F518" s="15"/>
      <c r="G518" s="15"/>
      <c r="H518" s="47"/>
      <c r="I518" s="20"/>
      <c r="J518" s="20"/>
      <c r="K518" s="20"/>
      <c r="L518" s="20"/>
      <c r="M518" s="20"/>
      <c r="N518" s="20"/>
      <c r="O518" s="20"/>
      <c r="P518" s="20"/>
      <c r="Q518" s="20"/>
      <c r="R518" s="20"/>
      <c r="S518" s="20"/>
      <c r="T518" s="20"/>
      <c r="U518" s="20"/>
      <c r="V518" s="20"/>
      <c r="W518" s="20"/>
      <c r="X518" s="20"/>
      <c r="Y518" s="20"/>
      <c r="Z518" s="20"/>
    </row>
    <row r="519" spans="1:26" ht="17.25" customHeight="1">
      <c r="A519" s="15"/>
      <c r="B519" s="15"/>
      <c r="C519" s="15"/>
      <c r="D519" s="15"/>
      <c r="E519" s="15"/>
      <c r="F519" s="15"/>
      <c r="G519" s="15"/>
      <c r="H519" s="47"/>
      <c r="I519" s="20"/>
      <c r="J519" s="20"/>
      <c r="K519" s="20"/>
      <c r="L519" s="20"/>
      <c r="M519" s="20"/>
      <c r="N519" s="20"/>
      <c r="O519" s="20"/>
      <c r="P519" s="20"/>
      <c r="Q519" s="20"/>
      <c r="R519" s="20"/>
      <c r="S519" s="20"/>
      <c r="T519" s="20"/>
      <c r="U519" s="20"/>
      <c r="V519" s="20"/>
      <c r="W519" s="20"/>
      <c r="X519" s="20"/>
      <c r="Y519" s="20"/>
      <c r="Z519" s="20"/>
    </row>
    <row r="520" spans="1:26" ht="17.25" customHeight="1">
      <c r="A520" s="15"/>
      <c r="B520" s="15"/>
      <c r="C520" s="15"/>
      <c r="D520" s="15"/>
      <c r="E520" s="15"/>
      <c r="F520" s="15"/>
      <c r="G520" s="15"/>
      <c r="H520" s="47"/>
      <c r="I520" s="20"/>
      <c r="J520" s="20"/>
      <c r="K520" s="20"/>
      <c r="L520" s="20"/>
      <c r="M520" s="20"/>
      <c r="N520" s="20"/>
      <c r="O520" s="20"/>
      <c r="P520" s="20"/>
      <c r="Q520" s="20"/>
      <c r="R520" s="20"/>
      <c r="S520" s="20"/>
      <c r="T520" s="20"/>
      <c r="U520" s="20"/>
      <c r="V520" s="20"/>
      <c r="W520" s="20"/>
      <c r="X520" s="20"/>
      <c r="Y520" s="20"/>
      <c r="Z520" s="20"/>
    </row>
    <row r="521" spans="1:26" ht="17.25" customHeight="1">
      <c r="A521" s="15"/>
      <c r="B521" s="15"/>
      <c r="C521" s="15"/>
      <c r="D521" s="15"/>
      <c r="E521" s="15"/>
      <c r="F521" s="15"/>
      <c r="G521" s="15"/>
      <c r="H521" s="47"/>
      <c r="I521" s="20"/>
      <c r="J521" s="20"/>
      <c r="K521" s="20"/>
      <c r="L521" s="20"/>
      <c r="M521" s="20"/>
      <c r="N521" s="20"/>
      <c r="O521" s="20"/>
      <c r="P521" s="20"/>
      <c r="Q521" s="20"/>
      <c r="R521" s="20"/>
      <c r="S521" s="20"/>
      <c r="T521" s="20"/>
      <c r="U521" s="20"/>
      <c r="V521" s="20"/>
      <c r="W521" s="20"/>
      <c r="X521" s="20"/>
      <c r="Y521" s="20"/>
      <c r="Z521" s="20"/>
    </row>
    <row r="522" spans="1:26" ht="17.25" customHeight="1">
      <c r="A522" s="15"/>
      <c r="B522" s="15"/>
      <c r="C522" s="15"/>
      <c r="D522" s="15"/>
      <c r="E522" s="15"/>
      <c r="F522" s="15"/>
      <c r="G522" s="15"/>
      <c r="H522" s="47"/>
      <c r="I522" s="20"/>
      <c r="J522" s="20"/>
      <c r="K522" s="20"/>
      <c r="L522" s="20"/>
      <c r="M522" s="20"/>
      <c r="N522" s="20"/>
      <c r="O522" s="20"/>
      <c r="P522" s="20"/>
      <c r="Q522" s="20"/>
      <c r="R522" s="20"/>
      <c r="S522" s="20"/>
      <c r="T522" s="20"/>
      <c r="U522" s="20"/>
      <c r="V522" s="20"/>
      <c r="W522" s="20"/>
      <c r="X522" s="20"/>
      <c r="Y522" s="20"/>
      <c r="Z522" s="20"/>
    </row>
    <row r="523" spans="1:26" ht="17.25" customHeight="1">
      <c r="A523" s="15"/>
      <c r="B523" s="15"/>
      <c r="C523" s="15"/>
      <c r="D523" s="15"/>
      <c r="E523" s="15"/>
      <c r="F523" s="15"/>
      <c r="G523" s="15"/>
      <c r="H523" s="47"/>
      <c r="I523" s="20"/>
      <c r="J523" s="20"/>
      <c r="K523" s="20"/>
      <c r="L523" s="20"/>
      <c r="M523" s="20"/>
      <c r="N523" s="20"/>
      <c r="O523" s="20"/>
      <c r="P523" s="20"/>
      <c r="Q523" s="20"/>
      <c r="R523" s="20"/>
      <c r="S523" s="20"/>
      <c r="T523" s="20"/>
      <c r="U523" s="20"/>
      <c r="V523" s="20"/>
      <c r="W523" s="20"/>
      <c r="X523" s="20"/>
      <c r="Y523" s="20"/>
      <c r="Z523" s="20"/>
    </row>
    <row r="524" spans="1:26" ht="17.25" customHeight="1">
      <c r="A524" s="15"/>
      <c r="B524" s="15"/>
      <c r="C524" s="15"/>
      <c r="D524" s="15"/>
      <c r="E524" s="15"/>
      <c r="F524" s="15"/>
      <c r="G524" s="15"/>
      <c r="H524" s="47"/>
      <c r="I524" s="20"/>
      <c r="J524" s="20"/>
      <c r="K524" s="20"/>
      <c r="L524" s="20"/>
      <c r="M524" s="20"/>
      <c r="N524" s="20"/>
      <c r="O524" s="20"/>
      <c r="P524" s="20"/>
      <c r="Q524" s="20"/>
      <c r="R524" s="20"/>
      <c r="S524" s="20"/>
      <c r="T524" s="20"/>
      <c r="U524" s="20"/>
      <c r="V524" s="20"/>
      <c r="W524" s="20"/>
      <c r="X524" s="20"/>
      <c r="Y524" s="20"/>
      <c r="Z524" s="20"/>
    </row>
    <row r="525" spans="1:26" ht="17.25" customHeight="1">
      <c r="A525" s="15"/>
      <c r="B525" s="15"/>
      <c r="C525" s="15"/>
      <c r="D525" s="15"/>
      <c r="E525" s="15"/>
      <c r="F525" s="15"/>
      <c r="G525" s="15"/>
      <c r="H525" s="47"/>
      <c r="I525" s="20"/>
      <c r="J525" s="20"/>
      <c r="K525" s="20"/>
      <c r="L525" s="20"/>
      <c r="M525" s="20"/>
      <c r="N525" s="20"/>
      <c r="O525" s="20"/>
      <c r="P525" s="20"/>
      <c r="Q525" s="20"/>
      <c r="R525" s="20"/>
      <c r="S525" s="20"/>
      <c r="T525" s="20"/>
      <c r="U525" s="20"/>
      <c r="V525" s="20"/>
      <c r="W525" s="20"/>
      <c r="X525" s="20"/>
      <c r="Y525" s="20"/>
      <c r="Z525" s="20"/>
    </row>
    <row r="526" spans="1:26" ht="17.25" customHeight="1">
      <c r="A526" s="15"/>
      <c r="B526" s="15"/>
      <c r="C526" s="15"/>
      <c r="D526" s="15"/>
      <c r="E526" s="15"/>
      <c r="F526" s="15"/>
      <c r="G526" s="15"/>
      <c r="H526" s="47"/>
      <c r="I526" s="20"/>
      <c r="J526" s="20"/>
      <c r="K526" s="20"/>
      <c r="L526" s="20"/>
      <c r="M526" s="20"/>
      <c r="N526" s="20"/>
      <c r="O526" s="20"/>
      <c r="P526" s="20"/>
      <c r="Q526" s="20"/>
      <c r="R526" s="20"/>
      <c r="S526" s="20"/>
      <c r="T526" s="20"/>
      <c r="U526" s="20"/>
      <c r="V526" s="20"/>
      <c r="W526" s="20"/>
      <c r="X526" s="20"/>
      <c r="Y526" s="20"/>
      <c r="Z526" s="20"/>
    </row>
    <row r="527" spans="1:26" ht="17.25" customHeight="1">
      <c r="A527" s="15"/>
      <c r="B527" s="15"/>
      <c r="C527" s="15"/>
      <c r="D527" s="15"/>
      <c r="E527" s="15"/>
      <c r="F527" s="15"/>
      <c r="G527" s="15"/>
      <c r="H527" s="47"/>
      <c r="I527" s="20"/>
      <c r="J527" s="20"/>
      <c r="K527" s="20"/>
      <c r="L527" s="20"/>
      <c r="M527" s="20"/>
      <c r="N527" s="20"/>
      <c r="O527" s="20"/>
      <c r="P527" s="20"/>
      <c r="Q527" s="20"/>
      <c r="R527" s="20"/>
      <c r="S527" s="20"/>
      <c r="T527" s="20"/>
      <c r="U527" s="20"/>
      <c r="V527" s="20"/>
      <c r="W527" s="20"/>
      <c r="X527" s="20"/>
      <c r="Y527" s="20"/>
      <c r="Z527" s="20"/>
    </row>
    <row r="528" spans="1:26" ht="17.25" customHeight="1">
      <c r="A528" s="15"/>
      <c r="B528" s="15"/>
      <c r="C528" s="15"/>
      <c r="D528" s="15"/>
      <c r="E528" s="15"/>
      <c r="F528" s="15"/>
      <c r="G528" s="15"/>
      <c r="H528" s="47"/>
      <c r="I528" s="20"/>
      <c r="J528" s="20"/>
      <c r="K528" s="20"/>
      <c r="L528" s="20"/>
      <c r="M528" s="20"/>
      <c r="N528" s="20"/>
      <c r="O528" s="20"/>
      <c r="P528" s="20"/>
      <c r="Q528" s="20"/>
      <c r="R528" s="20"/>
      <c r="S528" s="20"/>
      <c r="T528" s="20"/>
      <c r="U528" s="20"/>
      <c r="V528" s="20"/>
      <c r="W528" s="20"/>
      <c r="X528" s="20"/>
      <c r="Y528" s="20"/>
      <c r="Z528" s="20"/>
    </row>
    <row r="529" spans="1:26" ht="17.25" customHeight="1">
      <c r="A529" s="15"/>
      <c r="B529" s="15"/>
      <c r="C529" s="15"/>
      <c r="D529" s="15"/>
      <c r="E529" s="15"/>
      <c r="F529" s="15"/>
      <c r="G529" s="15"/>
      <c r="H529" s="47"/>
      <c r="I529" s="20"/>
      <c r="J529" s="20"/>
      <c r="K529" s="20"/>
      <c r="L529" s="20"/>
      <c r="M529" s="20"/>
      <c r="N529" s="20"/>
      <c r="O529" s="20"/>
      <c r="P529" s="20"/>
      <c r="Q529" s="20"/>
      <c r="R529" s="20"/>
      <c r="S529" s="20"/>
      <c r="T529" s="20"/>
      <c r="U529" s="20"/>
      <c r="V529" s="20"/>
      <c r="W529" s="20"/>
      <c r="X529" s="20"/>
      <c r="Y529" s="20"/>
      <c r="Z529" s="20"/>
    </row>
    <row r="530" spans="1:26" ht="17.25" customHeight="1">
      <c r="A530" s="15"/>
      <c r="B530" s="15"/>
      <c r="C530" s="15"/>
      <c r="D530" s="15"/>
      <c r="E530" s="15"/>
      <c r="F530" s="15"/>
      <c r="G530" s="15"/>
      <c r="H530" s="47"/>
      <c r="I530" s="20"/>
      <c r="J530" s="20"/>
      <c r="K530" s="20"/>
      <c r="L530" s="20"/>
      <c r="M530" s="20"/>
      <c r="N530" s="20"/>
      <c r="O530" s="20"/>
      <c r="P530" s="20"/>
      <c r="Q530" s="20"/>
      <c r="R530" s="20"/>
      <c r="S530" s="20"/>
      <c r="T530" s="20"/>
      <c r="U530" s="20"/>
      <c r="V530" s="20"/>
      <c r="W530" s="20"/>
      <c r="X530" s="20"/>
      <c r="Y530" s="20"/>
      <c r="Z530" s="20"/>
    </row>
    <row r="531" spans="1:26" ht="17.25" customHeight="1">
      <c r="A531" s="15"/>
      <c r="B531" s="15"/>
      <c r="C531" s="15"/>
      <c r="D531" s="15"/>
      <c r="E531" s="15"/>
      <c r="F531" s="15"/>
      <c r="G531" s="15"/>
      <c r="H531" s="47"/>
      <c r="I531" s="20"/>
      <c r="J531" s="20"/>
      <c r="K531" s="20"/>
      <c r="L531" s="20"/>
      <c r="M531" s="20"/>
      <c r="N531" s="20"/>
      <c r="O531" s="20"/>
      <c r="P531" s="20"/>
      <c r="Q531" s="20"/>
      <c r="R531" s="20"/>
      <c r="S531" s="20"/>
      <c r="T531" s="20"/>
      <c r="U531" s="20"/>
      <c r="V531" s="20"/>
      <c r="W531" s="20"/>
      <c r="X531" s="20"/>
      <c r="Y531" s="20"/>
      <c r="Z531" s="20"/>
    </row>
    <row r="532" spans="1:26" ht="17.25" customHeight="1">
      <c r="A532" s="15"/>
      <c r="B532" s="15"/>
      <c r="C532" s="15"/>
      <c r="D532" s="15"/>
      <c r="E532" s="15"/>
      <c r="F532" s="15"/>
      <c r="G532" s="15"/>
      <c r="H532" s="47"/>
      <c r="I532" s="20"/>
      <c r="J532" s="20"/>
      <c r="K532" s="20"/>
      <c r="L532" s="20"/>
      <c r="M532" s="20"/>
      <c r="N532" s="20"/>
      <c r="O532" s="20"/>
      <c r="P532" s="20"/>
      <c r="Q532" s="20"/>
      <c r="R532" s="20"/>
      <c r="S532" s="20"/>
      <c r="T532" s="20"/>
      <c r="U532" s="20"/>
      <c r="V532" s="20"/>
      <c r="W532" s="20"/>
      <c r="X532" s="20"/>
      <c r="Y532" s="20"/>
      <c r="Z532" s="20"/>
    </row>
    <row r="533" spans="1:26" ht="17.25" customHeight="1">
      <c r="A533" s="15"/>
      <c r="B533" s="15"/>
      <c r="C533" s="15"/>
      <c r="D533" s="15"/>
      <c r="E533" s="15"/>
      <c r="F533" s="15"/>
      <c r="G533" s="15"/>
      <c r="H533" s="47"/>
      <c r="I533" s="20"/>
      <c r="J533" s="20"/>
      <c r="K533" s="20"/>
      <c r="L533" s="20"/>
      <c r="M533" s="20"/>
      <c r="N533" s="20"/>
      <c r="O533" s="20"/>
      <c r="P533" s="20"/>
      <c r="Q533" s="20"/>
      <c r="R533" s="20"/>
      <c r="S533" s="20"/>
      <c r="T533" s="20"/>
      <c r="U533" s="20"/>
      <c r="V533" s="20"/>
      <c r="W533" s="20"/>
      <c r="X533" s="20"/>
      <c r="Y533" s="20"/>
      <c r="Z533" s="20"/>
    </row>
    <row r="534" spans="1:26" ht="17.25" customHeight="1">
      <c r="A534" s="15"/>
      <c r="B534" s="15"/>
      <c r="C534" s="15"/>
      <c r="D534" s="15"/>
      <c r="E534" s="15"/>
      <c r="F534" s="15"/>
      <c r="G534" s="15"/>
      <c r="H534" s="47"/>
      <c r="I534" s="20"/>
      <c r="J534" s="20"/>
      <c r="K534" s="20"/>
      <c r="L534" s="20"/>
      <c r="M534" s="20"/>
      <c r="N534" s="20"/>
      <c r="O534" s="20"/>
      <c r="P534" s="20"/>
      <c r="Q534" s="20"/>
      <c r="R534" s="20"/>
      <c r="S534" s="20"/>
      <c r="T534" s="20"/>
      <c r="U534" s="20"/>
      <c r="V534" s="20"/>
      <c r="W534" s="20"/>
      <c r="X534" s="20"/>
      <c r="Y534" s="20"/>
      <c r="Z534" s="20"/>
    </row>
    <row r="535" spans="1:26" ht="17.25" customHeight="1">
      <c r="A535" s="15"/>
      <c r="B535" s="15"/>
      <c r="C535" s="15"/>
      <c r="D535" s="15"/>
      <c r="E535" s="15"/>
      <c r="F535" s="15"/>
      <c r="G535" s="15"/>
      <c r="H535" s="47"/>
      <c r="I535" s="20"/>
      <c r="J535" s="20"/>
      <c r="K535" s="20"/>
      <c r="L535" s="20"/>
      <c r="M535" s="20"/>
      <c r="N535" s="20"/>
      <c r="O535" s="20"/>
      <c r="P535" s="20"/>
      <c r="Q535" s="20"/>
      <c r="R535" s="20"/>
      <c r="S535" s="20"/>
      <c r="T535" s="20"/>
      <c r="U535" s="20"/>
      <c r="V535" s="20"/>
      <c r="W535" s="20"/>
      <c r="X535" s="20"/>
      <c r="Y535" s="20"/>
      <c r="Z535" s="20"/>
    </row>
    <row r="536" spans="1:26" ht="17.25" customHeight="1">
      <c r="A536" s="15"/>
      <c r="B536" s="15"/>
      <c r="C536" s="15"/>
      <c r="D536" s="15"/>
      <c r="E536" s="15"/>
      <c r="F536" s="15"/>
      <c r="G536" s="15"/>
      <c r="H536" s="47"/>
      <c r="I536" s="20"/>
      <c r="J536" s="20"/>
      <c r="K536" s="20"/>
      <c r="L536" s="20"/>
      <c r="M536" s="20"/>
      <c r="N536" s="20"/>
      <c r="O536" s="20"/>
      <c r="P536" s="20"/>
      <c r="Q536" s="20"/>
      <c r="R536" s="20"/>
      <c r="S536" s="20"/>
      <c r="T536" s="20"/>
      <c r="U536" s="20"/>
      <c r="V536" s="20"/>
      <c r="W536" s="20"/>
      <c r="X536" s="20"/>
      <c r="Y536" s="20"/>
      <c r="Z536" s="20"/>
    </row>
    <row r="537" spans="1:26" ht="17.25" customHeight="1">
      <c r="A537" s="15"/>
      <c r="B537" s="15"/>
      <c r="C537" s="15"/>
      <c r="D537" s="15"/>
      <c r="E537" s="15"/>
      <c r="F537" s="15"/>
      <c r="G537" s="15"/>
      <c r="H537" s="47"/>
      <c r="I537" s="20"/>
      <c r="J537" s="20"/>
      <c r="K537" s="20"/>
      <c r="L537" s="20"/>
      <c r="M537" s="20"/>
      <c r="N537" s="20"/>
      <c r="O537" s="20"/>
      <c r="P537" s="20"/>
      <c r="Q537" s="20"/>
      <c r="R537" s="20"/>
      <c r="S537" s="20"/>
      <c r="T537" s="20"/>
      <c r="U537" s="20"/>
      <c r="V537" s="20"/>
      <c r="W537" s="20"/>
      <c r="X537" s="20"/>
      <c r="Y537" s="20"/>
      <c r="Z537" s="20"/>
    </row>
    <row r="538" spans="1:26" ht="17.25" customHeight="1">
      <c r="A538" s="15"/>
      <c r="B538" s="15"/>
      <c r="C538" s="15"/>
      <c r="D538" s="15"/>
      <c r="E538" s="15"/>
      <c r="F538" s="15"/>
      <c r="G538" s="15"/>
      <c r="H538" s="47"/>
      <c r="I538" s="20"/>
      <c r="J538" s="20"/>
      <c r="K538" s="20"/>
      <c r="L538" s="20"/>
      <c r="M538" s="20"/>
      <c r="N538" s="20"/>
      <c r="O538" s="20"/>
      <c r="P538" s="20"/>
      <c r="Q538" s="20"/>
      <c r="R538" s="20"/>
      <c r="S538" s="20"/>
      <c r="T538" s="20"/>
      <c r="U538" s="20"/>
      <c r="V538" s="20"/>
      <c r="W538" s="20"/>
      <c r="X538" s="20"/>
      <c r="Y538" s="20"/>
      <c r="Z538" s="20"/>
    </row>
    <row r="539" spans="1:26" ht="17.25" customHeight="1">
      <c r="A539" s="15"/>
      <c r="B539" s="15"/>
      <c r="C539" s="15"/>
      <c r="D539" s="15"/>
      <c r="E539" s="15"/>
      <c r="F539" s="15"/>
      <c r="G539" s="15"/>
      <c r="H539" s="47"/>
      <c r="I539" s="20"/>
      <c r="J539" s="20"/>
      <c r="K539" s="20"/>
      <c r="L539" s="20"/>
      <c r="M539" s="20"/>
      <c r="N539" s="20"/>
      <c r="O539" s="20"/>
      <c r="P539" s="20"/>
      <c r="Q539" s="20"/>
      <c r="R539" s="20"/>
      <c r="S539" s="20"/>
      <c r="T539" s="20"/>
      <c r="U539" s="20"/>
      <c r="V539" s="20"/>
      <c r="W539" s="20"/>
      <c r="X539" s="20"/>
      <c r="Y539" s="20"/>
      <c r="Z539" s="20"/>
    </row>
    <row r="540" spans="1:26" ht="17.25" customHeight="1">
      <c r="A540" s="15"/>
      <c r="B540" s="15"/>
      <c r="C540" s="15"/>
      <c r="D540" s="15"/>
      <c r="E540" s="15"/>
      <c r="F540" s="15"/>
      <c r="G540" s="15"/>
      <c r="H540" s="47"/>
      <c r="I540" s="20"/>
      <c r="J540" s="20"/>
      <c r="K540" s="20"/>
      <c r="L540" s="20"/>
      <c r="M540" s="20"/>
      <c r="N540" s="20"/>
      <c r="O540" s="20"/>
      <c r="P540" s="20"/>
      <c r="Q540" s="20"/>
      <c r="R540" s="20"/>
      <c r="S540" s="20"/>
      <c r="T540" s="20"/>
      <c r="U540" s="20"/>
      <c r="V540" s="20"/>
      <c r="W540" s="20"/>
      <c r="X540" s="20"/>
      <c r="Y540" s="20"/>
      <c r="Z540" s="20"/>
    </row>
    <row r="541" spans="1:26" ht="17.25" customHeight="1">
      <c r="A541" s="15"/>
      <c r="B541" s="15"/>
      <c r="C541" s="15"/>
      <c r="D541" s="15"/>
      <c r="E541" s="15"/>
      <c r="F541" s="15"/>
      <c r="G541" s="15"/>
      <c r="H541" s="47"/>
      <c r="I541" s="20"/>
      <c r="J541" s="20"/>
      <c r="K541" s="20"/>
      <c r="L541" s="20"/>
      <c r="M541" s="20"/>
      <c r="N541" s="20"/>
      <c r="O541" s="20"/>
      <c r="P541" s="20"/>
      <c r="Q541" s="20"/>
      <c r="R541" s="20"/>
      <c r="S541" s="20"/>
      <c r="T541" s="20"/>
      <c r="U541" s="20"/>
      <c r="V541" s="20"/>
      <c r="W541" s="20"/>
      <c r="X541" s="20"/>
      <c r="Y541" s="20"/>
      <c r="Z541" s="20"/>
    </row>
    <row r="542" spans="1:26" ht="17.25" customHeight="1">
      <c r="A542" s="15"/>
      <c r="B542" s="15"/>
      <c r="C542" s="15"/>
      <c r="D542" s="15"/>
      <c r="E542" s="15"/>
      <c r="F542" s="15"/>
      <c r="G542" s="15"/>
      <c r="H542" s="47"/>
      <c r="I542" s="20"/>
      <c r="J542" s="20"/>
      <c r="K542" s="20"/>
      <c r="L542" s="20"/>
      <c r="M542" s="20"/>
      <c r="N542" s="20"/>
      <c r="O542" s="20"/>
      <c r="P542" s="20"/>
      <c r="Q542" s="20"/>
      <c r="R542" s="20"/>
      <c r="S542" s="20"/>
      <c r="T542" s="20"/>
      <c r="U542" s="20"/>
      <c r="V542" s="20"/>
      <c r="W542" s="20"/>
      <c r="X542" s="20"/>
      <c r="Y542" s="20"/>
      <c r="Z542" s="20"/>
    </row>
    <row r="543" spans="1:26" ht="17.25" customHeight="1">
      <c r="A543" s="15"/>
      <c r="B543" s="15"/>
      <c r="C543" s="15"/>
      <c r="D543" s="15"/>
      <c r="E543" s="15"/>
      <c r="F543" s="15"/>
      <c r="G543" s="15"/>
      <c r="H543" s="47"/>
      <c r="I543" s="20"/>
      <c r="J543" s="20"/>
      <c r="K543" s="20"/>
      <c r="L543" s="20"/>
      <c r="M543" s="20"/>
      <c r="N543" s="20"/>
      <c r="O543" s="20"/>
      <c r="P543" s="20"/>
      <c r="Q543" s="20"/>
      <c r="R543" s="20"/>
      <c r="S543" s="20"/>
      <c r="T543" s="20"/>
      <c r="U543" s="20"/>
      <c r="V543" s="20"/>
      <c r="W543" s="20"/>
      <c r="X543" s="20"/>
      <c r="Y543" s="20"/>
      <c r="Z543" s="20"/>
    </row>
    <row r="544" spans="1:26" ht="17.25" customHeight="1">
      <c r="A544" s="15"/>
      <c r="B544" s="15"/>
      <c r="C544" s="15"/>
      <c r="D544" s="15"/>
      <c r="E544" s="15"/>
      <c r="F544" s="15"/>
      <c r="G544" s="15"/>
      <c r="H544" s="47"/>
      <c r="I544" s="20"/>
      <c r="J544" s="20"/>
      <c r="K544" s="20"/>
      <c r="L544" s="20"/>
      <c r="M544" s="20"/>
      <c r="N544" s="20"/>
      <c r="O544" s="20"/>
      <c r="P544" s="20"/>
      <c r="Q544" s="20"/>
      <c r="R544" s="20"/>
      <c r="S544" s="20"/>
      <c r="T544" s="20"/>
      <c r="U544" s="20"/>
      <c r="V544" s="20"/>
      <c r="W544" s="20"/>
      <c r="X544" s="20"/>
      <c r="Y544" s="20"/>
      <c r="Z544" s="20"/>
    </row>
    <row r="545" spans="1:26" ht="17.25" customHeight="1">
      <c r="A545" s="15"/>
      <c r="B545" s="15"/>
      <c r="C545" s="15"/>
      <c r="D545" s="15"/>
      <c r="E545" s="15"/>
      <c r="F545" s="15"/>
      <c r="G545" s="15"/>
      <c r="H545" s="47"/>
      <c r="I545" s="20"/>
      <c r="J545" s="20"/>
      <c r="K545" s="20"/>
      <c r="L545" s="20"/>
      <c r="M545" s="20"/>
      <c r="N545" s="20"/>
      <c r="O545" s="20"/>
      <c r="P545" s="20"/>
      <c r="Q545" s="20"/>
      <c r="R545" s="20"/>
      <c r="S545" s="20"/>
      <c r="T545" s="20"/>
      <c r="U545" s="20"/>
      <c r="V545" s="20"/>
      <c r="W545" s="20"/>
      <c r="X545" s="20"/>
      <c r="Y545" s="20"/>
      <c r="Z545" s="20"/>
    </row>
    <row r="546" spans="1:26" ht="17.25" customHeight="1">
      <c r="A546" s="15"/>
      <c r="B546" s="15"/>
      <c r="C546" s="15"/>
      <c r="D546" s="15"/>
      <c r="E546" s="15"/>
      <c r="F546" s="15"/>
      <c r="G546" s="15"/>
      <c r="H546" s="47"/>
      <c r="I546" s="20"/>
      <c r="J546" s="20"/>
      <c r="K546" s="20"/>
      <c r="L546" s="20"/>
      <c r="M546" s="20"/>
      <c r="N546" s="20"/>
      <c r="O546" s="20"/>
      <c r="P546" s="20"/>
      <c r="Q546" s="20"/>
      <c r="R546" s="20"/>
      <c r="S546" s="20"/>
      <c r="T546" s="20"/>
      <c r="U546" s="20"/>
      <c r="V546" s="20"/>
      <c r="W546" s="20"/>
      <c r="X546" s="20"/>
      <c r="Y546" s="20"/>
      <c r="Z546" s="20"/>
    </row>
    <row r="547" spans="1:26" ht="17.25" customHeight="1">
      <c r="A547" s="15"/>
      <c r="B547" s="15"/>
      <c r="C547" s="15"/>
      <c r="D547" s="15"/>
      <c r="E547" s="15"/>
      <c r="F547" s="15"/>
      <c r="G547" s="15"/>
      <c r="H547" s="47"/>
      <c r="I547" s="20"/>
      <c r="J547" s="20"/>
      <c r="K547" s="20"/>
      <c r="L547" s="20"/>
      <c r="M547" s="20"/>
      <c r="N547" s="20"/>
      <c r="O547" s="20"/>
      <c r="P547" s="20"/>
      <c r="Q547" s="20"/>
      <c r="R547" s="20"/>
      <c r="S547" s="20"/>
      <c r="T547" s="20"/>
      <c r="U547" s="20"/>
      <c r="V547" s="20"/>
      <c r="W547" s="20"/>
      <c r="X547" s="20"/>
      <c r="Y547" s="20"/>
      <c r="Z547" s="20"/>
    </row>
    <row r="548" spans="1:26" ht="17.25" customHeight="1">
      <c r="A548" s="15"/>
      <c r="B548" s="15"/>
      <c r="C548" s="15"/>
      <c r="D548" s="15"/>
      <c r="E548" s="15"/>
      <c r="F548" s="15"/>
      <c r="G548" s="15"/>
      <c r="H548" s="47"/>
      <c r="I548" s="20"/>
      <c r="J548" s="20"/>
      <c r="K548" s="20"/>
      <c r="L548" s="20"/>
      <c r="M548" s="20"/>
      <c r="N548" s="20"/>
      <c r="O548" s="20"/>
      <c r="P548" s="20"/>
      <c r="Q548" s="20"/>
      <c r="R548" s="20"/>
      <c r="S548" s="20"/>
      <c r="T548" s="20"/>
      <c r="U548" s="20"/>
      <c r="V548" s="20"/>
      <c r="W548" s="20"/>
      <c r="X548" s="20"/>
      <c r="Y548" s="20"/>
      <c r="Z548" s="20"/>
    </row>
    <row r="549" spans="1:26" ht="17.25" customHeight="1">
      <c r="A549" s="15"/>
      <c r="B549" s="15"/>
      <c r="C549" s="15"/>
      <c r="D549" s="15"/>
      <c r="E549" s="15"/>
      <c r="F549" s="15"/>
      <c r="G549" s="15"/>
      <c r="H549" s="47"/>
      <c r="I549" s="20"/>
      <c r="J549" s="20"/>
      <c r="K549" s="20"/>
      <c r="L549" s="20"/>
      <c r="M549" s="20"/>
      <c r="N549" s="20"/>
      <c r="O549" s="20"/>
      <c r="P549" s="20"/>
      <c r="Q549" s="20"/>
      <c r="R549" s="20"/>
      <c r="S549" s="20"/>
      <c r="T549" s="20"/>
      <c r="U549" s="20"/>
      <c r="V549" s="20"/>
      <c r="W549" s="20"/>
      <c r="X549" s="20"/>
      <c r="Y549" s="20"/>
      <c r="Z549" s="20"/>
    </row>
    <row r="550" spans="1:26" ht="17.25" customHeight="1">
      <c r="A550" s="15"/>
      <c r="B550" s="15"/>
      <c r="C550" s="15"/>
      <c r="D550" s="15"/>
      <c r="E550" s="15"/>
      <c r="F550" s="15"/>
      <c r="G550" s="15"/>
      <c r="H550" s="47"/>
      <c r="I550" s="20"/>
      <c r="J550" s="20"/>
      <c r="K550" s="20"/>
      <c r="L550" s="20"/>
      <c r="M550" s="20"/>
      <c r="N550" s="20"/>
      <c r="O550" s="20"/>
      <c r="P550" s="20"/>
      <c r="Q550" s="20"/>
      <c r="R550" s="20"/>
      <c r="S550" s="20"/>
      <c r="T550" s="20"/>
      <c r="U550" s="20"/>
      <c r="V550" s="20"/>
      <c r="W550" s="20"/>
      <c r="X550" s="20"/>
      <c r="Y550" s="20"/>
      <c r="Z550" s="20"/>
    </row>
    <row r="551" spans="1:26" ht="17.25" customHeight="1">
      <c r="A551" s="15"/>
      <c r="B551" s="15"/>
      <c r="C551" s="15"/>
      <c r="D551" s="15"/>
      <c r="E551" s="15"/>
      <c r="F551" s="15"/>
      <c r="G551" s="15"/>
      <c r="H551" s="47"/>
      <c r="I551" s="20"/>
      <c r="J551" s="20"/>
      <c r="K551" s="20"/>
      <c r="L551" s="20"/>
      <c r="M551" s="20"/>
      <c r="N551" s="20"/>
      <c r="O551" s="20"/>
      <c r="P551" s="20"/>
      <c r="Q551" s="20"/>
      <c r="R551" s="20"/>
      <c r="S551" s="20"/>
      <c r="T551" s="20"/>
      <c r="U551" s="20"/>
      <c r="V551" s="20"/>
      <c r="W551" s="20"/>
      <c r="X551" s="20"/>
      <c r="Y551" s="20"/>
      <c r="Z551" s="20"/>
    </row>
    <row r="552" spans="1:26" ht="17.25" customHeight="1">
      <c r="A552" s="15"/>
      <c r="B552" s="15"/>
      <c r="C552" s="15"/>
      <c r="D552" s="15"/>
      <c r="E552" s="15"/>
      <c r="F552" s="15"/>
      <c r="G552" s="15"/>
      <c r="H552" s="47"/>
      <c r="I552" s="20"/>
      <c r="J552" s="20"/>
      <c r="K552" s="20"/>
      <c r="L552" s="20"/>
      <c r="M552" s="20"/>
      <c r="N552" s="20"/>
      <c r="O552" s="20"/>
      <c r="P552" s="20"/>
      <c r="Q552" s="20"/>
      <c r="R552" s="20"/>
      <c r="S552" s="20"/>
      <c r="T552" s="20"/>
      <c r="U552" s="20"/>
      <c r="V552" s="20"/>
      <c r="W552" s="20"/>
      <c r="X552" s="20"/>
      <c r="Y552" s="20"/>
      <c r="Z552" s="20"/>
    </row>
    <row r="553" spans="1:26" ht="17.25" customHeight="1">
      <c r="A553" s="15"/>
      <c r="B553" s="15"/>
      <c r="C553" s="15"/>
      <c r="D553" s="15"/>
      <c r="E553" s="15"/>
      <c r="F553" s="15"/>
      <c r="G553" s="15"/>
      <c r="H553" s="47"/>
      <c r="I553" s="20"/>
      <c r="J553" s="20"/>
      <c r="K553" s="20"/>
      <c r="L553" s="20"/>
      <c r="M553" s="20"/>
      <c r="N553" s="20"/>
      <c r="O553" s="20"/>
      <c r="P553" s="20"/>
      <c r="Q553" s="20"/>
      <c r="R553" s="20"/>
      <c r="S553" s="20"/>
      <c r="T553" s="20"/>
      <c r="U553" s="20"/>
      <c r="V553" s="20"/>
      <c r="W553" s="20"/>
      <c r="X553" s="20"/>
      <c r="Y553" s="20"/>
      <c r="Z553" s="20"/>
    </row>
    <row r="554" spans="1:26" ht="17.25" customHeight="1">
      <c r="A554" s="15"/>
      <c r="B554" s="15"/>
      <c r="C554" s="15"/>
      <c r="D554" s="15"/>
      <c r="E554" s="15"/>
      <c r="F554" s="15"/>
      <c r="G554" s="15"/>
      <c r="H554" s="47"/>
      <c r="I554" s="20"/>
      <c r="J554" s="20"/>
      <c r="K554" s="20"/>
      <c r="L554" s="20"/>
      <c r="M554" s="20"/>
      <c r="N554" s="20"/>
      <c r="O554" s="20"/>
      <c r="P554" s="20"/>
      <c r="Q554" s="20"/>
      <c r="R554" s="20"/>
      <c r="S554" s="20"/>
      <c r="T554" s="20"/>
      <c r="U554" s="20"/>
      <c r="V554" s="20"/>
      <c r="W554" s="20"/>
      <c r="X554" s="20"/>
      <c r="Y554" s="20"/>
      <c r="Z554" s="20"/>
    </row>
    <row r="555" spans="1:26" ht="17.25" customHeight="1">
      <c r="A555" s="15"/>
      <c r="B555" s="15"/>
      <c r="C555" s="15"/>
      <c r="D555" s="15"/>
      <c r="E555" s="15"/>
      <c r="F555" s="15"/>
      <c r="G555" s="15"/>
      <c r="H555" s="47"/>
      <c r="I555" s="20"/>
      <c r="J555" s="20"/>
      <c r="K555" s="20"/>
      <c r="L555" s="20"/>
      <c r="M555" s="20"/>
      <c r="N555" s="20"/>
      <c r="O555" s="20"/>
      <c r="P555" s="20"/>
      <c r="Q555" s="20"/>
      <c r="R555" s="20"/>
      <c r="S555" s="20"/>
      <c r="T555" s="20"/>
      <c r="U555" s="20"/>
      <c r="V555" s="20"/>
      <c r="W555" s="20"/>
      <c r="X555" s="20"/>
      <c r="Y555" s="20"/>
      <c r="Z555" s="20"/>
    </row>
    <row r="556" spans="1:26" ht="17.25" customHeight="1">
      <c r="A556" s="15"/>
      <c r="B556" s="15"/>
      <c r="C556" s="15"/>
      <c r="D556" s="15"/>
      <c r="E556" s="15"/>
      <c r="F556" s="15"/>
      <c r="G556" s="15"/>
      <c r="H556" s="47"/>
      <c r="I556" s="20"/>
      <c r="J556" s="20"/>
      <c r="K556" s="20"/>
      <c r="L556" s="20"/>
      <c r="M556" s="20"/>
      <c r="N556" s="20"/>
      <c r="O556" s="20"/>
      <c r="P556" s="20"/>
      <c r="Q556" s="20"/>
      <c r="R556" s="20"/>
      <c r="S556" s="20"/>
      <c r="T556" s="20"/>
      <c r="U556" s="20"/>
      <c r="V556" s="20"/>
      <c r="W556" s="20"/>
      <c r="X556" s="20"/>
      <c r="Y556" s="20"/>
      <c r="Z556" s="20"/>
    </row>
    <row r="557" spans="1:26" ht="17.25" customHeight="1">
      <c r="A557" s="15"/>
      <c r="B557" s="15"/>
      <c r="C557" s="15"/>
      <c r="D557" s="15"/>
      <c r="E557" s="15"/>
      <c r="F557" s="15"/>
      <c r="G557" s="15"/>
      <c r="H557" s="47"/>
      <c r="I557" s="20"/>
      <c r="J557" s="20"/>
      <c r="K557" s="20"/>
      <c r="L557" s="20"/>
      <c r="M557" s="20"/>
      <c r="N557" s="20"/>
      <c r="O557" s="20"/>
      <c r="P557" s="20"/>
      <c r="Q557" s="20"/>
      <c r="R557" s="20"/>
      <c r="S557" s="20"/>
      <c r="T557" s="20"/>
      <c r="U557" s="20"/>
      <c r="V557" s="20"/>
      <c r="W557" s="20"/>
      <c r="X557" s="20"/>
      <c r="Y557" s="20"/>
      <c r="Z557" s="20"/>
    </row>
    <row r="558" spans="1:26" ht="17.25" customHeight="1">
      <c r="A558" s="15"/>
      <c r="B558" s="15"/>
      <c r="C558" s="15"/>
      <c r="D558" s="15"/>
      <c r="E558" s="15"/>
      <c r="F558" s="15"/>
      <c r="G558" s="15"/>
      <c r="H558" s="47"/>
      <c r="I558" s="20"/>
      <c r="J558" s="20"/>
      <c r="K558" s="20"/>
      <c r="L558" s="20"/>
      <c r="M558" s="20"/>
      <c r="N558" s="20"/>
      <c r="O558" s="20"/>
      <c r="P558" s="20"/>
      <c r="Q558" s="20"/>
      <c r="R558" s="20"/>
      <c r="S558" s="20"/>
      <c r="T558" s="20"/>
      <c r="U558" s="20"/>
      <c r="V558" s="20"/>
      <c r="W558" s="20"/>
      <c r="X558" s="20"/>
      <c r="Y558" s="20"/>
      <c r="Z558" s="20"/>
    </row>
    <row r="559" spans="1:26" ht="17.25" customHeight="1">
      <c r="A559" s="15"/>
      <c r="B559" s="15"/>
      <c r="C559" s="15"/>
      <c r="D559" s="15"/>
      <c r="E559" s="15"/>
      <c r="F559" s="15"/>
      <c r="G559" s="15"/>
      <c r="H559" s="47"/>
      <c r="I559" s="20"/>
      <c r="J559" s="20"/>
      <c r="K559" s="20"/>
      <c r="L559" s="20"/>
      <c r="M559" s="20"/>
      <c r="N559" s="20"/>
      <c r="O559" s="20"/>
      <c r="P559" s="20"/>
      <c r="Q559" s="20"/>
      <c r="R559" s="20"/>
      <c r="S559" s="20"/>
      <c r="T559" s="20"/>
      <c r="U559" s="20"/>
      <c r="V559" s="20"/>
      <c r="W559" s="20"/>
      <c r="X559" s="20"/>
      <c r="Y559" s="20"/>
      <c r="Z559" s="20"/>
    </row>
    <row r="560" spans="1:26" ht="17.25" customHeight="1">
      <c r="A560" s="15"/>
      <c r="B560" s="15"/>
      <c r="C560" s="15"/>
      <c r="D560" s="15"/>
      <c r="E560" s="15"/>
      <c r="F560" s="15"/>
      <c r="G560" s="15"/>
      <c r="H560" s="47"/>
      <c r="I560" s="20"/>
      <c r="J560" s="20"/>
      <c r="K560" s="20"/>
      <c r="L560" s="20"/>
      <c r="M560" s="20"/>
      <c r="N560" s="20"/>
      <c r="O560" s="20"/>
      <c r="P560" s="20"/>
      <c r="Q560" s="20"/>
      <c r="R560" s="20"/>
      <c r="S560" s="20"/>
      <c r="T560" s="20"/>
      <c r="U560" s="20"/>
      <c r="V560" s="20"/>
      <c r="W560" s="20"/>
      <c r="X560" s="20"/>
      <c r="Y560" s="20"/>
      <c r="Z560" s="20"/>
    </row>
    <row r="561" spans="1:26" ht="17.25" customHeight="1">
      <c r="A561" s="15"/>
      <c r="B561" s="15"/>
      <c r="C561" s="15"/>
      <c r="D561" s="15"/>
      <c r="E561" s="15"/>
      <c r="F561" s="15"/>
      <c r="G561" s="15"/>
      <c r="H561" s="47"/>
      <c r="I561" s="20"/>
      <c r="J561" s="20"/>
      <c r="K561" s="20"/>
      <c r="L561" s="20"/>
      <c r="M561" s="20"/>
      <c r="N561" s="20"/>
      <c r="O561" s="20"/>
      <c r="P561" s="20"/>
      <c r="Q561" s="20"/>
      <c r="R561" s="20"/>
      <c r="S561" s="20"/>
      <c r="T561" s="20"/>
      <c r="U561" s="20"/>
      <c r="V561" s="20"/>
      <c r="W561" s="20"/>
      <c r="X561" s="20"/>
      <c r="Y561" s="20"/>
      <c r="Z561" s="20"/>
    </row>
    <row r="562" spans="1:26" ht="17.25" customHeight="1">
      <c r="A562" s="15"/>
      <c r="B562" s="15"/>
      <c r="C562" s="15"/>
      <c r="D562" s="15"/>
      <c r="E562" s="15"/>
      <c r="F562" s="15"/>
      <c r="G562" s="15"/>
      <c r="H562" s="47"/>
      <c r="I562" s="20"/>
      <c r="J562" s="20"/>
      <c r="K562" s="20"/>
      <c r="L562" s="20"/>
      <c r="M562" s="20"/>
      <c r="N562" s="20"/>
      <c r="O562" s="20"/>
      <c r="P562" s="20"/>
      <c r="Q562" s="20"/>
      <c r="R562" s="20"/>
      <c r="S562" s="20"/>
      <c r="T562" s="20"/>
      <c r="U562" s="20"/>
      <c r="V562" s="20"/>
      <c r="W562" s="20"/>
      <c r="X562" s="20"/>
      <c r="Y562" s="20"/>
      <c r="Z562" s="20"/>
    </row>
    <row r="563" spans="1:26" ht="17.25" customHeight="1">
      <c r="A563" s="15"/>
      <c r="B563" s="15"/>
      <c r="C563" s="15"/>
      <c r="D563" s="15"/>
      <c r="E563" s="15"/>
      <c r="F563" s="15"/>
      <c r="G563" s="15"/>
      <c r="H563" s="47"/>
      <c r="I563" s="20"/>
      <c r="J563" s="20"/>
      <c r="K563" s="20"/>
      <c r="L563" s="20"/>
      <c r="M563" s="20"/>
      <c r="N563" s="20"/>
      <c r="O563" s="20"/>
      <c r="P563" s="20"/>
      <c r="Q563" s="20"/>
      <c r="R563" s="20"/>
      <c r="S563" s="20"/>
      <c r="T563" s="20"/>
      <c r="U563" s="20"/>
      <c r="V563" s="20"/>
      <c r="W563" s="20"/>
      <c r="X563" s="20"/>
      <c r="Y563" s="20"/>
      <c r="Z563" s="20"/>
    </row>
    <row r="564" spans="1:26" ht="17.25" customHeight="1">
      <c r="A564" s="15"/>
      <c r="B564" s="15"/>
      <c r="C564" s="15"/>
      <c r="D564" s="15"/>
      <c r="E564" s="15"/>
      <c r="F564" s="15"/>
      <c r="G564" s="15"/>
      <c r="H564" s="47"/>
      <c r="I564" s="20"/>
      <c r="J564" s="20"/>
      <c r="K564" s="20"/>
      <c r="L564" s="20"/>
      <c r="M564" s="20"/>
      <c r="N564" s="20"/>
      <c r="O564" s="20"/>
      <c r="P564" s="20"/>
      <c r="Q564" s="20"/>
      <c r="R564" s="20"/>
      <c r="S564" s="20"/>
      <c r="T564" s="20"/>
      <c r="U564" s="20"/>
      <c r="V564" s="20"/>
      <c r="W564" s="20"/>
      <c r="X564" s="20"/>
      <c r="Y564" s="20"/>
      <c r="Z564" s="20"/>
    </row>
    <row r="565" spans="1:26" ht="17.25" customHeight="1">
      <c r="A565" s="15"/>
      <c r="B565" s="15"/>
      <c r="C565" s="15"/>
      <c r="D565" s="15"/>
      <c r="E565" s="15"/>
      <c r="F565" s="15"/>
      <c r="G565" s="15"/>
      <c r="H565" s="47"/>
      <c r="I565" s="20"/>
      <c r="J565" s="20"/>
      <c r="K565" s="20"/>
      <c r="L565" s="20"/>
      <c r="M565" s="20"/>
      <c r="N565" s="20"/>
      <c r="O565" s="20"/>
      <c r="P565" s="20"/>
      <c r="Q565" s="20"/>
      <c r="R565" s="20"/>
      <c r="S565" s="20"/>
      <c r="T565" s="20"/>
      <c r="U565" s="20"/>
      <c r="V565" s="20"/>
      <c r="W565" s="20"/>
      <c r="X565" s="20"/>
      <c r="Y565" s="20"/>
      <c r="Z565" s="20"/>
    </row>
    <row r="566" spans="1:26" ht="17.25" customHeight="1">
      <c r="A566" s="15"/>
      <c r="B566" s="15"/>
      <c r="C566" s="15"/>
      <c r="D566" s="15"/>
      <c r="E566" s="15"/>
      <c r="F566" s="15"/>
      <c r="G566" s="15"/>
      <c r="H566" s="47"/>
      <c r="I566" s="20"/>
      <c r="J566" s="20"/>
      <c r="K566" s="20"/>
      <c r="L566" s="20"/>
      <c r="M566" s="20"/>
      <c r="N566" s="20"/>
      <c r="O566" s="20"/>
      <c r="P566" s="20"/>
      <c r="Q566" s="20"/>
      <c r="R566" s="20"/>
      <c r="S566" s="20"/>
      <c r="T566" s="20"/>
      <c r="U566" s="20"/>
      <c r="V566" s="20"/>
      <c r="W566" s="20"/>
      <c r="X566" s="20"/>
      <c r="Y566" s="20"/>
      <c r="Z566" s="20"/>
    </row>
    <row r="567" spans="1:26" ht="17.25" customHeight="1">
      <c r="A567" s="15"/>
      <c r="B567" s="15"/>
      <c r="C567" s="15"/>
      <c r="D567" s="15"/>
      <c r="E567" s="15"/>
      <c r="F567" s="15"/>
      <c r="G567" s="15"/>
      <c r="H567" s="47"/>
      <c r="I567" s="20"/>
      <c r="J567" s="20"/>
      <c r="K567" s="20"/>
      <c r="L567" s="20"/>
      <c r="M567" s="20"/>
      <c r="N567" s="20"/>
      <c r="O567" s="20"/>
      <c r="P567" s="20"/>
      <c r="Q567" s="20"/>
      <c r="R567" s="20"/>
      <c r="S567" s="20"/>
      <c r="T567" s="20"/>
      <c r="U567" s="20"/>
      <c r="V567" s="20"/>
      <c r="W567" s="20"/>
      <c r="X567" s="20"/>
      <c r="Y567" s="20"/>
      <c r="Z567" s="20"/>
    </row>
    <row r="568" spans="1:26" ht="17.25" customHeight="1">
      <c r="A568" s="15"/>
      <c r="B568" s="15"/>
      <c r="C568" s="15"/>
      <c r="D568" s="15"/>
      <c r="E568" s="15"/>
      <c r="F568" s="15"/>
      <c r="G568" s="15"/>
      <c r="H568" s="47"/>
      <c r="I568" s="20"/>
      <c r="J568" s="20"/>
      <c r="K568" s="20"/>
      <c r="L568" s="20"/>
      <c r="M568" s="20"/>
      <c r="N568" s="20"/>
      <c r="O568" s="20"/>
      <c r="P568" s="20"/>
      <c r="Q568" s="20"/>
      <c r="R568" s="20"/>
      <c r="S568" s="20"/>
      <c r="T568" s="20"/>
      <c r="U568" s="20"/>
      <c r="V568" s="20"/>
      <c r="W568" s="20"/>
      <c r="X568" s="20"/>
      <c r="Y568" s="20"/>
      <c r="Z568" s="20"/>
    </row>
    <row r="569" spans="1:26" ht="17.25" customHeight="1">
      <c r="A569" s="15"/>
      <c r="B569" s="15"/>
      <c r="C569" s="15"/>
      <c r="D569" s="15"/>
      <c r="E569" s="15"/>
      <c r="F569" s="15"/>
      <c r="G569" s="15"/>
      <c r="H569" s="47"/>
      <c r="I569" s="20"/>
      <c r="J569" s="20"/>
      <c r="K569" s="20"/>
      <c r="L569" s="20"/>
      <c r="M569" s="20"/>
      <c r="N569" s="20"/>
      <c r="O569" s="20"/>
      <c r="P569" s="20"/>
      <c r="Q569" s="20"/>
      <c r="R569" s="20"/>
      <c r="S569" s="20"/>
      <c r="T569" s="20"/>
      <c r="U569" s="20"/>
      <c r="V569" s="20"/>
      <c r="W569" s="20"/>
      <c r="X569" s="20"/>
      <c r="Y569" s="20"/>
      <c r="Z569" s="20"/>
    </row>
    <row r="570" spans="1:26" ht="17.25" customHeight="1">
      <c r="A570" s="15"/>
      <c r="B570" s="15"/>
      <c r="C570" s="15"/>
      <c r="D570" s="15"/>
      <c r="E570" s="15"/>
      <c r="F570" s="15"/>
      <c r="G570" s="15"/>
      <c r="H570" s="47"/>
      <c r="I570" s="20"/>
      <c r="J570" s="20"/>
      <c r="K570" s="20"/>
      <c r="L570" s="20"/>
      <c r="M570" s="20"/>
      <c r="N570" s="20"/>
      <c r="O570" s="20"/>
      <c r="P570" s="20"/>
      <c r="Q570" s="20"/>
      <c r="R570" s="20"/>
      <c r="S570" s="20"/>
      <c r="T570" s="20"/>
      <c r="U570" s="20"/>
      <c r="V570" s="20"/>
      <c r="W570" s="20"/>
      <c r="X570" s="20"/>
      <c r="Y570" s="20"/>
      <c r="Z570" s="20"/>
    </row>
    <row r="571" spans="1:26" ht="17.25" customHeight="1">
      <c r="A571" s="15"/>
      <c r="B571" s="15"/>
      <c r="C571" s="15"/>
      <c r="D571" s="15"/>
      <c r="E571" s="15"/>
      <c r="F571" s="15"/>
      <c r="G571" s="15"/>
      <c r="H571" s="47"/>
      <c r="I571" s="20"/>
      <c r="J571" s="20"/>
      <c r="K571" s="20"/>
      <c r="L571" s="20"/>
      <c r="M571" s="20"/>
      <c r="N571" s="20"/>
      <c r="O571" s="20"/>
      <c r="P571" s="20"/>
      <c r="Q571" s="20"/>
      <c r="R571" s="20"/>
      <c r="S571" s="20"/>
      <c r="T571" s="20"/>
      <c r="U571" s="20"/>
      <c r="V571" s="20"/>
      <c r="W571" s="20"/>
      <c r="X571" s="20"/>
      <c r="Y571" s="20"/>
      <c r="Z571" s="20"/>
    </row>
    <row r="572" spans="1:26" ht="17.25" customHeight="1">
      <c r="A572" s="15"/>
      <c r="B572" s="15"/>
      <c r="C572" s="15"/>
      <c r="D572" s="15"/>
      <c r="E572" s="15"/>
      <c r="F572" s="15"/>
      <c r="G572" s="15"/>
      <c r="H572" s="47"/>
      <c r="I572" s="20"/>
      <c r="J572" s="20"/>
      <c r="K572" s="20"/>
      <c r="L572" s="20"/>
      <c r="M572" s="20"/>
      <c r="N572" s="20"/>
      <c r="O572" s="20"/>
      <c r="P572" s="20"/>
      <c r="Q572" s="20"/>
      <c r="R572" s="20"/>
      <c r="S572" s="20"/>
      <c r="T572" s="20"/>
      <c r="U572" s="20"/>
      <c r="V572" s="20"/>
      <c r="W572" s="20"/>
      <c r="X572" s="20"/>
      <c r="Y572" s="20"/>
      <c r="Z572" s="20"/>
    </row>
    <row r="573" spans="1:26" ht="17.25" customHeight="1">
      <c r="A573" s="15"/>
      <c r="B573" s="15"/>
      <c r="C573" s="15"/>
      <c r="D573" s="15"/>
      <c r="E573" s="15"/>
      <c r="F573" s="15"/>
      <c r="G573" s="15"/>
      <c r="H573" s="47"/>
      <c r="I573" s="20"/>
      <c r="J573" s="20"/>
      <c r="K573" s="20"/>
      <c r="L573" s="20"/>
      <c r="M573" s="20"/>
      <c r="N573" s="20"/>
      <c r="O573" s="20"/>
      <c r="P573" s="20"/>
      <c r="Q573" s="20"/>
      <c r="R573" s="20"/>
      <c r="S573" s="20"/>
      <c r="T573" s="20"/>
      <c r="U573" s="20"/>
      <c r="V573" s="20"/>
      <c r="W573" s="20"/>
      <c r="X573" s="20"/>
      <c r="Y573" s="20"/>
      <c r="Z573" s="20"/>
    </row>
    <row r="574" spans="1:26" ht="17.25" customHeight="1">
      <c r="A574" s="15"/>
      <c r="B574" s="15"/>
      <c r="C574" s="15"/>
      <c r="D574" s="15"/>
      <c r="E574" s="15"/>
      <c r="F574" s="15"/>
      <c r="G574" s="15"/>
      <c r="H574" s="47"/>
      <c r="I574" s="20"/>
      <c r="J574" s="20"/>
      <c r="K574" s="20"/>
      <c r="L574" s="20"/>
      <c r="M574" s="20"/>
      <c r="N574" s="20"/>
      <c r="O574" s="20"/>
      <c r="P574" s="20"/>
      <c r="Q574" s="20"/>
      <c r="R574" s="20"/>
      <c r="S574" s="20"/>
      <c r="T574" s="20"/>
      <c r="U574" s="20"/>
      <c r="V574" s="20"/>
      <c r="W574" s="20"/>
      <c r="X574" s="20"/>
      <c r="Y574" s="20"/>
      <c r="Z574" s="20"/>
    </row>
    <row r="575" spans="1:26" ht="17.25" customHeight="1">
      <c r="A575" s="15"/>
      <c r="B575" s="15"/>
      <c r="C575" s="15"/>
      <c r="D575" s="15"/>
      <c r="E575" s="15"/>
      <c r="F575" s="15"/>
      <c r="G575" s="15"/>
      <c r="H575" s="47"/>
      <c r="I575" s="20"/>
      <c r="J575" s="20"/>
      <c r="K575" s="20"/>
      <c r="L575" s="20"/>
      <c r="M575" s="20"/>
      <c r="N575" s="20"/>
      <c r="O575" s="20"/>
      <c r="P575" s="20"/>
      <c r="Q575" s="20"/>
      <c r="R575" s="20"/>
      <c r="S575" s="20"/>
      <c r="T575" s="20"/>
      <c r="U575" s="20"/>
      <c r="V575" s="20"/>
      <c r="W575" s="20"/>
      <c r="X575" s="20"/>
      <c r="Y575" s="20"/>
      <c r="Z575" s="20"/>
    </row>
    <row r="576" spans="1:26" ht="17.25" customHeight="1">
      <c r="A576" s="15"/>
      <c r="B576" s="15"/>
      <c r="C576" s="15"/>
      <c r="D576" s="15"/>
      <c r="E576" s="15"/>
      <c r="F576" s="15"/>
      <c r="G576" s="15"/>
      <c r="H576" s="47"/>
      <c r="I576" s="20"/>
      <c r="J576" s="20"/>
      <c r="K576" s="20"/>
      <c r="L576" s="20"/>
      <c r="M576" s="20"/>
      <c r="N576" s="20"/>
      <c r="O576" s="20"/>
      <c r="P576" s="20"/>
      <c r="Q576" s="20"/>
      <c r="R576" s="20"/>
      <c r="S576" s="20"/>
      <c r="T576" s="20"/>
      <c r="U576" s="20"/>
      <c r="V576" s="20"/>
      <c r="W576" s="20"/>
      <c r="X576" s="20"/>
      <c r="Y576" s="20"/>
      <c r="Z576" s="20"/>
    </row>
    <row r="577" spans="1:26" ht="17.25" customHeight="1">
      <c r="A577" s="15"/>
      <c r="B577" s="15"/>
      <c r="C577" s="15"/>
      <c r="D577" s="15"/>
      <c r="E577" s="15"/>
      <c r="F577" s="15"/>
      <c r="G577" s="15"/>
      <c r="H577" s="47"/>
      <c r="I577" s="20"/>
      <c r="J577" s="20"/>
      <c r="K577" s="20"/>
      <c r="L577" s="20"/>
      <c r="M577" s="20"/>
      <c r="N577" s="20"/>
      <c r="O577" s="20"/>
      <c r="P577" s="20"/>
      <c r="Q577" s="20"/>
      <c r="R577" s="20"/>
      <c r="S577" s="20"/>
      <c r="T577" s="20"/>
      <c r="U577" s="20"/>
      <c r="V577" s="20"/>
      <c r="W577" s="20"/>
      <c r="X577" s="20"/>
      <c r="Y577" s="20"/>
      <c r="Z577" s="20"/>
    </row>
    <row r="578" spans="1:26" ht="17.25" customHeight="1">
      <c r="A578" s="15"/>
      <c r="B578" s="15"/>
      <c r="C578" s="15"/>
      <c r="D578" s="15"/>
      <c r="E578" s="15"/>
      <c r="F578" s="15"/>
      <c r="G578" s="15"/>
      <c r="H578" s="47"/>
      <c r="I578" s="20"/>
      <c r="J578" s="20"/>
      <c r="K578" s="20"/>
      <c r="L578" s="20"/>
      <c r="M578" s="20"/>
      <c r="N578" s="20"/>
      <c r="O578" s="20"/>
      <c r="P578" s="20"/>
      <c r="Q578" s="20"/>
      <c r="R578" s="20"/>
      <c r="S578" s="20"/>
      <c r="T578" s="20"/>
      <c r="U578" s="20"/>
      <c r="V578" s="20"/>
      <c r="W578" s="20"/>
      <c r="X578" s="20"/>
      <c r="Y578" s="20"/>
      <c r="Z578" s="20"/>
    </row>
    <row r="579" spans="1:26" ht="17.25" customHeight="1">
      <c r="A579" s="15"/>
      <c r="B579" s="15"/>
      <c r="C579" s="15"/>
      <c r="D579" s="15"/>
      <c r="E579" s="15"/>
      <c r="F579" s="15"/>
      <c r="G579" s="15"/>
      <c r="H579" s="47"/>
      <c r="I579" s="20"/>
      <c r="J579" s="20"/>
      <c r="K579" s="20"/>
      <c r="L579" s="20"/>
      <c r="M579" s="20"/>
      <c r="N579" s="20"/>
      <c r="O579" s="20"/>
      <c r="P579" s="20"/>
      <c r="Q579" s="20"/>
      <c r="R579" s="20"/>
      <c r="S579" s="20"/>
      <c r="T579" s="20"/>
      <c r="U579" s="20"/>
      <c r="V579" s="20"/>
      <c r="W579" s="20"/>
      <c r="X579" s="20"/>
      <c r="Y579" s="20"/>
      <c r="Z579" s="20"/>
    </row>
    <row r="580" spans="1:26" ht="17.25" customHeight="1">
      <c r="A580" s="15"/>
      <c r="B580" s="15"/>
      <c r="C580" s="15"/>
      <c r="D580" s="15"/>
      <c r="E580" s="15"/>
      <c r="F580" s="15"/>
      <c r="G580" s="15"/>
      <c r="H580" s="47"/>
      <c r="I580" s="20"/>
      <c r="J580" s="20"/>
      <c r="K580" s="20"/>
      <c r="L580" s="20"/>
      <c r="M580" s="20"/>
      <c r="N580" s="20"/>
      <c r="O580" s="20"/>
      <c r="P580" s="20"/>
      <c r="Q580" s="20"/>
      <c r="R580" s="20"/>
      <c r="S580" s="20"/>
      <c r="T580" s="20"/>
      <c r="U580" s="20"/>
      <c r="V580" s="20"/>
      <c r="W580" s="20"/>
      <c r="X580" s="20"/>
      <c r="Y580" s="20"/>
      <c r="Z580" s="20"/>
    </row>
    <row r="581" spans="1:26" ht="17.25" customHeight="1">
      <c r="A581" s="15"/>
      <c r="B581" s="15"/>
      <c r="C581" s="15"/>
      <c r="D581" s="15"/>
      <c r="E581" s="15"/>
      <c r="F581" s="15"/>
      <c r="G581" s="15"/>
      <c r="H581" s="47"/>
      <c r="I581" s="20"/>
      <c r="J581" s="20"/>
      <c r="K581" s="20"/>
      <c r="L581" s="20"/>
      <c r="M581" s="20"/>
      <c r="N581" s="20"/>
      <c r="O581" s="20"/>
      <c r="P581" s="20"/>
      <c r="Q581" s="20"/>
      <c r="R581" s="20"/>
      <c r="S581" s="20"/>
      <c r="T581" s="20"/>
      <c r="U581" s="20"/>
      <c r="V581" s="20"/>
      <c r="W581" s="20"/>
      <c r="X581" s="20"/>
      <c r="Y581" s="20"/>
      <c r="Z581" s="20"/>
    </row>
    <row r="582" spans="1:26" ht="17.25" customHeight="1">
      <c r="A582" s="15"/>
      <c r="B582" s="15"/>
      <c r="C582" s="15"/>
      <c r="D582" s="15"/>
      <c r="E582" s="15"/>
      <c r="F582" s="15"/>
      <c r="G582" s="15"/>
      <c r="H582" s="47"/>
      <c r="I582" s="20"/>
      <c r="J582" s="20"/>
      <c r="K582" s="20"/>
      <c r="L582" s="20"/>
      <c r="M582" s="20"/>
      <c r="N582" s="20"/>
      <c r="O582" s="20"/>
      <c r="P582" s="20"/>
      <c r="Q582" s="20"/>
      <c r="R582" s="20"/>
      <c r="S582" s="20"/>
      <c r="T582" s="20"/>
      <c r="U582" s="20"/>
      <c r="V582" s="20"/>
      <c r="W582" s="20"/>
      <c r="X582" s="20"/>
      <c r="Y582" s="20"/>
      <c r="Z582" s="20"/>
    </row>
    <row r="583" spans="1:26" ht="17.25" customHeight="1">
      <c r="A583" s="15"/>
      <c r="B583" s="15"/>
      <c r="C583" s="15"/>
      <c r="D583" s="15"/>
      <c r="E583" s="15"/>
      <c r="F583" s="15"/>
      <c r="G583" s="15"/>
      <c r="H583" s="47"/>
      <c r="I583" s="20"/>
      <c r="J583" s="20"/>
      <c r="K583" s="20"/>
      <c r="L583" s="20"/>
      <c r="M583" s="20"/>
      <c r="N583" s="20"/>
      <c r="O583" s="20"/>
      <c r="P583" s="20"/>
      <c r="Q583" s="20"/>
      <c r="R583" s="20"/>
      <c r="S583" s="20"/>
      <c r="T583" s="20"/>
      <c r="U583" s="20"/>
      <c r="V583" s="20"/>
      <c r="W583" s="20"/>
      <c r="X583" s="20"/>
      <c r="Y583" s="20"/>
      <c r="Z583" s="20"/>
    </row>
    <row r="584" spans="1:26" ht="17.25" customHeight="1">
      <c r="A584" s="15"/>
      <c r="B584" s="15"/>
      <c r="C584" s="15"/>
      <c r="D584" s="15"/>
      <c r="E584" s="15"/>
      <c r="F584" s="15"/>
      <c r="G584" s="15"/>
      <c r="H584" s="47"/>
      <c r="I584" s="20"/>
      <c r="J584" s="20"/>
      <c r="K584" s="20"/>
      <c r="L584" s="20"/>
      <c r="M584" s="20"/>
      <c r="N584" s="20"/>
      <c r="O584" s="20"/>
      <c r="P584" s="20"/>
      <c r="Q584" s="20"/>
      <c r="R584" s="20"/>
      <c r="S584" s="20"/>
      <c r="T584" s="20"/>
      <c r="U584" s="20"/>
      <c r="V584" s="20"/>
      <c r="W584" s="20"/>
      <c r="X584" s="20"/>
      <c r="Y584" s="20"/>
      <c r="Z584" s="20"/>
    </row>
    <row r="585" spans="1:26" ht="17.25" customHeight="1">
      <c r="A585" s="15"/>
      <c r="B585" s="15"/>
      <c r="C585" s="15"/>
      <c r="D585" s="15"/>
      <c r="E585" s="15"/>
      <c r="F585" s="15"/>
      <c r="G585" s="15"/>
      <c r="H585" s="47"/>
      <c r="I585" s="20"/>
      <c r="J585" s="20"/>
      <c r="K585" s="20"/>
      <c r="L585" s="20"/>
      <c r="M585" s="20"/>
      <c r="N585" s="20"/>
      <c r="O585" s="20"/>
      <c r="P585" s="20"/>
      <c r="Q585" s="20"/>
      <c r="R585" s="20"/>
      <c r="S585" s="20"/>
      <c r="T585" s="20"/>
      <c r="U585" s="20"/>
      <c r="V585" s="20"/>
      <c r="W585" s="20"/>
      <c r="X585" s="20"/>
      <c r="Y585" s="20"/>
      <c r="Z585" s="20"/>
    </row>
    <row r="586" spans="1:26" ht="17.25" customHeight="1">
      <c r="A586" s="15"/>
      <c r="B586" s="15"/>
      <c r="C586" s="15"/>
      <c r="D586" s="15"/>
      <c r="E586" s="15"/>
      <c r="F586" s="15"/>
      <c r="G586" s="15"/>
      <c r="H586" s="47"/>
      <c r="I586" s="20"/>
      <c r="J586" s="20"/>
      <c r="K586" s="20"/>
      <c r="L586" s="20"/>
      <c r="M586" s="20"/>
      <c r="N586" s="20"/>
      <c r="O586" s="20"/>
      <c r="P586" s="20"/>
      <c r="Q586" s="20"/>
      <c r="R586" s="20"/>
      <c r="S586" s="20"/>
      <c r="T586" s="20"/>
      <c r="U586" s="20"/>
      <c r="V586" s="20"/>
      <c r="W586" s="20"/>
      <c r="X586" s="20"/>
      <c r="Y586" s="20"/>
      <c r="Z586" s="20"/>
    </row>
    <row r="587" spans="1:26" ht="17.25" customHeight="1">
      <c r="A587" s="15"/>
      <c r="B587" s="15"/>
      <c r="C587" s="15"/>
      <c r="D587" s="15"/>
      <c r="E587" s="15"/>
      <c r="F587" s="15"/>
      <c r="G587" s="15"/>
      <c r="H587" s="47"/>
      <c r="I587" s="20"/>
      <c r="J587" s="20"/>
      <c r="K587" s="20"/>
      <c r="L587" s="20"/>
      <c r="M587" s="20"/>
      <c r="N587" s="20"/>
      <c r="O587" s="20"/>
      <c r="P587" s="20"/>
      <c r="Q587" s="20"/>
      <c r="R587" s="20"/>
      <c r="S587" s="20"/>
      <c r="T587" s="20"/>
      <c r="U587" s="20"/>
      <c r="V587" s="20"/>
      <c r="W587" s="20"/>
      <c r="X587" s="20"/>
      <c r="Y587" s="20"/>
      <c r="Z587" s="20"/>
    </row>
    <row r="588" spans="1:26" ht="17.25" customHeight="1">
      <c r="A588" s="15"/>
      <c r="B588" s="15"/>
      <c r="C588" s="15"/>
      <c r="D588" s="15"/>
      <c r="E588" s="15"/>
      <c r="F588" s="15"/>
      <c r="G588" s="15"/>
      <c r="H588" s="47"/>
      <c r="I588" s="20"/>
      <c r="J588" s="20"/>
      <c r="K588" s="20"/>
      <c r="L588" s="20"/>
      <c r="M588" s="20"/>
      <c r="N588" s="20"/>
      <c r="O588" s="20"/>
      <c r="P588" s="20"/>
      <c r="Q588" s="20"/>
      <c r="R588" s="20"/>
      <c r="S588" s="20"/>
      <c r="T588" s="20"/>
      <c r="U588" s="20"/>
      <c r="V588" s="20"/>
      <c r="W588" s="20"/>
      <c r="X588" s="20"/>
      <c r="Y588" s="20"/>
      <c r="Z588" s="20"/>
    </row>
    <row r="589" spans="1:26" ht="17.25" customHeight="1">
      <c r="A589" s="15"/>
      <c r="B589" s="15"/>
      <c r="C589" s="15"/>
      <c r="D589" s="15"/>
      <c r="E589" s="15"/>
      <c r="F589" s="15"/>
      <c r="G589" s="15"/>
      <c r="H589" s="47"/>
      <c r="I589" s="20"/>
      <c r="J589" s="20"/>
      <c r="K589" s="20"/>
      <c r="L589" s="20"/>
      <c r="M589" s="20"/>
      <c r="N589" s="20"/>
      <c r="O589" s="20"/>
      <c r="P589" s="20"/>
      <c r="Q589" s="20"/>
      <c r="R589" s="20"/>
      <c r="S589" s="20"/>
      <c r="T589" s="20"/>
      <c r="U589" s="20"/>
      <c r="V589" s="20"/>
      <c r="W589" s="20"/>
      <c r="X589" s="20"/>
      <c r="Y589" s="20"/>
      <c r="Z589" s="20"/>
    </row>
    <row r="590" spans="1:26" ht="17.25" customHeight="1">
      <c r="A590" s="15"/>
      <c r="B590" s="15"/>
      <c r="C590" s="15"/>
      <c r="D590" s="15"/>
      <c r="E590" s="15"/>
      <c r="F590" s="15"/>
      <c r="G590" s="15"/>
      <c r="H590" s="47"/>
      <c r="I590" s="20"/>
      <c r="J590" s="20"/>
      <c r="K590" s="20"/>
      <c r="L590" s="20"/>
      <c r="M590" s="20"/>
      <c r="N590" s="20"/>
      <c r="O590" s="20"/>
      <c r="P590" s="20"/>
      <c r="Q590" s="20"/>
      <c r="R590" s="20"/>
      <c r="S590" s="20"/>
      <c r="T590" s="20"/>
      <c r="U590" s="20"/>
      <c r="V590" s="20"/>
      <c r="W590" s="20"/>
      <c r="X590" s="20"/>
      <c r="Y590" s="20"/>
      <c r="Z590" s="20"/>
    </row>
    <row r="591" spans="1:26" ht="17.25" customHeight="1">
      <c r="A591" s="15"/>
      <c r="B591" s="15"/>
      <c r="C591" s="15"/>
      <c r="D591" s="15"/>
      <c r="E591" s="15"/>
      <c r="F591" s="15"/>
      <c r="G591" s="15"/>
      <c r="H591" s="47"/>
      <c r="I591" s="20"/>
      <c r="J591" s="20"/>
      <c r="K591" s="20"/>
      <c r="L591" s="20"/>
      <c r="M591" s="20"/>
      <c r="N591" s="20"/>
      <c r="O591" s="20"/>
      <c r="P591" s="20"/>
      <c r="Q591" s="20"/>
      <c r="R591" s="20"/>
      <c r="S591" s="20"/>
      <c r="T591" s="20"/>
      <c r="U591" s="20"/>
      <c r="V591" s="20"/>
      <c r="W591" s="20"/>
      <c r="X591" s="20"/>
      <c r="Y591" s="20"/>
      <c r="Z591" s="20"/>
    </row>
    <row r="592" spans="1:26" ht="17.25" customHeight="1">
      <c r="A592" s="15"/>
      <c r="B592" s="15"/>
      <c r="C592" s="15"/>
      <c r="D592" s="15"/>
      <c r="E592" s="15"/>
      <c r="F592" s="15"/>
      <c r="G592" s="15"/>
      <c r="H592" s="47"/>
      <c r="I592" s="20"/>
      <c r="J592" s="20"/>
      <c r="K592" s="20"/>
      <c r="L592" s="20"/>
      <c r="M592" s="20"/>
      <c r="N592" s="20"/>
      <c r="O592" s="20"/>
      <c r="P592" s="20"/>
      <c r="Q592" s="20"/>
      <c r="R592" s="20"/>
      <c r="S592" s="20"/>
      <c r="T592" s="20"/>
      <c r="U592" s="20"/>
      <c r="V592" s="20"/>
      <c r="W592" s="20"/>
      <c r="X592" s="20"/>
      <c r="Y592" s="20"/>
      <c r="Z592" s="20"/>
    </row>
    <row r="593" spans="1:26" ht="17.25" customHeight="1">
      <c r="A593" s="15"/>
      <c r="B593" s="15"/>
      <c r="C593" s="15"/>
      <c r="D593" s="15"/>
      <c r="E593" s="15"/>
      <c r="F593" s="15"/>
      <c r="G593" s="15"/>
      <c r="H593" s="47"/>
      <c r="I593" s="20"/>
      <c r="J593" s="20"/>
      <c r="K593" s="20"/>
      <c r="L593" s="20"/>
      <c r="M593" s="20"/>
      <c r="N593" s="20"/>
      <c r="O593" s="20"/>
      <c r="P593" s="20"/>
      <c r="Q593" s="20"/>
      <c r="R593" s="20"/>
      <c r="S593" s="20"/>
      <c r="T593" s="20"/>
      <c r="U593" s="20"/>
      <c r="V593" s="20"/>
      <c r="W593" s="20"/>
      <c r="X593" s="20"/>
      <c r="Y593" s="20"/>
      <c r="Z593" s="20"/>
    </row>
    <row r="594" spans="1:26" ht="17.25" customHeight="1">
      <c r="A594" s="15"/>
      <c r="B594" s="15"/>
      <c r="C594" s="15"/>
      <c r="D594" s="15"/>
      <c r="E594" s="15"/>
      <c r="F594" s="15"/>
      <c r="G594" s="15"/>
      <c r="H594" s="47"/>
      <c r="I594" s="20"/>
      <c r="J594" s="20"/>
      <c r="K594" s="20"/>
      <c r="L594" s="20"/>
      <c r="M594" s="20"/>
      <c r="N594" s="20"/>
      <c r="O594" s="20"/>
      <c r="P594" s="20"/>
      <c r="Q594" s="20"/>
      <c r="R594" s="20"/>
      <c r="S594" s="20"/>
      <c r="T594" s="20"/>
      <c r="U594" s="20"/>
      <c r="V594" s="20"/>
      <c r="W594" s="20"/>
      <c r="X594" s="20"/>
      <c r="Y594" s="20"/>
      <c r="Z594" s="20"/>
    </row>
    <row r="595" spans="1:26" ht="17.25" customHeight="1">
      <c r="A595" s="15"/>
      <c r="B595" s="15"/>
      <c r="C595" s="15"/>
      <c r="D595" s="15"/>
      <c r="E595" s="15"/>
      <c r="F595" s="15"/>
      <c r="G595" s="15"/>
      <c r="H595" s="47"/>
      <c r="I595" s="20"/>
      <c r="J595" s="20"/>
      <c r="K595" s="20"/>
      <c r="L595" s="20"/>
      <c r="M595" s="20"/>
      <c r="N595" s="20"/>
      <c r="O595" s="20"/>
      <c r="P595" s="20"/>
      <c r="Q595" s="20"/>
      <c r="R595" s="20"/>
      <c r="S595" s="20"/>
      <c r="T595" s="20"/>
      <c r="U595" s="20"/>
      <c r="V595" s="20"/>
      <c r="W595" s="20"/>
      <c r="X595" s="20"/>
      <c r="Y595" s="20"/>
      <c r="Z595" s="20"/>
    </row>
    <row r="596" spans="1:26" ht="17.25" customHeight="1">
      <c r="A596" s="15"/>
      <c r="B596" s="15"/>
      <c r="C596" s="15"/>
      <c r="D596" s="15"/>
      <c r="E596" s="15"/>
      <c r="F596" s="15"/>
      <c r="G596" s="15"/>
      <c r="H596" s="47"/>
      <c r="I596" s="20"/>
      <c r="J596" s="20"/>
      <c r="K596" s="20"/>
      <c r="L596" s="20"/>
      <c r="M596" s="20"/>
      <c r="N596" s="20"/>
      <c r="O596" s="20"/>
      <c r="P596" s="20"/>
      <c r="Q596" s="20"/>
      <c r="R596" s="20"/>
      <c r="S596" s="20"/>
      <c r="T596" s="20"/>
      <c r="U596" s="20"/>
      <c r="V596" s="20"/>
      <c r="W596" s="20"/>
      <c r="X596" s="20"/>
      <c r="Y596" s="20"/>
      <c r="Z596" s="20"/>
    </row>
    <row r="597" spans="1:26" ht="17.25" customHeight="1">
      <c r="A597" s="15"/>
      <c r="B597" s="15"/>
      <c r="C597" s="15"/>
      <c r="D597" s="15"/>
      <c r="E597" s="15"/>
      <c r="F597" s="15"/>
      <c r="G597" s="15"/>
      <c r="H597" s="47"/>
      <c r="I597" s="20"/>
      <c r="J597" s="20"/>
      <c r="K597" s="20"/>
      <c r="L597" s="20"/>
      <c r="M597" s="20"/>
      <c r="N597" s="20"/>
      <c r="O597" s="20"/>
      <c r="P597" s="20"/>
      <c r="Q597" s="20"/>
      <c r="R597" s="20"/>
      <c r="S597" s="20"/>
      <c r="T597" s="20"/>
      <c r="U597" s="20"/>
      <c r="V597" s="20"/>
      <c r="W597" s="20"/>
      <c r="X597" s="20"/>
      <c r="Y597" s="20"/>
      <c r="Z597" s="20"/>
    </row>
    <row r="598" spans="1:26" ht="17.25" customHeight="1">
      <c r="A598" s="15"/>
      <c r="B598" s="15"/>
      <c r="C598" s="15"/>
      <c r="D598" s="15"/>
      <c r="E598" s="15"/>
      <c r="F598" s="15"/>
      <c r="G598" s="15"/>
      <c r="H598" s="47"/>
      <c r="I598" s="20"/>
      <c r="J598" s="20"/>
      <c r="K598" s="20"/>
      <c r="L598" s="20"/>
      <c r="M598" s="20"/>
      <c r="N598" s="20"/>
      <c r="O598" s="20"/>
      <c r="P598" s="20"/>
      <c r="Q598" s="20"/>
      <c r="R598" s="20"/>
      <c r="S598" s="20"/>
      <c r="T598" s="20"/>
      <c r="U598" s="20"/>
      <c r="V598" s="20"/>
      <c r="W598" s="20"/>
      <c r="X598" s="20"/>
      <c r="Y598" s="20"/>
      <c r="Z598" s="20"/>
    </row>
    <row r="599" spans="1:26" ht="17.25" customHeight="1">
      <c r="A599" s="15"/>
      <c r="B599" s="15"/>
      <c r="C599" s="15"/>
      <c r="D599" s="15"/>
      <c r="E599" s="15"/>
      <c r="F599" s="15"/>
      <c r="G599" s="15"/>
      <c r="H599" s="47"/>
      <c r="I599" s="20"/>
      <c r="J599" s="20"/>
      <c r="K599" s="20"/>
      <c r="L599" s="20"/>
      <c r="M599" s="20"/>
      <c r="N599" s="20"/>
      <c r="O599" s="20"/>
      <c r="P599" s="20"/>
      <c r="Q599" s="20"/>
      <c r="R599" s="20"/>
      <c r="S599" s="20"/>
      <c r="T599" s="20"/>
      <c r="U599" s="20"/>
      <c r="V599" s="20"/>
      <c r="W599" s="20"/>
      <c r="X599" s="20"/>
      <c r="Y599" s="20"/>
      <c r="Z599" s="20"/>
    </row>
    <row r="600" spans="1:26" ht="17.25" customHeight="1">
      <c r="A600" s="15"/>
      <c r="B600" s="15"/>
      <c r="C600" s="15"/>
      <c r="D600" s="15"/>
      <c r="E600" s="15"/>
      <c r="F600" s="15"/>
      <c r="G600" s="15"/>
      <c r="H600" s="47"/>
      <c r="I600" s="20"/>
      <c r="J600" s="20"/>
      <c r="K600" s="20"/>
      <c r="L600" s="20"/>
      <c r="M600" s="20"/>
      <c r="N600" s="20"/>
      <c r="O600" s="20"/>
      <c r="P600" s="20"/>
      <c r="Q600" s="20"/>
      <c r="R600" s="20"/>
      <c r="S600" s="20"/>
      <c r="T600" s="20"/>
      <c r="U600" s="20"/>
      <c r="V600" s="20"/>
      <c r="W600" s="20"/>
      <c r="X600" s="20"/>
      <c r="Y600" s="20"/>
      <c r="Z600" s="20"/>
    </row>
    <row r="601" spans="1:26" ht="17.25" customHeight="1">
      <c r="A601" s="15"/>
      <c r="B601" s="15"/>
      <c r="C601" s="15"/>
      <c r="D601" s="15"/>
      <c r="E601" s="15"/>
      <c r="F601" s="15"/>
      <c r="G601" s="15"/>
      <c r="H601" s="47"/>
      <c r="I601" s="20"/>
      <c r="J601" s="20"/>
      <c r="K601" s="20"/>
      <c r="L601" s="20"/>
      <c r="M601" s="20"/>
      <c r="N601" s="20"/>
      <c r="O601" s="20"/>
      <c r="P601" s="20"/>
      <c r="Q601" s="20"/>
      <c r="R601" s="20"/>
      <c r="S601" s="20"/>
      <c r="T601" s="20"/>
      <c r="U601" s="20"/>
      <c r="V601" s="20"/>
      <c r="W601" s="20"/>
      <c r="X601" s="20"/>
      <c r="Y601" s="20"/>
      <c r="Z601" s="20"/>
    </row>
    <row r="602" spans="1:26" ht="17.25" customHeight="1">
      <c r="A602" s="15"/>
      <c r="B602" s="15"/>
      <c r="C602" s="15"/>
      <c r="D602" s="15"/>
      <c r="E602" s="15"/>
      <c r="F602" s="15"/>
      <c r="G602" s="15"/>
      <c r="H602" s="47"/>
      <c r="I602" s="20"/>
      <c r="J602" s="20"/>
      <c r="K602" s="20"/>
      <c r="L602" s="20"/>
      <c r="M602" s="20"/>
      <c r="N602" s="20"/>
      <c r="O602" s="20"/>
      <c r="P602" s="20"/>
      <c r="Q602" s="20"/>
      <c r="R602" s="20"/>
      <c r="S602" s="20"/>
      <c r="T602" s="20"/>
      <c r="U602" s="20"/>
      <c r="V602" s="20"/>
      <c r="W602" s="20"/>
      <c r="X602" s="20"/>
      <c r="Y602" s="20"/>
      <c r="Z602" s="20"/>
    </row>
    <row r="603" spans="1:26" ht="17.25" customHeight="1">
      <c r="A603" s="15"/>
      <c r="B603" s="15"/>
      <c r="C603" s="15"/>
      <c r="D603" s="15"/>
      <c r="E603" s="15"/>
      <c r="F603" s="15"/>
      <c r="G603" s="15"/>
      <c r="H603" s="47"/>
      <c r="I603" s="20"/>
      <c r="J603" s="20"/>
      <c r="K603" s="20"/>
      <c r="L603" s="20"/>
      <c r="M603" s="20"/>
      <c r="N603" s="20"/>
      <c r="O603" s="20"/>
      <c r="P603" s="20"/>
      <c r="Q603" s="20"/>
      <c r="R603" s="20"/>
      <c r="S603" s="20"/>
      <c r="T603" s="20"/>
      <c r="U603" s="20"/>
      <c r="V603" s="20"/>
      <c r="W603" s="20"/>
      <c r="X603" s="20"/>
      <c r="Y603" s="20"/>
      <c r="Z603" s="20"/>
    </row>
    <row r="604" spans="1:26" ht="17.25" customHeight="1">
      <c r="A604" s="15"/>
      <c r="B604" s="15"/>
      <c r="C604" s="15"/>
      <c r="D604" s="15"/>
      <c r="E604" s="15"/>
      <c r="F604" s="15"/>
      <c r="G604" s="15"/>
      <c r="H604" s="47"/>
      <c r="I604" s="20"/>
      <c r="J604" s="20"/>
      <c r="K604" s="20"/>
      <c r="L604" s="20"/>
      <c r="M604" s="20"/>
      <c r="N604" s="20"/>
      <c r="O604" s="20"/>
      <c r="P604" s="20"/>
      <c r="Q604" s="20"/>
      <c r="R604" s="20"/>
      <c r="S604" s="20"/>
      <c r="T604" s="20"/>
      <c r="U604" s="20"/>
      <c r="V604" s="20"/>
      <c r="W604" s="20"/>
      <c r="X604" s="20"/>
      <c r="Y604" s="20"/>
      <c r="Z604" s="20"/>
    </row>
    <row r="605" spans="1:26" ht="17.25" customHeight="1">
      <c r="A605" s="15"/>
      <c r="B605" s="15"/>
      <c r="C605" s="15"/>
      <c r="D605" s="15"/>
      <c r="E605" s="15"/>
      <c r="F605" s="15"/>
      <c r="G605" s="15"/>
      <c r="H605" s="47"/>
      <c r="I605" s="20"/>
      <c r="J605" s="20"/>
      <c r="K605" s="20"/>
      <c r="L605" s="20"/>
      <c r="M605" s="20"/>
      <c r="N605" s="20"/>
      <c r="O605" s="20"/>
      <c r="P605" s="20"/>
      <c r="Q605" s="20"/>
      <c r="R605" s="20"/>
      <c r="S605" s="20"/>
      <c r="T605" s="20"/>
      <c r="U605" s="20"/>
      <c r="V605" s="20"/>
      <c r="W605" s="20"/>
      <c r="X605" s="20"/>
      <c r="Y605" s="20"/>
      <c r="Z605" s="20"/>
    </row>
    <row r="606" spans="1:26" ht="17.25" customHeight="1">
      <c r="A606" s="15"/>
      <c r="B606" s="15"/>
      <c r="C606" s="15"/>
      <c r="D606" s="15"/>
      <c r="E606" s="15"/>
      <c r="F606" s="15"/>
      <c r="G606" s="15"/>
      <c r="H606" s="47"/>
      <c r="I606" s="20"/>
      <c r="J606" s="20"/>
      <c r="K606" s="20"/>
      <c r="L606" s="20"/>
      <c r="M606" s="20"/>
      <c r="N606" s="20"/>
      <c r="O606" s="20"/>
      <c r="P606" s="20"/>
      <c r="Q606" s="20"/>
      <c r="R606" s="20"/>
      <c r="S606" s="20"/>
      <c r="T606" s="20"/>
      <c r="U606" s="20"/>
      <c r="V606" s="20"/>
      <c r="W606" s="20"/>
      <c r="X606" s="20"/>
      <c r="Y606" s="20"/>
      <c r="Z606" s="20"/>
    </row>
    <row r="607" spans="1:26" ht="17.25" customHeight="1">
      <c r="A607" s="15"/>
      <c r="B607" s="15"/>
      <c r="C607" s="15"/>
      <c r="D607" s="15"/>
      <c r="E607" s="15"/>
      <c r="F607" s="15"/>
      <c r="G607" s="15"/>
      <c r="H607" s="47"/>
      <c r="I607" s="20"/>
      <c r="J607" s="20"/>
      <c r="K607" s="20"/>
      <c r="L607" s="20"/>
      <c r="M607" s="20"/>
      <c r="N607" s="20"/>
      <c r="O607" s="20"/>
      <c r="P607" s="20"/>
      <c r="Q607" s="20"/>
      <c r="R607" s="20"/>
      <c r="S607" s="20"/>
      <c r="T607" s="20"/>
      <c r="U607" s="20"/>
      <c r="V607" s="20"/>
      <c r="W607" s="20"/>
      <c r="X607" s="20"/>
      <c r="Y607" s="20"/>
      <c r="Z607" s="20"/>
    </row>
    <row r="608" spans="1:26" ht="17.25" customHeight="1">
      <c r="A608" s="15"/>
      <c r="B608" s="15"/>
      <c r="C608" s="15"/>
      <c r="D608" s="15"/>
      <c r="E608" s="15"/>
      <c r="F608" s="15"/>
      <c r="G608" s="15"/>
      <c r="H608" s="47"/>
      <c r="I608" s="20"/>
      <c r="J608" s="20"/>
      <c r="K608" s="20"/>
      <c r="L608" s="20"/>
      <c r="M608" s="20"/>
      <c r="N608" s="20"/>
      <c r="O608" s="20"/>
      <c r="P608" s="20"/>
      <c r="Q608" s="20"/>
      <c r="R608" s="20"/>
      <c r="S608" s="20"/>
      <c r="T608" s="20"/>
      <c r="U608" s="20"/>
      <c r="V608" s="20"/>
      <c r="W608" s="20"/>
      <c r="X608" s="20"/>
      <c r="Y608" s="20"/>
      <c r="Z608" s="20"/>
    </row>
    <row r="609" spans="1:26" ht="17.25" customHeight="1">
      <c r="A609" s="15"/>
      <c r="B609" s="15"/>
      <c r="C609" s="15"/>
      <c r="D609" s="15"/>
      <c r="E609" s="15"/>
      <c r="F609" s="15"/>
      <c r="G609" s="15"/>
      <c r="H609" s="47"/>
      <c r="I609" s="20"/>
      <c r="J609" s="20"/>
      <c r="K609" s="20"/>
      <c r="L609" s="20"/>
      <c r="M609" s="20"/>
      <c r="N609" s="20"/>
      <c r="O609" s="20"/>
      <c r="P609" s="20"/>
      <c r="Q609" s="20"/>
      <c r="R609" s="20"/>
      <c r="S609" s="20"/>
      <c r="T609" s="20"/>
      <c r="U609" s="20"/>
      <c r="V609" s="20"/>
      <c r="W609" s="20"/>
      <c r="X609" s="20"/>
      <c r="Y609" s="20"/>
      <c r="Z609" s="20"/>
    </row>
    <row r="610" spans="1:26" ht="17.25" customHeight="1">
      <c r="A610" s="15"/>
      <c r="B610" s="15"/>
      <c r="C610" s="15"/>
      <c r="D610" s="15"/>
      <c r="E610" s="15"/>
      <c r="F610" s="15"/>
      <c r="G610" s="15"/>
      <c r="H610" s="47"/>
      <c r="I610" s="20"/>
      <c r="J610" s="20"/>
      <c r="K610" s="20"/>
      <c r="L610" s="20"/>
      <c r="M610" s="20"/>
      <c r="N610" s="20"/>
      <c r="O610" s="20"/>
      <c r="P610" s="20"/>
      <c r="Q610" s="20"/>
      <c r="R610" s="20"/>
      <c r="S610" s="20"/>
      <c r="T610" s="20"/>
      <c r="U610" s="20"/>
      <c r="V610" s="20"/>
      <c r="W610" s="20"/>
      <c r="X610" s="20"/>
      <c r="Y610" s="20"/>
      <c r="Z610" s="20"/>
    </row>
    <row r="611" spans="1:26" ht="17.25" customHeight="1">
      <c r="A611" s="15"/>
      <c r="B611" s="15"/>
      <c r="C611" s="15"/>
      <c r="D611" s="15"/>
      <c r="E611" s="15"/>
      <c r="F611" s="15"/>
      <c r="G611" s="15"/>
      <c r="H611" s="47"/>
      <c r="I611" s="20"/>
      <c r="J611" s="20"/>
      <c r="K611" s="20"/>
      <c r="L611" s="20"/>
      <c r="M611" s="20"/>
      <c r="N611" s="20"/>
      <c r="O611" s="20"/>
      <c r="P611" s="20"/>
      <c r="Q611" s="20"/>
      <c r="R611" s="20"/>
      <c r="S611" s="20"/>
      <c r="T611" s="20"/>
      <c r="U611" s="20"/>
      <c r="V611" s="20"/>
      <c r="W611" s="20"/>
      <c r="X611" s="20"/>
      <c r="Y611" s="20"/>
      <c r="Z611" s="20"/>
    </row>
    <row r="612" spans="1:26" ht="17.25" customHeight="1">
      <c r="A612" s="15"/>
      <c r="B612" s="15"/>
      <c r="C612" s="15"/>
      <c r="D612" s="15"/>
      <c r="E612" s="15"/>
      <c r="F612" s="15"/>
      <c r="G612" s="15"/>
      <c r="H612" s="47"/>
      <c r="I612" s="20"/>
      <c r="J612" s="20"/>
      <c r="K612" s="20"/>
      <c r="L612" s="20"/>
      <c r="M612" s="20"/>
      <c r="N612" s="20"/>
      <c r="O612" s="20"/>
      <c r="P612" s="20"/>
      <c r="Q612" s="20"/>
      <c r="R612" s="20"/>
      <c r="S612" s="20"/>
      <c r="T612" s="20"/>
      <c r="U612" s="20"/>
      <c r="V612" s="20"/>
      <c r="W612" s="20"/>
      <c r="X612" s="20"/>
      <c r="Y612" s="20"/>
      <c r="Z612" s="20"/>
    </row>
    <row r="613" spans="1:26" ht="17.25" customHeight="1">
      <c r="A613" s="15"/>
      <c r="B613" s="15"/>
      <c r="C613" s="15"/>
      <c r="D613" s="15"/>
      <c r="E613" s="15"/>
      <c r="F613" s="15"/>
      <c r="G613" s="15"/>
      <c r="H613" s="47"/>
      <c r="I613" s="20"/>
      <c r="J613" s="20"/>
      <c r="K613" s="20"/>
      <c r="L613" s="20"/>
      <c r="M613" s="20"/>
      <c r="N613" s="20"/>
      <c r="O613" s="20"/>
      <c r="P613" s="20"/>
      <c r="Q613" s="20"/>
      <c r="R613" s="20"/>
      <c r="S613" s="20"/>
      <c r="T613" s="20"/>
      <c r="U613" s="20"/>
      <c r="V613" s="20"/>
      <c r="W613" s="20"/>
      <c r="X613" s="20"/>
      <c r="Y613" s="20"/>
      <c r="Z613" s="20"/>
    </row>
    <row r="614" spans="1:26" ht="17.25" customHeight="1">
      <c r="A614" s="15"/>
      <c r="B614" s="15"/>
      <c r="C614" s="15"/>
      <c r="D614" s="15"/>
      <c r="E614" s="15"/>
      <c r="F614" s="15"/>
      <c r="G614" s="15"/>
      <c r="H614" s="47"/>
      <c r="I614" s="20"/>
      <c r="J614" s="20"/>
      <c r="K614" s="20"/>
      <c r="L614" s="20"/>
      <c r="M614" s="20"/>
      <c r="N614" s="20"/>
      <c r="O614" s="20"/>
      <c r="P614" s="20"/>
      <c r="Q614" s="20"/>
      <c r="R614" s="20"/>
      <c r="S614" s="20"/>
      <c r="T614" s="20"/>
      <c r="U614" s="20"/>
      <c r="V614" s="20"/>
      <c r="W614" s="20"/>
      <c r="X614" s="20"/>
      <c r="Y614" s="20"/>
      <c r="Z614" s="20"/>
    </row>
    <row r="615" spans="1:26" ht="17.25" customHeight="1">
      <c r="A615" s="15"/>
      <c r="B615" s="15"/>
      <c r="C615" s="15"/>
      <c r="D615" s="15"/>
      <c r="E615" s="15"/>
      <c r="F615" s="15"/>
      <c r="G615" s="15"/>
      <c r="H615" s="47"/>
      <c r="I615" s="20"/>
      <c r="J615" s="20"/>
      <c r="K615" s="20"/>
      <c r="L615" s="20"/>
      <c r="M615" s="20"/>
      <c r="N615" s="20"/>
      <c r="O615" s="20"/>
      <c r="P615" s="20"/>
      <c r="Q615" s="20"/>
      <c r="R615" s="20"/>
      <c r="S615" s="20"/>
      <c r="T615" s="20"/>
      <c r="U615" s="20"/>
      <c r="V615" s="20"/>
      <c r="W615" s="20"/>
      <c r="X615" s="20"/>
      <c r="Y615" s="20"/>
      <c r="Z615" s="20"/>
    </row>
    <row r="616" spans="1:26" ht="17.25" customHeight="1">
      <c r="A616" s="15"/>
      <c r="B616" s="15"/>
      <c r="C616" s="15"/>
      <c r="D616" s="15"/>
      <c r="E616" s="15"/>
      <c r="F616" s="15"/>
      <c r="G616" s="15"/>
      <c r="H616" s="47"/>
      <c r="I616" s="20"/>
      <c r="J616" s="20"/>
      <c r="K616" s="20"/>
      <c r="L616" s="20"/>
      <c r="M616" s="20"/>
      <c r="N616" s="20"/>
      <c r="O616" s="20"/>
      <c r="P616" s="20"/>
      <c r="Q616" s="20"/>
      <c r="R616" s="20"/>
      <c r="S616" s="20"/>
      <c r="T616" s="20"/>
      <c r="U616" s="20"/>
      <c r="V616" s="20"/>
      <c r="W616" s="20"/>
      <c r="X616" s="20"/>
      <c r="Y616" s="20"/>
      <c r="Z616" s="20"/>
    </row>
    <row r="617" spans="1:26" ht="17.25" customHeight="1">
      <c r="A617" s="15"/>
      <c r="B617" s="15"/>
      <c r="C617" s="15"/>
      <c r="D617" s="15"/>
      <c r="E617" s="15"/>
      <c r="F617" s="15"/>
      <c r="G617" s="15"/>
      <c r="H617" s="47"/>
      <c r="I617" s="20"/>
      <c r="J617" s="20"/>
      <c r="K617" s="20"/>
      <c r="L617" s="20"/>
      <c r="M617" s="20"/>
      <c r="N617" s="20"/>
      <c r="O617" s="20"/>
      <c r="P617" s="20"/>
      <c r="Q617" s="20"/>
      <c r="R617" s="20"/>
      <c r="S617" s="20"/>
      <c r="T617" s="20"/>
      <c r="U617" s="20"/>
      <c r="V617" s="20"/>
      <c r="W617" s="20"/>
      <c r="X617" s="20"/>
      <c r="Y617" s="20"/>
      <c r="Z617" s="20"/>
    </row>
    <row r="618" spans="1:26" ht="17.25" customHeight="1">
      <c r="A618" s="15"/>
      <c r="B618" s="15"/>
      <c r="C618" s="15"/>
      <c r="D618" s="15"/>
      <c r="E618" s="15"/>
      <c r="F618" s="15"/>
      <c r="G618" s="15"/>
      <c r="H618" s="47"/>
      <c r="I618" s="20"/>
      <c r="J618" s="20"/>
      <c r="K618" s="20"/>
      <c r="L618" s="20"/>
      <c r="M618" s="20"/>
      <c r="N618" s="20"/>
      <c r="O618" s="20"/>
      <c r="P618" s="20"/>
      <c r="Q618" s="20"/>
      <c r="R618" s="20"/>
      <c r="S618" s="20"/>
      <c r="T618" s="20"/>
      <c r="U618" s="20"/>
      <c r="V618" s="20"/>
      <c r="W618" s="20"/>
      <c r="X618" s="20"/>
      <c r="Y618" s="20"/>
      <c r="Z618" s="20"/>
    </row>
    <row r="619" spans="1:26" ht="17.25" customHeight="1">
      <c r="A619" s="15"/>
      <c r="B619" s="15"/>
      <c r="C619" s="15"/>
      <c r="D619" s="15"/>
      <c r="E619" s="15"/>
      <c r="F619" s="15"/>
      <c r="G619" s="15"/>
      <c r="H619" s="47"/>
      <c r="I619" s="20"/>
      <c r="J619" s="20"/>
      <c r="K619" s="20"/>
      <c r="L619" s="20"/>
      <c r="M619" s="20"/>
      <c r="N619" s="20"/>
      <c r="O619" s="20"/>
      <c r="P619" s="20"/>
      <c r="Q619" s="20"/>
      <c r="R619" s="20"/>
      <c r="S619" s="20"/>
      <c r="T619" s="20"/>
      <c r="U619" s="20"/>
      <c r="V619" s="20"/>
      <c r="W619" s="20"/>
      <c r="X619" s="20"/>
      <c r="Y619" s="20"/>
      <c r="Z619" s="20"/>
    </row>
    <row r="620" spans="1:26" ht="17.25" customHeight="1">
      <c r="A620" s="15"/>
      <c r="B620" s="15"/>
      <c r="C620" s="15"/>
      <c r="D620" s="15"/>
      <c r="E620" s="15"/>
      <c r="F620" s="15"/>
      <c r="G620" s="15"/>
      <c r="H620" s="47"/>
      <c r="I620" s="20"/>
      <c r="J620" s="20"/>
      <c r="K620" s="20"/>
      <c r="L620" s="20"/>
      <c r="M620" s="20"/>
      <c r="N620" s="20"/>
      <c r="O620" s="20"/>
      <c r="P620" s="20"/>
      <c r="Q620" s="20"/>
      <c r="R620" s="20"/>
      <c r="S620" s="20"/>
      <c r="T620" s="20"/>
      <c r="U620" s="20"/>
      <c r="V620" s="20"/>
      <c r="W620" s="20"/>
      <c r="X620" s="20"/>
      <c r="Y620" s="20"/>
      <c r="Z620" s="20"/>
    </row>
    <row r="621" spans="1:26" ht="17.25" customHeight="1">
      <c r="A621" s="15"/>
      <c r="B621" s="15"/>
      <c r="C621" s="15"/>
      <c r="D621" s="15"/>
      <c r="E621" s="15"/>
      <c r="F621" s="15"/>
      <c r="G621" s="15"/>
      <c r="H621" s="47"/>
      <c r="I621" s="20"/>
      <c r="J621" s="20"/>
      <c r="K621" s="20"/>
      <c r="L621" s="20"/>
      <c r="M621" s="20"/>
      <c r="N621" s="20"/>
      <c r="O621" s="20"/>
      <c r="P621" s="20"/>
      <c r="Q621" s="20"/>
      <c r="R621" s="20"/>
      <c r="S621" s="20"/>
      <c r="T621" s="20"/>
      <c r="U621" s="20"/>
      <c r="V621" s="20"/>
      <c r="W621" s="20"/>
      <c r="X621" s="20"/>
      <c r="Y621" s="20"/>
      <c r="Z621" s="20"/>
    </row>
    <row r="622" spans="1:26" ht="17.25" customHeight="1">
      <c r="A622" s="15"/>
      <c r="B622" s="15"/>
      <c r="C622" s="15"/>
      <c r="D622" s="15"/>
      <c r="E622" s="15"/>
      <c r="F622" s="15"/>
      <c r="G622" s="15"/>
      <c r="H622" s="47"/>
      <c r="I622" s="20"/>
      <c r="J622" s="20"/>
      <c r="K622" s="20"/>
      <c r="L622" s="20"/>
      <c r="M622" s="20"/>
      <c r="N622" s="20"/>
      <c r="O622" s="20"/>
      <c r="P622" s="20"/>
      <c r="Q622" s="20"/>
      <c r="R622" s="20"/>
      <c r="S622" s="20"/>
      <c r="T622" s="20"/>
      <c r="U622" s="20"/>
      <c r="V622" s="20"/>
      <c r="W622" s="20"/>
      <c r="X622" s="20"/>
      <c r="Y622" s="20"/>
      <c r="Z622" s="20"/>
    </row>
    <row r="623" spans="1:26" ht="17.25" customHeight="1">
      <c r="A623" s="15"/>
      <c r="B623" s="15"/>
      <c r="C623" s="15"/>
      <c r="D623" s="15"/>
      <c r="E623" s="15"/>
      <c r="F623" s="15"/>
      <c r="G623" s="15"/>
      <c r="H623" s="47"/>
      <c r="I623" s="20"/>
      <c r="J623" s="20"/>
      <c r="K623" s="20"/>
      <c r="L623" s="20"/>
      <c r="M623" s="20"/>
      <c r="N623" s="20"/>
      <c r="O623" s="20"/>
      <c r="P623" s="20"/>
      <c r="Q623" s="20"/>
      <c r="R623" s="20"/>
      <c r="S623" s="20"/>
      <c r="T623" s="20"/>
      <c r="U623" s="20"/>
      <c r="V623" s="20"/>
      <c r="W623" s="20"/>
      <c r="X623" s="20"/>
      <c r="Y623" s="20"/>
      <c r="Z623" s="20"/>
    </row>
    <row r="624" spans="1:26" ht="17.25" customHeight="1">
      <c r="A624" s="15"/>
      <c r="B624" s="15"/>
      <c r="C624" s="15"/>
      <c r="D624" s="15"/>
      <c r="E624" s="15"/>
      <c r="F624" s="15"/>
      <c r="G624" s="15"/>
      <c r="H624" s="47"/>
      <c r="I624" s="20"/>
      <c r="J624" s="20"/>
      <c r="K624" s="20"/>
      <c r="L624" s="20"/>
      <c r="M624" s="20"/>
      <c r="N624" s="20"/>
      <c r="O624" s="20"/>
      <c r="P624" s="20"/>
      <c r="Q624" s="20"/>
      <c r="R624" s="20"/>
      <c r="S624" s="20"/>
      <c r="T624" s="20"/>
      <c r="U624" s="20"/>
      <c r="V624" s="20"/>
      <c r="W624" s="20"/>
      <c r="X624" s="20"/>
      <c r="Y624" s="20"/>
      <c r="Z624" s="20"/>
    </row>
    <row r="625" spans="1:26" ht="17.25" customHeight="1">
      <c r="A625" s="15"/>
      <c r="B625" s="15"/>
      <c r="C625" s="15"/>
      <c r="D625" s="15"/>
      <c r="E625" s="15"/>
      <c r="F625" s="15"/>
      <c r="G625" s="15"/>
      <c r="H625" s="47"/>
      <c r="I625" s="20"/>
      <c r="J625" s="20"/>
      <c r="K625" s="20"/>
      <c r="L625" s="20"/>
      <c r="M625" s="20"/>
      <c r="N625" s="20"/>
      <c r="O625" s="20"/>
      <c r="P625" s="20"/>
      <c r="Q625" s="20"/>
      <c r="R625" s="20"/>
      <c r="S625" s="20"/>
      <c r="T625" s="20"/>
      <c r="U625" s="20"/>
      <c r="V625" s="20"/>
      <c r="W625" s="20"/>
      <c r="X625" s="20"/>
      <c r="Y625" s="20"/>
      <c r="Z625" s="20"/>
    </row>
    <row r="626" spans="1:26" ht="17.25" customHeight="1">
      <c r="A626" s="15"/>
      <c r="B626" s="15"/>
      <c r="C626" s="15"/>
      <c r="D626" s="15"/>
      <c r="E626" s="15"/>
      <c r="F626" s="15"/>
      <c r="G626" s="15"/>
      <c r="H626" s="47"/>
      <c r="I626" s="20"/>
      <c r="J626" s="20"/>
      <c r="K626" s="20"/>
      <c r="L626" s="20"/>
      <c r="M626" s="20"/>
      <c r="N626" s="20"/>
      <c r="O626" s="20"/>
      <c r="P626" s="20"/>
      <c r="Q626" s="20"/>
      <c r="R626" s="20"/>
      <c r="S626" s="20"/>
      <c r="T626" s="20"/>
      <c r="U626" s="20"/>
      <c r="V626" s="20"/>
      <c r="W626" s="20"/>
      <c r="X626" s="20"/>
      <c r="Y626" s="20"/>
      <c r="Z626" s="20"/>
    </row>
    <row r="627" spans="1:26" ht="17.25" customHeight="1">
      <c r="A627" s="15"/>
      <c r="B627" s="15"/>
      <c r="C627" s="15"/>
      <c r="D627" s="15"/>
      <c r="E627" s="15"/>
      <c r="F627" s="15"/>
      <c r="G627" s="15"/>
      <c r="H627" s="47"/>
      <c r="I627" s="20"/>
      <c r="J627" s="20"/>
      <c r="K627" s="20"/>
      <c r="L627" s="20"/>
      <c r="M627" s="20"/>
      <c r="N627" s="20"/>
      <c r="O627" s="20"/>
      <c r="P627" s="20"/>
      <c r="Q627" s="20"/>
      <c r="R627" s="20"/>
      <c r="S627" s="20"/>
      <c r="T627" s="20"/>
      <c r="U627" s="20"/>
      <c r="V627" s="20"/>
      <c r="W627" s="20"/>
      <c r="X627" s="20"/>
      <c r="Y627" s="20"/>
      <c r="Z627" s="20"/>
    </row>
    <row r="628" spans="1:26" ht="17.25" customHeight="1">
      <c r="A628" s="15"/>
      <c r="B628" s="15"/>
      <c r="C628" s="15"/>
      <c r="D628" s="15"/>
      <c r="E628" s="15"/>
      <c r="F628" s="15"/>
      <c r="G628" s="15"/>
      <c r="H628" s="47"/>
      <c r="I628" s="20"/>
      <c r="J628" s="20"/>
      <c r="K628" s="20"/>
      <c r="L628" s="20"/>
      <c r="M628" s="20"/>
      <c r="N628" s="20"/>
      <c r="O628" s="20"/>
      <c r="P628" s="20"/>
      <c r="Q628" s="20"/>
      <c r="R628" s="20"/>
      <c r="S628" s="20"/>
      <c r="T628" s="20"/>
      <c r="U628" s="20"/>
      <c r="V628" s="20"/>
      <c r="W628" s="20"/>
      <c r="X628" s="20"/>
      <c r="Y628" s="20"/>
      <c r="Z628" s="20"/>
    </row>
    <row r="629" spans="1:26" ht="17.25" customHeight="1">
      <c r="A629" s="15"/>
      <c r="B629" s="15"/>
      <c r="C629" s="15"/>
      <c r="D629" s="15"/>
      <c r="E629" s="15"/>
      <c r="F629" s="15"/>
      <c r="G629" s="15"/>
      <c r="H629" s="47"/>
      <c r="I629" s="20"/>
      <c r="J629" s="20"/>
      <c r="K629" s="20"/>
      <c r="L629" s="20"/>
      <c r="M629" s="20"/>
      <c r="N629" s="20"/>
      <c r="O629" s="20"/>
      <c r="P629" s="20"/>
      <c r="Q629" s="20"/>
      <c r="R629" s="20"/>
      <c r="S629" s="20"/>
      <c r="T629" s="20"/>
      <c r="U629" s="20"/>
      <c r="V629" s="20"/>
      <c r="W629" s="20"/>
      <c r="X629" s="20"/>
      <c r="Y629" s="20"/>
      <c r="Z629" s="20"/>
    </row>
    <row r="630" spans="1:26" ht="17.25" customHeight="1">
      <c r="A630" s="15"/>
      <c r="B630" s="15"/>
      <c r="C630" s="15"/>
      <c r="D630" s="15"/>
      <c r="E630" s="15"/>
      <c r="F630" s="15"/>
      <c r="G630" s="15"/>
      <c r="H630" s="47"/>
      <c r="I630" s="20"/>
      <c r="J630" s="20"/>
      <c r="K630" s="20"/>
      <c r="L630" s="20"/>
      <c r="M630" s="20"/>
      <c r="N630" s="20"/>
      <c r="O630" s="20"/>
      <c r="P630" s="20"/>
      <c r="Q630" s="20"/>
      <c r="R630" s="20"/>
      <c r="S630" s="20"/>
      <c r="T630" s="20"/>
      <c r="U630" s="20"/>
      <c r="V630" s="20"/>
      <c r="W630" s="20"/>
      <c r="X630" s="20"/>
      <c r="Y630" s="20"/>
      <c r="Z630" s="20"/>
    </row>
    <row r="631" spans="1:26" ht="17.25" customHeight="1">
      <c r="A631" s="15"/>
      <c r="B631" s="15"/>
      <c r="C631" s="15"/>
      <c r="D631" s="15"/>
      <c r="E631" s="15"/>
      <c r="F631" s="15"/>
      <c r="G631" s="15"/>
      <c r="H631" s="47"/>
      <c r="I631" s="20"/>
      <c r="J631" s="20"/>
      <c r="K631" s="20"/>
      <c r="L631" s="20"/>
      <c r="M631" s="20"/>
      <c r="N631" s="20"/>
      <c r="O631" s="20"/>
      <c r="P631" s="20"/>
      <c r="Q631" s="20"/>
      <c r="R631" s="20"/>
      <c r="S631" s="20"/>
      <c r="T631" s="20"/>
      <c r="U631" s="20"/>
      <c r="V631" s="20"/>
      <c r="W631" s="20"/>
      <c r="X631" s="20"/>
      <c r="Y631" s="20"/>
      <c r="Z631" s="20"/>
    </row>
    <row r="632" spans="1:26" ht="17.25" customHeight="1">
      <c r="A632" s="15"/>
      <c r="B632" s="15"/>
      <c r="C632" s="15"/>
      <c r="D632" s="15"/>
      <c r="E632" s="15"/>
      <c r="F632" s="15"/>
      <c r="G632" s="15"/>
      <c r="H632" s="47"/>
      <c r="I632" s="20"/>
      <c r="J632" s="20"/>
      <c r="K632" s="20"/>
      <c r="L632" s="20"/>
      <c r="M632" s="20"/>
      <c r="N632" s="20"/>
      <c r="O632" s="20"/>
      <c r="P632" s="20"/>
      <c r="Q632" s="20"/>
      <c r="R632" s="20"/>
      <c r="S632" s="20"/>
      <c r="T632" s="20"/>
      <c r="U632" s="20"/>
      <c r="V632" s="20"/>
      <c r="W632" s="20"/>
      <c r="X632" s="20"/>
      <c r="Y632" s="20"/>
      <c r="Z632" s="20"/>
    </row>
    <row r="633" spans="1:26" ht="17.25" customHeight="1">
      <c r="A633" s="15"/>
      <c r="B633" s="15"/>
      <c r="C633" s="15"/>
      <c r="D633" s="15"/>
      <c r="E633" s="15"/>
      <c r="F633" s="15"/>
      <c r="G633" s="15"/>
      <c r="H633" s="47"/>
      <c r="I633" s="20"/>
      <c r="J633" s="20"/>
      <c r="K633" s="20"/>
      <c r="L633" s="20"/>
      <c r="M633" s="20"/>
      <c r="N633" s="20"/>
      <c r="O633" s="20"/>
      <c r="P633" s="20"/>
      <c r="Q633" s="20"/>
      <c r="R633" s="20"/>
      <c r="S633" s="20"/>
      <c r="T633" s="20"/>
      <c r="U633" s="20"/>
      <c r="V633" s="20"/>
      <c r="W633" s="20"/>
      <c r="X633" s="20"/>
      <c r="Y633" s="20"/>
      <c r="Z633" s="20"/>
    </row>
    <row r="634" spans="1:26" ht="17.25" customHeight="1">
      <c r="A634" s="15"/>
      <c r="B634" s="15"/>
      <c r="C634" s="15"/>
      <c r="D634" s="15"/>
      <c r="E634" s="15"/>
      <c r="F634" s="15"/>
      <c r="G634" s="15"/>
      <c r="H634" s="47"/>
      <c r="I634" s="20"/>
      <c r="J634" s="20"/>
      <c r="K634" s="20"/>
      <c r="L634" s="20"/>
      <c r="M634" s="20"/>
      <c r="N634" s="20"/>
      <c r="O634" s="20"/>
      <c r="P634" s="20"/>
      <c r="Q634" s="20"/>
      <c r="R634" s="20"/>
      <c r="S634" s="20"/>
      <c r="T634" s="20"/>
      <c r="U634" s="20"/>
      <c r="V634" s="20"/>
      <c r="W634" s="20"/>
      <c r="X634" s="20"/>
      <c r="Y634" s="20"/>
      <c r="Z634" s="20"/>
    </row>
    <row r="635" spans="1:26" ht="17.25" customHeight="1">
      <c r="A635" s="15"/>
      <c r="B635" s="15"/>
      <c r="C635" s="15"/>
      <c r="D635" s="15"/>
      <c r="E635" s="15"/>
      <c r="F635" s="15"/>
      <c r="G635" s="15"/>
      <c r="H635" s="47"/>
      <c r="I635" s="20"/>
      <c r="J635" s="20"/>
      <c r="K635" s="20"/>
      <c r="L635" s="20"/>
      <c r="M635" s="20"/>
      <c r="N635" s="20"/>
      <c r="O635" s="20"/>
      <c r="P635" s="20"/>
      <c r="Q635" s="20"/>
      <c r="R635" s="20"/>
      <c r="S635" s="20"/>
      <c r="T635" s="20"/>
      <c r="U635" s="20"/>
      <c r="V635" s="20"/>
      <c r="W635" s="20"/>
      <c r="X635" s="20"/>
      <c r="Y635" s="20"/>
      <c r="Z635" s="20"/>
    </row>
    <row r="636" spans="1:26" ht="17.25" customHeight="1">
      <c r="A636" s="15"/>
      <c r="B636" s="15"/>
      <c r="C636" s="15"/>
      <c r="D636" s="15"/>
      <c r="E636" s="15"/>
      <c r="F636" s="15"/>
      <c r="G636" s="15"/>
      <c r="H636" s="47"/>
      <c r="I636" s="20"/>
      <c r="J636" s="20"/>
      <c r="K636" s="20"/>
      <c r="L636" s="20"/>
      <c r="M636" s="20"/>
      <c r="N636" s="20"/>
      <c r="O636" s="20"/>
      <c r="P636" s="20"/>
      <c r="Q636" s="20"/>
      <c r="R636" s="20"/>
      <c r="S636" s="20"/>
      <c r="T636" s="20"/>
      <c r="U636" s="20"/>
      <c r="V636" s="20"/>
      <c r="W636" s="20"/>
      <c r="X636" s="20"/>
      <c r="Y636" s="20"/>
      <c r="Z636" s="20"/>
    </row>
    <row r="637" spans="1:26" ht="17.25" customHeight="1">
      <c r="A637" s="15"/>
      <c r="B637" s="15"/>
      <c r="C637" s="15"/>
      <c r="D637" s="15"/>
      <c r="E637" s="15"/>
      <c r="F637" s="15"/>
      <c r="G637" s="15"/>
      <c r="H637" s="47"/>
      <c r="I637" s="20"/>
      <c r="J637" s="20"/>
      <c r="K637" s="20"/>
      <c r="L637" s="20"/>
      <c r="M637" s="20"/>
      <c r="N637" s="20"/>
      <c r="O637" s="20"/>
      <c r="P637" s="20"/>
      <c r="Q637" s="20"/>
      <c r="R637" s="20"/>
      <c r="S637" s="20"/>
      <c r="T637" s="20"/>
      <c r="U637" s="20"/>
      <c r="V637" s="20"/>
      <c r="W637" s="20"/>
      <c r="X637" s="20"/>
      <c r="Y637" s="20"/>
      <c r="Z637" s="20"/>
    </row>
    <row r="638" spans="1:26" ht="17.25" customHeight="1">
      <c r="A638" s="15"/>
      <c r="B638" s="15"/>
      <c r="C638" s="15"/>
      <c r="D638" s="15"/>
      <c r="E638" s="15"/>
      <c r="F638" s="15"/>
      <c r="G638" s="15"/>
      <c r="H638" s="47"/>
      <c r="I638" s="20"/>
      <c r="J638" s="20"/>
      <c r="K638" s="20"/>
      <c r="L638" s="20"/>
      <c r="M638" s="20"/>
      <c r="N638" s="20"/>
      <c r="O638" s="20"/>
      <c r="P638" s="20"/>
      <c r="Q638" s="20"/>
      <c r="R638" s="20"/>
      <c r="S638" s="20"/>
      <c r="T638" s="20"/>
      <c r="U638" s="20"/>
      <c r="V638" s="20"/>
      <c r="W638" s="20"/>
      <c r="X638" s="20"/>
      <c r="Y638" s="20"/>
      <c r="Z638" s="20"/>
    </row>
    <row r="639" spans="1:26" ht="17.25" customHeight="1">
      <c r="A639" s="15"/>
      <c r="B639" s="15"/>
      <c r="C639" s="15"/>
      <c r="D639" s="15"/>
      <c r="E639" s="15"/>
      <c r="F639" s="15"/>
      <c r="G639" s="15"/>
      <c r="H639" s="47"/>
      <c r="I639" s="20"/>
      <c r="J639" s="20"/>
      <c r="K639" s="20"/>
      <c r="L639" s="20"/>
      <c r="M639" s="20"/>
      <c r="N639" s="20"/>
      <c r="O639" s="20"/>
      <c r="P639" s="20"/>
      <c r="Q639" s="20"/>
      <c r="R639" s="20"/>
      <c r="S639" s="20"/>
      <c r="T639" s="20"/>
      <c r="U639" s="20"/>
      <c r="V639" s="20"/>
      <c r="W639" s="20"/>
      <c r="X639" s="20"/>
      <c r="Y639" s="20"/>
      <c r="Z639" s="20"/>
    </row>
    <row r="640" spans="1:26" ht="17.25" customHeight="1">
      <c r="A640" s="15"/>
      <c r="B640" s="15"/>
      <c r="C640" s="15"/>
      <c r="D640" s="15"/>
      <c r="E640" s="15"/>
      <c r="F640" s="15"/>
      <c r="G640" s="15"/>
      <c r="H640" s="47"/>
      <c r="I640" s="20"/>
      <c r="J640" s="20"/>
      <c r="K640" s="20"/>
      <c r="L640" s="20"/>
      <c r="M640" s="20"/>
      <c r="N640" s="20"/>
      <c r="O640" s="20"/>
      <c r="P640" s="20"/>
      <c r="Q640" s="20"/>
      <c r="R640" s="20"/>
      <c r="S640" s="20"/>
      <c r="T640" s="20"/>
      <c r="U640" s="20"/>
      <c r="V640" s="20"/>
      <c r="W640" s="20"/>
      <c r="X640" s="20"/>
      <c r="Y640" s="20"/>
      <c r="Z640" s="20"/>
    </row>
    <row r="641" spans="1:26" ht="17.25" customHeight="1">
      <c r="A641" s="15"/>
      <c r="B641" s="15"/>
      <c r="C641" s="15"/>
      <c r="D641" s="15"/>
      <c r="E641" s="15"/>
      <c r="F641" s="15"/>
      <c r="G641" s="15"/>
      <c r="H641" s="47"/>
      <c r="I641" s="20"/>
      <c r="J641" s="20"/>
      <c r="K641" s="20"/>
      <c r="L641" s="20"/>
      <c r="M641" s="20"/>
      <c r="N641" s="20"/>
      <c r="O641" s="20"/>
      <c r="P641" s="20"/>
      <c r="Q641" s="20"/>
      <c r="R641" s="20"/>
      <c r="S641" s="20"/>
      <c r="T641" s="20"/>
      <c r="U641" s="20"/>
      <c r="V641" s="20"/>
      <c r="W641" s="20"/>
      <c r="X641" s="20"/>
      <c r="Y641" s="20"/>
      <c r="Z641" s="20"/>
    </row>
    <row r="642" spans="1:26" ht="17.25" customHeight="1">
      <c r="A642" s="15"/>
      <c r="B642" s="15"/>
      <c r="C642" s="15"/>
      <c r="D642" s="15"/>
      <c r="E642" s="15"/>
      <c r="F642" s="15"/>
      <c r="G642" s="15"/>
      <c r="H642" s="47"/>
      <c r="I642" s="20"/>
      <c r="J642" s="20"/>
      <c r="K642" s="20"/>
      <c r="L642" s="20"/>
      <c r="M642" s="20"/>
      <c r="N642" s="20"/>
      <c r="O642" s="20"/>
      <c r="P642" s="20"/>
      <c r="Q642" s="20"/>
      <c r="R642" s="20"/>
      <c r="S642" s="20"/>
      <c r="T642" s="20"/>
      <c r="U642" s="20"/>
      <c r="V642" s="20"/>
      <c r="W642" s="20"/>
      <c r="X642" s="20"/>
      <c r="Y642" s="20"/>
      <c r="Z642" s="20"/>
    </row>
    <row r="643" spans="1:26" ht="17.25" customHeight="1">
      <c r="A643" s="15"/>
      <c r="B643" s="15"/>
      <c r="C643" s="15"/>
      <c r="D643" s="15"/>
      <c r="E643" s="15"/>
      <c r="F643" s="15"/>
      <c r="G643" s="15"/>
      <c r="H643" s="47"/>
      <c r="I643" s="20"/>
      <c r="J643" s="20"/>
      <c r="K643" s="20"/>
      <c r="L643" s="20"/>
      <c r="M643" s="20"/>
      <c r="N643" s="20"/>
      <c r="O643" s="20"/>
      <c r="P643" s="20"/>
      <c r="Q643" s="20"/>
      <c r="R643" s="20"/>
      <c r="S643" s="20"/>
      <c r="T643" s="20"/>
      <c r="U643" s="20"/>
      <c r="V643" s="20"/>
      <c r="W643" s="20"/>
      <c r="X643" s="20"/>
      <c r="Y643" s="20"/>
      <c r="Z643" s="20"/>
    </row>
    <row r="644" spans="1:26" ht="17.25" customHeight="1">
      <c r="A644" s="15"/>
      <c r="B644" s="15"/>
      <c r="C644" s="15"/>
      <c r="D644" s="15"/>
      <c r="E644" s="15"/>
      <c r="F644" s="15"/>
      <c r="G644" s="15"/>
      <c r="H644" s="47"/>
      <c r="I644" s="20"/>
      <c r="J644" s="20"/>
      <c r="K644" s="20"/>
      <c r="L644" s="20"/>
      <c r="M644" s="20"/>
      <c r="N644" s="20"/>
      <c r="O644" s="20"/>
      <c r="P644" s="20"/>
      <c r="Q644" s="20"/>
      <c r="R644" s="20"/>
      <c r="S644" s="20"/>
      <c r="T644" s="20"/>
      <c r="U644" s="20"/>
      <c r="V644" s="20"/>
      <c r="W644" s="20"/>
      <c r="X644" s="20"/>
      <c r="Y644" s="20"/>
      <c r="Z644" s="20"/>
    </row>
    <row r="645" spans="1:26" ht="17.25" customHeight="1">
      <c r="A645" s="15"/>
      <c r="B645" s="15"/>
      <c r="C645" s="15"/>
      <c r="D645" s="15"/>
      <c r="E645" s="15"/>
      <c r="F645" s="15"/>
      <c r="G645" s="15"/>
      <c r="H645" s="47"/>
      <c r="I645" s="20"/>
      <c r="J645" s="20"/>
      <c r="K645" s="20"/>
      <c r="L645" s="20"/>
      <c r="M645" s="20"/>
      <c r="N645" s="20"/>
      <c r="O645" s="20"/>
      <c r="P645" s="20"/>
      <c r="Q645" s="20"/>
      <c r="R645" s="20"/>
      <c r="S645" s="20"/>
      <c r="T645" s="20"/>
      <c r="U645" s="20"/>
      <c r="V645" s="20"/>
      <c r="W645" s="20"/>
      <c r="X645" s="20"/>
      <c r="Y645" s="20"/>
      <c r="Z645" s="20"/>
    </row>
    <row r="646" spans="1:26" ht="17.25" customHeight="1">
      <c r="A646" s="15"/>
      <c r="B646" s="15"/>
      <c r="C646" s="15"/>
      <c r="D646" s="15"/>
      <c r="E646" s="15"/>
      <c r="F646" s="15"/>
      <c r="G646" s="15"/>
      <c r="H646" s="47"/>
      <c r="I646" s="20"/>
      <c r="J646" s="20"/>
      <c r="K646" s="20"/>
      <c r="L646" s="20"/>
      <c r="M646" s="20"/>
      <c r="N646" s="20"/>
      <c r="O646" s="20"/>
      <c r="P646" s="20"/>
      <c r="Q646" s="20"/>
      <c r="R646" s="20"/>
      <c r="S646" s="20"/>
      <c r="T646" s="20"/>
      <c r="U646" s="20"/>
      <c r="V646" s="20"/>
      <c r="W646" s="20"/>
      <c r="X646" s="20"/>
      <c r="Y646" s="20"/>
      <c r="Z646" s="20"/>
    </row>
    <row r="647" spans="1:26" ht="17.25" customHeight="1">
      <c r="A647" s="15"/>
      <c r="B647" s="15"/>
      <c r="C647" s="15"/>
      <c r="D647" s="15"/>
      <c r="E647" s="15"/>
      <c r="F647" s="15"/>
      <c r="G647" s="15"/>
      <c r="H647" s="47"/>
      <c r="I647" s="20"/>
      <c r="J647" s="20"/>
      <c r="K647" s="20"/>
      <c r="L647" s="20"/>
      <c r="M647" s="20"/>
      <c r="N647" s="20"/>
      <c r="O647" s="20"/>
      <c r="P647" s="20"/>
      <c r="Q647" s="20"/>
      <c r="R647" s="20"/>
      <c r="S647" s="20"/>
      <c r="T647" s="20"/>
      <c r="U647" s="20"/>
      <c r="V647" s="20"/>
      <c r="W647" s="20"/>
      <c r="X647" s="20"/>
      <c r="Y647" s="20"/>
      <c r="Z647" s="20"/>
    </row>
    <row r="648" spans="1:26" ht="17.25" customHeight="1">
      <c r="A648" s="15"/>
      <c r="B648" s="15"/>
      <c r="C648" s="15"/>
      <c r="D648" s="15"/>
      <c r="E648" s="15"/>
      <c r="F648" s="15"/>
      <c r="G648" s="15"/>
      <c r="H648" s="47"/>
      <c r="I648" s="20"/>
      <c r="J648" s="20"/>
      <c r="K648" s="20"/>
      <c r="L648" s="20"/>
      <c r="M648" s="20"/>
      <c r="N648" s="20"/>
      <c r="O648" s="20"/>
      <c r="P648" s="20"/>
      <c r="Q648" s="20"/>
      <c r="R648" s="20"/>
      <c r="S648" s="20"/>
      <c r="T648" s="20"/>
      <c r="U648" s="20"/>
      <c r="V648" s="20"/>
      <c r="W648" s="20"/>
      <c r="X648" s="20"/>
      <c r="Y648" s="20"/>
      <c r="Z648" s="20"/>
    </row>
    <row r="649" spans="1:26" ht="17.25" customHeight="1">
      <c r="A649" s="15"/>
      <c r="B649" s="15"/>
      <c r="C649" s="15"/>
      <c r="D649" s="15"/>
      <c r="E649" s="15"/>
      <c r="F649" s="15"/>
      <c r="G649" s="15"/>
      <c r="H649" s="47"/>
      <c r="I649" s="20"/>
      <c r="J649" s="20"/>
      <c r="K649" s="20"/>
      <c r="L649" s="20"/>
      <c r="M649" s="20"/>
      <c r="N649" s="20"/>
      <c r="O649" s="20"/>
      <c r="P649" s="20"/>
      <c r="Q649" s="20"/>
      <c r="R649" s="20"/>
      <c r="S649" s="20"/>
      <c r="T649" s="20"/>
      <c r="U649" s="20"/>
      <c r="V649" s="20"/>
      <c r="W649" s="20"/>
      <c r="X649" s="20"/>
      <c r="Y649" s="20"/>
      <c r="Z649" s="20"/>
    </row>
    <row r="650" spans="1:26" ht="17.25" customHeight="1">
      <c r="A650" s="15"/>
      <c r="B650" s="15"/>
      <c r="C650" s="15"/>
      <c r="D650" s="15"/>
      <c r="E650" s="15"/>
      <c r="F650" s="15"/>
      <c r="G650" s="15"/>
      <c r="H650" s="47"/>
      <c r="I650" s="20"/>
      <c r="J650" s="20"/>
      <c r="K650" s="20"/>
      <c r="L650" s="20"/>
      <c r="M650" s="20"/>
      <c r="N650" s="20"/>
      <c r="O650" s="20"/>
      <c r="P650" s="20"/>
      <c r="Q650" s="20"/>
      <c r="R650" s="20"/>
      <c r="S650" s="20"/>
      <c r="T650" s="20"/>
      <c r="U650" s="20"/>
      <c r="V650" s="20"/>
      <c r="W650" s="20"/>
      <c r="X650" s="20"/>
      <c r="Y650" s="20"/>
      <c r="Z650" s="20"/>
    </row>
    <row r="651" spans="1:26" ht="17.25" customHeight="1">
      <c r="A651" s="15"/>
      <c r="B651" s="15"/>
      <c r="C651" s="15"/>
      <c r="D651" s="15"/>
      <c r="E651" s="15"/>
      <c r="F651" s="15"/>
      <c r="G651" s="15"/>
      <c r="H651" s="47"/>
      <c r="I651" s="20"/>
      <c r="J651" s="20"/>
      <c r="K651" s="20"/>
      <c r="L651" s="20"/>
      <c r="M651" s="20"/>
      <c r="N651" s="20"/>
      <c r="O651" s="20"/>
      <c r="P651" s="20"/>
      <c r="Q651" s="20"/>
      <c r="R651" s="20"/>
      <c r="S651" s="20"/>
      <c r="T651" s="20"/>
      <c r="U651" s="20"/>
      <c r="V651" s="20"/>
      <c r="W651" s="20"/>
      <c r="X651" s="20"/>
      <c r="Y651" s="20"/>
      <c r="Z651" s="20"/>
    </row>
    <row r="652" spans="1:26" ht="17.25" customHeight="1">
      <c r="A652" s="15"/>
      <c r="B652" s="15"/>
      <c r="C652" s="15"/>
      <c r="D652" s="15"/>
      <c r="E652" s="15"/>
      <c r="F652" s="15"/>
      <c r="G652" s="15"/>
      <c r="H652" s="47"/>
      <c r="I652" s="20"/>
      <c r="J652" s="20"/>
      <c r="K652" s="20"/>
      <c r="L652" s="20"/>
      <c r="M652" s="20"/>
      <c r="N652" s="20"/>
      <c r="O652" s="20"/>
      <c r="P652" s="20"/>
      <c r="Q652" s="20"/>
      <c r="R652" s="20"/>
      <c r="S652" s="20"/>
      <c r="T652" s="20"/>
      <c r="U652" s="20"/>
      <c r="V652" s="20"/>
      <c r="W652" s="20"/>
      <c r="X652" s="20"/>
      <c r="Y652" s="20"/>
      <c r="Z652" s="20"/>
    </row>
    <row r="653" spans="1:26" ht="17.25" customHeight="1">
      <c r="A653" s="15"/>
      <c r="B653" s="15"/>
      <c r="C653" s="15"/>
      <c r="D653" s="15"/>
      <c r="E653" s="15"/>
      <c r="F653" s="15"/>
      <c r="G653" s="15"/>
      <c r="H653" s="47"/>
      <c r="I653" s="20"/>
      <c r="J653" s="20"/>
      <c r="K653" s="20"/>
      <c r="L653" s="20"/>
      <c r="M653" s="20"/>
      <c r="N653" s="20"/>
      <c r="O653" s="20"/>
      <c r="P653" s="20"/>
      <c r="Q653" s="20"/>
      <c r="R653" s="20"/>
      <c r="S653" s="20"/>
      <c r="T653" s="20"/>
      <c r="U653" s="20"/>
      <c r="V653" s="20"/>
      <c r="W653" s="20"/>
      <c r="X653" s="20"/>
      <c r="Y653" s="20"/>
      <c r="Z653" s="20"/>
    </row>
    <row r="654" spans="1:26" ht="17.25" customHeight="1">
      <c r="A654" s="15"/>
      <c r="B654" s="15"/>
      <c r="C654" s="15"/>
      <c r="D654" s="15"/>
      <c r="E654" s="15"/>
      <c r="F654" s="15"/>
      <c r="G654" s="15"/>
      <c r="H654" s="47"/>
      <c r="I654" s="20"/>
      <c r="J654" s="20"/>
      <c r="K654" s="20"/>
      <c r="L654" s="20"/>
      <c r="M654" s="20"/>
      <c r="N654" s="20"/>
      <c r="O654" s="20"/>
      <c r="P654" s="20"/>
      <c r="Q654" s="20"/>
      <c r="R654" s="20"/>
      <c r="S654" s="20"/>
      <c r="T654" s="20"/>
      <c r="U654" s="20"/>
      <c r="V654" s="20"/>
      <c r="W654" s="20"/>
      <c r="X654" s="20"/>
      <c r="Y654" s="20"/>
      <c r="Z654" s="20"/>
    </row>
    <row r="655" spans="1:26" ht="17.25" customHeight="1">
      <c r="A655" s="15"/>
      <c r="B655" s="15"/>
      <c r="C655" s="15"/>
      <c r="D655" s="15"/>
      <c r="E655" s="15"/>
      <c r="F655" s="15"/>
      <c r="G655" s="15"/>
      <c r="H655" s="47"/>
      <c r="I655" s="20"/>
      <c r="J655" s="20"/>
      <c r="K655" s="20"/>
      <c r="L655" s="20"/>
      <c r="M655" s="20"/>
      <c r="N655" s="20"/>
      <c r="O655" s="20"/>
      <c r="P655" s="20"/>
      <c r="Q655" s="20"/>
      <c r="R655" s="20"/>
      <c r="S655" s="20"/>
      <c r="T655" s="20"/>
      <c r="U655" s="20"/>
      <c r="V655" s="20"/>
      <c r="W655" s="20"/>
      <c r="X655" s="20"/>
      <c r="Y655" s="20"/>
      <c r="Z655" s="20"/>
    </row>
    <row r="656" spans="1:26" ht="17.25" customHeight="1">
      <c r="A656" s="15"/>
      <c r="B656" s="15"/>
      <c r="C656" s="15"/>
      <c r="D656" s="15"/>
      <c r="E656" s="15"/>
      <c r="F656" s="15"/>
      <c r="G656" s="15"/>
      <c r="H656" s="47"/>
      <c r="I656" s="20"/>
      <c r="J656" s="20"/>
      <c r="K656" s="20"/>
      <c r="L656" s="20"/>
      <c r="M656" s="20"/>
      <c r="N656" s="20"/>
      <c r="O656" s="20"/>
      <c r="P656" s="20"/>
      <c r="Q656" s="20"/>
      <c r="R656" s="20"/>
      <c r="S656" s="20"/>
      <c r="T656" s="20"/>
      <c r="U656" s="20"/>
      <c r="V656" s="20"/>
      <c r="W656" s="20"/>
      <c r="X656" s="20"/>
      <c r="Y656" s="20"/>
      <c r="Z656" s="20"/>
    </row>
    <row r="657" spans="1:26" ht="17.25" customHeight="1">
      <c r="A657" s="15"/>
      <c r="B657" s="15"/>
      <c r="C657" s="15"/>
      <c r="D657" s="15"/>
      <c r="E657" s="15"/>
      <c r="F657" s="15"/>
      <c r="G657" s="15"/>
      <c r="H657" s="47"/>
      <c r="I657" s="20"/>
      <c r="J657" s="20"/>
      <c r="K657" s="20"/>
      <c r="L657" s="20"/>
      <c r="M657" s="20"/>
      <c r="N657" s="20"/>
      <c r="O657" s="20"/>
      <c r="P657" s="20"/>
      <c r="Q657" s="20"/>
      <c r="R657" s="20"/>
      <c r="S657" s="20"/>
      <c r="T657" s="20"/>
      <c r="U657" s="20"/>
      <c r="V657" s="20"/>
      <c r="W657" s="20"/>
      <c r="X657" s="20"/>
      <c r="Y657" s="20"/>
      <c r="Z657" s="20"/>
    </row>
    <row r="658" spans="1:26" ht="17.25" customHeight="1">
      <c r="A658" s="15"/>
      <c r="B658" s="15"/>
      <c r="C658" s="15"/>
      <c r="D658" s="15"/>
      <c r="E658" s="15"/>
      <c r="F658" s="15"/>
      <c r="G658" s="15"/>
      <c r="H658" s="47"/>
      <c r="I658" s="20"/>
      <c r="J658" s="20"/>
      <c r="K658" s="20"/>
      <c r="L658" s="20"/>
      <c r="M658" s="20"/>
      <c r="N658" s="20"/>
      <c r="O658" s="20"/>
      <c r="P658" s="20"/>
      <c r="Q658" s="20"/>
      <c r="R658" s="20"/>
      <c r="S658" s="20"/>
      <c r="T658" s="20"/>
      <c r="U658" s="20"/>
      <c r="V658" s="20"/>
      <c r="W658" s="20"/>
      <c r="X658" s="20"/>
      <c r="Y658" s="20"/>
      <c r="Z658" s="20"/>
    </row>
    <row r="659" spans="1:26" ht="17.25" customHeight="1">
      <c r="A659" s="15"/>
      <c r="B659" s="15"/>
      <c r="C659" s="15"/>
      <c r="D659" s="15"/>
      <c r="E659" s="15"/>
      <c r="F659" s="15"/>
      <c r="G659" s="15"/>
      <c r="H659" s="47"/>
      <c r="I659" s="20"/>
      <c r="J659" s="20"/>
      <c r="K659" s="20"/>
      <c r="L659" s="20"/>
      <c r="M659" s="20"/>
      <c r="N659" s="20"/>
      <c r="O659" s="20"/>
      <c r="P659" s="20"/>
      <c r="Q659" s="20"/>
      <c r="R659" s="20"/>
      <c r="S659" s="20"/>
      <c r="T659" s="20"/>
      <c r="U659" s="20"/>
      <c r="V659" s="20"/>
      <c r="W659" s="20"/>
      <c r="X659" s="20"/>
      <c r="Y659" s="20"/>
      <c r="Z659" s="20"/>
    </row>
    <row r="660" spans="1:26" ht="17.25" customHeight="1">
      <c r="A660" s="15"/>
      <c r="B660" s="15"/>
      <c r="C660" s="15"/>
      <c r="D660" s="15"/>
      <c r="E660" s="15"/>
      <c r="F660" s="15"/>
      <c r="G660" s="15"/>
      <c r="H660" s="47"/>
      <c r="I660" s="20"/>
      <c r="J660" s="20"/>
      <c r="K660" s="20"/>
      <c r="L660" s="20"/>
      <c r="M660" s="20"/>
      <c r="N660" s="20"/>
      <c r="O660" s="20"/>
      <c r="P660" s="20"/>
      <c r="Q660" s="20"/>
      <c r="R660" s="20"/>
      <c r="S660" s="20"/>
      <c r="T660" s="20"/>
      <c r="U660" s="20"/>
      <c r="V660" s="20"/>
      <c r="W660" s="20"/>
      <c r="X660" s="20"/>
      <c r="Y660" s="20"/>
      <c r="Z660" s="20"/>
    </row>
    <row r="661" spans="1:26" ht="17.25" customHeight="1">
      <c r="A661" s="15"/>
      <c r="B661" s="15"/>
      <c r="C661" s="15"/>
      <c r="D661" s="15"/>
      <c r="E661" s="15"/>
      <c r="F661" s="15"/>
      <c r="G661" s="15"/>
      <c r="H661" s="47"/>
      <c r="I661" s="20"/>
      <c r="J661" s="20"/>
      <c r="K661" s="20"/>
      <c r="L661" s="20"/>
      <c r="M661" s="20"/>
      <c r="N661" s="20"/>
      <c r="O661" s="20"/>
      <c r="P661" s="20"/>
      <c r="Q661" s="20"/>
      <c r="R661" s="20"/>
      <c r="S661" s="20"/>
      <c r="T661" s="20"/>
      <c r="U661" s="20"/>
      <c r="V661" s="20"/>
      <c r="W661" s="20"/>
      <c r="X661" s="20"/>
      <c r="Y661" s="20"/>
      <c r="Z661" s="20"/>
    </row>
    <row r="662" spans="1:26" ht="17.25" customHeight="1">
      <c r="A662" s="15"/>
      <c r="B662" s="15"/>
      <c r="C662" s="15"/>
      <c r="D662" s="15"/>
      <c r="E662" s="15"/>
      <c r="F662" s="15"/>
      <c r="G662" s="15"/>
      <c r="H662" s="47"/>
      <c r="I662" s="20"/>
      <c r="J662" s="20"/>
      <c r="K662" s="20"/>
      <c r="L662" s="20"/>
      <c r="M662" s="20"/>
      <c r="N662" s="20"/>
      <c r="O662" s="20"/>
      <c r="P662" s="20"/>
      <c r="Q662" s="20"/>
      <c r="R662" s="20"/>
      <c r="S662" s="20"/>
      <c r="T662" s="20"/>
      <c r="U662" s="20"/>
      <c r="V662" s="20"/>
      <c r="W662" s="20"/>
      <c r="X662" s="20"/>
      <c r="Y662" s="20"/>
      <c r="Z662" s="20"/>
    </row>
    <row r="663" spans="1:26" ht="17.25" customHeight="1">
      <c r="A663" s="15"/>
      <c r="B663" s="15"/>
      <c r="C663" s="15"/>
      <c r="D663" s="15"/>
      <c r="E663" s="15"/>
      <c r="F663" s="15"/>
      <c r="G663" s="15"/>
      <c r="H663" s="47"/>
      <c r="I663" s="20"/>
      <c r="J663" s="20"/>
      <c r="K663" s="20"/>
      <c r="L663" s="20"/>
      <c r="M663" s="20"/>
      <c r="N663" s="20"/>
      <c r="O663" s="20"/>
      <c r="P663" s="20"/>
      <c r="Q663" s="20"/>
      <c r="R663" s="20"/>
      <c r="S663" s="20"/>
      <c r="T663" s="20"/>
      <c r="U663" s="20"/>
      <c r="V663" s="20"/>
      <c r="W663" s="20"/>
      <c r="X663" s="20"/>
      <c r="Y663" s="20"/>
      <c r="Z663" s="20"/>
    </row>
    <row r="664" spans="1:26" ht="17.25" customHeight="1">
      <c r="A664" s="15"/>
      <c r="B664" s="15"/>
      <c r="C664" s="15"/>
      <c r="D664" s="15"/>
      <c r="E664" s="15"/>
      <c r="F664" s="15"/>
      <c r="G664" s="15"/>
      <c r="H664" s="47"/>
      <c r="I664" s="20"/>
      <c r="J664" s="20"/>
      <c r="K664" s="20"/>
      <c r="L664" s="20"/>
      <c r="M664" s="20"/>
      <c r="N664" s="20"/>
      <c r="O664" s="20"/>
      <c r="P664" s="20"/>
      <c r="Q664" s="20"/>
      <c r="R664" s="20"/>
      <c r="S664" s="20"/>
      <c r="T664" s="20"/>
      <c r="U664" s="20"/>
      <c r="V664" s="20"/>
      <c r="W664" s="20"/>
      <c r="X664" s="20"/>
      <c r="Y664" s="20"/>
      <c r="Z664" s="20"/>
    </row>
    <row r="665" spans="1:26" ht="17.25" customHeight="1">
      <c r="A665" s="15"/>
      <c r="B665" s="15"/>
      <c r="C665" s="15"/>
      <c r="D665" s="15"/>
      <c r="E665" s="15"/>
      <c r="F665" s="15"/>
      <c r="G665" s="15"/>
      <c r="H665" s="47"/>
      <c r="I665" s="20"/>
      <c r="J665" s="20"/>
      <c r="K665" s="20"/>
      <c r="L665" s="20"/>
      <c r="M665" s="20"/>
      <c r="N665" s="20"/>
      <c r="O665" s="20"/>
      <c r="P665" s="20"/>
      <c r="Q665" s="20"/>
      <c r="R665" s="20"/>
      <c r="S665" s="20"/>
      <c r="T665" s="20"/>
      <c r="U665" s="20"/>
      <c r="V665" s="20"/>
      <c r="W665" s="20"/>
      <c r="X665" s="20"/>
      <c r="Y665" s="20"/>
      <c r="Z665" s="20"/>
    </row>
    <row r="666" spans="1:26" ht="17.25" customHeight="1">
      <c r="A666" s="15"/>
      <c r="B666" s="15"/>
      <c r="C666" s="15"/>
      <c r="D666" s="15"/>
      <c r="E666" s="15"/>
      <c r="F666" s="15"/>
      <c r="G666" s="15"/>
      <c r="H666" s="47"/>
      <c r="I666" s="20"/>
      <c r="J666" s="20"/>
      <c r="K666" s="20"/>
      <c r="L666" s="20"/>
      <c r="M666" s="20"/>
      <c r="N666" s="20"/>
      <c r="O666" s="20"/>
      <c r="P666" s="20"/>
      <c r="Q666" s="20"/>
      <c r="R666" s="20"/>
      <c r="S666" s="20"/>
      <c r="T666" s="20"/>
      <c r="U666" s="20"/>
      <c r="V666" s="20"/>
      <c r="W666" s="20"/>
      <c r="X666" s="20"/>
      <c r="Y666" s="20"/>
      <c r="Z666" s="20"/>
    </row>
    <row r="667" spans="1:26" ht="17.25" customHeight="1">
      <c r="A667" s="15"/>
      <c r="B667" s="15"/>
      <c r="C667" s="15"/>
      <c r="D667" s="15"/>
      <c r="E667" s="15"/>
      <c r="F667" s="15"/>
      <c r="G667" s="15"/>
      <c r="H667" s="47"/>
      <c r="I667" s="20"/>
      <c r="J667" s="20"/>
      <c r="K667" s="20"/>
      <c r="L667" s="20"/>
      <c r="M667" s="20"/>
      <c r="N667" s="20"/>
      <c r="O667" s="20"/>
      <c r="P667" s="20"/>
      <c r="Q667" s="20"/>
      <c r="R667" s="20"/>
      <c r="S667" s="20"/>
      <c r="T667" s="20"/>
      <c r="U667" s="20"/>
      <c r="V667" s="20"/>
      <c r="W667" s="20"/>
      <c r="X667" s="20"/>
      <c r="Y667" s="20"/>
      <c r="Z667" s="20"/>
    </row>
    <row r="668" spans="1:26" ht="17.25" customHeight="1">
      <c r="A668" s="15"/>
      <c r="B668" s="15"/>
      <c r="C668" s="15"/>
      <c r="D668" s="15"/>
      <c r="E668" s="15"/>
      <c r="F668" s="15"/>
      <c r="G668" s="15"/>
      <c r="H668" s="47"/>
      <c r="I668" s="20"/>
      <c r="J668" s="20"/>
      <c r="K668" s="20"/>
      <c r="L668" s="20"/>
      <c r="M668" s="20"/>
      <c r="N668" s="20"/>
      <c r="O668" s="20"/>
      <c r="P668" s="20"/>
      <c r="Q668" s="20"/>
      <c r="R668" s="20"/>
      <c r="S668" s="20"/>
      <c r="T668" s="20"/>
      <c r="U668" s="20"/>
      <c r="V668" s="20"/>
      <c r="W668" s="20"/>
      <c r="X668" s="20"/>
      <c r="Y668" s="20"/>
      <c r="Z668" s="20"/>
    </row>
    <row r="669" spans="1:26" ht="17.25" customHeight="1">
      <c r="A669" s="15"/>
      <c r="B669" s="15"/>
      <c r="C669" s="15"/>
      <c r="D669" s="15"/>
      <c r="E669" s="15"/>
      <c r="F669" s="15"/>
      <c r="G669" s="15"/>
      <c r="H669" s="47"/>
      <c r="I669" s="20"/>
      <c r="J669" s="20"/>
      <c r="K669" s="20"/>
      <c r="L669" s="20"/>
      <c r="M669" s="20"/>
      <c r="N669" s="20"/>
      <c r="O669" s="20"/>
      <c r="P669" s="20"/>
      <c r="Q669" s="20"/>
      <c r="R669" s="20"/>
      <c r="S669" s="20"/>
      <c r="T669" s="20"/>
      <c r="U669" s="20"/>
      <c r="V669" s="20"/>
      <c r="W669" s="20"/>
      <c r="X669" s="20"/>
      <c r="Y669" s="20"/>
      <c r="Z669" s="20"/>
    </row>
    <row r="670" spans="1:26" ht="17.25" customHeight="1">
      <c r="A670" s="15"/>
      <c r="B670" s="15"/>
      <c r="C670" s="15"/>
      <c r="D670" s="15"/>
      <c r="E670" s="15"/>
      <c r="F670" s="15"/>
      <c r="G670" s="15"/>
      <c r="H670" s="47"/>
      <c r="I670" s="20"/>
      <c r="J670" s="20"/>
      <c r="K670" s="20"/>
      <c r="L670" s="20"/>
      <c r="M670" s="20"/>
      <c r="N670" s="20"/>
      <c r="O670" s="20"/>
      <c r="P670" s="20"/>
      <c r="Q670" s="20"/>
      <c r="R670" s="20"/>
      <c r="S670" s="20"/>
      <c r="T670" s="20"/>
      <c r="U670" s="20"/>
      <c r="V670" s="20"/>
      <c r="W670" s="20"/>
      <c r="X670" s="20"/>
      <c r="Y670" s="20"/>
      <c r="Z670" s="20"/>
    </row>
    <row r="671" spans="1:26" ht="17.25" customHeight="1">
      <c r="A671" s="15"/>
      <c r="B671" s="15"/>
      <c r="C671" s="15"/>
      <c r="D671" s="15"/>
      <c r="E671" s="15"/>
      <c r="F671" s="15"/>
      <c r="G671" s="15"/>
      <c r="H671" s="47"/>
      <c r="I671" s="20"/>
      <c r="J671" s="20"/>
      <c r="K671" s="20"/>
      <c r="L671" s="20"/>
      <c r="M671" s="20"/>
      <c r="N671" s="20"/>
      <c r="O671" s="20"/>
      <c r="P671" s="20"/>
      <c r="Q671" s="20"/>
      <c r="R671" s="20"/>
      <c r="S671" s="20"/>
      <c r="T671" s="20"/>
      <c r="U671" s="20"/>
      <c r="V671" s="20"/>
      <c r="W671" s="20"/>
      <c r="X671" s="20"/>
      <c r="Y671" s="20"/>
      <c r="Z671" s="20"/>
    </row>
    <row r="672" spans="1:26" ht="17.25" customHeight="1">
      <c r="A672" s="15"/>
      <c r="B672" s="15"/>
      <c r="C672" s="15"/>
      <c r="D672" s="15"/>
      <c r="E672" s="15"/>
      <c r="F672" s="15"/>
      <c r="G672" s="15"/>
      <c r="H672" s="47"/>
      <c r="I672" s="20"/>
      <c r="J672" s="20"/>
      <c r="K672" s="20"/>
      <c r="L672" s="20"/>
      <c r="M672" s="20"/>
      <c r="N672" s="20"/>
      <c r="O672" s="20"/>
      <c r="P672" s="20"/>
      <c r="Q672" s="20"/>
      <c r="R672" s="20"/>
      <c r="S672" s="20"/>
      <c r="T672" s="20"/>
      <c r="U672" s="20"/>
      <c r="V672" s="20"/>
      <c r="W672" s="20"/>
      <c r="X672" s="20"/>
      <c r="Y672" s="20"/>
      <c r="Z672" s="20"/>
    </row>
    <row r="673" spans="1:26" ht="17.25" customHeight="1">
      <c r="A673" s="15"/>
      <c r="B673" s="15"/>
      <c r="C673" s="15"/>
      <c r="D673" s="15"/>
      <c r="E673" s="15"/>
      <c r="F673" s="15"/>
      <c r="G673" s="15"/>
      <c r="H673" s="47"/>
      <c r="I673" s="20"/>
      <c r="J673" s="20"/>
      <c r="K673" s="20"/>
      <c r="L673" s="20"/>
      <c r="M673" s="20"/>
      <c r="N673" s="20"/>
      <c r="O673" s="20"/>
      <c r="P673" s="20"/>
      <c r="Q673" s="20"/>
      <c r="R673" s="20"/>
      <c r="S673" s="20"/>
      <c r="T673" s="20"/>
      <c r="U673" s="20"/>
      <c r="V673" s="20"/>
      <c r="W673" s="20"/>
      <c r="X673" s="20"/>
      <c r="Y673" s="20"/>
      <c r="Z673" s="20"/>
    </row>
    <row r="674" spans="1:26" ht="17.25" customHeight="1">
      <c r="A674" s="15"/>
      <c r="B674" s="15"/>
      <c r="C674" s="15"/>
      <c r="D674" s="15"/>
      <c r="E674" s="15"/>
      <c r="F674" s="15"/>
      <c r="G674" s="15"/>
      <c r="H674" s="47"/>
      <c r="I674" s="20"/>
      <c r="J674" s="20"/>
      <c r="K674" s="20"/>
      <c r="L674" s="20"/>
      <c r="M674" s="20"/>
      <c r="N674" s="20"/>
      <c r="O674" s="20"/>
      <c r="P674" s="20"/>
      <c r="Q674" s="20"/>
      <c r="R674" s="20"/>
      <c r="S674" s="20"/>
      <c r="T674" s="20"/>
      <c r="U674" s="20"/>
      <c r="V674" s="20"/>
      <c r="W674" s="20"/>
      <c r="X674" s="20"/>
      <c r="Y674" s="20"/>
      <c r="Z674" s="20"/>
    </row>
    <row r="675" spans="1:26" ht="17.25" customHeight="1">
      <c r="A675" s="15"/>
      <c r="B675" s="15"/>
      <c r="C675" s="15"/>
      <c r="D675" s="15"/>
      <c r="E675" s="15"/>
      <c r="F675" s="15"/>
      <c r="G675" s="15"/>
      <c r="H675" s="47"/>
      <c r="I675" s="20"/>
      <c r="J675" s="20"/>
      <c r="K675" s="20"/>
      <c r="L675" s="20"/>
      <c r="M675" s="20"/>
      <c r="N675" s="20"/>
      <c r="O675" s="20"/>
      <c r="P675" s="20"/>
      <c r="Q675" s="20"/>
      <c r="R675" s="20"/>
      <c r="S675" s="20"/>
      <c r="T675" s="20"/>
      <c r="U675" s="20"/>
      <c r="V675" s="20"/>
      <c r="W675" s="20"/>
      <c r="X675" s="20"/>
      <c r="Y675" s="20"/>
      <c r="Z675" s="20"/>
    </row>
    <row r="676" spans="1:26" ht="17.25" customHeight="1">
      <c r="A676" s="15"/>
      <c r="B676" s="15"/>
      <c r="C676" s="15"/>
      <c r="D676" s="15"/>
      <c r="E676" s="15"/>
      <c r="F676" s="15"/>
      <c r="G676" s="15"/>
      <c r="H676" s="47"/>
      <c r="I676" s="20"/>
      <c r="J676" s="20"/>
      <c r="K676" s="20"/>
      <c r="L676" s="20"/>
      <c r="M676" s="20"/>
      <c r="N676" s="20"/>
      <c r="O676" s="20"/>
      <c r="P676" s="20"/>
      <c r="Q676" s="20"/>
      <c r="R676" s="20"/>
      <c r="S676" s="20"/>
      <c r="T676" s="20"/>
      <c r="U676" s="20"/>
      <c r="V676" s="20"/>
      <c r="W676" s="20"/>
      <c r="X676" s="20"/>
      <c r="Y676" s="20"/>
      <c r="Z676" s="20"/>
    </row>
    <row r="677" spans="1:26" ht="17.25" customHeight="1">
      <c r="A677" s="15"/>
      <c r="B677" s="15"/>
      <c r="C677" s="15"/>
      <c r="D677" s="15"/>
      <c r="E677" s="15"/>
      <c r="F677" s="15"/>
      <c r="G677" s="15"/>
      <c r="H677" s="47"/>
      <c r="I677" s="20"/>
      <c r="J677" s="20"/>
      <c r="K677" s="20"/>
      <c r="L677" s="20"/>
      <c r="M677" s="20"/>
      <c r="N677" s="20"/>
      <c r="O677" s="20"/>
      <c r="P677" s="20"/>
      <c r="Q677" s="20"/>
      <c r="R677" s="20"/>
      <c r="S677" s="20"/>
      <c r="T677" s="20"/>
      <c r="U677" s="20"/>
      <c r="V677" s="20"/>
      <c r="W677" s="20"/>
      <c r="X677" s="20"/>
      <c r="Y677" s="20"/>
      <c r="Z677" s="20"/>
    </row>
    <row r="678" spans="1:26" ht="17.25" customHeight="1">
      <c r="A678" s="15"/>
      <c r="B678" s="15"/>
      <c r="C678" s="15"/>
      <c r="D678" s="15"/>
      <c r="E678" s="15"/>
      <c r="F678" s="15"/>
      <c r="G678" s="15"/>
      <c r="H678" s="47"/>
      <c r="I678" s="20"/>
      <c r="J678" s="20"/>
      <c r="K678" s="20"/>
      <c r="L678" s="20"/>
      <c r="M678" s="20"/>
      <c r="N678" s="20"/>
      <c r="O678" s="20"/>
      <c r="P678" s="20"/>
      <c r="Q678" s="20"/>
      <c r="R678" s="20"/>
      <c r="S678" s="20"/>
      <c r="T678" s="20"/>
      <c r="U678" s="20"/>
      <c r="V678" s="20"/>
      <c r="W678" s="20"/>
      <c r="X678" s="20"/>
      <c r="Y678" s="20"/>
      <c r="Z678" s="20"/>
    </row>
    <row r="679" spans="1:26" ht="17.25" customHeight="1">
      <c r="A679" s="15"/>
      <c r="B679" s="15"/>
      <c r="C679" s="15"/>
      <c r="D679" s="15"/>
      <c r="E679" s="15"/>
      <c r="F679" s="15"/>
      <c r="G679" s="15"/>
      <c r="H679" s="47"/>
      <c r="I679" s="20"/>
      <c r="J679" s="20"/>
      <c r="K679" s="20"/>
      <c r="L679" s="20"/>
      <c r="M679" s="20"/>
      <c r="N679" s="20"/>
      <c r="O679" s="20"/>
      <c r="P679" s="20"/>
      <c r="Q679" s="20"/>
      <c r="R679" s="20"/>
      <c r="S679" s="20"/>
      <c r="T679" s="20"/>
      <c r="U679" s="20"/>
      <c r="V679" s="20"/>
      <c r="W679" s="20"/>
      <c r="X679" s="20"/>
      <c r="Y679" s="20"/>
      <c r="Z679" s="20"/>
    </row>
    <row r="680" spans="1:26" ht="17.25" customHeight="1">
      <c r="A680" s="15"/>
      <c r="B680" s="15"/>
      <c r="C680" s="15"/>
      <c r="D680" s="15"/>
      <c r="E680" s="15"/>
      <c r="F680" s="15"/>
      <c r="G680" s="15"/>
      <c r="H680" s="47"/>
      <c r="I680" s="20"/>
      <c r="J680" s="20"/>
      <c r="K680" s="20"/>
      <c r="L680" s="20"/>
      <c r="M680" s="20"/>
      <c r="N680" s="20"/>
      <c r="O680" s="20"/>
      <c r="P680" s="20"/>
      <c r="Q680" s="20"/>
      <c r="R680" s="20"/>
      <c r="S680" s="20"/>
      <c r="T680" s="20"/>
      <c r="U680" s="20"/>
      <c r="V680" s="20"/>
      <c r="W680" s="20"/>
      <c r="X680" s="20"/>
      <c r="Y680" s="20"/>
      <c r="Z680" s="20"/>
    </row>
    <row r="681" spans="1:26" ht="17.25" customHeight="1">
      <c r="A681" s="15"/>
      <c r="B681" s="15"/>
      <c r="C681" s="15"/>
      <c r="D681" s="15"/>
      <c r="E681" s="15"/>
      <c r="F681" s="15"/>
      <c r="G681" s="15"/>
      <c r="H681" s="47"/>
      <c r="I681" s="20"/>
      <c r="J681" s="20"/>
      <c r="K681" s="20"/>
      <c r="L681" s="20"/>
      <c r="M681" s="20"/>
      <c r="N681" s="20"/>
      <c r="O681" s="20"/>
      <c r="P681" s="20"/>
      <c r="Q681" s="20"/>
      <c r="R681" s="20"/>
      <c r="S681" s="20"/>
      <c r="T681" s="20"/>
      <c r="U681" s="20"/>
      <c r="V681" s="20"/>
      <c r="W681" s="20"/>
      <c r="X681" s="20"/>
      <c r="Y681" s="20"/>
      <c r="Z681" s="20"/>
    </row>
    <row r="682" spans="1:26" ht="17.25" customHeight="1">
      <c r="A682" s="15"/>
      <c r="B682" s="15"/>
      <c r="C682" s="15"/>
      <c r="D682" s="15"/>
      <c r="E682" s="15"/>
      <c r="F682" s="15"/>
      <c r="G682" s="15"/>
      <c r="H682" s="47"/>
      <c r="I682" s="20"/>
      <c r="J682" s="20"/>
      <c r="K682" s="20"/>
      <c r="L682" s="20"/>
      <c r="M682" s="20"/>
      <c r="N682" s="20"/>
      <c r="O682" s="20"/>
      <c r="P682" s="20"/>
      <c r="Q682" s="20"/>
      <c r="R682" s="20"/>
      <c r="S682" s="20"/>
      <c r="T682" s="20"/>
      <c r="U682" s="20"/>
      <c r="V682" s="20"/>
      <c r="W682" s="20"/>
      <c r="X682" s="20"/>
      <c r="Y682" s="20"/>
      <c r="Z682" s="20"/>
    </row>
    <row r="683" spans="1:26" ht="17.25" customHeight="1">
      <c r="A683" s="15"/>
      <c r="B683" s="15"/>
      <c r="C683" s="15"/>
      <c r="D683" s="15"/>
      <c r="E683" s="15"/>
      <c r="F683" s="15"/>
      <c r="G683" s="15"/>
      <c r="H683" s="47"/>
      <c r="I683" s="20"/>
      <c r="J683" s="20"/>
      <c r="K683" s="20"/>
      <c r="L683" s="20"/>
      <c r="M683" s="20"/>
      <c r="N683" s="20"/>
      <c r="O683" s="20"/>
      <c r="P683" s="20"/>
      <c r="Q683" s="20"/>
      <c r="R683" s="20"/>
      <c r="S683" s="20"/>
      <c r="T683" s="20"/>
      <c r="U683" s="20"/>
      <c r="V683" s="20"/>
      <c r="W683" s="20"/>
      <c r="X683" s="20"/>
      <c r="Y683" s="20"/>
      <c r="Z683" s="20"/>
    </row>
    <row r="684" spans="1:26" ht="17.25" customHeight="1">
      <c r="A684" s="15"/>
      <c r="B684" s="15"/>
      <c r="C684" s="15"/>
      <c r="D684" s="15"/>
      <c r="E684" s="15"/>
      <c r="F684" s="15"/>
      <c r="G684" s="15"/>
      <c r="H684" s="47"/>
      <c r="I684" s="20"/>
      <c r="J684" s="20"/>
      <c r="K684" s="20"/>
      <c r="L684" s="20"/>
      <c r="M684" s="20"/>
      <c r="N684" s="20"/>
      <c r="O684" s="20"/>
      <c r="P684" s="20"/>
      <c r="Q684" s="20"/>
      <c r="R684" s="20"/>
      <c r="S684" s="20"/>
      <c r="T684" s="20"/>
      <c r="U684" s="20"/>
      <c r="V684" s="20"/>
      <c r="W684" s="20"/>
      <c r="X684" s="20"/>
      <c r="Y684" s="20"/>
      <c r="Z684" s="20"/>
    </row>
    <row r="685" spans="1:26" ht="17.25" customHeight="1">
      <c r="A685" s="15"/>
      <c r="B685" s="15"/>
      <c r="C685" s="15"/>
      <c r="D685" s="15"/>
      <c r="E685" s="15"/>
      <c r="F685" s="15"/>
      <c r="G685" s="15"/>
      <c r="H685" s="47"/>
      <c r="I685" s="20"/>
      <c r="J685" s="20"/>
      <c r="K685" s="20"/>
      <c r="L685" s="20"/>
      <c r="M685" s="20"/>
      <c r="N685" s="20"/>
      <c r="O685" s="20"/>
      <c r="P685" s="20"/>
      <c r="Q685" s="20"/>
      <c r="R685" s="20"/>
      <c r="S685" s="20"/>
      <c r="T685" s="20"/>
      <c r="U685" s="20"/>
      <c r="V685" s="20"/>
      <c r="W685" s="20"/>
      <c r="X685" s="20"/>
      <c r="Y685" s="20"/>
      <c r="Z685" s="20"/>
    </row>
    <row r="686" spans="1:26" ht="17.25" customHeight="1">
      <c r="A686" s="15"/>
      <c r="B686" s="15"/>
      <c r="C686" s="15"/>
      <c r="D686" s="15"/>
      <c r="E686" s="15"/>
      <c r="F686" s="15"/>
      <c r="G686" s="15"/>
      <c r="H686" s="47"/>
      <c r="I686" s="20"/>
      <c r="J686" s="20"/>
      <c r="K686" s="20"/>
      <c r="L686" s="20"/>
      <c r="M686" s="20"/>
      <c r="N686" s="20"/>
      <c r="O686" s="20"/>
      <c r="P686" s="20"/>
      <c r="Q686" s="20"/>
      <c r="R686" s="20"/>
      <c r="S686" s="20"/>
      <c r="T686" s="20"/>
      <c r="U686" s="20"/>
      <c r="V686" s="20"/>
      <c r="W686" s="20"/>
      <c r="X686" s="20"/>
      <c r="Y686" s="20"/>
      <c r="Z686" s="20"/>
    </row>
    <row r="687" spans="1:26" ht="17.25" customHeight="1">
      <c r="A687" s="15"/>
      <c r="B687" s="15"/>
      <c r="C687" s="15"/>
      <c r="D687" s="15"/>
      <c r="E687" s="15"/>
      <c r="F687" s="15"/>
      <c r="G687" s="15"/>
      <c r="H687" s="47"/>
      <c r="I687" s="20"/>
      <c r="J687" s="20"/>
      <c r="K687" s="20"/>
      <c r="L687" s="20"/>
      <c r="M687" s="20"/>
      <c r="N687" s="20"/>
      <c r="O687" s="20"/>
      <c r="P687" s="20"/>
      <c r="Q687" s="20"/>
      <c r="R687" s="20"/>
      <c r="S687" s="20"/>
      <c r="T687" s="20"/>
      <c r="U687" s="20"/>
      <c r="V687" s="20"/>
      <c r="W687" s="20"/>
      <c r="X687" s="20"/>
      <c r="Y687" s="20"/>
      <c r="Z687" s="20"/>
    </row>
    <row r="688" spans="1:26" ht="17.25" customHeight="1">
      <c r="A688" s="15"/>
      <c r="B688" s="15"/>
      <c r="C688" s="15"/>
      <c r="D688" s="15"/>
      <c r="E688" s="15"/>
      <c r="F688" s="15"/>
      <c r="G688" s="15"/>
      <c r="H688" s="47"/>
      <c r="I688" s="20"/>
      <c r="J688" s="20"/>
      <c r="K688" s="20"/>
      <c r="L688" s="20"/>
      <c r="M688" s="20"/>
      <c r="N688" s="20"/>
      <c r="O688" s="20"/>
      <c r="P688" s="20"/>
      <c r="Q688" s="20"/>
      <c r="R688" s="20"/>
      <c r="S688" s="20"/>
      <c r="T688" s="20"/>
      <c r="U688" s="20"/>
      <c r="V688" s="20"/>
      <c r="W688" s="20"/>
      <c r="X688" s="20"/>
      <c r="Y688" s="20"/>
      <c r="Z688" s="20"/>
    </row>
    <row r="689" spans="1:26" ht="17.25" customHeight="1">
      <c r="A689" s="15"/>
      <c r="B689" s="15"/>
      <c r="C689" s="15"/>
      <c r="D689" s="15"/>
      <c r="E689" s="15"/>
      <c r="F689" s="15"/>
      <c r="G689" s="15"/>
      <c r="H689" s="47"/>
      <c r="I689" s="20"/>
      <c r="J689" s="20"/>
      <c r="K689" s="20"/>
      <c r="L689" s="20"/>
      <c r="M689" s="20"/>
      <c r="N689" s="20"/>
      <c r="O689" s="20"/>
      <c r="P689" s="20"/>
      <c r="Q689" s="20"/>
      <c r="R689" s="20"/>
      <c r="S689" s="20"/>
      <c r="T689" s="20"/>
      <c r="U689" s="20"/>
      <c r="V689" s="20"/>
      <c r="W689" s="20"/>
      <c r="X689" s="20"/>
      <c r="Y689" s="20"/>
      <c r="Z689" s="20"/>
    </row>
    <row r="690" spans="1:26" ht="17.25" customHeight="1">
      <c r="A690" s="15"/>
      <c r="B690" s="15"/>
      <c r="C690" s="15"/>
      <c r="D690" s="15"/>
      <c r="E690" s="15"/>
      <c r="F690" s="15"/>
      <c r="G690" s="15"/>
      <c r="H690" s="47"/>
      <c r="I690" s="20"/>
      <c r="J690" s="20"/>
      <c r="K690" s="20"/>
      <c r="L690" s="20"/>
      <c r="M690" s="20"/>
      <c r="N690" s="20"/>
      <c r="O690" s="20"/>
      <c r="P690" s="20"/>
      <c r="Q690" s="20"/>
      <c r="R690" s="20"/>
      <c r="S690" s="20"/>
      <c r="T690" s="20"/>
      <c r="U690" s="20"/>
      <c r="V690" s="20"/>
      <c r="W690" s="20"/>
      <c r="X690" s="20"/>
      <c r="Y690" s="20"/>
      <c r="Z690" s="20"/>
    </row>
    <row r="691" spans="1:26" ht="17.25" customHeight="1">
      <c r="A691" s="15"/>
      <c r="B691" s="15"/>
      <c r="C691" s="15"/>
      <c r="D691" s="15"/>
      <c r="E691" s="15"/>
      <c r="F691" s="15"/>
      <c r="G691" s="15"/>
      <c r="H691" s="47"/>
      <c r="I691" s="20"/>
      <c r="J691" s="20"/>
      <c r="K691" s="20"/>
      <c r="L691" s="20"/>
      <c r="M691" s="20"/>
      <c r="N691" s="20"/>
      <c r="O691" s="20"/>
      <c r="P691" s="20"/>
      <c r="Q691" s="20"/>
      <c r="R691" s="20"/>
      <c r="S691" s="20"/>
      <c r="T691" s="20"/>
      <c r="U691" s="20"/>
      <c r="V691" s="20"/>
      <c r="W691" s="20"/>
      <c r="X691" s="20"/>
      <c r="Y691" s="20"/>
      <c r="Z691" s="20"/>
    </row>
    <row r="692" spans="1:26" ht="17.25" customHeight="1">
      <c r="A692" s="15"/>
      <c r="B692" s="15"/>
      <c r="C692" s="15"/>
      <c r="D692" s="15"/>
      <c r="E692" s="15"/>
      <c r="F692" s="15"/>
      <c r="G692" s="15"/>
      <c r="H692" s="47"/>
      <c r="I692" s="20"/>
      <c r="J692" s="20"/>
      <c r="K692" s="20"/>
      <c r="L692" s="20"/>
      <c r="M692" s="20"/>
      <c r="N692" s="20"/>
      <c r="O692" s="20"/>
      <c r="P692" s="20"/>
      <c r="Q692" s="20"/>
      <c r="R692" s="20"/>
      <c r="S692" s="20"/>
      <c r="T692" s="20"/>
      <c r="U692" s="20"/>
      <c r="V692" s="20"/>
      <c r="W692" s="20"/>
      <c r="X692" s="20"/>
      <c r="Y692" s="20"/>
      <c r="Z692" s="20"/>
    </row>
    <row r="693" spans="1:26" ht="17.25" customHeight="1">
      <c r="A693" s="15"/>
      <c r="B693" s="15"/>
      <c r="C693" s="15"/>
      <c r="D693" s="15"/>
      <c r="E693" s="15"/>
      <c r="F693" s="15"/>
      <c r="G693" s="15"/>
      <c r="H693" s="47"/>
      <c r="I693" s="20"/>
      <c r="J693" s="20"/>
      <c r="K693" s="20"/>
      <c r="L693" s="20"/>
      <c r="M693" s="20"/>
      <c r="N693" s="20"/>
      <c r="O693" s="20"/>
      <c r="P693" s="20"/>
      <c r="Q693" s="20"/>
      <c r="R693" s="20"/>
      <c r="S693" s="20"/>
      <c r="T693" s="20"/>
      <c r="U693" s="20"/>
      <c r="V693" s="20"/>
      <c r="W693" s="20"/>
      <c r="X693" s="20"/>
      <c r="Y693" s="20"/>
      <c r="Z693" s="20"/>
    </row>
    <row r="694" spans="1:26" ht="17.25" customHeight="1">
      <c r="A694" s="15"/>
      <c r="B694" s="15"/>
      <c r="C694" s="15"/>
      <c r="D694" s="15"/>
      <c r="E694" s="15"/>
      <c r="F694" s="15"/>
      <c r="G694" s="15"/>
      <c r="H694" s="47"/>
      <c r="I694" s="20"/>
      <c r="J694" s="20"/>
      <c r="K694" s="20"/>
      <c r="L694" s="20"/>
      <c r="M694" s="20"/>
      <c r="N694" s="20"/>
      <c r="O694" s="20"/>
      <c r="P694" s="20"/>
      <c r="Q694" s="20"/>
      <c r="R694" s="20"/>
      <c r="S694" s="20"/>
      <c r="T694" s="20"/>
      <c r="U694" s="20"/>
      <c r="V694" s="20"/>
      <c r="W694" s="20"/>
      <c r="X694" s="20"/>
      <c r="Y694" s="20"/>
      <c r="Z694" s="20"/>
    </row>
    <row r="695" spans="1:26" ht="17.25" customHeight="1">
      <c r="A695" s="15"/>
      <c r="B695" s="15"/>
      <c r="C695" s="15"/>
      <c r="D695" s="15"/>
      <c r="E695" s="15"/>
      <c r="F695" s="15"/>
      <c r="G695" s="15"/>
      <c r="H695" s="47"/>
      <c r="I695" s="20"/>
      <c r="J695" s="20"/>
      <c r="K695" s="20"/>
      <c r="L695" s="20"/>
      <c r="M695" s="20"/>
      <c r="N695" s="20"/>
      <c r="O695" s="20"/>
      <c r="P695" s="20"/>
      <c r="Q695" s="20"/>
      <c r="R695" s="20"/>
      <c r="S695" s="20"/>
      <c r="T695" s="20"/>
      <c r="U695" s="20"/>
      <c r="V695" s="20"/>
      <c r="W695" s="20"/>
      <c r="X695" s="20"/>
      <c r="Y695" s="20"/>
      <c r="Z695" s="20"/>
    </row>
    <row r="696" spans="1:26" ht="17.25" customHeight="1">
      <c r="A696" s="15"/>
      <c r="B696" s="15"/>
      <c r="C696" s="15"/>
      <c r="D696" s="15"/>
      <c r="E696" s="15"/>
      <c r="F696" s="15"/>
      <c r="G696" s="15"/>
      <c r="H696" s="47"/>
      <c r="I696" s="20"/>
      <c r="J696" s="20"/>
      <c r="K696" s="20"/>
      <c r="L696" s="20"/>
      <c r="M696" s="20"/>
      <c r="N696" s="20"/>
      <c r="O696" s="20"/>
      <c r="P696" s="20"/>
      <c r="Q696" s="20"/>
      <c r="R696" s="20"/>
      <c r="S696" s="20"/>
      <c r="T696" s="20"/>
      <c r="U696" s="20"/>
      <c r="V696" s="20"/>
      <c r="W696" s="20"/>
      <c r="X696" s="20"/>
      <c r="Y696" s="20"/>
      <c r="Z696" s="20"/>
    </row>
    <row r="697" spans="1:26" ht="17.25" customHeight="1">
      <c r="A697" s="15"/>
      <c r="B697" s="15"/>
      <c r="C697" s="15"/>
      <c r="D697" s="15"/>
      <c r="E697" s="15"/>
      <c r="F697" s="15"/>
      <c r="G697" s="15"/>
      <c r="H697" s="47"/>
      <c r="I697" s="20"/>
      <c r="J697" s="20"/>
      <c r="K697" s="20"/>
      <c r="L697" s="20"/>
      <c r="M697" s="20"/>
      <c r="N697" s="20"/>
      <c r="O697" s="20"/>
      <c r="P697" s="20"/>
      <c r="Q697" s="20"/>
      <c r="R697" s="20"/>
      <c r="S697" s="20"/>
      <c r="T697" s="20"/>
      <c r="U697" s="20"/>
      <c r="V697" s="20"/>
      <c r="W697" s="20"/>
      <c r="X697" s="20"/>
      <c r="Y697" s="20"/>
      <c r="Z697" s="20"/>
    </row>
    <row r="698" spans="1:26" ht="17.25" customHeight="1">
      <c r="A698" s="15"/>
      <c r="B698" s="15"/>
      <c r="C698" s="15"/>
      <c r="D698" s="15"/>
      <c r="E698" s="15"/>
      <c r="F698" s="15"/>
      <c r="G698" s="15"/>
      <c r="H698" s="47"/>
      <c r="I698" s="20"/>
      <c r="J698" s="20"/>
      <c r="K698" s="20"/>
      <c r="L698" s="20"/>
      <c r="M698" s="20"/>
      <c r="N698" s="20"/>
      <c r="O698" s="20"/>
      <c r="P698" s="20"/>
      <c r="Q698" s="20"/>
      <c r="R698" s="20"/>
      <c r="S698" s="20"/>
      <c r="T698" s="20"/>
      <c r="U698" s="20"/>
      <c r="V698" s="20"/>
      <c r="W698" s="20"/>
      <c r="X698" s="20"/>
      <c r="Y698" s="20"/>
      <c r="Z698" s="20"/>
    </row>
    <row r="699" spans="1:26" ht="17.25" customHeight="1">
      <c r="A699" s="15"/>
      <c r="B699" s="15"/>
      <c r="C699" s="15"/>
      <c r="D699" s="15"/>
      <c r="E699" s="15"/>
      <c r="F699" s="15"/>
      <c r="G699" s="15"/>
      <c r="H699" s="47"/>
      <c r="I699" s="20"/>
      <c r="J699" s="20"/>
      <c r="K699" s="20"/>
      <c r="L699" s="20"/>
      <c r="M699" s="20"/>
      <c r="N699" s="20"/>
      <c r="O699" s="20"/>
      <c r="P699" s="20"/>
      <c r="Q699" s="20"/>
      <c r="R699" s="20"/>
      <c r="S699" s="20"/>
      <c r="T699" s="20"/>
      <c r="U699" s="20"/>
      <c r="V699" s="20"/>
      <c r="W699" s="20"/>
      <c r="X699" s="20"/>
      <c r="Y699" s="20"/>
      <c r="Z699" s="20"/>
    </row>
    <row r="700" spans="1:26" ht="17.25" customHeight="1">
      <c r="A700" s="15"/>
      <c r="B700" s="15"/>
      <c r="C700" s="15"/>
      <c r="D700" s="15"/>
      <c r="E700" s="15"/>
      <c r="F700" s="15"/>
      <c r="G700" s="15"/>
      <c r="H700" s="47"/>
      <c r="I700" s="20"/>
      <c r="J700" s="20"/>
      <c r="K700" s="20"/>
      <c r="L700" s="20"/>
      <c r="M700" s="20"/>
      <c r="N700" s="20"/>
      <c r="O700" s="20"/>
      <c r="P700" s="20"/>
      <c r="Q700" s="20"/>
      <c r="R700" s="20"/>
      <c r="S700" s="20"/>
      <c r="T700" s="20"/>
      <c r="U700" s="20"/>
      <c r="V700" s="20"/>
      <c r="W700" s="20"/>
      <c r="X700" s="20"/>
      <c r="Y700" s="20"/>
      <c r="Z700" s="20"/>
    </row>
    <row r="701" spans="1:26" ht="17.25" customHeight="1">
      <c r="A701" s="15"/>
      <c r="B701" s="15"/>
      <c r="C701" s="15"/>
      <c r="D701" s="15"/>
      <c r="E701" s="15"/>
      <c r="F701" s="15"/>
      <c r="G701" s="15"/>
      <c r="H701" s="47"/>
      <c r="I701" s="20"/>
      <c r="J701" s="20"/>
      <c r="K701" s="20"/>
      <c r="L701" s="20"/>
      <c r="M701" s="20"/>
      <c r="N701" s="20"/>
      <c r="O701" s="20"/>
      <c r="P701" s="20"/>
      <c r="Q701" s="20"/>
      <c r="R701" s="20"/>
      <c r="S701" s="20"/>
      <c r="T701" s="20"/>
      <c r="U701" s="20"/>
      <c r="V701" s="20"/>
      <c r="W701" s="20"/>
      <c r="X701" s="20"/>
      <c r="Y701" s="20"/>
      <c r="Z701" s="20"/>
    </row>
    <row r="702" spans="1:26" ht="17.25" customHeight="1">
      <c r="A702" s="15"/>
      <c r="B702" s="15"/>
      <c r="C702" s="15"/>
      <c r="D702" s="15"/>
      <c r="E702" s="15"/>
      <c r="F702" s="15"/>
      <c r="G702" s="15"/>
      <c r="H702" s="47"/>
      <c r="I702" s="20"/>
      <c r="J702" s="20"/>
      <c r="K702" s="20"/>
      <c r="L702" s="20"/>
      <c r="M702" s="20"/>
      <c r="N702" s="20"/>
      <c r="O702" s="20"/>
      <c r="P702" s="20"/>
      <c r="Q702" s="20"/>
      <c r="R702" s="20"/>
      <c r="S702" s="20"/>
      <c r="T702" s="20"/>
      <c r="U702" s="20"/>
      <c r="V702" s="20"/>
      <c r="W702" s="20"/>
      <c r="X702" s="20"/>
      <c r="Y702" s="20"/>
      <c r="Z702" s="20"/>
    </row>
    <row r="703" spans="1:26" ht="17.25" customHeight="1">
      <c r="A703" s="15"/>
      <c r="B703" s="15"/>
      <c r="C703" s="15"/>
      <c r="D703" s="15"/>
      <c r="E703" s="15"/>
      <c r="F703" s="15"/>
      <c r="G703" s="15"/>
      <c r="H703" s="47"/>
      <c r="I703" s="20"/>
      <c r="J703" s="20"/>
      <c r="K703" s="20"/>
      <c r="L703" s="20"/>
      <c r="M703" s="20"/>
      <c r="N703" s="20"/>
      <c r="O703" s="20"/>
      <c r="P703" s="20"/>
      <c r="Q703" s="20"/>
      <c r="R703" s="20"/>
      <c r="S703" s="20"/>
      <c r="T703" s="20"/>
      <c r="U703" s="20"/>
      <c r="V703" s="20"/>
      <c r="W703" s="20"/>
      <c r="X703" s="20"/>
      <c r="Y703" s="20"/>
      <c r="Z703" s="20"/>
    </row>
    <row r="704" spans="1:26" ht="17.25" customHeight="1">
      <c r="A704" s="15"/>
      <c r="B704" s="15"/>
      <c r="C704" s="15"/>
      <c r="D704" s="15"/>
      <c r="E704" s="15"/>
      <c r="F704" s="15"/>
      <c r="G704" s="15"/>
      <c r="H704" s="47"/>
      <c r="I704" s="20"/>
      <c r="J704" s="20"/>
      <c r="K704" s="20"/>
      <c r="L704" s="20"/>
      <c r="M704" s="20"/>
      <c r="N704" s="20"/>
      <c r="O704" s="20"/>
      <c r="P704" s="20"/>
      <c r="Q704" s="20"/>
      <c r="R704" s="20"/>
      <c r="S704" s="20"/>
      <c r="T704" s="20"/>
      <c r="U704" s="20"/>
      <c r="V704" s="20"/>
      <c r="W704" s="20"/>
      <c r="X704" s="20"/>
      <c r="Y704" s="20"/>
      <c r="Z704" s="20"/>
    </row>
    <row r="705" spans="1:26" ht="17.25" customHeight="1">
      <c r="A705" s="15"/>
      <c r="B705" s="15"/>
      <c r="C705" s="15"/>
      <c r="D705" s="15"/>
      <c r="E705" s="15"/>
      <c r="F705" s="15"/>
      <c r="G705" s="15"/>
      <c r="H705" s="47"/>
      <c r="I705" s="20"/>
      <c r="J705" s="20"/>
      <c r="K705" s="20"/>
      <c r="L705" s="20"/>
      <c r="M705" s="20"/>
      <c r="N705" s="20"/>
      <c r="O705" s="20"/>
      <c r="P705" s="20"/>
      <c r="Q705" s="20"/>
      <c r="R705" s="20"/>
      <c r="S705" s="20"/>
      <c r="T705" s="20"/>
      <c r="U705" s="20"/>
      <c r="V705" s="20"/>
      <c r="W705" s="20"/>
      <c r="X705" s="20"/>
      <c r="Y705" s="20"/>
      <c r="Z705" s="20"/>
    </row>
    <row r="706" spans="1:26" ht="17.25" customHeight="1">
      <c r="A706" s="15"/>
      <c r="B706" s="15"/>
      <c r="C706" s="15"/>
      <c r="D706" s="15"/>
      <c r="E706" s="15"/>
      <c r="F706" s="15"/>
      <c r="G706" s="15"/>
      <c r="H706" s="47"/>
      <c r="I706" s="20"/>
      <c r="J706" s="20"/>
      <c r="K706" s="20"/>
      <c r="L706" s="20"/>
      <c r="M706" s="20"/>
      <c r="N706" s="20"/>
      <c r="O706" s="20"/>
      <c r="P706" s="20"/>
      <c r="Q706" s="20"/>
      <c r="R706" s="20"/>
      <c r="S706" s="20"/>
      <c r="T706" s="20"/>
      <c r="U706" s="20"/>
      <c r="V706" s="20"/>
      <c r="W706" s="20"/>
      <c r="X706" s="20"/>
      <c r="Y706" s="20"/>
      <c r="Z706" s="20"/>
    </row>
    <row r="707" spans="1:26" ht="17.25" customHeight="1">
      <c r="A707" s="15"/>
      <c r="B707" s="15"/>
      <c r="C707" s="15"/>
      <c r="D707" s="15"/>
      <c r="E707" s="15"/>
      <c r="F707" s="15"/>
      <c r="G707" s="15"/>
      <c r="H707" s="47"/>
      <c r="I707" s="20"/>
      <c r="J707" s="20"/>
      <c r="K707" s="20"/>
      <c r="L707" s="20"/>
      <c r="M707" s="20"/>
      <c r="N707" s="20"/>
      <c r="O707" s="20"/>
      <c r="P707" s="20"/>
      <c r="Q707" s="20"/>
      <c r="R707" s="20"/>
      <c r="S707" s="20"/>
      <c r="T707" s="20"/>
      <c r="U707" s="20"/>
      <c r="V707" s="20"/>
      <c r="W707" s="20"/>
      <c r="X707" s="20"/>
      <c r="Y707" s="20"/>
      <c r="Z707" s="20"/>
    </row>
    <row r="708" spans="1:26" ht="17.25" customHeight="1">
      <c r="A708" s="15"/>
      <c r="B708" s="15"/>
      <c r="C708" s="15"/>
      <c r="D708" s="15"/>
      <c r="E708" s="15"/>
      <c r="F708" s="15"/>
      <c r="G708" s="15"/>
      <c r="H708" s="47"/>
      <c r="I708" s="20"/>
      <c r="J708" s="20"/>
      <c r="K708" s="20"/>
      <c r="L708" s="20"/>
      <c r="M708" s="20"/>
      <c r="N708" s="20"/>
      <c r="O708" s="20"/>
      <c r="P708" s="20"/>
      <c r="Q708" s="20"/>
      <c r="R708" s="20"/>
      <c r="S708" s="20"/>
      <c r="T708" s="20"/>
      <c r="U708" s="20"/>
      <c r="V708" s="20"/>
      <c r="W708" s="20"/>
      <c r="X708" s="20"/>
      <c r="Y708" s="20"/>
      <c r="Z708" s="20"/>
    </row>
    <row r="709" spans="1:26" ht="17.25" customHeight="1">
      <c r="A709" s="15"/>
      <c r="B709" s="15"/>
      <c r="C709" s="15"/>
      <c r="D709" s="15"/>
      <c r="E709" s="15"/>
      <c r="F709" s="15"/>
      <c r="G709" s="15"/>
      <c r="H709" s="47"/>
      <c r="I709" s="20"/>
      <c r="J709" s="20"/>
      <c r="K709" s="20"/>
      <c r="L709" s="20"/>
      <c r="M709" s="20"/>
      <c r="N709" s="20"/>
      <c r="O709" s="20"/>
      <c r="P709" s="20"/>
      <c r="Q709" s="20"/>
      <c r="R709" s="20"/>
      <c r="S709" s="20"/>
      <c r="T709" s="20"/>
      <c r="U709" s="20"/>
      <c r="V709" s="20"/>
      <c r="W709" s="20"/>
      <c r="X709" s="20"/>
      <c r="Y709" s="20"/>
      <c r="Z709" s="20"/>
    </row>
    <row r="710" spans="1:26" ht="17.25" customHeight="1">
      <c r="A710" s="15"/>
      <c r="B710" s="15"/>
      <c r="C710" s="15"/>
      <c r="D710" s="15"/>
      <c r="E710" s="15"/>
      <c r="F710" s="15"/>
      <c r="G710" s="15"/>
      <c r="H710" s="47"/>
      <c r="I710" s="20"/>
      <c r="J710" s="20"/>
      <c r="K710" s="20"/>
      <c r="L710" s="20"/>
      <c r="M710" s="20"/>
      <c r="N710" s="20"/>
      <c r="O710" s="20"/>
      <c r="P710" s="20"/>
      <c r="Q710" s="20"/>
      <c r="R710" s="20"/>
      <c r="S710" s="20"/>
      <c r="T710" s="20"/>
      <c r="U710" s="20"/>
      <c r="V710" s="20"/>
      <c r="W710" s="20"/>
      <c r="X710" s="20"/>
      <c r="Y710" s="20"/>
      <c r="Z710" s="20"/>
    </row>
    <row r="711" spans="1:26" ht="17.25" customHeight="1">
      <c r="A711" s="15"/>
      <c r="B711" s="15"/>
      <c r="C711" s="15"/>
      <c r="D711" s="15"/>
      <c r="E711" s="15"/>
      <c r="F711" s="15"/>
      <c r="G711" s="15"/>
      <c r="H711" s="47"/>
      <c r="I711" s="20"/>
      <c r="J711" s="20"/>
      <c r="K711" s="20"/>
      <c r="L711" s="20"/>
      <c r="M711" s="20"/>
      <c r="N711" s="20"/>
      <c r="O711" s="20"/>
      <c r="P711" s="20"/>
      <c r="Q711" s="20"/>
      <c r="R711" s="20"/>
      <c r="S711" s="20"/>
      <c r="T711" s="20"/>
      <c r="U711" s="20"/>
      <c r="V711" s="20"/>
      <c r="W711" s="20"/>
      <c r="X711" s="20"/>
      <c r="Y711" s="20"/>
      <c r="Z711" s="20"/>
    </row>
    <row r="712" spans="1:26" ht="17.25" customHeight="1">
      <c r="A712" s="15"/>
      <c r="B712" s="15"/>
      <c r="C712" s="15"/>
      <c r="D712" s="15"/>
      <c r="E712" s="15"/>
      <c r="F712" s="15"/>
      <c r="G712" s="15"/>
      <c r="H712" s="47"/>
      <c r="I712" s="20"/>
      <c r="J712" s="20"/>
      <c r="K712" s="20"/>
      <c r="L712" s="20"/>
      <c r="M712" s="20"/>
      <c r="N712" s="20"/>
      <c r="O712" s="20"/>
      <c r="P712" s="20"/>
      <c r="Q712" s="20"/>
      <c r="R712" s="20"/>
      <c r="S712" s="20"/>
      <c r="T712" s="20"/>
      <c r="U712" s="20"/>
      <c r="V712" s="20"/>
      <c r="W712" s="20"/>
      <c r="X712" s="20"/>
      <c r="Y712" s="20"/>
      <c r="Z712" s="20"/>
    </row>
    <row r="713" spans="1:26" ht="17.25" customHeight="1">
      <c r="A713" s="15"/>
      <c r="B713" s="15"/>
      <c r="C713" s="15"/>
      <c r="D713" s="15"/>
      <c r="E713" s="15"/>
      <c r="F713" s="15"/>
      <c r="G713" s="15"/>
      <c r="H713" s="47"/>
      <c r="I713" s="20"/>
      <c r="J713" s="20"/>
      <c r="K713" s="20"/>
      <c r="L713" s="20"/>
      <c r="M713" s="20"/>
      <c r="N713" s="20"/>
      <c r="O713" s="20"/>
      <c r="P713" s="20"/>
      <c r="Q713" s="20"/>
      <c r="R713" s="20"/>
      <c r="S713" s="20"/>
      <c r="T713" s="20"/>
      <c r="U713" s="20"/>
      <c r="V713" s="20"/>
      <c r="W713" s="20"/>
      <c r="X713" s="20"/>
      <c r="Y713" s="20"/>
      <c r="Z713" s="20"/>
    </row>
    <row r="714" spans="1:26" ht="17.25" customHeight="1">
      <c r="A714" s="15"/>
      <c r="B714" s="15"/>
      <c r="C714" s="15"/>
      <c r="D714" s="15"/>
      <c r="E714" s="15"/>
      <c r="F714" s="15"/>
      <c r="G714" s="15"/>
      <c r="H714" s="47"/>
      <c r="I714" s="20"/>
      <c r="J714" s="20"/>
      <c r="K714" s="20"/>
      <c r="L714" s="20"/>
      <c r="M714" s="20"/>
      <c r="N714" s="20"/>
      <c r="O714" s="20"/>
      <c r="P714" s="20"/>
      <c r="Q714" s="20"/>
      <c r="R714" s="20"/>
      <c r="S714" s="20"/>
      <c r="T714" s="20"/>
      <c r="U714" s="20"/>
      <c r="V714" s="20"/>
      <c r="W714" s="20"/>
      <c r="X714" s="20"/>
      <c r="Y714" s="20"/>
      <c r="Z714" s="20"/>
    </row>
    <row r="715" spans="1:26" ht="17.25" customHeight="1">
      <c r="A715" s="15"/>
      <c r="B715" s="15"/>
      <c r="C715" s="15"/>
      <c r="D715" s="15"/>
      <c r="E715" s="15"/>
      <c r="F715" s="15"/>
      <c r="G715" s="15"/>
      <c r="H715" s="47"/>
      <c r="I715" s="20"/>
      <c r="J715" s="20"/>
      <c r="K715" s="20"/>
      <c r="L715" s="20"/>
      <c r="M715" s="20"/>
      <c r="N715" s="20"/>
      <c r="O715" s="20"/>
      <c r="P715" s="20"/>
      <c r="Q715" s="20"/>
      <c r="R715" s="20"/>
      <c r="S715" s="20"/>
      <c r="T715" s="20"/>
      <c r="U715" s="20"/>
      <c r="V715" s="20"/>
      <c r="W715" s="20"/>
      <c r="X715" s="20"/>
      <c r="Y715" s="20"/>
      <c r="Z715" s="20"/>
    </row>
    <row r="716" spans="1:26" ht="17.25" customHeight="1">
      <c r="A716" s="15"/>
      <c r="B716" s="15"/>
      <c r="C716" s="15"/>
      <c r="D716" s="15"/>
      <c r="E716" s="15"/>
      <c r="F716" s="15"/>
      <c r="G716" s="15"/>
      <c r="H716" s="47"/>
      <c r="I716" s="20"/>
      <c r="J716" s="20"/>
      <c r="K716" s="20"/>
      <c r="L716" s="20"/>
      <c r="M716" s="20"/>
      <c r="N716" s="20"/>
      <c r="O716" s="20"/>
      <c r="P716" s="20"/>
      <c r="Q716" s="20"/>
      <c r="R716" s="20"/>
      <c r="S716" s="20"/>
      <c r="T716" s="20"/>
      <c r="U716" s="20"/>
      <c r="V716" s="20"/>
      <c r="W716" s="20"/>
      <c r="X716" s="20"/>
      <c r="Y716" s="20"/>
      <c r="Z716" s="20"/>
    </row>
    <row r="717" spans="1:26" ht="17.25" customHeight="1">
      <c r="A717" s="15"/>
      <c r="B717" s="15"/>
      <c r="C717" s="15"/>
      <c r="D717" s="15"/>
      <c r="E717" s="15"/>
      <c r="F717" s="15"/>
      <c r="G717" s="15"/>
      <c r="H717" s="47"/>
      <c r="I717" s="20"/>
      <c r="J717" s="20"/>
      <c r="K717" s="20"/>
      <c r="L717" s="20"/>
      <c r="M717" s="20"/>
      <c r="N717" s="20"/>
      <c r="O717" s="20"/>
      <c r="P717" s="20"/>
      <c r="Q717" s="20"/>
      <c r="R717" s="20"/>
      <c r="S717" s="20"/>
      <c r="T717" s="20"/>
      <c r="U717" s="20"/>
      <c r="V717" s="20"/>
      <c r="W717" s="20"/>
      <c r="X717" s="20"/>
      <c r="Y717" s="20"/>
      <c r="Z717" s="20"/>
    </row>
    <row r="718" spans="1:26" ht="17.25" customHeight="1">
      <c r="A718" s="15"/>
      <c r="B718" s="15"/>
      <c r="C718" s="15"/>
      <c r="D718" s="15"/>
      <c r="E718" s="15"/>
      <c r="F718" s="15"/>
      <c r="G718" s="15"/>
      <c r="H718" s="47"/>
      <c r="I718" s="20"/>
      <c r="J718" s="20"/>
      <c r="K718" s="20"/>
      <c r="L718" s="20"/>
      <c r="M718" s="20"/>
      <c r="N718" s="20"/>
      <c r="O718" s="20"/>
      <c r="P718" s="20"/>
      <c r="Q718" s="20"/>
      <c r="R718" s="20"/>
      <c r="S718" s="20"/>
      <c r="T718" s="20"/>
      <c r="U718" s="20"/>
      <c r="V718" s="20"/>
      <c r="W718" s="20"/>
      <c r="X718" s="20"/>
      <c r="Y718" s="20"/>
      <c r="Z718" s="20"/>
    </row>
    <row r="719" spans="1:26" ht="17.25" customHeight="1">
      <c r="A719" s="15"/>
      <c r="B719" s="15"/>
      <c r="C719" s="15"/>
      <c r="D719" s="15"/>
      <c r="E719" s="15"/>
      <c r="F719" s="15"/>
      <c r="G719" s="15"/>
      <c r="H719" s="47"/>
      <c r="I719" s="20"/>
      <c r="J719" s="20"/>
      <c r="K719" s="20"/>
      <c r="L719" s="20"/>
      <c r="M719" s="20"/>
      <c r="N719" s="20"/>
      <c r="O719" s="20"/>
      <c r="P719" s="20"/>
      <c r="Q719" s="20"/>
      <c r="R719" s="20"/>
      <c r="S719" s="20"/>
      <c r="T719" s="20"/>
      <c r="U719" s="20"/>
      <c r="V719" s="20"/>
      <c r="W719" s="20"/>
      <c r="X719" s="20"/>
      <c r="Y719" s="20"/>
      <c r="Z719" s="20"/>
    </row>
    <row r="720" spans="1:26" ht="17.25" customHeight="1">
      <c r="A720" s="15"/>
      <c r="B720" s="15"/>
      <c r="C720" s="15"/>
      <c r="D720" s="15"/>
      <c r="E720" s="15"/>
      <c r="F720" s="15"/>
      <c r="G720" s="15"/>
      <c r="H720" s="47"/>
      <c r="I720" s="20"/>
      <c r="J720" s="20"/>
      <c r="K720" s="20"/>
      <c r="L720" s="20"/>
      <c r="M720" s="20"/>
      <c r="N720" s="20"/>
      <c r="O720" s="20"/>
      <c r="P720" s="20"/>
      <c r="Q720" s="20"/>
      <c r="R720" s="20"/>
      <c r="S720" s="20"/>
      <c r="T720" s="20"/>
      <c r="U720" s="20"/>
      <c r="V720" s="20"/>
      <c r="W720" s="20"/>
      <c r="X720" s="20"/>
      <c r="Y720" s="20"/>
      <c r="Z720" s="20"/>
    </row>
    <row r="721" spans="1:26" ht="17.25" customHeight="1">
      <c r="A721" s="15"/>
      <c r="B721" s="15"/>
      <c r="C721" s="15"/>
      <c r="D721" s="15"/>
      <c r="E721" s="15"/>
      <c r="F721" s="15"/>
      <c r="G721" s="15"/>
      <c r="H721" s="47"/>
      <c r="I721" s="20"/>
      <c r="J721" s="20"/>
      <c r="K721" s="20"/>
      <c r="L721" s="20"/>
      <c r="M721" s="20"/>
      <c r="N721" s="20"/>
      <c r="O721" s="20"/>
      <c r="P721" s="20"/>
      <c r="Q721" s="20"/>
      <c r="R721" s="20"/>
      <c r="S721" s="20"/>
      <c r="T721" s="20"/>
      <c r="U721" s="20"/>
      <c r="V721" s="20"/>
      <c r="W721" s="20"/>
      <c r="X721" s="20"/>
      <c r="Y721" s="20"/>
      <c r="Z721" s="20"/>
    </row>
    <row r="722" spans="1:26" ht="17.25" customHeight="1">
      <c r="A722" s="15"/>
      <c r="B722" s="15"/>
      <c r="C722" s="15"/>
      <c r="D722" s="15"/>
      <c r="E722" s="15"/>
      <c r="F722" s="15"/>
      <c r="G722" s="15"/>
      <c r="H722" s="47"/>
      <c r="I722" s="20"/>
      <c r="J722" s="20"/>
      <c r="K722" s="20"/>
      <c r="L722" s="20"/>
      <c r="M722" s="20"/>
      <c r="N722" s="20"/>
      <c r="O722" s="20"/>
      <c r="P722" s="20"/>
      <c r="Q722" s="20"/>
      <c r="R722" s="20"/>
      <c r="S722" s="20"/>
      <c r="T722" s="20"/>
      <c r="U722" s="20"/>
      <c r="V722" s="20"/>
      <c r="W722" s="20"/>
      <c r="X722" s="20"/>
      <c r="Y722" s="20"/>
      <c r="Z722" s="20"/>
    </row>
    <row r="723" spans="1:26" ht="17.25" customHeight="1">
      <c r="A723" s="15"/>
      <c r="B723" s="15"/>
      <c r="C723" s="15"/>
      <c r="D723" s="15"/>
      <c r="E723" s="15"/>
      <c r="F723" s="15"/>
      <c r="G723" s="15"/>
      <c r="H723" s="47"/>
      <c r="I723" s="20"/>
      <c r="J723" s="20"/>
      <c r="K723" s="20"/>
      <c r="L723" s="20"/>
      <c r="M723" s="20"/>
      <c r="N723" s="20"/>
      <c r="O723" s="20"/>
      <c r="P723" s="20"/>
      <c r="Q723" s="20"/>
      <c r="R723" s="20"/>
      <c r="S723" s="20"/>
      <c r="T723" s="20"/>
      <c r="U723" s="20"/>
      <c r="V723" s="20"/>
      <c r="W723" s="20"/>
      <c r="X723" s="20"/>
      <c r="Y723" s="20"/>
      <c r="Z723" s="20"/>
    </row>
    <row r="724" spans="1:26" ht="17.25" customHeight="1">
      <c r="A724" s="15"/>
      <c r="B724" s="15"/>
      <c r="C724" s="15"/>
      <c r="D724" s="15"/>
      <c r="E724" s="15"/>
      <c r="F724" s="15"/>
      <c r="G724" s="15"/>
      <c r="H724" s="47"/>
      <c r="I724" s="20"/>
      <c r="J724" s="20"/>
      <c r="K724" s="20"/>
      <c r="L724" s="20"/>
      <c r="M724" s="20"/>
      <c r="N724" s="20"/>
      <c r="O724" s="20"/>
      <c r="P724" s="20"/>
      <c r="Q724" s="20"/>
      <c r="R724" s="20"/>
      <c r="S724" s="20"/>
      <c r="T724" s="20"/>
      <c r="U724" s="20"/>
      <c r="V724" s="20"/>
      <c r="W724" s="20"/>
      <c r="X724" s="20"/>
      <c r="Y724" s="20"/>
      <c r="Z724" s="20"/>
    </row>
    <row r="725" spans="1:26" ht="17.25" customHeight="1">
      <c r="A725" s="15"/>
      <c r="B725" s="15"/>
      <c r="C725" s="15"/>
      <c r="D725" s="15"/>
      <c r="E725" s="15"/>
      <c r="F725" s="15"/>
      <c r="G725" s="15"/>
      <c r="H725" s="47"/>
      <c r="I725" s="20"/>
      <c r="J725" s="20"/>
      <c r="K725" s="20"/>
      <c r="L725" s="20"/>
      <c r="M725" s="20"/>
      <c r="N725" s="20"/>
      <c r="O725" s="20"/>
      <c r="P725" s="20"/>
      <c r="Q725" s="20"/>
      <c r="R725" s="20"/>
      <c r="S725" s="20"/>
      <c r="T725" s="20"/>
      <c r="U725" s="20"/>
      <c r="V725" s="20"/>
      <c r="W725" s="20"/>
      <c r="X725" s="20"/>
      <c r="Y725" s="20"/>
      <c r="Z725" s="20"/>
    </row>
    <row r="726" spans="1:26" ht="17.25" customHeight="1">
      <c r="A726" s="15"/>
      <c r="B726" s="15"/>
      <c r="C726" s="15"/>
      <c r="D726" s="15"/>
      <c r="E726" s="15"/>
      <c r="F726" s="15"/>
      <c r="G726" s="15"/>
      <c r="H726" s="47"/>
      <c r="I726" s="20"/>
      <c r="J726" s="20"/>
      <c r="K726" s="20"/>
      <c r="L726" s="20"/>
      <c r="M726" s="20"/>
      <c r="N726" s="20"/>
      <c r="O726" s="20"/>
      <c r="P726" s="20"/>
      <c r="Q726" s="20"/>
      <c r="R726" s="20"/>
      <c r="S726" s="20"/>
      <c r="T726" s="20"/>
      <c r="U726" s="20"/>
      <c r="V726" s="20"/>
      <c r="W726" s="20"/>
      <c r="X726" s="20"/>
      <c r="Y726" s="20"/>
      <c r="Z726" s="20"/>
    </row>
    <row r="727" spans="1:26" ht="17.25" customHeight="1">
      <c r="A727" s="15"/>
      <c r="B727" s="15"/>
      <c r="C727" s="15"/>
      <c r="D727" s="15"/>
      <c r="E727" s="15"/>
      <c r="F727" s="15"/>
      <c r="G727" s="15"/>
      <c r="H727" s="47"/>
      <c r="I727" s="20"/>
      <c r="J727" s="20"/>
      <c r="K727" s="20"/>
      <c r="L727" s="20"/>
      <c r="M727" s="20"/>
      <c r="N727" s="20"/>
      <c r="O727" s="20"/>
      <c r="P727" s="20"/>
      <c r="Q727" s="20"/>
      <c r="R727" s="20"/>
      <c r="S727" s="20"/>
      <c r="T727" s="20"/>
      <c r="U727" s="20"/>
      <c r="V727" s="20"/>
      <c r="W727" s="20"/>
      <c r="X727" s="20"/>
      <c r="Y727" s="20"/>
      <c r="Z727" s="20"/>
    </row>
    <row r="728" spans="1:26" ht="17.25" customHeight="1">
      <c r="A728" s="15"/>
      <c r="B728" s="15"/>
      <c r="C728" s="15"/>
      <c r="D728" s="15"/>
      <c r="E728" s="15"/>
      <c r="F728" s="15"/>
      <c r="G728" s="15"/>
      <c r="H728" s="47"/>
      <c r="I728" s="20"/>
      <c r="J728" s="20"/>
      <c r="K728" s="20"/>
      <c r="L728" s="20"/>
      <c r="M728" s="20"/>
      <c r="N728" s="20"/>
      <c r="O728" s="20"/>
      <c r="P728" s="20"/>
      <c r="Q728" s="20"/>
      <c r="R728" s="20"/>
      <c r="S728" s="20"/>
      <c r="T728" s="20"/>
      <c r="U728" s="20"/>
      <c r="V728" s="20"/>
      <c r="W728" s="20"/>
      <c r="X728" s="20"/>
      <c r="Y728" s="20"/>
      <c r="Z728" s="20"/>
    </row>
    <row r="729" spans="1:26" ht="17.25" customHeight="1">
      <c r="A729" s="15"/>
      <c r="B729" s="15"/>
      <c r="C729" s="15"/>
      <c r="D729" s="15"/>
      <c r="E729" s="15"/>
      <c r="F729" s="15"/>
      <c r="G729" s="15"/>
      <c r="H729" s="47"/>
      <c r="I729" s="20"/>
      <c r="J729" s="20"/>
      <c r="K729" s="20"/>
      <c r="L729" s="20"/>
      <c r="M729" s="20"/>
      <c r="N729" s="20"/>
      <c r="O729" s="20"/>
      <c r="P729" s="20"/>
      <c r="Q729" s="20"/>
      <c r="R729" s="20"/>
      <c r="S729" s="20"/>
      <c r="T729" s="20"/>
      <c r="U729" s="20"/>
      <c r="V729" s="20"/>
      <c r="W729" s="20"/>
      <c r="X729" s="20"/>
      <c r="Y729" s="20"/>
      <c r="Z729" s="20"/>
    </row>
    <row r="730" spans="1:26" ht="17.25" customHeight="1">
      <c r="A730" s="15"/>
      <c r="B730" s="15"/>
      <c r="C730" s="15"/>
      <c r="D730" s="15"/>
      <c r="E730" s="15"/>
      <c r="F730" s="15"/>
      <c r="G730" s="15"/>
      <c r="H730" s="47"/>
      <c r="I730" s="20"/>
      <c r="J730" s="20"/>
      <c r="K730" s="20"/>
      <c r="L730" s="20"/>
      <c r="M730" s="20"/>
      <c r="N730" s="20"/>
      <c r="O730" s="20"/>
      <c r="P730" s="20"/>
      <c r="Q730" s="20"/>
      <c r="R730" s="20"/>
      <c r="S730" s="20"/>
      <c r="T730" s="20"/>
      <c r="U730" s="20"/>
      <c r="V730" s="20"/>
      <c r="W730" s="20"/>
      <c r="X730" s="20"/>
      <c r="Y730" s="20"/>
      <c r="Z730" s="20"/>
    </row>
    <row r="731" spans="1:26" ht="17.25" customHeight="1">
      <c r="A731" s="15"/>
      <c r="B731" s="15"/>
      <c r="C731" s="15"/>
      <c r="D731" s="15"/>
      <c r="E731" s="15"/>
      <c r="F731" s="15"/>
      <c r="G731" s="15"/>
      <c r="H731" s="47"/>
      <c r="I731" s="20"/>
      <c r="J731" s="20"/>
      <c r="K731" s="20"/>
      <c r="L731" s="20"/>
      <c r="M731" s="20"/>
      <c r="N731" s="20"/>
      <c r="O731" s="20"/>
      <c r="P731" s="20"/>
      <c r="Q731" s="20"/>
      <c r="R731" s="20"/>
      <c r="S731" s="20"/>
      <c r="T731" s="20"/>
      <c r="U731" s="20"/>
      <c r="V731" s="20"/>
      <c r="W731" s="20"/>
      <c r="X731" s="20"/>
      <c r="Y731" s="20"/>
      <c r="Z731" s="20"/>
    </row>
    <row r="732" spans="1:26" ht="17.25" customHeight="1">
      <c r="A732" s="15"/>
      <c r="B732" s="15"/>
      <c r="C732" s="15"/>
      <c r="D732" s="15"/>
      <c r="E732" s="15"/>
      <c r="F732" s="15"/>
      <c r="G732" s="15"/>
      <c r="H732" s="47"/>
      <c r="I732" s="20"/>
      <c r="J732" s="20"/>
      <c r="K732" s="20"/>
      <c r="L732" s="20"/>
      <c r="M732" s="20"/>
      <c r="N732" s="20"/>
      <c r="O732" s="20"/>
      <c r="P732" s="20"/>
      <c r="Q732" s="20"/>
      <c r="R732" s="20"/>
      <c r="S732" s="20"/>
      <c r="T732" s="20"/>
      <c r="U732" s="20"/>
      <c r="V732" s="20"/>
      <c r="W732" s="20"/>
      <c r="X732" s="20"/>
      <c r="Y732" s="20"/>
      <c r="Z732" s="20"/>
    </row>
    <row r="733" spans="1:26" ht="17.25" customHeight="1">
      <c r="A733" s="15"/>
      <c r="B733" s="15"/>
      <c r="C733" s="15"/>
      <c r="D733" s="15"/>
      <c r="E733" s="15"/>
      <c r="F733" s="15"/>
      <c r="G733" s="15"/>
      <c r="H733" s="47"/>
      <c r="I733" s="20"/>
      <c r="J733" s="20"/>
      <c r="K733" s="20"/>
      <c r="L733" s="20"/>
      <c r="M733" s="20"/>
      <c r="N733" s="20"/>
      <c r="O733" s="20"/>
      <c r="P733" s="20"/>
      <c r="Q733" s="20"/>
      <c r="R733" s="20"/>
      <c r="S733" s="20"/>
      <c r="T733" s="20"/>
      <c r="U733" s="20"/>
      <c r="V733" s="20"/>
      <c r="W733" s="20"/>
      <c r="X733" s="20"/>
      <c r="Y733" s="20"/>
      <c r="Z733" s="20"/>
    </row>
    <row r="734" spans="1:26" ht="17.25" customHeight="1">
      <c r="A734" s="15"/>
      <c r="B734" s="15"/>
      <c r="C734" s="15"/>
      <c r="D734" s="15"/>
      <c r="E734" s="15"/>
      <c r="F734" s="15"/>
      <c r="G734" s="15"/>
      <c r="H734" s="47"/>
      <c r="I734" s="20"/>
      <c r="J734" s="20"/>
      <c r="K734" s="20"/>
      <c r="L734" s="20"/>
      <c r="M734" s="20"/>
      <c r="N734" s="20"/>
      <c r="O734" s="20"/>
      <c r="P734" s="20"/>
      <c r="Q734" s="20"/>
      <c r="R734" s="20"/>
      <c r="S734" s="20"/>
      <c r="T734" s="20"/>
      <c r="U734" s="20"/>
      <c r="V734" s="20"/>
      <c r="W734" s="20"/>
      <c r="X734" s="20"/>
      <c r="Y734" s="20"/>
      <c r="Z734" s="20"/>
    </row>
    <row r="735" spans="1:26" ht="17.25" customHeight="1">
      <c r="A735" s="15"/>
      <c r="B735" s="15"/>
      <c r="C735" s="15"/>
      <c r="D735" s="15"/>
      <c r="E735" s="15"/>
      <c r="F735" s="15"/>
      <c r="G735" s="15"/>
      <c r="H735" s="47"/>
      <c r="I735" s="20"/>
      <c r="J735" s="20"/>
      <c r="K735" s="20"/>
      <c r="L735" s="20"/>
      <c r="M735" s="20"/>
      <c r="N735" s="20"/>
      <c r="O735" s="20"/>
      <c r="P735" s="20"/>
      <c r="Q735" s="20"/>
      <c r="R735" s="20"/>
      <c r="S735" s="20"/>
      <c r="T735" s="20"/>
      <c r="U735" s="20"/>
      <c r="V735" s="20"/>
      <c r="W735" s="20"/>
      <c r="X735" s="20"/>
      <c r="Y735" s="20"/>
      <c r="Z735" s="20"/>
    </row>
    <row r="736" spans="1:26" ht="17.25" customHeight="1">
      <c r="A736" s="15"/>
      <c r="B736" s="15"/>
      <c r="C736" s="15"/>
      <c r="D736" s="15"/>
      <c r="E736" s="15"/>
      <c r="F736" s="15"/>
      <c r="G736" s="15"/>
      <c r="H736" s="47"/>
      <c r="I736" s="20"/>
      <c r="J736" s="20"/>
      <c r="K736" s="20"/>
      <c r="L736" s="20"/>
      <c r="M736" s="20"/>
      <c r="N736" s="20"/>
      <c r="O736" s="20"/>
      <c r="P736" s="20"/>
      <c r="Q736" s="20"/>
      <c r="R736" s="20"/>
      <c r="S736" s="20"/>
      <c r="T736" s="20"/>
      <c r="U736" s="20"/>
      <c r="V736" s="20"/>
      <c r="W736" s="20"/>
      <c r="X736" s="20"/>
      <c r="Y736" s="20"/>
      <c r="Z736" s="20"/>
    </row>
    <row r="737" spans="1:26" ht="17.25" customHeight="1">
      <c r="A737" s="15"/>
      <c r="B737" s="15"/>
      <c r="C737" s="15"/>
      <c r="D737" s="15"/>
      <c r="E737" s="15"/>
      <c r="F737" s="15"/>
      <c r="G737" s="15"/>
      <c r="H737" s="47"/>
      <c r="I737" s="20"/>
      <c r="J737" s="20"/>
      <c r="K737" s="20"/>
      <c r="L737" s="20"/>
      <c r="M737" s="20"/>
      <c r="N737" s="20"/>
      <c r="O737" s="20"/>
      <c r="P737" s="20"/>
      <c r="Q737" s="20"/>
      <c r="R737" s="20"/>
      <c r="S737" s="20"/>
      <c r="T737" s="20"/>
      <c r="U737" s="20"/>
      <c r="V737" s="20"/>
      <c r="W737" s="20"/>
      <c r="X737" s="20"/>
      <c r="Y737" s="20"/>
      <c r="Z737" s="20"/>
    </row>
    <row r="738" spans="1:26" ht="17.25" customHeight="1">
      <c r="A738" s="15"/>
      <c r="B738" s="15"/>
      <c r="C738" s="15"/>
      <c r="D738" s="15"/>
      <c r="E738" s="15"/>
      <c r="F738" s="15"/>
      <c r="G738" s="15"/>
      <c r="H738" s="47"/>
      <c r="I738" s="20"/>
      <c r="J738" s="20"/>
      <c r="K738" s="20"/>
      <c r="L738" s="20"/>
      <c r="M738" s="20"/>
      <c r="N738" s="20"/>
      <c r="O738" s="20"/>
      <c r="P738" s="20"/>
      <c r="Q738" s="20"/>
      <c r="R738" s="20"/>
      <c r="S738" s="20"/>
      <c r="T738" s="20"/>
      <c r="U738" s="20"/>
      <c r="V738" s="20"/>
      <c r="W738" s="20"/>
      <c r="X738" s="20"/>
      <c r="Y738" s="20"/>
      <c r="Z738" s="20"/>
    </row>
    <row r="739" spans="1:26" ht="17.25" customHeight="1">
      <c r="A739" s="15"/>
      <c r="B739" s="15"/>
      <c r="C739" s="15"/>
      <c r="D739" s="15"/>
      <c r="E739" s="15"/>
      <c r="F739" s="15"/>
      <c r="G739" s="15"/>
      <c r="H739" s="47"/>
      <c r="I739" s="20"/>
      <c r="J739" s="20"/>
      <c r="K739" s="20"/>
      <c r="L739" s="20"/>
      <c r="M739" s="20"/>
      <c r="N739" s="20"/>
      <c r="O739" s="20"/>
      <c r="P739" s="20"/>
      <c r="Q739" s="20"/>
      <c r="R739" s="20"/>
      <c r="S739" s="20"/>
      <c r="T739" s="20"/>
      <c r="U739" s="20"/>
      <c r="V739" s="20"/>
      <c r="W739" s="20"/>
      <c r="X739" s="20"/>
      <c r="Y739" s="20"/>
      <c r="Z739" s="20"/>
    </row>
    <row r="740" spans="1:26" ht="17.25" customHeight="1">
      <c r="A740" s="15"/>
      <c r="B740" s="15"/>
      <c r="C740" s="15"/>
      <c r="D740" s="15"/>
      <c r="E740" s="15"/>
      <c r="F740" s="15"/>
      <c r="G740" s="15"/>
      <c r="H740" s="47"/>
      <c r="I740" s="20"/>
      <c r="J740" s="20"/>
      <c r="K740" s="20"/>
      <c r="L740" s="20"/>
      <c r="M740" s="20"/>
      <c r="N740" s="20"/>
      <c r="O740" s="20"/>
      <c r="P740" s="20"/>
      <c r="Q740" s="20"/>
      <c r="R740" s="20"/>
      <c r="S740" s="20"/>
      <c r="T740" s="20"/>
      <c r="U740" s="20"/>
      <c r="V740" s="20"/>
      <c r="W740" s="20"/>
      <c r="X740" s="20"/>
      <c r="Y740" s="20"/>
      <c r="Z740" s="20"/>
    </row>
    <row r="741" spans="1:26" ht="17.25" customHeight="1">
      <c r="A741" s="15"/>
      <c r="B741" s="15"/>
      <c r="C741" s="15"/>
      <c r="D741" s="15"/>
      <c r="E741" s="15"/>
      <c r="F741" s="15"/>
      <c r="G741" s="15"/>
      <c r="H741" s="47"/>
      <c r="I741" s="20"/>
      <c r="J741" s="20"/>
      <c r="K741" s="20"/>
      <c r="L741" s="20"/>
      <c r="M741" s="20"/>
      <c r="N741" s="20"/>
      <c r="O741" s="20"/>
      <c r="P741" s="20"/>
      <c r="Q741" s="20"/>
      <c r="R741" s="20"/>
      <c r="S741" s="20"/>
      <c r="T741" s="20"/>
      <c r="U741" s="20"/>
      <c r="V741" s="20"/>
      <c r="W741" s="20"/>
      <c r="X741" s="20"/>
      <c r="Y741" s="20"/>
      <c r="Z741" s="20"/>
    </row>
    <row r="742" spans="1:26" ht="17.25" customHeight="1">
      <c r="A742" s="15"/>
      <c r="B742" s="15"/>
      <c r="C742" s="15"/>
      <c r="D742" s="15"/>
      <c r="E742" s="15"/>
      <c r="F742" s="15"/>
      <c r="G742" s="15"/>
      <c r="H742" s="47"/>
      <c r="I742" s="20"/>
      <c r="J742" s="20"/>
      <c r="K742" s="20"/>
      <c r="L742" s="20"/>
      <c r="M742" s="20"/>
      <c r="N742" s="20"/>
      <c r="O742" s="20"/>
      <c r="P742" s="20"/>
      <c r="Q742" s="20"/>
      <c r="R742" s="20"/>
      <c r="S742" s="20"/>
      <c r="T742" s="20"/>
      <c r="U742" s="20"/>
      <c r="V742" s="20"/>
      <c r="W742" s="20"/>
      <c r="X742" s="20"/>
      <c r="Y742" s="20"/>
      <c r="Z742" s="20"/>
    </row>
    <row r="743" spans="1:26" ht="17.25" customHeight="1">
      <c r="A743" s="15"/>
      <c r="B743" s="15"/>
      <c r="C743" s="15"/>
      <c r="D743" s="15"/>
      <c r="E743" s="15"/>
      <c r="F743" s="15"/>
      <c r="G743" s="15"/>
      <c r="H743" s="47"/>
      <c r="I743" s="20"/>
      <c r="J743" s="20"/>
      <c r="K743" s="20"/>
      <c r="L743" s="20"/>
      <c r="M743" s="20"/>
      <c r="N743" s="20"/>
      <c r="O743" s="20"/>
      <c r="P743" s="20"/>
      <c r="Q743" s="20"/>
      <c r="R743" s="20"/>
      <c r="S743" s="20"/>
      <c r="T743" s="20"/>
      <c r="U743" s="20"/>
      <c r="V743" s="20"/>
      <c r="W743" s="20"/>
      <c r="X743" s="20"/>
      <c r="Y743" s="20"/>
      <c r="Z743" s="20"/>
    </row>
    <row r="744" spans="1:26" ht="17.25" customHeight="1">
      <c r="A744" s="15"/>
      <c r="B744" s="15"/>
      <c r="C744" s="15"/>
      <c r="D744" s="15"/>
      <c r="E744" s="15"/>
      <c r="F744" s="15"/>
      <c r="G744" s="15"/>
      <c r="H744" s="47"/>
      <c r="I744" s="20"/>
      <c r="J744" s="20"/>
      <c r="K744" s="20"/>
      <c r="L744" s="20"/>
      <c r="M744" s="20"/>
      <c r="N744" s="20"/>
      <c r="O744" s="20"/>
      <c r="P744" s="20"/>
      <c r="Q744" s="20"/>
      <c r="R744" s="20"/>
      <c r="S744" s="20"/>
      <c r="T744" s="20"/>
      <c r="U744" s="20"/>
      <c r="V744" s="20"/>
      <c r="W744" s="20"/>
      <c r="X744" s="20"/>
      <c r="Y744" s="20"/>
      <c r="Z744" s="20"/>
    </row>
    <row r="745" spans="1:26" ht="17.25" customHeight="1">
      <c r="A745" s="15"/>
      <c r="B745" s="15"/>
      <c r="C745" s="15"/>
      <c r="D745" s="15"/>
      <c r="E745" s="15"/>
      <c r="F745" s="15"/>
      <c r="G745" s="15"/>
      <c r="H745" s="47"/>
      <c r="I745" s="20"/>
      <c r="J745" s="20"/>
      <c r="K745" s="20"/>
      <c r="L745" s="20"/>
      <c r="M745" s="20"/>
      <c r="N745" s="20"/>
      <c r="O745" s="20"/>
      <c r="P745" s="20"/>
      <c r="Q745" s="20"/>
      <c r="R745" s="20"/>
      <c r="S745" s="20"/>
      <c r="T745" s="20"/>
      <c r="U745" s="20"/>
      <c r="V745" s="20"/>
      <c r="W745" s="20"/>
      <c r="X745" s="20"/>
      <c r="Y745" s="20"/>
      <c r="Z745" s="20"/>
    </row>
    <row r="746" spans="1:26" ht="17.25" customHeight="1">
      <c r="A746" s="15"/>
      <c r="B746" s="15"/>
      <c r="C746" s="15"/>
      <c r="D746" s="15"/>
      <c r="E746" s="15"/>
      <c r="F746" s="15"/>
      <c r="G746" s="15"/>
      <c r="H746" s="47"/>
      <c r="I746" s="20"/>
      <c r="J746" s="20"/>
      <c r="K746" s="20"/>
      <c r="L746" s="20"/>
      <c r="M746" s="20"/>
      <c r="N746" s="20"/>
      <c r="O746" s="20"/>
      <c r="P746" s="20"/>
      <c r="Q746" s="20"/>
      <c r="R746" s="20"/>
      <c r="S746" s="20"/>
      <c r="T746" s="20"/>
      <c r="U746" s="20"/>
      <c r="V746" s="20"/>
      <c r="W746" s="20"/>
      <c r="X746" s="20"/>
      <c r="Y746" s="20"/>
      <c r="Z746" s="20"/>
    </row>
    <row r="747" spans="1:26" ht="17.25" customHeight="1">
      <c r="A747" s="15"/>
      <c r="B747" s="15"/>
      <c r="C747" s="15"/>
      <c r="D747" s="15"/>
      <c r="E747" s="15"/>
      <c r="F747" s="15"/>
      <c r="G747" s="15"/>
      <c r="H747" s="47"/>
      <c r="I747" s="20"/>
      <c r="J747" s="20"/>
      <c r="K747" s="20"/>
      <c r="L747" s="20"/>
      <c r="M747" s="20"/>
      <c r="N747" s="20"/>
      <c r="O747" s="20"/>
      <c r="P747" s="20"/>
      <c r="Q747" s="20"/>
      <c r="R747" s="20"/>
      <c r="S747" s="20"/>
      <c r="T747" s="20"/>
      <c r="U747" s="20"/>
      <c r="V747" s="20"/>
      <c r="W747" s="20"/>
      <c r="X747" s="20"/>
      <c r="Y747" s="20"/>
      <c r="Z747" s="20"/>
    </row>
    <row r="748" spans="1:26" ht="17.25" customHeight="1">
      <c r="A748" s="15"/>
      <c r="B748" s="15"/>
      <c r="C748" s="15"/>
      <c r="D748" s="15"/>
      <c r="E748" s="15"/>
      <c r="F748" s="15"/>
      <c r="G748" s="15"/>
      <c r="H748" s="47"/>
      <c r="I748" s="20"/>
      <c r="J748" s="20"/>
      <c r="K748" s="20"/>
      <c r="L748" s="20"/>
      <c r="M748" s="20"/>
      <c r="N748" s="20"/>
      <c r="O748" s="20"/>
      <c r="P748" s="20"/>
      <c r="Q748" s="20"/>
      <c r="R748" s="20"/>
      <c r="S748" s="20"/>
      <c r="T748" s="20"/>
      <c r="U748" s="20"/>
      <c r="V748" s="20"/>
      <c r="W748" s="20"/>
      <c r="X748" s="20"/>
      <c r="Y748" s="20"/>
      <c r="Z748" s="20"/>
    </row>
    <row r="749" spans="1:26" ht="17.25" customHeight="1">
      <c r="A749" s="15"/>
      <c r="B749" s="15"/>
      <c r="C749" s="15"/>
      <c r="D749" s="15"/>
      <c r="E749" s="15"/>
      <c r="F749" s="15"/>
      <c r="G749" s="15"/>
      <c r="H749" s="47"/>
      <c r="I749" s="20"/>
      <c r="J749" s="20"/>
      <c r="K749" s="20"/>
      <c r="L749" s="20"/>
      <c r="M749" s="20"/>
      <c r="N749" s="20"/>
      <c r="O749" s="20"/>
      <c r="P749" s="20"/>
      <c r="Q749" s="20"/>
      <c r="R749" s="20"/>
      <c r="S749" s="20"/>
      <c r="T749" s="20"/>
      <c r="U749" s="20"/>
      <c r="V749" s="20"/>
      <c r="W749" s="20"/>
      <c r="X749" s="20"/>
      <c r="Y749" s="20"/>
      <c r="Z749" s="20"/>
    </row>
    <row r="750" spans="1:26" ht="17.25" customHeight="1">
      <c r="A750" s="15"/>
      <c r="B750" s="15"/>
      <c r="C750" s="15"/>
      <c r="D750" s="15"/>
      <c r="E750" s="15"/>
      <c r="F750" s="15"/>
      <c r="G750" s="15"/>
      <c r="H750" s="47"/>
      <c r="I750" s="20"/>
      <c r="J750" s="20"/>
      <c r="K750" s="20"/>
      <c r="L750" s="20"/>
      <c r="M750" s="20"/>
      <c r="N750" s="20"/>
      <c r="O750" s="20"/>
      <c r="P750" s="20"/>
      <c r="Q750" s="20"/>
      <c r="R750" s="20"/>
      <c r="S750" s="20"/>
      <c r="T750" s="20"/>
      <c r="U750" s="20"/>
      <c r="V750" s="20"/>
      <c r="W750" s="20"/>
      <c r="X750" s="20"/>
      <c r="Y750" s="20"/>
      <c r="Z750" s="20"/>
    </row>
    <row r="751" spans="1:26" ht="17.25" customHeight="1">
      <c r="A751" s="15"/>
      <c r="B751" s="15"/>
      <c r="C751" s="15"/>
      <c r="D751" s="15"/>
      <c r="E751" s="15"/>
      <c r="F751" s="15"/>
      <c r="G751" s="15"/>
      <c r="H751" s="47"/>
      <c r="I751" s="20"/>
      <c r="J751" s="20"/>
      <c r="K751" s="20"/>
      <c r="L751" s="20"/>
      <c r="M751" s="20"/>
      <c r="N751" s="20"/>
      <c r="O751" s="20"/>
      <c r="P751" s="20"/>
      <c r="Q751" s="20"/>
      <c r="R751" s="20"/>
      <c r="S751" s="20"/>
      <c r="T751" s="20"/>
      <c r="U751" s="20"/>
      <c r="V751" s="20"/>
      <c r="W751" s="20"/>
      <c r="X751" s="20"/>
      <c r="Y751" s="20"/>
      <c r="Z751" s="20"/>
    </row>
    <row r="752" spans="1:26" ht="17.25" customHeight="1">
      <c r="A752" s="15"/>
      <c r="B752" s="15"/>
      <c r="C752" s="15"/>
      <c r="D752" s="15"/>
      <c r="E752" s="15"/>
      <c r="F752" s="15"/>
      <c r="G752" s="15"/>
      <c r="H752" s="47"/>
      <c r="I752" s="20"/>
      <c r="J752" s="20"/>
      <c r="K752" s="20"/>
      <c r="L752" s="20"/>
      <c r="M752" s="20"/>
      <c r="N752" s="20"/>
      <c r="O752" s="20"/>
      <c r="P752" s="20"/>
      <c r="Q752" s="20"/>
      <c r="R752" s="20"/>
      <c r="S752" s="20"/>
      <c r="T752" s="20"/>
      <c r="U752" s="20"/>
      <c r="V752" s="20"/>
      <c r="W752" s="20"/>
      <c r="X752" s="20"/>
      <c r="Y752" s="20"/>
      <c r="Z752" s="20"/>
    </row>
    <row r="753" spans="1:26" ht="17.25" customHeight="1">
      <c r="A753" s="15"/>
      <c r="B753" s="15"/>
      <c r="C753" s="15"/>
      <c r="D753" s="15"/>
      <c r="E753" s="15"/>
      <c r="F753" s="15"/>
      <c r="G753" s="15"/>
      <c r="H753" s="47"/>
      <c r="I753" s="20"/>
      <c r="J753" s="20"/>
      <c r="K753" s="20"/>
      <c r="L753" s="20"/>
      <c r="M753" s="20"/>
      <c r="N753" s="20"/>
      <c r="O753" s="20"/>
      <c r="P753" s="20"/>
      <c r="Q753" s="20"/>
      <c r="R753" s="20"/>
      <c r="S753" s="20"/>
      <c r="T753" s="20"/>
      <c r="U753" s="20"/>
      <c r="V753" s="20"/>
      <c r="W753" s="20"/>
      <c r="X753" s="20"/>
      <c r="Y753" s="20"/>
      <c r="Z753" s="20"/>
    </row>
    <row r="754" spans="1:26" ht="17.25" customHeight="1">
      <c r="A754" s="15"/>
      <c r="B754" s="15"/>
      <c r="C754" s="15"/>
      <c r="D754" s="15"/>
      <c r="E754" s="15"/>
      <c r="F754" s="15"/>
      <c r="G754" s="15"/>
      <c r="H754" s="47"/>
      <c r="I754" s="20"/>
      <c r="J754" s="20"/>
      <c r="K754" s="20"/>
      <c r="L754" s="20"/>
      <c r="M754" s="20"/>
      <c r="N754" s="20"/>
      <c r="O754" s="20"/>
      <c r="P754" s="20"/>
      <c r="Q754" s="20"/>
      <c r="R754" s="20"/>
      <c r="S754" s="20"/>
      <c r="T754" s="20"/>
      <c r="U754" s="20"/>
      <c r="V754" s="20"/>
      <c r="W754" s="20"/>
      <c r="X754" s="20"/>
      <c r="Y754" s="20"/>
      <c r="Z754" s="20"/>
    </row>
    <row r="755" spans="1:26" ht="17.25" customHeight="1">
      <c r="A755" s="15"/>
      <c r="B755" s="15"/>
      <c r="C755" s="15"/>
      <c r="D755" s="15"/>
      <c r="E755" s="15"/>
      <c r="F755" s="15"/>
      <c r="G755" s="15"/>
      <c r="H755" s="47"/>
      <c r="I755" s="20"/>
      <c r="J755" s="20"/>
      <c r="K755" s="20"/>
      <c r="L755" s="20"/>
      <c r="M755" s="20"/>
      <c r="N755" s="20"/>
      <c r="O755" s="20"/>
      <c r="P755" s="20"/>
      <c r="Q755" s="20"/>
      <c r="R755" s="20"/>
      <c r="S755" s="20"/>
      <c r="T755" s="20"/>
      <c r="U755" s="20"/>
      <c r="V755" s="20"/>
      <c r="W755" s="20"/>
      <c r="X755" s="20"/>
      <c r="Y755" s="20"/>
      <c r="Z755" s="20"/>
    </row>
    <row r="756" spans="1:26" ht="17.25" customHeight="1">
      <c r="A756" s="15"/>
      <c r="B756" s="15"/>
      <c r="C756" s="15"/>
      <c r="D756" s="15"/>
      <c r="E756" s="15"/>
      <c r="F756" s="15"/>
      <c r="G756" s="15"/>
      <c r="H756" s="47"/>
      <c r="I756" s="20"/>
      <c r="J756" s="20"/>
      <c r="K756" s="20"/>
      <c r="L756" s="20"/>
      <c r="M756" s="20"/>
      <c r="N756" s="20"/>
      <c r="O756" s="20"/>
      <c r="P756" s="20"/>
      <c r="Q756" s="20"/>
      <c r="R756" s="20"/>
      <c r="S756" s="20"/>
      <c r="T756" s="20"/>
      <c r="U756" s="20"/>
      <c r="V756" s="20"/>
      <c r="W756" s="20"/>
      <c r="X756" s="20"/>
      <c r="Y756" s="20"/>
      <c r="Z756" s="20"/>
    </row>
    <row r="757" spans="1:26" ht="17.25" customHeight="1">
      <c r="A757" s="15"/>
      <c r="B757" s="15"/>
      <c r="C757" s="15"/>
      <c r="D757" s="15"/>
      <c r="E757" s="15"/>
      <c r="F757" s="15"/>
      <c r="G757" s="15"/>
      <c r="H757" s="47"/>
      <c r="I757" s="20"/>
      <c r="J757" s="20"/>
      <c r="K757" s="20"/>
      <c r="L757" s="20"/>
      <c r="M757" s="20"/>
      <c r="N757" s="20"/>
      <c r="O757" s="20"/>
      <c r="P757" s="20"/>
      <c r="Q757" s="20"/>
      <c r="R757" s="20"/>
      <c r="S757" s="20"/>
      <c r="T757" s="20"/>
      <c r="U757" s="20"/>
      <c r="V757" s="20"/>
      <c r="W757" s="20"/>
      <c r="X757" s="20"/>
      <c r="Y757" s="20"/>
      <c r="Z757" s="20"/>
    </row>
    <row r="758" spans="1:26" ht="17.25" customHeight="1">
      <c r="A758" s="15"/>
      <c r="B758" s="15"/>
      <c r="C758" s="15"/>
      <c r="D758" s="15"/>
      <c r="E758" s="15"/>
      <c r="F758" s="15"/>
      <c r="G758" s="15"/>
      <c r="H758" s="47"/>
      <c r="I758" s="20"/>
      <c r="J758" s="20"/>
      <c r="K758" s="20"/>
      <c r="L758" s="20"/>
      <c r="M758" s="20"/>
      <c r="N758" s="20"/>
      <c r="O758" s="20"/>
      <c r="P758" s="20"/>
      <c r="Q758" s="20"/>
      <c r="R758" s="20"/>
      <c r="S758" s="20"/>
      <c r="T758" s="20"/>
      <c r="U758" s="20"/>
      <c r="V758" s="20"/>
      <c r="W758" s="20"/>
      <c r="X758" s="20"/>
      <c r="Y758" s="20"/>
      <c r="Z758" s="20"/>
    </row>
    <row r="759" spans="1:26" ht="17.25" customHeight="1">
      <c r="A759" s="15"/>
      <c r="B759" s="15"/>
      <c r="C759" s="15"/>
      <c r="D759" s="15"/>
      <c r="E759" s="15"/>
      <c r="F759" s="15"/>
      <c r="G759" s="15"/>
      <c r="H759" s="47"/>
      <c r="I759" s="20"/>
      <c r="J759" s="20"/>
      <c r="K759" s="20"/>
      <c r="L759" s="20"/>
      <c r="M759" s="20"/>
      <c r="N759" s="20"/>
      <c r="O759" s="20"/>
      <c r="P759" s="20"/>
      <c r="Q759" s="20"/>
      <c r="R759" s="20"/>
      <c r="S759" s="20"/>
      <c r="T759" s="20"/>
      <c r="U759" s="20"/>
      <c r="V759" s="20"/>
      <c r="W759" s="20"/>
      <c r="X759" s="20"/>
      <c r="Y759" s="20"/>
      <c r="Z759" s="20"/>
    </row>
    <row r="760" spans="1:26" ht="17.25" customHeight="1">
      <c r="A760" s="15"/>
      <c r="B760" s="15"/>
      <c r="C760" s="15"/>
      <c r="D760" s="15"/>
      <c r="E760" s="15"/>
      <c r="F760" s="15"/>
      <c r="G760" s="15"/>
      <c r="H760" s="47"/>
      <c r="I760" s="20"/>
      <c r="J760" s="20"/>
      <c r="K760" s="20"/>
      <c r="L760" s="20"/>
      <c r="M760" s="20"/>
      <c r="N760" s="20"/>
      <c r="O760" s="20"/>
      <c r="P760" s="20"/>
      <c r="Q760" s="20"/>
      <c r="R760" s="20"/>
      <c r="S760" s="20"/>
      <c r="T760" s="20"/>
      <c r="U760" s="20"/>
      <c r="V760" s="20"/>
      <c r="W760" s="20"/>
      <c r="X760" s="20"/>
      <c r="Y760" s="20"/>
      <c r="Z760" s="20"/>
    </row>
    <row r="761" spans="1:26" ht="17.25" customHeight="1">
      <c r="A761" s="15"/>
      <c r="B761" s="15"/>
      <c r="C761" s="15"/>
      <c r="D761" s="15"/>
      <c r="E761" s="15"/>
      <c r="F761" s="15"/>
      <c r="G761" s="15"/>
      <c r="H761" s="47"/>
      <c r="I761" s="20"/>
      <c r="J761" s="20"/>
      <c r="K761" s="20"/>
      <c r="L761" s="20"/>
      <c r="M761" s="20"/>
      <c r="N761" s="20"/>
      <c r="O761" s="20"/>
      <c r="P761" s="20"/>
      <c r="Q761" s="20"/>
      <c r="R761" s="20"/>
      <c r="S761" s="20"/>
      <c r="T761" s="20"/>
      <c r="U761" s="20"/>
      <c r="V761" s="20"/>
      <c r="W761" s="20"/>
      <c r="X761" s="20"/>
      <c r="Y761" s="20"/>
      <c r="Z761" s="20"/>
    </row>
    <row r="762" spans="1:26" ht="17.25" customHeight="1">
      <c r="A762" s="15"/>
      <c r="B762" s="15"/>
      <c r="C762" s="15"/>
      <c r="D762" s="15"/>
      <c r="E762" s="15"/>
      <c r="F762" s="15"/>
      <c r="G762" s="15"/>
      <c r="H762" s="47"/>
      <c r="I762" s="20"/>
      <c r="J762" s="20"/>
      <c r="K762" s="20"/>
      <c r="L762" s="20"/>
      <c r="M762" s="20"/>
      <c r="N762" s="20"/>
      <c r="O762" s="20"/>
      <c r="P762" s="20"/>
      <c r="Q762" s="20"/>
      <c r="R762" s="20"/>
      <c r="S762" s="20"/>
      <c r="T762" s="20"/>
      <c r="U762" s="20"/>
      <c r="V762" s="20"/>
      <c r="W762" s="20"/>
      <c r="X762" s="20"/>
      <c r="Y762" s="20"/>
      <c r="Z762" s="20"/>
    </row>
    <row r="763" spans="1:26" ht="17.25" customHeight="1">
      <c r="A763" s="15"/>
      <c r="B763" s="15"/>
      <c r="C763" s="15"/>
      <c r="D763" s="15"/>
      <c r="E763" s="15"/>
      <c r="F763" s="15"/>
      <c r="G763" s="15"/>
      <c r="H763" s="47"/>
      <c r="I763" s="20"/>
      <c r="J763" s="20"/>
      <c r="K763" s="20"/>
      <c r="L763" s="20"/>
      <c r="M763" s="20"/>
      <c r="N763" s="20"/>
      <c r="O763" s="20"/>
      <c r="P763" s="20"/>
      <c r="Q763" s="20"/>
      <c r="R763" s="20"/>
      <c r="S763" s="20"/>
      <c r="T763" s="20"/>
      <c r="U763" s="20"/>
      <c r="V763" s="20"/>
      <c r="W763" s="20"/>
      <c r="X763" s="20"/>
      <c r="Y763" s="20"/>
      <c r="Z763" s="20"/>
    </row>
    <row r="764" spans="1:26" ht="17.25" customHeight="1">
      <c r="A764" s="15"/>
      <c r="B764" s="15"/>
      <c r="C764" s="15"/>
      <c r="D764" s="15"/>
      <c r="E764" s="15"/>
      <c r="F764" s="15"/>
      <c r="G764" s="15"/>
      <c r="H764" s="47"/>
      <c r="I764" s="20"/>
      <c r="J764" s="20"/>
      <c r="K764" s="20"/>
      <c r="L764" s="20"/>
      <c r="M764" s="20"/>
      <c r="N764" s="20"/>
      <c r="O764" s="20"/>
      <c r="P764" s="20"/>
      <c r="Q764" s="20"/>
      <c r="R764" s="20"/>
      <c r="S764" s="20"/>
      <c r="T764" s="20"/>
      <c r="U764" s="20"/>
      <c r="V764" s="20"/>
      <c r="W764" s="20"/>
      <c r="X764" s="20"/>
      <c r="Y764" s="20"/>
      <c r="Z764" s="20"/>
    </row>
    <row r="765" spans="1:26" ht="17.25" customHeight="1">
      <c r="A765" s="15"/>
      <c r="B765" s="15"/>
      <c r="C765" s="15"/>
      <c r="D765" s="15"/>
      <c r="E765" s="15"/>
      <c r="F765" s="15"/>
      <c r="G765" s="15"/>
      <c r="H765" s="47"/>
      <c r="I765" s="20"/>
      <c r="J765" s="20"/>
      <c r="K765" s="20"/>
      <c r="L765" s="20"/>
      <c r="M765" s="20"/>
      <c r="N765" s="20"/>
      <c r="O765" s="20"/>
      <c r="P765" s="20"/>
      <c r="Q765" s="20"/>
      <c r="R765" s="20"/>
      <c r="S765" s="20"/>
      <c r="T765" s="20"/>
      <c r="U765" s="20"/>
      <c r="V765" s="20"/>
      <c r="W765" s="20"/>
      <c r="X765" s="20"/>
      <c r="Y765" s="20"/>
      <c r="Z765" s="20"/>
    </row>
    <row r="766" spans="1:26" ht="17.25" customHeight="1">
      <c r="A766" s="15"/>
      <c r="B766" s="15"/>
      <c r="C766" s="15"/>
      <c r="D766" s="15"/>
      <c r="E766" s="15"/>
      <c r="F766" s="15"/>
      <c r="G766" s="15"/>
      <c r="H766" s="47"/>
      <c r="I766" s="20"/>
      <c r="J766" s="20"/>
      <c r="K766" s="20"/>
      <c r="L766" s="20"/>
      <c r="M766" s="20"/>
      <c r="N766" s="20"/>
      <c r="O766" s="20"/>
      <c r="P766" s="20"/>
      <c r="Q766" s="20"/>
      <c r="R766" s="20"/>
      <c r="S766" s="20"/>
      <c r="T766" s="20"/>
      <c r="U766" s="20"/>
      <c r="V766" s="20"/>
      <c r="W766" s="20"/>
      <c r="X766" s="20"/>
      <c r="Y766" s="20"/>
      <c r="Z766" s="20"/>
    </row>
    <row r="767" spans="1:26" ht="17.25" customHeight="1">
      <c r="A767" s="15"/>
      <c r="B767" s="15"/>
      <c r="C767" s="15"/>
      <c r="D767" s="15"/>
      <c r="E767" s="15"/>
      <c r="F767" s="15"/>
      <c r="G767" s="15"/>
      <c r="H767" s="47"/>
      <c r="I767" s="20"/>
      <c r="J767" s="20"/>
      <c r="K767" s="20"/>
      <c r="L767" s="20"/>
      <c r="M767" s="20"/>
      <c r="N767" s="20"/>
      <c r="O767" s="20"/>
      <c r="P767" s="20"/>
      <c r="Q767" s="20"/>
      <c r="R767" s="20"/>
      <c r="S767" s="20"/>
      <c r="T767" s="20"/>
      <c r="U767" s="20"/>
      <c r="V767" s="20"/>
      <c r="W767" s="20"/>
      <c r="X767" s="20"/>
      <c r="Y767" s="20"/>
      <c r="Z767" s="20"/>
    </row>
    <row r="768" spans="1:26" ht="17.25" customHeight="1">
      <c r="A768" s="15"/>
      <c r="B768" s="15"/>
      <c r="C768" s="15"/>
      <c r="D768" s="15"/>
      <c r="E768" s="15"/>
      <c r="F768" s="15"/>
      <c r="G768" s="15"/>
      <c r="H768" s="47"/>
      <c r="I768" s="20"/>
      <c r="J768" s="20"/>
      <c r="K768" s="20"/>
      <c r="L768" s="20"/>
      <c r="M768" s="20"/>
      <c r="N768" s="20"/>
      <c r="O768" s="20"/>
      <c r="P768" s="20"/>
      <c r="Q768" s="20"/>
      <c r="R768" s="20"/>
      <c r="S768" s="20"/>
      <c r="T768" s="20"/>
      <c r="U768" s="20"/>
      <c r="V768" s="20"/>
      <c r="W768" s="20"/>
      <c r="X768" s="20"/>
      <c r="Y768" s="20"/>
      <c r="Z768" s="20"/>
    </row>
    <row r="769" spans="1:26" ht="17.25" customHeight="1">
      <c r="A769" s="15"/>
      <c r="B769" s="15"/>
      <c r="C769" s="15"/>
      <c r="D769" s="15"/>
      <c r="E769" s="15"/>
      <c r="F769" s="15"/>
      <c r="G769" s="15"/>
      <c r="H769" s="47"/>
      <c r="I769" s="20"/>
      <c r="J769" s="20"/>
      <c r="K769" s="20"/>
      <c r="L769" s="20"/>
      <c r="M769" s="20"/>
      <c r="N769" s="20"/>
      <c r="O769" s="20"/>
      <c r="P769" s="20"/>
      <c r="Q769" s="20"/>
      <c r="R769" s="20"/>
      <c r="S769" s="20"/>
      <c r="T769" s="20"/>
      <c r="U769" s="20"/>
      <c r="V769" s="20"/>
      <c r="W769" s="20"/>
      <c r="X769" s="20"/>
      <c r="Y769" s="20"/>
      <c r="Z769" s="20"/>
    </row>
    <row r="770" spans="1:26" ht="17.25" customHeight="1">
      <c r="A770" s="15"/>
      <c r="B770" s="15"/>
      <c r="C770" s="15"/>
      <c r="D770" s="15"/>
      <c r="E770" s="15"/>
      <c r="F770" s="15"/>
      <c r="G770" s="15"/>
      <c r="H770" s="47"/>
      <c r="I770" s="20"/>
      <c r="J770" s="20"/>
      <c r="K770" s="20"/>
      <c r="L770" s="20"/>
      <c r="M770" s="20"/>
      <c r="N770" s="20"/>
      <c r="O770" s="20"/>
      <c r="P770" s="20"/>
      <c r="Q770" s="20"/>
      <c r="R770" s="20"/>
      <c r="S770" s="20"/>
      <c r="T770" s="20"/>
      <c r="U770" s="20"/>
      <c r="V770" s="20"/>
      <c r="W770" s="20"/>
      <c r="X770" s="20"/>
      <c r="Y770" s="20"/>
      <c r="Z770" s="20"/>
    </row>
    <row r="771" spans="1:26" ht="17.25" customHeight="1">
      <c r="A771" s="15"/>
      <c r="B771" s="15"/>
      <c r="C771" s="15"/>
      <c r="D771" s="15"/>
      <c r="E771" s="15"/>
      <c r="F771" s="15"/>
      <c r="G771" s="15"/>
      <c r="H771" s="47"/>
      <c r="I771" s="20"/>
      <c r="J771" s="20"/>
      <c r="K771" s="20"/>
      <c r="L771" s="20"/>
      <c r="M771" s="20"/>
      <c r="N771" s="20"/>
      <c r="O771" s="20"/>
      <c r="P771" s="20"/>
      <c r="Q771" s="20"/>
      <c r="R771" s="20"/>
      <c r="S771" s="20"/>
      <c r="T771" s="20"/>
      <c r="U771" s="20"/>
      <c r="V771" s="20"/>
      <c r="W771" s="20"/>
      <c r="X771" s="20"/>
      <c r="Y771" s="20"/>
      <c r="Z771" s="20"/>
    </row>
    <row r="772" spans="1:26" ht="17.25" customHeight="1">
      <c r="A772" s="15"/>
      <c r="B772" s="15"/>
      <c r="C772" s="15"/>
      <c r="D772" s="15"/>
      <c r="E772" s="15"/>
      <c r="F772" s="15"/>
      <c r="G772" s="15"/>
      <c r="H772" s="47"/>
      <c r="I772" s="20"/>
      <c r="J772" s="20"/>
      <c r="K772" s="20"/>
      <c r="L772" s="20"/>
      <c r="M772" s="20"/>
      <c r="N772" s="20"/>
      <c r="O772" s="20"/>
      <c r="P772" s="20"/>
      <c r="Q772" s="20"/>
      <c r="R772" s="20"/>
      <c r="S772" s="20"/>
      <c r="T772" s="20"/>
      <c r="U772" s="20"/>
      <c r="V772" s="20"/>
      <c r="W772" s="20"/>
      <c r="X772" s="20"/>
      <c r="Y772" s="20"/>
      <c r="Z772" s="20"/>
    </row>
    <row r="773" spans="1:26" ht="17.25" customHeight="1">
      <c r="A773" s="15"/>
      <c r="B773" s="15"/>
      <c r="C773" s="15"/>
      <c r="D773" s="15"/>
      <c r="E773" s="15"/>
      <c r="F773" s="15"/>
      <c r="G773" s="15"/>
      <c r="H773" s="47"/>
      <c r="I773" s="20"/>
      <c r="J773" s="20"/>
      <c r="K773" s="20"/>
      <c r="L773" s="20"/>
      <c r="M773" s="20"/>
      <c r="N773" s="20"/>
      <c r="O773" s="20"/>
      <c r="P773" s="20"/>
      <c r="Q773" s="20"/>
      <c r="R773" s="20"/>
      <c r="S773" s="20"/>
      <c r="T773" s="20"/>
      <c r="U773" s="20"/>
      <c r="V773" s="20"/>
      <c r="W773" s="20"/>
      <c r="X773" s="20"/>
      <c r="Y773" s="20"/>
      <c r="Z773" s="20"/>
    </row>
    <row r="774" spans="1:26" ht="17.25" customHeight="1">
      <c r="A774" s="15"/>
      <c r="B774" s="15"/>
      <c r="C774" s="15"/>
      <c r="D774" s="15"/>
      <c r="E774" s="15"/>
      <c r="F774" s="15"/>
      <c r="G774" s="15"/>
      <c r="H774" s="47"/>
      <c r="I774" s="20"/>
      <c r="J774" s="20"/>
      <c r="K774" s="20"/>
      <c r="L774" s="20"/>
      <c r="M774" s="20"/>
      <c r="N774" s="20"/>
      <c r="O774" s="20"/>
      <c r="P774" s="20"/>
      <c r="Q774" s="20"/>
      <c r="R774" s="20"/>
      <c r="S774" s="20"/>
      <c r="T774" s="20"/>
      <c r="U774" s="20"/>
      <c r="V774" s="20"/>
      <c r="W774" s="20"/>
      <c r="X774" s="20"/>
      <c r="Y774" s="20"/>
      <c r="Z774" s="20"/>
    </row>
    <row r="775" spans="1:26" ht="17.25" customHeight="1">
      <c r="A775" s="15"/>
      <c r="B775" s="15"/>
      <c r="C775" s="15"/>
      <c r="D775" s="15"/>
      <c r="E775" s="15"/>
      <c r="F775" s="15"/>
      <c r="G775" s="15"/>
      <c r="H775" s="47"/>
      <c r="I775" s="20"/>
      <c r="J775" s="20"/>
      <c r="K775" s="20"/>
      <c r="L775" s="20"/>
      <c r="M775" s="20"/>
      <c r="N775" s="20"/>
      <c r="O775" s="20"/>
      <c r="P775" s="20"/>
      <c r="Q775" s="20"/>
      <c r="R775" s="20"/>
      <c r="S775" s="20"/>
      <c r="T775" s="20"/>
      <c r="U775" s="20"/>
      <c r="V775" s="20"/>
      <c r="W775" s="20"/>
      <c r="X775" s="20"/>
      <c r="Y775" s="20"/>
      <c r="Z775" s="20"/>
    </row>
    <row r="776" spans="1:26" ht="17.25" customHeight="1">
      <c r="A776" s="15"/>
      <c r="B776" s="15"/>
      <c r="C776" s="15"/>
      <c r="D776" s="15"/>
      <c r="E776" s="15"/>
      <c r="F776" s="15"/>
      <c r="G776" s="15"/>
      <c r="H776" s="47"/>
      <c r="I776" s="20"/>
      <c r="J776" s="20"/>
      <c r="K776" s="20"/>
      <c r="L776" s="20"/>
      <c r="M776" s="20"/>
      <c r="N776" s="20"/>
      <c r="O776" s="20"/>
      <c r="P776" s="20"/>
      <c r="Q776" s="20"/>
      <c r="R776" s="20"/>
      <c r="S776" s="20"/>
      <c r="T776" s="20"/>
      <c r="U776" s="20"/>
      <c r="V776" s="20"/>
      <c r="W776" s="20"/>
      <c r="X776" s="20"/>
      <c r="Y776" s="20"/>
      <c r="Z776" s="20"/>
    </row>
    <row r="777" spans="1:26" ht="17.25" customHeight="1">
      <c r="A777" s="15"/>
      <c r="B777" s="15"/>
      <c r="C777" s="15"/>
      <c r="D777" s="15"/>
      <c r="E777" s="15"/>
      <c r="F777" s="15"/>
      <c r="G777" s="15"/>
      <c r="H777" s="47"/>
      <c r="I777" s="20"/>
      <c r="J777" s="20"/>
      <c r="K777" s="20"/>
      <c r="L777" s="20"/>
      <c r="M777" s="20"/>
      <c r="N777" s="20"/>
      <c r="O777" s="20"/>
      <c r="P777" s="20"/>
      <c r="Q777" s="20"/>
      <c r="R777" s="20"/>
      <c r="S777" s="20"/>
      <c r="T777" s="20"/>
      <c r="U777" s="20"/>
      <c r="V777" s="20"/>
      <c r="W777" s="20"/>
      <c r="X777" s="20"/>
      <c r="Y777" s="20"/>
      <c r="Z777" s="20"/>
    </row>
    <row r="778" spans="1:26" ht="17.25" customHeight="1">
      <c r="A778" s="15"/>
      <c r="B778" s="15"/>
      <c r="C778" s="15"/>
      <c r="D778" s="15"/>
      <c r="E778" s="15"/>
      <c r="F778" s="15"/>
      <c r="G778" s="15"/>
      <c r="H778" s="47"/>
      <c r="I778" s="20"/>
      <c r="J778" s="20"/>
      <c r="K778" s="20"/>
      <c r="L778" s="20"/>
      <c r="M778" s="20"/>
      <c r="N778" s="20"/>
      <c r="O778" s="20"/>
      <c r="P778" s="20"/>
      <c r="Q778" s="20"/>
      <c r="R778" s="20"/>
      <c r="S778" s="20"/>
      <c r="T778" s="20"/>
      <c r="U778" s="20"/>
      <c r="V778" s="20"/>
      <c r="W778" s="20"/>
      <c r="X778" s="20"/>
      <c r="Y778" s="20"/>
      <c r="Z778" s="20"/>
    </row>
    <row r="779" spans="1:26" ht="17.25" customHeight="1">
      <c r="A779" s="15"/>
      <c r="B779" s="15"/>
      <c r="C779" s="15"/>
      <c r="D779" s="15"/>
      <c r="E779" s="15"/>
      <c r="F779" s="15"/>
      <c r="G779" s="15"/>
      <c r="H779" s="47"/>
      <c r="I779" s="20"/>
      <c r="J779" s="20"/>
      <c r="K779" s="20"/>
      <c r="L779" s="20"/>
      <c r="M779" s="20"/>
      <c r="N779" s="20"/>
      <c r="O779" s="20"/>
      <c r="P779" s="20"/>
      <c r="Q779" s="20"/>
      <c r="R779" s="20"/>
      <c r="S779" s="20"/>
      <c r="T779" s="20"/>
      <c r="U779" s="20"/>
      <c r="V779" s="20"/>
      <c r="W779" s="20"/>
      <c r="X779" s="20"/>
      <c r="Y779" s="20"/>
      <c r="Z779" s="20"/>
    </row>
    <row r="780" spans="1:26" ht="17.25" customHeight="1">
      <c r="A780" s="15"/>
      <c r="B780" s="15"/>
      <c r="C780" s="15"/>
      <c r="D780" s="15"/>
      <c r="E780" s="15"/>
      <c r="F780" s="15"/>
      <c r="G780" s="15"/>
      <c r="H780" s="47"/>
      <c r="I780" s="20"/>
      <c r="J780" s="20"/>
      <c r="K780" s="20"/>
      <c r="L780" s="20"/>
      <c r="M780" s="20"/>
      <c r="N780" s="20"/>
      <c r="O780" s="20"/>
      <c r="P780" s="20"/>
      <c r="Q780" s="20"/>
      <c r="R780" s="20"/>
      <c r="S780" s="20"/>
      <c r="T780" s="20"/>
      <c r="U780" s="20"/>
      <c r="V780" s="20"/>
      <c r="W780" s="20"/>
      <c r="X780" s="20"/>
      <c r="Y780" s="20"/>
      <c r="Z780" s="20"/>
    </row>
    <row r="781" spans="1:26" ht="17.25" customHeight="1">
      <c r="A781" s="15"/>
      <c r="B781" s="15"/>
      <c r="C781" s="15"/>
      <c r="D781" s="15"/>
      <c r="E781" s="15"/>
      <c r="F781" s="15"/>
      <c r="G781" s="15"/>
      <c r="H781" s="47"/>
      <c r="I781" s="20"/>
      <c r="J781" s="20"/>
      <c r="K781" s="20"/>
      <c r="L781" s="20"/>
      <c r="M781" s="20"/>
      <c r="N781" s="20"/>
      <c r="O781" s="20"/>
      <c r="P781" s="20"/>
      <c r="Q781" s="20"/>
      <c r="R781" s="20"/>
      <c r="S781" s="20"/>
      <c r="T781" s="20"/>
      <c r="U781" s="20"/>
      <c r="V781" s="20"/>
      <c r="W781" s="20"/>
      <c r="X781" s="20"/>
      <c r="Y781" s="20"/>
      <c r="Z781" s="20"/>
    </row>
    <row r="782" spans="1:26" ht="17.25" customHeight="1">
      <c r="A782" s="15"/>
      <c r="B782" s="15"/>
      <c r="C782" s="15"/>
      <c r="D782" s="15"/>
      <c r="E782" s="15"/>
      <c r="F782" s="15"/>
      <c r="G782" s="15"/>
      <c r="H782" s="47"/>
      <c r="I782" s="20"/>
      <c r="J782" s="20"/>
      <c r="K782" s="20"/>
      <c r="L782" s="20"/>
      <c r="M782" s="20"/>
      <c r="N782" s="20"/>
      <c r="O782" s="20"/>
      <c r="P782" s="20"/>
      <c r="Q782" s="20"/>
      <c r="R782" s="20"/>
      <c r="S782" s="20"/>
      <c r="T782" s="20"/>
      <c r="U782" s="20"/>
      <c r="V782" s="20"/>
      <c r="W782" s="20"/>
      <c r="X782" s="20"/>
      <c r="Y782" s="20"/>
      <c r="Z782" s="20"/>
    </row>
    <row r="783" spans="1:26" ht="17.25" customHeight="1">
      <c r="A783" s="15"/>
      <c r="B783" s="15"/>
      <c r="C783" s="15"/>
      <c r="D783" s="15"/>
      <c r="E783" s="15"/>
      <c r="F783" s="15"/>
      <c r="G783" s="15"/>
      <c r="H783" s="47"/>
      <c r="I783" s="20"/>
      <c r="J783" s="20"/>
      <c r="K783" s="20"/>
      <c r="L783" s="20"/>
      <c r="M783" s="20"/>
      <c r="N783" s="20"/>
      <c r="O783" s="20"/>
      <c r="P783" s="20"/>
      <c r="Q783" s="20"/>
      <c r="R783" s="20"/>
      <c r="S783" s="20"/>
      <c r="T783" s="20"/>
      <c r="U783" s="20"/>
      <c r="V783" s="20"/>
      <c r="W783" s="20"/>
      <c r="X783" s="20"/>
      <c r="Y783" s="20"/>
      <c r="Z783" s="20"/>
    </row>
    <row r="784" spans="1:26" ht="17.25" customHeight="1">
      <c r="A784" s="15"/>
      <c r="B784" s="15"/>
      <c r="C784" s="15"/>
      <c r="D784" s="15"/>
      <c r="E784" s="15"/>
      <c r="F784" s="15"/>
      <c r="G784" s="15"/>
      <c r="H784" s="47"/>
      <c r="I784" s="20"/>
      <c r="J784" s="20"/>
      <c r="K784" s="20"/>
      <c r="L784" s="20"/>
      <c r="M784" s="20"/>
      <c r="N784" s="20"/>
      <c r="O784" s="20"/>
      <c r="P784" s="20"/>
      <c r="Q784" s="20"/>
      <c r="R784" s="20"/>
      <c r="S784" s="20"/>
      <c r="T784" s="20"/>
      <c r="U784" s="20"/>
      <c r="V784" s="20"/>
      <c r="W784" s="20"/>
      <c r="X784" s="20"/>
      <c r="Y784" s="20"/>
      <c r="Z784" s="20"/>
    </row>
    <row r="785" spans="1:26" ht="17.25" customHeight="1">
      <c r="A785" s="15"/>
      <c r="B785" s="15"/>
      <c r="C785" s="15"/>
      <c r="D785" s="15"/>
      <c r="E785" s="15"/>
      <c r="F785" s="15"/>
      <c r="G785" s="15"/>
      <c r="H785" s="47"/>
      <c r="I785" s="20"/>
      <c r="J785" s="20"/>
      <c r="K785" s="20"/>
      <c r="L785" s="20"/>
      <c r="M785" s="20"/>
      <c r="N785" s="20"/>
      <c r="O785" s="20"/>
      <c r="P785" s="20"/>
      <c r="Q785" s="20"/>
      <c r="R785" s="20"/>
      <c r="S785" s="20"/>
      <c r="T785" s="20"/>
      <c r="U785" s="20"/>
      <c r="V785" s="20"/>
      <c r="W785" s="20"/>
      <c r="X785" s="20"/>
      <c r="Y785" s="20"/>
      <c r="Z785" s="20"/>
    </row>
    <row r="786" spans="1:26" ht="17.25" customHeight="1">
      <c r="A786" s="15"/>
      <c r="B786" s="15"/>
      <c r="C786" s="15"/>
      <c r="D786" s="15"/>
      <c r="E786" s="15"/>
      <c r="F786" s="15"/>
      <c r="G786" s="15"/>
      <c r="H786" s="47"/>
      <c r="I786" s="20"/>
      <c r="J786" s="20"/>
      <c r="K786" s="20"/>
      <c r="L786" s="20"/>
      <c r="M786" s="20"/>
      <c r="N786" s="20"/>
      <c r="O786" s="20"/>
      <c r="P786" s="20"/>
      <c r="Q786" s="20"/>
      <c r="R786" s="20"/>
      <c r="S786" s="20"/>
      <c r="T786" s="20"/>
      <c r="U786" s="20"/>
      <c r="V786" s="20"/>
      <c r="W786" s="20"/>
      <c r="X786" s="20"/>
      <c r="Y786" s="20"/>
      <c r="Z786" s="20"/>
    </row>
    <row r="787" spans="1:26" ht="17.25" customHeight="1">
      <c r="A787" s="15"/>
      <c r="B787" s="15"/>
      <c r="C787" s="15"/>
      <c r="D787" s="15"/>
      <c r="E787" s="15"/>
      <c r="F787" s="15"/>
      <c r="G787" s="15"/>
      <c r="H787" s="47"/>
      <c r="I787" s="20"/>
      <c r="J787" s="20"/>
      <c r="K787" s="20"/>
      <c r="L787" s="20"/>
      <c r="M787" s="20"/>
      <c r="N787" s="20"/>
      <c r="O787" s="20"/>
      <c r="P787" s="20"/>
      <c r="Q787" s="20"/>
      <c r="R787" s="20"/>
      <c r="S787" s="20"/>
      <c r="T787" s="20"/>
      <c r="U787" s="20"/>
      <c r="V787" s="20"/>
      <c r="W787" s="20"/>
      <c r="X787" s="20"/>
      <c r="Y787" s="20"/>
      <c r="Z787" s="20"/>
    </row>
    <row r="788" spans="1:26" ht="17.25" customHeight="1">
      <c r="A788" s="15"/>
      <c r="B788" s="15"/>
      <c r="C788" s="15"/>
      <c r="D788" s="15"/>
      <c r="E788" s="15"/>
      <c r="F788" s="15"/>
      <c r="G788" s="15"/>
      <c r="H788" s="47"/>
      <c r="I788" s="20"/>
      <c r="J788" s="20"/>
      <c r="K788" s="20"/>
      <c r="L788" s="20"/>
      <c r="M788" s="20"/>
      <c r="N788" s="20"/>
      <c r="O788" s="20"/>
      <c r="P788" s="20"/>
      <c r="Q788" s="20"/>
      <c r="R788" s="20"/>
      <c r="S788" s="20"/>
      <c r="T788" s="20"/>
      <c r="U788" s="20"/>
      <c r="V788" s="20"/>
      <c r="W788" s="20"/>
      <c r="X788" s="20"/>
      <c r="Y788" s="20"/>
      <c r="Z788" s="20"/>
    </row>
    <row r="789" spans="1:26" ht="17.25" customHeight="1">
      <c r="A789" s="15"/>
      <c r="B789" s="15"/>
      <c r="C789" s="15"/>
      <c r="D789" s="15"/>
      <c r="E789" s="15"/>
      <c r="F789" s="15"/>
      <c r="G789" s="15"/>
      <c r="H789" s="47"/>
      <c r="I789" s="20"/>
      <c r="J789" s="20"/>
      <c r="K789" s="20"/>
      <c r="L789" s="20"/>
      <c r="M789" s="20"/>
      <c r="N789" s="20"/>
      <c r="O789" s="20"/>
      <c r="P789" s="20"/>
      <c r="Q789" s="20"/>
      <c r="R789" s="20"/>
      <c r="S789" s="20"/>
      <c r="T789" s="20"/>
      <c r="U789" s="20"/>
      <c r="V789" s="20"/>
      <c r="W789" s="20"/>
      <c r="X789" s="20"/>
      <c r="Y789" s="20"/>
      <c r="Z789" s="20"/>
    </row>
    <row r="790" spans="1:26" ht="17.25" customHeight="1">
      <c r="A790" s="15"/>
      <c r="B790" s="15"/>
      <c r="C790" s="15"/>
      <c r="D790" s="15"/>
      <c r="E790" s="15"/>
      <c r="F790" s="15"/>
      <c r="G790" s="15"/>
      <c r="H790" s="47"/>
      <c r="I790" s="20"/>
      <c r="J790" s="20"/>
      <c r="K790" s="20"/>
      <c r="L790" s="20"/>
      <c r="M790" s="20"/>
      <c r="N790" s="20"/>
      <c r="O790" s="20"/>
      <c r="P790" s="20"/>
      <c r="Q790" s="20"/>
      <c r="R790" s="20"/>
      <c r="S790" s="20"/>
      <c r="T790" s="20"/>
      <c r="U790" s="20"/>
      <c r="V790" s="20"/>
      <c r="W790" s="20"/>
      <c r="X790" s="20"/>
      <c r="Y790" s="20"/>
      <c r="Z790" s="20"/>
    </row>
    <row r="791" spans="1:26" ht="17.25" customHeight="1">
      <c r="A791" s="15"/>
      <c r="B791" s="15"/>
      <c r="C791" s="15"/>
      <c r="D791" s="15"/>
      <c r="E791" s="15"/>
      <c r="F791" s="15"/>
      <c r="G791" s="15"/>
      <c r="H791" s="47"/>
      <c r="I791" s="20"/>
      <c r="J791" s="20"/>
      <c r="K791" s="20"/>
      <c r="L791" s="20"/>
      <c r="M791" s="20"/>
      <c r="N791" s="20"/>
      <c r="O791" s="20"/>
      <c r="P791" s="20"/>
      <c r="Q791" s="20"/>
      <c r="R791" s="20"/>
      <c r="S791" s="20"/>
      <c r="T791" s="20"/>
      <c r="U791" s="20"/>
      <c r="V791" s="20"/>
      <c r="W791" s="20"/>
      <c r="X791" s="20"/>
      <c r="Y791" s="20"/>
      <c r="Z791" s="20"/>
    </row>
    <row r="792" spans="1:26" ht="17.25" customHeight="1">
      <c r="A792" s="15"/>
      <c r="B792" s="15"/>
      <c r="C792" s="15"/>
      <c r="D792" s="15"/>
      <c r="E792" s="15"/>
      <c r="F792" s="15"/>
      <c r="G792" s="15"/>
      <c r="H792" s="47"/>
      <c r="I792" s="20"/>
      <c r="J792" s="20"/>
      <c r="K792" s="20"/>
      <c r="L792" s="20"/>
      <c r="M792" s="20"/>
      <c r="N792" s="20"/>
      <c r="O792" s="20"/>
      <c r="P792" s="20"/>
      <c r="Q792" s="20"/>
      <c r="R792" s="20"/>
      <c r="S792" s="20"/>
      <c r="T792" s="20"/>
      <c r="U792" s="20"/>
      <c r="V792" s="20"/>
      <c r="W792" s="20"/>
      <c r="X792" s="20"/>
      <c r="Y792" s="20"/>
      <c r="Z792" s="20"/>
    </row>
    <row r="793" spans="1:26" ht="17.25" customHeight="1">
      <c r="A793" s="15"/>
      <c r="B793" s="15"/>
      <c r="C793" s="15"/>
      <c r="D793" s="15"/>
      <c r="E793" s="15"/>
      <c r="F793" s="15"/>
      <c r="G793" s="15"/>
      <c r="H793" s="47"/>
      <c r="I793" s="20"/>
      <c r="J793" s="20"/>
      <c r="K793" s="20"/>
      <c r="L793" s="20"/>
      <c r="M793" s="20"/>
      <c r="N793" s="20"/>
      <c r="O793" s="20"/>
      <c r="P793" s="20"/>
      <c r="Q793" s="20"/>
      <c r="R793" s="20"/>
      <c r="S793" s="20"/>
      <c r="T793" s="20"/>
      <c r="U793" s="20"/>
      <c r="V793" s="20"/>
      <c r="W793" s="20"/>
      <c r="X793" s="20"/>
      <c r="Y793" s="20"/>
      <c r="Z793" s="20"/>
    </row>
    <row r="794" spans="1:26" ht="17.25" customHeight="1">
      <c r="A794" s="15"/>
      <c r="B794" s="15"/>
      <c r="C794" s="15"/>
      <c r="D794" s="15"/>
      <c r="E794" s="15"/>
      <c r="F794" s="15"/>
      <c r="G794" s="15"/>
      <c r="H794" s="47"/>
      <c r="I794" s="20"/>
      <c r="J794" s="20"/>
      <c r="K794" s="20"/>
      <c r="L794" s="20"/>
      <c r="M794" s="20"/>
      <c r="N794" s="20"/>
      <c r="O794" s="20"/>
      <c r="P794" s="20"/>
      <c r="Q794" s="20"/>
      <c r="R794" s="20"/>
      <c r="S794" s="20"/>
      <c r="T794" s="20"/>
      <c r="U794" s="20"/>
      <c r="V794" s="20"/>
      <c r="W794" s="20"/>
      <c r="X794" s="20"/>
      <c r="Y794" s="20"/>
      <c r="Z794" s="20"/>
    </row>
    <row r="795" spans="1:26" ht="17.25" customHeight="1">
      <c r="A795" s="15"/>
      <c r="B795" s="15"/>
      <c r="C795" s="15"/>
      <c r="D795" s="15"/>
      <c r="E795" s="15"/>
      <c r="F795" s="15"/>
      <c r="G795" s="15"/>
      <c r="H795" s="47"/>
      <c r="I795" s="20"/>
      <c r="J795" s="20"/>
      <c r="K795" s="20"/>
      <c r="L795" s="20"/>
      <c r="M795" s="20"/>
      <c r="N795" s="20"/>
      <c r="O795" s="20"/>
      <c r="P795" s="20"/>
      <c r="Q795" s="20"/>
      <c r="R795" s="20"/>
      <c r="S795" s="20"/>
      <c r="T795" s="20"/>
      <c r="U795" s="20"/>
      <c r="V795" s="20"/>
      <c r="W795" s="20"/>
      <c r="X795" s="20"/>
      <c r="Y795" s="20"/>
      <c r="Z795" s="20"/>
    </row>
    <row r="796" spans="1:26" ht="17.25" customHeight="1">
      <c r="A796" s="15"/>
      <c r="B796" s="15"/>
      <c r="C796" s="15"/>
      <c r="D796" s="15"/>
      <c r="E796" s="15"/>
      <c r="F796" s="15"/>
      <c r="G796" s="15"/>
      <c r="H796" s="47"/>
      <c r="I796" s="20"/>
      <c r="J796" s="20"/>
      <c r="K796" s="20"/>
      <c r="L796" s="20"/>
      <c r="M796" s="20"/>
      <c r="N796" s="20"/>
      <c r="O796" s="20"/>
      <c r="P796" s="20"/>
      <c r="Q796" s="20"/>
      <c r="R796" s="20"/>
      <c r="S796" s="20"/>
      <c r="T796" s="20"/>
      <c r="U796" s="20"/>
      <c r="V796" s="20"/>
      <c r="W796" s="20"/>
      <c r="X796" s="20"/>
      <c r="Y796" s="20"/>
      <c r="Z796" s="20"/>
    </row>
    <row r="797" spans="1:26" ht="17.25" customHeight="1">
      <c r="A797" s="15"/>
      <c r="B797" s="15"/>
      <c r="C797" s="15"/>
      <c r="D797" s="15"/>
      <c r="E797" s="15"/>
      <c r="F797" s="15"/>
      <c r="G797" s="15"/>
      <c r="H797" s="47"/>
      <c r="I797" s="20"/>
      <c r="J797" s="20"/>
      <c r="K797" s="20"/>
      <c r="L797" s="20"/>
      <c r="M797" s="20"/>
      <c r="N797" s="20"/>
      <c r="O797" s="20"/>
      <c r="P797" s="20"/>
      <c r="Q797" s="20"/>
      <c r="R797" s="20"/>
      <c r="S797" s="20"/>
      <c r="T797" s="20"/>
      <c r="U797" s="20"/>
      <c r="V797" s="20"/>
      <c r="W797" s="20"/>
      <c r="X797" s="20"/>
      <c r="Y797" s="20"/>
      <c r="Z797" s="20"/>
    </row>
    <row r="798" spans="1:26" ht="17.25" customHeight="1">
      <c r="A798" s="15"/>
      <c r="B798" s="15"/>
      <c r="C798" s="15"/>
      <c r="D798" s="15"/>
      <c r="E798" s="15"/>
      <c r="F798" s="15"/>
      <c r="G798" s="15"/>
      <c r="H798" s="47"/>
      <c r="I798" s="20"/>
      <c r="J798" s="20"/>
      <c r="K798" s="20"/>
      <c r="L798" s="20"/>
      <c r="M798" s="20"/>
      <c r="N798" s="20"/>
      <c r="O798" s="20"/>
      <c r="P798" s="20"/>
      <c r="Q798" s="20"/>
      <c r="R798" s="20"/>
      <c r="S798" s="20"/>
      <c r="T798" s="20"/>
      <c r="U798" s="20"/>
      <c r="V798" s="20"/>
      <c r="W798" s="20"/>
      <c r="X798" s="20"/>
      <c r="Y798" s="20"/>
      <c r="Z798" s="20"/>
    </row>
    <row r="799" spans="1:26" ht="17.25" customHeight="1">
      <c r="A799" s="15"/>
      <c r="B799" s="15"/>
      <c r="C799" s="15"/>
      <c r="D799" s="15"/>
      <c r="E799" s="15"/>
      <c r="F799" s="15"/>
      <c r="G799" s="15"/>
      <c r="H799" s="47"/>
      <c r="I799" s="20"/>
      <c r="J799" s="20"/>
      <c r="K799" s="20"/>
      <c r="L799" s="20"/>
      <c r="M799" s="20"/>
      <c r="N799" s="20"/>
      <c r="O799" s="20"/>
      <c r="P799" s="20"/>
      <c r="Q799" s="20"/>
      <c r="R799" s="20"/>
      <c r="S799" s="20"/>
      <c r="T799" s="20"/>
      <c r="U799" s="20"/>
      <c r="V799" s="20"/>
      <c r="W799" s="20"/>
      <c r="X799" s="20"/>
      <c r="Y799" s="20"/>
      <c r="Z799" s="20"/>
    </row>
    <row r="800" spans="1:26" ht="17.25" customHeight="1">
      <c r="A800" s="15"/>
      <c r="B800" s="15"/>
      <c r="C800" s="15"/>
      <c r="D800" s="15"/>
      <c r="E800" s="15"/>
      <c r="F800" s="15"/>
      <c r="G800" s="15"/>
      <c r="H800" s="47"/>
      <c r="I800" s="20"/>
      <c r="J800" s="20"/>
      <c r="K800" s="20"/>
      <c r="L800" s="20"/>
      <c r="M800" s="20"/>
      <c r="N800" s="20"/>
      <c r="O800" s="20"/>
      <c r="P800" s="20"/>
      <c r="Q800" s="20"/>
      <c r="R800" s="20"/>
      <c r="S800" s="20"/>
      <c r="T800" s="20"/>
      <c r="U800" s="20"/>
      <c r="V800" s="20"/>
      <c r="W800" s="20"/>
      <c r="X800" s="20"/>
      <c r="Y800" s="20"/>
      <c r="Z800" s="20"/>
    </row>
    <row r="801" spans="1:26" ht="17.25" customHeight="1">
      <c r="A801" s="15"/>
      <c r="B801" s="15"/>
      <c r="C801" s="15"/>
      <c r="D801" s="15"/>
      <c r="E801" s="15"/>
      <c r="F801" s="15"/>
      <c r="G801" s="15"/>
      <c r="H801" s="47"/>
      <c r="I801" s="20"/>
      <c r="J801" s="20"/>
      <c r="K801" s="20"/>
      <c r="L801" s="20"/>
      <c r="M801" s="20"/>
      <c r="N801" s="20"/>
      <c r="O801" s="20"/>
      <c r="P801" s="20"/>
      <c r="Q801" s="20"/>
      <c r="R801" s="20"/>
      <c r="S801" s="20"/>
      <c r="T801" s="20"/>
      <c r="U801" s="20"/>
      <c r="V801" s="20"/>
      <c r="W801" s="20"/>
      <c r="X801" s="20"/>
      <c r="Y801" s="20"/>
      <c r="Z801" s="20"/>
    </row>
    <row r="802" spans="1:26" ht="17.25" customHeight="1">
      <c r="A802" s="15"/>
      <c r="B802" s="15"/>
      <c r="C802" s="15"/>
      <c r="D802" s="15"/>
      <c r="E802" s="15"/>
      <c r="F802" s="15"/>
      <c r="G802" s="15"/>
      <c r="H802" s="47"/>
      <c r="I802" s="20"/>
      <c r="J802" s="20"/>
      <c r="K802" s="20"/>
      <c r="L802" s="20"/>
      <c r="M802" s="20"/>
      <c r="N802" s="20"/>
      <c r="O802" s="20"/>
      <c r="P802" s="20"/>
      <c r="Q802" s="20"/>
      <c r="R802" s="20"/>
      <c r="S802" s="20"/>
      <c r="T802" s="20"/>
      <c r="U802" s="20"/>
      <c r="V802" s="20"/>
      <c r="W802" s="20"/>
      <c r="X802" s="20"/>
      <c r="Y802" s="20"/>
      <c r="Z802" s="20"/>
    </row>
    <row r="803" spans="1:26" ht="17.25" customHeight="1">
      <c r="A803" s="15"/>
      <c r="B803" s="15"/>
      <c r="C803" s="15"/>
      <c r="D803" s="15"/>
      <c r="E803" s="15"/>
      <c r="F803" s="15"/>
      <c r="G803" s="15"/>
      <c r="H803" s="47"/>
      <c r="I803" s="20"/>
      <c r="J803" s="20"/>
      <c r="K803" s="20"/>
      <c r="L803" s="20"/>
      <c r="M803" s="20"/>
      <c r="N803" s="20"/>
      <c r="O803" s="20"/>
      <c r="P803" s="20"/>
      <c r="Q803" s="20"/>
      <c r="R803" s="20"/>
      <c r="S803" s="20"/>
      <c r="T803" s="20"/>
      <c r="U803" s="20"/>
      <c r="V803" s="20"/>
      <c r="W803" s="20"/>
      <c r="X803" s="20"/>
      <c r="Y803" s="20"/>
      <c r="Z803" s="20"/>
    </row>
    <row r="804" spans="1:26" ht="17.25" customHeight="1">
      <c r="A804" s="15"/>
      <c r="B804" s="15"/>
      <c r="C804" s="15"/>
      <c r="D804" s="15"/>
      <c r="E804" s="15"/>
      <c r="F804" s="15"/>
      <c r="G804" s="15"/>
      <c r="H804" s="47"/>
      <c r="I804" s="20"/>
      <c r="J804" s="20"/>
      <c r="K804" s="20"/>
      <c r="L804" s="20"/>
      <c r="M804" s="20"/>
      <c r="N804" s="20"/>
      <c r="O804" s="20"/>
      <c r="P804" s="20"/>
      <c r="Q804" s="20"/>
      <c r="R804" s="20"/>
      <c r="S804" s="20"/>
      <c r="T804" s="20"/>
      <c r="U804" s="20"/>
      <c r="V804" s="20"/>
      <c r="W804" s="20"/>
      <c r="X804" s="20"/>
      <c r="Y804" s="20"/>
      <c r="Z804" s="20"/>
    </row>
    <row r="805" spans="1:26" ht="17.25" customHeight="1">
      <c r="A805" s="15"/>
      <c r="B805" s="15"/>
      <c r="C805" s="15"/>
      <c r="D805" s="15"/>
      <c r="E805" s="15"/>
      <c r="F805" s="15"/>
      <c r="G805" s="15"/>
      <c r="H805" s="47"/>
      <c r="I805" s="20"/>
      <c r="J805" s="20"/>
      <c r="K805" s="20"/>
      <c r="L805" s="20"/>
      <c r="M805" s="20"/>
      <c r="N805" s="20"/>
      <c r="O805" s="20"/>
      <c r="P805" s="20"/>
      <c r="Q805" s="20"/>
      <c r="R805" s="20"/>
      <c r="S805" s="20"/>
      <c r="T805" s="20"/>
      <c r="U805" s="20"/>
      <c r="V805" s="20"/>
      <c r="W805" s="20"/>
      <c r="X805" s="20"/>
      <c r="Y805" s="20"/>
      <c r="Z805" s="20"/>
    </row>
    <row r="806" spans="1:26" ht="17.25" customHeight="1">
      <c r="A806" s="15"/>
      <c r="B806" s="15"/>
      <c r="C806" s="15"/>
      <c r="D806" s="15"/>
      <c r="E806" s="15"/>
      <c r="F806" s="15"/>
      <c r="G806" s="15"/>
      <c r="H806" s="47"/>
      <c r="I806" s="20"/>
      <c r="J806" s="20"/>
      <c r="K806" s="20"/>
      <c r="L806" s="20"/>
      <c r="M806" s="20"/>
      <c r="N806" s="20"/>
      <c r="O806" s="20"/>
      <c r="P806" s="20"/>
      <c r="Q806" s="20"/>
      <c r="R806" s="20"/>
      <c r="S806" s="20"/>
      <c r="T806" s="20"/>
      <c r="U806" s="20"/>
      <c r="V806" s="20"/>
      <c r="W806" s="20"/>
      <c r="X806" s="20"/>
      <c r="Y806" s="20"/>
      <c r="Z806" s="20"/>
    </row>
    <row r="807" spans="1:26" ht="17.25" customHeight="1">
      <c r="A807" s="15"/>
      <c r="B807" s="15"/>
      <c r="C807" s="15"/>
      <c r="D807" s="15"/>
      <c r="E807" s="15"/>
      <c r="F807" s="15"/>
      <c r="G807" s="15"/>
      <c r="H807" s="47"/>
      <c r="I807" s="20"/>
      <c r="J807" s="20"/>
      <c r="K807" s="20"/>
      <c r="L807" s="20"/>
      <c r="M807" s="20"/>
      <c r="N807" s="20"/>
      <c r="O807" s="20"/>
      <c r="P807" s="20"/>
      <c r="Q807" s="20"/>
      <c r="R807" s="20"/>
      <c r="S807" s="20"/>
      <c r="T807" s="20"/>
      <c r="U807" s="20"/>
      <c r="V807" s="20"/>
      <c r="W807" s="20"/>
      <c r="X807" s="20"/>
      <c r="Y807" s="20"/>
      <c r="Z807" s="20"/>
    </row>
    <row r="808" spans="1:26" ht="17.25" customHeight="1">
      <c r="A808" s="15"/>
      <c r="B808" s="15"/>
      <c r="C808" s="15"/>
      <c r="D808" s="15"/>
      <c r="E808" s="15"/>
      <c r="F808" s="15"/>
      <c r="G808" s="15"/>
      <c r="H808" s="47"/>
      <c r="I808" s="20"/>
      <c r="J808" s="20"/>
      <c r="K808" s="20"/>
      <c r="L808" s="20"/>
      <c r="M808" s="20"/>
      <c r="N808" s="20"/>
      <c r="O808" s="20"/>
      <c r="P808" s="20"/>
      <c r="Q808" s="20"/>
      <c r="R808" s="20"/>
      <c r="S808" s="20"/>
      <c r="T808" s="20"/>
      <c r="U808" s="20"/>
      <c r="V808" s="20"/>
      <c r="W808" s="20"/>
      <c r="X808" s="20"/>
      <c r="Y808" s="20"/>
      <c r="Z808" s="20"/>
    </row>
    <row r="809" spans="1:26" ht="17.25" customHeight="1">
      <c r="A809" s="15"/>
      <c r="B809" s="15"/>
      <c r="C809" s="15"/>
      <c r="D809" s="15"/>
      <c r="E809" s="15"/>
      <c r="F809" s="15"/>
      <c r="G809" s="15"/>
      <c r="H809" s="47"/>
      <c r="I809" s="20"/>
      <c r="J809" s="20"/>
      <c r="K809" s="20"/>
      <c r="L809" s="20"/>
      <c r="M809" s="20"/>
      <c r="N809" s="20"/>
      <c r="O809" s="20"/>
      <c r="P809" s="20"/>
      <c r="Q809" s="20"/>
      <c r="R809" s="20"/>
      <c r="S809" s="20"/>
      <c r="T809" s="20"/>
      <c r="U809" s="20"/>
      <c r="V809" s="20"/>
      <c r="W809" s="20"/>
      <c r="X809" s="20"/>
      <c r="Y809" s="20"/>
      <c r="Z809" s="20"/>
    </row>
    <row r="810" spans="1:26" ht="17.25" customHeight="1">
      <c r="A810" s="15"/>
      <c r="B810" s="15"/>
      <c r="C810" s="15"/>
      <c r="D810" s="15"/>
      <c r="E810" s="15"/>
      <c r="F810" s="15"/>
      <c r="G810" s="15"/>
      <c r="H810" s="47"/>
      <c r="I810" s="20"/>
      <c r="J810" s="20"/>
      <c r="K810" s="20"/>
      <c r="L810" s="20"/>
      <c r="M810" s="20"/>
      <c r="N810" s="20"/>
      <c r="O810" s="20"/>
      <c r="P810" s="20"/>
      <c r="Q810" s="20"/>
      <c r="R810" s="20"/>
      <c r="S810" s="20"/>
      <c r="T810" s="20"/>
      <c r="U810" s="20"/>
      <c r="V810" s="20"/>
      <c r="W810" s="20"/>
      <c r="X810" s="20"/>
      <c r="Y810" s="20"/>
      <c r="Z810" s="20"/>
    </row>
    <row r="811" spans="1:26" ht="17.25" customHeight="1">
      <c r="A811" s="15"/>
      <c r="B811" s="15"/>
      <c r="C811" s="15"/>
      <c r="D811" s="15"/>
      <c r="E811" s="15"/>
      <c r="F811" s="15"/>
      <c r="G811" s="15"/>
      <c r="H811" s="47"/>
      <c r="I811" s="20"/>
      <c r="J811" s="20"/>
      <c r="K811" s="20"/>
      <c r="L811" s="20"/>
      <c r="M811" s="20"/>
      <c r="N811" s="20"/>
      <c r="O811" s="20"/>
      <c r="P811" s="20"/>
      <c r="Q811" s="20"/>
      <c r="R811" s="20"/>
      <c r="S811" s="20"/>
      <c r="T811" s="20"/>
      <c r="U811" s="20"/>
      <c r="V811" s="20"/>
      <c r="W811" s="20"/>
      <c r="X811" s="20"/>
      <c r="Y811" s="20"/>
      <c r="Z811" s="20"/>
    </row>
    <row r="812" spans="1:26" ht="17.25" customHeight="1">
      <c r="A812" s="15"/>
      <c r="B812" s="15"/>
      <c r="C812" s="15"/>
      <c r="D812" s="15"/>
      <c r="E812" s="15"/>
      <c r="F812" s="15"/>
      <c r="G812" s="15"/>
      <c r="H812" s="47"/>
      <c r="I812" s="20"/>
      <c r="J812" s="20"/>
      <c r="K812" s="20"/>
      <c r="L812" s="20"/>
      <c r="M812" s="20"/>
      <c r="N812" s="20"/>
      <c r="O812" s="20"/>
      <c r="P812" s="20"/>
      <c r="Q812" s="20"/>
      <c r="R812" s="20"/>
      <c r="S812" s="20"/>
      <c r="T812" s="20"/>
      <c r="U812" s="20"/>
      <c r="V812" s="20"/>
      <c r="W812" s="20"/>
      <c r="X812" s="20"/>
      <c r="Y812" s="20"/>
      <c r="Z812" s="20"/>
    </row>
    <row r="813" spans="1:26" ht="17.25" customHeight="1">
      <c r="A813" s="15"/>
      <c r="B813" s="15"/>
      <c r="C813" s="15"/>
      <c r="D813" s="15"/>
      <c r="E813" s="15"/>
      <c r="F813" s="15"/>
      <c r="G813" s="15"/>
      <c r="H813" s="47"/>
      <c r="I813" s="20"/>
      <c r="J813" s="20"/>
      <c r="K813" s="20"/>
      <c r="L813" s="20"/>
      <c r="M813" s="20"/>
      <c r="N813" s="20"/>
      <c r="O813" s="20"/>
      <c r="P813" s="20"/>
      <c r="Q813" s="20"/>
      <c r="R813" s="20"/>
      <c r="S813" s="20"/>
      <c r="T813" s="20"/>
      <c r="U813" s="20"/>
      <c r="V813" s="20"/>
      <c r="W813" s="20"/>
      <c r="X813" s="20"/>
      <c r="Y813" s="20"/>
      <c r="Z813" s="20"/>
    </row>
    <row r="814" spans="1:26" ht="17.25" customHeight="1">
      <c r="A814" s="15"/>
      <c r="B814" s="15"/>
      <c r="C814" s="15"/>
      <c r="D814" s="15"/>
      <c r="E814" s="15"/>
      <c r="F814" s="15"/>
      <c r="G814" s="15"/>
      <c r="H814" s="47"/>
      <c r="I814" s="20"/>
      <c r="J814" s="20"/>
      <c r="K814" s="20"/>
      <c r="L814" s="20"/>
      <c r="M814" s="20"/>
      <c r="N814" s="20"/>
      <c r="O814" s="20"/>
      <c r="P814" s="20"/>
      <c r="Q814" s="20"/>
      <c r="R814" s="20"/>
      <c r="S814" s="20"/>
      <c r="T814" s="20"/>
      <c r="U814" s="20"/>
      <c r="V814" s="20"/>
      <c r="W814" s="20"/>
      <c r="X814" s="20"/>
      <c r="Y814" s="20"/>
      <c r="Z814" s="20"/>
    </row>
    <row r="815" spans="1:26" ht="17.25" customHeight="1">
      <c r="A815" s="15"/>
      <c r="B815" s="15"/>
      <c r="C815" s="15"/>
      <c r="D815" s="15"/>
      <c r="E815" s="15"/>
      <c r="F815" s="15"/>
      <c r="G815" s="15"/>
      <c r="H815" s="47"/>
      <c r="I815" s="20"/>
      <c r="J815" s="20"/>
      <c r="K815" s="20"/>
      <c r="L815" s="20"/>
      <c r="M815" s="20"/>
      <c r="N815" s="20"/>
      <c r="O815" s="20"/>
      <c r="P815" s="20"/>
      <c r="Q815" s="20"/>
      <c r="R815" s="20"/>
      <c r="S815" s="20"/>
      <c r="T815" s="20"/>
      <c r="U815" s="20"/>
      <c r="V815" s="20"/>
      <c r="W815" s="20"/>
      <c r="X815" s="20"/>
      <c r="Y815" s="20"/>
      <c r="Z815" s="20"/>
    </row>
    <row r="816" spans="1:26" ht="17.25" customHeight="1">
      <c r="A816" s="15"/>
      <c r="B816" s="15"/>
      <c r="C816" s="15"/>
      <c r="D816" s="15"/>
      <c r="E816" s="15"/>
      <c r="F816" s="15"/>
      <c r="G816" s="15"/>
      <c r="H816" s="47"/>
      <c r="I816" s="20"/>
      <c r="J816" s="20"/>
      <c r="K816" s="20"/>
      <c r="L816" s="20"/>
      <c r="M816" s="20"/>
      <c r="N816" s="20"/>
      <c r="O816" s="20"/>
      <c r="P816" s="20"/>
      <c r="Q816" s="20"/>
      <c r="R816" s="20"/>
      <c r="S816" s="20"/>
      <c r="T816" s="20"/>
      <c r="U816" s="20"/>
      <c r="V816" s="20"/>
      <c r="W816" s="20"/>
      <c r="X816" s="20"/>
      <c r="Y816" s="20"/>
      <c r="Z816" s="20"/>
    </row>
    <row r="817" spans="1:26" ht="17.25" customHeight="1">
      <c r="A817" s="15"/>
      <c r="B817" s="15"/>
      <c r="C817" s="15"/>
      <c r="D817" s="15"/>
      <c r="E817" s="15"/>
      <c r="F817" s="15"/>
      <c r="G817" s="15"/>
      <c r="H817" s="47"/>
      <c r="I817" s="20"/>
      <c r="J817" s="20"/>
      <c r="K817" s="20"/>
      <c r="L817" s="20"/>
      <c r="M817" s="20"/>
      <c r="N817" s="20"/>
      <c r="O817" s="20"/>
      <c r="P817" s="20"/>
      <c r="Q817" s="20"/>
      <c r="R817" s="20"/>
      <c r="S817" s="20"/>
      <c r="T817" s="20"/>
      <c r="U817" s="20"/>
      <c r="V817" s="20"/>
      <c r="W817" s="20"/>
      <c r="X817" s="20"/>
      <c r="Y817" s="20"/>
      <c r="Z817" s="20"/>
    </row>
    <row r="818" spans="1:26" ht="17.25" customHeight="1">
      <c r="A818" s="15"/>
      <c r="B818" s="15"/>
      <c r="C818" s="15"/>
      <c r="D818" s="15"/>
      <c r="E818" s="15"/>
      <c r="F818" s="15"/>
      <c r="G818" s="15"/>
      <c r="H818" s="47"/>
      <c r="I818" s="20"/>
      <c r="J818" s="20"/>
      <c r="K818" s="20"/>
      <c r="L818" s="20"/>
      <c r="M818" s="20"/>
      <c r="N818" s="20"/>
      <c r="O818" s="20"/>
      <c r="P818" s="20"/>
      <c r="Q818" s="20"/>
      <c r="R818" s="20"/>
      <c r="S818" s="20"/>
      <c r="T818" s="20"/>
      <c r="U818" s="20"/>
      <c r="V818" s="20"/>
      <c r="W818" s="20"/>
      <c r="X818" s="20"/>
      <c r="Y818" s="20"/>
      <c r="Z818" s="20"/>
    </row>
    <row r="819" spans="1:26" ht="17.25" customHeight="1">
      <c r="A819" s="15"/>
      <c r="B819" s="15"/>
      <c r="C819" s="15"/>
      <c r="D819" s="15"/>
      <c r="E819" s="15"/>
      <c r="F819" s="15"/>
      <c r="G819" s="15"/>
      <c r="H819" s="47"/>
      <c r="I819" s="20"/>
      <c r="J819" s="20"/>
      <c r="K819" s="20"/>
      <c r="L819" s="20"/>
      <c r="M819" s="20"/>
      <c r="N819" s="20"/>
      <c r="O819" s="20"/>
      <c r="P819" s="20"/>
      <c r="Q819" s="20"/>
      <c r="R819" s="20"/>
      <c r="S819" s="20"/>
      <c r="T819" s="20"/>
      <c r="U819" s="20"/>
      <c r="V819" s="20"/>
      <c r="W819" s="20"/>
      <c r="X819" s="20"/>
      <c r="Y819" s="20"/>
      <c r="Z819" s="20"/>
    </row>
    <row r="820" spans="1:26" ht="17.25" customHeight="1">
      <c r="A820" s="15"/>
      <c r="B820" s="15"/>
      <c r="C820" s="15"/>
      <c r="D820" s="15"/>
      <c r="E820" s="15"/>
      <c r="F820" s="15"/>
      <c r="G820" s="15"/>
      <c r="H820" s="47"/>
      <c r="I820" s="20"/>
      <c r="J820" s="20"/>
      <c r="K820" s="20"/>
      <c r="L820" s="20"/>
      <c r="M820" s="20"/>
      <c r="N820" s="20"/>
      <c r="O820" s="20"/>
      <c r="P820" s="20"/>
      <c r="Q820" s="20"/>
      <c r="R820" s="20"/>
      <c r="S820" s="20"/>
      <c r="T820" s="20"/>
      <c r="U820" s="20"/>
      <c r="V820" s="20"/>
      <c r="W820" s="20"/>
      <c r="X820" s="20"/>
      <c r="Y820" s="20"/>
      <c r="Z820" s="20"/>
    </row>
    <row r="821" spans="1:26" ht="17.25" customHeight="1">
      <c r="A821" s="15"/>
      <c r="B821" s="15"/>
      <c r="C821" s="15"/>
      <c r="D821" s="15"/>
      <c r="E821" s="15"/>
      <c r="F821" s="15"/>
      <c r="G821" s="15"/>
      <c r="H821" s="47"/>
      <c r="I821" s="20"/>
      <c r="J821" s="20"/>
      <c r="K821" s="20"/>
      <c r="L821" s="20"/>
      <c r="M821" s="20"/>
      <c r="N821" s="20"/>
      <c r="O821" s="20"/>
      <c r="P821" s="20"/>
      <c r="Q821" s="20"/>
      <c r="R821" s="20"/>
      <c r="S821" s="20"/>
      <c r="T821" s="20"/>
      <c r="U821" s="20"/>
      <c r="V821" s="20"/>
      <c r="W821" s="20"/>
      <c r="X821" s="20"/>
      <c r="Y821" s="20"/>
      <c r="Z821" s="20"/>
    </row>
    <row r="822" spans="1:26" ht="17.25" customHeight="1">
      <c r="A822" s="15"/>
      <c r="B822" s="15"/>
      <c r="C822" s="15"/>
      <c r="D822" s="15"/>
      <c r="E822" s="15"/>
      <c r="F822" s="15"/>
      <c r="G822" s="15"/>
      <c r="H822" s="47"/>
      <c r="I822" s="20"/>
      <c r="J822" s="20"/>
      <c r="K822" s="20"/>
      <c r="L822" s="20"/>
      <c r="M822" s="20"/>
      <c r="N822" s="20"/>
      <c r="O822" s="20"/>
      <c r="P822" s="20"/>
      <c r="Q822" s="20"/>
      <c r="R822" s="20"/>
      <c r="S822" s="20"/>
      <c r="T822" s="20"/>
      <c r="U822" s="20"/>
      <c r="V822" s="20"/>
      <c r="W822" s="20"/>
      <c r="X822" s="20"/>
      <c r="Y822" s="20"/>
      <c r="Z822" s="20"/>
    </row>
    <row r="823" spans="1:26" ht="17.25" customHeight="1">
      <c r="A823" s="15"/>
      <c r="B823" s="15"/>
      <c r="C823" s="15"/>
      <c r="D823" s="15"/>
      <c r="E823" s="15"/>
      <c r="F823" s="15"/>
      <c r="G823" s="15"/>
      <c r="H823" s="47"/>
      <c r="I823" s="20"/>
      <c r="J823" s="20"/>
      <c r="K823" s="20"/>
      <c r="L823" s="20"/>
      <c r="M823" s="20"/>
      <c r="N823" s="20"/>
      <c r="O823" s="20"/>
      <c r="P823" s="20"/>
      <c r="Q823" s="20"/>
      <c r="R823" s="20"/>
      <c r="S823" s="20"/>
      <c r="T823" s="20"/>
      <c r="U823" s="20"/>
      <c r="V823" s="20"/>
      <c r="W823" s="20"/>
      <c r="X823" s="20"/>
      <c r="Y823" s="20"/>
      <c r="Z823" s="20"/>
    </row>
    <row r="824" spans="1:26" ht="17.25" customHeight="1">
      <c r="A824" s="15"/>
      <c r="B824" s="15"/>
      <c r="C824" s="15"/>
      <c r="D824" s="15"/>
      <c r="E824" s="15"/>
      <c r="F824" s="15"/>
      <c r="G824" s="15"/>
      <c r="H824" s="47"/>
      <c r="I824" s="20"/>
      <c r="J824" s="20"/>
      <c r="K824" s="20"/>
      <c r="L824" s="20"/>
      <c r="M824" s="20"/>
      <c r="N824" s="20"/>
      <c r="O824" s="20"/>
      <c r="P824" s="20"/>
      <c r="Q824" s="20"/>
      <c r="R824" s="20"/>
      <c r="S824" s="20"/>
      <c r="T824" s="20"/>
      <c r="U824" s="20"/>
      <c r="V824" s="20"/>
      <c r="W824" s="20"/>
      <c r="X824" s="20"/>
      <c r="Y824" s="20"/>
      <c r="Z824" s="20"/>
    </row>
    <row r="825" spans="1:26" ht="17.25" customHeight="1">
      <c r="A825" s="15"/>
      <c r="B825" s="15"/>
      <c r="C825" s="15"/>
      <c r="D825" s="15"/>
      <c r="E825" s="15"/>
      <c r="F825" s="15"/>
      <c r="G825" s="15"/>
      <c r="H825" s="47"/>
      <c r="I825" s="20"/>
      <c r="J825" s="20"/>
      <c r="K825" s="20"/>
      <c r="L825" s="20"/>
      <c r="M825" s="20"/>
      <c r="N825" s="20"/>
      <c r="O825" s="20"/>
      <c r="P825" s="20"/>
      <c r="Q825" s="20"/>
      <c r="R825" s="20"/>
      <c r="S825" s="20"/>
      <c r="T825" s="20"/>
      <c r="U825" s="20"/>
      <c r="V825" s="20"/>
      <c r="W825" s="20"/>
      <c r="X825" s="20"/>
      <c r="Y825" s="20"/>
      <c r="Z825" s="20"/>
    </row>
    <row r="826" spans="1:26" ht="17.25" customHeight="1">
      <c r="A826" s="15"/>
      <c r="B826" s="15"/>
      <c r="C826" s="15"/>
      <c r="D826" s="15"/>
      <c r="E826" s="15"/>
      <c r="F826" s="15"/>
      <c r="G826" s="15"/>
      <c r="H826" s="47"/>
      <c r="I826" s="20"/>
      <c r="J826" s="20"/>
      <c r="K826" s="20"/>
      <c r="L826" s="20"/>
      <c r="M826" s="20"/>
      <c r="N826" s="20"/>
      <c r="O826" s="20"/>
      <c r="P826" s="20"/>
      <c r="Q826" s="20"/>
      <c r="R826" s="20"/>
      <c r="S826" s="20"/>
      <c r="T826" s="20"/>
      <c r="U826" s="20"/>
      <c r="V826" s="20"/>
      <c r="W826" s="20"/>
      <c r="X826" s="20"/>
      <c r="Y826" s="20"/>
      <c r="Z826" s="20"/>
    </row>
    <row r="827" spans="1:26" ht="17.25" customHeight="1">
      <c r="A827" s="15"/>
      <c r="B827" s="15"/>
      <c r="C827" s="15"/>
      <c r="D827" s="15"/>
      <c r="E827" s="15"/>
      <c r="F827" s="15"/>
      <c r="G827" s="15"/>
      <c r="H827" s="47"/>
      <c r="I827" s="20"/>
      <c r="J827" s="20"/>
      <c r="K827" s="20"/>
      <c r="L827" s="20"/>
      <c r="M827" s="20"/>
      <c r="N827" s="20"/>
      <c r="O827" s="20"/>
      <c r="P827" s="20"/>
      <c r="Q827" s="20"/>
      <c r="R827" s="20"/>
      <c r="S827" s="20"/>
      <c r="T827" s="20"/>
      <c r="U827" s="20"/>
      <c r="V827" s="20"/>
      <c r="W827" s="20"/>
      <c r="X827" s="20"/>
      <c r="Y827" s="20"/>
      <c r="Z827" s="20"/>
    </row>
    <row r="828" spans="1:26" ht="17.25" customHeight="1">
      <c r="A828" s="15"/>
      <c r="B828" s="15"/>
      <c r="C828" s="15"/>
      <c r="D828" s="15"/>
      <c r="E828" s="15"/>
      <c r="F828" s="15"/>
      <c r="G828" s="15"/>
      <c r="H828" s="47"/>
      <c r="I828" s="20"/>
      <c r="J828" s="20"/>
      <c r="K828" s="20"/>
      <c r="L828" s="20"/>
      <c r="M828" s="20"/>
      <c r="N828" s="20"/>
      <c r="O828" s="20"/>
      <c r="P828" s="20"/>
      <c r="Q828" s="20"/>
      <c r="R828" s="20"/>
      <c r="S828" s="20"/>
      <c r="T828" s="20"/>
      <c r="U828" s="20"/>
      <c r="V828" s="20"/>
      <c r="W828" s="20"/>
      <c r="X828" s="20"/>
      <c r="Y828" s="20"/>
      <c r="Z828" s="20"/>
    </row>
    <row r="829" spans="1:26" ht="17.25" customHeight="1">
      <c r="A829" s="15"/>
      <c r="B829" s="15"/>
      <c r="C829" s="15"/>
      <c r="D829" s="15"/>
      <c r="E829" s="15"/>
      <c r="F829" s="15"/>
      <c r="G829" s="15"/>
      <c r="H829" s="47"/>
      <c r="I829" s="20"/>
      <c r="J829" s="20"/>
      <c r="K829" s="20"/>
      <c r="L829" s="20"/>
      <c r="M829" s="20"/>
      <c r="N829" s="20"/>
      <c r="O829" s="20"/>
      <c r="P829" s="20"/>
      <c r="Q829" s="20"/>
      <c r="R829" s="20"/>
      <c r="S829" s="20"/>
      <c r="T829" s="20"/>
      <c r="U829" s="20"/>
      <c r="V829" s="20"/>
      <c r="W829" s="20"/>
      <c r="X829" s="20"/>
      <c r="Y829" s="20"/>
      <c r="Z829" s="20"/>
    </row>
    <row r="830" spans="1:26" ht="17.25" customHeight="1">
      <c r="A830" s="15"/>
      <c r="B830" s="15"/>
      <c r="C830" s="15"/>
      <c r="D830" s="15"/>
      <c r="E830" s="15"/>
      <c r="F830" s="15"/>
      <c r="G830" s="15"/>
      <c r="H830" s="47"/>
      <c r="I830" s="20"/>
      <c r="J830" s="20"/>
      <c r="K830" s="20"/>
      <c r="L830" s="20"/>
      <c r="M830" s="20"/>
      <c r="N830" s="20"/>
      <c r="O830" s="20"/>
      <c r="P830" s="20"/>
      <c r="Q830" s="20"/>
      <c r="R830" s="20"/>
      <c r="S830" s="20"/>
      <c r="T830" s="20"/>
      <c r="U830" s="20"/>
      <c r="V830" s="20"/>
      <c r="W830" s="20"/>
      <c r="X830" s="20"/>
      <c r="Y830" s="20"/>
      <c r="Z830" s="20"/>
    </row>
    <row r="831" spans="1:26" ht="17.25" customHeight="1">
      <c r="A831" s="15"/>
      <c r="B831" s="15"/>
      <c r="C831" s="15"/>
      <c r="D831" s="15"/>
      <c r="E831" s="15"/>
      <c r="F831" s="15"/>
      <c r="G831" s="15"/>
      <c r="H831" s="47"/>
      <c r="I831" s="20"/>
      <c r="J831" s="20"/>
      <c r="K831" s="20"/>
      <c r="L831" s="20"/>
      <c r="M831" s="20"/>
      <c r="N831" s="20"/>
      <c r="O831" s="20"/>
      <c r="P831" s="20"/>
      <c r="Q831" s="20"/>
      <c r="R831" s="20"/>
      <c r="S831" s="20"/>
      <c r="T831" s="20"/>
      <c r="U831" s="20"/>
      <c r="V831" s="20"/>
      <c r="W831" s="20"/>
      <c r="X831" s="20"/>
      <c r="Y831" s="20"/>
      <c r="Z831" s="20"/>
    </row>
    <row r="832" spans="1:26" ht="17.25" customHeight="1">
      <c r="A832" s="15"/>
      <c r="B832" s="15"/>
      <c r="C832" s="15"/>
      <c r="D832" s="15"/>
      <c r="E832" s="15"/>
      <c r="F832" s="15"/>
      <c r="G832" s="15"/>
      <c r="H832" s="47"/>
      <c r="I832" s="20"/>
      <c r="J832" s="20"/>
      <c r="K832" s="20"/>
      <c r="L832" s="20"/>
      <c r="M832" s="20"/>
      <c r="N832" s="20"/>
      <c r="O832" s="20"/>
      <c r="P832" s="20"/>
      <c r="Q832" s="20"/>
      <c r="R832" s="20"/>
      <c r="S832" s="20"/>
      <c r="T832" s="20"/>
      <c r="U832" s="20"/>
      <c r="V832" s="20"/>
      <c r="W832" s="20"/>
      <c r="X832" s="20"/>
      <c r="Y832" s="20"/>
      <c r="Z832" s="20"/>
    </row>
    <row r="833" spans="1:26" ht="17.25" customHeight="1">
      <c r="A833" s="15"/>
      <c r="B833" s="15"/>
      <c r="C833" s="15"/>
      <c r="D833" s="15"/>
      <c r="E833" s="15"/>
      <c r="F833" s="15"/>
      <c r="G833" s="15"/>
      <c r="H833" s="47"/>
      <c r="I833" s="20"/>
      <c r="J833" s="20"/>
      <c r="K833" s="20"/>
      <c r="L833" s="20"/>
      <c r="M833" s="20"/>
      <c r="N833" s="20"/>
      <c r="O833" s="20"/>
      <c r="P833" s="20"/>
      <c r="Q833" s="20"/>
      <c r="R833" s="20"/>
      <c r="S833" s="20"/>
      <c r="T833" s="20"/>
      <c r="U833" s="20"/>
      <c r="V833" s="20"/>
      <c r="W833" s="20"/>
      <c r="X833" s="20"/>
      <c r="Y833" s="20"/>
      <c r="Z833" s="20"/>
    </row>
    <row r="834" spans="1:26" ht="17.25" customHeight="1">
      <c r="A834" s="15"/>
      <c r="B834" s="15"/>
      <c r="C834" s="15"/>
      <c r="D834" s="15"/>
      <c r="E834" s="15"/>
      <c r="F834" s="15"/>
      <c r="G834" s="15"/>
      <c r="H834" s="47"/>
      <c r="I834" s="20"/>
      <c r="J834" s="20"/>
      <c r="K834" s="20"/>
      <c r="L834" s="20"/>
      <c r="M834" s="20"/>
      <c r="N834" s="20"/>
      <c r="O834" s="20"/>
      <c r="P834" s="20"/>
      <c r="Q834" s="20"/>
      <c r="R834" s="20"/>
      <c r="S834" s="20"/>
      <c r="T834" s="20"/>
      <c r="U834" s="20"/>
      <c r="V834" s="20"/>
      <c r="W834" s="20"/>
      <c r="X834" s="20"/>
      <c r="Y834" s="20"/>
      <c r="Z834" s="20"/>
    </row>
    <row r="835" spans="1:26" ht="17.25" customHeight="1">
      <c r="A835" s="15"/>
      <c r="B835" s="15"/>
      <c r="C835" s="15"/>
      <c r="D835" s="15"/>
      <c r="E835" s="15"/>
      <c r="F835" s="15"/>
      <c r="G835" s="15"/>
      <c r="H835" s="47"/>
      <c r="I835" s="20"/>
      <c r="J835" s="20"/>
      <c r="K835" s="20"/>
      <c r="L835" s="20"/>
      <c r="M835" s="20"/>
      <c r="N835" s="20"/>
      <c r="O835" s="20"/>
      <c r="P835" s="20"/>
      <c r="Q835" s="20"/>
      <c r="R835" s="20"/>
      <c r="S835" s="20"/>
      <c r="T835" s="20"/>
      <c r="U835" s="20"/>
      <c r="V835" s="20"/>
      <c r="W835" s="20"/>
      <c r="X835" s="20"/>
      <c r="Y835" s="20"/>
      <c r="Z835" s="20"/>
    </row>
    <row r="836" spans="1:26" ht="17.25" customHeight="1">
      <c r="A836" s="15"/>
      <c r="B836" s="15"/>
      <c r="C836" s="15"/>
      <c r="D836" s="15"/>
      <c r="E836" s="15"/>
      <c r="F836" s="15"/>
      <c r="G836" s="15"/>
      <c r="H836" s="47"/>
      <c r="I836" s="20"/>
      <c r="J836" s="20"/>
      <c r="K836" s="20"/>
      <c r="L836" s="20"/>
      <c r="M836" s="20"/>
      <c r="N836" s="20"/>
      <c r="O836" s="20"/>
      <c r="P836" s="20"/>
      <c r="Q836" s="20"/>
      <c r="R836" s="20"/>
      <c r="S836" s="20"/>
      <c r="T836" s="20"/>
      <c r="U836" s="20"/>
      <c r="V836" s="20"/>
      <c r="W836" s="20"/>
      <c r="X836" s="20"/>
      <c r="Y836" s="20"/>
      <c r="Z836" s="20"/>
    </row>
    <row r="837" spans="1:26" ht="17.25" customHeight="1">
      <c r="A837" s="15"/>
      <c r="B837" s="15"/>
      <c r="C837" s="15"/>
      <c r="D837" s="15"/>
      <c r="E837" s="15"/>
      <c r="F837" s="15"/>
      <c r="G837" s="15"/>
      <c r="H837" s="47"/>
      <c r="I837" s="20"/>
      <c r="J837" s="20"/>
      <c r="K837" s="20"/>
      <c r="L837" s="20"/>
      <c r="M837" s="20"/>
      <c r="N837" s="20"/>
      <c r="O837" s="20"/>
      <c r="P837" s="20"/>
      <c r="Q837" s="20"/>
      <c r="R837" s="20"/>
      <c r="S837" s="20"/>
      <c r="T837" s="20"/>
      <c r="U837" s="20"/>
      <c r="V837" s="20"/>
      <c r="W837" s="20"/>
      <c r="X837" s="20"/>
      <c r="Y837" s="20"/>
      <c r="Z837" s="20"/>
    </row>
    <row r="838" spans="1:26" ht="17.25" customHeight="1">
      <c r="A838" s="15"/>
      <c r="B838" s="15"/>
      <c r="C838" s="15"/>
      <c r="D838" s="15"/>
      <c r="E838" s="15"/>
      <c r="F838" s="15"/>
      <c r="G838" s="15"/>
      <c r="H838" s="47"/>
      <c r="I838" s="20"/>
      <c r="J838" s="20"/>
      <c r="K838" s="20"/>
      <c r="L838" s="20"/>
      <c r="M838" s="20"/>
      <c r="N838" s="20"/>
      <c r="O838" s="20"/>
      <c r="P838" s="20"/>
      <c r="Q838" s="20"/>
      <c r="R838" s="20"/>
      <c r="S838" s="20"/>
      <c r="T838" s="20"/>
      <c r="U838" s="20"/>
      <c r="V838" s="20"/>
      <c r="W838" s="20"/>
      <c r="X838" s="20"/>
      <c r="Y838" s="20"/>
      <c r="Z838" s="20"/>
    </row>
    <row r="839" spans="1:26" ht="17.25" customHeight="1">
      <c r="A839" s="15"/>
      <c r="B839" s="15"/>
      <c r="C839" s="15"/>
      <c r="D839" s="15"/>
      <c r="E839" s="15"/>
      <c r="F839" s="15"/>
      <c r="G839" s="15"/>
      <c r="H839" s="47"/>
      <c r="I839" s="20"/>
      <c r="J839" s="20"/>
      <c r="K839" s="20"/>
      <c r="L839" s="20"/>
      <c r="M839" s="20"/>
      <c r="N839" s="20"/>
      <c r="O839" s="20"/>
      <c r="P839" s="20"/>
      <c r="Q839" s="20"/>
      <c r="R839" s="20"/>
      <c r="S839" s="20"/>
      <c r="T839" s="20"/>
      <c r="U839" s="20"/>
      <c r="V839" s="20"/>
      <c r="W839" s="20"/>
      <c r="X839" s="20"/>
      <c r="Y839" s="20"/>
      <c r="Z839" s="20"/>
    </row>
    <row r="840" spans="1:26" ht="17.25" customHeight="1">
      <c r="A840" s="15"/>
      <c r="B840" s="15"/>
      <c r="C840" s="15"/>
      <c r="D840" s="15"/>
      <c r="E840" s="15"/>
      <c r="F840" s="15"/>
      <c r="G840" s="15"/>
      <c r="H840" s="47"/>
      <c r="I840" s="20"/>
      <c r="J840" s="20"/>
      <c r="K840" s="20"/>
      <c r="L840" s="20"/>
      <c r="M840" s="20"/>
      <c r="N840" s="20"/>
      <c r="O840" s="20"/>
      <c r="P840" s="20"/>
      <c r="Q840" s="20"/>
      <c r="R840" s="20"/>
      <c r="S840" s="20"/>
      <c r="T840" s="20"/>
      <c r="U840" s="20"/>
      <c r="V840" s="20"/>
      <c r="W840" s="20"/>
      <c r="X840" s="20"/>
      <c r="Y840" s="20"/>
      <c r="Z840" s="20"/>
    </row>
    <row r="841" spans="1:26" ht="17.25" customHeight="1">
      <c r="A841" s="15"/>
      <c r="B841" s="15"/>
      <c r="C841" s="15"/>
      <c r="D841" s="15"/>
      <c r="E841" s="15"/>
      <c r="F841" s="15"/>
      <c r="G841" s="15"/>
      <c r="H841" s="47"/>
      <c r="I841" s="20"/>
      <c r="J841" s="20"/>
      <c r="K841" s="20"/>
      <c r="L841" s="20"/>
      <c r="M841" s="20"/>
      <c r="N841" s="20"/>
      <c r="O841" s="20"/>
      <c r="P841" s="20"/>
      <c r="Q841" s="20"/>
      <c r="R841" s="20"/>
      <c r="S841" s="20"/>
      <c r="T841" s="20"/>
      <c r="U841" s="20"/>
      <c r="V841" s="20"/>
      <c r="W841" s="20"/>
      <c r="X841" s="20"/>
      <c r="Y841" s="20"/>
      <c r="Z841" s="20"/>
    </row>
    <row r="842" spans="1:26" ht="17.25" customHeight="1">
      <c r="A842" s="15"/>
      <c r="B842" s="15"/>
      <c r="C842" s="15"/>
      <c r="D842" s="15"/>
      <c r="E842" s="15"/>
      <c r="F842" s="15"/>
      <c r="G842" s="15"/>
      <c r="H842" s="47"/>
      <c r="I842" s="20"/>
      <c r="J842" s="20"/>
      <c r="K842" s="20"/>
      <c r="L842" s="20"/>
      <c r="M842" s="20"/>
      <c r="N842" s="20"/>
      <c r="O842" s="20"/>
      <c r="P842" s="20"/>
      <c r="Q842" s="20"/>
      <c r="R842" s="20"/>
      <c r="S842" s="20"/>
      <c r="T842" s="20"/>
      <c r="U842" s="20"/>
      <c r="V842" s="20"/>
      <c r="W842" s="20"/>
      <c r="X842" s="20"/>
      <c r="Y842" s="20"/>
      <c r="Z842" s="20"/>
    </row>
    <row r="843" spans="1:26" ht="17.25" customHeight="1">
      <c r="A843" s="15"/>
      <c r="B843" s="15"/>
      <c r="C843" s="15"/>
      <c r="D843" s="15"/>
      <c r="E843" s="15"/>
      <c r="F843" s="15"/>
      <c r="G843" s="15"/>
      <c r="H843" s="47"/>
      <c r="I843" s="20"/>
      <c r="J843" s="20"/>
      <c r="K843" s="20"/>
      <c r="L843" s="20"/>
      <c r="M843" s="20"/>
      <c r="N843" s="20"/>
      <c r="O843" s="20"/>
      <c r="P843" s="20"/>
      <c r="Q843" s="20"/>
      <c r="R843" s="20"/>
      <c r="S843" s="20"/>
      <c r="T843" s="20"/>
      <c r="U843" s="20"/>
      <c r="V843" s="20"/>
      <c r="W843" s="20"/>
      <c r="X843" s="20"/>
      <c r="Y843" s="20"/>
      <c r="Z843" s="20"/>
    </row>
    <row r="844" spans="1:26" ht="17.25" customHeight="1">
      <c r="A844" s="15"/>
      <c r="B844" s="15"/>
      <c r="C844" s="15"/>
      <c r="D844" s="15"/>
      <c r="E844" s="15"/>
      <c r="F844" s="15"/>
      <c r="G844" s="15"/>
      <c r="H844" s="47"/>
      <c r="I844" s="20"/>
      <c r="J844" s="20"/>
      <c r="K844" s="20"/>
      <c r="L844" s="20"/>
      <c r="M844" s="20"/>
      <c r="N844" s="20"/>
      <c r="O844" s="20"/>
      <c r="P844" s="20"/>
      <c r="Q844" s="20"/>
      <c r="R844" s="20"/>
      <c r="S844" s="20"/>
      <c r="T844" s="20"/>
      <c r="U844" s="20"/>
      <c r="V844" s="20"/>
      <c r="W844" s="20"/>
      <c r="X844" s="20"/>
      <c r="Y844" s="20"/>
      <c r="Z844" s="20"/>
    </row>
    <row r="845" spans="1:26" ht="17.25" customHeight="1">
      <c r="A845" s="15"/>
      <c r="B845" s="15"/>
      <c r="C845" s="15"/>
      <c r="D845" s="15"/>
      <c r="E845" s="15"/>
      <c r="F845" s="15"/>
      <c r="G845" s="15"/>
      <c r="H845" s="47"/>
      <c r="I845" s="20"/>
      <c r="J845" s="20"/>
      <c r="K845" s="20"/>
      <c r="L845" s="20"/>
      <c r="M845" s="20"/>
      <c r="N845" s="20"/>
      <c r="O845" s="20"/>
      <c r="P845" s="20"/>
      <c r="Q845" s="20"/>
      <c r="R845" s="20"/>
      <c r="S845" s="20"/>
      <c r="T845" s="20"/>
      <c r="U845" s="20"/>
      <c r="V845" s="20"/>
      <c r="W845" s="20"/>
      <c r="X845" s="20"/>
      <c r="Y845" s="20"/>
      <c r="Z845" s="20"/>
    </row>
    <row r="846" spans="1:26" ht="17.25" customHeight="1">
      <c r="A846" s="15"/>
      <c r="B846" s="15"/>
      <c r="C846" s="15"/>
      <c r="D846" s="15"/>
      <c r="E846" s="15"/>
      <c r="F846" s="15"/>
      <c r="G846" s="15"/>
      <c r="H846" s="47"/>
      <c r="I846" s="20"/>
      <c r="J846" s="20"/>
      <c r="K846" s="20"/>
      <c r="L846" s="20"/>
      <c r="M846" s="20"/>
      <c r="N846" s="20"/>
      <c r="O846" s="20"/>
      <c r="P846" s="20"/>
      <c r="Q846" s="20"/>
      <c r="R846" s="20"/>
      <c r="S846" s="20"/>
      <c r="T846" s="20"/>
      <c r="U846" s="20"/>
      <c r="V846" s="20"/>
      <c r="W846" s="20"/>
      <c r="X846" s="20"/>
      <c r="Y846" s="20"/>
      <c r="Z846" s="20"/>
    </row>
    <row r="847" spans="1:26" ht="17.25" customHeight="1">
      <c r="A847" s="15"/>
      <c r="B847" s="15"/>
      <c r="C847" s="15"/>
      <c r="D847" s="15"/>
      <c r="E847" s="15"/>
      <c r="F847" s="15"/>
      <c r="G847" s="15"/>
      <c r="H847" s="47"/>
      <c r="I847" s="20"/>
      <c r="J847" s="20"/>
      <c r="K847" s="20"/>
      <c r="L847" s="20"/>
      <c r="M847" s="20"/>
      <c r="N847" s="20"/>
      <c r="O847" s="20"/>
      <c r="P847" s="20"/>
      <c r="Q847" s="20"/>
      <c r="R847" s="20"/>
      <c r="S847" s="20"/>
      <c r="T847" s="20"/>
      <c r="U847" s="20"/>
      <c r="V847" s="20"/>
      <c r="W847" s="20"/>
      <c r="X847" s="20"/>
      <c r="Y847" s="20"/>
      <c r="Z847" s="20"/>
    </row>
    <row r="848" spans="1:26" ht="17.25" customHeight="1">
      <c r="A848" s="15"/>
      <c r="B848" s="15"/>
      <c r="C848" s="15"/>
      <c r="D848" s="15"/>
      <c r="E848" s="15"/>
      <c r="F848" s="15"/>
      <c r="G848" s="15"/>
      <c r="H848" s="47"/>
      <c r="I848" s="20"/>
      <c r="J848" s="20"/>
      <c r="K848" s="20"/>
      <c r="L848" s="20"/>
      <c r="M848" s="20"/>
      <c r="N848" s="20"/>
      <c r="O848" s="20"/>
      <c r="P848" s="20"/>
      <c r="Q848" s="20"/>
      <c r="R848" s="20"/>
      <c r="S848" s="20"/>
      <c r="T848" s="20"/>
      <c r="U848" s="20"/>
      <c r="V848" s="20"/>
      <c r="W848" s="20"/>
      <c r="X848" s="20"/>
      <c r="Y848" s="20"/>
      <c r="Z848" s="20"/>
    </row>
    <row r="849" spans="1:26" ht="17.25" customHeight="1">
      <c r="A849" s="15"/>
      <c r="B849" s="15"/>
      <c r="C849" s="15"/>
      <c r="D849" s="15"/>
      <c r="E849" s="15"/>
      <c r="F849" s="15"/>
      <c r="G849" s="15"/>
      <c r="H849" s="47"/>
      <c r="I849" s="20"/>
      <c r="J849" s="20"/>
      <c r="K849" s="20"/>
      <c r="L849" s="20"/>
      <c r="M849" s="20"/>
      <c r="N849" s="20"/>
      <c r="O849" s="20"/>
      <c r="P849" s="20"/>
      <c r="Q849" s="20"/>
      <c r="R849" s="20"/>
      <c r="S849" s="20"/>
      <c r="T849" s="20"/>
      <c r="U849" s="20"/>
      <c r="V849" s="20"/>
      <c r="W849" s="20"/>
      <c r="X849" s="20"/>
      <c r="Y849" s="20"/>
      <c r="Z849" s="20"/>
    </row>
    <row r="850" spans="1:26" ht="17.25" customHeight="1">
      <c r="A850" s="15"/>
      <c r="B850" s="15"/>
      <c r="C850" s="15"/>
      <c r="D850" s="15"/>
      <c r="E850" s="15"/>
      <c r="F850" s="15"/>
      <c r="G850" s="15"/>
      <c r="H850" s="47"/>
      <c r="I850" s="20"/>
      <c r="J850" s="20"/>
      <c r="K850" s="20"/>
      <c r="L850" s="20"/>
      <c r="M850" s="20"/>
      <c r="N850" s="20"/>
      <c r="O850" s="20"/>
      <c r="P850" s="20"/>
      <c r="Q850" s="20"/>
      <c r="R850" s="20"/>
      <c r="S850" s="20"/>
      <c r="T850" s="20"/>
      <c r="U850" s="20"/>
      <c r="V850" s="20"/>
      <c r="W850" s="20"/>
      <c r="X850" s="20"/>
      <c r="Y850" s="20"/>
      <c r="Z850" s="20"/>
    </row>
    <row r="851" spans="1:26" ht="17.25" customHeight="1">
      <c r="A851" s="15"/>
      <c r="B851" s="15"/>
      <c r="C851" s="15"/>
      <c r="D851" s="15"/>
      <c r="E851" s="15"/>
      <c r="F851" s="15"/>
      <c r="G851" s="15"/>
      <c r="H851" s="47"/>
      <c r="I851" s="20"/>
      <c r="J851" s="20"/>
      <c r="K851" s="20"/>
      <c r="L851" s="20"/>
      <c r="M851" s="20"/>
      <c r="N851" s="20"/>
      <c r="O851" s="20"/>
      <c r="P851" s="20"/>
      <c r="Q851" s="20"/>
      <c r="R851" s="20"/>
      <c r="S851" s="20"/>
      <c r="T851" s="20"/>
      <c r="U851" s="20"/>
      <c r="V851" s="20"/>
      <c r="W851" s="20"/>
      <c r="X851" s="20"/>
      <c r="Y851" s="20"/>
      <c r="Z851" s="20"/>
    </row>
    <row r="852" spans="1:26" ht="17.25" customHeight="1">
      <c r="A852" s="15"/>
      <c r="B852" s="15"/>
      <c r="C852" s="15"/>
      <c r="D852" s="15"/>
      <c r="E852" s="15"/>
      <c r="F852" s="15"/>
      <c r="G852" s="15"/>
      <c r="H852" s="47"/>
      <c r="I852" s="20"/>
      <c r="J852" s="20"/>
      <c r="K852" s="20"/>
      <c r="L852" s="20"/>
      <c r="M852" s="20"/>
      <c r="N852" s="20"/>
      <c r="O852" s="20"/>
      <c r="P852" s="20"/>
      <c r="Q852" s="20"/>
      <c r="R852" s="20"/>
      <c r="S852" s="20"/>
      <c r="T852" s="20"/>
      <c r="U852" s="20"/>
      <c r="V852" s="20"/>
      <c r="W852" s="20"/>
      <c r="X852" s="20"/>
      <c r="Y852" s="20"/>
      <c r="Z852" s="20"/>
    </row>
    <row r="853" spans="1:26" ht="17.25" customHeight="1">
      <c r="A853" s="15"/>
      <c r="B853" s="15"/>
      <c r="C853" s="15"/>
      <c r="D853" s="15"/>
      <c r="E853" s="15"/>
      <c r="F853" s="15"/>
      <c r="G853" s="15"/>
      <c r="H853" s="47"/>
      <c r="I853" s="20"/>
      <c r="J853" s="20"/>
      <c r="K853" s="20"/>
      <c r="L853" s="20"/>
      <c r="M853" s="20"/>
      <c r="N853" s="20"/>
      <c r="O853" s="20"/>
      <c r="P853" s="20"/>
      <c r="Q853" s="20"/>
      <c r="R853" s="20"/>
      <c r="S853" s="20"/>
      <c r="T853" s="20"/>
      <c r="U853" s="20"/>
      <c r="V853" s="20"/>
      <c r="W853" s="20"/>
      <c r="X853" s="20"/>
      <c r="Y853" s="20"/>
      <c r="Z853" s="20"/>
    </row>
    <row r="854" spans="1:26" ht="17.25" customHeight="1">
      <c r="A854" s="15"/>
      <c r="B854" s="15"/>
      <c r="C854" s="15"/>
      <c r="D854" s="15"/>
      <c r="E854" s="15"/>
      <c r="F854" s="15"/>
      <c r="G854" s="15"/>
      <c r="H854" s="47"/>
      <c r="I854" s="20"/>
      <c r="J854" s="20"/>
      <c r="K854" s="20"/>
      <c r="L854" s="20"/>
      <c r="M854" s="20"/>
      <c r="N854" s="20"/>
      <c r="O854" s="20"/>
      <c r="P854" s="20"/>
      <c r="Q854" s="20"/>
      <c r="R854" s="20"/>
      <c r="S854" s="20"/>
      <c r="T854" s="20"/>
      <c r="U854" s="20"/>
      <c r="V854" s="20"/>
      <c r="W854" s="20"/>
      <c r="X854" s="20"/>
      <c r="Y854" s="20"/>
      <c r="Z854" s="20"/>
    </row>
    <row r="855" spans="1:26" ht="17.25" customHeight="1">
      <c r="A855" s="15"/>
      <c r="B855" s="15"/>
      <c r="C855" s="15"/>
      <c r="D855" s="15"/>
      <c r="E855" s="15"/>
      <c r="F855" s="15"/>
      <c r="G855" s="15"/>
      <c r="H855" s="47"/>
      <c r="I855" s="20"/>
      <c r="J855" s="20"/>
      <c r="K855" s="20"/>
      <c r="L855" s="20"/>
      <c r="M855" s="20"/>
      <c r="N855" s="20"/>
      <c r="O855" s="20"/>
      <c r="P855" s="20"/>
      <c r="Q855" s="20"/>
      <c r="R855" s="20"/>
      <c r="S855" s="20"/>
      <c r="T855" s="20"/>
      <c r="U855" s="20"/>
      <c r="V855" s="20"/>
      <c r="W855" s="20"/>
      <c r="X855" s="20"/>
      <c r="Y855" s="20"/>
      <c r="Z855" s="20"/>
    </row>
    <row r="856" spans="1:26" ht="17.25" customHeight="1">
      <c r="A856" s="15"/>
      <c r="B856" s="15"/>
      <c r="C856" s="15"/>
      <c r="D856" s="15"/>
      <c r="E856" s="15"/>
      <c r="F856" s="15"/>
      <c r="G856" s="15"/>
      <c r="H856" s="47"/>
      <c r="I856" s="20"/>
      <c r="J856" s="20"/>
      <c r="K856" s="20"/>
      <c r="L856" s="20"/>
      <c r="M856" s="20"/>
      <c r="N856" s="20"/>
      <c r="O856" s="20"/>
      <c r="P856" s="20"/>
      <c r="Q856" s="20"/>
      <c r="R856" s="20"/>
      <c r="S856" s="20"/>
      <c r="T856" s="20"/>
      <c r="U856" s="20"/>
      <c r="V856" s="20"/>
      <c r="W856" s="20"/>
      <c r="X856" s="20"/>
      <c r="Y856" s="20"/>
      <c r="Z856" s="20"/>
    </row>
    <row r="857" spans="1:26" ht="17.25" customHeight="1">
      <c r="A857" s="15"/>
      <c r="B857" s="15"/>
      <c r="C857" s="15"/>
      <c r="D857" s="15"/>
      <c r="E857" s="15"/>
      <c r="F857" s="15"/>
      <c r="G857" s="15"/>
      <c r="H857" s="47"/>
      <c r="I857" s="20"/>
      <c r="J857" s="20"/>
      <c r="K857" s="20"/>
      <c r="L857" s="20"/>
      <c r="M857" s="20"/>
      <c r="N857" s="20"/>
      <c r="O857" s="20"/>
      <c r="P857" s="20"/>
      <c r="Q857" s="20"/>
      <c r="R857" s="20"/>
      <c r="S857" s="20"/>
      <c r="T857" s="20"/>
      <c r="U857" s="20"/>
      <c r="V857" s="20"/>
      <c r="W857" s="20"/>
      <c r="X857" s="20"/>
      <c r="Y857" s="20"/>
      <c r="Z857" s="20"/>
    </row>
    <row r="858" spans="1:26" ht="17.25" customHeight="1">
      <c r="A858" s="15"/>
      <c r="B858" s="15"/>
      <c r="C858" s="15"/>
      <c r="D858" s="15"/>
      <c r="E858" s="15"/>
      <c r="F858" s="15"/>
      <c r="G858" s="15"/>
      <c r="H858" s="47"/>
      <c r="I858" s="20"/>
      <c r="J858" s="20"/>
      <c r="K858" s="20"/>
      <c r="L858" s="20"/>
      <c r="M858" s="20"/>
      <c r="N858" s="20"/>
      <c r="O858" s="20"/>
      <c r="P858" s="20"/>
      <c r="Q858" s="20"/>
      <c r="R858" s="20"/>
      <c r="S858" s="20"/>
      <c r="T858" s="20"/>
      <c r="U858" s="20"/>
      <c r="V858" s="20"/>
      <c r="W858" s="20"/>
      <c r="X858" s="20"/>
      <c r="Y858" s="20"/>
      <c r="Z858" s="20"/>
    </row>
    <row r="859" spans="1:26" ht="17.25" customHeight="1">
      <c r="A859" s="15"/>
      <c r="B859" s="15"/>
      <c r="C859" s="15"/>
      <c r="D859" s="15"/>
      <c r="E859" s="15"/>
      <c r="F859" s="15"/>
      <c r="G859" s="15"/>
      <c r="H859" s="47"/>
      <c r="I859" s="20"/>
      <c r="J859" s="20"/>
      <c r="K859" s="20"/>
      <c r="L859" s="20"/>
      <c r="M859" s="20"/>
      <c r="N859" s="20"/>
      <c r="O859" s="20"/>
      <c r="P859" s="20"/>
      <c r="Q859" s="20"/>
      <c r="R859" s="20"/>
      <c r="S859" s="20"/>
      <c r="T859" s="20"/>
      <c r="U859" s="20"/>
      <c r="V859" s="20"/>
      <c r="W859" s="20"/>
      <c r="X859" s="20"/>
      <c r="Y859" s="20"/>
      <c r="Z859" s="20"/>
    </row>
    <row r="860" spans="1:26" ht="17.25" customHeight="1">
      <c r="A860" s="15"/>
      <c r="B860" s="15"/>
      <c r="C860" s="15"/>
      <c r="D860" s="15"/>
      <c r="E860" s="15"/>
      <c r="F860" s="15"/>
      <c r="G860" s="15"/>
      <c r="H860" s="47"/>
      <c r="I860" s="20"/>
      <c r="J860" s="20"/>
      <c r="K860" s="20"/>
      <c r="L860" s="20"/>
      <c r="M860" s="20"/>
      <c r="N860" s="20"/>
      <c r="O860" s="20"/>
      <c r="P860" s="20"/>
      <c r="Q860" s="20"/>
      <c r="R860" s="20"/>
      <c r="S860" s="20"/>
      <c r="T860" s="20"/>
      <c r="U860" s="20"/>
      <c r="V860" s="20"/>
      <c r="W860" s="20"/>
      <c r="X860" s="20"/>
      <c r="Y860" s="20"/>
      <c r="Z860" s="20"/>
    </row>
    <row r="861" spans="1:26" ht="17.25" customHeight="1">
      <c r="A861" s="15"/>
      <c r="B861" s="15"/>
      <c r="C861" s="15"/>
      <c r="D861" s="15"/>
      <c r="E861" s="15"/>
      <c r="F861" s="15"/>
      <c r="G861" s="15"/>
      <c r="H861" s="47"/>
      <c r="I861" s="20"/>
      <c r="J861" s="20"/>
      <c r="K861" s="20"/>
      <c r="L861" s="20"/>
      <c r="M861" s="20"/>
      <c r="N861" s="20"/>
      <c r="O861" s="20"/>
      <c r="P861" s="20"/>
      <c r="Q861" s="20"/>
      <c r="R861" s="20"/>
      <c r="S861" s="20"/>
      <c r="T861" s="20"/>
      <c r="U861" s="20"/>
      <c r="V861" s="20"/>
      <c r="W861" s="20"/>
      <c r="X861" s="20"/>
      <c r="Y861" s="20"/>
      <c r="Z861" s="20"/>
    </row>
    <row r="862" spans="1:26" ht="17.25" customHeight="1">
      <c r="A862" s="15"/>
      <c r="B862" s="15"/>
      <c r="C862" s="15"/>
      <c r="D862" s="15"/>
      <c r="E862" s="15"/>
      <c r="F862" s="15"/>
      <c r="G862" s="15"/>
      <c r="H862" s="47"/>
      <c r="I862" s="20"/>
      <c r="J862" s="20"/>
      <c r="K862" s="20"/>
      <c r="L862" s="20"/>
      <c r="M862" s="20"/>
      <c r="N862" s="20"/>
      <c r="O862" s="20"/>
      <c r="P862" s="20"/>
      <c r="Q862" s="20"/>
      <c r="R862" s="20"/>
      <c r="S862" s="20"/>
      <c r="T862" s="20"/>
      <c r="U862" s="20"/>
      <c r="V862" s="20"/>
      <c r="W862" s="20"/>
      <c r="X862" s="20"/>
      <c r="Y862" s="20"/>
      <c r="Z862" s="20"/>
    </row>
    <row r="863" spans="1:26" ht="17.25" customHeight="1">
      <c r="A863" s="15"/>
      <c r="B863" s="15"/>
      <c r="C863" s="15"/>
      <c r="D863" s="15"/>
      <c r="E863" s="15"/>
      <c r="F863" s="15"/>
      <c r="G863" s="15"/>
      <c r="H863" s="47"/>
      <c r="I863" s="20"/>
      <c r="J863" s="20"/>
      <c r="K863" s="20"/>
      <c r="L863" s="20"/>
      <c r="M863" s="20"/>
      <c r="N863" s="20"/>
      <c r="O863" s="20"/>
      <c r="P863" s="20"/>
      <c r="Q863" s="20"/>
      <c r="R863" s="20"/>
      <c r="S863" s="20"/>
      <c r="T863" s="20"/>
      <c r="U863" s="20"/>
      <c r="V863" s="20"/>
      <c r="W863" s="20"/>
      <c r="X863" s="20"/>
      <c r="Y863" s="20"/>
      <c r="Z863" s="20"/>
    </row>
    <row r="864" spans="1:26" ht="17.25" customHeight="1">
      <c r="A864" s="15"/>
      <c r="B864" s="15"/>
      <c r="C864" s="15"/>
      <c r="D864" s="15"/>
      <c r="E864" s="15"/>
      <c r="F864" s="15"/>
      <c r="G864" s="15"/>
      <c r="H864" s="47"/>
      <c r="I864" s="20"/>
      <c r="J864" s="20"/>
      <c r="K864" s="20"/>
      <c r="L864" s="20"/>
      <c r="M864" s="20"/>
      <c r="N864" s="20"/>
      <c r="O864" s="20"/>
      <c r="P864" s="20"/>
      <c r="Q864" s="20"/>
      <c r="R864" s="20"/>
      <c r="S864" s="20"/>
      <c r="T864" s="20"/>
      <c r="U864" s="20"/>
      <c r="V864" s="20"/>
      <c r="W864" s="20"/>
      <c r="X864" s="20"/>
      <c r="Y864" s="20"/>
      <c r="Z864" s="20"/>
    </row>
    <row r="865" spans="1:26" ht="17.25" customHeight="1">
      <c r="A865" s="15"/>
      <c r="B865" s="15"/>
      <c r="C865" s="15"/>
      <c r="D865" s="15"/>
      <c r="E865" s="15"/>
      <c r="F865" s="15"/>
      <c r="G865" s="15"/>
      <c r="H865" s="47"/>
      <c r="I865" s="20"/>
      <c r="J865" s="20"/>
      <c r="K865" s="20"/>
      <c r="L865" s="20"/>
      <c r="M865" s="20"/>
      <c r="N865" s="20"/>
      <c r="O865" s="20"/>
      <c r="P865" s="20"/>
      <c r="Q865" s="20"/>
      <c r="R865" s="20"/>
      <c r="S865" s="20"/>
      <c r="T865" s="20"/>
      <c r="U865" s="20"/>
      <c r="V865" s="20"/>
      <c r="W865" s="20"/>
      <c r="X865" s="20"/>
      <c r="Y865" s="20"/>
      <c r="Z865" s="20"/>
    </row>
    <row r="866" spans="1:26" ht="17.25" customHeight="1">
      <c r="A866" s="15"/>
      <c r="B866" s="15"/>
      <c r="C866" s="15"/>
      <c r="D866" s="15"/>
      <c r="E866" s="15"/>
      <c r="F866" s="15"/>
      <c r="G866" s="15"/>
      <c r="H866" s="47"/>
      <c r="I866" s="20"/>
      <c r="J866" s="20"/>
      <c r="K866" s="20"/>
      <c r="L866" s="20"/>
      <c r="M866" s="20"/>
      <c r="N866" s="20"/>
      <c r="O866" s="20"/>
      <c r="P866" s="20"/>
      <c r="Q866" s="20"/>
      <c r="R866" s="20"/>
      <c r="S866" s="20"/>
      <c r="T866" s="20"/>
      <c r="U866" s="20"/>
      <c r="V866" s="20"/>
      <c r="W866" s="20"/>
      <c r="X866" s="20"/>
      <c r="Y866" s="20"/>
      <c r="Z866" s="20"/>
    </row>
    <row r="867" spans="1:26" ht="17.25" customHeight="1">
      <c r="A867" s="15"/>
      <c r="B867" s="15"/>
      <c r="C867" s="15"/>
      <c r="D867" s="15"/>
      <c r="E867" s="15"/>
      <c r="F867" s="15"/>
      <c r="G867" s="15"/>
      <c r="H867" s="47"/>
      <c r="I867" s="20"/>
      <c r="J867" s="20"/>
      <c r="K867" s="20"/>
      <c r="L867" s="20"/>
      <c r="M867" s="20"/>
      <c r="N867" s="20"/>
      <c r="O867" s="20"/>
      <c r="P867" s="20"/>
      <c r="Q867" s="20"/>
      <c r="R867" s="20"/>
      <c r="S867" s="20"/>
      <c r="T867" s="20"/>
      <c r="U867" s="20"/>
      <c r="V867" s="20"/>
      <c r="W867" s="20"/>
      <c r="X867" s="20"/>
      <c r="Y867" s="20"/>
      <c r="Z867" s="20"/>
    </row>
    <row r="868" spans="1:26" ht="17.25" customHeight="1">
      <c r="A868" s="15"/>
      <c r="B868" s="15"/>
      <c r="C868" s="15"/>
      <c r="D868" s="15"/>
      <c r="E868" s="15"/>
      <c r="F868" s="15"/>
      <c r="G868" s="15"/>
      <c r="H868" s="47"/>
      <c r="I868" s="20"/>
      <c r="J868" s="20"/>
      <c r="K868" s="20"/>
      <c r="L868" s="20"/>
      <c r="M868" s="20"/>
      <c r="N868" s="20"/>
      <c r="O868" s="20"/>
      <c r="P868" s="20"/>
      <c r="Q868" s="20"/>
      <c r="R868" s="20"/>
      <c r="S868" s="20"/>
      <c r="T868" s="20"/>
      <c r="U868" s="20"/>
      <c r="V868" s="20"/>
      <c r="W868" s="20"/>
      <c r="X868" s="20"/>
      <c r="Y868" s="20"/>
      <c r="Z868" s="20"/>
    </row>
    <row r="869" spans="1:26" ht="17.25" customHeight="1">
      <c r="A869" s="15"/>
      <c r="B869" s="15"/>
      <c r="C869" s="15"/>
      <c r="D869" s="15"/>
      <c r="E869" s="15"/>
      <c r="F869" s="15"/>
      <c r="G869" s="15"/>
      <c r="H869" s="47"/>
      <c r="I869" s="20"/>
      <c r="J869" s="20"/>
      <c r="K869" s="20"/>
      <c r="L869" s="20"/>
      <c r="M869" s="20"/>
      <c r="N869" s="20"/>
      <c r="O869" s="20"/>
      <c r="P869" s="20"/>
      <c r="Q869" s="20"/>
      <c r="R869" s="20"/>
      <c r="S869" s="20"/>
      <c r="T869" s="20"/>
      <c r="U869" s="20"/>
      <c r="V869" s="20"/>
      <c r="W869" s="20"/>
      <c r="X869" s="20"/>
      <c r="Y869" s="20"/>
      <c r="Z869" s="20"/>
    </row>
    <row r="870" spans="1:26" ht="17.25" customHeight="1">
      <c r="A870" s="15"/>
      <c r="B870" s="15"/>
      <c r="C870" s="15"/>
      <c r="D870" s="15"/>
      <c r="E870" s="15"/>
      <c r="F870" s="15"/>
      <c r="G870" s="15"/>
      <c r="H870" s="47"/>
      <c r="I870" s="20"/>
      <c r="J870" s="20"/>
      <c r="K870" s="20"/>
      <c r="L870" s="20"/>
      <c r="M870" s="20"/>
      <c r="N870" s="20"/>
      <c r="O870" s="20"/>
      <c r="P870" s="20"/>
      <c r="Q870" s="20"/>
      <c r="R870" s="20"/>
      <c r="S870" s="20"/>
      <c r="T870" s="20"/>
      <c r="U870" s="20"/>
      <c r="V870" s="20"/>
      <c r="W870" s="20"/>
      <c r="X870" s="20"/>
      <c r="Y870" s="20"/>
      <c r="Z870" s="20"/>
    </row>
    <row r="871" spans="1:26" ht="17.25" customHeight="1">
      <c r="A871" s="15"/>
      <c r="B871" s="15"/>
      <c r="C871" s="15"/>
      <c r="D871" s="15"/>
      <c r="E871" s="15"/>
      <c r="F871" s="15"/>
      <c r="G871" s="15"/>
      <c r="H871" s="47"/>
      <c r="I871" s="20"/>
      <c r="J871" s="20"/>
      <c r="K871" s="20"/>
      <c r="L871" s="20"/>
      <c r="M871" s="20"/>
      <c r="N871" s="20"/>
      <c r="O871" s="20"/>
      <c r="P871" s="20"/>
      <c r="Q871" s="20"/>
      <c r="R871" s="20"/>
      <c r="S871" s="20"/>
      <c r="T871" s="20"/>
      <c r="U871" s="20"/>
      <c r="V871" s="20"/>
      <c r="W871" s="20"/>
      <c r="X871" s="20"/>
      <c r="Y871" s="20"/>
      <c r="Z871" s="20"/>
    </row>
    <row r="872" spans="1:26" ht="17.25" customHeight="1">
      <c r="A872" s="15"/>
      <c r="B872" s="15"/>
      <c r="C872" s="15"/>
      <c r="D872" s="15"/>
      <c r="E872" s="15"/>
      <c r="F872" s="15"/>
      <c r="G872" s="15"/>
      <c r="H872" s="47"/>
      <c r="I872" s="20"/>
      <c r="J872" s="20"/>
      <c r="K872" s="20"/>
      <c r="L872" s="20"/>
      <c r="M872" s="20"/>
      <c r="N872" s="20"/>
      <c r="O872" s="20"/>
      <c r="P872" s="20"/>
      <c r="Q872" s="20"/>
      <c r="R872" s="20"/>
      <c r="S872" s="20"/>
      <c r="T872" s="20"/>
      <c r="U872" s="20"/>
      <c r="V872" s="20"/>
      <c r="W872" s="20"/>
      <c r="X872" s="20"/>
      <c r="Y872" s="20"/>
      <c r="Z872" s="20"/>
    </row>
    <row r="873" spans="1:26" ht="17.25" customHeight="1">
      <c r="A873" s="15"/>
      <c r="B873" s="15"/>
      <c r="C873" s="15"/>
      <c r="D873" s="15"/>
      <c r="E873" s="15"/>
      <c r="F873" s="15"/>
      <c r="G873" s="15"/>
      <c r="H873" s="47"/>
      <c r="I873" s="20"/>
      <c r="J873" s="20"/>
      <c r="K873" s="20"/>
      <c r="L873" s="20"/>
      <c r="M873" s="20"/>
      <c r="N873" s="20"/>
      <c r="O873" s="20"/>
      <c r="P873" s="20"/>
      <c r="Q873" s="20"/>
      <c r="R873" s="20"/>
      <c r="S873" s="20"/>
      <c r="T873" s="20"/>
      <c r="U873" s="20"/>
      <c r="V873" s="20"/>
      <c r="W873" s="20"/>
      <c r="X873" s="20"/>
      <c r="Y873" s="20"/>
      <c r="Z873" s="20"/>
    </row>
    <row r="874" spans="1:26" ht="17.25" customHeight="1">
      <c r="A874" s="15"/>
      <c r="B874" s="15"/>
      <c r="C874" s="15"/>
      <c r="D874" s="15"/>
      <c r="E874" s="15"/>
      <c r="F874" s="15"/>
      <c r="G874" s="15"/>
      <c r="H874" s="47"/>
      <c r="I874" s="20"/>
      <c r="J874" s="20"/>
      <c r="K874" s="20"/>
      <c r="L874" s="20"/>
      <c r="M874" s="20"/>
      <c r="N874" s="20"/>
      <c r="O874" s="20"/>
      <c r="P874" s="20"/>
      <c r="Q874" s="20"/>
      <c r="R874" s="20"/>
      <c r="S874" s="20"/>
      <c r="T874" s="20"/>
      <c r="U874" s="20"/>
      <c r="V874" s="20"/>
      <c r="W874" s="20"/>
      <c r="X874" s="20"/>
      <c r="Y874" s="20"/>
      <c r="Z874" s="20"/>
    </row>
    <row r="875" spans="1:26" ht="17.25" customHeight="1">
      <c r="A875" s="15"/>
      <c r="B875" s="15"/>
      <c r="C875" s="15"/>
      <c r="D875" s="15"/>
      <c r="E875" s="15"/>
      <c r="F875" s="15"/>
      <c r="G875" s="15"/>
      <c r="H875" s="47"/>
      <c r="I875" s="20"/>
      <c r="J875" s="20"/>
      <c r="K875" s="20"/>
      <c r="L875" s="20"/>
      <c r="M875" s="20"/>
      <c r="N875" s="20"/>
      <c r="O875" s="20"/>
      <c r="P875" s="20"/>
      <c r="Q875" s="20"/>
      <c r="R875" s="20"/>
      <c r="S875" s="20"/>
      <c r="T875" s="20"/>
      <c r="U875" s="20"/>
      <c r="V875" s="20"/>
      <c r="W875" s="20"/>
      <c r="X875" s="20"/>
      <c r="Y875" s="20"/>
      <c r="Z875" s="20"/>
    </row>
    <row r="876" spans="1:26" ht="17.25" customHeight="1">
      <c r="A876" s="15"/>
      <c r="B876" s="15"/>
      <c r="C876" s="15"/>
      <c r="D876" s="15"/>
      <c r="E876" s="15"/>
      <c r="F876" s="15"/>
      <c r="G876" s="15"/>
      <c r="H876" s="47"/>
      <c r="I876" s="20"/>
      <c r="J876" s="20"/>
      <c r="K876" s="20"/>
      <c r="L876" s="20"/>
      <c r="M876" s="20"/>
      <c r="N876" s="20"/>
      <c r="O876" s="20"/>
      <c r="P876" s="20"/>
      <c r="Q876" s="20"/>
      <c r="R876" s="20"/>
      <c r="S876" s="20"/>
      <c r="T876" s="20"/>
      <c r="U876" s="20"/>
      <c r="V876" s="20"/>
      <c r="W876" s="20"/>
      <c r="X876" s="20"/>
      <c r="Y876" s="20"/>
      <c r="Z876" s="20"/>
    </row>
    <row r="877" spans="1:26" ht="17.25" customHeight="1">
      <c r="A877" s="15"/>
      <c r="B877" s="15"/>
      <c r="C877" s="15"/>
      <c r="D877" s="15"/>
      <c r="E877" s="15"/>
      <c r="F877" s="15"/>
      <c r="G877" s="15"/>
      <c r="H877" s="47"/>
      <c r="I877" s="20"/>
      <c r="J877" s="20"/>
      <c r="K877" s="20"/>
      <c r="L877" s="20"/>
      <c r="M877" s="20"/>
      <c r="N877" s="20"/>
      <c r="O877" s="20"/>
      <c r="P877" s="20"/>
      <c r="Q877" s="20"/>
      <c r="R877" s="20"/>
      <c r="S877" s="20"/>
      <c r="T877" s="20"/>
      <c r="U877" s="20"/>
      <c r="V877" s="20"/>
      <c r="W877" s="20"/>
      <c r="X877" s="20"/>
      <c r="Y877" s="20"/>
      <c r="Z877" s="20"/>
    </row>
    <row r="878" spans="1:26" ht="17.25" customHeight="1">
      <c r="A878" s="15"/>
      <c r="B878" s="15"/>
      <c r="C878" s="15"/>
      <c r="D878" s="15"/>
      <c r="E878" s="15"/>
      <c r="F878" s="15"/>
      <c r="G878" s="15"/>
      <c r="H878" s="47"/>
      <c r="I878" s="20"/>
      <c r="J878" s="20"/>
      <c r="K878" s="20"/>
      <c r="L878" s="20"/>
      <c r="M878" s="20"/>
      <c r="N878" s="20"/>
      <c r="O878" s="20"/>
      <c r="P878" s="20"/>
      <c r="Q878" s="20"/>
      <c r="R878" s="20"/>
      <c r="S878" s="20"/>
      <c r="T878" s="20"/>
      <c r="U878" s="20"/>
      <c r="V878" s="20"/>
      <c r="W878" s="20"/>
      <c r="X878" s="20"/>
      <c r="Y878" s="20"/>
      <c r="Z878" s="20"/>
    </row>
    <row r="879" spans="1:26" ht="17.25" customHeight="1">
      <c r="A879" s="15"/>
      <c r="B879" s="15"/>
      <c r="C879" s="15"/>
      <c r="D879" s="15"/>
      <c r="E879" s="15"/>
      <c r="F879" s="15"/>
      <c r="G879" s="15"/>
      <c r="H879" s="47"/>
      <c r="I879" s="20"/>
      <c r="J879" s="20"/>
      <c r="K879" s="20"/>
      <c r="L879" s="20"/>
      <c r="M879" s="20"/>
      <c r="N879" s="20"/>
      <c r="O879" s="20"/>
      <c r="P879" s="20"/>
      <c r="Q879" s="20"/>
      <c r="R879" s="20"/>
      <c r="S879" s="20"/>
      <c r="T879" s="20"/>
      <c r="U879" s="20"/>
      <c r="V879" s="20"/>
      <c r="W879" s="20"/>
      <c r="X879" s="20"/>
      <c r="Y879" s="20"/>
      <c r="Z879" s="20"/>
    </row>
    <row r="880" spans="1:26" ht="17.25" customHeight="1">
      <c r="A880" s="15"/>
      <c r="B880" s="15"/>
      <c r="C880" s="15"/>
      <c r="D880" s="15"/>
      <c r="E880" s="15"/>
      <c r="F880" s="15"/>
      <c r="G880" s="15"/>
      <c r="H880" s="47"/>
      <c r="I880" s="20"/>
      <c r="J880" s="20"/>
      <c r="K880" s="20"/>
      <c r="L880" s="20"/>
      <c r="M880" s="20"/>
      <c r="N880" s="20"/>
      <c r="O880" s="20"/>
      <c r="P880" s="20"/>
      <c r="Q880" s="20"/>
      <c r="R880" s="20"/>
      <c r="S880" s="20"/>
      <c r="T880" s="20"/>
      <c r="U880" s="20"/>
      <c r="V880" s="20"/>
      <c r="W880" s="20"/>
      <c r="X880" s="20"/>
      <c r="Y880" s="20"/>
      <c r="Z880" s="20"/>
    </row>
    <row r="881" spans="1:26" ht="17.25" customHeight="1">
      <c r="A881" s="15"/>
      <c r="B881" s="15"/>
      <c r="C881" s="15"/>
      <c r="D881" s="15"/>
      <c r="E881" s="15"/>
      <c r="F881" s="15"/>
      <c r="G881" s="15"/>
      <c r="H881" s="47"/>
      <c r="I881" s="20"/>
      <c r="J881" s="20"/>
      <c r="K881" s="20"/>
      <c r="L881" s="20"/>
      <c r="M881" s="20"/>
      <c r="N881" s="20"/>
      <c r="O881" s="20"/>
      <c r="P881" s="20"/>
      <c r="Q881" s="20"/>
      <c r="R881" s="20"/>
      <c r="S881" s="20"/>
      <c r="T881" s="20"/>
      <c r="U881" s="20"/>
      <c r="V881" s="20"/>
      <c r="W881" s="20"/>
      <c r="X881" s="20"/>
      <c r="Y881" s="20"/>
      <c r="Z881" s="20"/>
    </row>
    <row r="882" spans="1:26" ht="17.25" customHeight="1">
      <c r="A882" s="15"/>
      <c r="B882" s="15"/>
      <c r="C882" s="15"/>
      <c r="D882" s="15"/>
      <c r="E882" s="15"/>
      <c r="F882" s="15"/>
      <c r="G882" s="15"/>
      <c r="H882" s="47"/>
      <c r="I882" s="20"/>
      <c r="J882" s="20"/>
      <c r="K882" s="20"/>
      <c r="L882" s="20"/>
      <c r="M882" s="20"/>
      <c r="N882" s="20"/>
      <c r="O882" s="20"/>
      <c r="P882" s="20"/>
      <c r="Q882" s="20"/>
      <c r="R882" s="20"/>
      <c r="S882" s="20"/>
      <c r="T882" s="20"/>
      <c r="U882" s="20"/>
      <c r="V882" s="20"/>
      <c r="W882" s="20"/>
      <c r="X882" s="20"/>
      <c r="Y882" s="20"/>
      <c r="Z882" s="20"/>
    </row>
    <row r="883" spans="1:26" ht="17.25" customHeight="1">
      <c r="A883" s="15"/>
      <c r="B883" s="15"/>
      <c r="C883" s="15"/>
      <c r="D883" s="15"/>
      <c r="E883" s="15"/>
      <c r="F883" s="15"/>
      <c r="G883" s="15"/>
      <c r="H883" s="47"/>
      <c r="I883" s="20"/>
      <c r="J883" s="20"/>
      <c r="K883" s="20"/>
      <c r="L883" s="20"/>
      <c r="M883" s="20"/>
      <c r="N883" s="20"/>
      <c r="O883" s="20"/>
      <c r="P883" s="20"/>
      <c r="Q883" s="20"/>
      <c r="R883" s="20"/>
      <c r="S883" s="20"/>
      <c r="T883" s="20"/>
      <c r="U883" s="20"/>
      <c r="V883" s="20"/>
      <c r="W883" s="20"/>
      <c r="X883" s="20"/>
      <c r="Y883" s="20"/>
      <c r="Z883" s="20"/>
    </row>
    <row r="884" spans="1:26" ht="17.25" customHeight="1">
      <c r="A884" s="15"/>
      <c r="B884" s="15"/>
      <c r="C884" s="15"/>
      <c r="D884" s="15"/>
      <c r="E884" s="15"/>
      <c r="F884" s="15"/>
      <c r="G884" s="15"/>
      <c r="H884" s="47"/>
      <c r="I884" s="20"/>
      <c r="J884" s="20"/>
      <c r="K884" s="20"/>
      <c r="L884" s="20"/>
      <c r="M884" s="20"/>
      <c r="N884" s="20"/>
      <c r="O884" s="20"/>
      <c r="P884" s="20"/>
      <c r="Q884" s="20"/>
      <c r="R884" s="20"/>
      <c r="S884" s="20"/>
      <c r="T884" s="20"/>
      <c r="U884" s="20"/>
      <c r="V884" s="20"/>
      <c r="W884" s="20"/>
      <c r="X884" s="20"/>
      <c r="Y884" s="20"/>
      <c r="Z884" s="20"/>
    </row>
    <row r="885" spans="1:26" ht="17.25" customHeight="1">
      <c r="A885" s="15"/>
      <c r="B885" s="15"/>
      <c r="C885" s="15"/>
      <c r="D885" s="15"/>
      <c r="E885" s="15"/>
      <c r="F885" s="15"/>
      <c r="G885" s="15"/>
      <c r="H885" s="47"/>
      <c r="I885" s="20"/>
      <c r="J885" s="20"/>
      <c r="K885" s="20"/>
      <c r="L885" s="20"/>
      <c r="M885" s="20"/>
      <c r="N885" s="20"/>
      <c r="O885" s="20"/>
      <c r="P885" s="20"/>
      <c r="Q885" s="20"/>
      <c r="R885" s="20"/>
      <c r="S885" s="20"/>
      <c r="T885" s="20"/>
      <c r="U885" s="20"/>
      <c r="V885" s="20"/>
      <c r="W885" s="20"/>
      <c r="X885" s="20"/>
      <c r="Y885" s="20"/>
      <c r="Z885" s="20"/>
    </row>
    <row r="886" spans="1:26" ht="17.25" customHeight="1">
      <c r="A886" s="15"/>
      <c r="B886" s="15"/>
      <c r="C886" s="15"/>
      <c r="D886" s="15"/>
      <c r="E886" s="15"/>
      <c r="F886" s="15"/>
      <c r="G886" s="15"/>
      <c r="H886" s="47"/>
      <c r="I886" s="20"/>
      <c r="J886" s="20"/>
      <c r="K886" s="20"/>
      <c r="L886" s="20"/>
      <c r="M886" s="20"/>
      <c r="N886" s="20"/>
      <c r="O886" s="20"/>
      <c r="P886" s="20"/>
      <c r="Q886" s="20"/>
      <c r="R886" s="20"/>
      <c r="S886" s="20"/>
      <c r="T886" s="20"/>
      <c r="U886" s="20"/>
      <c r="V886" s="20"/>
      <c r="W886" s="20"/>
      <c r="X886" s="20"/>
      <c r="Y886" s="20"/>
      <c r="Z886" s="20"/>
    </row>
    <row r="887" spans="1:26" ht="17.25" customHeight="1">
      <c r="A887" s="15"/>
      <c r="B887" s="15"/>
      <c r="C887" s="15"/>
      <c r="D887" s="15"/>
      <c r="E887" s="15"/>
      <c r="F887" s="15"/>
      <c r="G887" s="15"/>
      <c r="H887" s="47"/>
      <c r="I887" s="20"/>
      <c r="J887" s="20"/>
      <c r="K887" s="20"/>
      <c r="L887" s="20"/>
      <c r="M887" s="20"/>
      <c r="N887" s="20"/>
      <c r="O887" s="20"/>
      <c r="P887" s="20"/>
      <c r="Q887" s="20"/>
      <c r="R887" s="20"/>
      <c r="S887" s="20"/>
      <c r="T887" s="20"/>
      <c r="U887" s="20"/>
      <c r="V887" s="20"/>
      <c r="W887" s="20"/>
      <c r="X887" s="20"/>
      <c r="Y887" s="20"/>
      <c r="Z887" s="20"/>
    </row>
    <row r="888" spans="1:26" ht="17.25" customHeight="1">
      <c r="A888" s="15"/>
      <c r="B888" s="15"/>
      <c r="C888" s="15"/>
      <c r="D888" s="15"/>
      <c r="E888" s="15"/>
      <c r="F888" s="15"/>
      <c r="G888" s="15"/>
      <c r="H888" s="47"/>
      <c r="I888" s="20"/>
      <c r="J888" s="20"/>
      <c r="K888" s="20"/>
      <c r="L888" s="20"/>
      <c r="M888" s="20"/>
      <c r="N888" s="20"/>
      <c r="O888" s="20"/>
      <c r="P888" s="20"/>
      <c r="Q888" s="20"/>
      <c r="R888" s="20"/>
      <c r="S888" s="20"/>
      <c r="T888" s="20"/>
      <c r="U888" s="20"/>
      <c r="V888" s="20"/>
      <c r="W888" s="20"/>
      <c r="X888" s="20"/>
      <c r="Y888" s="20"/>
      <c r="Z888" s="20"/>
    </row>
    <row r="889" spans="1:26" ht="17.25" customHeight="1">
      <c r="A889" s="15"/>
      <c r="B889" s="15"/>
      <c r="C889" s="15"/>
      <c r="D889" s="15"/>
      <c r="E889" s="15"/>
      <c r="F889" s="15"/>
      <c r="G889" s="15"/>
      <c r="H889" s="47"/>
      <c r="I889" s="20"/>
      <c r="J889" s="20"/>
      <c r="K889" s="20"/>
      <c r="L889" s="20"/>
      <c r="M889" s="20"/>
      <c r="N889" s="20"/>
      <c r="O889" s="20"/>
      <c r="P889" s="20"/>
      <c r="Q889" s="20"/>
      <c r="R889" s="20"/>
      <c r="S889" s="20"/>
      <c r="T889" s="20"/>
      <c r="U889" s="20"/>
      <c r="V889" s="20"/>
      <c r="W889" s="20"/>
      <c r="X889" s="20"/>
      <c r="Y889" s="20"/>
      <c r="Z889" s="20"/>
    </row>
    <row r="890" spans="1:26" ht="17.25" customHeight="1">
      <c r="A890" s="15"/>
      <c r="B890" s="15"/>
      <c r="C890" s="15"/>
      <c r="D890" s="15"/>
      <c r="E890" s="15"/>
      <c r="F890" s="15"/>
      <c r="G890" s="15"/>
      <c r="H890" s="47"/>
      <c r="I890" s="20"/>
      <c r="J890" s="20"/>
      <c r="K890" s="20"/>
      <c r="L890" s="20"/>
      <c r="M890" s="20"/>
      <c r="N890" s="20"/>
      <c r="O890" s="20"/>
      <c r="P890" s="20"/>
      <c r="Q890" s="20"/>
      <c r="R890" s="20"/>
      <c r="S890" s="20"/>
      <c r="T890" s="20"/>
      <c r="U890" s="20"/>
      <c r="V890" s="20"/>
      <c r="W890" s="20"/>
      <c r="X890" s="20"/>
      <c r="Y890" s="20"/>
      <c r="Z890" s="20"/>
    </row>
    <row r="891" spans="1:26" ht="17.25" customHeight="1">
      <c r="A891" s="15"/>
      <c r="B891" s="15"/>
      <c r="C891" s="15"/>
      <c r="D891" s="15"/>
      <c r="E891" s="15"/>
      <c r="F891" s="15"/>
      <c r="G891" s="15"/>
      <c r="H891" s="47"/>
      <c r="I891" s="20"/>
      <c r="J891" s="20"/>
      <c r="K891" s="20"/>
      <c r="L891" s="20"/>
      <c r="M891" s="20"/>
      <c r="N891" s="20"/>
      <c r="O891" s="20"/>
      <c r="P891" s="20"/>
      <c r="Q891" s="20"/>
      <c r="R891" s="20"/>
      <c r="S891" s="20"/>
      <c r="T891" s="20"/>
      <c r="U891" s="20"/>
      <c r="V891" s="20"/>
      <c r="W891" s="20"/>
      <c r="X891" s="20"/>
      <c r="Y891" s="20"/>
      <c r="Z891" s="20"/>
    </row>
    <row r="892" spans="1:26" ht="17.25" customHeight="1">
      <c r="A892" s="15"/>
      <c r="B892" s="15"/>
      <c r="C892" s="15"/>
      <c r="D892" s="15"/>
      <c r="E892" s="15"/>
      <c r="F892" s="15"/>
      <c r="G892" s="15"/>
      <c r="H892" s="47"/>
      <c r="I892" s="20"/>
      <c r="J892" s="20"/>
      <c r="K892" s="20"/>
      <c r="L892" s="20"/>
      <c r="M892" s="20"/>
      <c r="N892" s="20"/>
      <c r="O892" s="20"/>
      <c r="P892" s="20"/>
      <c r="Q892" s="20"/>
      <c r="R892" s="20"/>
      <c r="S892" s="20"/>
      <c r="T892" s="20"/>
      <c r="U892" s="20"/>
      <c r="V892" s="20"/>
      <c r="W892" s="20"/>
      <c r="X892" s="20"/>
      <c r="Y892" s="20"/>
      <c r="Z892" s="20"/>
    </row>
    <row r="893" spans="1:26" ht="17.25" customHeight="1">
      <c r="A893" s="15"/>
      <c r="B893" s="15"/>
      <c r="C893" s="15"/>
      <c r="D893" s="15"/>
      <c r="E893" s="15"/>
      <c r="F893" s="15"/>
      <c r="G893" s="15"/>
      <c r="H893" s="47"/>
      <c r="I893" s="20"/>
      <c r="J893" s="20"/>
      <c r="K893" s="20"/>
      <c r="L893" s="20"/>
      <c r="M893" s="20"/>
      <c r="N893" s="20"/>
      <c r="O893" s="20"/>
      <c r="P893" s="20"/>
      <c r="Q893" s="20"/>
      <c r="R893" s="20"/>
      <c r="S893" s="20"/>
      <c r="T893" s="20"/>
      <c r="U893" s="20"/>
      <c r="V893" s="20"/>
      <c r="W893" s="20"/>
      <c r="X893" s="20"/>
      <c r="Y893" s="20"/>
      <c r="Z893" s="20"/>
    </row>
    <row r="894" spans="1:26" ht="17.25" customHeight="1">
      <c r="A894" s="15"/>
      <c r="B894" s="15"/>
      <c r="C894" s="15"/>
      <c r="D894" s="15"/>
      <c r="E894" s="15"/>
      <c r="F894" s="15"/>
      <c r="G894" s="15"/>
      <c r="H894" s="47"/>
      <c r="I894" s="20"/>
      <c r="J894" s="20"/>
      <c r="K894" s="20"/>
      <c r="L894" s="20"/>
      <c r="M894" s="20"/>
      <c r="N894" s="20"/>
      <c r="O894" s="20"/>
      <c r="P894" s="20"/>
      <c r="Q894" s="20"/>
      <c r="R894" s="20"/>
      <c r="S894" s="20"/>
      <c r="T894" s="20"/>
      <c r="U894" s="20"/>
      <c r="V894" s="20"/>
      <c r="W894" s="20"/>
      <c r="X894" s="20"/>
      <c r="Y894" s="20"/>
      <c r="Z894" s="20"/>
    </row>
    <row r="895" spans="1:26" ht="17.25" customHeight="1">
      <c r="A895" s="15"/>
      <c r="B895" s="15"/>
      <c r="C895" s="15"/>
      <c r="D895" s="15"/>
      <c r="E895" s="15"/>
      <c r="F895" s="15"/>
      <c r="G895" s="15"/>
      <c r="H895" s="47"/>
      <c r="I895" s="20"/>
      <c r="J895" s="20"/>
      <c r="K895" s="20"/>
      <c r="L895" s="20"/>
      <c r="M895" s="20"/>
      <c r="N895" s="20"/>
      <c r="O895" s="20"/>
      <c r="P895" s="20"/>
      <c r="Q895" s="20"/>
      <c r="R895" s="20"/>
      <c r="S895" s="20"/>
      <c r="T895" s="20"/>
      <c r="U895" s="20"/>
      <c r="V895" s="20"/>
      <c r="W895" s="20"/>
      <c r="X895" s="20"/>
      <c r="Y895" s="20"/>
      <c r="Z895" s="20"/>
    </row>
    <row r="896" spans="1:26" ht="17.25" customHeight="1">
      <c r="A896" s="15"/>
      <c r="B896" s="15"/>
      <c r="C896" s="15"/>
      <c r="D896" s="15"/>
      <c r="E896" s="15"/>
      <c r="F896" s="15"/>
      <c r="G896" s="15"/>
      <c r="H896" s="47"/>
      <c r="I896" s="20"/>
      <c r="J896" s="20"/>
      <c r="K896" s="20"/>
      <c r="L896" s="20"/>
      <c r="M896" s="20"/>
      <c r="N896" s="20"/>
      <c r="O896" s="20"/>
      <c r="P896" s="20"/>
      <c r="Q896" s="20"/>
      <c r="R896" s="20"/>
      <c r="S896" s="20"/>
      <c r="T896" s="20"/>
      <c r="U896" s="20"/>
      <c r="V896" s="20"/>
      <c r="W896" s="20"/>
      <c r="X896" s="20"/>
      <c r="Y896" s="20"/>
      <c r="Z896" s="20"/>
    </row>
    <row r="897" spans="1:26" ht="17.25" customHeight="1">
      <c r="A897" s="15"/>
      <c r="B897" s="15"/>
      <c r="C897" s="15"/>
      <c r="D897" s="15"/>
      <c r="E897" s="15"/>
      <c r="F897" s="15"/>
      <c r="G897" s="15"/>
      <c r="H897" s="47"/>
      <c r="I897" s="20"/>
      <c r="J897" s="20"/>
      <c r="K897" s="20"/>
      <c r="L897" s="20"/>
      <c r="M897" s="20"/>
      <c r="N897" s="20"/>
      <c r="O897" s="20"/>
      <c r="P897" s="20"/>
      <c r="Q897" s="20"/>
      <c r="R897" s="20"/>
      <c r="S897" s="20"/>
      <c r="T897" s="20"/>
      <c r="U897" s="20"/>
      <c r="V897" s="20"/>
      <c r="W897" s="20"/>
      <c r="X897" s="20"/>
      <c r="Y897" s="20"/>
      <c r="Z897" s="20"/>
    </row>
    <row r="898" spans="1:26" ht="17.25" customHeight="1">
      <c r="A898" s="15"/>
      <c r="B898" s="15"/>
      <c r="C898" s="15"/>
      <c r="D898" s="15"/>
      <c r="E898" s="15"/>
      <c r="F898" s="15"/>
      <c r="G898" s="15"/>
      <c r="H898" s="47"/>
      <c r="I898" s="20"/>
      <c r="J898" s="20"/>
      <c r="K898" s="20"/>
      <c r="L898" s="20"/>
      <c r="M898" s="20"/>
      <c r="N898" s="20"/>
      <c r="O898" s="20"/>
      <c r="P898" s="20"/>
      <c r="Q898" s="20"/>
      <c r="R898" s="20"/>
      <c r="S898" s="20"/>
      <c r="T898" s="20"/>
      <c r="U898" s="20"/>
      <c r="V898" s="20"/>
      <c r="W898" s="20"/>
      <c r="X898" s="20"/>
      <c r="Y898" s="20"/>
      <c r="Z898" s="20"/>
    </row>
    <row r="899" spans="1:26" ht="17.25" customHeight="1">
      <c r="A899" s="15"/>
      <c r="B899" s="15"/>
      <c r="C899" s="15"/>
      <c r="D899" s="15"/>
      <c r="E899" s="15"/>
      <c r="F899" s="15"/>
      <c r="G899" s="15"/>
      <c r="H899" s="47"/>
      <c r="I899" s="20"/>
      <c r="J899" s="20"/>
      <c r="K899" s="20"/>
      <c r="L899" s="20"/>
      <c r="M899" s="20"/>
      <c r="N899" s="20"/>
      <c r="O899" s="20"/>
      <c r="P899" s="20"/>
      <c r="Q899" s="20"/>
      <c r="R899" s="20"/>
      <c r="S899" s="20"/>
      <c r="T899" s="20"/>
      <c r="U899" s="20"/>
      <c r="V899" s="20"/>
      <c r="W899" s="20"/>
      <c r="X899" s="20"/>
      <c r="Y899" s="20"/>
      <c r="Z899" s="20"/>
    </row>
    <row r="900" spans="1:26" ht="17.25" customHeight="1">
      <c r="A900" s="15"/>
      <c r="B900" s="15"/>
      <c r="C900" s="15"/>
      <c r="D900" s="15"/>
      <c r="E900" s="15"/>
      <c r="F900" s="15"/>
      <c r="G900" s="15"/>
      <c r="H900" s="47"/>
      <c r="I900" s="20"/>
      <c r="J900" s="20"/>
      <c r="K900" s="20"/>
      <c r="L900" s="20"/>
      <c r="M900" s="20"/>
      <c r="N900" s="20"/>
      <c r="O900" s="20"/>
      <c r="P900" s="20"/>
      <c r="Q900" s="20"/>
      <c r="R900" s="20"/>
      <c r="S900" s="20"/>
      <c r="T900" s="20"/>
      <c r="U900" s="20"/>
      <c r="V900" s="20"/>
      <c r="W900" s="20"/>
      <c r="X900" s="20"/>
      <c r="Y900" s="20"/>
      <c r="Z900" s="20"/>
    </row>
    <row r="901" spans="1:26" ht="17.25" customHeight="1">
      <c r="A901" s="15"/>
      <c r="B901" s="15"/>
      <c r="C901" s="15"/>
      <c r="D901" s="15"/>
      <c r="E901" s="15"/>
      <c r="F901" s="15"/>
      <c r="G901" s="15"/>
      <c r="H901" s="47"/>
      <c r="I901" s="20"/>
      <c r="J901" s="20"/>
      <c r="K901" s="20"/>
      <c r="L901" s="20"/>
      <c r="M901" s="20"/>
      <c r="N901" s="20"/>
      <c r="O901" s="20"/>
      <c r="P901" s="20"/>
      <c r="Q901" s="20"/>
      <c r="R901" s="20"/>
      <c r="S901" s="20"/>
      <c r="T901" s="20"/>
      <c r="U901" s="20"/>
      <c r="V901" s="20"/>
      <c r="W901" s="20"/>
      <c r="X901" s="20"/>
      <c r="Y901" s="20"/>
      <c r="Z901" s="20"/>
    </row>
    <row r="902" spans="1:26" ht="17.25" customHeight="1">
      <c r="A902" s="15"/>
      <c r="B902" s="15"/>
      <c r="C902" s="15"/>
      <c r="D902" s="15"/>
      <c r="E902" s="15"/>
      <c r="F902" s="15"/>
      <c r="G902" s="15"/>
      <c r="H902" s="47"/>
      <c r="I902" s="20"/>
      <c r="J902" s="20"/>
      <c r="K902" s="20"/>
      <c r="L902" s="20"/>
      <c r="M902" s="20"/>
      <c r="N902" s="20"/>
      <c r="O902" s="20"/>
      <c r="P902" s="20"/>
      <c r="Q902" s="20"/>
      <c r="R902" s="20"/>
      <c r="S902" s="20"/>
      <c r="T902" s="20"/>
      <c r="U902" s="20"/>
      <c r="V902" s="20"/>
      <c r="W902" s="20"/>
      <c r="X902" s="20"/>
      <c r="Y902" s="20"/>
      <c r="Z902" s="20"/>
    </row>
    <row r="903" spans="1:26" ht="17.25" customHeight="1">
      <c r="A903" s="15"/>
      <c r="B903" s="15"/>
      <c r="C903" s="15"/>
      <c r="D903" s="15"/>
      <c r="E903" s="15"/>
      <c r="F903" s="15"/>
      <c r="G903" s="15"/>
      <c r="H903" s="47"/>
      <c r="I903" s="20"/>
      <c r="J903" s="20"/>
      <c r="K903" s="20"/>
      <c r="L903" s="20"/>
      <c r="M903" s="20"/>
      <c r="N903" s="20"/>
      <c r="O903" s="20"/>
      <c r="P903" s="20"/>
      <c r="Q903" s="20"/>
      <c r="R903" s="20"/>
      <c r="S903" s="20"/>
      <c r="T903" s="20"/>
      <c r="U903" s="20"/>
      <c r="V903" s="20"/>
      <c r="W903" s="20"/>
      <c r="X903" s="20"/>
      <c r="Y903" s="20"/>
      <c r="Z903" s="20"/>
    </row>
    <row r="904" spans="1:26" ht="17.25" customHeight="1">
      <c r="A904" s="15"/>
      <c r="B904" s="15"/>
      <c r="C904" s="15"/>
      <c r="D904" s="15"/>
      <c r="E904" s="15"/>
      <c r="F904" s="15"/>
      <c r="G904" s="15"/>
      <c r="H904" s="47"/>
      <c r="I904" s="20"/>
      <c r="J904" s="20"/>
      <c r="K904" s="20"/>
      <c r="L904" s="20"/>
      <c r="M904" s="20"/>
      <c r="N904" s="20"/>
      <c r="O904" s="20"/>
      <c r="P904" s="20"/>
      <c r="Q904" s="20"/>
      <c r="R904" s="20"/>
      <c r="S904" s="20"/>
      <c r="T904" s="20"/>
      <c r="U904" s="20"/>
      <c r="V904" s="20"/>
      <c r="W904" s="20"/>
      <c r="X904" s="20"/>
      <c r="Y904" s="20"/>
      <c r="Z904" s="20"/>
    </row>
    <row r="905" spans="1:26" ht="17.25" customHeight="1">
      <c r="A905" s="15"/>
      <c r="B905" s="15"/>
      <c r="C905" s="15"/>
      <c r="D905" s="15"/>
      <c r="E905" s="15"/>
      <c r="F905" s="15"/>
      <c r="G905" s="15"/>
      <c r="H905" s="47"/>
      <c r="I905" s="20"/>
      <c r="J905" s="20"/>
      <c r="K905" s="20"/>
      <c r="L905" s="20"/>
      <c r="M905" s="20"/>
      <c r="N905" s="20"/>
      <c r="O905" s="20"/>
      <c r="P905" s="20"/>
      <c r="Q905" s="20"/>
      <c r="R905" s="20"/>
      <c r="S905" s="20"/>
      <c r="T905" s="20"/>
      <c r="U905" s="20"/>
      <c r="V905" s="20"/>
      <c r="W905" s="20"/>
      <c r="X905" s="20"/>
      <c r="Y905" s="20"/>
      <c r="Z905" s="20"/>
    </row>
    <row r="906" spans="1:26" ht="17.25" customHeight="1">
      <c r="A906" s="15"/>
      <c r="B906" s="15"/>
      <c r="C906" s="15"/>
      <c r="D906" s="15"/>
      <c r="E906" s="15"/>
      <c r="F906" s="15"/>
      <c r="G906" s="15"/>
      <c r="H906" s="47"/>
      <c r="I906" s="20"/>
      <c r="J906" s="20"/>
      <c r="K906" s="20"/>
      <c r="L906" s="20"/>
      <c r="M906" s="20"/>
      <c r="N906" s="20"/>
      <c r="O906" s="20"/>
      <c r="P906" s="20"/>
      <c r="Q906" s="20"/>
      <c r="R906" s="20"/>
      <c r="S906" s="20"/>
      <c r="T906" s="20"/>
      <c r="U906" s="20"/>
      <c r="V906" s="20"/>
      <c r="W906" s="20"/>
      <c r="X906" s="20"/>
      <c r="Y906" s="20"/>
      <c r="Z906" s="20"/>
    </row>
    <row r="907" spans="1:26" ht="17.25" customHeight="1">
      <c r="A907" s="15"/>
      <c r="B907" s="15"/>
      <c r="C907" s="15"/>
      <c r="D907" s="15"/>
      <c r="E907" s="15"/>
      <c r="F907" s="15"/>
      <c r="G907" s="15"/>
      <c r="H907" s="47"/>
      <c r="I907" s="20"/>
      <c r="J907" s="20"/>
      <c r="K907" s="20"/>
      <c r="L907" s="20"/>
      <c r="M907" s="20"/>
      <c r="N907" s="20"/>
      <c r="O907" s="20"/>
      <c r="P907" s="20"/>
      <c r="Q907" s="20"/>
      <c r="R907" s="20"/>
      <c r="S907" s="20"/>
      <c r="T907" s="20"/>
      <c r="U907" s="20"/>
      <c r="V907" s="20"/>
      <c r="W907" s="20"/>
      <c r="X907" s="20"/>
      <c r="Y907" s="20"/>
      <c r="Z907" s="20"/>
    </row>
    <row r="908" spans="1:26" ht="17.25" customHeight="1">
      <c r="A908" s="15"/>
      <c r="B908" s="15"/>
      <c r="C908" s="15"/>
      <c r="D908" s="15"/>
      <c r="E908" s="15"/>
      <c r="F908" s="15"/>
      <c r="G908" s="15"/>
      <c r="H908" s="47"/>
      <c r="I908" s="20"/>
      <c r="J908" s="20"/>
      <c r="K908" s="20"/>
      <c r="L908" s="20"/>
      <c r="M908" s="20"/>
      <c r="N908" s="20"/>
      <c r="O908" s="20"/>
      <c r="P908" s="20"/>
      <c r="Q908" s="20"/>
      <c r="R908" s="20"/>
      <c r="S908" s="20"/>
      <c r="T908" s="20"/>
      <c r="U908" s="20"/>
      <c r="V908" s="20"/>
      <c r="W908" s="20"/>
      <c r="X908" s="20"/>
      <c r="Y908" s="20"/>
      <c r="Z908" s="20"/>
    </row>
    <row r="909" spans="1:26" ht="17.25" customHeight="1">
      <c r="A909" s="15"/>
      <c r="B909" s="15"/>
      <c r="C909" s="15"/>
      <c r="D909" s="15"/>
      <c r="E909" s="15"/>
      <c r="F909" s="15"/>
      <c r="G909" s="15"/>
      <c r="H909" s="47"/>
      <c r="I909" s="20"/>
      <c r="J909" s="20"/>
      <c r="K909" s="20"/>
      <c r="L909" s="20"/>
      <c r="M909" s="20"/>
      <c r="N909" s="20"/>
      <c r="O909" s="20"/>
      <c r="P909" s="20"/>
      <c r="Q909" s="20"/>
      <c r="R909" s="20"/>
      <c r="S909" s="20"/>
      <c r="T909" s="20"/>
      <c r="U909" s="20"/>
      <c r="V909" s="20"/>
      <c r="W909" s="20"/>
      <c r="X909" s="20"/>
      <c r="Y909" s="20"/>
      <c r="Z909" s="20"/>
    </row>
    <row r="910" spans="1:26" ht="17.25" customHeight="1">
      <c r="A910" s="15"/>
      <c r="B910" s="15"/>
      <c r="C910" s="15"/>
      <c r="D910" s="15"/>
      <c r="E910" s="15"/>
      <c r="F910" s="15"/>
      <c r="G910" s="15"/>
      <c r="H910" s="47"/>
      <c r="I910" s="20"/>
      <c r="J910" s="20"/>
      <c r="K910" s="20"/>
      <c r="L910" s="20"/>
      <c r="M910" s="20"/>
      <c r="N910" s="20"/>
      <c r="O910" s="20"/>
      <c r="P910" s="20"/>
      <c r="Q910" s="20"/>
      <c r="R910" s="20"/>
      <c r="S910" s="20"/>
      <c r="T910" s="20"/>
      <c r="U910" s="20"/>
      <c r="V910" s="20"/>
      <c r="W910" s="20"/>
      <c r="X910" s="20"/>
      <c r="Y910" s="20"/>
      <c r="Z910" s="20"/>
    </row>
    <row r="911" spans="1:26" ht="17.25" customHeight="1">
      <c r="A911" s="15"/>
      <c r="B911" s="15"/>
      <c r="C911" s="15"/>
      <c r="D911" s="15"/>
      <c r="E911" s="15"/>
      <c r="F911" s="15"/>
      <c r="G911" s="15"/>
      <c r="H911" s="47"/>
      <c r="I911" s="20"/>
      <c r="J911" s="20"/>
      <c r="K911" s="20"/>
      <c r="L911" s="20"/>
      <c r="M911" s="20"/>
      <c r="N911" s="20"/>
      <c r="O911" s="20"/>
      <c r="P911" s="20"/>
      <c r="Q911" s="20"/>
      <c r="R911" s="20"/>
      <c r="S911" s="20"/>
      <c r="T911" s="20"/>
      <c r="U911" s="20"/>
      <c r="V911" s="20"/>
      <c r="W911" s="20"/>
      <c r="X911" s="20"/>
      <c r="Y911" s="20"/>
      <c r="Z911" s="20"/>
    </row>
    <row r="912" spans="1:26" ht="17.25" customHeight="1">
      <c r="A912" s="15"/>
      <c r="B912" s="15"/>
      <c r="C912" s="15"/>
      <c r="D912" s="15"/>
      <c r="E912" s="15"/>
      <c r="F912" s="15"/>
      <c r="G912" s="15"/>
      <c r="H912" s="47"/>
      <c r="I912" s="20"/>
      <c r="J912" s="20"/>
      <c r="K912" s="20"/>
      <c r="L912" s="20"/>
      <c r="M912" s="20"/>
      <c r="N912" s="20"/>
      <c r="O912" s="20"/>
      <c r="P912" s="20"/>
      <c r="Q912" s="20"/>
      <c r="R912" s="20"/>
      <c r="S912" s="20"/>
      <c r="T912" s="20"/>
      <c r="U912" s="20"/>
      <c r="V912" s="20"/>
      <c r="W912" s="20"/>
      <c r="X912" s="20"/>
      <c r="Y912" s="20"/>
      <c r="Z912" s="20"/>
    </row>
    <row r="913" spans="1:26" ht="17.25" customHeight="1">
      <c r="A913" s="15"/>
      <c r="B913" s="15"/>
      <c r="C913" s="15"/>
      <c r="D913" s="15"/>
      <c r="E913" s="15"/>
      <c r="F913" s="15"/>
      <c r="G913" s="15"/>
      <c r="H913" s="47"/>
      <c r="I913" s="20"/>
      <c r="J913" s="20"/>
      <c r="K913" s="20"/>
      <c r="L913" s="20"/>
      <c r="M913" s="20"/>
      <c r="N913" s="20"/>
      <c r="O913" s="20"/>
      <c r="P913" s="20"/>
      <c r="Q913" s="20"/>
      <c r="R913" s="20"/>
      <c r="S913" s="20"/>
      <c r="T913" s="20"/>
      <c r="U913" s="20"/>
      <c r="V913" s="20"/>
      <c r="W913" s="20"/>
      <c r="X913" s="20"/>
      <c r="Y913" s="20"/>
      <c r="Z913" s="20"/>
    </row>
    <row r="914" spans="1:26" ht="17.25" customHeight="1">
      <c r="A914" s="15"/>
      <c r="B914" s="15"/>
      <c r="C914" s="15"/>
      <c r="D914" s="15"/>
      <c r="E914" s="15"/>
      <c r="F914" s="15"/>
      <c r="G914" s="15"/>
      <c r="H914" s="47"/>
      <c r="I914" s="20"/>
      <c r="J914" s="20"/>
      <c r="K914" s="20"/>
      <c r="L914" s="20"/>
      <c r="M914" s="20"/>
      <c r="N914" s="20"/>
      <c r="O914" s="20"/>
      <c r="P914" s="20"/>
      <c r="Q914" s="20"/>
      <c r="R914" s="20"/>
      <c r="S914" s="20"/>
      <c r="T914" s="20"/>
      <c r="U914" s="20"/>
      <c r="V914" s="20"/>
      <c r="W914" s="20"/>
      <c r="X914" s="20"/>
      <c r="Y914" s="20"/>
      <c r="Z914" s="20"/>
    </row>
    <row r="915" spans="1:26" ht="17.25" customHeight="1">
      <c r="A915" s="15"/>
      <c r="B915" s="15"/>
      <c r="C915" s="15"/>
      <c r="D915" s="15"/>
      <c r="E915" s="15"/>
      <c r="F915" s="15"/>
      <c r="G915" s="15"/>
      <c r="H915" s="47"/>
      <c r="I915" s="20"/>
      <c r="J915" s="20"/>
      <c r="K915" s="20"/>
      <c r="L915" s="20"/>
      <c r="M915" s="20"/>
      <c r="N915" s="20"/>
      <c r="O915" s="20"/>
      <c r="P915" s="20"/>
      <c r="Q915" s="20"/>
      <c r="R915" s="20"/>
      <c r="S915" s="20"/>
      <c r="T915" s="20"/>
      <c r="U915" s="20"/>
      <c r="V915" s="20"/>
      <c r="W915" s="20"/>
      <c r="X915" s="20"/>
      <c r="Y915" s="20"/>
      <c r="Z915" s="20"/>
    </row>
    <row r="916" spans="1:26" ht="17.25" customHeight="1">
      <c r="A916" s="15"/>
      <c r="B916" s="15"/>
      <c r="C916" s="15"/>
      <c r="D916" s="15"/>
      <c r="E916" s="15"/>
      <c r="F916" s="15"/>
      <c r="G916" s="15"/>
      <c r="H916" s="47"/>
      <c r="I916" s="20"/>
      <c r="J916" s="20"/>
      <c r="K916" s="20"/>
      <c r="L916" s="20"/>
      <c r="M916" s="20"/>
      <c r="N916" s="20"/>
      <c r="O916" s="20"/>
      <c r="P916" s="20"/>
      <c r="Q916" s="20"/>
      <c r="R916" s="20"/>
      <c r="S916" s="20"/>
      <c r="T916" s="20"/>
      <c r="U916" s="20"/>
      <c r="V916" s="20"/>
      <c r="W916" s="20"/>
      <c r="X916" s="20"/>
      <c r="Y916" s="20"/>
      <c r="Z916" s="20"/>
    </row>
    <row r="917" spans="1:26" ht="17.25" customHeight="1">
      <c r="A917" s="15"/>
      <c r="B917" s="15"/>
      <c r="C917" s="15"/>
      <c r="D917" s="15"/>
      <c r="E917" s="15"/>
      <c r="F917" s="15"/>
      <c r="G917" s="15"/>
      <c r="H917" s="47"/>
      <c r="I917" s="20"/>
      <c r="J917" s="20"/>
      <c r="K917" s="20"/>
      <c r="L917" s="20"/>
      <c r="M917" s="20"/>
      <c r="N917" s="20"/>
      <c r="O917" s="20"/>
      <c r="P917" s="20"/>
      <c r="Q917" s="20"/>
      <c r="R917" s="20"/>
      <c r="S917" s="20"/>
      <c r="T917" s="20"/>
      <c r="U917" s="20"/>
      <c r="V917" s="20"/>
      <c r="W917" s="20"/>
      <c r="X917" s="20"/>
      <c r="Y917" s="20"/>
      <c r="Z917" s="20"/>
    </row>
    <row r="918" spans="1:26" ht="17.25" customHeight="1">
      <c r="A918" s="15"/>
      <c r="B918" s="15"/>
      <c r="C918" s="15"/>
      <c r="D918" s="15"/>
      <c r="E918" s="15"/>
      <c r="F918" s="15"/>
      <c r="G918" s="15"/>
      <c r="H918" s="47"/>
      <c r="I918" s="20"/>
      <c r="J918" s="20"/>
      <c r="K918" s="20"/>
      <c r="L918" s="20"/>
      <c r="M918" s="20"/>
      <c r="N918" s="20"/>
      <c r="O918" s="20"/>
      <c r="P918" s="20"/>
      <c r="Q918" s="20"/>
      <c r="R918" s="20"/>
      <c r="S918" s="20"/>
      <c r="T918" s="20"/>
      <c r="U918" s="20"/>
      <c r="V918" s="20"/>
      <c r="W918" s="20"/>
      <c r="X918" s="20"/>
      <c r="Y918" s="20"/>
      <c r="Z918" s="20"/>
    </row>
    <row r="919" spans="1:26" ht="17.25" customHeight="1">
      <c r="A919" s="15"/>
      <c r="B919" s="15"/>
      <c r="C919" s="15"/>
      <c r="D919" s="15"/>
      <c r="E919" s="15"/>
      <c r="F919" s="15"/>
      <c r="G919" s="15"/>
      <c r="H919" s="47"/>
      <c r="I919" s="20"/>
      <c r="J919" s="20"/>
      <c r="K919" s="20"/>
      <c r="L919" s="20"/>
      <c r="M919" s="20"/>
      <c r="N919" s="20"/>
      <c r="O919" s="20"/>
      <c r="P919" s="20"/>
      <c r="Q919" s="20"/>
      <c r="R919" s="20"/>
      <c r="S919" s="20"/>
      <c r="T919" s="20"/>
      <c r="U919" s="20"/>
      <c r="V919" s="20"/>
      <c r="W919" s="20"/>
      <c r="X919" s="20"/>
      <c r="Y919" s="20"/>
      <c r="Z919" s="20"/>
    </row>
    <row r="920" spans="1:26" ht="17.25" customHeight="1">
      <c r="A920" s="15"/>
      <c r="B920" s="15"/>
      <c r="C920" s="15"/>
      <c r="D920" s="15"/>
      <c r="E920" s="15"/>
      <c r="F920" s="15"/>
      <c r="G920" s="15"/>
      <c r="H920" s="47"/>
      <c r="I920" s="20"/>
      <c r="J920" s="20"/>
      <c r="K920" s="20"/>
      <c r="L920" s="20"/>
      <c r="M920" s="20"/>
      <c r="N920" s="20"/>
      <c r="O920" s="20"/>
      <c r="P920" s="20"/>
      <c r="Q920" s="20"/>
      <c r="R920" s="20"/>
      <c r="S920" s="20"/>
      <c r="T920" s="20"/>
      <c r="U920" s="20"/>
      <c r="V920" s="20"/>
      <c r="W920" s="20"/>
      <c r="X920" s="20"/>
      <c r="Y920" s="20"/>
      <c r="Z920" s="20"/>
    </row>
    <row r="921" spans="1:26" ht="17.25" customHeight="1">
      <c r="A921" s="15"/>
      <c r="B921" s="15"/>
      <c r="C921" s="15"/>
      <c r="D921" s="15"/>
      <c r="E921" s="15"/>
      <c r="F921" s="15"/>
      <c r="G921" s="15"/>
      <c r="H921" s="47"/>
      <c r="I921" s="20"/>
      <c r="J921" s="20"/>
      <c r="K921" s="20"/>
      <c r="L921" s="20"/>
      <c r="M921" s="20"/>
      <c r="N921" s="20"/>
      <c r="O921" s="20"/>
      <c r="P921" s="20"/>
      <c r="Q921" s="20"/>
      <c r="R921" s="20"/>
      <c r="S921" s="20"/>
      <c r="T921" s="20"/>
      <c r="U921" s="20"/>
      <c r="V921" s="20"/>
      <c r="W921" s="20"/>
      <c r="X921" s="20"/>
      <c r="Y921" s="20"/>
      <c r="Z921" s="20"/>
    </row>
    <row r="922" spans="1:26" ht="17.25" customHeight="1">
      <c r="A922" s="15"/>
      <c r="B922" s="15"/>
      <c r="C922" s="15"/>
      <c r="D922" s="15"/>
      <c r="E922" s="15"/>
      <c r="F922" s="15"/>
      <c r="G922" s="15"/>
      <c r="H922" s="47"/>
      <c r="I922" s="20"/>
      <c r="J922" s="20"/>
      <c r="K922" s="20"/>
      <c r="L922" s="20"/>
      <c r="M922" s="20"/>
      <c r="N922" s="20"/>
      <c r="O922" s="20"/>
      <c r="P922" s="20"/>
      <c r="Q922" s="20"/>
      <c r="R922" s="20"/>
      <c r="S922" s="20"/>
      <c r="T922" s="20"/>
      <c r="U922" s="20"/>
      <c r="V922" s="20"/>
      <c r="W922" s="20"/>
      <c r="X922" s="20"/>
      <c r="Y922" s="20"/>
      <c r="Z922" s="20"/>
    </row>
    <row r="923" spans="1:26" ht="17.25" customHeight="1">
      <c r="A923" s="15"/>
      <c r="B923" s="15"/>
      <c r="C923" s="15"/>
      <c r="D923" s="15"/>
      <c r="E923" s="15"/>
      <c r="F923" s="15"/>
      <c r="G923" s="15"/>
      <c r="H923" s="47"/>
      <c r="I923" s="20"/>
      <c r="J923" s="20"/>
      <c r="K923" s="20"/>
      <c r="L923" s="20"/>
      <c r="M923" s="20"/>
      <c r="N923" s="20"/>
      <c r="O923" s="20"/>
      <c r="P923" s="20"/>
      <c r="Q923" s="20"/>
      <c r="R923" s="20"/>
      <c r="S923" s="20"/>
      <c r="T923" s="20"/>
      <c r="U923" s="20"/>
      <c r="V923" s="20"/>
      <c r="W923" s="20"/>
      <c r="X923" s="20"/>
      <c r="Y923" s="20"/>
      <c r="Z923" s="20"/>
    </row>
    <row r="924" spans="1:26" ht="17.25" customHeight="1">
      <c r="A924" s="15"/>
      <c r="B924" s="15"/>
      <c r="C924" s="15"/>
      <c r="D924" s="15"/>
      <c r="E924" s="15"/>
      <c r="F924" s="15"/>
      <c r="G924" s="15"/>
      <c r="H924" s="47"/>
      <c r="I924" s="20"/>
      <c r="J924" s="20"/>
      <c r="K924" s="20"/>
      <c r="L924" s="20"/>
      <c r="M924" s="20"/>
      <c r="N924" s="20"/>
      <c r="O924" s="20"/>
      <c r="P924" s="20"/>
      <c r="Q924" s="20"/>
      <c r="R924" s="20"/>
      <c r="S924" s="20"/>
      <c r="T924" s="20"/>
      <c r="U924" s="20"/>
      <c r="V924" s="20"/>
      <c r="W924" s="20"/>
      <c r="X924" s="20"/>
      <c r="Y924" s="20"/>
      <c r="Z924" s="20"/>
    </row>
    <row r="925" spans="1:26" ht="17.25" customHeight="1">
      <c r="A925" s="15"/>
      <c r="B925" s="15"/>
      <c r="C925" s="15"/>
      <c r="D925" s="15"/>
      <c r="E925" s="15"/>
      <c r="F925" s="15"/>
      <c r="G925" s="15"/>
      <c r="H925" s="47"/>
      <c r="I925" s="20"/>
      <c r="J925" s="20"/>
      <c r="K925" s="20"/>
      <c r="L925" s="20"/>
      <c r="M925" s="20"/>
      <c r="N925" s="20"/>
      <c r="O925" s="20"/>
      <c r="P925" s="20"/>
      <c r="Q925" s="20"/>
      <c r="R925" s="20"/>
      <c r="S925" s="20"/>
      <c r="T925" s="20"/>
      <c r="U925" s="20"/>
      <c r="V925" s="20"/>
      <c r="W925" s="20"/>
      <c r="X925" s="20"/>
      <c r="Y925" s="20"/>
      <c r="Z925" s="20"/>
    </row>
    <row r="926" spans="1:26" ht="17.25" customHeight="1">
      <c r="A926" s="15"/>
      <c r="B926" s="15"/>
      <c r="C926" s="15"/>
      <c r="D926" s="15"/>
      <c r="E926" s="15"/>
      <c r="F926" s="15"/>
      <c r="G926" s="15"/>
      <c r="H926" s="47"/>
      <c r="I926" s="20"/>
      <c r="J926" s="20"/>
      <c r="K926" s="20"/>
      <c r="L926" s="20"/>
      <c r="M926" s="20"/>
      <c r="N926" s="20"/>
      <c r="O926" s="20"/>
      <c r="P926" s="20"/>
      <c r="Q926" s="20"/>
      <c r="R926" s="20"/>
      <c r="S926" s="20"/>
      <c r="T926" s="20"/>
      <c r="U926" s="20"/>
      <c r="V926" s="20"/>
      <c r="W926" s="20"/>
      <c r="X926" s="20"/>
      <c r="Y926" s="20"/>
      <c r="Z926" s="20"/>
    </row>
    <row r="927" spans="1:26" ht="17.25" customHeight="1">
      <c r="A927" s="15"/>
      <c r="B927" s="15"/>
      <c r="C927" s="15"/>
      <c r="D927" s="15"/>
      <c r="E927" s="15"/>
      <c r="F927" s="15"/>
      <c r="G927" s="15"/>
      <c r="H927" s="47"/>
      <c r="I927" s="20"/>
      <c r="J927" s="20"/>
      <c r="K927" s="20"/>
      <c r="L927" s="20"/>
      <c r="M927" s="20"/>
      <c r="N927" s="20"/>
      <c r="O927" s="20"/>
      <c r="P927" s="20"/>
      <c r="Q927" s="20"/>
      <c r="R927" s="20"/>
      <c r="S927" s="20"/>
      <c r="T927" s="20"/>
      <c r="U927" s="20"/>
      <c r="V927" s="20"/>
      <c r="W927" s="20"/>
      <c r="X927" s="20"/>
      <c r="Y927" s="20"/>
      <c r="Z927" s="20"/>
    </row>
    <row r="928" spans="1:26" ht="17.25" customHeight="1">
      <c r="A928" s="15"/>
      <c r="B928" s="15"/>
      <c r="C928" s="15"/>
      <c r="D928" s="15"/>
      <c r="E928" s="15"/>
      <c r="F928" s="15"/>
      <c r="G928" s="15"/>
      <c r="H928" s="47"/>
      <c r="I928" s="20"/>
      <c r="J928" s="20"/>
      <c r="K928" s="20"/>
      <c r="L928" s="20"/>
      <c r="M928" s="20"/>
      <c r="N928" s="20"/>
      <c r="O928" s="20"/>
      <c r="P928" s="20"/>
      <c r="Q928" s="20"/>
      <c r="R928" s="20"/>
      <c r="S928" s="20"/>
      <c r="T928" s="20"/>
      <c r="U928" s="20"/>
      <c r="V928" s="20"/>
      <c r="W928" s="20"/>
      <c r="X928" s="20"/>
      <c r="Y928" s="20"/>
      <c r="Z928" s="20"/>
    </row>
    <row r="929" spans="1:26" ht="17.25" customHeight="1">
      <c r="A929" s="15"/>
      <c r="B929" s="15"/>
      <c r="C929" s="15"/>
      <c r="D929" s="15"/>
      <c r="E929" s="15"/>
      <c r="F929" s="15"/>
      <c r="G929" s="15"/>
      <c r="H929" s="47"/>
      <c r="I929" s="20"/>
      <c r="J929" s="20"/>
      <c r="K929" s="20"/>
      <c r="L929" s="20"/>
      <c r="M929" s="20"/>
      <c r="N929" s="20"/>
      <c r="O929" s="20"/>
      <c r="P929" s="20"/>
      <c r="Q929" s="20"/>
      <c r="R929" s="20"/>
      <c r="S929" s="20"/>
      <c r="T929" s="20"/>
      <c r="U929" s="20"/>
      <c r="V929" s="20"/>
      <c r="W929" s="20"/>
      <c r="X929" s="20"/>
      <c r="Y929" s="20"/>
      <c r="Z929" s="20"/>
    </row>
    <row r="930" spans="1:26" ht="17.25" customHeight="1">
      <c r="A930" s="15"/>
      <c r="B930" s="15"/>
      <c r="C930" s="15"/>
      <c r="D930" s="15"/>
      <c r="E930" s="15"/>
      <c r="F930" s="15"/>
      <c r="G930" s="15"/>
      <c r="H930" s="47"/>
      <c r="I930" s="20"/>
      <c r="J930" s="20"/>
      <c r="K930" s="20"/>
      <c r="L930" s="20"/>
      <c r="M930" s="20"/>
      <c r="N930" s="20"/>
      <c r="O930" s="20"/>
      <c r="P930" s="20"/>
      <c r="Q930" s="20"/>
      <c r="R930" s="20"/>
      <c r="S930" s="20"/>
      <c r="T930" s="20"/>
      <c r="U930" s="20"/>
      <c r="V930" s="20"/>
      <c r="W930" s="20"/>
      <c r="X930" s="20"/>
      <c r="Y930" s="20"/>
      <c r="Z930" s="20"/>
    </row>
    <row r="931" spans="1:26" ht="17.25" customHeight="1">
      <c r="A931" s="15"/>
      <c r="B931" s="15"/>
      <c r="C931" s="15"/>
      <c r="D931" s="15"/>
      <c r="E931" s="15"/>
      <c r="F931" s="15"/>
      <c r="G931" s="15"/>
      <c r="H931" s="47"/>
      <c r="I931" s="20"/>
      <c r="J931" s="20"/>
      <c r="K931" s="20"/>
      <c r="L931" s="20"/>
      <c r="M931" s="20"/>
      <c r="N931" s="20"/>
      <c r="O931" s="20"/>
      <c r="P931" s="20"/>
      <c r="Q931" s="20"/>
      <c r="R931" s="20"/>
      <c r="S931" s="20"/>
      <c r="T931" s="20"/>
      <c r="U931" s="20"/>
      <c r="V931" s="20"/>
      <c r="W931" s="20"/>
      <c r="X931" s="20"/>
      <c r="Y931" s="20"/>
      <c r="Z931" s="20"/>
    </row>
    <row r="932" spans="1:26" ht="17.25" customHeight="1">
      <c r="A932" s="15"/>
      <c r="B932" s="15"/>
      <c r="C932" s="15"/>
      <c r="D932" s="15"/>
      <c r="E932" s="15"/>
      <c r="F932" s="15"/>
      <c r="G932" s="15"/>
      <c r="H932" s="47"/>
      <c r="I932" s="20"/>
      <c r="J932" s="20"/>
      <c r="K932" s="20"/>
      <c r="L932" s="20"/>
      <c r="M932" s="20"/>
      <c r="N932" s="20"/>
      <c r="O932" s="20"/>
      <c r="P932" s="20"/>
      <c r="Q932" s="20"/>
      <c r="R932" s="20"/>
      <c r="S932" s="20"/>
      <c r="T932" s="20"/>
      <c r="U932" s="20"/>
      <c r="V932" s="20"/>
      <c r="W932" s="20"/>
      <c r="X932" s="20"/>
      <c r="Y932" s="20"/>
      <c r="Z932" s="20"/>
    </row>
    <row r="933" spans="1:26" ht="17.25" customHeight="1">
      <c r="A933" s="15"/>
      <c r="B933" s="15"/>
      <c r="C933" s="15"/>
      <c r="D933" s="15"/>
      <c r="E933" s="15"/>
      <c r="F933" s="15"/>
      <c r="G933" s="15"/>
      <c r="H933" s="47"/>
      <c r="I933" s="20"/>
      <c r="J933" s="20"/>
      <c r="K933" s="20"/>
      <c r="L933" s="20"/>
      <c r="M933" s="20"/>
      <c r="N933" s="20"/>
      <c r="O933" s="20"/>
      <c r="P933" s="20"/>
      <c r="Q933" s="20"/>
      <c r="R933" s="20"/>
      <c r="S933" s="20"/>
      <c r="T933" s="20"/>
      <c r="U933" s="20"/>
      <c r="V933" s="20"/>
      <c r="W933" s="20"/>
      <c r="X933" s="20"/>
      <c r="Y933" s="20"/>
      <c r="Z933" s="20"/>
    </row>
    <row r="934" spans="1:26" ht="17.25" customHeight="1">
      <c r="A934" s="15"/>
      <c r="B934" s="15"/>
      <c r="C934" s="15"/>
      <c r="D934" s="15"/>
      <c r="E934" s="15"/>
      <c r="F934" s="15"/>
      <c r="G934" s="15"/>
      <c r="H934" s="47"/>
      <c r="I934" s="20"/>
      <c r="J934" s="20"/>
      <c r="K934" s="20"/>
      <c r="L934" s="20"/>
      <c r="M934" s="20"/>
      <c r="N934" s="20"/>
      <c r="O934" s="20"/>
      <c r="P934" s="20"/>
      <c r="Q934" s="20"/>
      <c r="R934" s="20"/>
      <c r="S934" s="20"/>
      <c r="T934" s="20"/>
      <c r="U934" s="20"/>
      <c r="V934" s="20"/>
      <c r="W934" s="20"/>
      <c r="X934" s="20"/>
      <c r="Y934" s="20"/>
      <c r="Z934" s="20"/>
    </row>
    <row r="935" spans="1:26" ht="17.25" customHeight="1">
      <c r="A935" s="15"/>
      <c r="B935" s="15"/>
      <c r="C935" s="15"/>
      <c r="D935" s="15"/>
      <c r="E935" s="15"/>
      <c r="F935" s="15"/>
      <c r="G935" s="15"/>
      <c r="H935" s="47"/>
      <c r="I935" s="20"/>
      <c r="J935" s="20"/>
      <c r="K935" s="20"/>
      <c r="L935" s="20"/>
      <c r="M935" s="20"/>
      <c r="N935" s="20"/>
      <c r="O935" s="20"/>
      <c r="P935" s="20"/>
      <c r="Q935" s="20"/>
      <c r="R935" s="20"/>
      <c r="S935" s="20"/>
      <c r="T935" s="20"/>
      <c r="U935" s="20"/>
      <c r="V935" s="20"/>
      <c r="W935" s="20"/>
      <c r="X935" s="20"/>
      <c r="Y935" s="20"/>
      <c r="Z935" s="20"/>
    </row>
    <row r="936" spans="1:26" ht="17.25" customHeight="1">
      <c r="A936" s="15"/>
      <c r="B936" s="15"/>
      <c r="C936" s="15"/>
      <c r="D936" s="15"/>
      <c r="E936" s="15"/>
      <c r="F936" s="15"/>
      <c r="G936" s="15"/>
      <c r="H936" s="47"/>
      <c r="I936" s="20"/>
      <c r="J936" s="20"/>
      <c r="K936" s="20"/>
      <c r="L936" s="20"/>
      <c r="M936" s="20"/>
      <c r="N936" s="20"/>
      <c r="O936" s="20"/>
      <c r="P936" s="20"/>
      <c r="Q936" s="20"/>
      <c r="R936" s="20"/>
      <c r="S936" s="20"/>
      <c r="T936" s="20"/>
      <c r="U936" s="20"/>
      <c r="V936" s="20"/>
      <c r="W936" s="20"/>
      <c r="X936" s="20"/>
      <c r="Y936" s="20"/>
      <c r="Z936" s="20"/>
    </row>
    <row r="937" spans="1:26" ht="17.25" customHeight="1">
      <c r="A937" s="15"/>
      <c r="B937" s="15"/>
      <c r="C937" s="15"/>
      <c r="D937" s="15"/>
      <c r="E937" s="15"/>
      <c r="F937" s="15"/>
      <c r="G937" s="15"/>
      <c r="H937" s="47"/>
      <c r="I937" s="20"/>
      <c r="J937" s="20"/>
      <c r="K937" s="20"/>
      <c r="L937" s="20"/>
      <c r="M937" s="20"/>
      <c r="N937" s="20"/>
      <c r="O937" s="20"/>
      <c r="P937" s="20"/>
      <c r="Q937" s="20"/>
      <c r="R937" s="20"/>
      <c r="S937" s="20"/>
      <c r="T937" s="20"/>
      <c r="U937" s="20"/>
      <c r="V937" s="20"/>
      <c r="W937" s="20"/>
      <c r="X937" s="20"/>
      <c r="Y937" s="20"/>
      <c r="Z937" s="20"/>
    </row>
    <row r="938" spans="1:26" ht="17.25" customHeight="1">
      <c r="A938" s="15"/>
      <c r="B938" s="15"/>
      <c r="C938" s="15"/>
      <c r="D938" s="15"/>
      <c r="E938" s="15"/>
      <c r="F938" s="15"/>
      <c r="G938" s="15"/>
      <c r="H938" s="47"/>
      <c r="I938" s="20"/>
      <c r="J938" s="20"/>
      <c r="K938" s="20"/>
      <c r="L938" s="20"/>
      <c r="M938" s="20"/>
      <c r="N938" s="20"/>
      <c r="O938" s="20"/>
      <c r="P938" s="20"/>
      <c r="Q938" s="20"/>
      <c r="R938" s="20"/>
      <c r="S938" s="20"/>
      <c r="T938" s="20"/>
      <c r="U938" s="20"/>
      <c r="V938" s="20"/>
      <c r="W938" s="20"/>
      <c r="X938" s="20"/>
      <c r="Y938" s="20"/>
      <c r="Z938" s="20"/>
    </row>
    <row r="939" spans="1:26" ht="17.25" customHeight="1">
      <c r="A939" s="15"/>
      <c r="B939" s="15"/>
      <c r="C939" s="15"/>
      <c r="D939" s="15"/>
      <c r="E939" s="15"/>
      <c r="F939" s="15"/>
      <c r="G939" s="15"/>
      <c r="H939" s="47"/>
      <c r="I939" s="20"/>
      <c r="J939" s="20"/>
      <c r="K939" s="20"/>
      <c r="L939" s="20"/>
      <c r="M939" s="20"/>
      <c r="N939" s="20"/>
      <c r="O939" s="20"/>
      <c r="P939" s="20"/>
      <c r="Q939" s="20"/>
      <c r="R939" s="20"/>
      <c r="S939" s="20"/>
      <c r="T939" s="20"/>
      <c r="U939" s="20"/>
      <c r="V939" s="20"/>
      <c r="W939" s="20"/>
      <c r="X939" s="20"/>
      <c r="Y939" s="20"/>
      <c r="Z939" s="20"/>
    </row>
    <row r="940" spans="1:26" ht="17.25" customHeight="1">
      <c r="A940" s="15"/>
      <c r="B940" s="15"/>
      <c r="C940" s="15"/>
      <c r="D940" s="15"/>
      <c r="E940" s="15"/>
      <c r="F940" s="15"/>
      <c r="G940" s="15"/>
      <c r="H940" s="47"/>
      <c r="I940" s="20"/>
      <c r="J940" s="20"/>
      <c r="K940" s="20"/>
      <c r="L940" s="20"/>
      <c r="M940" s="20"/>
      <c r="N940" s="20"/>
      <c r="O940" s="20"/>
      <c r="P940" s="20"/>
      <c r="Q940" s="20"/>
      <c r="R940" s="20"/>
      <c r="S940" s="20"/>
      <c r="T940" s="20"/>
      <c r="U940" s="20"/>
      <c r="V940" s="20"/>
      <c r="W940" s="20"/>
      <c r="X940" s="20"/>
      <c r="Y940" s="20"/>
      <c r="Z940" s="20"/>
    </row>
    <row r="941" spans="1:26" ht="17.25" customHeight="1">
      <c r="A941" s="15"/>
      <c r="B941" s="15"/>
      <c r="C941" s="15"/>
      <c r="D941" s="15"/>
      <c r="E941" s="15"/>
      <c r="F941" s="15"/>
      <c r="G941" s="15"/>
      <c r="H941" s="47"/>
      <c r="I941" s="20"/>
      <c r="J941" s="20"/>
      <c r="K941" s="20"/>
      <c r="L941" s="20"/>
      <c r="M941" s="20"/>
      <c r="N941" s="20"/>
      <c r="O941" s="20"/>
      <c r="P941" s="20"/>
      <c r="Q941" s="20"/>
      <c r="R941" s="20"/>
      <c r="S941" s="20"/>
      <c r="T941" s="20"/>
      <c r="U941" s="20"/>
      <c r="V941" s="20"/>
      <c r="W941" s="20"/>
      <c r="X941" s="20"/>
      <c r="Y941" s="20"/>
      <c r="Z941" s="20"/>
    </row>
    <row r="942" spans="1:26" ht="17.25" customHeight="1">
      <c r="A942" s="15"/>
      <c r="B942" s="15"/>
      <c r="C942" s="15"/>
      <c r="D942" s="15"/>
      <c r="E942" s="15"/>
      <c r="F942" s="15"/>
      <c r="G942" s="15"/>
      <c r="H942" s="47"/>
      <c r="I942" s="20"/>
      <c r="J942" s="20"/>
      <c r="K942" s="20"/>
      <c r="L942" s="20"/>
      <c r="M942" s="20"/>
      <c r="N942" s="20"/>
      <c r="O942" s="20"/>
      <c r="P942" s="20"/>
      <c r="Q942" s="20"/>
      <c r="R942" s="20"/>
      <c r="S942" s="20"/>
      <c r="T942" s="20"/>
      <c r="U942" s="20"/>
      <c r="V942" s="20"/>
      <c r="W942" s="20"/>
      <c r="X942" s="20"/>
      <c r="Y942" s="20"/>
      <c r="Z942" s="20"/>
    </row>
    <row r="943" spans="1:26" ht="17.25" customHeight="1">
      <c r="A943" s="15"/>
      <c r="B943" s="15"/>
      <c r="C943" s="15"/>
      <c r="D943" s="15"/>
      <c r="E943" s="15"/>
      <c r="F943" s="15"/>
      <c r="G943" s="15"/>
      <c r="H943" s="47"/>
      <c r="I943" s="20"/>
      <c r="J943" s="20"/>
      <c r="K943" s="20"/>
      <c r="L943" s="20"/>
      <c r="M943" s="20"/>
      <c r="N943" s="20"/>
      <c r="O943" s="20"/>
      <c r="P943" s="20"/>
      <c r="Q943" s="20"/>
      <c r="R943" s="20"/>
      <c r="S943" s="20"/>
      <c r="T943" s="20"/>
      <c r="U943" s="20"/>
      <c r="V943" s="20"/>
      <c r="W943" s="20"/>
      <c r="X943" s="20"/>
      <c r="Y943" s="20"/>
      <c r="Z943" s="20"/>
    </row>
    <row r="944" spans="1:26" ht="17.25" customHeight="1">
      <c r="A944" s="15"/>
      <c r="B944" s="15"/>
      <c r="C944" s="15"/>
      <c r="D944" s="15"/>
      <c r="E944" s="15"/>
      <c r="F944" s="15"/>
      <c r="G944" s="15"/>
      <c r="H944" s="47"/>
      <c r="I944" s="20"/>
      <c r="J944" s="20"/>
      <c r="K944" s="20"/>
      <c r="L944" s="20"/>
      <c r="M944" s="20"/>
      <c r="N944" s="20"/>
      <c r="O944" s="20"/>
      <c r="P944" s="20"/>
      <c r="Q944" s="20"/>
      <c r="R944" s="20"/>
      <c r="S944" s="20"/>
      <c r="T944" s="20"/>
      <c r="U944" s="20"/>
      <c r="V944" s="20"/>
      <c r="W944" s="20"/>
      <c r="X944" s="20"/>
      <c r="Y944" s="20"/>
      <c r="Z944" s="20"/>
    </row>
    <row r="945" spans="1:26" ht="17.25" customHeight="1">
      <c r="A945" s="15"/>
      <c r="B945" s="15"/>
      <c r="C945" s="15"/>
      <c r="D945" s="15"/>
      <c r="E945" s="15"/>
      <c r="F945" s="15"/>
      <c r="G945" s="15"/>
      <c r="H945" s="47"/>
      <c r="I945" s="20"/>
      <c r="J945" s="20"/>
      <c r="K945" s="20"/>
      <c r="L945" s="20"/>
      <c r="M945" s="20"/>
      <c r="N945" s="20"/>
      <c r="O945" s="20"/>
      <c r="P945" s="20"/>
      <c r="Q945" s="20"/>
      <c r="R945" s="20"/>
      <c r="S945" s="20"/>
      <c r="T945" s="20"/>
      <c r="U945" s="20"/>
      <c r="V945" s="20"/>
      <c r="W945" s="20"/>
      <c r="X945" s="20"/>
      <c r="Y945" s="20"/>
      <c r="Z945" s="20"/>
    </row>
    <row r="946" spans="1:26" ht="17.25" customHeight="1">
      <c r="A946" s="15"/>
      <c r="B946" s="15"/>
      <c r="C946" s="15"/>
      <c r="D946" s="15"/>
      <c r="E946" s="15"/>
      <c r="F946" s="15"/>
      <c r="G946" s="15"/>
      <c r="H946" s="47"/>
      <c r="I946" s="20"/>
      <c r="J946" s="20"/>
      <c r="K946" s="20"/>
      <c r="L946" s="20"/>
      <c r="M946" s="20"/>
      <c r="N946" s="20"/>
      <c r="O946" s="20"/>
      <c r="P946" s="20"/>
      <c r="Q946" s="20"/>
      <c r="R946" s="20"/>
      <c r="S946" s="20"/>
      <c r="T946" s="20"/>
      <c r="U946" s="20"/>
      <c r="V946" s="20"/>
      <c r="W946" s="20"/>
      <c r="X946" s="20"/>
      <c r="Y946" s="20"/>
      <c r="Z946" s="20"/>
    </row>
    <row r="947" spans="1:26" ht="17.25" customHeight="1">
      <c r="A947" s="15"/>
      <c r="B947" s="15"/>
      <c r="C947" s="15"/>
      <c r="D947" s="15"/>
      <c r="E947" s="15"/>
      <c r="F947" s="15"/>
      <c r="G947" s="15"/>
      <c r="H947" s="47"/>
      <c r="I947" s="20"/>
      <c r="J947" s="20"/>
      <c r="K947" s="20"/>
      <c r="L947" s="20"/>
      <c r="M947" s="20"/>
      <c r="N947" s="20"/>
      <c r="O947" s="20"/>
      <c r="P947" s="20"/>
      <c r="Q947" s="20"/>
      <c r="R947" s="20"/>
      <c r="S947" s="20"/>
      <c r="T947" s="20"/>
      <c r="U947" s="20"/>
      <c r="V947" s="20"/>
      <c r="W947" s="20"/>
      <c r="X947" s="20"/>
      <c r="Y947" s="20"/>
      <c r="Z947" s="20"/>
    </row>
    <row r="948" spans="1:26" ht="17.25" customHeight="1">
      <c r="A948" s="15"/>
      <c r="B948" s="15"/>
      <c r="C948" s="15"/>
      <c r="D948" s="15"/>
      <c r="E948" s="15"/>
      <c r="F948" s="15"/>
      <c r="G948" s="15"/>
      <c r="H948" s="47"/>
      <c r="I948" s="20"/>
      <c r="J948" s="20"/>
      <c r="K948" s="20"/>
      <c r="L948" s="20"/>
      <c r="M948" s="20"/>
      <c r="N948" s="20"/>
      <c r="O948" s="20"/>
      <c r="P948" s="20"/>
      <c r="Q948" s="20"/>
      <c r="R948" s="20"/>
      <c r="S948" s="20"/>
      <c r="T948" s="20"/>
      <c r="U948" s="20"/>
      <c r="V948" s="20"/>
      <c r="W948" s="20"/>
      <c r="X948" s="20"/>
      <c r="Y948" s="20"/>
      <c r="Z948" s="20"/>
    </row>
    <row r="949" spans="1:26" ht="17.25" customHeight="1">
      <c r="A949" s="15"/>
      <c r="B949" s="15"/>
      <c r="C949" s="15"/>
      <c r="D949" s="15"/>
      <c r="E949" s="15"/>
      <c r="F949" s="15"/>
      <c r="G949" s="15"/>
      <c r="H949" s="47"/>
      <c r="I949" s="20"/>
      <c r="J949" s="20"/>
      <c r="K949" s="20"/>
      <c r="L949" s="20"/>
      <c r="M949" s="20"/>
      <c r="N949" s="20"/>
      <c r="O949" s="20"/>
      <c r="P949" s="20"/>
      <c r="Q949" s="20"/>
      <c r="R949" s="20"/>
      <c r="S949" s="20"/>
      <c r="T949" s="20"/>
      <c r="U949" s="20"/>
      <c r="V949" s="20"/>
      <c r="W949" s="20"/>
      <c r="X949" s="20"/>
      <c r="Y949" s="20"/>
      <c r="Z949" s="20"/>
    </row>
    <row r="950" spans="1:26" ht="17.25" customHeight="1">
      <c r="A950" s="15"/>
      <c r="B950" s="15"/>
      <c r="C950" s="15"/>
      <c r="D950" s="15"/>
      <c r="E950" s="15"/>
      <c r="F950" s="15"/>
      <c r="G950" s="15"/>
      <c r="H950" s="47"/>
      <c r="I950" s="20"/>
      <c r="J950" s="20"/>
      <c r="K950" s="20"/>
      <c r="L950" s="20"/>
      <c r="M950" s="20"/>
      <c r="N950" s="20"/>
      <c r="O950" s="20"/>
      <c r="P950" s="20"/>
      <c r="Q950" s="20"/>
      <c r="R950" s="20"/>
      <c r="S950" s="20"/>
      <c r="T950" s="20"/>
      <c r="U950" s="20"/>
      <c r="V950" s="20"/>
      <c r="W950" s="20"/>
      <c r="X950" s="20"/>
      <c r="Y950" s="20"/>
      <c r="Z950" s="20"/>
    </row>
    <row r="951" spans="1:26" ht="17.25" customHeight="1">
      <c r="A951" s="15"/>
      <c r="B951" s="15"/>
      <c r="C951" s="15"/>
      <c r="D951" s="15"/>
      <c r="E951" s="15"/>
      <c r="F951" s="15"/>
      <c r="G951" s="15"/>
      <c r="H951" s="47"/>
      <c r="I951" s="20"/>
      <c r="J951" s="20"/>
      <c r="K951" s="20"/>
      <c r="L951" s="20"/>
      <c r="M951" s="20"/>
      <c r="N951" s="20"/>
      <c r="O951" s="20"/>
      <c r="P951" s="20"/>
      <c r="Q951" s="20"/>
      <c r="R951" s="20"/>
      <c r="S951" s="20"/>
      <c r="T951" s="20"/>
      <c r="U951" s="20"/>
      <c r="V951" s="20"/>
      <c r="W951" s="20"/>
      <c r="X951" s="20"/>
      <c r="Y951" s="20"/>
      <c r="Z951" s="20"/>
    </row>
    <row r="952" spans="1:26" ht="17.25" customHeight="1">
      <c r="A952" s="15"/>
      <c r="B952" s="15"/>
      <c r="C952" s="15"/>
      <c r="D952" s="15"/>
      <c r="E952" s="15"/>
      <c r="F952" s="15"/>
      <c r="G952" s="15"/>
      <c r="H952" s="47"/>
      <c r="I952" s="20"/>
      <c r="J952" s="20"/>
      <c r="K952" s="20"/>
      <c r="L952" s="20"/>
      <c r="M952" s="20"/>
      <c r="N952" s="20"/>
      <c r="O952" s="20"/>
      <c r="P952" s="20"/>
      <c r="Q952" s="20"/>
      <c r="R952" s="20"/>
      <c r="S952" s="20"/>
      <c r="T952" s="20"/>
      <c r="U952" s="20"/>
      <c r="V952" s="20"/>
      <c r="W952" s="20"/>
      <c r="X952" s="20"/>
      <c r="Y952" s="20"/>
      <c r="Z952" s="20"/>
    </row>
    <row r="953" spans="1:26" ht="17.25" customHeight="1">
      <c r="A953" s="15"/>
      <c r="B953" s="15"/>
      <c r="C953" s="15"/>
      <c r="D953" s="15"/>
      <c r="E953" s="15"/>
      <c r="F953" s="15"/>
      <c r="G953" s="15"/>
      <c r="H953" s="47"/>
      <c r="I953" s="20"/>
      <c r="J953" s="20"/>
      <c r="K953" s="20"/>
      <c r="L953" s="20"/>
      <c r="M953" s="20"/>
      <c r="N953" s="20"/>
      <c r="O953" s="20"/>
      <c r="P953" s="20"/>
      <c r="Q953" s="20"/>
      <c r="R953" s="20"/>
      <c r="S953" s="20"/>
      <c r="T953" s="20"/>
      <c r="U953" s="20"/>
      <c r="V953" s="20"/>
      <c r="W953" s="20"/>
      <c r="X953" s="20"/>
      <c r="Y953" s="20"/>
      <c r="Z953" s="20"/>
    </row>
    <row r="954" spans="1:26" ht="17.25" customHeight="1">
      <c r="A954" s="15"/>
      <c r="B954" s="15"/>
      <c r="C954" s="15"/>
      <c r="D954" s="15"/>
      <c r="E954" s="15"/>
      <c r="F954" s="15"/>
      <c r="G954" s="15"/>
      <c r="H954" s="47"/>
      <c r="I954" s="20"/>
      <c r="J954" s="20"/>
      <c r="K954" s="20"/>
      <c r="L954" s="20"/>
      <c r="M954" s="20"/>
      <c r="N954" s="20"/>
      <c r="O954" s="20"/>
      <c r="P954" s="20"/>
      <c r="Q954" s="20"/>
      <c r="R954" s="20"/>
      <c r="S954" s="20"/>
      <c r="T954" s="20"/>
      <c r="U954" s="20"/>
      <c r="V954" s="20"/>
      <c r="W954" s="20"/>
      <c r="X954" s="20"/>
      <c r="Y954" s="20"/>
      <c r="Z954" s="20"/>
    </row>
    <row r="955" spans="1:26" ht="17.25" customHeight="1">
      <c r="A955" s="15"/>
      <c r="B955" s="15"/>
      <c r="C955" s="15"/>
      <c r="D955" s="15"/>
      <c r="E955" s="15"/>
      <c r="F955" s="15"/>
      <c r="G955" s="15"/>
      <c r="H955" s="47"/>
      <c r="I955" s="20"/>
      <c r="J955" s="20"/>
      <c r="K955" s="20"/>
      <c r="L955" s="20"/>
      <c r="M955" s="20"/>
      <c r="N955" s="20"/>
      <c r="O955" s="20"/>
      <c r="P955" s="20"/>
      <c r="Q955" s="20"/>
      <c r="R955" s="20"/>
      <c r="S955" s="20"/>
      <c r="T955" s="20"/>
      <c r="U955" s="20"/>
      <c r="V955" s="20"/>
      <c r="W955" s="20"/>
      <c r="X955" s="20"/>
      <c r="Y955" s="20"/>
      <c r="Z955" s="20"/>
    </row>
    <row r="956" spans="1:26" ht="17.25" customHeight="1">
      <c r="A956" s="15"/>
      <c r="B956" s="15"/>
      <c r="C956" s="15"/>
      <c r="D956" s="15"/>
      <c r="E956" s="15"/>
      <c r="F956" s="15"/>
      <c r="G956" s="15"/>
      <c r="H956" s="47"/>
      <c r="I956" s="20"/>
      <c r="J956" s="20"/>
      <c r="K956" s="20"/>
      <c r="L956" s="20"/>
      <c r="M956" s="20"/>
      <c r="N956" s="20"/>
      <c r="O956" s="20"/>
      <c r="P956" s="20"/>
      <c r="Q956" s="20"/>
      <c r="R956" s="20"/>
      <c r="S956" s="20"/>
      <c r="T956" s="20"/>
      <c r="U956" s="20"/>
      <c r="V956" s="20"/>
      <c r="W956" s="20"/>
      <c r="X956" s="20"/>
      <c r="Y956" s="20"/>
      <c r="Z956" s="20"/>
    </row>
    <row r="957" spans="1:26" ht="17.25" customHeight="1">
      <c r="A957" s="15"/>
      <c r="B957" s="15"/>
      <c r="C957" s="15"/>
      <c r="D957" s="15"/>
      <c r="E957" s="15"/>
      <c r="F957" s="15"/>
      <c r="G957" s="15"/>
      <c r="H957" s="47"/>
      <c r="I957" s="20"/>
      <c r="J957" s="20"/>
      <c r="K957" s="20"/>
      <c r="L957" s="20"/>
      <c r="M957" s="20"/>
      <c r="N957" s="20"/>
      <c r="O957" s="20"/>
      <c r="P957" s="20"/>
      <c r="Q957" s="20"/>
      <c r="R957" s="20"/>
      <c r="S957" s="20"/>
      <c r="T957" s="20"/>
      <c r="U957" s="20"/>
      <c r="V957" s="20"/>
      <c r="W957" s="20"/>
      <c r="X957" s="20"/>
      <c r="Y957" s="20"/>
      <c r="Z957" s="20"/>
    </row>
    <row r="958" spans="1:26" ht="17.25" customHeight="1">
      <c r="A958" s="15"/>
      <c r="B958" s="15"/>
      <c r="C958" s="15"/>
      <c r="D958" s="15"/>
      <c r="E958" s="15"/>
      <c r="F958" s="15"/>
      <c r="G958" s="15"/>
      <c r="H958" s="47"/>
      <c r="I958" s="20"/>
      <c r="J958" s="20"/>
      <c r="K958" s="20"/>
      <c r="L958" s="20"/>
      <c r="M958" s="20"/>
      <c r="N958" s="20"/>
      <c r="O958" s="20"/>
      <c r="P958" s="20"/>
      <c r="Q958" s="20"/>
      <c r="R958" s="20"/>
      <c r="S958" s="20"/>
      <c r="T958" s="20"/>
      <c r="U958" s="20"/>
      <c r="V958" s="20"/>
      <c r="W958" s="20"/>
      <c r="X958" s="20"/>
      <c r="Y958" s="20"/>
      <c r="Z958" s="20"/>
    </row>
    <row r="959" spans="1:26" ht="17.25" customHeight="1">
      <c r="A959" s="15"/>
      <c r="B959" s="15"/>
      <c r="C959" s="15"/>
      <c r="D959" s="15"/>
      <c r="E959" s="15"/>
      <c r="F959" s="15"/>
      <c r="G959" s="15"/>
      <c r="H959" s="47"/>
      <c r="I959" s="20"/>
      <c r="J959" s="20"/>
      <c r="K959" s="20"/>
      <c r="L959" s="20"/>
      <c r="M959" s="20"/>
      <c r="N959" s="20"/>
      <c r="O959" s="20"/>
      <c r="P959" s="20"/>
      <c r="Q959" s="20"/>
      <c r="R959" s="20"/>
      <c r="S959" s="20"/>
      <c r="T959" s="20"/>
      <c r="U959" s="20"/>
      <c r="V959" s="20"/>
      <c r="W959" s="20"/>
      <c r="X959" s="20"/>
      <c r="Y959" s="20"/>
      <c r="Z959" s="20"/>
    </row>
    <row r="960" spans="1:26" ht="17.25" customHeight="1">
      <c r="A960" s="15"/>
      <c r="B960" s="15"/>
      <c r="C960" s="15"/>
      <c r="D960" s="15"/>
      <c r="E960" s="15"/>
      <c r="F960" s="15"/>
      <c r="G960" s="15"/>
      <c r="H960" s="47"/>
      <c r="I960" s="20"/>
      <c r="J960" s="20"/>
      <c r="K960" s="20"/>
      <c r="L960" s="20"/>
      <c r="M960" s="20"/>
      <c r="N960" s="20"/>
      <c r="O960" s="20"/>
      <c r="P960" s="20"/>
      <c r="Q960" s="20"/>
      <c r="R960" s="20"/>
      <c r="S960" s="20"/>
      <c r="T960" s="20"/>
      <c r="U960" s="20"/>
      <c r="V960" s="20"/>
      <c r="W960" s="20"/>
      <c r="X960" s="20"/>
      <c r="Y960" s="20"/>
      <c r="Z960" s="20"/>
    </row>
    <row r="961" spans="1:26" ht="17.25" customHeight="1">
      <c r="A961" s="15"/>
      <c r="B961" s="15"/>
      <c r="C961" s="15"/>
      <c r="D961" s="15"/>
      <c r="E961" s="15"/>
      <c r="F961" s="15"/>
      <c r="G961" s="15"/>
      <c r="H961" s="47"/>
      <c r="I961" s="20"/>
      <c r="J961" s="20"/>
      <c r="K961" s="20"/>
      <c r="L961" s="20"/>
      <c r="M961" s="20"/>
      <c r="N961" s="20"/>
      <c r="O961" s="20"/>
      <c r="P961" s="20"/>
      <c r="Q961" s="20"/>
      <c r="R961" s="20"/>
      <c r="S961" s="20"/>
      <c r="T961" s="20"/>
      <c r="U961" s="20"/>
      <c r="V961" s="20"/>
      <c r="W961" s="20"/>
      <c r="X961" s="20"/>
      <c r="Y961" s="20"/>
      <c r="Z961" s="20"/>
    </row>
    <row r="962" spans="1:26" ht="17.25" customHeight="1">
      <c r="A962" s="15"/>
      <c r="B962" s="15"/>
      <c r="C962" s="15"/>
      <c r="D962" s="15"/>
      <c r="E962" s="15"/>
      <c r="F962" s="15"/>
      <c r="G962" s="15"/>
      <c r="H962" s="47"/>
      <c r="I962" s="20"/>
      <c r="J962" s="20"/>
      <c r="K962" s="20"/>
      <c r="L962" s="20"/>
      <c r="M962" s="20"/>
      <c r="N962" s="20"/>
      <c r="O962" s="20"/>
      <c r="P962" s="20"/>
      <c r="Q962" s="20"/>
      <c r="R962" s="20"/>
      <c r="S962" s="20"/>
      <c r="T962" s="20"/>
      <c r="U962" s="20"/>
      <c r="V962" s="20"/>
      <c r="W962" s="20"/>
      <c r="X962" s="20"/>
      <c r="Y962" s="20"/>
      <c r="Z962" s="20"/>
    </row>
    <row r="963" spans="1:26" ht="17.25" customHeight="1">
      <c r="A963" s="15"/>
      <c r="B963" s="15"/>
      <c r="C963" s="15"/>
      <c r="D963" s="15"/>
      <c r="E963" s="15"/>
      <c r="F963" s="15"/>
      <c r="G963" s="15"/>
      <c r="H963" s="47"/>
      <c r="I963" s="20"/>
      <c r="J963" s="20"/>
      <c r="K963" s="20"/>
      <c r="L963" s="20"/>
      <c r="M963" s="20"/>
      <c r="N963" s="20"/>
      <c r="O963" s="20"/>
      <c r="P963" s="20"/>
      <c r="Q963" s="20"/>
      <c r="R963" s="20"/>
      <c r="S963" s="20"/>
      <c r="T963" s="20"/>
      <c r="U963" s="20"/>
      <c r="V963" s="20"/>
      <c r="W963" s="20"/>
      <c r="X963" s="20"/>
      <c r="Y963" s="20"/>
      <c r="Z963" s="20"/>
    </row>
    <row r="964" spans="1:26" ht="17.25" customHeight="1">
      <c r="A964" s="15"/>
      <c r="B964" s="15"/>
      <c r="C964" s="15"/>
      <c r="D964" s="15"/>
      <c r="E964" s="15"/>
      <c r="F964" s="15"/>
      <c r="G964" s="15"/>
      <c r="H964" s="47"/>
      <c r="I964" s="20"/>
      <c r="J964" s="20"/>
      <c r="K964" s="20"/>
      <c r="L964" s="20"/>
      <c r="M964" s="20"/>
      <c r="N964" s="20"/>
      <c r="O964" s="20"/>
      <c r="P964" s="20"/>
      <c r="Q964" s="20"/>
      <c r="R964" s="20"/>
      <c r="S964" s="20"/>
      <c r="T964" s="20"/>
      <c r="U964" s="20"/>
      <c r="V964" s="20"/>
      <c r="W964" s="20"/>
      <c r="X964" s="20"/>
      <c r="Y964" s="20"/>
      <c r="Z964" s="20"/>
    </row>
    <row r="965" spans="1:26" ht="17.25" customHeight="1">
      <c r="A965" s="15"/>
      <c r="B965" s="15"/>
      <c r="C965" s="15"/>
      <c r="D965" s="15"/>
      <c r="E965" s="15"/>
      <c r="F965" s="15"/>
      <c r="G965" s="15"/>
      <c r="H965" s="47"/>
      <c r="I965" s="20"/>
      <c r="J965" s="20"/>
      <c r="K965" s="20"/>
      <c r="L965" s="20"/>
      <c r="M965" s="20"/>
      <c r="N965" s="20"/>
      <c r="O965" s="20"/>
      <c r="P965" s="20"/>
      <c r="Q965" s="20"/>
      <c r="R965" s="20"/>
      <c r="S965" s="20"/>
      <c r="T965" s="20"/>
      <c r="U965" s="20"/>
      <c r="V965" s="20"/>
      <c r="W965" s="20"/>
      <c r="X965" s="20"/>
      <c r="Y965" s="20"/>
      <c r="Z965" s="20"/>
    </row>
    <row r="966" spans="1:26" ht="17.25" customHeight="1">
      <c r="A966" s="15"/>
      <c r="B966" s="15"/>
      <c r="C966" s="15"/>
      <c r="D966" s="15"/>
      <c r="E966" s="15"/>
      <c r="F966" s="15"/>
      <c r="G966" s="15"/>
      <c r="H966" s="47"/>
      <c r="I966" s="20"/>
      <c r="J966" s="20"/>
      <c r="K966" s="20"/>
      <c r="L966" s="20"/>
      <c r="M966" s="20"/>
      <c r="N966" s="20"/>
      <c r="O966" s="20"/>
      <c r="P966" s="20"/>
      <c r="Q966" s="20"/>
      <c r="R966" s="20"/>
      <c r="S966" s="20"/>
      <c r="T966" s="20"/>
      <c r="U966" s="20"/>
      <c r="V966" s="20"/>
      <c r="W966" s="20"/>
      <c r="X966" s="20"/>
      <c r="Y966" s="20"/>
      <c r="Z966" s="20"/>
    </row>
    <row r="967" spans="1:26" ht="17.25" customHeight="1">
      <c r="A967" s="15"/>
      <c r="B967" s="15"/>
      <c r="C967" s="15"/>
      <c r="D967" s="15"/>
      <c r="E967" s="15"/>
      <c r="F967" s="15"/>
      <c r="G967" s="15"/>
      <c r="H967" s="47"/>
      <c r="I967" s="20"/>
      <c r="J967" s="20"/>
      <c r="K967" s="20"/>
      <c r="L967" s="20"/>
      <c r="M967" s="20"/>
      <c r="N967" s="20"/>
      <c r="O967" s="20"/>
      <c r="P967" s="20"/>
      <c r="Q967" s="20"/>
      <c r="R967" s="20"/>
      <c r="S967" s="20"/>
      <c r="T967" s="20"/>
      <c r="U967" s="20"/>
      <c r="V967" s="20"/>
      <c r="W967" s="20"/>
      <c r="X967" s="20"/>
      <c r="Y967" s="20"/>
      <c r="Z967" s="20"/>
    </row>
    <row r="968" spans="1:26" ht="17.25" customHeight="1">
      <c r="A968" s="15"/>
      <c r="B968" s="15"/>
      <c r="C968" s="15"/>
      <c r="D968" s="15"/>
      <c r="E968" s="15"/>
      <c r="F968" s="15"/>
      <c r="G968" s="15"/>
      <c r="H968" s="47"/>
      <c r="I968" s="20"/>
      <c r="J968" s="20"/>
      <c r="K968" s="20"/>
      <c r="L968" s="20"/>
      <c r="M968" s="20"/>
      <c r="N968" s="20"/>
      <c r="O968" s="20"/>
      <c r="P968" s="20"/>
      <c r="Q968" s="20"/>
      <c r="R968" s="20"/>
      <c r="S968" s="20"/>
      <c r="T968" s="20"/>
      <c r="U968" s="20"/>
      <c r="V968" s="20"/>
      <c r="W968" s="20"/>
      <c r="X968" s="20"/>
      <c r="Y968" s="20"/>
      <c r="Z968" s="20"/>
    </row>
    <row r="969" spans="1:26" ht="17.25" customHeight="1">
      <c r="A969" s="15"/>
      <c r="B969" s="15"/>
      <c r="C969" s="15"/>
      <c r="D969" s="15"/>
      <c r="E969" s="15"/>
      <c r="F969" s="15"/>
      <c r="G969" s="15"/>
      <c r="H969" s="47"/>
      <c r="I969" s="20"/>
      <c r="J969" s="20"/>
      <c r="K969" s="20"/>
      <c r="L969" s="20"/>
      <c r="M969" s="20"/>
      <c r="N969" s="20"/>
      <c r="O969" s="20"/>
      <c r="P969" s="20"/>
      <c r="Q969" s="20"/>
      <c r="R969" s="20"/>
      <c r="S969" s="20"/>
      <c r="T969" s="20"/>
      <c r="U969" s="20"/>
      <c r="V969" s="20"/>
      <c r="W969" s="20"/>
      <c r="X969" s="20"/>
      <c r="Y969" s="20"/>
      <c r="Z969" s="20"/>
    </row>
    <row r="970" spans="1:26" ht="17.25" customHeight="1">
      <c r="A970" s="15"/>
      <c r="B970" s="15"/>
      <c r="C970" s="15"/>
      <c r="D970" s="15"/>
      <c r="E970" s="15"/>
      <c r="F970" s="15"/>
      <c r="G970" s="15"/>
      <c r="H970" s="47"/>
      <c r="I970" s="20"/>
      <c r="J970" s="20"/>
      <c r="K970" s="20"/>
      <c r="L970" s="20"/>
      <c r="M970" s="20"/>
      <c r="N970" s="20"/>
      <c r="O970" s="20"/>
      <c r="P970" s="20"/>
      <c r="Q970" s="20"/>
      <c r="R970" s="20"/>
      <c r="S970" s="20"/>
      <c r="T970" s="20"/>
      <c r="U970" s="20"/>
      <c r="V970" s="20"/>
      <c r="W970" s="20"/>
      <c r="X970" s="20"/>
      <c r="Y970" s="20"/>
      <c r="Z970" s="20"/>
    </row>
    <row r="971" spans="1:26" ht="17.25" customHeight="1">
      <c r="A971" s="15"/>
      <c r="B971" s="15"/>
      <c r="C971" s="15"/>
      <c r="D971" s="15"/>
      <c r="E971" s="15"/>
      <c r="F971" s="15"/>
      <c r="G971" s="15"/>
      <c r="H971" s="47"/>
      <c r="I971" s="20"/>
      <c r="J971" s="20"/>
      <c r="K971" s="20"/>
      <c r="L971" s="20"/>
      <c r="M971" s="20"/>
      <c r="N971" s="20"/>
      <c r="O971" s="20"/>
      <c r="P971" s="20"/>
      <c r="Q971" s="20"/>
      <c r="R971" s="20"/>
      <c r="S971" s="20"/>
      <c r="T971" s="20"/>
      <c r="U971" s="20"/>
      <c r="V971" s="20"/>
      <c r="W971" s="20"/>
      <c r="X971" s="20"/>
      <c r="Y971" s="20"/>
      <c r="Z971" s="20"/>
    </row>
    <row r="972" spans="1:26" ht="17.25" customHeight="1">
      <c r="A972" s="15"/>
      <c r="B972" s="15"/>
      <c r="C972" s="15"/>
      <c r="D972" s="15"/>
      <c r="E972" s="15"/>
      <c r="F972" s="15"/>
      <c r="G972" s="15"/>
      <c r="H972" s="47"/>
      <c r="I972" s="20"/>
      <c r="J972" s="20"/>
      <c r="K972" s="20"/>
      <c r="L972" s="20"/>
      <c r="M972" s="20"/>
      <c r="N972" s="20"/>
      <c r="O972" s="20"/>
      <c r="P972" s="20"/>
      <c r="Q972" s="20"/>
      <c r="R972" s="20"/>
      <c r="S972" s="20"/>
      <c r="T972" s="20"/>
      <c r="U972" s="20"/>
      <c r="V972" s="20"/>
      <c r="W972" s="20"/>
      <c r="X972" s="20"/>
      <c r="Y972" s="20"/>
      <c r="Z972" s="20"/>
    </row>
    <row r="973" spans="1:26" ht="17.25" customHeight="1">
      <c r="A973" s="15"/>
      <c r="B973" s="15"/>
      <c r="C973" s="15"/>
      <c r="D973" s="15"/>
      <c r="E973" s="15"/>
      <c r="F973" s="15"/>
      <c r="G973" s="15"/>
      <c r="H973" s="47"/>
      <c r="I973" s="20"/>
      <c r="J973" s="20"/>
      <c r="K973" s="20"/>
      <c r="L973" s="20"/>
      <c r="M973" s="20"/>
      <c r="N973" s="20"/>
      <c r="O973" s="20"/>
      <c r="P973" s="20"/>
      <c r="Q973" s="20"/>
      <c r="R973" s="20"/>
      <c r="S973" s="20"/>
      <c r="T973" s="20"/>
      <c r="U973" s="20"/>
      <c r="V973" s="20"/>
      <c r="W973" s="20"/>
      <c r="X973" s="20"/>
      <c r="Y973" s="20"/>
      <c r="Z973" s="20"/>
    </row>
    <row r="974" spans="1:26" ht="17.25" customHeight="1">
      <c r="A974" s="15"/>
      <c r="B974" s="15"/>
      <c r="C974" s="15"/>
      <c r="D974" s="15"/>
      <c r="E974" s="15"/>
      <c r="F974" s="15"/>
      <c r="G974" s="15"/>
      <c r="H974" s="47"/>
      <c r="I974" s="20"/>
      <c r="J974" s="20"/>
      <c r="K974" s="20"/>
      <c r="L974" s="20"/>
      <c r="M974" s="20"/>
      <c r="N974" s="20"/>
      <c r="O974" s="20"/>
      <c r="P974" s="20"/>
      <c r="Q974" s="20"/>
      <c r="R974" s="20"/>
      <c r="S974" s="20"/>
      <c r="T974" s="20"/>
      <c r="U974" s="20"/>
      <c r="V974" s="20"/>
      <c r="W974" s="20"/>
      <c r="X974" s="20"/>
      <c r="Y974" s="20"/>
      <c r="Z974" s="20"/>
    </row>
    <row r="975" spans="1:26" ht="17.25" customHeight="1">
      <c r="A975" s="15"/>
      <c r="B975" s="15"/>
      <c r="C975" s="15"/>
      <c r="D975" s="15"/>
      <c r="E975" s="15"/>
      <c r="F975" s="15"/>
      <c r="G975" s="15"/>
      <c r="H975" s="47"/>
      <c r="I975" s="20"/>
      <c r="J975" s="20"/>
      <c r="K975" s="20"/>
      <c r="L975" s="20"/>
      <c r="M975" s="20"/>
      <c r="N975" s="20"/>
      <c r="O975" s="20"/>
      <c r="P975" s="20"/>
      <c r="Q975" s="20"/>
      <c r="R975" s="20"/>
      <c r="S975" s="20"/>
      <c r="T975" s="20"/>
      <c r="U975" s="20"/>
      <c r="V975" s="20"/>
      <c r="W975" s="20"/>
      <c r="X975" s="20"/>
      <c r="Y975" s="20"/>
      <c r="Z975" s="20"/>
    </row>
    <row r="976" spans="1:26" ht="17.25" customHeight="1">
      <c r="A976" s="15"/>
      <c r="B976" s="15"/>
      <c r="C976" s="15"/>
      <c r="D976" s="15"/>
      <c r="E976" s="15"/>
      <c r="F976" s="15"/>
      <c r="G976" s="15"/>
      <c r="H976" s="47"/>
      <c r="I976" s="20"/>
      <c r="J976" s="20"/>
      <c r="K976" s="20"/>
      <c r="L976" s="20"/>
      <c r="M976" s="20"/>
      <c r="N976" s="20"/>
      <c r="O976" s="20"/>
      <c r="P976" s="20"/>
      <c r="Q976" s="20"/>
      <c r="R976" s="20"/>
      <c r="S976" s="20"/>
      <c r="T976" s="20"/>
      <c r="U976" s="20"/>
      <c r="V976" s="20"/>
      <c r="W976" s="20"/>
      <c r="X976" s="20"/>
      <c r="Y976" s="20"/>
      <c r="Z976" s="20"/>
    </row>
    <row r="977" spans="1:26" ht="17.25" customHeight="1">
      <c r="A977" s="15"/>
      <c r="B977" s="15"/>
      <c r="C977" s="15"/>
      <c r="D977" s="15"/>
      <c r="E977" s="15"/>
      <c r="F977" s="15"/>
      <c r="G977" s="15"/>
      <c r="H977" s="47"/>
      <c r="I977" s="20"/>
      <c r="J977" s="20"/>
      <c r="K977" s="20"/>
      <c r="L977" s="20"/>
      <c r="M977" s="20"/>
      <c r="N977" s="20"/>
      <c r="O977" s="20"/>
      <c r="P977" s="20"/>
      <c r="Q977" s="20"/>
      <c r="R977" s="20"/>
      <c r="S977" s="20"/>
      <c r="T977" s="20"/>
      <c r="U977" s="20"/>
      <c r="V977" s="20"/>
      <c r="W977" s="20"/>
      <c r="X977" s="20"/>
      <c r="Y977" s="20"/>
      <c r="Z977" s="20"/>
    </row>
    <row r="978" spans="1:26" ht="17.25" customHeight="1">
      <c r="A978" s="15"/>
      <c r="B978" s="15"/>
      <c r="C978" s="15"/>
      <c r="D978" s="15"/>
      <c r="E978" s="15"/>
      <c r="F978" s="15"/>
      <c r="G978" s="15"/>
      <c r="H978" s="47"/>
      <c r="I978" s="20"/>
      <c r="J978" s="20"/>
      <c r="K978" s="20"/>
      <c r="L978" s="20"/>
      <c r="M978" s="20"/>
      <c r="N978" s="20"/>
      <c r="O978" s="20"/>
      <c r="P978" s="20"/>
      <c r="Q978" s="20"/>
      <c r="R978" s="20"/>
      <c r="S978" s="20"/>
      <c r="T978" s="20"/>
      <c r="U978" s="20"/>
      <c r="V978" s="20"/>
      <c r="W978" s="20"/>
      <c r="X978" s="20"/>
      <c r="Y978" s="20"/>
      <c r="Z978" s="20"/>
    </row>
    <row r="979" spans="1:26" ht="17.25" customHeight="1">
      <c r="A979" s="15"/>
      <c r="B979" s="15"/>
      <c r="C979" s="15"/>
      <c r="D979" s="15"/>
      <c r="E979" s="15"/>
      <c r="F979" s="15"/>
      <c r="G979" s="15"/>
      <c r="H979" s="47"/>
      <c r="I979" s="20"/>
      <c r="J979" s="20"/>
      <c r="K979" s="20"/>
      <c r="L979" s="20"/>
      <c r="M979" s="20"/>
      <c r="N979" s="20"/>
      <c r="O979" s="20"/>
      <c r="P979" s="20"/>
      <c r="Q979" s="20"/>
      <c r="R979" s="20"/>
      <c r="S979" s="20"/>
      <c r="T979" s="20"/>
      <c r="U979" s="20"/>
      <c r="V979" s="20"/>
      <c r="W979" s="20"/>
      <c r="X979" s="20"/>
      <c r="Y979" s="20"/>
      <c r="Z979" s="20"/>
    </row>
    <row r="980" spans="1:26" ht="17.25" customHeight="1">
      <c r="A980" s="15"/>
      <c r="B980" s="15"/>
      <c r="C980" s="15"/>
      <c r="D980" s="15"/>
      <c r="E980" s="15"/>
      <c r="F980" s="15"/>
      <c r="G980" s="15"/>
      <c r="H980" s="47"/>
      <c r="I980" s="20"/>
      <c r="J980" s="20"/>
      <c r="K980" s="20"/>
      <c r="L980" s="20"/>
      <c r="M980" s="20"/>
      <c r="N980" s="20"/>
      <c r="O980" s="20"/>
      <c r="P980" s="20"/>
      <c r="Q980" s="20"/>
      <c r="R980" s="20"/>
      <c r="S980" s="20"/>
      <c r="T980" s="20"/>
      <c r="U980" s="20"/>
      <c r="V980" s="20"/>
      <c r="W980" s="20"/>
      <c r="X980" s="20"/>
      <c r="Y980" s="20"/>
      <c r="Z980" s="20"/>
    </row>
    <row r="981" spans="1:26" ht="17.25" customHeight="1">
      <c r="A981" s="15"/>
      <c r="B981" s="15"/>
      <c r="C981" s="15"/>
      <c r="D981" s="15"/>
      <c r="E981" s="15"/>
      <c r="F981" s="15"/>
      <c r="G981" s="15"/>
      <c r="H981" s="47"/>
      <c r="I981" s="20"/>
      <c r="J981" s="20"/>
      <c r="K981" s="20"/>
      <c r="L981" s="20"/>
      <c r="M981" s="20"/>
      <c r="N981" s="20"/>
      <c r="O981" s="20"/>
      <c r="P981" s="20"/>
      <c r="Q981" s="20"/>
      <c r="R981" s="20"/>
      <c r="S981" s="20"/>
      <c r="T981" s="20"/>
      <c r="U981" s="20"/>
      <c r="V981" s="20"/>
      <c r="W981" s="20"/>
      <c r="X981" s="20"/>
      <c r="Y981" s="20"/>
      <c r="Z981" s="20"/>
    </row>
    <row r="982" spans="1:26" ht="17.25" customHeight="1">
      <c r="A982" s="15"/>
      <c r="B982" s="15"/>
      <c r="C982" s="15"/>
      <c r="D982" s="15"/>
      <c r="E982" s="15"/>
      <c r="F982" s="15"/>
      <c r="G982" s="15"/>
      <c r="H982" s="47"/>
      <c r="I982" s="20"/>
      <c r="J982" s="20"/>
      <c r="K982" s="20"/>
      <c r="L982" s="20"/>
      <c r="M982" s="20"/>
      <c r="N982" s="20"/>
      <c r="O982" s="20"/>
      <c r="P982" s="20"/>
      <c r="Q982" s="20"/>
      <c r="R982" s="20"/>
      <c r="S982" s="20"/>
      <c r="T982" s="20"/>
      <c r="U982" s="20"/>
      <c r="V982" s="20"/>
      <c r="W982" s="20"/>
      <c r="X982" s="20"/>
      <c r="Y982" s="20"/>
      <c r="Z982" s="20"/>
    </row>
    <row r="983" spans="1:26" ht="17.25" customHeight="1">
      <c r="A983" s="15"/>
      <c r="B983" s="15"/>
      <c r="C983" s="15"/>
      <c r="D983" s="15"/>
      <c r="E983" s="15"/>
      <c r="F983" s="15"/>
      <c r="G983" s="15"/>
      <c r="H983" s="47"/>
      <c r="I983" s="20"/>
      <c r="J983" s="20"/>
      <c r="K983" s="20"/>
      <c r="L983" s="20"/>
      <c r="M983" s="20"/>
      <c r="N983" s="20"/>
      <c r="O983" s="20"/>
      <c r="P983" s="20"/>
      <c r="Q983" s="20"/>
      <c r="R983" s="20"/>
      <c r="S983" s="20"/>
      <c r="T983" s="20"/>
      <c r="U983" s="20"/>
      <c r="V983" s="20"/>
      <c r="W983" s="20"/>
      <c r="X983" s="20"/>
      <c r="Y983" s="20"/>
      <c r="Z983" s="20"/>
    </row>
    <row r="984" spans="1:26" ht="17.25" customHeight="1">
      <c r="A984" s="15"/>
      <c r="B984" s="15"/>
      <c r="C984" s="15"/>
      <c r="D984" s="15"/>
      <c r="E984" s="15"/>
      <c r="F984" s="15"/>
      <c r="G984" s="15"/>
      <c r="H984" s="47"/>
      <c r="I984" s="20"/>
      <c r="J984" s="20"/>
      <c r="K984" s="20"/>
      <c r="L984" s="20"/>
      <c r="M984" s="20"/>
      <c r="N984" s="20"/>
      <c r="O984" s="20"/>
      <c r="P984" s="20"/>
      <c r="Q984" s="20"/>
      <c r="R984" s="20"/>
      <c r="S984" s="20"/>
      <c r="T984" s="20"/>
      <c r="U984" s="20"/>
      <c r="V984" s="20"/>
      <c r="W984" s="20"/>
      <c r="X984" s="20"/>
      <c r="Y984" s="20"/>
      <c r="Z984" s="20"/>
    </row>
    <row r="985" spans="1:26" ht="17.25" customHeight="1">
      <c r="A985" s="15"/>
      <c r="B985" s="15"/>
      <c r="C985" s="15"/>
      <c r="D985" s="15"/>
      <c r="E985" s="15"/>
      <c r="F985" s="15"/>
      <c r="G985" s="15"/>
      <c r="H985" s="47"/>
      <c r="I985" s="20"/>
      <c r="J985" s="20"/>
      <c r="K985" s="20"/>
      <c r="L985" s="20"/>
      <c r="M985" s="20"/>
      <c r="N985" s="20"/>
      <c r="O985" s="20"/>
      <c r="P985" s="20"/>
      <c r="Q985" s="20"/>
      <c r="R985" s="20"/>
      <c r="S985" s="20"/>
      <c r="T985" s="20"/>
      <c r="U985" s="20"/>
      <c r="V985" s="20"/>
      <c r="W985" s="20"/>
      <c r="X985" s="20"/>
      <c r="Y985" s="20"/>
      <c r="Z985" s="20"/>
    </row>
    <row r="986" spans="1:26" ht="17.25" customHeight="1">
      <c r="A986" s="15"/>
      <c r="B986" s="15"/>
      <c r="C986" s="15"/>
      <c r="D986" s="15"/>
      <c r="E986" s="15"/>
      <c r="F986" s="15"/>
      <c r="G986" s="15"/>
      <c r="H986" s="47"/>
      <c r="I986" s="20"/>
      <c r="J986" s="20"/>
      <c r="K986" s="20"/>
      <c r="L986" s="20"/>
      <c r="M986" s="20"/>
      <c r="N986" s="20"/>
      <c r="O986" s="20"/>
      <c r="P986" s="20"/>
      <c r="Q986" s="20"/>
      <c r="R986" s="20"/>
      <c r="S986" s="20"/>
      <c r="T986" s="20"/>
      <c r="U986" s="20"/>
      <c r="V986" s="20"/>
      <c r="W986" s="20"/>
      <c r="X986" s="20"/>
      <c r="Y986" s="20"/>
      <c r="Z986" s="20"/>
    </row>
    <row r="987" spans="1:26" ht="17.25" customHeight="1">
      <c r="A987" s="15"/>
      <c r="B987" s="15"/>
      <c r="C987" s="15"/>
      <c r="D987" s="15"/>
      <c r="E987" s="15"/>
      <c r="F987" s="15"/>
      <c r="G987" s="15"/>
      <c r="H987" s="47"/>
      <c r="I987" s="20"/>
      <c r="J987" s="20"/>
      <c r="K987" s="20"/>
      <c r="L987" s="20"/>
      <c r="M987" s="20"/>
      <c r="N987" s="20"/>
      <c r="O987" s="20"/>
      <c r="P987" s="20"/>
      <c r="Q987" s="20"/>
      <c r="R987" s="20"/>
      <c r="S987" s="20"/>
      <c r="T987" s="20"/>
      <c r="U987" s="20"/>
      <c r="V987" s="20"/>
      <c r="W987" s="20"/>
      <c r="X987" s="20"/>
      <c r="Y987" s="20"/>
      <c r="Z987" s="20"/>
    </row>
    <row r="988" spans="1:26" ht="17.25" customHeight="1">
      <c r="A988" s="15"/>
      <c r="B988" s="15"/>
      <c r="C988" s="15"/>
      <c r="D988" s="15"/>
      <c r="E988" s="15"/>
      <c r="F988" s="15"/>
      <c r="G988" s="15"/>
      <c r="H988" s="47"/>
      <c r="I988" s="20"/>
      <c r="J988" s="20"/>
      <c r="K988" s="20"/>
      <c r="L988" s="20"/>
      <c r="M988" s="20"/>
      <c r="N988" s="20"/>
      <c r="O988" s="20"/>
      <c r="P988" s="20"/>
      <c r="Q988" s="20"/>
      <c r="R988" s="20"/>
      <c r="S988" s="20"/>
      <c r="T988" s="20"/>
      <c r="U988" s="20"/>
      <c r="V988" s="20"/>
      <c r="W988" s="20"/>
      <c r="X988" s="20"/>
      <c r="Y988" s="20"/>
      <c r="Z988" s="20"/>
    </row>
    <row r="989" spans="1:26" ht="17.25" customHeight="1">
      <c r="A989" s="15"/>
      <c r="B989" s="15"/>
      <c r="C989" s="15"/>
      <c r="D989" s="15"/>
      <c r="E989" s="15"/>
      <c r="F989" s="15"/>
      <c r="G989" s="15"/>
      <c r="H989" s="47"/>
      <c r="I989" s="20"/>
      <c r="J989" s="20"/>
      <c r="K989" s="20"/>
      <c r="L989" s="20"/>
      <c r="M989" s="20"/>
      <c r="N989" s="20"/>
      <c r="O989" s="20"/>
      <c r="P989" s="20"/>
      <c r="Q989" s="20"/>
      <c r="R989" s="20"/>
      <c r="S989" s="20"/>
      <c r="T989" s="20"/>
      <c r="U989" s="20"/>
      <c r="V989" s="20"/>
      <c r="W989" s="20"/>
      <c r="X989" s="20"/>
      <c r="Y989" s="20"/>
      <c r="Z989" s="20"/>
    </row>
    <row r="990" spans="1:26" ht="17.25" customHeight="1">
      <c r="A990" s="15"/>
      <c r="B990" s="15"/>
      <c r="C990" s="15"/>
      <c r="D990" s="15"/>
      <c r="E990" s="15"/>
      <c r="F990" s="15"/>
      <c r="G990" s="15"/>
      <c r="H990" s="47"/>
      <c r="I990" s="20"/>
      <c r="J990" s="20"/>
      <c r="K990" s="20"/>
      <c r="L990" s="20"/>
      <c r="M990" s="20"/>
      <c r="N990" s="20"/>
      <c r="O990" s="20"/>
      <c r="P990" s="20"/>
      <c r="Q990" s="20"/>
      <c r="R990" s="20"/>
      <c r="S990" s="20"/>
      <c r="T990" s="20"/>
      <c r="U990" s="20"/>
      <c r="V990" s="20"/>
      <c r="W990" s="20"/>
      <c r="X990" s="20"/>
      <c r="Y990" s="20"/>
      <c r="Z990" s="20"/>
    </row>
    <row r="991" spans="1:26" ht="17.25" customHeight="1">
      <c r="A991" s="15"/>
      <c r="B991" s="15"/>
      <c r="C991" s="15"/>
      <c r="D991" s="15"/>
      <c r="E991" s="15"/>
      <c r="F991" s="15"/>
      <c r="G991" s="15"/>
      <c r="H991" s="47"/>
      <c r="I991" s="20"/>
      <c r="J991" s="20"/>
      <c r="K991" s="20"/>
      <c r="L991" s="20"/>
      <c r="M991" s="20"/>
      <c r="N991" s="20"/>
      <c r="O991" s="20"/>
      <c r="P991" s="20"/>
      <c r="Q991" s="20"/>
      <c r="R991" s="20"/>
      <c r="S991" s="20"/>
      <c r="T991" s="20"/>
      <c r="U991" s="20"/>
      <c r="V991" s="20"/>
      <c r="W991" s="20"/>
      <c r="X991" s="20"/>
      <c r="Y991" s="20"/>
      <c r="Z991" s="20"/>
    </row>
    <row r="992" spans="1:26" ht="17.25" customHeight="1">
      <c r="A992" s="15"/>
      <c r="B992" s="15"/>
      <c r="C992" s="15"/>
      <c r="D992" s="15"/>
      <c r="E992" s="15"/>
      <c r="F992" s="15"/>
      <c r="G992" s="15"/>
      <c r="H992" s="47"/>
      <c r="I992" s="20"/>
      <c r="J992" s="20"/>
      <c r="K992" s="20"/>
      <c r="L992" s="20"/>
      <c r="M992" s="20"/>
      <c r="N992" s="20"/>
      <c r="O992" s="20"/>
      <c r="P992" s="20"/>
      <c r="Q992" s="20"/>
      <c r="R992" s="20"/>
      <c r="S992" s="20"/>
      <c r="T992" s="20"/>
      <c r="U992" s="20"/>
      <c r="V992" s="20"/>
      <c r="W992" s="20"/>
      <c r="X992" s="20"/>
      <c r="Y992" s="20"/>
      <c r="Z992" s="20"/>
    </row>
    <row r="993" spans="1:26" ht="17.25" customHeight="1">
      <c r="A993" s="15"/>
      <c r="B993" s="15"/>
      <c r="C993" s="15"/>
      <c r="D993" s="15"/>
      <c r="E993" s="15"/>
      <c r="F993" s="15"/>
      <c r="G993" s="15"/>
      <c r="H993" s="47"/>
      <c r="I993" s="20"/>
      <c r="J993" s="20"/>
      <c r="K993" s="20"/>
      <c r="L993" s="20"/>
      <c r="M993" s="20"/>
      <c r="N993" s="20"/>
      <c r="O993" s="20"/>
      <c r="P993" s="20"/>
      <c r="Q993" s="20"/>
      <c r="R993" s="20"/>
      <c r="S993" s="20"/>
      <c r="T993" s="20"/>
      <c r="U993" s="20"/>
      <c r="V993" s="20"/>
      <c r="W993" s="20"/>
      <c r="X993" s="20"/>
      <c r="Y993" s="20"/>
      <c r="Z993" s="20"/>
    </row>
    <row r="994" spans="1:26" ht="17.25" customHeight="1">
      <c r="A994" s="15"/>
      <c r="B994" s="15"/>
      <c r="C994" s="15"/>
      <c r="D994" s="15"/>
      <c r="E994" s="15"/>
      <c r="F994" s="15"/>
      <c r="G994" s="15"/>
      <c r="H994" s="47"/>
      <c r="I994" s="20"/>
      <c r="J994" s="20"/>
      <c r="K994" s="20"/>
      <c r="L994" s="20"/>
      <c r="M994" s="20"/>
      <c r="N994" s="20"/>
      <c r="O994" s="20"/>
      <c r="P994" s="20"/>
      <c r="Q994" s="20"/>
      <c r="R994" s="20"/>
      <c r="S994" s="20"/>
      <c r="T994" s="20"/>
      <c r="U994" s="20"/>
      <c r="V994" s="20"/>
      <c r="W994" s="20"/>
      <c r="X994" s="20"/>
      <c r="Y994" s="20"/>
      <c r="Z994" s="20"/>
    </row>
    <row r="995" spans="1:26" ht="17.25" customHeight="1">
      <c r="A995" s="15"/>
      <c r="B995" s="15"/>
      <c r="C995" s="15"/>
      <c r="D995" s="15"/>
      <c r="E995" s="15"/>
      <c r="F995" s="15"/>
      <c r="G995" s="15"/>
      <c r="H995" s="47"/>
      <c r="I995" s="20"/>
      <c r="J995" s="20"/>
      <c r="K995" s="20"/>
      <c r="L995" s="20"/>
      <c r="M995" s="20"/>
      <c r="N995" s="20"/>
      <c r="O995" s="20"/>
      <c r="P995" s="20"/>
      <c r="Q995" s="20"/>
      <c r="R995" s="20"/>
      <c r="S995" s="20"/>
      <c r="T995" s="20"/>
      <c r="U995" s="20"/>
      <c r="V995" s="20"/>
      <c r="W995" s="20"/>
      <c r="X995" s="20"/>
      <c r="Y995" s="20"/>
      <c r="Z995" s="20"/>
    </row>
    <row r="996" spans="1:26" ht="17.25" customHeight="1">
      <c r="A996" s="15"/>
      <c r="B996" s="15"/>
      <c r="C996" s="15"/>
      <c r="D996" s="15"/>
      <c r="E996" s="15"/>
      <c r="F996" s="15"/>
      <c r="G996" s="15"/>
      <c r="H996" s="47"/>
      <c r="I996" s="20"/>
      <c r="J996" s="20"/>
      <c r="K996" s="20"/>
      <c r="L996" s="20"/>
      <c r="M996" s="20"/>
      <c r="N996" s="20"/>
      <c r="O996" s="20"/>
      <c r="P996" s="20"/>
      <c r="Q996" s="20"/>
      <c r="R996" s="20"/>
      <c r="S996" s="20"/>
      <c r="T996" s="20"/>
      <c r="U996" s="20"/>
      <c r="V996" s="20"/>
      <c r="W996" s="20"/>
      <c r="X996" s="20"/>
      <c r="Y996" s="20"/>
      <c r="Z996" s="20"/>
    </row>
    <row r="997" spans="1:26" ht="17.25" customHeight="1">
      <c r="A997" s="15"/>
      <c r="B997" s="15"/>
      <c r="C997" s="15"/>
      <c r="D997" s="15"/>
      <c r="E997" s="15"/>
      <c r="F997" s="15"/>
      <c r="G997" s="15"/>
      <c r="H997" s="47"/>
      <c r="I997" s="20"/>
      <c r="J997" s="20"/>
      <c r="K997" s="20"/>
      <c r="L997" s="20"/>
      <c r="M997" s="20"/>
      <c r="N997" s="20"/>
      <c r="O997" s="20"/>
      <c r="P997" s="20"/>
      <c r="Q997" s="20"/>
      <c r="R997" s="20"/>
      <c r="S997" s="20"/>
      <c r="T997" s="20"/>
      <c r="U997" s="20"/>
      <c r="V997" s="20"/>
      <c r="W997" s="20"/>
      <c r="X997" s="20"/>
      <c r="Y997" s="20"/>
      <c r="Z997" s="20"/>
    </row>
    <row r="998" spans="1:26" ht="17.25" customHeight="1">
      <c r="A998" s="15"/>
      <c r="B998" s="15"/>
      <c r="C998" s="15"/>
      <c r="D998" s="15"/>
      <c r="E998" s="15"/>
      <c r="F998" s="15"/>
      <c r="G998" s="15"/>
      <c r="H998" s="47"/>
      <c r="I998" s="20"/>
      <c r="J998" s="20"/>
      <c r="K998" s="20"/>
      <c r="L998" s="20"/>
      <c r="M998" s="20"/>
      <c r="N998" s="20"/>
      <c r="O998" s="20"/>
      <c r="P998" s="20"/>
      <c r="Q998" s="20"/>
      <c r="R998" s="20"/>
      <c r="S998" s="20"/>
      <c r="T998" s="20"/>
      <c r="U998" s="20"/>
      <c r="V998" s="20"/>
      <c r="W998" s="20"/>
      <c r="X998" s="20"/>
      <c r="Y998" s="20"/>
      <c r="Z998" s="20"/>
    </row>
    <row r="999" spans="1:26" ht="17.25" customHeight="1">
      <c r="A999" s="15"/>
      <c r="B999" s="15"/>
      <c r="C999" s="15"/>
      <c r="D999" s="15"/>
      <c r="E999" s="15"/>
      <c r="F999" s="15"/>
      <c r="G999" s="15"/>
      <c r="H999" s="47"/>
      <c r="I999" s="20"/>
      <c r="J999" s="20"/>
      <c r="K999" s="20"/>
      <c r="L999" s="20"/>
      <c r="M999" s="20"/>
      <c r="N999" s="20"/>
      <c r="O999" s="20"/>
      <c r="P999" s="20"/>
      <c r="Q999" s="20"/>
      <c r="R999" s="20"/>
      <c r="S999" s="20"/>
      <c r="T999" s="20"/>
      <c r="U999" s="20"/>
      <c r="V999" s="20"/>
      <c r="W999" s="20"/>
      <c r="X999" s="20"/>
      <c r="Y999" s="20"/>
      <c r="Z999" s="20"/>
    </row>
    <row r="1000" spans="1:26" ht="17.25" customHeight="1">
      <c r="A1000" s="15"/>
      <c r="B1000" s="15"/>
      <c r="C1000" s="15"/>
      <c r="D1000" s="15"/>
      <c r="E1000" s="15"/>
      <c r="F1000" s="15"/>
      <c r="G1000" s="15"/>
      <c r="H1000" s="47"/>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B1:H1"/>
  </mergeCells>
  <conditionalFormatting sqref="A3:A42 A62:A1000">
    <cfRule type="containsBlanks" dxfId="10" priority="1">
      <formula>LEN(TRIM(A3))=0</formula>
    </cfRule>
  </conditionalFormatting>
  <conditionalFormatting sqref="B3:H3 B7:H7 B9:H9 B11:H14 B17:H1000">
    <cfRule type="containsBlanks" dxfId="9" priority="2">
      <formula>LEN(TRIM(B3))=0</formula>
    </cfRule>
  </conditionalFormatting>
  <conditionalFormatting sqref="B8:H8">
    <cfRule type="containsBlanks" dxfId="8" priority="4">
      <formula>LEN(TRIM(B8))=0</formula>
    </cfRule>
  </conditionalFormatting>
  <conditionalFormatting sqref="B10:H10">
    <cfRule type="containsBlanks" dxfId="7" priority="5">
      <formula>LEN(TRIM(B10))=0</formula>
    </cfRule>
  </conditionalFormatting>
  <conditionalFormatting sqref="B15:H16">
    <cfRule type="containsBlanks" dxfId="6" priority="6">
      <formula>LEN(TRIM(B15))=0</formula>
    </cfRule>
  </conditionalFormatting>
  <conditionalFormatting sqref="B34:H35 B4:H6">
    <cfRule type="containsBlanks" dxfId="5" priority="3">
      <formula>LEN(TRIM(B4))=0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100-000000000000}">
          <x14:formula1>
            <xm:f>Day_schedules!$A:$A</xm:f>
          </x14:formula1>
          <xm:sqref>B3:H62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7"/>
  </sheetPr>
  <dimension ref="A1:Z1000"/>
  <sheetViews>
    <sheetView workbookViewId="0">
      <selection activeCell="B17" sqref="B17"/>
    </sheetView>
  </sheetViews>
  <sheetFormatPr baseColWidth="10" defaultColWidth="11.28515625" defaultRowHeight="15" customHeight="1"/>
  <cols>
    <col min="1" max="1" width="43.140625" customWidth="1"/>
    <col min="2" max="2" width="42.7109375" customWidth="1"/>
    <col min="3" max="3" width="27.85546875" customWidth="1"/>
    <col min="4" max="13" width="11.42578125" customWidth="1"/>
    <col min="14" max="14" width="25.5703125" customWidth="1"/>
    <col min="15" max="26" width="10.85546875" customWidth="1"/>
  </cols>
  <sheetData>
    <row r="1" spans="1:26" ht="33.75" customHeight="1">
      <c r="A1" s="48" t="s">
        <v>5857</v>
      </c>
      <c r="B1" s="78" t="s">
        <v>6031</v>
      </c>
      <c r="C1" s="234" t="s">
        <v>6032</v>
      </c>
      <c r="D1" s="226"/>
      <c r="E1" s="226"/>
      <c r="F1" s="226"/>
      <c r="G1" s="226"/>
      <c r="H1" s="226"/>
      <c r="I1" s="226"/>
      <c r="J1" s="226"/>
      <c r="K1" s="226"/>
      <c r="L1" s="226"/>
      <c r="M1" s="226"/>
      <c r="N1" s="227"/>
      <c r="O1" s="20"/>
      <c r="P1" s="20"/>
      <c r="Q1" s="20"/>
      <c r="R1" s="20"/>
      <c r="S1" s="20"/>
      <c r="T1" s="20"/>
      <c r="U1" s="20"/>
      <c r="V1" s="20"/>
      <c r="W1" s="20"/>
      <c r="X1" s="20"/>
      <c r="Y1" s="20"/>
      <c r="Z1" s="20"/>
    </row>
    <row r="2" spans="1:26" ht="17.25" customHeight="1">
      <c r="A2" s="41" t="s">
        <v>6033</v>
      </c>
      <c r="B2" s="42" t="s">
        <v>6034</v>
      </c>
      <c r="C2" s="42" t="s">
        <v>6035</v>
      </c>
      <c r="D2" s="42" t="s">
        <v>6036</v>
      </c>
      <c r="E2" s="42" t="s">
        <v>6037</v>
      </c>
      <c r="F2" s="42" t="s">
        <v>6038</v>
      </c>
      <c r="G2" s="42" t="s">
        <v>6039</v>
      </c>
      <c r="H2" s="42" t="s">
        <v>6040</v>
      </c>
      <c r="I2" s="42" t="s">
        <v>6041</v>
      </c>
      <c r="J2" s="42" t="s">
        <v>6042</v>
      </c>
      <c r="K2" s="42" t="s">
        <v>6043</v>
      </c>
      <c r="L2" s="42" t="s">
        <v>6044</v>
      </c>
      <c r="M2" s="42" t="s">
        <v>6045</v>
      </c>
      <c r="N2" s="170" t="s">
        <v>6046</v>
      </c>
      <c r="O2" s="20"/>
      <c r="P2" s="20"/>
      <c r="Q2" s="20"/>
      <c r="R2" s="20"/>
      <c r="S2" s="20"/>
      <c r="T2" s="20"/>
      <c r="U2" s="20"/>
      <c r="V2" s="20"/>
      <c r="W2" s="20"/>
      <c r="X2" s="20"/>
      <c r="Y2" s="20"/>
      <c r="Z2" s="20"/>
    </row>
    <row r="3" spans="1:26" ht="17.25" customHeight="1">
      <c r="A3" s="66" t="s">
        <v>4844</v>
      </c>
      <c r="B3" s="66" t="s">
        <v>144</v>
      </c>
      <c r="C3" s="66" t="s">
        <v>5991</v>
      </c>
      <c r="D3" s="66" t="s">
        <v>5991</v>
      </c>
      <c r="E3" s="66" t="s">
        <v>5991</v>
      </c>
      <c r="F3" s="66" t="s">
        <v>5991</v>
      </c>
      <c r="G3" s="66" t="s">
        <v>5991</v>
      </c>
      <c r="H3" s="66" t="s">
        <v>5991</v>
      </c>
      <c r="I3" s="66" t="s">
        <v>5991</v>
      </c>
      <c r="J3" s="66" t="s">
        <v>5991</v>
      </c>
      <c r="K3" s="66" t="s">
        <v>5991</v>
      </c>
      <c r="L3" s="66" t="s">
        <v>5991</v>
      </c>
      <c r="M3" s="66" t="s">
        <v>5991</v>
      </c>
      <c r="N3" s="233" t="s">
        <v>5991</v>
      </c>
      <c r="O3" s="219"/>
      <c r="P3" s="20"/>
      <c r="Q3" s="20"/>
      <c r="R3" s="20"/>
      <c r="S3" s="20"/>
      <c r="T3" s="20"/>
      <c r="U3" s="20"/>
      <c r="V3" s="20"/>
      <c r="W3" s="20"/>
      <c r="X3" s="20"/>
      <c r="Y3" s="20"/>
      <c r="Z3" s="20"/>
    </row>
    <row r="4" spans="1:26" ht="17.25" customHeight="1">
      <c r="A4" s="66" t="s">
        <v>4886</v>
      </c>
      <c r="B4" s="66" t="s">
        <v>82</v>
      </c>
      <c r="C4" s="66" t="s">
        <v>5992</v>
      </c>
      <c r="D4" s="66" t="s">
        <v>5992</v>
      </c>
      <c r="E4" s="66" t="s">
        <v>5992</v>
      </c>
      <c r="F4" s="66" t="s">
        <v>5992</v>
      </c>
      <c r="G4" s="66" t="s">
        <v>5992</v>
      </c>
      <c r="H4" s="66" t="s">
        <v>5992</v>
      </c>
      <c r="I4" s="66" t="s">
        <v>5992</v>
      </c>
      <c r="J4" s="66" t="s">
        <v>5992</v>
      </c>
      <c r="K4" s="66" t="s">
        <v>5992</v>
      </c>
      <c r="L4" s="66" t="s">
        <v>5992</v>
      </c>
      <c r="M4" s="66" t="s">
        <v>5992</v>
      </c>
      <c r="N4" s="233" t="s">
        <v>5992</v>
      </c>
      <c r="O4" s="219"/>
      <c r="P4" s="20"/>
      <c r="Q4" s="20"/>
      <c r="R4" s="20"/>
      <c r="S4" s="20"/>
      <c r="T4" s="20"/>
      <c r="U4" s="20"/>
      <c r="V4" s="20"/>
      <c r="W4" s="20"/>
      <c r="X4" s="20"/>
      <c r="Y4" s="20"/>
      <c r="Z4" s="20"/>
    </row>
    <row r="5" spans="1:26" ht="17.25" customHeight="1">
      <c r="A5" s="66" t="s">
        <v>4947</v>
      </c>
      <c r="B5" s="66" t="s">
        <v>81</v>
      </c>
      <c r="C5" s="66" t="s">
        <v>5993</v>
      </c>
      <c r="D5" s="66" t="s">
        <v>5993</v>
      </c>
      <c r="E5" s="66" t="s">
        <v>5993</v>
      </c>
      <c r="F5" s="66" t="s">
        <v>5993</v>
      </c>
      <c r="G5" s="66" t="s">
        <v>5993</v>
      </c>
      <c r="H5" s="66" t="s">
        <v>5993</v>
      </c>
      <c r="I5" s="66" t="s">
        <v>5993</v>
      </c>
      <c r="J5" s="66" t="s">
        <v>5993</v>
      </c>
      <c r="K5" s="66" t="s">
        <v>5993</v>
      </c>
      <c r="L5" s="66" t="s">
        <v>5993</v>
      </c>
      <c r="M5" s="66" t="s">
        <v>5993</v>
      </c>
      <c r="N5" s="233" t="s">
        <v>5993</v>
      </c>
      <c r="O5" s="219"/>
      <c r="P5" s="20"/>
      <c r="Q5" s="20"/>
      <c r="R5" s="20"/>
      <c r="S5" s="20"/>
      <c r="T5" s="20"/>
      <c r="U5" s="20"/>
      <c r="V5" s="20"/>
      <c r="W5" s="20"/>
      <c r="X5" s="20"/>
      <c r="Y5" s="20"/>
      <c r="Z5" s="20"/>
    </row>
    <row r="6" spans="1:26" ht="17.25" customHeight="1">
      <c r="A6" s="66" t="s">
        <v>4982</v>
      </c>
      <c r="B6" s="66" t="s">
        <v>6047</v>
      </c>
      <c r="C6" s="66" t="s">
        <v>5994</v>
      </c>
      <c r="D6" s="66" t="s">
        <v>5994</v>
      </c>
      <c r="E6" s="66" t="s">
        <v>5994</v>
      </c>
      <c r="F6" s="66" t="s">
        <v>5994</v>
      </c>
      <c r="G6" s="66" t="s">
        <v>5994</v>
      </c>
      <c r="H6" s="66" t="s">
        <v>5994</v>
      </c>
      <c r="I6" s="66" t="s">
        <v>5994</v>
      </c>
      <c r="J6" s="66" t="s">
        <v>5994</v>
      </c>
      <c r="K6" s="66" t="s">
        <v>5994</v>
      </c>
      <c r="L6" s="66" t="s">
        <v>5994</v>
      </c>
      <c r="M6" s="66" t="s">
        <v>5994</v>
      </c>
      <c r="N6" s="233" t="s">
        <v>5994</v>
      </c>
      <c r="O6" s="219"/>
      <c r="P6" s="20"/>
      <c r="Q6" s="20"/>
      <c r="R6" s="20"/>
      <c r="S6" s="20"/>
      <c r="T6" s="20"/>
      <c r="U6" s="20"/>
      <c r="V6" s="20"/>
      <c r="W6" s="20"/>
      <c r="X6" s="20"/>
      <c r="Y6" s="20"/>
      <c r="Z6" s="20"/>
    </row>
    <row r="7" spans="1:26" ht="17.25" customHeight="1">
      <c r="A7" s="66" t="s">
        <v>4983</v>
      </c>
      <c r="B7" s="66" t="s">
        <v>6047</v>
      </c>
      <c r="C7" s="66" t="s">
        <v>5995</v>
      </c>
      <c r="D7" s="66" t="s">
        <v>5995</v>
      </c>
      <c r="E7" s="66" t="s">
        <v>5995</v>
      </c>
      <c r="F7" s="66" t="s">
        <v>5995</v>
      </c>
      <c r="G7" s="66" t="s">
        <v>5995</v>
      </c>
      <c r="H7" s="66" t="s">
        <v>5995</v>
      </c>
      <c r="I7" s="66" t="s">
        <v>5995</v>
      </c>
      <c r="J7" s="66" t="s">
        <v>5995</v>
      </c>
      <c r="K7" s="66" t="s">
        <v>5995</v>
      </c>
      <c r="L7" s="66" t="s">
        <v>5995</v>
      </c>
      <c r="M7" s="66" t="s">
        <v>5995</v>
      </c>
      <c r="N7" s="233" t="s">
        <v>5995</v>
      </c>
      <c r="O7" s="219"/>
      <c r="P7" s="20"/>
      <c r="Q7" s="20"/>
      <c r="R7" s="20"/>
      <c r="S7" s="20"/>
      <c r="T7" s="20"/>
      <c r="U7" s="20"/>
      <c r="V7" s="20"/>
      <c r="W7" s="20"/>
      <c r="X7" s="20"/>
      <c r="Y7" s="20"/>
      <c r="Z7" s="20"/>
    </row>
    <row r="8" spans="1:26" ht="17.25" customHeight="1">
      <c r="A8" s="66" t="s">
        <v>4848</v>
      </c>
      <c r="B8" s="66" t="s">
        <v>144</v>
      </c>
      <c r="C8" s="66" t="s">
        <v>5996</v>
      </c>
      <c r="D8" s="66" t="s">
        <v>5996</v>
      </c>
      <c r="E8" s="66" t="s">
        <v>5996</v>
      </c>
      <c r="F8" s="66" t="s">
        <v>5996</v>
      </c>
      <c r="G8" s="66" t="s">
        <v>5996</v>
      </c>
      <c r="H8" s="66" t="s">
        <v>5996</v>
      </c>
      <c r="I8" s="66" t="s">
        <v>5996</v>
      </c>
      <c r="J8" s="66" t="s">
        <v>5996</v>
      </c>
      <c r="K8" s="66" t="s">
        <v>5996</v>
      </c>
      <c r="L8" s="66" t="s">
        <v>5996</v>
      </c>
      <c r="M8" s="66" t="s">
        <v>5996</v>
      </c>
      <c r="N8" s="233" t="s">
        <v>5996</v>
      </c>
      <c r="O8" s="219"/>
      <c r="P8" s="20"/>
      <c r="Q8" s="20"/>
      <c r="R8" s="20"/>
      <c r="S8" s="20"/>
      <c r="T8" s="20"/>
      <c r="U8" s="20"/>
      <c r="V8" s="20"/>
      <c r="W8" s="20"/>
      <c r="X8" s="20"/>
      <c r="Y8" s="20"/>
      <c r="Z8" s="20"/>
    </row>
    <row r="9" spans="1:26" ht="17.25" customHeight="1">
      <c r="A9" s="66" t="s">
        <v>4896</v>
      </c>
      <c r="B9" s="66" t="s">
        <v>82</v>
      </c>
      <c r="C9" s="66" t="s">
        <v>5997</v>
      </c>
      <c r="D9" s="66" t="s">
        <v>5997</v>
      </c>
      <c r="E9" s="66" t="s">
        <v>5997</v>
      </c>
      <c r="F9" s="66" t="s">
        <v>5997</v>
      </c>
      <c r="G9" s="66" t="s">
        <v>5997</v>
      </c>
      <c r="H9" s="66" t="s">
        <v>5997</v>
      </c>
      <c r="I9" s="66" t="s">
        <v>5997</v>
      </c>
      <c r="J9" s="66" t="s">
        <v>5997</v>
      </c>
      <c r="K9" s="66" t="s">
        <v>5997</v>
      </c>
      <c r="L9" s="66" t="s">
        <v>5997</v>
      </c>
      <c r="M9" s="66" t="s">
        <v>5997</v>
      </c>
      <c r="N9" s="233" t="s">
        <v>5997</v>
      </c>
      <c r="O9" s="219"/>
      <c r="P9" s="20"/>
      <c r="Q9" s="20"/>
      <c r="R9" s="20"/>
      <c r="S9" s="20"/>
      <c r="T9" s="20"/>
      <c r="U9" s="20"/>
      <c r="V9" s="20"/>
      <c r="W9" s="20"/>
      <c r="X9" s="20"/>
      <c r="Y9" s="20"/>
      <c r="Z9" s="20"/>
    </row>
    <row r="10" spans="1:26" ht="17.25" customHeight="1">
      <c r="A10" s="66" t="s">
        <v>4948</v>
      </c>
      <c r="B10" s="66" t="s">
        <v>81</v>
      </c>
      <c r="C10" s="66" t="s">
        <v>5998</v>
      </c>
      <c r="D10" s="66" t="s">
        <v>5998</v>
      </c>
      <c r="E10" s="66" t="s">
        <v>5998</v>
      </c>
      <c r="F10" s="66" t="s">
        <v>5998</v>
      </c>
      <c r="G10" s="66" t="s">
        <v>5998</v>
      </c>
      <c r="H10" s="66" t="s">
        <v>5998</v>
      </c>
      <c r="I10" s="66" t="s">
        <v>5998</v>
      </c>
      <c r="J10" s="66" t="s">
        <v>5998</v>
      </c>
      <c r="K10" s="66" t="s">
        <v>5998</v>
      </c>
      <c r="L10" s="66" t="s">
        <v>5998</v>
      </c>
      <c r="M10" s="66" t="s">
        <v>5998</v>
      </c>
      <c r="N10" s="233" t="s">
        <v>5998</v>
      </c>
      <c r="O10" s="219"/>
      <c r="P10" s="20"/>
      <c r="Q10" s="20"/>
      <c r="R10" s="20"/>
      <c r="S10" s="20"/>
      <c r="T10" s="20"/>
      <c r="U10" s="20"/>
      <c r="V10" s="20"/>
      <c r="W10" s="20"/>
      <c r="X10" s="20"/>
      <c r="Y10" s="20"/>
      <c r="Z10" s="20"/>
    </row>
    <row r="11" spans="1:26" ht="17.25" customHeight="1">
      <c r="A11" s="66" t="s">
        <v>4987</v>
      </c>
      <c r="B11" s="66" t="s">
        <v>6047</v>
      </c>
      <c r="C11" s="66" t="s">
        <v>5999</v>
      </c>
      <c r="D11" s="66" t="s">
        <v>5999</v>
      </c>
      <c r="E11" s="66" t="s">
        <v>5999</v>
      </c>
      <c r="F11" s="66" t="s">
        <v>5999</v>
      </c>
      <c r="G11" s="66" t="s">
        <v>5999</v>
      </c>
      <c r="H11" s="66" t="s">
        <v>5999</v>
      </c>
      <c r="I11" s="66" t="s">
        <v>5999</v>
      </c>
      <c r="J11" s="66" t="s">
        <v>5999</v>
      </c>
      <c r="K11" s="66" t="s">
        <v>5999</v>
      </c>
      <c r="L11" s="66" t="s">
        <v>5999</v>
      </c>
      <c r="M11" s="66" t="s">
        <v>5999</v>
      </c>
      <c r="N11" s="233" t="s">
        <v>5999</v>
      </c>
      <c r="O11" s="219"/>
      <c r="P11" s="20"/>
      <c r="Q11" s="20"/>
      <c r="R11" s="20"/>
      <c r="S11" s="20"/>
      <c r="T11" s="20"/>
      <c r="U11" s="20"/>
      <c r="V11" s="20"/>
      <c r="W11" s="20"/>
      <c r="X11" s="20"/>
      <c r="Y11" s="20"/>
      <c r="Z11" s="20"/>
    </row>
    <row r="12" spans="1:26" ht="17.25" customHeight="1">
      <c r="A12" s="66" t="s">
        <v>4988</v>
      </c>
      <c r="B12" s="66" t="s">
        <v>6047</v>
      </c>
      <c r="C12" s="66" t="s">
        <v>6000</v>
      </c>
      <c r="D12" s="66" t="s">
        <v>6000</v>
      </c>
      <c r="E12" s="66" t="s">
        <v>6000</v>
      </c>
      <c r="F12" s="66" t="s">
        <v>6000</v>
      </c>
      <c r="G12" s="66" t="s">
        <v>6000</v>
      </c>
      <c r="H12" s="66" t="s">
        <v>6000</v>
      </c>
      <c r="I12" s="66" t="s">
        <v>6000</v>
      </c>
      <c r="J12" s="66" t="s">
        <v>6000</v>
      </c>
      <c r="K12" s="66" t="s">
        <v>6000</v>
      </c>
      <c r="L12" s="66" t="s">
        <v>6000</v>
      </c>
      <c r="M12" s="66" t="s">
        <v>6000</v>
      </c>
      <c r="N12" s="233" t="s">
        <v>6000</v>
      </c>
      <c r="O12" s="219"/>
      <c r="P12" s="20"/>
      <c r="Q12" s="20"/>
      <c r="R12" s="20"/>
      <c r="S12" s="20"/>
      <c r="T12" s="20"/>
      <c r="U12" s="20"/>
      <c r="V12" s="20"/>
      <c r="W12" s="20"/>
      <c r="X12" s="20"/>
      <c r="Y12" s="20"/>
      <c r="Z12" s="20"/>
    </row>
    <row r="13" spans="1:26" ht="17.25" customHeight="1">
      <c r="A13" s="66" t="s">
        <v>4839</v>
      </c>
      <c r="B13" s="66" t="s">
        <v>144</v>
      </c>
      <c r="C13" s="66" t="s">
        <v>6001</v>
      </c>
      <c r="D13" s="66" t="s">
        <v>6001</v>
      </c>
      <c r="E13" s="66" t="s">
        <v>6001</v>
      </c>
      <c r="F13" s="66" t="s">
        <v>6001</v>
      </c>
      <c r="G13" s="66" t="s">
        <v>6001</v>
      </c>
      <c r="H13" s="66" t="s">
        <v>6001</v>
      </c>
      <c r="I13" s="66" t="s">
        <v>6001</v>
      </c>
      <c r="J13" s="66" t="s">
        <v>6001</v>
      </c>
      <c r="K13" s="66" t="s">
        <v>6001</v>
      </c>
      <c r="L13" s="66" t="s">
        <v>6001</v>
      </c>
      <c r="M13" s="66" t="s">
        <v>6001</v>
      </c>
      <c r="N13" s="233" t="s">
        <v>6001</v>
      </c>
      <c r="O13" s="219"/>
      <c r="P13" s="20"/>
      <c r="Q13" s="20"/>
      <c r="R13" s="20"/>
      <c r="S13" s="20"/>
      <c r="T13" s="20"/>
      <c r="U13" s="20"/>
      <c r="V13" s="20"/>
      <c r="W13" s="20"/>
      <c r="X13" s="20"/>
      <c r="Y13" s="20"/>
      <c r="Z13" s="20"/>
    </row>
    <row r="14" spans="1:26" ht="17.25" customHeight="1">
      <c r="A14" s="66" t="s">
        <v>4874</v>
      </c>
      <c r="B14" s="66" t="s">
        <v>82</v>
      </c>
      <c r="C14" s="66" t="s">
        <v>6002</v>
      </c>
      <c r="D14" s="66" t="s">
        <v>6002</v>
      </c>
      <c r="E14" s="66" t="s">
        <v>6002</v>
      </c>
      <c r="F14" s="66" t="s">
        <v>6002</v>
      </c>
      <c r="G14" s="66" t="s">
        <v>6002</v>
      </c>
      <c r="H14" s="66" t="s">
        <v>6002</v>
      </c>
      <c r="I14" s="66" t="s">
        <v>6002</v>
      </c>
      <c r="J14" s="66" t="s">
        <v>6002</v>
      </c>
      <c r="K14" s="66" t="s">
        <v>6002</v>
      </c>
      <c r="L14" s="66" t="s">
        <v>6002</v>
      </c>
      <c r="M14" s="66" t="s">
        <v>6002</v>
      </c>
      <c r="N14" s="233" t="s">
        <v>6002</v>
      </c>
      <c r="O14" s="219"/>
      <c r="P14" s="20"/>
      <c r="Q14" s="20"/>
      <c r="R14" s="20"/>
      <c r="S14" s="20"/>
      <c r="T14" s="20"/>
      <c r="U14" s="20"/>
      <c r="V14" s="20"/>
      <c r="W14" s="20"/>
      <c r="X14" s="20"/>
      <c r="Y14" s="20"/>
      <c r="Z14" s="20"/>
    </row>
    <row r="15" spans="1:26" ht="17.25" customHeight="1">
      <c r="A15" s="66" t="s">
        <v>4946</v>
      </c>
      <c r="B15" s="66" t="s">
        <v>81</v>
      </c>
      <c r="C15" s="66" t="s">
        <v>6003</v>
      </c>
      <c r="D15" s="66" t="s">
        <v>6003</v>
      </c>
      <c r="E15" s="66" t="s">
        <v>6003</v>
      </c>
      <c r="F15" s="66" t="s">
        <v>6003</v>
      </c>
      <c r="G15" s="66" t="s">
        <v>6003</v>
      </c>
      <c r="H15" s="66" t="s">
        <v>6003</v>
      </c>
      <c r="I15" s="66" t="s">
        <v>6003</v>
      </c>
      <c r="J15" s="66" t="s">
        <v>6003</v>
      </c>
      <c r="K15" s="66" t="s">
        <v>6003</v>
      </c>
      <c r="L15" s="66" t="s">
        <v>6003</v>
      </c>
      <c r="M15" s="66" t="s">
        <v>6003</v>
      </c>
      <c r="N15" s="233" t="s">
        <v>6003</v>
      </c>
      <c r="O15" s="219"/>
      <c r="P15" s="20"/>
      <c r="Q15" s="20"/>
      <c r="R15" s="20"/>
      <c r="S15" s="20"/>
      <c r="T15" s="20"/>
      <c r="U15" s="20"/>
      <c r="V15" s="20"/>
      <c r="W15" s="20"/>
      <c r="X15" s="20"/>
      <c r="Y15" s="20"/>
      <c r="Z15" s="20"/>
    </row>
    <row r="16" spans="1:26" ht="17.25" customHeight="1">
      <c r="A16" s="66" t="s">
        <v>4976</v>
      </c>
      <c r="B16" s="66" t="s">
        <v>6047</v>
      </c>
      <c r="C16" s="66" t="s">
        <v>6004</v>
      </c>
      <c r="D16" s="66" t="s">
        <v>6004</v>
      </c>
      <c r="E16" s="66" t="s">
        <v>6004</v>
      </c>
      <c r="F16" s="66" t="s">
        <v>6004</v>
      </c>
      <c r="G16" s="66" t="s">
        <v>6004</v>
      </c>
      <c r="H16" s="66" t="s">
        <v>6004</v>
      </c>
      <c r="I16" s="66" t="s">
        <v>6004</v>
      </c>
      <c r="J16" s="66" t="s">
        <v>6004</v>
      </c>
      <c r="K16" s="66" t="s">
        <v>6004</v>
      </c>
      <c r="L16" s="66" t="s">
        <v>6004</v>
      </c>
      <c r="M16" s="66" t="s">
        <v>6004</v>
      </c>
      <c r="N16" s="233" t="s">
        <v>6004</v>
      </c>
      <c r="O16" s="219"/>
      <c r="P16" s="20"/>
      <c r="Q16" s="20"/>
      <c r="R16" s="20"/>
      <c r="S16" s="20"/>
      <c r="T16" s="20"/>
      <c r="U16" s="20"/>
      <c r="V16" s="20"/>
      <c r="W16" s="20"/>
      <c r="X16" s="20"/>
      <c r="Y16" s="20"/>
      <c r="Z16" s="20"/>
    </row>
    <row r="17" spans="1:26" ht="17.25" customHeight="1">
      <c r="A17" s="66" t="s">
        <v>4977</v>
      </c>
      <c r="B17" s="66" t="s">
        <v>6047</v>
      </c>
      <c r="C17" s="66" t="s">
        <v>6005</v>
      </c>
      <c r="D17" s="66" t="s">
        <v>6005</v>
      </c>
      <c r="E17" s="66" t="s">
        <v>6005</v>
      </c>
      <c r="F17" s="66" t="s">
        <v>6005</v>
      </c>
      <c r="G17" s="66" t="s">
        <v>6005</v>
      </c>
      <c r="H17" s="66" t="s">
        <v>6005</v>
      </c>
      <c r="I17" s="66" t="s">
        <v>6005</v>
      </c>
      <c r="J17" s="66" t="s">
        <v>6005</v>
      </c>
      <c r="K17" s="66" t="s">
        <v>6005</v>
      </c>
      <c r="L17" s="66" t="s">
        <v>6005</v>
      </c>
      <c r="M17" s="66" t="s">
        <v>6005</v>
      </c>
      <c r="N17" s="233" t="s">
        <v>6005</v>
      </c>
      <c r="O17" s="219"/>
      <c r="P17" s="20"/>
      <c r="Q17" s="20"/>
      <c r="R17" s="20"/>
      <c r="S17" s="20"/>
      <c r="T17" s="20"/>
      <c r="U17" s="20"/>
      <c r="V17" s="20"/>
      <c r="W17" s="20"/>
      <c r="X17" s="20"/>
      <c r="Y17" s="20"/>
      <c r="Z17" s="20"/>
    </row>
    <row r="18" spans="1:26" ht="17.25" customHeight="1">
      <c r="A18" s="66" t="s">
        <v>4852</v>
      </c>
      <c r="B18" s="66" t="s">
        <v>144</v>
      </c>
      <c r="C18" s="66" t="s">
        <v>6006</v>
      </c>
      <c r="D18" s="66" t="s">
        <v>6006</v>
      </c>
      <c r="E18" s="66" t="s">
        <v>6006</v>
      </c>
      <c r="F18" s="66" t="s">
        <v>6006</v>
      </c>
      <c r="G18" s="66" t="s">
        <v>6006</v>
      </c>
      <c r="H18" s="66" t="s">
        <v>6006</v>
      </c>
      <c r="I18" s="66" t="s">
        <v>6006</v>
      </c>
      <c r="J18" s="66" t="s">
        <v>6006</v>
      </c>
      <c r="K18" s="66" t="s">
        <v>6006</v>
      </c>
      <c r="L18" s="66" t="s">
        <v>6006</v>
      </c>
      <c r="M18" s="66" t="s">
        <v>6006</v>
      </c>
      <c r="N18" s="233" t="s">
        <v>6006</v>
      </c>
      <c r="O18" s="219"/>
      <c r="P18" s="20"/>
      <c r="Q18" s="20"/>
      <c r="R18" s="20"/>
      <c r="S18" s="20"/>
      <c r="T18" s="20"/>
      <c r="U18" s="20"/>
      <c r="V18" s="20"/>
      <c r="W18" s="20"/>
      <c r="X18" s="20"/>
      <c r="Y18" s="20"/>
      <c r="Z18" s="20"/>
    </row>
    <row r="19" spans="1:26" ht="17.25" customHeight="1">
      <c r="A19" s="66" t="s">
        <v>4906</v>
      </c>
      <c r="B19" s="66" t="s">
        <v>82</v>
      </c>
      <c r="C19" s="66" t="s">
        <v>6007</v>
      </c>
      <c r="D19" s="66" t="s">
        <v>6007</v>
      </c>
      <c r="E19" s="66" t="s">
        <v>6007</v>
      </c>
      <c r="F19" s="66" t="s">
        <v>6007</v>
      </c>
      <c r="G19" s="66" t="s">
        <v>6007</v>
      </c>
      <c r="H19" s="66" t="s">
        <v>6007</v>
      </c>
      <c r="I19" s="66" t="s">
        <v>6007</v>
      </c>
      <c r="J19" s="66" t="s">
        <v>6007</v>
      </c>
      <c r="K19" s="66" t="s">
        <v>6007</v>
      </c>
      <c r="L19" s="66" t="s">
        <v>6007</v>
      </c>
      <c r="M19" s="66" t="s">
        <v>6007</v>
      </c>
      <c r="N19" s="233" t="s">
        <v>6007</v>
      </c>
      <c r="O19" s="219"/>
      <c r="P19" s="20"/>
      <c r="Q19" s="20"/>
      <c r="R19" s="20"/>
      <c r="S19" s="20"/>
      <c r="T19" s="20"/>
      <c r="U19" s="20"/>
      <c r="V19" s="20"/>
      <c r="W19" s="20"/>
      <c r="X19" s="20"/>
      <c r="Y19" s="20"/>
      <c r="Z19" s="20"/>
    </row>
    <row r="20" spans="1:26" ht="17.25" customHeight="1">
      <c r="A20" s="66" t="s">
        <v>4950</v>
      </c>
      <c r="B20" s="66" t="s">
        <v>81</v>
      </c>
      <c r="C20" s="66" t="s">
        <v>6008</v>
      </c>
      <c r="D20" s="66" t="s">
        <v>6008</v>
      </c>
      <c r="E20" s="66" t="s">
        <v>6008</v>
      </c>
      <c r="F20" s="66" t="s">
        <v>6008</v>
      </c>
      <c r="G20" s="66" t="s">
        <v>6008</v>
      </c>
      <c r="H20" s="66" t="s">
        <v>6008</v>
      </c>
      <c r="I20" s="66" t="s">
        <v>6008</v>
      </c>
      <c r="J20" s="66" t="s">
        <v>6008</v>
      </c>
      <c r="K20" s="66" t="s">
        <v>6008</v>
      </c>
      <c r="L20" s="66" t="s">
        <v>6008</v>
      </c>
      <c r="M20" s="66" t="s">
        <v>6008</v>
      </c>
      <c r="N20" s="233" t="s">
        <v>6008</v>
      </c>
      <c r="O20" s="219"/>
      <c r="P20" s="20"/>
      <c r="Q20" s="20"/>
      <c r="R20" s="20"/>
      <c r="S20" s="20"/>
      <c r="T20" s="20"/>
      <c r="U20" s="20"/>
      <c r="V20" s="20"/>
      <c r="W20" s="20"/>
      <c r="X20" s="20"/>
      <c r="Y20" s="20"/>
      <c r="Z20" s="20"/>
    </row>
    <row r="21" spans="1:26" ht="17.25" customHeight="1">
      <c r="A21" s="66" t="s">
        <v>4992</v>
      </c>
      <c r="B21" s="66" t="s">
        <v>6047</v>
      </c>
      <c r="C21" s="66" t="s">
        <v>6009</v>
      </c>
      <c r="D21" s="66" t="s">
        <v>6009</v>
      </c>
      <c r="E21" s="66" t="s">
        <v>6009</v>
      </c>
      <c r="F21" s="66" t="s">
        <v>6009</v>
      </c>
      <c r="G21" s="66" t="s">
        <v>6009</v>
      </c>
      <c r="H21" s="66" t="s">
        <v>6009</v>
      </c>
      <c r="I21" s="66" t="s">
        <v>6009</v>
      </c>
      <c r="J21" s="66" t="s">
        <v>6009</v>
      </c>
      <c r="K21" s="66" t="s">
        <v>6009</v>
      </c>
      <c r="L21" s="66" t="s">
        <v>6009</v>
      </c>
      <c r="M21" s="66" t="s">
        <v>6009</v>
      </c>
      <c r="N21" s="233" t="s">
        <v>6009</v>
      </c>
      <c r="O21" s="219"/>
      <c r="P21" s="20"/>
      <c r="Q21" s="20"/>
      <c r="R21" s="20"/>
      <c r="S21" s="20"/>
      <c r="T21" s="20"/>
      <c r="U21" s="20"/>
      <c r="V21" s="20"/>
      <c r="W21" s="20"/>
      <c r="X21" s="20"/>
      <c r="Y21" s="20"/>
      <c r="Z21" s="20"/>
    </row>
    <row r="22" spans="1:26" ht="17.25" customHeight="1">
      <c r="A22" s="66" t="s">
        <v>4993</v>
      </c>
      <c r="B22" s="66" t="s">
        <v>6047</v>
      </c>
      <c r="C22" s="66" t="s">
        <v>6010</v>
      </c>
      <c r="D22" s="66" t="s">
        <v>6010</v>
      </c>
      <c r="E22" s="66" t="s">
        <v>6010</v>
      </c>
      <c r="F22" s="66" t="s">
        <v>6010</v>
      </c>
      <c r="G22" s="66" t="s">
        <v>6010</v>
      </c>
      <c r="H22" s="66" t="s">
        <v>6010</v>
      </c>
      <c r="I22" s="66" t="s">
        <v>6010</v>
      </c>
      <c r="J22" s="66" t="s">
        <v>6010</v>
      </c>
      <c r="K22" s="66" t="s">
        <v>6010</v>
      </c>
      <c r="L22" s="66" t="s">
        <v>6010</v>
      </c>
      <c r="M22" s="66" t="s">
        <v>6010</v>
      </c>
      <c r="N22" s="233" t="s">
        <v>6010</v>
      </c>
      <c r="O22" s="219"/>
      <c r="P22" s="20"/>
      <c r="Q22" s="20"/>
      <c r="R22" s="20"/>
      <c r="S22" s="20"/>
      <c r="T22" s="20"/>
      <c r="U22" s="20"/>
      <c r="V22" s="20"/>
      <c r="W22" s="20"/>
      <c r="X22" s="20"/>
      <c r="Y22" s="20"/>
      <c r="Z22" s="20"/>
    </row>
    <row r="23" spans="1:26" ht="17.25" customHeight="1">
      <c r="A23" s="66" t="s">
        <v>4854</v>
      </c>
      <c r="B23" s="66" t="s">
        <v>144</v>
      </c>
      <c r="C23" s="66" t="s">
        <v>6011</v>
      </c>
      <c r="D23" s="66" t="s">
        <v>6011</v>
      </c>
      <c r="E23" s="66" t="s">
        <v>6011</v>
      </c>
      <c r="F23" s="66" t="s">
        <v>6011</v>
      </c>
      <c r="G23" s="66" t="s">
        <v>6011</v>
      </c>
      <c r="H23" s="66" t="s">
        <v>6011</v>
      </c>
      <c r="I23" s="66" t="s">
        <v>6011</v>
      </c>
      <c r="J23" s="66" t="s">
        <v>6011</v>
      </c>
      <c r="K23" s="66" t="s">
        <v>6011</v>
      </c>
      <c r="L23" s="66" t="s">
        <v>6011</v>
      </c>
      <c r="M23" s="66" t="s">
        <v>6011</v>
      </c>
      <c r="N23" s="233" t="s">
        <v>6011</v>
      </c>
      <c r="O23" s="219"/>
      <c r="P23" s="20"/>
      <c r="Q23" s="20"/>
      <c r="R23" s="20"/>
      <c r="S23" s="20"/>
      <c r="T23" s="20"/>
      <c r="U23" s="20"/>
      <c r="V23" s="20"/>
      <c r="W23" s="20"/>
      <c r="X23" s="20"/>
      <c r="Y23" s="20"/>
      <c r="Z23" s="20"/>
    </row>
    <row r="24" spans="1:26" ht="17.25" customHeight="1">
      <c r="A24" s="66" t="s">
        <v>4910</v>
      </c>
      <c r="B24" s="66" t="s">
        <v>82</v>
      </c>
      <c r="C24" s="66" t="s">
        <v>6012</v>
      </c>
      <c r="D24" s="66" t="s">
        <v>6012</v>
      </c>
      <c r="E24" s="66" t="s">
        <v>6012</v>
      </c>
      <c r="F24" s="66" t="s">
        <v>6012</v>
      </c>
      <c r="G24" s="66" t="s">
        <v>6012</v>
      </c>
      <c r="H24" s="66" t="s">
        <v>6012</v>
      </c>
      <c r="I24" s="66" t="s">
        <v>6012</v>
      </c>
      <c r="J24" s="66" t="s">
        <v>6012</v>
      </c>
      <c r="K24" s="66" t="s">
        <v>6012</v>
      </c>
      <c r="L24" s="66" t="s">
        <v>6012</v>
      </c>
      <c r="M24" s="66" t="s">
        <v>6012</v>
      </c>
      <c r="N24" s="233" t="s">
        <v>6012</v>
      </c>
      <c r="O24" s="219"/>
      <c r="P24" s="20"/>
      <c r="Q24" s="20"/>
      <c r="R24" s="20"/>
      <c r="S24" s="20"/>
      <c r="T24" s="20"/>
      <c r="U24" s="20"/>
      <c r="V24" s="20"/>
      <c r="W24" s="20"/>
      <c r="X24" s="20"/>
      <c r="Y24" s="20"/>
      <c r="Z24" s="20"/>
    </row>
    <row r="25" spans="1:26" ht="17.25" customHeight="1">
      <c r="A25" s="66" t="s">
        <v>4951</v>
      </c>
      <c r="B25" s="66" t="s">
        <v>81</v>
      </c>
      <c r="C25" s="66" t="s">
        <v>6013</v>
      </c>
      <c r="D25" s="66" t="s">
        <v>6013</v>
      </c>
      <c r="E25" s="66" t="s">
        <v>6013</v>
      </c>
      <c r="F25" s="66" t="s">
        <v>6013</v>
      </c>
      <c r="G25" s="66" t="s">
        <v>6013</v>
      </c>
      <c r="H25" s="66" t="s">
        <v>6013</v>
      </c>
      <c r="I25" s="66" t="s">
        <v>6013</v>
      </c>
      <c r="J25" s="66" t="s">
        <v>6013</v>
      </c>
      <c r="K25" s="66" t="s">
        <v>6013</v>
      </c>
      <c r="L25" s="66" t="s">
        <v>6013</v>
      </c>
      <c r="M25" s="66" t="s">
        <v>6013</v>
      </c>
      <c r="N25" s="233" t="s">
        <v>6013</v>
      </c>
      <c r="O25" s="219"/>
      <c r="P25" s="20"/>
      <c r="Q25" s="20"/>
      <c r="R25" s="20"/>
      <c r="S25" s="20"/>
      <c r="T25" s="20"/>
      <c r="U25" s="20"/>
      <c r="V25" s="20"/>
      <c r="W25" s="20"/>
      <c r="X25" s="20"/>
      <c r="Y25" s="20"/>
      <c r="Z25" s="20"/>
    </row>
    <row r="26" spans="1:26" ht="17.25" customHeight="1">
      <c r="A26" s="66" t="s">
        <v>4995</v>
      </c>
      <c r="B26" s="66" t="s">
        <v>6047</v>
      </c>
      <c r="C26" s="66" t="s">
        <v>6014</v>
      </c>
      <c r="D26" s="66" t="s">
        <v>6014</v>
      </c>
      <c r="E26" s="66" t="s">
        <v>6014</v>
      </c>
      <c r="F26" s="66" t="s">
        <v>6014</v>
      </c>
      <c r="G26" s="66" t="s">
        <v>6014</v>
      </c>
      <c r="H26" s="66" t="s">
        <v>6014</v>
      </c>
      <c r="I26" s="66" t="s">
        <v>6014</v>
      </c>
      <c r="J26" s="66" t="s">
        <v>6014</v>
      </c>
      <c r="K26" s="66" t="s">
        <v>6014</v>
      </c>
      <c r="L26" s="66" t="s">
        <v>6014</v>
      </c>
      <c r="M26" s="66" t="s">
        <v>6014</v>
      </c>
      <c r="N26" s="233" t="s">
        <v>6014</v>
      </c>
      <c r="O26" s="219"/>
      <c r="P26" s="20"/>
      <c r="Q26" s="20"/>
      <c r="R26" s="20"/>
      <c r="S26" s="20"/>
      <c r="T26" s="20"/>
      <c r="U26" s="20"/>
      <c r="V26" s="20"/>
      <c r="W26" s="20"/>
      <c r="X26" s="20"/>
      <c r="Y26" s="20"/>
      <c r="Z26" s="20"/>
    </row>
    <row r="27" spans="1:26" ht="17.25" customHeight="1">
      <c r="A27" s="66" t="s">
        <v>4996</v>
      </c>
      <c r="B27" s="66" t="s">
        <v>6047</v>
      </c>
      <c r="C27" s="66" t="s">
        <v>6015</v>
      </c>
      <c r="D27" s="66" t="s">
        <v>6015</v>
      </c>
      <c r="E27" s="66" t="s">
        <v>6015</v>
      </c>
      <c r="F27" s="66" t="s">
        <v>6015</v>
      </c>
      <c r="G27" s="66" t="s">
        <v>6015</v>
      </c>
      <c r="H27" s="66" t="s">
        <v>6015</v>
      </c>
      <c r="I27" s="66" t="s">
        <v>6015</v>
      </c>
      <c r="J27" s="66" t="s">
        <v>6015</v>
      </c>
      <c r="K27" s="66" t="s">
        <v>6015</v>
      </c>
      <c r="L27" s="66" t="s">
        <v>6015</v>
      </c>
      <c r="M27" s="66" t="s">
        <v>6015</v>
      </c>
      <c r="N27" s="233" t="s">
        <v>6015</v>
      </c>
      <c r="O27" s="219"/>
      <c r="P27" s="20"/>
      <c r="Q27" s="20"/>
      <c r="R27" s="20"/>
      <c r="S27" s="20"/>
      <c r="T27" s="20"/>
      <c r="U27" s="20"/>
      <c r="V27" s="20"/>
      <c r="W27" s="20"/>
      <c r="X27" s="20"/>
      <c r="Y27" s="20"/>
      <c r="Z27" s="20"/>
    </row>
    <row r="28" spans="1:26" ht="17.25" customHeight="1">
      <c r="A28" s="66" t="s">
        <v>4862</v>
      </c>
      <c r="B28" s="66" t="s">
        <v>144</v>
      </c>
      <c r="C28" s="66" t="s">
        <v>6016</v>
      </c>
      <c r="D28" s="66" t="s">
        <v>6016</v>
      </c>
      <c r="E28" s="66" t="s">
        <v>6016</v>
      </c>
      <c r="F28" s="66" t="s">
        <v>6016</v>
      </c>
      <c r="G28" s="66" t="s">
        <v>6016</v>
      </c>
      <c r="H28" s="66" t="s">
        <v>6016</v>
      </c>
      <c r="I28" s="66" t="s">
        <v>6016</v>
      </c>
      <c r="J28" s="66" t="s">
        <v>6016</v>
      </c>
      <c r="K28" s="66" t="s">
        <v>6016</v>
      </c>
      <c r="L28" s="66" t="s">
        <v>6016</v>
      </c>
      <c r="M28" s="66" t="s">
        <v>6016</v>
      </c>
      <c r="N28" s="233" t="s">
        <v>6016</v>
      </c>
      <c r="O28" s="219"/>
      <c r="P28" s="20"/>
      <c r="Q28" s="20"/>
      <c r="R28" s="20"/>
      <c r="S28" s="20"/>
      <c r="T28" s="20"/>
      <c r="U28" s="20"/>
      <c r="V28" s="20"/>
      <c r="W28" s="20"/>
      <c r="X28" s="20"/>
      <c r="Y28" s="20"/>
      <c r="Z28" s="20"/>
    </row>
    <row r="29" spans="1:26" ht="17.25" customHeight="1">
      <c r="A29" s="66" t="s">
        <v>4930</v>
      </c>
      <c r="B29" s="66" t="s">
        <v>82</v>
      </c>
      <c r="C29" s="66" t="s">
        <v>6017</v>
      </c>
      <c r="D29" s="66" t="s">
        <v>6017</v>
      </c>
      <c r="E29" s="66" t="s">
        <v>6017</v>
      </c>
      <c r="F29" s="66" t="s">
        <v>6017</v>
      </c>
      <c r="G29" s="66" t="s">
        <v>6017</v>
      </c>
      <c r="H29" s="66" t="s">
        <v>6017</v>
      </c>
      <c r="I29" s="66" t="s">
        <v>6017</v>
      </c>
      <c r="J29" s="66" t="s">
        <v>6017</v>
      </c>
      <c r="K29" s="66" t="s">
        <v>6017</v>
      </c>
      <c r="L29" s="66" t="s">
        <v>6017</v>
      </c>
      <c r="M29" s="66" t="s">
        <v>6017</v>
      </c>
      <c r="N29" s="233" t="s">
        <v>6017</v>
      </c>
      <c r="O29" s="219"/>
      <c r="P29" s="20"/>
      <c r="Q29" s="20"/>
      <c r="R29" s="20"/>
      <c r="S29" s="20"/>
      <c r="T29" s="20"/>
      <c r="U29" s="20"/>
      <c r="V29" s="20"/>
      <c r="W29" s="20"/>
      <c r="X29" s="20"/>
      <c r="Y29" s="20"/>
      <c r="Z29" s="20"/>
    </row>
    <row r="30" spans="1:26" ht="17.25" customHeight="1">
      <c r="A30" s="66" t="s">
        <v>4953</v>
      </c>
      <c r="B30" s="66" t="s">
        <v>81</v>
      </c>
      <c r="C30" s="66" t="s">
        <v>6018</v>
      </c>
      <c r="D30" s="66" t="s">
        <v>6018</v>
      </c>
      <c r="E30" s="66" t="s">
        <v>6018</v>
      </c>
      <c r="F30" s="66" t="s">
        <v>6018</v>
      </c>
      <c r="G30" s="66" t="s">
        <v>6018</v>
      </c>
      <c r="H30" s="66" t="s">
        <v>6018</v>
      </c>
      <c r="I30" s="66" t="s">
        <v>6018</v>
      </c>
      <c r="J30" s="66" t="s">
        <v>6018</v>
      </c>
      <c r="K30" s="66" t="s">
        <v>6018</v>
      </c>
      <c r="L30" s="66" t="s">
        <v>6018</v>
      </c>
      <c r="M30" s="66" t="s">
        <v>6018</v>
      </c>
      <c r="N30" s="233" t="s">
        <v>6018</v>
      </c>
      <c r="O30" s="219"/>
      <c r="P30" s="20"/>
      <c r="Q30" s="20"/>
      <c r="R30" s="20"/>
      <c r="S30" s="20"/>
      <c r="T30" s="20"/>
      <c r="U30" s="20"/>
      <c r="V30" s="20"/>
      <c r="W30" s="20"/>
      <c r="X30" s="20"/>
      <c r="Y30" s="20"/>
      <c r="Z30" s="20"/>
    </row>
    <row r="31" spans="1:26" ht="17.25" customHeight="1">
      <c r="A31" s="66" t="s">
        <v>5005</v>
      </c>
      <c r="B31" s="66" t="s">
        <v>6047</v>
      </c>
      <c r="C31" s="66" t="s">
        <v>6019</v>
      </c>
      <c r="D31" s="66" t="s">
        <v>6019</v>
      </c>
      <c r="E31" s="66" t="s">
        <v>6019</v>
      </c>
      <c r="F31" s="66" t="s">
        <v>6019</v>
      </c>
      <c r="G31" s="66" t="s">
        <v>6019</v>
      </c>
      <c r="H31" s="66" t="s">
        <v>6019</v>
      </c>
      <c r="I31" s="66" t="s">
        <v>6019</v>
      </c>
      <c r="J31" s="66" t="s">
        <v>6019</v>
      </c>
      <c r="K31" s="66" t="s">
        <v>6019</v>
      </c>
      <c r="L31" s="66" t="s">
        <v>6019</v>
      </c>
      <c r="M31" s="66" t="s">
        <v>6019</v>
      </c>
      <c r="N31" s="233" t="s">
        <v>6019</v>
      </c>
      <c r="O31" s="219"/>
      <c r="P31" s="20"/>
      <c r="Q31" s="20"/>
      <c r="R31" s="20"/>
      <c r="S31" s="20"/>
      <c r="T31" s="20"/>
      <c r="U31" s="20"/>
      <c r="V31" s="20"/>
      <c r="W31" s="20"/>
      <c r="X31" s="20"/>
      <c r="Y31" s="20"/>
      <c r="Z31" s="20"/>
    </row>
    <row r="32" spans="1:26" ht="17.25" customHeight="1">
      <c r="A32" s="66" t="s">
        <v>5006</v>
      </c>
      <c r="B32" s="66" t="s">
        <v>6047</v>
      </c>
      <c r="C32" s="66" t="s">
        <v>6020</v>
      </c>
      <c r="D32" s="66" t="s">
        <v>6020</v>
      </c>
      <c r="E32" s="66" t="s">
        <v>6020</v>
      </c>
      <c r="F32" s="66" t="s">
        <v>6020</v>
      </c>
      <c r="G32" s="66" t="s">
        <v>6020</v>
      </c>
      <c r="H32" s="66" t="s">
        <v>6020</v>
      </c>
      <c r="I32" s="66" t="s">
        <v>6020</v>
      </c>
      <c r="J32" s="66" t="s">
        <v>6020</v>
      </c>
      <c r="K32" s="66" t="s">
        <v>6020</v>
      </c>
      <c r="L32" s="66" t="s">
        <v>6020</v>
      </c>
      <c r="M32" s="66" t="s">
        <v>6020</v>
      </c>
      <c r="N32" s="233" t="s">
        <v>6020</v>
      </c>
      <c r="O32" s="219"/>
      <c r="P32" s="20"/>
      <c r="Q32" s="20"/>
      <c r="R32" s="20"/>
      <c r="S32" s="20"/>
      <c r="T32" s="20"/>
      <c r="U32" s="20"/>
      <c r="V32" s="20"/>
      <c r="W32" s="20"/>
      <c r="X32" s="20"/>
      <c r="Y32" s="20"/>
      <c r="Z32" s="20"/>
    </row>
    <row r="33" spans="1:26" ht="17.25" customHeight="1">
      <c r="A33" s="66" t="s">
        <v>4864</v>
      </c>
      <c r="B33" s="66" t="s">
        <v>144</v>
      </c>
      <c r="C33" s="66" t="s">
        <v>6021</v>
      </c>
      <c r="D33" s="66" t="s">
        <v>6021</v>
      </c>
      <c r="E33" s="66" t="s">
        <v>6021</v>
      </c>
      <c r="F33" s="66" t="s">
        <v>6021</v>
      </c>
      <c r="G33" s="66" t="s">
        <v>6021</v>
      </c>
      <c r="H33" s="66" t="s">
        <v>6021</v>
      </c>
      <c r="I33" s="66" t="s">
        <v>6021</v>
      </c>
      <c r="J33" s="66" t="s">
        <v>6021</v>
      </c>
      <c r="K33" s="66" t="s">
        <v>6021</v>
      </c>
      <c r="L33" s="66" t="s">
        <v>6021</v>
      </c>
      <c r="M33" s="66" t="s">
        <v>6021</v>
      </c>
      <c r="N33" s="233" t="s">
        <v>6021</v>
      </c>
      <c r="O33" s="219"/>
      <c r="P33" s="20"/>
      <c r="Q33" s="20"/>
      <c r="R33" s="20"/>
      <c r="S33" s="20"/>
      <c r="T33" s="20"/>
      <c r="U33" s="20"/>
      <c r="V33" s="20"/>
      <c r="W33" s="20"/>
      <c r="X33" s="20"/>
      <c r="Y33" s="20"/>
      <c r="Z33" s="20"/>
    </row>
    <row r="34" spans="1:26" ht="17.25" customHeight="1">
      <c r="A34" s="66" t="s">
        <v>4934</v>
      </c>
      <c r="B34" s="66" t="s">
        <v>82</v>
      </c>
      <c r="C34" s="66" t="s">
        <v>6022</v>
      </c>
      <c r="D34" s="66" t="s">
        <v>6022</v>
      </c>
      <c r="E34" s="66" t="s">
        <v>6022</v>
      </c>
      <c r="F34" s="66" t="s">
        <v>6022</v>
      </c>
      <c r="G34" s="66" t="s">
        <v>6022</v>
      </c>
      <c r="H34" s="66" t="s">
        <v>6022</v>
      </c>
      <c r="I34" s="66" t="s">
        <v>6022</v>
      </c>
      <c r="J34" s="66" t="s">
        <v>6022</v>
      </c>
      <c r="K34" s="66" t="s">
        <v>6022</v>
      </c>
      <c r="L34" s="66" t="s">
        <v>6022</v>
      </c>
      <c r="M34" s="66" t="s">
        <v>6022</v>
      </c>
      <c r="N34" s="233" t="s">
        <v>6022</v>
      </c>
      <c r="O34" s="219"/>
      <c r="P34" s="20"/>
      <c r="Q34" s="20"/>
      <c r="R34" s="20"/>
      <c r="S34" s="20"/>
      <c r="T34" s="20"/>
      <c r="U34" s="20"/>
      <c r="V34" s="20"/>
      <c r="W34" s="20"/>
      <c r="X34" s="20"/>
      <c r="Y34" s="20"/>
      <c r="Z34" s="20"/>
    </row>
    <row r="35" spans="1:26" ht="17.25" customHeight="1">
      <c r="A35" s="66" t="s">
        <v>4954</v>
      </c>
      <c r="B35" s="66" t="s">
        <v>81</v>
      </c>
      <c r="C35" s="66" t="s">
        <v>6023</v>
      </c>
      <c r="D35" s="66" t="s">
        <v>6023</v>
      </c>
      <c r="E35" s="66" t="s">
        <v>6023</v>
      </c>
      <c r="F35" s="66" t="s">
        <v>6023</v>
      </c>
      <c r="G35" s="66" t="s">
        <v>6023</v>
      </c>
      <c r="H35" s="66" t="s">
        <v>6023</v>
      </c>
      <c r="I35" s="66" t="s">
        <v>6023</v>
      </c>
      <c r="J35" s="66" t="s">
        <v>6023</v>
      </c>
      <c r="K35" s="66" t="s">
        <v>6023</v>
      </c>
      <c r="L35" s="66" t="s">
        <v>6023</v>
      </c>
      <c r="M35" s="66" t="s">
        <v>6023</v>
      </c>
      <c r="N35" s="233" t="s">
        <v>6023</v>
      </c>
      <c r="O35" s="219"/>
      <c r="P35" s="20"/>
      <c r="Q35" s="20"/>
      <c r="R35" s="20"/>
      <c r="S35" s="20"/>
      <c r="T35" s="20"/>
      <c r="U35" s="20"/>
      <c r="V35" s="20"/>
      <c r="W35" s="20"/>
      <c r="X35" s="20"/>
      <c r="Y35" s="20"/>
      <c r="Z35" s="20"/>
    </row>
    <row r="36" spans="1:26" ht="17.25" customHeight="1">
      <c r="A36" s="66" t="s">
        <v>5008</v>
      </c>
      <c r="B36" s="66" t="s">
        <v>6047</v>
      </c>
      <c r="C36" s="66" t="s">
        <v>6024</v>
      </c>
      <c r="D36" s="66" t="s">
        <v>6024</v>
      </c>
      <c r="E36" s="66" t="s">
        <v>6024</v>
      </c>
      <c r="F36" s="66" t="s">
        <v>6024</v>
      </c>
      <c r="G36" s="66" t="s">
        <v>6024</v>
      </c>
      <c r="H36" s="66" t="s">
        <v>6024</v>
      </c>
      <c r="I36" s="66" t="s">
        <v>6024</v>
      </c>
      <c r="J36" s="66" t="s">
        <v>6024</v>
      </c>
      <c r="K36" s="66" t="s">
        <v>6024</v>
      </c>
      <c r="L36" s="66" t="s">
        <v>6024</v>
      </c>
      <c r="M36" s="66" t="s">
        <v>6024</v>
      </c>
      <c r="N36" s="233" t="s">
        <v>6024</v>
      </c>
      <c r="O36" s="219"/>
      <c r="P36" s="20"/>
      <c r="Q36" s="20"/>
      <c r="R36" s="20"/>
      <c r="S36" s="20"/>
      <c r="T36" s="20"/>
      <c r="U36" s="20"/>
      <c r="V36" s="20"/>
      <c r="W36" s="20"/>
      <c r="X36" s="20"/>
      <c r="Y36" s="20"/>
      <c r="Z36" s="20"/>
    </row>
    <row r="37" spans="1:26" ht="17.25" customHeight="1">
      <c r="A37" s="66" t="s">
        <v>5009</v>
      </c>
      <c r="B37" s="66" t="s">
        <v>6047</v>
      </c>
      <c r="C37" s="66" t="s">
        <v>6025</v>
      </c>
      <c r="D37" s="66" t="s">
        <v>6025</v>
      </c>
      <c r="E37" s="66" t="s">
        <v>6025</v>
      </c>
      <c r="F37" s="66" t="s">
        <v>6025</v>
      </c>
      <c r="G37" s="66" t="s">
        <v>6025</v>
      </c>
      <c r="H37" s="66" t="s">
        <v>6025</v>
      </c>
      <c r="I37" s="66" t="s">
        <v>6025</v>
      </c>
      <c r="J37" s="66" t="s">
        <v>6025</v>
      </c>
      <c r="K37" s="66" t="s">
        <v>6025</v>
      </c>
      <c r="L37" s="66" t="s">
        <v>6025</v>
      </c>
      <c r="M37" s="66" t="s">
        <v>6025</v>
      </c>
      <c r="N37" s="233" t="s">
        <v>6025</v>
      </c>
      <c r="O37" s="219"/>
      <c r="P37" s="20"/>
      <c r="Q37" s="20"/>
      <c r="R37" s="20"/>
      <c r="S37" s="20"/>
      <c r="T37" s="20"/>
      <c r="U37" s="20"/>
      <c r="V37" s="20"/>
      <c r="W37" s="20"/>
      <c r="X37" s="20"/>
      <c r="Y37" s="20"/>
      <c r="Z37" s="20"/>
    </row>
    <row r="38" spans="1:26" ht="17.25" customHeight="1">
      <c r="A38" s="66" t="s">
        <v>4859</v>
      </c>
      <c r="B38" s="66" t="s">
        <v>144</v>
      </c>
      <c r="C38" s="66" t="s">
        <v>6026</v>
      </c>
      <c r="D38" s="66" t="s">
        <v>6026</v>
      </c>
      <c r="E38" s="66" t="s">
        <v>6026</v>
      </c>
      <c r="F38" s="66" t="s">
        <v>6026</v>
      </c>
      <c r="G38" s="66" t="s">
        <v>6026</v>
      </c>
      <c r="H38" s="66" t="s">
        <v>6026</v>
      </c>
      <c r="I38" s="66" t="s">
        <v>6026</v>
      </c>
      <c r="J38" s="66" t="s">
        <v>6026</v>
      </c>
      <c r="K38" s="66" t="s">
        <v>6026</v>
      </c>
      <c r="L38" s="66" t="s">
        <v>6026</v>
      </c>
      <c r="M38" s="66" t="s">
        <v>6026</v>
      </c>
      <c r="N38" s="233" t="s">
        <v>6026</v>
      </c>
      <c r="O38" s="219"/>
      <c r="P38" s="20"/>
      <c r="Q38" s="20"/>
      <c r="R38" s="20"/>
      <c r="S38" s="20"/>
      <c r="T38" s="20"/>
      <c r="U38" s="20"/>
      <c r="V38" s="20"/>
      <c r="W38" s="20"/>
      <c r="X38" s="20"/>
      <c r="Y38" s="20"/>
      <c r="Z38" s="20"/>
    </row>
    <row r="39" spans="1:26" ht="17.25" customHeight="1">
      <c r="A39" s="66" t="s">
        <v>4923</v>
      </c>
      <c r="B39" s="66" t="s">
        <v>82</v>
      </c>
      <c r="C39" s="66" t="s">
        <v>6027</v>
      </c>
      <c r="D39" s="66" t="s">
        <v>6027</v>
      </c>
      <c r="E39" s="66" t="s">
        <v>6027</v>
      </c>
      <c r="F39" s="66" t="s">
        <v>6027</v>
      </c>
      <c r="G39" s="66" t="s">
        <v>6027</v>
      </c>
      <c r="H39" s="66" t="s">
        <v>6027</v>
      </c>
      <c r="I39" s="66" t="s">
        <v>6027</v>
      </c>
      <c r="J39" s="66" t="s">
        <v>6027</v>
      </c>
      <c r="K39" s="66" t="s">
        <v>6027</v>
      </c>
      <c r="L39" s="66" t="s">
        <v>6027</v>
      </c>
      <c r="M39" s="66" t="s">
        <v>6027</v>
      </c>
      <c r="N39" s="233" t="s">
        <v>6027</v>
      </c>
      <c r="O39" s="219"/>
      <c r="P39" s="20"/>
      <c r="Q39" s="20"/>
      <c r="R39" s="20"/>
      <c r="S39" s="20"/>
      <c r="T39" s="20"/>
      <c r="U39" s="20"/>
      <c r="V39" s="20"/>
      <c r="W39" s="20"/>
      <c r="X39" s="20"/>
      <c r="Y39" s="20"/>
      <c r="Z39" s="20"/>
    </row>
    <row r="40" spans="1:26" ht="17.25" customHeight="1">
      <c r="A40" s="66" t="s">
        <v>4952</v>
      </c>
      <c r="B40" s="66" t="s">
        <v>81</v>
      </c>
      <c r="C40" s="66" t="s">
        <v>6028</v>
      </c>
      <c r="D40" s="66" t="s">
        <v>6028</v>
      </c>
      <c r="E40" s="66" t="s">
        <v>6028</v>
      </c>
      <c r="F40" s="66" t="s">
        <v>6028</v>
      </c>
      <c r="G40" s="66" t="s">
        <v>6028</v>
      </c>
      <c r="H40" s="66" t="s">
        <v>6028</v>
      </c>
      <c r="I40" s="66" t="s">
        <v>6028</v>
      </c>
      <c r="J40" s="66" t="s">
        <v>6028</v>
      </c>
      <c r="K40" s="66" t="s">
        <v>6028</v>
      </c>
      <c r="L40" s="66" t="s">
        <v>6028</v>
      </c>
      <c r="M40" s="66" t="s">
        <v>6028</v>
      </c>
      <c r="N40" s="233" t="s">
        <v>6028</v>
      </c>
      <c r="O40" s="219"/>
      <c r="P40" s="20"/>
      <c r="Q40" s="20"/>
      <c r="R40" s="20"/>
      <c r="S40" s="20"/>
      <c r="T40" s="20"/>
      <c r="U40" s="20"/>
      <c r="V40" s="20"/>
      <c r="W40" s="20"/>
      <c r="X40" s="20"/>
      <c r="Y40" s="20"/>
      <c r="Z40" s="20"/>
    </row>
    <row r="41" spans="1:26" ht="17.25" customHeight="1">
      <c r="A41" s="66" t="s">
        <v>5001</v>
      </c>
      <c r="B41" s="66" t="s">
        <v>6047</v>
      </c>
      <c r="C41" s="66" t="s">
        <v>6029</v>
      </c>
      <c r="D41" s="66" t="s">
        <v>6029</v>
      </c>
      <c r="E41" s="66" t="s">
        <v>6029</v>
      </c>
      <c r="F41" s="66" t="s">
        <v>6029</v>
      </c>
      <c r="G41" s="66" t="s">
        <v>6029</v>
      </c>
      <c r="H41" s="66" t="s">
        <v>6029</v>
      </c>
      <c r="I41" s="66" t="s">
        <v>6029</v>
      </c>
      <c r="J41" s="66" t="s">
        <v>6029</v>
      </c>
      <c r="K41" s="66" t="s">
        <v>6029</v>
      </c>
      <c r="L41" s="66" t="s">
        <v>6029</v>
      </c>
      <c r="M41" s="66" t="s">
        <v>6029</v>
      </c>
      <c r="N41" s="233" t="s">
        <v>6029</v>
      </c>
      <c r="O41" s="219"/>
      <c r="P41" s="20"/>
      <c r="Q41" s="20"/>
      <c r="R41" s="20"/>
      <c r="S41" s="20"/>
      <c r="T41" s="20"/>
      <c r="U41" s="20"/>
      <c r="V41" s="20"/>
      <c r="W41" s="20"/>
      <c r="X41" s="20"/>
      <c r="Y41" s="20"/>
      <c r="Z41" s="20"/>
    </row>
    <row r="42" spans="1:26" ht="17.25" customHeight="1">
      <c r="A42" s="66" t="s">
        <v>5002</v>
      </c>
      <c r="B42" s="66" t="s">
        <v>6047</v>
      </c>
      <c r="C42" s="66" t="s">
        <v>6030</v>
      </c>
      <c r="D42" s="66" t="s">
        <v>6030</v>
      </c>
      <c r="E42" s="66" t="s">
        <v>6030</v>
      </c>
      <c r="F42" s="66" t="s">
        <v>6030</v>
      </c>
      <c r="G42" s="66" t="s">
        <v>6030</v>
      </c>
      <c r="H42" s="66" t="s">
        <v>6030</v>
      </c>
      <c r="I42" s="66" t="s">
        <v>6030</v>
      </c>
      <c r="J42" s="66" t="s">
        <v>6030</v>
      </c>
      <c r="K42" s="66" t="s">
        <v>6030</v>
      </c>
      <c r="L42" s="66" t="s">
        <v>6030</v>
      </c>
      <c r="M42" s="66" t="s">
        <v>6030</v>
      </c>
      <c r="N42" s="233" t="s">
        <v>6030</v>
      </c>
      <c r="O42" s="219"/>
      <c r="P42" s="20"/>
      <c r="Q42" s="20"/>
      <c r="R42" s="20"/>
      <c r="S42" s="20"/>
      <c r="T42" s="20"/>
      <c r="U42" s="20"/>
      <c r="V42" s="20"/>
      <c r="W42" s="20"/>
      <c r="X42" s="20"/>
      <c r="Y42" s="20"/>
      <c r="Z42" s="20"/>
    </row>
    <row r="43" spans="1:26" ht="17.25" customHeight="1">
      <c r="A43" s="15" t="s">
        <v>5014</v>
      </c>
      <c r="B43" s="15" t="s">
        <v>5036</v>
      </c>
      <c r="C43" s="15" t="s">
        <v>5014</v>
      </c>
      <c r="D43" s="15" t="s">
        <v>5014</v>
      </c>
      <c r="E43" s="15" t="s">
        <v>5014</v>
      </c>
      <c r="F43" s="15" t="s">
        <v>5014</v>
      </c>
      <c r="G43" s="15" t="s">
        <v>5014</v>
      </c>
      <c r="H43" s="15" t="s">
        <v>5014</v>
      </c>
      <c r="I43" s="15" t="s">
        <v>5014</v>
      </c>
      <c r="J43" s="15" t="s">
        <v>5014</v>
      </c>
      <c r="K43" s="15" t="s">
        <v>5014</v>
      </c>
      <c r="L43" s="15" t="s">
        <v>5014</v>
      </c>
      <c r="M43" s="15" t="s">
        <v>5014</v>
      </c>
      <c r="N43" s="15" t="s">
        <v>5014</v>
      </c>
      <c r="O43" s="20"/>
      <c r="P43" s="20"/>
      <c r="Q43" s="20"/>
      <c r="R43" s="20"/>
      <c r="S43" s="20"/>
      <c r="T43" s="20"/>
      <c r="U43" s="20"/>
      <c r="V43" s="20"/>
      <c r="W43" s="20"/>
      <c r="X43" s="20"/>
      <c r="Y43" s="20"/>
      <c r="Z43" s="20"/>
    </row>
    <row r="44" spans="1:26" ht="17.25" customHeight="1">
      <c r="A44" s="15" t="s">
        <v>5016</v>
      </c>
      <c r="B44" s="15" t="s">
        <v>5036</v>
      </c>
      <c r="C44" s="15" t="s">
        <v>5016</v>
      </c>
      <c r="D44" s="15" t="s">
        <v>5016</v>
      </c>
      <c r="E44" s="15" t="s">
        <v>5016</v>
      </c>
      <c r="F44" s="15" t="s">
        <v>5016</v>
      </c>
      <c r="G44" s="15" t="s">
        <v>5016</v>
      </c>
      <c r="H44" s="15" t="s">
        <v>5016</v>
      </c>
      <c r="I44" s="15" t="s">
        <v>5016</v>
      </c>
      <c r="J44" s="15" t="s">
        <v>5016</v>
      </c>
      <c r="K44" s="15" t="s">
        <v>5016</v>
      </c>
      <c r="L44" s="15" t="s">
        <v>5016</v>
      </c>
      <c r="M44" s="15" t="s">
        <v>5016</v>
      </c>
      <c r="N44" s="15" t="s">
        <v>5016</v>
      </c>
      <c r="O44" s="20"/>
      <c r="P44" s="20"/>
      <c r="Q44" s="20"/>
      <c r="R44" s="20"/>
      <c r="S44" s="20"/>
      <c r="T44" s="20"/>
      <c r="U44" s="20"/>
      <c r="V44" s="20"/>
      <c r="W44" s="20"/>
      <c r="X44" s="20"/>
      <c r="Y44" s="20"/>
      <c r="Z44" s="20"/>
    </row>
    <row r="45" spans="1:26" ht="17.25" customHeight="1">
      <c r="A45" s="15" t="s">
        <v>5017</v>
      </c>
      <c r="B45" s="15" t="s">
        <v>5036</v>
      </c>
      <c r="C45" s="15" t="s">
        <v>5017</v>
      </c>
      <c r="D45" s="15" t="s">
        <v>5017</v>
      </c>
      <c r="E45" s="15" t="s">
        <v>5017</v>
      </c>
      <c r="F45" s="15" t="s">
        <v>5017</v>
      </c>
      <c r="G45" s="15" t="s">
        <v>5017</v>
      </c>
      <c r="H45" s="15" t="s">
        <v>5017</v>
      </c>
      <c r="I45" s="15" t="s">
        <v>5017</v>
      </c>
      <c r="J45" s="15" t="s">
        <v>5017</v>
      </c>
      <c r="K45" s="15" t="s">
        <v>5017</v>
      </c>
      <c r="L45" s="15" t="s">
        <v>5017</v>
      </c>
      <c r="M45" s="15" t="s">
        <v>5017</v>
      </c>
      <c r="N45" s="15" t="s">
        <v>5017</v>
      </c>
      <c r="O45" s="20"/>
      <c r="P45" s="20"/>
      <c r="Q45" s="20"/>
      <c r="R45" s="20"/>
      <c r="S45" s="20"/>
      <c r="T45" s="20"/>
      <c r="U45" s="20"/>
      <c r="V45" s="20"/>
      <c r="W45" s="20"/>
      <c r="X45" s="20"/>
      <c r="Y45" s="20"/>
      <c r="Z45" s="20"/>
    </row>
    <row r="46" spans="1:26" ht="17.25" customHeight="1">
      <c r="A46" s="15" t="s">
        <v>5018</v>
      </c>
      <c r="B46" s="15" t="s">
        <v>5036</v>
      </c>
      <c r="C46" s="15" t="s">
        <v>5018</v>
      </c>
      <c r="D46" s="15" t="s">
        <v>5018</v>
      </c>
      <c r="E46" s="15" t="s">
        <v>5018</v>
      </c>
      <c r="F46" s="15" t="s">
        <v>5018</v>
      </c>
      <c r="G46" s="15" t="s">
        <v>5018</v>
      </c>
      <c r="H46" s="15" t="s">
        <v>5018</v>
      </c>
      <c r="I46" s="15" t="s">
        <v>5018</v>
      </c>
      <c r="J46" s="15" t="s">
        <v>5018</v>
      </c>
      <c r="K46" s="15" t="s">
        <v>5018</v>
      </c>
      <c r="L46" s="15" t="s">
        <v>5018</v>
      </c>
      <c r="M46" s="15" t="s">
        <v>5018</v>
      </c>
      <c r="N46" s="15" t="s">
        <v>5018</v>
      </c>
      <c r="O46" s="20"/>
      <c r="P46" s="20"/>
      <c r="Q46" s="20"/>
      <c r="R46" s="20"/>
      <c r="S46" s="20"/>
      <c r="T46" s="20"/>
      <c r="U46" s="20"/>
      <c r="V46" s="20"/>
      <c r="W46" s="20"/>
      <c r="X46" s="20"/>
      <c r="Y46" s="20"/>
      <c r="Z46" s="20"/>
    </row>
    <row r="47" spans="1:26" ht="17.25" customHeight="1">
      <c r="A47" s="15" t="s">
        <v>5019</v>
      </c>
      <c r="B47" s="15" t="s">
        <v>5036</v>
      </c>
      <c r="C47" s="15" t="s">
        <v>5019</v>
      </c>
      <c r="D47" s="15" t="s">
        <v>5019</v>
      </c>
      <c r="E47" s="15" t="s">
        <v>5019</v>
      </c>
      <c r="F47" s="15" t="s">
        <v>5019</v>
      </c>
      <c r="G47" s="15" t="s">
        <v>5019</v>
      </c>
      <c r="H47" s="15" t="s">
        <v>5019</v>
      </c>
      <c r="I47" s="15" t="s">
        <v>5019</v>
      </c>
      <c r="J47" s="15" t="s">
        <v>5019</v>
      </c>
      <c r="K47" s="15" t="s">
        <v>5019</v>
      </c>
      <c r="L47" s="15" t="s">
        <v>5019</v>
      </c>
      <c r="M47" s="15" t="s">
        <v>5019</v>
      </c>
      <c r="N47" s="15" t="s">
        <v>5019</v>
      </c>
      <c r="O47" s="20"/>
      <c r="P47" s="20"/>
      <c r="Q47" s="20"/>
      <c r="R47" s="20"/>
      <c r="S47" s="20"/>
      <c r="T47" s="20"/>
      <c r="U47" s="20"/>
      <c r="V47" s="20"/>
      <c r="W47" s="20"/>
      <c r="X47" s="20"/>
      <c r="Y47" s="20"/>
      <c r="Z47" s="20"/>
    </row>
    <row r="48" spans="1:26" ht="17.25" customHeight="1">
      <c r="A48" s="15" t="s">
        <v>5020</v>
      </c>
      <c r="B48" s="15" t="s">
        <v>5036</v>
      </c>
      <c r="C48" s="15" t="s">
        <v>5020</v>
      </c>
      <c r="D48" s="15" t="s">
        <v>5020</v>
      </c>
      <c r="E48" s="15" t="s">
        <v>5020</v>
      </c>
      <c r="F48" s="15" t="s">
        <v>5020</v>
      </c>
      <c r="G48" s="15" t="s">
        <v>5020</v>
      </c>
      <c r="H48" s="15" t="s">
        <v>5020</v>
      </c>
      <c r="I48" s="15" t="s">
        <v>5020</v>
      </c>
      <c r="J48" s="15" t="s">
        <v>5020</v>
      </c>
      <c r="K48" s="15" t="s">
        <v>5020</v>
      </c>
      <c r="L48" s="15" t="s">
        <v>5020</v>
      </c>
      <c r="M48" s="15" t="s">
        <v>5020</v>
      </c>
      <c r="N48" s="15" t="s">
        <v>5020</v>
      </c>
      <c r="O48" s="20"/>
      <c r="P48" s="20"/>
      <c r="Q48" s="20"/>
      <c r="R48" s="20"/>
      <c r="S48" s="20"/>
      <c r="T48" s="20"/>
      <c r="U48" s="20"/>
      <c r="V48" s="20"/>
      <c r="W48" s="20"/>
      <c r="X48" s="20"/>
      <c r="Y48" s="20"/>
      <c r="Z48" s="20"/>
    </row>
    <row r="49" spans="1:26" ht="17.25" customHeight="1">
      <c r="A49" s="15" t="s">
        <v>5021</v>
      </c>
      <c r="B49" s="15" t="s">
        <v>5036</v>
      </c>
      <c r="C49" s="15" t="s">
        <v>5021</v>
      </c>
      <c r="D49" s="15" t="s">
        <v>5021</v>
      </c>
      <c r="E49" s="15" t="s">
        <v>5021</v>
      </c>
      <c r="F49" s="15" t="s">
        <v>5021</v>
      </c>
      <c r="G49" s="15" t="s">
        <v>5021</v>
      </c>
      <c r="H49" s="15" t="s">
        <v>5021</v>
      </c>
      <c r="I49" s="15" t="s">
        <v>5021</v>
      </c>
      <c r="J49" s="15" t="s">
        <v>5021</v>
      </c>
      <c r="K49" s="15" t="s">
        <v>5021</v>
      </c>
      <c r="L49" s="15" t="s">
        <v>5021</v>
      </c>
      <c r="M49" s="15" t="s">
        <v>5021</v>
      </c>
      <c r="N49" s="15" t="s">
        <v>5021</v>
      </c>
      <c r="O49" s="20"/>
      <c r="P49" s="20"/>
      <c r="Q49" s="20"/>
      <c r="R49" s="20"/>
      <c r="S49" s="20"/>
      <c r="T49" s="20"/>
      <c r="U49" s="20"/>
      <c r="V49" s="20"/>
      <c r="W49" s="20"/>
      <c r="X49" s="20"/>
      <c r="Y49" s="20"/>
      <c r="Z49" s="20"/>
    </row>
    <row r="50" spans="1:26" ht="17.25" customHeight="1">
      <c r="A50" s="15" t="s">
        <v>5022</v>
      </c>
      <c r="B50" s="15" t="s">
        <v>5036</v>
      </c>
      <c r="C50" s="15" t="s">
        <v>5022</v>
      </c>
      <c r="D50" s="15" t="s">
        <v>5022</v>
      </c>
      <c r="E50" s="15" t="s">
        <v>5022</v>
      </c>
      <c r="F50" s="15" t="s">
        <v>5022</v>
      </c>
      <c r="G50" s="15" t="s">
        <v>5022</v>
      </c>
      <c r="H50" s="15" t="s">
        <v>5022</v>
      </c>
      <c r="I50" s="15" t="s">
        <v>5022</v>
      </c>
      <c r="J50" s="15" t="s">
        <v>5022</v>
      </c>
      <c r="K50" s="15" t="s">
        <v>5022</v>
      </c>
      <c r="L50" s="15" t="s">
        <v>5022</v>
      </c>
      <c r="M50" s="15" t="s">
        <v>5022</v>
      </c>
      <c r="N50" s="15" t="s">
        <v>5022</v>
      </c>
      <c r="O50" s="20"/>
      <c r="P50" s="20"/>
      <c r="Q50" s="20"/>
      <c r="R50" s="20"/>
      <c r="S50" s="20"/>
      <c r="T50" s="20"/>
      <c r="U50" s="20"/>
      <c r="V50" s="20"/>
      <c r="W50" s="20"/>
      <c r="X50" s="20"/>
      <c r="Y50" s="20"/>
      <c r="Z50" s="20"/>
    </row>
    <row r="51" spans="1:26" ht="17.25" customHeight="1">
      <c r="A51" s="15" t="s">
        <v>5023</v>
      </c>
      <c r="B51" s="15" t="s">
        <v>5036</v>
      </c>
      <c r="C51" s="15" t="s">
        <v>5023</v>
      </c>
      <c r="D51" s="15" t="s">
        <v>5023</v>
      </c>
      <c r="E51" s="15" t="s">
        <v>5023</v>
      </c>
      <c r="F51" s="15" t="s">
        <v>5023</v>
      </c>
      <c r="G51" s="15" t="s">
        <v>5023</v>
      </c>
      <c r="H51" s="15" t="s">
        <v>5023</v>
      </c>
      <c r="I51" s="15" t="s">
        <v>5023</v>
      </c>
      <c r="J51" s="15" t="s">
        <v>5023</v>
      </c>
      <c r="K51" s="15" t="s">
        <v>5023</v>
      </c>
      <c r="L51" s="15" t="s">
        <v>5023</v>
      </c>
      <c r="M51" s="15" t="s">
        <v>5023</v>
      </c>
      <c r="N51" s="15" t="s">
        <v>5023</v>
      </c>
      <c r="O51" s="20"/>
      <c r="P51" s="20"/>
      <c r="Q51" s="20"/>
      <c r="R51" s="20"/>
      <c r="S51" s="20"/>
      <c r="T51" s="20"/>
      <c r="U51" s="20"/>
      <c r="V51" s="20"/>
      <c r="W51" s="20"/>
      <c r="X51" s="20"/>
      <c r="Y51" s="20"/>
      <c r="Z51" s="20"/>
    </row>
    <row r="52" spans="1:26" ht="17.25" customHeight="1">
      <c r="A52" s="15" t="s">
        <v>5024</v>
      </c>
      <c r="B52" s="15" t="s">
        <v>5036</v>
      </c>
      <c r="C52" s="15" t="s">
        <v>5024</v>
      </c>
      <c r="D52" s="15" t="s">
        <v>5024</v>
      </c>
      <c r="E52" s="15" t="s">
        <v>5024</v>
      </c>
      <c r="F52" s="15" t="s">
        <v>5024</v>
      </c>
      <c r="G52" s="15" t="s">
        <v>5024</v>
      </c>
      <c r="H52" s="15" t="s">
        <v>5024</v>
      </c>
      <c r="I52" s="15" t="s">
        <v>5024</v>
      </c>
      <c r="J52" s="15" t="s">
        <v>5024</v>
      </c>
      <c r="K52" s="15" t="s">
        <v>5024</v>
      </c>
      <c r="L52" s="15" t="s">
        <v>5024</v>
      </c>
      <c r="M52" s="15" t="s">
        <v>5024</v>
      </c>
      <c r="N52" s="15" t="s">
        <v>5024</v>
      </c>
      <c r="O52" s="20"/>
      <c r="P52" s="20"/>
      <c r="Q52" s="20"/>
      <c r="R52" s="20"/>
      <c r="S52" s="20"/>
      <c r="T52" s="20"/>
      <c r="U52" s="20"/>
      <c r="V52" s="20"/>
      <c r="W52" s="20"/>
      <c r="X52" s="20"/>
      <c r="Y52" s="20"/>
      <c r="Z52" s="20"/>
    </row>
    <row r="53" spans="1:26" ht="17.25" customHeight="1">
      <c r="A53" s="15" t="s">
        <v>5025</v>
      </c>
      <c r="B53" s="15" t="s">
        <v>5036</v>
      </c>
      <c r="C53" s="15" t="s">
        <v>5025</v>
      </c>
      <c r="D53" s="15" t="s">
        <v>5025</v>
      </c>
      <c r="E53" s="15" t="s">
        <v>5025</v>
      </c>
      <c r="F53" s="15" t="s">
        <v>5025</v>
      </c>
      <c r="G53" s="15" t="s">
        <v>5025</v>
      </c>
      <c r="H53" s="15" t="s">
        <v>5025</v>
      </c>
      <c r="I53" s="15" t="s">
        <v>5025</v>
      </c>
      <c r="J53" s="15" t="s">
        <v>5025</v>
      </c>
      <c r="K53" s="15" t="s">
        <v>5025</v>
      </c>
      <c r="L53" s="15" t="s">
        <v>5025</v>
      </c>
      <c r="M53" s="15" t="s">
        <v>5025</v>
      </c>
      <c r="N53" s="15" t="s">
        <v>5025</v>
      </c>
      <c r="O53" s="20"/>
      <c r="P53" s="20"/>
      <c r="Q53" s="20"/>
      <c r="R53" s="20"/>
      <c r="S53" s="20"/>
      <c r="T53" s="20"/>
      <c r="U53" s="20"/>
      <c r="V53" s="20"/>
      <c r="W53" s="20"/>
      <c r="X53" s="20"/>
      <c r="Y53" s="20"/>
      <c r="Z53" s="20"/>
    </row>
    <row r="54" spans="1:26" ht="17.25" customHeight="1">
      <c r="A54" s="15" t="s">
        <v>5026</v>
      </c>
      <c r="B54" s="15" t="s">
        <v>5036</v>
      </c>
      <c r="C54" s="15" t="s">
        <v>5026</v>
      </c>
      <c r="D54" s="15" t="s">
        <v>5026</v>
      </c>
      <c r="E54" s="15" t="s">
        <v>5026</v>
      </c>
      <c r="F54" s="15" t="s">
        <v>5026</v>
      </c>
      <c r="G54" s="15" t="s">
        <v>5026</v>
      </c>
      <c r="H54" s="15" t="s">
        <v>5026</v>
      </c>
      <c r="I54" s="15" t="s">
        <v>5026</v>
      </c>
      <c r="J54" s="15" t="s">
        <v>5026</v>
      </c>
      <c r="K54" s="15" t="s">
        <v>5026</v>
      </c>
      <c r="L54" s="15" t="s">
        <v>5026</v>
      </c>
      <c r="M54" s="15" t="s">
        <v>5026</v>
      </c>
      <c r="N54" s="15" t="s">
        <v>5026</v>
      </c>
      <c r="O54" s="20"/>
      <c r="P54" s="20"/>
      <c r="Q54" s="20"/>
      <c r="R54" s="20"/>
      <c r="S54" s="20"/>
      <c r="T54" s="20"/>
      <c r="U54" s="20"/>
      <c r="V54" s="20"/>
      <c r="W54" s="20"/>
      <c r="X54" s="20"/>
      <c r="Y54" s="20"/>
      <c r="Z54" s="20"/>
    </row>
    <row r="55" spans="1:26" ht="17.25" customHeight="1">
      <c r="A55" s="55" t="s">
        <v>5027</v>
      </c>
      <c r="B55" s="15" t="s">
        <v>5036</v>
      </c>
      <c r="C55" s="15" t="s">
        <v>5027</v>
      </c>
      <c r="D55" s="15" t="s">
        <v>5027</v>
      </c>
      <c r="E55" s="15" t="s">
        <v>5027</v>
      </c>
      <c r="F55" s="15" t="s">
        <v>5027</v>
      </c>
      <c r="G55" s="15" t="s">
        <v>5027</v>
      </c>
      <c r="H55" s="15" t="s">
        <v>5027</v>
      </c>
      <c r="I55" s="15" t="s">
        <v>5027</v>
      </c>
      <c r="J55" s="15" t="s">
        <v>5027</v>
      </c>
      <c r="K55" s="15" t="s">
        <v>5027</v>
      </c>
      <c r="L55" s="15" t="s">
        <v>5027</v>
      </c>
      <c r="M55" s="15" t="s">
        <v>5027</v>
      </c>
      <c r="N55" s="15" t="s">
        <v>5027</v>
      </c>
      <c r="O55" s="20"/>
      <c r="P55" s="20"/>
      <c r="Q55" s="20"/>
      <c r="R55" s="20"/>
      <c r="S55" s="20"/>
      <c r="T55" s="20"/>
      <c r="U55" s="20"/>
      <c r="V55" s="20"/>
      <c r="W55" s="20"/>
      <c r="X55" s="20"/>
      <c r="Y55" s="20"/>
      <c r="Z55" s="20"/>
    </row>
    <row r="56" spans="1:26" ht="17.25" customHeight="1">
      <c r="A56" s="55" t="s">
        <v>5028</v>
      </c>
      <c r="B56" s="15" t="s">
        <v>5036</v>
      </c>
      <c r="C56" s="15" t="s">
        <v>5028</v>
      </c>
      <c r="D56" s="15" t="s">
        <v>5028</v>
      </c>
      <c r="E56" s="15" t="s">
        <v>5028</v>
      </c>
      <c r="F56" s="15" t="s">
        <v>5028</v>
      </c>
      <c r="G56" s="15" t="s">
        <v>5028</v>
      </c>
      <c r="H56" s="15" t="s">
        <v>5028</v>
      </c>
      <c r="I56" s="15" t="s">
        <v>5028</v>
      </c>
      <c r="J56" s="15" t="s">
        <v>5028</v>
      </c>
      <c r="K56" s="15" t="s">
        <v>5028</v>
      </c>
      <c r="L56" s="15" t="s">
        <v>5028</v>
      </c>
      <c r="M56" s="15" t="s">
        <v>5028</v>
      </c>
      <c r="N56" s="15" t="s">
        <v>5028</v>
      </c>
      <c r="O56" s="20"/>
      <c r="P56" s="20"/>
      <c r="Q56" s="20"/>
      <c r="R56" s="20"/>
      <c r="S56" s="20"/>
      <c r="T56" s="20"/>
      <c r="U56" s="20"/>
      <c r="V56" s="20"/>
      <c r="W56" s="20"/>
      <c r="X56" s="20"/>
      <c r="Y56" s="20"/>
      <c r="Z56" s="20"/>
    </row>
    <row r="57" spans="1:26" ht="17.25" customHeight="1">
      <c r="A57" s="55" t="s">
        <v>5029</v>
      </c>
      <c r="B57" s="15" t="s">
        <v>5036</v>
      </c>
      <c r="C57" s="15" t="s">
        <v>5029</v>
      </c>
      <c r="D57" s="15" t="s">
        <v>5029</v>
      </c>
      <c r="E57" s="15" t="s">
        <v>5029</v>
      </c>
      <c r="F57" s="15" t="s">
        <v>5029</v>
      </c>
      <c r="G57" s="15" t="s">
        <v>5029</v>
      </c>
      <c r="H57" s="15" t="s">
        <v>5029</v>
      </c>
      <c r="I57" s="15" t="s">
        <v>5029</v>
      </c>
      <c r="J57" s="15" t="s">
        <v>5029</v>
      </c>
      <c r="K57" s="15" t="s">
        <v>5029</v>
      </c>
      <c r="L57" s="15" t="s">
        <v>5029</v>
      </c>
      <c r="M57" s="15" t="s">
        <v>5029</v>
      </c>
      <c r="N57" s="15" t="s">
        <v>5029</v>
      </c>
      <c r="O57" s="20"/>
      <c r="P57" s="20"/>
      <c r="Q57" s="20"/>
      <c r="R57" s="20"/>
      <c r="S57" s="20"/>
      <c r="T57" s="20"/>
      <c r="U57" s="20"/>
      <c r="V57" s="20"/>
      <c r="W57" s="20"/>
      <c r="X57" s="20"/>
      <c r="Y57" s="20"/>
      <c r="Z57" s="20"/>
    </row>
    <row r="58" spans="1:26" ht="17.25" customHeight="1">
      <c r="A58" s="55" t="s">
        <v>5030</v>
      </c>
      <c r="B58" s="15" t="s">
        <v>5036</v>
      </c>
      <c r="C58" s="15" t="s">
        <v>5030</v>
      </c>
      <c r="D58" s="15" t="s">
        <v>5030</v>
      </c>
      <c r="E58" s="15" t="s">
        <v>5030</v>
      </c>
      <c r="F58" s="15" t="s">
        <v>5030</v>
      </c>
      <c r="G58" s="15" t="s">
        <v>5030</v>
      </c>
      <c r="H58" s="15" t="s">
        <v>5030</v>
      </c>
      <c r="I58" s="15" t="s">
        <v>5030</v>
      </c>
      <c r="J58" s="15" t="s">
        <v>5030</v>
      </c>
      <c r="K58" s="15" t="s">
        <v>5030</v>
      </c>
      <c r="L58" s="15" t="s">
        <v>5030</v>
      </c>
      <c r="M58" s="15" t="s">
        <v>5030</v>
      </c>
      <c r="N58" s="15" t="s">
        <v>5030</v>
      </c>
      <c r="O58" s="20"/>
      <c r="P58" s="20"/>
      <c r="Q58" s="20"/>
      <c r="R58" s="20"/>
      <c r="S58" s="20"/>
      <c r="T58" s="20"/>
      <c r="U58" s="20"/>
      <c r="V58" s="20"/>
      <c r="W58" s="20"/>
      <c r="X58" s="20"/>
      <c r="Y58" s="20"/>
      <c r="Z58" s="20"/>
    </row>
    <row r="59" spans="1:26" ht="17.25" customHeight="1">
      <c r="A59" s="55" t="s">
        <v>5031</v>
      </c>
      <c r="B59" s="15" t="s">
        <v>5036</v>
      </c>
      <c r="C59" s="15" t="s">
        <v>5031</v>
      </c>
      <c r="D59" s="15" t="s">
        <v>5031</v>
      </c>
      <c r="E59" s="15" t="s">
        <v>5031</v>
      </c>
      <c r="F59" s="15" t="s">
        <v>5031</v>
      </c>
      <c r="G59" s="15" t="s">
        <v>5031</v>
      </c>
      <c r="H59" s="15" t="s">
        <v>5031</v>
      </c>
      <c r="I59" s="15" t="s">
        <v>5031</v>
      </c>
      <c r="J59" s="15" t="s">
        <v>5031</v>
      </c>
      <c r="K59" s="15" t="s">
        <v>5031</v>
      </c>
      <c r="L59" s="15" t="s">
        <v>5031</v>
      </c>
      <c r="M59" s="15" t="s">
        <v>5031</v>
      </c>
      <c r="N59" s="15" t="s">
        <v>5031</v>
      </c>
      <c r="O59" s="20"/>
      <c r="P59" s="20"/>
      <c r="Q59" s="20"/>
      <c r="R59" s="20"/>
      <c r="S59" s="20"/>
      <c r="T59" s="20"/>
      <c r="U59" s="20"/>
      <c r="V59" s="20"/>
      <c r="W59" s="20"/>
      <c r="X59" s="20"/>
      <c r="Y59" s="20"/>
      <c r="Z59" s="20"/>
    </row>
    <row r="60" spans="1:26" ht="17.25" customHeight="1">
      <c r="A60" s="55" t="s">
        <v>5032</v>
      </c>
      <c r="B60" s="15" t="s">
        <v>5036</v>
      </c>
      <c r="C60" s="15" t="s">
        <v>5032</v>
      </c>
      <c r="D60" s="15" t="s">
        <v>5032</v>
      </c>
      <c r="E60" s="15" t="s">
        <v>5032</v>
      </c>
      <c r="F60" s="15" t="s">
        <v>5032</v>
      </c>
      <c r="G60" s="15" t="s">
        <v>5032</v>
      </c>
      <c r="H60" s="15" t="s">
        <v>5032</v>
      </c>
      <c r="I60" s="15" t="s">
        <v>5032</v>
      </c>
      <c r="J60" s="15" t="s">
        <v>5032</v>
      </c>
      <c r="K60" s="15" t="s">
        <v>5032</v>
      </c>
      <c r="L60" s="15" t="s">
        <v>5032</v>
      </c>
      <c r="M60" s="15" t="s">
        <v>5032</v>
      </c>
      <c r="N60" s="15" t="s">
        <v>5032</v>
      </c>
      <c r="O60" s="20"/>
      <c r="P60" s="20"/>
      <c r="Q60" s="20"/>
      <c r="R60" s="20"/>
      <c r="S60" s="20"/>
      <c r="T60" s="20"/>
      <c r="U60" s="20"/>
      <c r="V60" s="20"/>
      <c r="W60" s="20"/>
      <c r="X60" s="20"/>
      <c r="Y60" s="20"/>
      <c r="Z60" s="20"/>
    </row>
    <row r="61" spans="1:26" ht="17.25" customHeight="1">
      <c r="A61" s="55" t="s">
        <v>5033</v>
      </c>
      <c r="B61" s="15" t="s">
        <v>5036</v>
      </c>
      <c r="C61" s="15" t="s">
        <v>5033</v>
      </c>
      <c r="D61" s="15" t="s">
        <v>5033</v>
      </c>
      <c r="E61" s="15" t="s">
        <v>5033</v>
      </c>
      <c r="F61" s="15" t="s">
        <v>5033</v>
      </c>
      <c r="G61" s="15" t="s">
        <v>5033</v>
      </c>
      <c r="H61" s="15" t="s">
        <v>5033</v>
      </c>
      <c r="I61" s="15" t="s">
        <v>5033</v>
      </c>
      <c r="J61" s="15" t="s">
        <v>5033</v>
      </c>
      <c r="K61" s="15" t="s">
        <v>5033</v>
      </c>
      <c r="L61" s="15" t="s">
        <v>5033</v>
      </c>
      <c r="M61" s="15" t="s">
        <v>5033</v>
      </c>
      <c r="N61" s="15" t="s">
        <v>5033</v>
      </c>
      <c r="O61" s="20"/>
      <c r="P61" s="20"/>
      <c r="Q61" s="20"/>
      <c r="R61" s="20"/>
      <c r="S61" s="20"/>
      <c r="T61" s="20"/>
      <c r="U61" s="20"/>
      <c r="V61" s="20"/>
      <c r="W61" s="20"/>
      <c r="X61" s="20"/>
      <c r="Y61" s="20"/>
      <c r="Z61" s="20"/>
    </row>
    <row r="62" spans="1:26" ht="17.25" customHeight="1">
      <c r="A62" s="15" t="s">
        <v>163</v>
      </c>
      <c r="B62" s="15" t="s">
        <v>163</v>
      </c>
      <c r="C62" s="15" t="s">
        <v>163</v>
      </c>
      <c r="D62" s="15" t="s">
        <v>163</v>
      </c>
      <c r="E62" s="15" t="s">
        <v>163</v>
      </c>
      <c r="F62" s="15" t="s">
        <v>163</v>
      </c>
      <c r="G62" s="15" t="s">
        <v>163</v>
      </c>
      <c r="H62" s="15" t="s">
        <v>163</v>
      </c>
      <c r="I62" s="15" t="s">
        <v>163</v>
      </c>
      <c r="J62" s="15" t="s">
        <v>163</v>
      </c>
      <c r="K62" s="15" t="s">
        <v>163</v>
      </c>
      <c r="L62" s="15" t="s">
        <v>163</v>
      </c>
      <c r="M62" s="15" t="s">
        <v>163</v>
      </c>
      <c r="N62" s="15" t="s">
        <v>163</v>
      </c>
      <c r="O62" s="20"/>
      <c r="P62" s="20"/>
      <c r="Q62" s="20"/>
      <c r="R62" s="20"/>
      <c r="S62" s="20"/>
      <c r="T62" s="20"/>
      <c r="U62" s="20"/>
      <c r="V62" s="20"/>
      <c r="W62" s="20"/>
      <c r="X62" s="20"/>
      <c r="Y62" s="20"/>
      <c r="Z62" s="20"/>
    </row>
    <row r="63" spans="1:26" ht="17.25" customHeight="1">
      <c r="N63" s="47"/>
      <c r="O63" s="20"/>
      <c r="P63" s="20"/>
      <c r="Q63" s="20"/>
      <c r="R63" s="20"/>
      <c r="S63" s="20"/>
      <c r="T63" s="20"/>
      <c r="U63" s="20"/>
      <c r="V63" s="20"/>
      <c r="W63" s="20"/>
      <c r="X63" s="20"/>
      <c r="Y63" s="20"/>
      <c r="Z63" s="20"/>
    </row>
    <row r="64" spans="1:26" ht="17.25" customHeight="1">
      <c r="N64" s="47"/>
      <c r="O64" s="20"/>
      <c r="P64" s="20"/>
      <c r="Q64" s="20"/>
      <c r="R64" s="20"/>
      <c r="S64" s="20"/>
      <c r="T64" s="20"/>
      <c r="U64" s="20"/>
      <c r="V64" s="20"/>
      <c r="W64" s="20"/>
      <c r="X64" s="20"/>
      <c r="Y64" s="20"/>
      <c r="Z64" s="20"/>
    </row>
    <row r="65" spans="14:26" ht="17.25" customHeight="1">
      <c r="N65" s="47"/>
      <c r="O65" s="20"/>
      <c r="P65" s="20"/>
      <c r="Q65" s="20"/>
      <c r="R65" s="20"/>
      <c r="S65" s="20"/>
      <c r="T65" s="20"/>
      <c r="U65" s="20"/>
      <c r="V65" s="20"/>
      <c r="W65" s="20"/>
      <c r="X65" s="20"/>
      <c r="Y65" s="20"/>
      <c r="Z65" s="20"/>
    </row>
    <row r="66" spans="14:26" ht="17.25" customHeight="1">
      <c r="N66" s="47"/>
      <c r="O66" s="20"/>
      <c r="P66" s="20"/>
      <c r="Q66" s="20"/>
      <c r="R66" s="20"/>
      <c r="S66" s="20"/>
      <c r="T66" s="20"/>
      <c r="U66" s="20"/>
      <c r="V66" s="20"/>
      <c r="W66" s="20"/>
      <c r="X66" s="20"/>
      <c r="Y66" s="20"/>
      <c r="Z66" s="20"/>
    </row>
    <row r="67" spans="14:26" ht="17.25" customHeight="1">
      <c r="N67" s="47"/>
      <c r="O67" s="20"/>
      <c r="P67" s="20"/>
      <c r="Q67" s="20"/>
      <c r="R67" s="20"/>
      <c r="S67" s="20"/>
      <c r="T67" s="20"/>
      <c r="U67" s="20"/>
      <c r="V67" s="20"/>
      <c r="W67" s="20"/>
      <c r="X67" s="20"/>
      <c r="Y67" s="20"/>
      <c r="Z67" s="20"/>
    </row>
    <row r="68" spans="14:26" ht="17.25" customHeight="1">
      <c r="N68" s="47"/>
      <c r="O68" s="20"/>
      <c r="P68" s="20"/>
      <c r="Q68" s="20"/>
      <c r="R68" s="20"/>
      <c r="S68" s="20"/>
      <c r="T68" s="20"/>
      <c r="U68" s="20"/>
      <c r="V68" s="20"/>
      <c r="W68" s="20"/>
      <c r="X68" s="20"/>
      <c r="Y68" s="20"/>
      <c r="Z68" s="20"/>
    </row>
    <row r="69" spans="14:26" ht="17.25" customHeight="1">
      <c r="N69" s="47"/>
      <c r="O69" s="20"/>
      <c r="P69" s="20"/>
      <c r="Q69" s="20"/>
      <c r="R69" s="20"/>
      <c r="S69" s="20"/>
      <c r="T69" s="20"/>
      <c r="U69" s="20"/>
      <c r="V69" s="20"/>
      <c r="W69" s="20"/>
      <c r="X69" s="20"/>
      <c r="Y69" s="20"/>
      <c r="Z69" s="20"/>
    </row>
    <row r="70" spans="14:26" ht="17.25" customHeight="1">
      <c r="N70" s="47"/>
      <c r="O70" s="20"/>
      <c r="P70" s="20"/>
      <c r="Q70" s="20"/>
      <c r="R70" s="20"/>
      <c r="S70" s="20"/>
      <c r="T70" s="20"/>
      <c r="U70" s="20"/>
      <c r="V70" s="20"/>
      <c r="W70" s="20"/>
      <c r="X70" s="20"/>
      <c r="Y70" s="20"/>
      <c r="Z70" s="20"/>
    </row>
    <row r="71" spans="14:26" ht="17.25" customHeight="1">
      <c r="N71" s="47"/>
      <c r="O71" s="20"/>
      <c r="P71" s="20"/>
      <c r="Q71" s="20"/>
      <c r="R71" s="20"/>
      <c r="S71" s="20"/>
      <c r="T71" s="20"/>
      <c r="U71" s="20"/>
      <c r="V71" s="20"/>
      <c r="W71" s="20"/>
      <c r="X71" s="20"/>
      <c r="Y71" s="20"/>
      <c r="Z71" s="20"/>
    </row>
    <row r="72" spans="14:26" ht="17.25" customHeight="1">
      <c r="N72" s="47"/>
      <c r="O72" s="20"/>
      <c r="P72" s="20"/>
      <c r="Q72" s="20"/>
      <c r="R72" s="20"/>
      <c r="S72" s="20"/>
      <c r="T72" s="20"/>
      <c r="U72" s="20"/>
      <c r="V72" s="20"/>
      <c r="W72" s="20"/>
      <c r="X72" s="20"/>
      <c r="Y72" s="20"/>
      <c r="Z72" s="20"/>
    </row>
    <row r="73" spans="14:26" ht="17.25" customHeight="1">
      <c r="N73" s="47"/>
      <c r="O73" s="20"/>
      <c r="P73" s="20"/>
      <c r="Q73" s="20"/>
      <c r="R73" s="20"/>
      <c r="S73" s="20"/>
      <c r="T73" s="20"/>
      <c r="U73" s="20"/>
      <c r="V73" s="20"/>
      <c r="W73" s="20"/>
      <c r="X73" s="20"/>
      <c r="Y73" s="20"/>
      <c r="Z73" s="20"/>
    </row>
    <row r="74" spans="14:26" ht="17.25" customHeight="1">
      <c r="N74" s="47"/>
      <c r="O74" s="20"/>
      <c r="P74" s="20"/>
      <c r="Q74" s="20"/>
      <c r="R74" s="20"/>
      <c r="S74" s="20"/>
      <c r="T74" s="20"/>
      <c r="U74" s="20"/>
      <c r="V74" s="20"/>
      <c r="W74" s="20"/>
      <c r="X74" s="20"/>
      <c r="Y74" s="20"/>
      <c r="Z74" s="20"/>
    </row>
    <row r="75" spans="14:26" ht="17.25" customHeight="1">
      <c r="N75" s="47"/>
      <c r="O75" s="20"/>
      <c r="P75" s="20"/>
      <c r="Q75" s="20"/>
      <c r="R75" s="20"/>
      <c r="S75" s="20"/>
      <c r="T75" s="20"/>
      <c r="U75" s="20"/>
      <c r="V75" s="20"/>
      <c r="W75" s="20"/>
      <c r="X75" s="20"/>
      <c r="Y75" s="20"/>
      <c r="Z75" s="20"/>
    </row>
    <row r="76" spans="14:26" ht="17.25" customHeight="1">
      <c r="N76" s="47"/>
      <c r="O76" s="20"/>
      <c r="P76" s="20"/>
      <c r="Q76" s="20"/>
      <c r="R76" s="20"/>
      <c r="S76" s="20"/>
      <c r="T76" s="20"/>
      <c r="U76" s="20"/>
      <c r="V76" s="20"/>
      <c r="W76" s="20"/>
      <c r="X76" s="20"/>
      <c r="Y76" s="20"/>
      <c r="Z76" s="20"/>
    </row>
    <row r="77" spans="14:26" ht="17.25" customHeight="1">
      <c r="N77" s="47"/>
      <c r="O77" s="20"/>
      <c r="P77" s="20"/>
      <c r="Q77" s="20"/>
      <c r="R77" s="20"/>
      <c r="S77" s="20"/>
      <c r="T77" s="20"/>
      <c r="U77" s="20"/>
      <c r="V77" s="20"/>
      <c r="W77" s="20"/>
      <c r="X77" s="20"/>
      <c r="Y77" s="20"/>
      <c r="Z77" s="20"/>
    </row>
    <row r="78" spans="14:26" ht="17.25" customHeight="1">
      <c r="N78" s="47"/>
      <c r="O78" s="20"/>
      <c r="P78" s="20"/>
      <c r="Q78" s="20"/>
      <c r="R78" s="20"/>
      <c r="S78" s="20"/>
      <c r="T78" s="20"/>
      <c r="U78" s="20"/>
      <c r="V78" s="20"/>
      <c r="W78" s="20"/>
      <c r="X78" s="20"/>
      <c r="Y78" s="20"/>
      <c r="Z78" s="20"/>
    </row>
    <row r="79" spans="14:26" ht="17.25" customHeight="1">
      <c r="N79" s="47"/>
      <c r="O79" s="20"/>
      <c r="P79" s="20"/>
      <c r="Q79" s="20"/>
      <c r="R79" s="20"/>
      <c r="S79" s="20"/>
      <c r="T79" s="20"/>
      <c r="U79" s="20"/>
      <c r="V79" s="20"/>
      <c r="W79" s="20"/>
      <c r="X79" s="20"/>
      <c r="Y79" s="20"/>
      <c r="Z79" s="20"/>
    </row>
    <row r="80" spans="14:26" ht="17.25" customHeight="1">
      <c r="N80" s="47"/>
      <c r="O80" s="20"/>
      <c r="P80" s="20"/>
      <c r="Q80" s="20"/>
      <c r="R80" s="20"/>
      <c r="S80" s="20"/>
      <c r="T80" s="20"/>
      <c r="U80" s="20"/>
      <c r="V80" s="20"/>
      <c r="W80" s="20"/>
      <c r="X80" s="20"/>
      <c r="Y80" s="20"/>
      <c r="Z80" s="20"/>
    </row>
    <row r="81" spans="14:26" ht="17.25" customHeight="1">
      <c r="N81" s="47"/>
      <c r="O81" s="20"/>
      <c r="P81" s="20"/>
      <c r="Q81" s="20"/>
      <c r="R81" s="20"/>
      <c r="S81" s="20"/>
      <c r="T81" s="20"/>
      <c r="U81" s="20"/>
      <c r="V81" s="20"/>
      <c r="W81" s="20"/>
      <c r="X81" s="20"/>
      <c r="Y81" s="20"/>
      <c r="Z81" s="20"/>
    </row>
    <row r="82" spans="14:26" ht="17.25" customHeight="1">
      <c r="N82" s="47"/>
      <c r="O82" s="20"/>
      <c r="P82" s="20"/>
      <c r="Q82" s="20"/>
      <c r="R82" s="20"/>
      <c r="S82" s="20"/>
      <c r="T82" s="20"/>
      <c r="U82" s="20"/>
      <c r="V82" s="20"/>
      <c r="W82" s="20"/>
      <c r="X82" s="20"/>
      <c r="Y82" s="20"/>
      <c r="Z82" s="20"/>
    </row>
    <row r="83" spans="14:26" ht="17.25" customHeight="1">
      <c r="N83" s="47"/>
      <c r="O83" s="20"/>
      <c r="P83" s="20"/>
      <c r="Q83" s="20"/>
      <c r="R83" s="20"/>
      <c r="S83" s="20"/>
      <c r="T83" s="20"/>
      <c r="U83" s="20"/>
      <c r="V83" s="20"/>
      <c r="W83" s="20"/>
      <c r="X83" s="20"/>
      <c r="Y83" s="20"/>
      <c r="Z83" s="20"/>
    </row>
    <row r="84" spans="14:26" ht="17.25" customHeight="1">
      <c r="N84" s="47"/>
      <c r="O84" s="20"/>
      <c r="P84" s="20"/>
      <c r="Q84" s="20"/>
      <c r="R84" s="20"/>
      <c r="S84" s="20"/>
      <c r="T84" s="20"/>
      <c r="U84" s="20"/>
      <c r="V84" s="20"/>
      <c r="W84" s="20"/>
      <c r="X84" s="20"/>
      <c r="Y84" s="20"/>
      <c r="Z84" s="20"/>
    </row>
    <row r="85" spans="14:26" ht="17.25" customHeight="1">
      <c r="N85" s="47"/>
      <c r="O85" s="20"/>
      <c r="P85" s="20"/>
      <c r="Q85" s="20"/>
      <c r="R85" s="20"/>
      <c r="S85" s="20"/>
      <c r="T85" s="20"/>
      <c r="U85" s="20"/>
      <c r="V85" s="20"/>
      <c r="W85" s="20"/>
      <c r="X85" s="20"/>
      <c r="Y85" s="20"/>
      <c r="Z85" s="20"/>
    </row>
    <row r="86" spans="14:26" ht="17.25" customHeight="1">
      <c r="N86" s="47"/>
      <c r="O86" s="20"/>
      <c r="P86" s="20"/>
      <c r="Q86" s="20"/>
      <c r="R86" s="20"/>
      <c r="S86" s="20"/>
      <c r="T86" s="20"/>
      <c r="U86" s="20"/>
      <c r="V86" s="20"/>
      <c r="W86" s="20"/>
      <c r="X86" s="20"/>
      <c r="Y86" s="20"/>
      <c r="Z86" s="20"/>
    </row>
    <row r="87" spans="14:26" ht="17.25" customHeight="1">
      <c r="N87" s="47"/>
      <c r="O87" s="20"/>
      <c r="P87" s="20"/>
      <c r="Q87" s="20"/>
      <c r="R87" s="20"/>
      <c r="S87" s="20"/>
      <c r="T87" s="20"/>
      <c r="U87" s="20"/>
      <c r="V87" s="20"/>
      <c r="W87" s="20"/>
      <c r="X87" s="20"/>
      <c r="Y87" s="20"/>
      <c r="Z87" s="20"/>
    </row>
    <row r="88" spans="14:26" ht="17.25" customHeight="1">
      <c r="N88" s="47"/>
      <c r="O88" s="20"/>
      <c r="P88" s="20"/>
      <c r="Q88" s="20"/>
      <c r="R88" s="20"/>
      <c r="S88" s="20"/>
      <c r="T88" s="20"/>
      <c r="U88" s="20"/>
      <c r="V88" s="20"/>
      <c r="W88" s="20"/>
      <c r="X88" s="20"/>
      <c r="Y88" s="20"/>
      <c r="Z88" s="20"/>
    </row>
    <row r="89" spans="14:26" ht="17.25" customHeight="1">
      <c r="N89" s="47"/>
      <c r="O89" s="20"/>
      <c r="P89" s="20"/>
      <c r="Q89" s="20"/>
      <c r="R89" s="20"/>
      <c r="S89" s="20"/>
      <c r="T89" s="20"/>
      <c r="U89" s="20"/>
      <c r="V89" s="20"/>
      <c r="W89" s="20"/>
      <c r="X89" s="20"/>
      <c r="Y89" s="20"/>
      <c r="Z89" s="20"/>
    </row>
    <row r="90" spans="14:26" ht="17.25" customHeight="1">
      <c r="N90" s="47"/>
      <c r="O90" s="20"/>
      <c r="P90" s="20"/>
      <c r="Q90" s="20"/>
      <c r="R90" s="20"/>
      <c r="S90" s="20"/>
      <c r="T90" s="20"/>
      <c r="U90" s="20"/>
      <c r="V90" s="20"/>
      <c r="W90" s="20"/>
      <c r="X90" s="20"/>
      <c r="Y90" s="20"/>
      <c r="Z90" s="20"/>
    </row>
    <row r="91" spans="14:26" ht="17.25" customHeight="1">
      <c r="N91" s="47"/>
      <c r="O91" s="20"/>
      <c r="P91" s="20"/>
      <c r="Q91" s="20"/>
      <c r="R91" s="20"/>
      <c r="S91" s="20"/>
      <c r="T91" s="20"/>
      <c r="U91" s="20"/>
      <c r="V91" s="20"/>
      <c r="W91" s="20"/>
      <c r="X91" s="20"/>
      <c r="Y91" s="20"/>
      <c r="Z91" s="20"/>
    </row>
    <row r="92" spans="14:26" ht="17.25" customHeight="1">
      <c r="N92" s="47"/>
      <c r="O92" s="20"/>
      <c r="P92" s="20"/>
      <c r="Q92" s="20"/>
      <c r="R92" s="20"/>
      <c r="S92" s="20"/>
      <c r="T92" s="20"/>
      <c r="U92" s="20"/>
      <c r="V92" s="20"/>
      <c r="W92" s="20"/>
      <c r="X92" s="20"/>
      <c r="Y92" s="20"/>
      <c r="Z92" s="20"/>
    </row>
    <row r="93" spans="14:26" ht="17.25" customHeight="1">
      <c r="N93" s="47"/>
      <c r="O93" s="20"/>
      <c r="P93" s="20"/>
      <c r="Q93" s="20"/>
      <c r="R93" s="20"/>
      <c r="S93" s="20"/>
      <c r="T93" s="20"/>
      <c r="U93" s="20"/>
      <c r="V93" s="20"/>
      <c r="W93" s="20"/>
      <c r="X93" s="20"/>
      <c r="Y93" s="20"/>
      <c r="Z93" s="20"/>
    </row>
    <row r="94" spans="14:26" ht="17.25" customHeight="1">
      <c r="N94" s="47"/>
      <c r="O94" s="20"/>
      <c r="P94" s="20"/>
      <c r="Q94" s="20"/>
      <c r="R94" s="20"/>
      <c r="S94" s="20"/>
      <c r="T94" s="20"/>
      <c r="U94" s="20"/>
      <c r="V94" s="20"/>
      <c r="W94" s="20"/>
      <c r="X94" s="20"/>
      <c r="Y94" s="20"/>
      <c r="Z94" s="20"/>
    </row>
    <row r="95" spans="14:26" ht="17.25" customHeight="1">
      <c r="N95" s="47"/>
      <c r="O95" s="20"/>
      <c r="P95" s="20"/>
      <c r="Q95" s="20"/>
      <c r="R95" s="20"/>
      <c r="S95" s="20"/>
      <c r="T95" s="20"/>
      <c r="U95" s="20"/>
      <c r="V95" s="20"/>
      <c r="W95" s="20"/>
      <c r="X95" s="20"/>
      <c r="Y95" s="20"/>
      <c r="Z95" s="20"/>
    </row>
    <row r="96" spans="14:26" ht="17.25" customHeight="1">
      <c r="N96" s="47"/>
      <c r="O96" s="20"/>
      <c r="P96" s="20"/>
      <c r="Q96" s="20"/>
      <c r="R96" s="20"/>
      <c r="S96" s="20"/>
      <c r="T96" s="20"/>
      <c r="U96" s="20"/>
      <c r="V96" s="20"/>
      <c r="W96" s="20"/>
      <c r="X96" s="20"/>
      <c r="Y96" s="20"/>
      <c r="Z96" s="20"/>
    </row>
    <row r="97" spans="14:26" ht="17.25" customHeight="1">
      <c r="N97" s="47"/>
      <c r="O97" s="20"/>
      <c r="P97" s="20"/>
      <c r="Q97" s="20"/>
      <c r="R97" s="20"/>
      <c r="S97" s="20"/>
      <c r="T97" s="20"/>
      <c r="U97" s="20"/>
      <c r="V97" s="20"/>
      <c r="W97" s="20"/>
      <c r="X97" s="20"/>
      <c r="Y97" s="20"/>
      <c r="Z97" s="20"/>
    </row>
    <row r="98" spans="14:26" ht="17.25" customHeight="1">
      <c r="N98" s="47"/>
      <c r="O98" s="20"/>
      <c r="P98" s="20"/>
      <c r="Q98" s="20"/>
      <c r="R98" s="20"/>
      <c r="S98" s="20"/>
      <c r="T98" s="20"/>
      <c r="U98" s="20"/>
      <c r="V98" s="20"/>
      <c r="W98" s="20"/>
      <c r="X98" s="20"/>
      <c r="Y98" s="20"/>
      <c r="Z98" s="20"/>
    </row>
    <row r="99" spans="14:26" ht="17.25" customHeight="1">
      <c r="N99" s="47"/>
      <c r="O99" s="20"/>
      <c r="P99" s="20"/>
      <c r="Q99" s="20"/>
      <c r="R99" s="20"/>
      <c r="S99" s="20"/>
      <c r="T99" s="20"/>
      <c r="U99" s="20"/>
      <c r="V99" s="20"/>
      <c r="W99" s="20"/>
      <c r="X99" s="20"/>
      <c r="Y99" s="20"/>
      <c r="Z99" s="20"/>
    </row>
    <row r="100" spans="14:26" ht="17.25" customHeight="1">
      <c r="N100" s="47"/>
      <c r="O100" s="20"/>
      <c r="P100" s="20"/>
      <c r="Q100" s="20"/>
      <c r="R100" s="20"/>
      <c r="S100" s="20"/>
      <c r="T100" s="20"/>
      <c r="U100" s="20"/>
      <c r="V100" s="20"/>
      <c r="W100" s="20"/>
      <c r="X100" s="20"/>
      <c r="Y100" s="20"/>
      <c r="Z100" s="20"/>
    </row>
    <row r="101" spans="14:26" ht="17.25" customHeight="1">
      <c r="N101" s="47"/>
      <c r="O101" s="20"/>
      <c r="P101" s="20"/>
      <c r="Q101" s="20"/>
      <c r="R101" s="20"/>
      <c r="S101" s="20"/>
      <c r="T101" s="20"/>
      <c r="U101" s="20"/>
      <c r="V101" s="20"/>
      <c r="W101" s="20"/>
      <c r="X101" s="20"/>
      <c r="Y101" s="20"/>
      <c r="Z101" s="20"/>
    </row>
    <row r="102" spans="14:26" ht="17.25" customHeight="1">
      <c r="N102" s="47"/>
      <c r="O102" s="20"/>
      <c r="P102" s="20"/>
      <c r="Q102" s="20"/>
      <c r="R102" s="20"/>
      <c r="S102" s="20"/>
      <c r="T102" s="20"/>
      <c r="U102" s="20"/>
      <c r="V102" s="20"/>
      <c r="W102" s="20"/>
      <c r="X102" s="20"/>
      <c r="Y102" s="20"/>
      <c r="Z102" s="20"/>
    </row>
    <row r="103" spans="14:26" ht="17.25" customHeight="1">
      <c r="N103" s="47"/>
      <c r="O103" s="20"/>
      <c r="P103" s="20"/>
      <c r="Q103" s="20"/>
      <c r="R103" s="20"/>
      <c r="S103" s="20"/>
      <c r="T103" s="20"/>
      <c r="U103" s="20"/>
      <c r="V103" s="20"/>
      <c r="W103" s="20"/>
      <c r="X103" s="20"/>
      <c r="Y103" s="20"/>
      <c r="Z103" s="20"/>
    </row>
    <row r="104" spans="14:26" ht="17.25" customHeight="1">
      <c r="N104" s="47"/>
      <c r="O104" s="20"/>
      <c r="P104" s="20"/>
      <c r="Q104" s="20"/>
      <c r="R104" s="20"/>
      <c r="S104" s="20"/>
      <c r="T104" s="20"/>
      <c r="U104" s="20"/>
      <c r="V104" s="20"/>
      <c r="W104" s="20"/>
      <c r="X104" s="20"/>
      <c r="Y104" s="20"/>
      <c r="Z104" s="20"/>
    </row>
    <row r="105" spans="14:26" ht="17.25" customHeight="1">
      <c r="N105" s="47"/>
      <c r="O105" s="20"/>
      <c r="P105" s="20"/>
      <c r="Q105" s="20"/>
      <c r="R105" s="20"/>
      <c r="S105" s="20"/>
      <c r="T105" s="20"/>
      <c r="U105" s="20"/>
      <c r="V105" s="20"/>
      <c r="W105" s="20"/>
      <c r="X105" s="20"/>
      <c r="Y105" s="20"/>
      <c r="Z105" s="20"/>
    </row>
    <row r="106" spans="14:26" ht="17.25" customHeight="1">
      <c r="N106" s="47"/>
      <c r="O106" s="20"/>
      <c r="P106" s="20"/>
      <c r="Q106" s="20"/>
      <c r="R106" s="20"/>
      <c r="S106" s="20"/>
      <c r="T106" s="20"/>
      <c r="U106" s="20"/>
      <c r="V106" s="20"/>
      <c r="W106" s="20"/>
      <c r="X106" s="20"/>
      <c r="Y106" s="20"/>
      <c r="Z106" s="20"/>
    </row>
    <row r="107" spans="14:26" ht="17.25" customHeight="1">
      <c r="N107" s="47"/>
      <c r="O107" s="20"/>
      <c r="P107" s="20"/>
      <c r="Q107" s="20"/>
      <c r="R107" s="20"/>
      <c r="S107" s="20"/>
      <c r="T107" s="20"/>
      <c r="U107" s="20"/>
      <c r="V107" s="20"/>
      <c r="W107" s="20"/>
      <c r="X107" s="20"/>
      <c r="Y107" s="20"/>
      <c r="Z107" s="20"/>
    </row>
    <row r="108" spans="14:26" ht="17.25" customHeight="1">
      <c r="N108" s="47"/>
      <c r="O108" s="20"/>
      <c r="P108" s="20"/>
      <c r="Q108" s="20"/>
      <c r="R108" s="20"/>
      <c r="S108" s="20"/>
      <c r="T108" s="20"/>
      <c r="U108" s="20"/>
      <c r="V108" s="20"/>
      <c r="W108" s="20"/>
      <c r="X108" s="20"/>
      <c r="Y108" s="20"/>
      <c r="Z108" s="20"/>
    </row>
    <row r="109" spans="14:26" ht="17.25" customHeight="1">
      <c r="N109" s="47"/>
      <c r="O109" s="20"/>
      <c r="P109" s="20"/>
      <c r="Q109" s="20"/>
      <c r="R109" s="20"/>
      <c r="S109" s="20"/>
      <c r="T109" s="20"/>
      <c r="U109" s="20"/>
      <c r="V109" s="20"/>
      <c r="W109" s="20"/>
      <c r="X109" s="20"/>
      <c r="Y109" s="20"/>
      <c r="Z109" s="20"/>
    </row>
    <row r="110" spans="14:26" ht="17.25" customHeight="1">
      <c r="N110" s="47"/>
      <c r="O110" s="20"/>
      <c r="P110" s="20"/>
      <c r="Q110" s="20"/>
      <c r="R110" s="20"/>
      <c r="S110" s="20"/>
      <c r="T110" s="20"/>
      <c r="U110" s="20"/>
      <c r="V110" s="20"/>
      <c r="W110" s="20"/>
      <c r="X110" s="20"/>
      <c r="Y110" s="20"/>
      <c r="Z110" s="20"/>
    </row>
    <row r="111" spans="14:26" ht="17.25" customHeight="1">
      <c r="N111" s="47"/>
      <c r="O111" s="20"/>
      <c r="P111" s="20"/>
      <c r="Q111" s="20"/>
      <c r="R111" s="20"/>
      <c r="S111" s="20"/>
      <c r="T111" s="20"/>
      <c r="U111" s="20"/>
      <c r="V111" s="20"/>
      <c r="W111" s="20"/>
      <c r="X111" s="20"/>
      <c r="Y111" s="20"/>
      <c r="Z111" s="20"/>
    </row>
    <row r="112" spans="14:26" ht="17.25" customHeight="1">
      <c r="N112" s="47"/>
      <c r="O112" s="20"/>
      <c r="P112" s="20"/>
      <c r="Q112" s="20"/>
      <c r="R112" s="20"/>
      <c r="S112" s="20"/>
      <c r="T112" s="20"/>
      <c r="U112" s="20"/>
      <c r="V112" s="20"/>
      <c r="W112" s="20"/>
      <c r="X112" s="20"/>
      <c r="Y112" s="20"/>
      <c r="Z112" s="20"/>
    </row>
    <row r="113" spans="14:26" ht="17.25" customHeight="1">
      <c r="N113" s="47"/>
      <c r="O113" s="20"/>
      <c r="P113" s="20"/>
      <c r="Q113" s="20"/>
      <c r="R113" s="20"/>
      <c r="S113" s="20"/>
      <c r="T113" s="20"/>
      <c r="U113" s="20"/>
      <c r="V113" s="20"/>
      <c r="W113" s="20"/>
      <c r="X113" s="20"/>
      <c r="Y113" s="20"/>
      <c r="Z113" s="20"/>
    </row>
    <row r="114" spans="14:26" ht="17.25" customHeight="1">
      <c r="N114" s="47"/>
      <c r="O114" s="20"/>
      <c r="P114" s="20"/>
      <c r="Q114" s="20"/>
      <c r="R114" s="20"/>
      <c r="S114" s="20"/>
      <c r="T114" s="20"/>
      <c r="U114" s="20"/>
      <c r="V114" s="20"/>
      <c r="W114" s="20"/>
      <c r="X114" s="20"/>
      <c r="Y114" s="20"/>
      <c r="Z114" s="20"/>
    </row>
    <row r="115" spans="14:26" ht="17.25" customHeight="1">
      <c r="N115" s="47"/>
      <c r="O115" s="20"/>
      <c r="P115" s="20"/>
      <c r="Q115" s="20"/>
      <c r="R115" s="20"/>
      <c r="S115" s="20"/>
      <c r="T115" s="20"/>
      <c r="U115" s="20"/>
      <c r="V115" s="20"/>
      <c r="W115" s="20"/>
      <c r="X115" s="20"/>
      <c r="Y115" s="20"/>
      <c r="Z115" s="20"/>
    </row>
    <row r="116" spans="14:26" ht="17.25" customHeight="1">
      <c r="N116" s="47"/>
      <c r="O116" s="20"/>
      <c r="P116" s="20"/>
      <c r="Q116" s="20"/>
      <c r="R116" s="20"/>
      <c r="S116" s="20"/>
      <c r="T116" s="20"/>
      <c r="U116" s="20"/>
      <c r="V116" s="20"/>
      <c r="W116" s="20"/>
      <c r="X116" s="20"/>
      <c r="Y116" s="20"/>
      <c r="Z116" s="20"/>
    </row>
    <row r="117" spans="14:26" ht="17.25" customHeight="1">
      <c r="N117" s="47"/>
      <c r="O117" s="20"/>
      <c r="P117" s="20"/>
      <c r="Q117" s="20"/>
      <c r="R117" s="20"/>
      <c r="S117" s="20"/>
      <c r="T117" s="20"/>
      <c r="U117" s="20"/>
      <c r="V117" s="20"/>
      <c r="W117" s="20"/>
      <c r="X117" s="20"/>
      <c r="Y117" s="20"/>
      <c r="Z117" s="20"/>
    </row>
    <row r="118" spans="14:26" ht="17.25" customHeight="1">
      <c r="N118" s="47"/>
      <c r="O118" s="20"/>
      <c r="P118" s="20"/>
      <c r="Q118" s="20"/>
      <c r="R118" s="20"/>
      <c r="S118" s="20"/>
      <c r="T118" s="20"/>
      <c r="U118" s="20"/>
      <c r="V118" s="20"/>
      <c r="W118" s="20"/>
      <c r="X118" s="20"/>
      <c r="Y118" s="20"/>
      <c r="Z118" s="20"/>
    </row>
    <row r="119" spans="14:26" ht="17.25" customHeight="1">
      <c r="N119" s="47"/>
      <c r="O119" s="20"/>
      <c r="P119" s="20"/>
      <c r="Q119" s="20"/>
      <c r="R119" s="20"/>
      <c r="S119" s="20"/>
      <c r="T119" s="20"/>
      <c r="U119" s="20"/>
      <c r="V119" s="20"/>
      <c r="W119" s="20"/>
      <c r="X119" s="20"/>
      <c r="Y119" s="20"/>
      <c r="Z119" s="20"/>
    </row>
    <row r="120" spans="14:26" ht="17.25" customHeight="1">
      <c r="N120" s="47"/>
      <c r="O120" s="20"/>
      <c r="P120" s="20"/>
      <c r="Q120" s="20"/>
      <c r="R120" s="20"/>
      <c r="S120" s="20"/>
      <c r="T120" s="20"/>
      <c r="U120" s="20"/>
      <c r="V120" s="20"/>
      <c r="W120" s="20"/>
      <c r="X120" s="20"/>
      <c r="Y120" s="20"/>
      <c r="Z120" s="20"/>
    </row>
    <row r="121" spans="14:26" ht="17.25" customHeight="1">
      <c r="N121" s="47"/>
      <c r="O121" s="20"/>
      <c r="P121" s="20"/>
      <c r="Q121" s="20"/>
      <c r="R121" s="20"/>
      <c r="S121" s="20"/>
      <c r="T121" s="20"/>
      <c r="U121" s="20"/>
      <c r="V121" s="20"/>
      <c r="W121" s="20"/>
      <c r="X121" s="20"/>
      <c r="Y121" s="20"/>
      <c r="Z121" s="20"/>
    </row>
    <row r="122" spans="14:26" ht="17.25" customHeight="1">
      <c r="N122" s="47"/>
      <c r="O122" s="20"/>
      <c r="P122" s="20"/>
      <c r="Q122" s="20"/>
      <c r="R122" s="20"/>
      <c r="S122" s="20"/>
      <c r="T122" s="20"/>
      <c r="U122" s="20"/>
      <c r="V122" s="20"/>
      <c r="W122" s="20"/>
      <c r="X122" s="20"/>
      <c r="Y122" s="20"/>
      <c r="Z122" s="20"/>
    </row>
    <row r="123" spans="14:26" ht="17.25" customHeight="1">
      <c r="N123" s="47"/>
      <c r="O123" s="20"/>
      <c r="P123" s="20"/>
      <c r="Q123" s="20"/>
      <c r="R123" s="20"/>
      <c r="S123" s="20"/>
      <c r="T123" s="20"/>
      <c r="U123" s="20"/>
      <c r="V123" s="20"/>
      <c r="W123" s="20"/>
      <c r="X123" s="20"/>
      <c r="Y123" s="20"/>
      <c r="Z123" s="20"/>
    </row>
    <row r="124" spans="14:26" ht="17.25" customHeight="1">
      <c r="N124" s="47"/>
      <c r="O124" s="20"/>
      <c r="P124" s="20"/>
      <c r="Q124" s="20"/>
      <c r="R124" s="20"/>
      <c r="S124" s="20"/>
      <c r="T124" s="20"/>
      <c r="U124" s="20"/>
      <c r="V124" s="20"/>
      <c r="W124" s="20"/>
      <c r="X124" s="20"/>
      <c r="Y124" s="20"/>
      <c r="Z124" s="20"/>
    </row>
    <row r="125" spans="14:26" ht="17.25" customHeight="1">
      <c r="N125" s="47"/>
      <c r="O125" s="20"/>
      <c r="P125" s="20"/>
      <c r="Q125" s="20"/>
      <c r="R125" s="20"/>
      <c r="S125" s="20"/>
      <c r="T125" s="20"/>
      <c r="U125" s="20"/>
      <c r="V125" s="20"/>
      <c r="W125" s="20"/>
      <c r="X125" s="20"/>
      <c r="Y125" s="20"/>
      <c r="Z125" s="20"/>
    </row>
    <row r="126" spans="14:26" ht="17.25" customHeight="1">
      <c r="N126" s="47"/>
      <c r="O126" s="20"/>
      <c r="P126" s="20"/>
      <c r="Q126" s="20"/>
      <c r="R126" s="20"/>
      <c r="S126" s="20"/>
      <c r="T126" s="20"/>
      <c r="U126" s="20"/>
      <c r="V126" s="20"/>
      <c r="W126" s="20"/>
      <c r="X126" s="20"/>
      <c r="Y126" s="20"/>
      <c r="Z126" s="20"/>
    </row>
    <row r="127" spans="14:26" ht="17.25" customHeight="1">
      <c r="N127" s="47"/>
      <c r="O127" s="20"/>
      <c r="P127" s="20"/>
      <c r="Q127" s="20"/>
      <c r="R127" s="20"/>
      <c r="S127" s="20"/>
      <c r="T127" s="20"/>
      <c r="U127" s="20"/>
      <c r="V127" s="20"/>
      <c r="W127" s="20"/>
      <c r="X127" s="20"/>
      <c r="Y127" s="20"/>
      <c r="Z127" s="20"/>
    </row>
    <row r="128" spans="14:26" ht="17.25" customHeight="1">
      <c r="N128" s="47"/>
      <c r="O128" s="20"/>
      <c r="P128" s="20"/>
      <c r="Q128" s="20"/>
      <c r="R128" s="20"/>
      <c r="S128" s="20"/>
      <c r="T128" s="20"/>
      <c r="U128" s="20"/>
      <c r="V128" s="20"/>
      <c r="W128" s="20"/>
      <c r="X128" s="20"/>
      <c r="Y128" s="20"/>
      <c r="Z128" s="20"/>
    </row>
    <row r="129" spans="14:26" ht="17.25" customHeight="1">
      <c r="N129" s="47"/>
      <c r="O129" s="20"/>
      <c r="P129" s="20"/>
      <c r="Q129" s="20"/>
      <c r="R129" s="20"/>
      <c r="S129" s="20"/>
      <c r="T129" s="20"/>
      <c r="U129" s="20"/>
      <c r="V129" s="20"/>
      <c r="W129" s="20"/>
      <c r="X129" s="20"/>
      <c r="Y129" s="20"/>
      <c r="Z129" s="20"/>
    </row>
    <row r="130" spans="14:26" ht="17.25" customHeight="1">
      <c r="N130" s="47"/>
      <c r="O130" s="20"/>
      <c r="P130" s="20"/>
      <c r="Q130" s="20"/>
      <c r="R130" s="20"/>
      <c r="S130" s="20"/>
      <c r="T130" s="20"/>
      <c r="U130" s="20"/>
      <c r="V130" s="20"/>
      <c r="W130" s="20"/>
      <c r="X130" s="20"/>
      <c r="Y130" s="20"/>
      <c r="Z130" s="20"/>
    </row>
    <row r="131" spans="14:26" ht="17.25" customHeight="1">
      <c r="N131" s="47"/>
      <c r="O131" s="20"/>
      <c r="P131" s="20"/>
      <c r="Q131" s="20"/>
      <c r="R131" s="20"/>
      <c r="S131" s="20"/>
      <c r="T131" s="20"/>
      <c r="U131" s="20"/>
      <c r="V131" s="20"/>
      <c r="W131" s="20"/>
      <c r="X131" s="20"/>
      <c r="Y131" s="20"/>
      <c r="Z131" s="20"/>
    </row>
    <row r="132" spans="14:26" ht="17.25" customHeight="1">
      <c r="N132" s="47"/>
      <c r="O132" s="20"/>
      <c r="P132" s="20"/>
      <c r="Q132" s="20"/>
      <c r="R132" s="20"/>
      <c r="S132" s="20"/>
      <c r="T132" s="20"/>
      <c r="U132" s="20"/>
      <c r="V132" s="20"/>
      <c r="W132" s="20"/>
      <c r="X132" s="20"/>
      <c r="Y132" s="20"/>
      <c r="Z132" s="20"/>
    </row>
    <row r="133" spans="14:26" ht="17.25" customHeight="1">
      <c r="N133" s="47"/>
      <c r="O133" s="20"/>
      <c r="P133" s="20"/>
      <c r="Q133" s="20"/>
      <c r="R133" s="20"/>
      <c r="S133" s="20"/>
      <c r="T133" s="20"/>
      <c r="U133" s="20"/>
      <c r="V133" s="20"/>
      <c r="W133" s="20"/>
      <c r="X133" s="20"/>
      <c r="Y133" s="20"/>
      <c r="Z133" s="20"/>
    </row>
    <row r="134" spans="14:26" ht="17.25" customHeight="1">
      <c r="N134" s="47"/>
      <c r="O134" s="20"/>
      <c r="P134" s="20"/>
      <c r="Q134" s="20"/>
      <c r="R134" s="20"/>
      <c r="S134" s="20"/>
      <c r="T134" s="20"/>
      <c r="U134" s="20"/>
      <c r="V134" s="20"/>
      <c r="W134" s="20"/>
      <c r="X134" s="20"/>
      <c r="Y134" s="20"/>
      <c r="Z134" s="20"/>
    </row>
    <row r="135" spans="14:26" ht="17.25" customHeight="1">
      <c r="N135" s="47"/>
      <c r="O135" s="20"/>
      <c r="P135" s="20"/>
      <c r="Q135" s="20"/>
      <c r="R135" s="20"/>
      <c r="S135" s="20"/>
      <c r="T135" s="20"/>
      <c r="U135" s="20"/>
      <c r="V135" s="20"/>
      <c r="W135" s="20"/>
      <c r="X135" s="20"/>
      <c r="Y135" s="20"/>
      <c r="Z135" s="20"/>
    </row>
    <row r="136" spans="14:26" ht="17.25" customHeight="1">
      <c r="N136" s="47"/>
      <c r="O136" s="20"/>
      <c r="P136" s="20"/>
      <c r="Q136" s="20"/>
      <c r="R136" s="20"/>
      <c r="S136" s="20"/>
      <c r="T136" s="20"/>
      <c r="U136" s="20"/>
      <c r="V136" s="20"/>
      <c r="W136" s="20"/>
      <c r="X136" s="20"/>
      <c r="Y136" s="20"/>
      <c r="Z136" s="20"/>
    </row>
    <row r="137" spans="14:26" ht="17.25" customHeight="1">
      <c r="N137" s="47"/>
      <c r="O137" s="20"/>
      <c r="P137" s="20"/>
      <c r="Q137" s="20"/>
      <c r="R137" s="20"/>
      <c r="S137" s="20"/>
      <c r="T137" s="20"/>
      <c r="U137" s="20"/>
      <c r="V137" s="20"/>
      <c r="W137" s="20"/>
      <c r="X137" s="20"/>
      <c r="Y137" s="20"/>
      <c r="Z137" s="20"/>
    </row>
    <row r="138" spans="14:26" ht="17.25" customHeight="1">
      <c r="N138" s="47"/>
      <c r="O138" s="20"/>
      <c r="P138" s="20"/>
      <c r="Q138" s="20"/>
      <c r="R138" s="20"/>
      <c r="S138" s="20"/>
      <c r="T138" s="20"/>
      <c r="U138" s="20"/>
      <c r="V138" s="20"/>
      <c r="W138" s="20"/>
      <c r="X138" s="20"/>
      <c r="Y138" s="20"/>
      <c r="Z138" s="20"/>
    </row>
    <row r="139" spans="14:26" ht="17.25" customHeight="1">
      <c r="N139" s="47"/>
      <c r="O139" s="20"/>
      <c r="P139" s="20"/>
      <c r="Q139" s="20"/>
      <c r="R139" s="20"/>
      <c r="S139" s="20"/>
      <c r="T139" s="20"/>
      <c r="U139" s="20"/>
      <c r="V139" s="20"/>
      <c r="W139" s="20"/>
      <c r="X139" s="20"/>
      <c r="Y139" s="20"/>
      <c r="Z139" s="20"/>
    </row>
    <row r="140" spans="14:26" ht="17.25" customHeight="1">
      <c r="N140" s="47"/>
      <c r="O140" s="20"/>
      <c r="P140" s="20"/>
      <c r="Q140" s="20"/>
      <c r="R140" s="20"/>
      <c r="S140" s="20"/>
      <c r="T140" s="20"/>
      <c r="U140" s="20"/>
      <c r="V140" s="20"/>
      <c r="W140" s="20"/>
      <c r="X140" s="20"/>
      <c r="Y140" s="20"/>
      <c r="Z140" s="20"/>
    </row>
    <row r="141" spans="14:26" ht="17.25" customHeight="1">
      <c r="N141" s="47"/>
      <c r="O141" s="20"/>
      <c r="P141" s="20"/>
      <c r="Q141" s="20"/>
      <c r="R141" s="20"/>
      <c r="S141" s="20"/>
      <c r="T141" s="20"/>
      <c r="U141" s="20"/>
      <c r="V141" s="20"/>
      <c r="W141" s="20"/>
      <c r="X141" s="20"/>
      <c r="Y141" s="20"/>
      <c r="Z141" s="20"/>
    </row>
    <row r="142" spans="14:26" ht="17.25" customHeight="1">
      <c r="N142" s="47"/>
      <c r="O142" s="20"/>
      <c r="P142" s="20"/>
      <c r="Q142" s="20"/>
      <c r="R142" s="20"/>
      <c r="S142" s="20"/>
      <c r="T142" s="20"/>
      <c r="U142" s="20"/>
      <c r="V142" s="20"/>
      <c r="W142" s="20"/>
      <c r="X142" s="20"/>
      <c r="Y142" s="20"/>
      <c r="Z142" s="20"/>
    </row>
    <row r="143" spans="14:26" ht="17.25" customHeight="1">
      <c r="N143" s="47"/>
      <c r="O143" s="20"/>
      <c r="P143" s="20"/>
      <c r="Q143" s="20"/>
      <c r="R143" s="20"/>
      <c r="S143" s="20"/>
      <c r="T143" s="20"/>
      <c r="U143" s="20"/>
      <c r="V143" s="20"/>
      <c r="W143" s="20"/>
      <c r="X143" s="20"/>
      <c r="Y143" s="20"/>
      <c r="Z143" s="20"/>
    </row>
    <row r="144" spans="14:26" ht="17.25" customHeight="1">
      <c r="N144" s="47"/>
      <c r="O144" s="20"/>
      <c r="P144" s="20"/>
      <c r="Q144" s="20"/>
      <c r="R144" s="20"/>
      <c r="S144" s="20"/>
      <c r="T144" s="20"/>
      <c r="U144" s="20"/>
      <c r="V144" s="20"/>
      <c r="W144" s="20"/>
      <c r="X144" s="20"/>
      <c r="Y144" s="20"/>
      <c r="Z144" s="20"/>
    </row>
    <row r="145" spans="14:26" ht="17.25" customHeight="1">
      <c r="N145" s="47"/>
      <c r="O145" s="20"/>
      <c r="P145" s="20"/>
      <c r="Q145" s="20"/>
      <c r="R145" s="20"/>
      <c r="S145" s="20"/>
      <c r="T145" s="20"/>
      <c r="U145" s="20"/>
      <c r="V145" s="20"/>
      <c r="W145" s="20"/>
      <c r="X145" s="20"/>
      <c r="Y145" s="20"/>
      <c r="Z145" s="20"/>
    </row>
    <row r="146" spans="14:26" ht="17.25" customHeight="1">
      <c r="N146" s="47"/>
      <c r="O146" s="20"/>
      <c r="P146" s="20"/>
      <c r="Q146" s="20"/>
      <c r="R146" s="20"/>
      <c r="S146" s="20"/>
      <c r="T146" s="20"/>
      <c r="U146" s="20"/>
      <c r="V146" s="20"/>
      <c r="W146" s="20"/>
      <c r="X146" s="20"/>
      <c r="Y146" s="20"/>
      <c r="Z146" s="20"/>
    </row>
    <row r="147" spans="14:26" ht="17.25" customHeight="1">
      <c r="N147" s="47"/>
      <c r="O147" s="20"/>
      <c r="P147" s="20"/>
      <c r="Q147" s="20"/>
      <c r="R147" s="20"/>
      <c r="S147" s="20"/>
      <c r="T147" s="20"/>
      <c r="U147" s="20"/>
      <c r="V147" s="20"/>
      <c r="W147" s="20"/>
      <c r="X147" s="20"/>
      <c r="Y147" s="20"/>
      <c r="Z147" s="20"/>
    </row>
    <row r="148" spans="14:26" ht="17.25" customHeight="1">
      <c r="N148" s="47"/>
      <c r="O148" s="20"/>
      <c r="P148" s="20"/>
      <c r="Q148" s="20"/>
      <c r="R148" s="20"/>
      <c r="S148" s="20"/>
      <c r="T148" s="20"/>
      <c r="U148" s="20"/>
      <c r="V148" s="20"/>
      <c r="W148" s="20"/>
      <c r="X148" s="20"/>
      <c r="Y148" s="20"/>
      <c r="Z148" s="20"/>
    </row>
    <row r="149" spans="14:26" ht="17.25" customHeight="1">
      <c r="N149" s="47"/>
      <c r="O149" s="20"/>
      <c r="P149" s="20"/>
      <c r="Q149" s="20"/>
      <c r="R149" s="20"/>
      <c r="S149" s="20"/>
      <c r="T149" s="20"/>
      <c r="U149" s="20"/>
      <c r="V149" s="20"/>
      <c r="W149" s="20"/>
      <c r="X149" s="20"/>
      <c r="Y149" s="20"/>
      <c r="Z149" s="20"/>
    </row>
    <row r="150" spans="14:26" ht="17.25" customHeight="1">
      <c r="N150" s="47"/>
      <c r="O150" s="20"/>
      <c r="P150" s="20"/>
      <c r="Q150" s="20"/>
      <c r="R150" s="20"/>
      <c r="S150" s="20"/>
      <c r="T150" s="20"/>
      <c r="U150" s="20"/>
      <c r="V150" s="20"/>
      <c r="W150" s="20"/>
      <c r="X150" s="20"/>
      <c r="Y150" s="20"/>
      <c r="Z150" s="20"/>
    </row>
    <row r="151" spans="14:26" ht="17.25" customHeight="1">
      <c r="N151" s="47"/>
      <c r="O151" s="20"/>
      <c r="P151" s="20"/>
      <c r="Q151" s="20"/>
      <c r="R151" s="20"/>
      <c r="S151" s="20"/>
      <c r="T151" s="20"/>
      <c r="U151" s="20"/>
      <c r="V151" s="20"/>
      <c r="W151" s="20"/>
      <c r="X151" s="20"/>
      <c r="Y151" s="20"/>
      <c r="Z151" s="20"/>
    </row>
    <row r="152" spans="14:26" ht="17.25" customHeight="1">
      <c r="N152" s="47"/>
      <c r="O152" s="20"/>
      <c r="P152" s="20"/>
      <c r="Q152" s="20"/>
      <c r="R152" s="20"/>
      <c r="S152" s="20"/>
      <c r="T152" s="20"/>
      <c r="U152" s="20"/>
      <c r="V152" s="20"/>
      <c r="W152" s="20"/>
      <c r="X152" s="20"/>
      <c r="Y152" s="20"/>
      <c r="Z152" s="20"/>
    </row>
    <row r="153" spans="14:26" ht="17.25" customHeight="1">
      <c r="N153" s="47"/>
      <c r="O153" s="20"/>
      <c r="P153" s="20"/>
      <c r="Q153" s="20"/>
      <c r="R153" s="20"/>
      <c r="S153" s="20"/>
      <c r="T153" s="20"/>
      <c r="U153" s="20"/>
      <c r="V153" s="20"/>
      <c r="W153" s="20"/>
      <c r="X153" s="20"/>
      <c r="Y153" s="20"/>
      <c r="Z153" s="20"/>
    </row>
    <row r="154" spans="14:26" ht="17.25" customHeight="1">
      <c r="N154" s="47"/>
      <c r="O154" s="20"/>
      <c r="P154" s="20"/>
      <c r="Q154" s="20"/>
      <c r="R154" s="20"/>
      <c r="S154" s="20"/>
      <c r="T154" s="20"/>
      <c r="U154" s="20"/>
      <c r="V154" s="20"/>
      <c r="W154" s="20"/>
      <c r="X154" s="20"/>
      <c r="Y154" s="20"/>
      <c r="Z154" s="20"/>
    </row>
    <row r="155" spans="14:26" ht="17.25" customHeight="1">
      <c r="N155" s="47"/>
      <c r="O155" s="20"/>
      <c r="P155" s="20"/>
      <c r="Q155" s="20"/>
      <c r="R155" s="20"/>
      <c r="S155" s="20"/>
      <c r="T155" s="20"/>
      <c r="U155" s="20"/>
      <c r="V155" s="20"/>
      <c r="W155" s="20"/>
      <c r="X155" s="20"/>
      <c r="Y155" s="20"/>
      <c r="Z155" s="20"/>
    </row>
    <row r="156" spans="14:26" ht="17.25" customHeight="1">
      <c r="N156" s="47"/>
      <c r="O156" s="20"/>
      <c r="P156" s="20"/>
      <c r="Q156" s="20"/>
      <c r="R156" s="20"/>
      <c r="S156" s="20"/>
      <c r="T156" s="20"/>
      <c r="U156" s="20"/>
      <c r="V156" s="20"/>
      <c r="W156" s="20"/>
      <c r="X156" s="20"/>
      <c r="Y156" s="20"/>
      <c r="Z156" s="20"/>
    </row>
    <row r="157" spans="14:26" ht="17.25" customHeight="1">
      <c r="N157" s="47"/>
      <c r="O157" s="20"/>
      <c r="P157" s="20"/>
      <c r="Q157" s="20"/>
      <c r="R157" s="20"/>
      <c r="S157" s="20"/>
      <c r="T157" s="20"/>
      <c r="U157" s="20"/>
      <c r="V157" s="20"/>
      <c r="W157" s="20"/>
      <c r="X157" s="20"/>
      <c r="Y157" s="20"/>
      <c r="Z157" s="20"/>
    </row>
    <row r="158" spans="14:26" ht="17.25" customHeight="1">
      <c r="N158" s="47"/>
      <c r="O158" s="20"/>
      <c r="P158" s="20"/>
      <c r="Q158" s="20"/>
      <c r="R158" s="20"/>
      <c r="S158" s="20"/>
      <c r="T158" s="20"/>
      <c r="U158" s="20"/>
      <c r="V158" s="20"/>
      <c r="W158" s="20"/>
      <c r="X158" s="20"/>
      <c r="Y158" s="20"/>
      <c r="Z158" s="20"/>
    </row>
    <row r="159" spans="14:26" ht="17.25" customHeight="1">
      <c r="N159" s="47"/>
      <c r="O159" s="20"/>
      <c r="P159" s="20"/>
      <c r="Q159" s="20"/>
      <c r="R159" s="20"/>
      <c r="S159" s="20"/>
      <c r="T159" s="20"/>
      <c r="U159" s="20"/>
      <c r="V159" s="20"/>
      <c r="W159" s="20"/>
      <c r="X159" s="20"/>
      <c r="Y159" s="20"/>
      <c r="Z159" s="20"/>
    </row>
    <row r="160" spans="14:26" ht="17.25" customHeight="1">
      <c r="N160" s="47"/>
      <c r="O160" s="20"/>
      <c r="P160" s="20"/>
      <c r="Q160" s="20"/>
      <c r="R160" s="20"/>
      <c r="S160" s="20"/>
      <c r="T160" s="20"/>
      <c r="U160" s="20"/>
      <c r="V160" s="20"/>
      <c r="W160" s="20"/>
      <c r="X160" s="20"/>
      <c r="Y160" s="20"/>
      <c r="Z160" s="20"/>
    </row>
    <row r="161" spans="14:26" ht="17.25" customHeight="1">
      <c r="N161" s="47"/>
      <c r="O161" s="20"/>
      <c r="P161" s="20"/>
      <c r="Q161" s="20"/>
      <c r="R161" s="20"/>
      <c r="S161" s="20"/>
      <c r="T161" s="20"/>
      <c r="U161" s="20"/>
      <c r="V161" s="20"/>
      <c r="W161" s="20"/>
      <c r="X161" s="20"/>
      <c r="Y161" s="20"/>
      <c r="Z161" s="20"/>
    </row>
    <row r="162" spans="14:26" ht="17.25" customHeight="1">
      <c r="N162" s="47"/>
      <c r="O162" s="20"/>
      <c r="P162" s="20"/>
      <c r="Q162" s="20"/>
      <c r="R162" s="20"/>
      <c r="S162" s="20"/>
      <c r="T162" s="20"/>
      <c r="U162" s="20"/>
      <c r="V162" s="20"/>
      <c r="W162" s="20"/>
      <c r="X162" s="20"/>
      <c r="Y162" s="20"/>
      <c r="Z162" s="20"/>
    </row>
    <row r="163" spans="14:26" ht="17.25" customHeight="1">
      <c r="N163" s="47"/>
      <c r="O163" s="20"/>
      <c r="P163" s="20"/>
      <c r="Q163" s="20"/>
      <c r="R163" s="20"/>
      <c r="S163" s="20"/>
      <c r="T163" s="20"/>
      <c r="U163" s="20"/>
      <c r="V163" s="20"/>
      <c r="W163" s="20"/>
      <c r="X163" s="20"/>
      <c r="Y163" s="20"/>
      <c r="Z163" s="20"/>
    </row>
    <row r="164" spans="14:26" ht="17.25" customHeight="1">
      <c r="N164" s="47"/>
      <c r="O164" s="20"/>
      <c r="P164" s="20"/>
      <c r="Q164" s="20"/>
      <c r="R164" s="20"/>
      <c r="S164" s="20"/>
      <c r="T164" s="20"/>
      <c r="U164" s="20"/>
      <c r="V164" s="20"/>
      <c r="W164" s="20"/>
      <c r="X164" s="20"/>
      <c r="Y164" s="20"/>
      <c r="Z164" s="20"/>
    </row>
    <row r="165" spans="14:26" ht="17.25" customHeight="1">
      <c r="N165" s="47"/>
      <c r="O165" s="20"/>
      <c r="P165" s="20"/>
      <c r="Q165" s="20"/>
      <c r="R165" s="20"/>
      <c r="S165" s="20"/>
      <c r="T165" s="20"/>
      <c r="U165" s="20"/>
      <c r="V165" s="20"/>
      <c r="W165" s="20"/>
      <c r="X165" s="20"/>
      <c r="Y165" s="20"/>
      <c r="Z165" s="20"/>
    </row>
    <row r="166" spans="14:26" ht="17.25" customHeight="1">
      <c r="N166" s="47"/>
      <c r="O166" s="20"/>
      <c r="P166" s="20"/>
      <c r="Q166" s="20"/>
      <c r="R166" s="20"/>
      <c r="S166" s="20"/>
      <c r="T166" s="20"/>
      <c r="U166" s="20"/>
      <c r="V166" s="20"/>
      <c r="W166" s="20"/>
      <c r="X166" s="20"/>
      <c r="Y166" s="20"/>
      <c r="Z166" s="20"/>
    </row>
    <row r="167" spans="14:26" ht="17.25" customHeight="1">
      <c r="N167" s="47"/>
      <c r="O167" s="20"/>
      <c r="P167" s="20"/>
      <c r="Q167" s="20"/>
      <c r="R167" s="20"/>
      <c r="S167" s="20"/>
      <c r="T167" s="20"/>
      <c r="U167" s="20"/>
      <c r="V167" s="20"/>
      <c r="W167" s="20"/>
      <c r="X167" s="20"/>
      <c r="Y167" s="20"/>
      <c r="Z167" s="20"/>
    </row>
    <row r="168" spans="14:26" ht="17.25" customHeight="1">
      <c r="N168" s="47"/>
      <c r="O168" s="20"/>
      <c r="P168" s="20"/>
      <c r="Q168" s="20"/>
      <c r="R168" s="20"/>
      <c r="S168" s="20"/>
      <c r="T168" s="20"/>
      <c r="U168" s="20"/>
      <c r="V168" s="20"/>
      <c r="W168" s="20"/>
      <c r="X168" s="20"/>
      <c r="Y168" s="20"/>
      <c r="Z168" s="20"/>
    </row>
    <row r="169" spans="14:26" ht="17.25" customHeight="1">
      <c r="N169" s="47"/>
      <c r="O169" s="20"/>
      <c r="P169" s="20"/>
      <c r="Q169" s="20"/>
      <c r="R169" s="20"/>
      <c r="S169" s="20"/>
      <c r="T169" s="20"/>
      <c r="U169" s="20"/>
      <c r="V169" s="20"/>
      <c r="W169" s="20"/>
      <c r="X169" s="20"/>
      <c r="Y169" s="20"/>
      <c r="Z169" s="20"/>
    </row>
    <row r="170" spans="14:26" ht="17.25" customHeight="1">
      <c r="N170" s="47"/>
      <c r="O170" s="20"/>
      <c r="P170" s="20"/>
      <c r="Q170" s="20"/>
      <c r="R170" s="20"/>
      <c r="S170" s="20"/>
      <c r="T170" s="20"/>
      <c r="U170" s="20"/>
      <c r="V170" s="20"/>
      <c r="W170" s="20"/>
      <c r="X170" s="20"/>
      <c r="Y170" s="20"/>
      <c r="Z170" s="20"/>
    </row>
    <row r="171" spans="14:26" ht="17.25" customHeight="1">
      <c r="N171" s="47"/>
      <c r="O171" s="20"/>
      <c r="P171" s="20"/>
      <c r="Q171" s="20"/>
      <c r="R171" s="20"/>
      <c r="S171" s="20"/>
      <c r="T171" s="20"/>
      <c r="U171" s="20"/>
      <c r="V171" s="20"/>
      <c r="W171" s="20"/>
      <c r="X171" s="20"/>
      <c r="Y171" s="20"/>
      <c r="Z171" s="20"/>
    </row>
    <row r="172" spans="14:26" ht="17.25" customHeight="1">
      <c r="N172" s="47"/>
      <c r="O172" s="20"/>
      <c r="P172" s="20"/>
      <c r="Q172" s="20"/>
      <c r="R172" s="20"/>
      <c r="S172" s="20"/>
      <c r="T172" s="20"/>
      <c r="U172" s="20"/>
      <c r="V172" s="20"/>
      <c r="W172" s="20"/>
      <c r="X172" s="20"/>
      <c r="Y172" s="20"/>
      <c r="Z172" s="20"/>
    </row>
    <row r="173" spans="14:26" ht="17.25" customHeight="1">
      <c r="N173" s="47"/>
      <c r="O173" s="20"/>
      <c r="P173" s="20"/>
      <c r="Q173" s="20"/>
      <c r="R173" s="20"/>
      <c r="S173" s="20"/>
      <c r="T173" s="20"/>
      <c r="U173" s="20"/>
      <c r="V173" s="20"/>
      <c r="W173" s="20"/>
      <c r="X173" s="20"/>
      <c r="Y173" s="20"/>
      <c r="Z173" s="20"/>
    </row>
    <row r="174" spans="14:26" ht="17.25" customHeight="1">
      <c r="N174" s="47"/>
      <c r="O174" s="20"/>
      <c r="P174" s="20"/>
      <c r="Q174" s="20"/>
      <c r="R174" s="20"/>
      <c r="S174" s="20"/>
      <c r="T174" s="20"/>
      <c r="U174" s="20"/>
      <c r="V174" s="20"/>
      <c r="W174" s="20"/>
      <c r="X174" s="20"/>
      <c r="Y174" s="20"/>
      <c r="Z174" s="20"/>
    </row>
    <row r="175" spans="14:26" ht="17.25" customHeight="1">
      <c r="N175" s="47"/>
      <c r="O175" s="20"/>
      <c r="P175" s="20"/>
      <c r="Q175" s="20"/>
      <c r="R175" s="20"/>
      <c r="S175" s="20"/>
      <c r="T175" s="20"/>
      <c r="U175" s="20"/>
      <c r="V175" s="20"/>
      <c r="W175" s="20"/>
      <c r="X175" s="20"/>
      <c r="Y175" s="20"/>
      <c r="Z175" s="20"/>
    </row>
    <row r="176" spans="14:26" ht="17.25" customHeight="1">
      <c r="N176" s="47"/>
      <c r="O176" s="20"/>
      <c r="P176" s="20"/>
      <c r="Q176" s="20"/>
      <c r="R176" s="20"/>
      <c r="S176" s="20"/>
      <c r="T176" s="20"/>
      <c r="U176" s="20"/>
      <c r="V176" s="20"/>
      <c r="W176" s="20"/>
      <c r="X176" s="20"/>
      <c r="Y176" s="20"/>
      <c r="Z176" s="20"/>
    </row>
    <row r="177" spans="14:26" ht="17.25" customHeight="1">
      <c r="N177" s="47"/>
      <c r="O177" s="20"/>
      <c r="P177" s="20"/>
      <c r="Q177" s="20"/>
      <c r="R177" s="20"/>
      <c r="S177" s="20"/>
      <c r="T177" s="20"/>
      <c r="U177" s="20"/>
      <c r="V177" s="20"/>
      <c r="W177" s="20"/>
      <c r="X177" s="20"/>
      <c r="Y177" s="20"/>
      <c r="Z177" s="20"/>
    </row>
    <row r="178" spans="14:26" ht="17.25" customHeight="1">
      <c r="N178" s="47"/>
      <c r="O178" s="20"/>
      <c r="P178" s="20"/>
      <c r="Q178" s="20"/>
      <c r="R178" s="20"/>
      <c r="S178" s="20"/>
      <c r="T178" s="20"/>
      <c r="U178" s="20"/>
      <c r="V178" s="20"/>
      <c r="W178" s="20"/>
      <c r="X178" s="20"/>
      <c r="Y178" s="20"/>
      <c r="Z178" s="20"/>
    </row>
    <row r="179" spans="14:26" ht="17.25" customHeight="1">
      <c r="N179" s="47"/>
      <c r="O179" s="20"/>
      <c r="P179" s="20"/>
      <c r="Q179" s="20"/>
      <c r="R179" s="20"/>
      <c r="S179" s="20"/>
      <c r="T179" s="20"/>
      <c r="U179" s="20"/>
      <c r="V179" s="20"/>
      <c r="W179" s="20"/>
      <c r="X179" s="20"/>
      <c r="Y179" s="20"/>
      <c r="Z179" s="20"/>
    </row>
    <row r="180" spans="14:26" ht="17.25" customHeight="1">
      <c r="N180" s="47"/>
      <c r="O180" s="20"/>
      <c r="P180" s="20"/>
      <c r="Q180" s="20"/>
      <c r="R180" s="20"/>
      <c r="S180" s="20"/>
      <c r="T180" s="20"/>
      <c r="U180" s="20"/>
      <c r="V180" s="20"/>
      <c r="W180" s="20"/>
      <c r="X180" s="20"/>
      <c r="Y180" s="20"/>
      <c r="Z180" s="20"/>
    </row>
    <row r="181" spans="14:26" ht="17.25" customHeight="1">
      <c r="N181" s="47"/>
      <c r="O181" s="20"/>
      <c r="P181" s="20"/>
      <c r="Q181" s="20"/>
      <c r="R181" s="20"/>
      <c r="S181" s="20"/>
      <c r="T181" s="20"/>
      <c r="U181" s="20"/>
      <c r="V181" s="20"/>
      <c r="W181" s="20"/>
      <c r="X181" s="20"/>
      <c r="Y181" s="20"/>
      <c r="Z181" s="20"/>
    </row>
    <row r="182" spans="14:26" ht="17.25" customHeight="1">
      <c r="N182" s="47"/>
      <c r="O182" s="20"/>
      <c r="P182" s="20"/>
      <c r="Q182" s="20"/>
      <c r="R182" s="20"/>
      <c r="S182" s="20"/>
      <c r="T182" s="20"/>
      <c r="U182" s="20"/>
      <c r="V182" s="20"/>
      <c r="W182" s="20"/>
      <c r="X182" s="20"/>
      <c r="Y182" s="20"/>
      <c r="Z182" s="20"/>
    </row>
    <row r="183" spans="14:26" ht="17.25" customHeight="1">
      <c r="N183" s="47"/>
      <c r="O183" s="20"/>
      <c r="P183" s="20"/>
      <c r="Q183" s="20"/>
      <c r="R183" s="20"/>
      <c r="S183" s="20"/>
      <c r="T183" s="20"/>
      <c r="U183" s="20"/>
      <c r="V183" s="20"/>
      <c r="W183" s="20"/>
      <c r="X183" s="20"/>
      <c r="Y183" s="20"/>
      <c r="Z183" s="20"/>
    </row>
    <row r="184" spans="14:26" ht="17.25" customHeight="1">
      <c r="N184" s="47"/>
      <c r="O184" s="20"/>
      <c r="P184" s="20"/>
      <c r="Q184" s="20"/>
      <c r="R184" s="20"/>
      <c r="S184" s="20"/>
      <c r="T184" s="20"/>
      <c r="U184" s="20"/>
      <c r="V184" s="20"/>
      <c r="W184" s="20"/>
      <c r="X184" s="20"/>
      <c r="Y184" s="20"/>
      <c r="Z184" s="20"/>
    </row>
    <row r="185" spans="14:26" ht="17.25" customHeight="1">
      <c r="N185" s="47"/>
      <c r="O185" s="20"/>
      <c r="P185" s="20"/>
      <c r="Q185" s="20"/>
      <c r="R185" s="20"/>
      <c r="S185" s="20"/>
      <c r="T185" s="20"/>
      <c r="U185" s="20"/>
      <c r="V185" s="20"/>
      <c r="W185" s="20"/>
      <c r="X185" s="20"/>
      <c r="Y185" s="20"/>
      <c r="Z185" s="20"/>
    </row>
    <row r="186" spans="14:26" ht="17.25" customHeight="1">
      <c r="N186" s="47"/>
      <c r="O186" s="20"/>
      <c r="P186" s="20"/>
      <c r="Q186" s="20"/>
      <c r="R186" s="20"/>
      <c r="S186" s="20"/>
      <c r="T186" s="20"/>
      <c r="U186" s="20"/>
      <c r="V186" s="20"/>
      <c r="W186" s="20"/>
      <c r="X186" s="20"/>
      <c r="Y186" s="20"/>
      <c r="Z186" s="20"/>
    </row>
    <row r="187" spans="14:26" ht="17.25" customHeight="1">
      <c r="N187" s="47"/>
      <c r="O187" s="20"/>
      <c r="P187" s="20"/>
      <c r="Q187" s="20"/>
      <c r="R187" s="20"/>
      <c r="S187" s="20"/>
      <c r="T187" s="20"/>
      <c r="U187" s="20"/>
      <c r="V187" s="20"/>
      <c r="W187" s="20"/>
      <c r="X187" s="20"/>
      <c r="Y187" s="20"/>
      <c r="Z187" s="20"/>
    </row>
    <row r="188" spans="14:26" ht="17.25" customHeight="1">
      <c r="N188" s="47"/>
      <c r="O188" s="20"/>
      <c r="P188" s="20"/>
      <c r="Q188" s="20"/>
      <c r="R188" s="20"/>
      <c r="S188" s="20"/>
      <c r="T188" s="20"/>
      <c r="U188" s="20"/>
      <c r="V188" s="20"/>
      <c r="W188" s="20"/>
      <c r="X188" s="20"/>
      <c r="Y188" s="20"/>
      <c r="Z188" s="20"/>
    </row>
    <row r="189" spans="14:26" ht="17.25" customHeight="1">
      <c r="N189" s="47"/>
      <c r="O189" s="20"/>
      <c r="P189" s="20"/>
      <c r="Q189" s="20"/>
      <c r="R189" s="20"/>
      <c r="S189" s="20"/>
      <c r="T189" s="20"/>
      <c r="U189" s="20"/>
      <c r="V189" s="20"/>
      <c r="W189" s="20"/>
      <c r="X189" s="20"/>
      <c r="Y189" s="20"/>
      <c r="Z189" s="20"/>
    </row>
    <row r="190" spans="14:26" ht="17.25" customHeight="1">
      <c r="N190" s="47"/>
      <c r="O190" s="20"/>
      <c r="P190" s="20"/>
      <c r="Q190" s="20"/>
      <c r="R190" s="20"/>
      <c r="S190" s="20"/>
      <c r="T190" s="20"/>
      <c r="U190" s="20"/>
      <c r="V190" s="20"/>
      <c r="W190" s="20"/>
      <c r="X190" s="20"/>
      <c r="Y190" s="20"/>
      <c r="Z190" s="20"/>
    </row>
    <row r="191" spans="14:26" ht="17.25" customHeight="1">
      <c r="N191" s="47"/>
      <c r="O191" s="20"/>
      <c r="P191" s="20"/>
      <c r="Q191" s="20"/>
      <c r="R191" s="20"/>
      <c r="S191" s="20"/>
      <c r="T191" s="20"/>
      <c r="U191" s="20"/>
      <c r="V191" s="20"/>
      <c r="W191" s="20"/>
      <c r="X191" s="20"/>
      <c r="Y191" s="20"/>
      <c r="Z191" s="20"/>
    </row>
    <row r="192" spans="14:26" ht="17.25" customHeight="1">
      <c r="N192" s="47"/>
      <c r="O192" s="20"/>
      <c r="P192" s="20"/>
      <c r="Q192" s="20"/>
      <c r="R192" s="20"/>
      <c r="S192" s="20"/>
      <c r="T192" s="20"/>
      <c r="U192" s="20"/>
      <c r="V192" s="20"/>
      <c r="W192" s="20"/>
      <c r="X192" s="20"/>
      <c r="Y192" s="20"/>
      <c r="Z192" s="20"/>
    </row>
    <row r="193" spans="14:26" ht="17.25" customHeight="1">
      <c r="N193" s="47"/>
      <c r="O193" s="20"/>
      <c r="P193" s="20"/>
      <c r="Q193" s="20"/>
      <c r="R193" s="20"/>
      <c r="S193" s="20"/>
      <c r="T193" s="20"/>
      <c r="U193" s="20"/>
      <c r="V193" s="20"/>
      <c r="W193" s="20"/>
      <c r="X193" s="20"/>
      <c r="Y193" s="20"/>
      <c r="Z193" s="20"/>
    </row>
    <row r="194" spans="14:26" ht="17.25" customHeight="1">
      <c r="N194" s="47"/>
      <c r="O194" s="20"/>
      <c r="P194" s="20"/>
      <c r="Q194" s="20"/>
      <c r="R194" s="20"/>
      <c r="S194" s="20"/>
      <c r="T194" s="20"/>
      <c r="U194" s="20"/>
      <c r="V194" s="20"/>
      <c r="W194" s="20"/>
      <c r="X194" s="20"/>
      <c r="Y194" s="20"/>
      <c r="Z194" s="20"/>
    </row>
    <row r="195" spans="14:26" ht="17.25" customHeight="1">
      <c r="N195" s="47"/>
      <c r="O195" s="20"/>
      <c r="P195" s="20"/>
      <c r="Q195" s="20"/>
      <c r="R195" s="20"/>
      <c r="S195" s="20"/>
      <c r="T195" s="20"/>
      <c r="U195" s="20"/>
      <c r="V195" s="20"/>
      <c r="W195" s="20"/>
      <c r="X195" s="20"/>
      <c r="Y195" s="20"/>
      <c r="Z195" s="20"/>
    </row>
    <row r="196" spans="14:26" ht="17.25" customHeight="1">
      <c r="N196" s="47"/>
      <c r="O196" s="20"/>
      <c r="P196" s="20"/>
      <c r="Q196" s="20"/>
      <c r="R196" s="20"/>
      <c r="S196" s="20"/>
      <c r="T196" s="20"/>
      <c r="U196" s="20"/>
      <c r="V196" s="20"/>
      <c r="W196" s="20"/>
      <c r="X196" s="20"/>
      <c r="Y196" s="20"/>
      <c r="Z196" s="20"/>
    </row>
    <row r="197" spans="14:26" ht="17.25" customHeight="1">
      <c r="N197" s="47"/>
      <c r="O197" s="20"/>
      <c r="P197" s="20"/>
      <c r="Q197" s="20"/>
      <c r="R197" s="20"/>
      <c r="S197" s="20"/>
      <c r="T197" s="20"/>
      <c r="U197" s="20"/>
      <c r="V197" s="20"/>
      <c r="W197" s="20"/>
      <c r="X197" s="20"/>
      <c r="Y197" s="20"/>
      <c r="Z197" s="20"/>
    </row>
    <row r="198" spans="14:26" ht="17.25" customHeight="1">
      <c r="N198" s="47"/>
      <c r="O198" s="20"/>
      <c r="P198" s="20"/>
      <c r="Q198" s="20"/>
      <c r="R198" s="20"/>
      <c r="S198" s="20"/>
      <c r="T198" s="20"/>
      <c r="U198" s="20"/>
      <c r="V198" s="20"/>
      <c r="W198" s="20"/>
      <c r="X198" s="20"/>
      <c r="Y198" s="20"/>
      <c r="Z198" s="20"/>
    </row>
    <row r="199" spans="14:26" ht="17.25" customHeight="1">
      <c r="N199" s="47"/>
      <c r="O199" s="20"/>
      <c r="P199" s="20"/>
      <c r="Q199" s="20"/>
      <c r="R199" s="20"/>
      <c r="S199" s="20"/>
      <c r="T199" s="20"/>
      <c r="U199" s="20"/>
      <c r="V199" s="20"/>
      <c r="W199" s="20"/>
      <c r="X199" s="20"/>
      <c r="Y199" s="20"/>
      <c r="Z199" s="20"/>
    </row>
    <row r="200" spans="14:26" ht="17.25" customHeight="1">
      <c r="N200" s="47"/>
      <c r="O200" s="20"/>
      <c r="P200" s="20"/>
      <c r="Q200" s="20"/>
      <c r="R200" s="20"/>
      <c r="S200" s="20"/>
      <c r="T200" s="20"/>
      <c r="U200" s="20"/>
      <c r="V200" s="20"/>
      <c r="W200" s="20"/>
      <c r="X200" s="20"/>
      <c r="Y200" s="20"/>
      <c r="Z200" s="20"/>
    </row>
    <row r="201" spans="14:26" ht="17.25" customHeight="1">
      <c r="N201" s="47"/>
      <c r="O201" s="20"/>
      <c r="P201" s="20"/>
      <c r="Q201" s="20"/>
      <c r="R201" s="20"/>
      <c r="S201" s="20"/>
      <c r="T201" s="20"/>
      <c r="U201" s="20"/>
      <c r="V201" s="20"/>
      <c r="W201" s="20"/>
      <c r="X201" s="20"/>
      <c r="Y201" s="20"/>
      <c r="Z201" s="20"/>
    </row>
    <row r="202" spans="14:26" ht="17.25" customHeight="1">
      <c r="N202" s="47"/>
      <c r="O202" s="20"/>
      <c r="P202" s="20"/>
      <c r="Q202" s="20"/>
      <c r="R202" s="20"/>
      <c r="S202" s="20"/>
      <c r="T202" s="20"/>
      <c r="U202" s="20"/>
      <c r="V202" s="20"/>
      <c r="W202" s="20"/>
      <c r="X202" s="20"/>
      <c r="Y202" s="20"/>
      <c r="Z202" s="20"/>
    </row>
    <row r="203" spans="14:26" ht="17.25" customHeight="1">
      <c r="N203" s="47"/>
      <c r="O203" s="20"/>
      <c r="P203" s="20"/>
      <c r="Q203" s="20"/>
      <c r="R203" s="20"/>
      <c r="S203" s="20"/>
      <c r="T203" s="20"/>
      <c r="U203" s="20"/>
      <c r="V203" s="20"/>
      <c r="W203" s="20"/>
      <c r="X203" s="20"/>
      <c r="Y203" s="20"/>
      <c r="Z203" s="20"/>
    </row>
    <row r="204" spans="14:26" ht="17.25" customHeight="1">
      <c r="N204" s="47"/>
      <c r="O204" s="20"/>
      <c r="P204" s="20"/>
      <c r="Q204" s="20"/>
      <c r="R204" s="20"/>
      <c r="S204" s="20"/>
      <c r="T204" s="20"/>
      <c r="U204" s="20"/>
      <c r="V204" s="20"/>
      <c r="W204" s="20"/>
      <c r="X204" s="20"/>
      <c r="Y204" s="20"/>
      <c r="Z204" s="20"/>
    </row>
    <row r="205" spans="14:26" ht="17.25" customHeight="1">
      <c r="N205" s="47"/>
      <c r="O205" s="20"/>
      <c r="P205" s="20"/>
      <c r="Q205" s="20"/>
      <c r="R205" s="20"/>
      <c r="S205" s="20"/>
      <c r="T205" s="20"/>
      <c r="U205" s="20"/>
      <c r="V205" s="20"/>
      <c r="W205" s="20"/>
      <c r="X205" s="20"/>
      <c r="Y205" s="20"/>
      <c r="Z205" s="20"/>
    </row>
    <row r="206" spans="14:26" ht="17.25" customHeight="1">
      <c r="N206" s="47"/>
      <c r="O206" s="20"/>
      <c r="P206" s="20"/>
      <c r="Q206" s="20"/>
      <c r="R206" s="20"/>
      <c r="S206" s="20"/>
      <c r="T206" s="20"/>
      <c r="U206" s="20"/>
      <c r="V206" s="20"/>
      <c r="W206" s="20"/>
      <c r="X206" s="20"/>
      <c r="Y206" s="20"/>
      <c r="Z206" s="20"/>
    </row>
    <row r="207" spans="14:26" ht="17.25" customHeight="1">
      <c r="N207" s="47"/>
      <c r="O207" s="20"/>
      <c r="P207" s="20"/>
      <c r="Q207" s="20"/>
      <c r="R207" s="20"/>
      <c r="S207" s="20"/>
      <c r="T207" s="20"/>
      <c r="U207" s="20"/>
      <c r="V207" s="20"/>
      <c r="W207" s="20"/>
      <c r="X207" s="20"/>
      <c r="Y207" s="20"/>
      <c r="Z207" s="20"/>
    </row>
    <row r="208" spans="14:26" ht="17.25" customHeight="1">
      <c r="N208" s="47"/>
      <c r="O208" s="20"/>
      <c r="P208" s="20"/>
      <c r="Q208" s="20"/>
      <c r="R208" s="20"/>
      <c r="S208" s="20"/>
      <c r="T208" s="20"/>
      <c r="U208" s="20"/>
      <c r="V208" s="20"/>
      <c r="W208" s="20"/>
      <c r="X208" s="20"/>
      <c r="Y208" s="20"/>
      <c r="Z208" s="20"/>
    </row>
    <row r="209" spans="14:26" ht="17.25" customHeight="1">
      <c r="N209" s="47"/>
      <c r="O209" s="20"/>
      <c r="P209" s="20"/>
      <c r="Q209" s="20"/>
      <c r="R209" s="20"/>
      <c r="S209" s="20"/>
      <c r="T209" s="20"/>
      <c r="U209" s="20"/>
      <c r="V209" s="20"/>
      <c r="W209" s="20"/>
      <c r="X209" s="20"/>
      <c r="Y209" s="20"/>
      <c r="Z209" s="20"/>
    </row>
    <row r="210" spans="14:26" ht="17.25" customHeight="1">
      <c r="N210" s="47"/>
      <c r="O210" s="20"/>
      <c r="P210" s="20"/>
      <c r="Q210" s="20"/>
      <c r="R210" s="20"/>
      <c r="S210" s="20"/>
      <c r="T210" s="20"/>
      <c r="U210" s="20"/>
      <c r="V210" s="20"/>
      <c r="W210" s="20"/>
      <c r="X210" s="20"/>
      <c r="Y210" s="20"/>
      <c r="Z210" s="20"/>
    </row>
    <row r="211" spans="14:26" ht="17.25" customHeight="1">
      <c r="N211" s="47"/>
      <c r="O211" s="20"/>
      <c r="P211" s="20"/>
      <c r="Q211" s="20"/>
      <c r="R211" s="20"/>
      <c r="S211" s="20"/>
      <c r="T211" s="20"/>
      <c r="U211" s="20"/>
      <c r="V211" s="20"/>
      <c r="W211" s="20"/>
      <c r="X211" s="20"/>
      <c r="Y211" s="20"/>
      <c r="Z211" s="20"/>
    </row>
    <row r="212" spans="14:26" ht="17.25" customHeight="1">
      <c r="N212" s="47"/>
      <c r="O212" s="20"/>
      <c r="P212" s="20"/>
      <c r="Q212" s="20"/>
      <c r="R212" s="20"/>
      <c r="S212" s="20"/>
      <c r="T212" s="20"/>
      <c r="U212" s="20"/>
      <c r="V212" s="20"/>
      <c r="W212" s="20"/>
      <c r="X212" s="20"/>
      <c r="Y212" s="20"/>
      <c r="Z212" s="20"/>
    </row>
    <row r="213" spans="14:26" ht="17.25" customHeight="1">
      <c r="N213" s="47"/>
      <c r="O213" s="20"/>
      <c r="P213" s="20"/>
      <c r="Q213" s="20"/>
      <c r="R213" s="20"/>
      <c r="S213" s="20"/>
      <c r="T213" s="20"/>
      <c r="U213" s="20"/>
      <c r="V213" s="20"/>
      <c r="W213" s="20"/>
      <c r="X213" s="20"/>
      <c r="Y213" s="20"/>
      <c r="Z213" s="20"/>
    </row>
    <row r="214" spans="14:26" ht="17.25" customHeight="1">
      <c r="N214" s="47"/>
      <c r="O214" s="20"/>
      <c r="P214" s="20"/>
      <c r="Q214" s="20"/>
      <c r="R214" s="20"/>
      <c r="S214" s="20"/>
      <c r="T214" s="20"/>
      <c r="U214" s="20"/>
      <c r="V214" s="20"/>
      <c r="W214" s="20"/>
      <c r="X214" s="20"/>
      <c r="Y214" s="20"/>
      <c r="Z214" s="20"/>
    </row>
    <row r="215" spans="14:26" ht="17.25" customHeight="1">
      <c r="N215" s="47"/>
      <c r="O215" s="20"/>
      <c r="P215" s="20"/>
      <c r="Q215" s="20"/>
      <c r="R215" s="20"/>
      <c r="S215" s="20"/>
      <c r="T215" s="20"/>
      <c r="U215" s="20"/>
      <c r="V215" s="20"/>
      <c r="W215" s="20"/>
      <c r="X215" s="20"/>
      <c r="Y215" s="20"/>
      <c r="Z215" s="20"/>
    </row>
    <row r="216" spans="14:26" ht="17.25" customHeight="1">
      <c r="N216" s="47"/>
      <c r="O216" s="20"/>
      <c r="P216" s="20"/>
      <c r="Q216" s="20"/>
      <c r="R216" s="20"/>
      <c r="S216" s="20"/>
      <c r="T216" s="20"/>
      <c r="U216" s="20"/>
      <c r="V216" s="20"/>
      <c r="W216" s="20"/>
      <c r="X216" s="20"/>
      <c r="Y216" s="20"/>
      <c r="Z216" s="20"/>
    </row>
    <row r="217" spans="14:26" ht="17.25" customHeight="1">
      <c r="N217" s="47"/>
      <c r="O217" s="20"/>
      <c r="P217" s="20"/>
      <c r="Q217" s="20"/>
      <c r="R217" s="20"/>
      <c r="S217" s="20"/>
      <c r="T217" s="20"/>
      <c r="U217" s="20"/>
      <c r="V217" s="20"/>
      <c r="W217" s="20"/>
      <c r="X217" s="20"/>
      <c r="Y217" s="20"/>
      <c r="Z217" s="20"/>
    </row>
    <row r="218" spans="14:26" ht="17.25" customHeight="1">
      <c r="N218" s="47"/>
      <c r="O218" s="20"/>
      <c r="P218" s="20"/>
      <c r="Q218" s="20"/>
      <c r="R218" s="20"/>
      <c r="S218" s="20"/>
      <c r="T218" s="20"/>
      <c r="U218" s="20"/>
      <c r="V218" s="20"/>
      <c r="W218" s="20"/>
      <c r="X218" s="20"/>
      <c r="Y218" s="20"/>
      <c r="Z218" s="20"/>
    </row>
    <row r="219" spans="14:26" ht="17.25" customHeight="1">
      <c r="N219" s="47"/>
      <c r="O219" s="20"/>
      <c r="P219" s="20"/>
      <c r="Q219" s="20"/>
      <c r="R219" s="20"/>
      <c r="S219" s="20"/>
      <c r="T219" s="20"/>
      <c r="U219" s="20"/>
      <c r="V219" s="20"/>
      <c r="W219" s="20"/>
      <c r="X219" s="20"/>
      <c r="Y219" s="20"/>
      <c r="Z219" s="20"/>
    </row>
    <row r="220" spans="14:26" ht="17.25" customHeight="1">
      <c r="N220" s="47"/>
      <c r="O220" s="20"/>
      <c r="P220" s="20"/>
      <c r="Q220" s="20"/>
      <c r="R220" s="20"/>
      <c r="S220" s="20"/>
      <c r="T220" s="20"/>
      <c r="U220" s="20"/>
      <c r="V220" s="20"/>
      <c r="W220" s="20"/>
      <c r="X220" s="20"/>
      <c r="Y220" s="20"/>
      <c r="Z220" s="20"/>
    </row>
    <row r="221" spans="14:26" ht="17.25" customHeight="1">
      <c r="N221" s="47"/>
      <c r="O221" s="20"/>
      <c r="P221" s="20"/>
      <c r="Q221" s="20"/>
      <c r="R221" s="20"/>
      <c r="S221" s="20"/>
      <c r="T221" s="20"/>
      <c r="U221" s="20"/>
      <c r="V221" s="20"/>
      <c r="W221" s="20"/>
      <c r="X221" s="20"/>
      <c r="Y221" s="20"/>
      <c r="Z221" s="20"/>
    </row>
    <row r="222" spans="14:26" ht="17.25" customHeight="1">
      <c r="N222" s="47"/>
      <c r="O222" s="20"/>
      <c r="P222" s="20"/>
      <c r="Q222" s="20"/>
      <c r="R222" s="20"/>
      <c r="S222" s="20"/>
      <c r="T222" s="20"/>
      <c r="U222" s="20"/>
      <c r="V222" s="20"/>
      <c r="W222" s="20"/>
      <c r="X222" s="20"/>
      <c r="Y222" s="20"/>
      <c r="Z222" s="20"/>
    </row>
    <row r="223" spans="14:26" ht="17.25" customHeight="1">
      <c r="N223" s="47"/>
      <c r="O223" s="20"/>
      <c r="P223" s="20"/>
      <c r="Q223" s="20"/>
      <c r="R223" s="20"/>
      <c r="S223" s="20"/>
      <c r="T223" s="20"/>
      <c r="U223" s="20"/>
      <c r="V223" s="20"/>
      <c r="W223" s="20"/>
      <c r="X223" s="20"/>
      <c r="Y223" s="20"/>
      <c r="Z223" s="20"/>
    </row>
    <row r="224" spans="14:26" ht="17.25" customHeight="1">
      <c r="N224" s="47"/>
      <c r="O224" s="20"/>
      <c r="P224" s="20"/>
      <c r="Q224" s="20"/>
      <c r="R224" s="20"/>
      <c r="S224" s="20"/>
      <c r="T224" s="20"/>
      <c r="U224" s="20"/>
      <c r="V224" s="20"/>
      <c r="W224" s="20"/>
      <c r="X224" s="20"/>
      <c r="Y224" s="20"/>
      <c r="Z224" s="20"/>
    </row>
    <row r="225" spans="14:26" ht="17.25" customHeight="1">
      <c r="N225" s="47"/>
      <c r="O225" s="20"/>
      <c r="P225" s="20"/>
      <c r="Q225" s="20"/>
      <c r="R225" s="20"/>
      <c r="S225" s="20"/>
      <c r="T225" s="20"/>
      <c r="U225" s="20"/>
      <c r="V225" s="20"/>
      <c r="W225" s="20"/>
      <c r="X225" s="20"/>
      <c r="Y225" s="20"/>
      <c r="Z225" s="20"/>
    </row>
    <row r="226" spans="14:26" ht="17.25" customHeight="1">
      <c r="N226" s="47"/>
      <c r="O226" s="20"/>
      <c r="P226" s="20"/>
      <c r="Q226" s="20"/>
      <c r="R226" s="20"/>
      <c r="S226" s="20"/>
      <c r="T226" s="20"/>
      <c r="U226" s="20"/>
      <c r="V226" s="20"/>
      <c r="W226" s="20"/>
      <c r="X226" s="20"/>
      <c r="Y226" s="20"/>
      <c r="Z226" s="20"/>
    </row>
    <row r="227" spans="14:26" ht="17.25" customHeight="1">
      <c r="N227" s="47"/>
      <c r="O227" s="20"/>
      <c r="P227" s="20"/>
      <c r="Q227" s="20"/>
      <c r="R227" s="20"/>
      <c r="S227" s="20"/>
      <c r="T227" s="20"/>
      <c r="U227" s="20"/>
      <c r="V227" s="20"/>
      <c r="W227" s="20"/>
      <c r="X227" s="20"/>
      <c r="Y227" s="20"/>
      <c r="Z227" s="20"/>
    </row>
    <row r="228" spans="14:26" ht="17.25" customHeight="1">
      <c r="N228" s="47"/>
      <c r="O228" s="20"/>
      <c r="P228" s="20"/>
      <c r="Q228" s="20"/>
      <c r="R228" s="20"/>
      <c r="S228" s="20"/>
      <c r="T228" s="20"/>
      <c r="U228" s="20"/>
      <c r="V228" s="20"/>
      <c r="W228" s="20"/>
      <c r="X228" s="20"/>
      <c r="Y228" s="20"/>
      <c r="Z228" s="20"/>
    </row>
    <row r="229" spans="14:26" ht="17.25" customHeight="1">
      <c r="N229" s="47"/>
      <c r="O229" s="20"/>
      <c r="P229" s="20"/>
      <c r="Q229" s="20"/>
      <c r="R229" s="20"/>
      <c r="S229" s="20"/>
      <c r="T229" s="20"/>
      <c r="U229" s="20"/>
      <c r="V229" s="20"/>
      <c r="W229" s="20"/>
      <c r="X229" s="20"/>
      <c r="Y229" s="20"/>
      <c r="Z229" s="20"/>
    </row>
    <row r="230" spans="14:26" ht="17.25" customHeight="1">
      <c r="N230" s="47"/>
      <c r="O230" s="20"/>
      <c r="P230" s="20"/>
      <c r="Q230" s="20"/>
      <c r="R230" s="20"/>
      <c r="S230" s="20"/>
      <c r="T230" s="20"/>
      <c r="U230" s="20"/>
      <c r="V230" s="20"/>
      <c r="W230" s="20"/>
      <c r="X230" s="20"/>
      <c r="Y230" s="20"/>
      <c r="Z230" s="20"/>
    </row>
    <row r="231" spans="14:26" ht="17.25" customHeight="1">
      <c r="N231" s="47"/>
      <c r="O231" s="20"/>
      <c r="P231" s="20"/>
      <c r="Q231" s="20"/>
      <c r="R231" s="20"/>
      <c r="S231" s="20"/>
      <c r="T231" s="20"/>
      <c r="U231" s="20"/>
      <c r="V231" s="20"/>
      <c r="W231" s="20"/>
      <c r="X231" s="20"/>
      <c r="Y231" s="20"/>
      <c r="Z231" s="20"/>
    </row>
    <row r="232" spans="14:26" ht="17.25" customHeight="1">
      <c r="N232" s="47"/>
      <c r="O232" s="20"/>
      <c r="P232" s="20"/>
      <c r="Q232" s="20"/>
      <c r="R232" s="20"/>
      <c r="S232" s="20"/>
      <c r="T232" s="20"/>
      <c r="U232" s="20"/>
      <c r="V232" s="20"/>
      <c r="W232" s="20"/>
      <c r="X232" s="20"/>
      <c r="Y232" s="20"/>
      <c r="Z232" s="20"/>
    </row>
    <row r="233" spans="14:26" ht="17.25" customHeight="1">
      <c r="N233" s="47"/>
      <c r="O233" s="20"/>
      <c r="P233" s="20"/>
      <c r="Q233" s="20"/>
      <c r="R233" s="20"/>
      <c r="S233" s="20"/>
      <c r="T233" s="20"/>
      <c r="U233" s="20"/>
      <c r="V233" s="20"/>
      <c r="W233" s="20"/>
      <c r="X233" s="20"/>
      <c r="Y233" s="20"/>
      <c r="Z233" s="20"/>
    </row>
    <row r="234" spans="14:26" ht="17.25" customHeight="1">
      <c r="N234" s="47"/>
      <c r="O234" s="20"/>
      <c r="P234" s="20"/>
      <c r="Q234" s="20"/>
      <c r="R234" s="20"/>
      <c r="S234" s="20"/>
      <c r="T234" s="20"/>
      <c r="U234" s="20"/>
      <c r="V234" s="20"/>
      <c r="W234" s="20"/>
      <c r="X234" s="20"/>
      <c r="Y234" s="20"/>
      <c r="Z234" s="20"/>
    </row>
    <row r="235" spans="14:26" ht="17.25" customHeight="1">
      <c r="N235" s="47"/>
      <c r="O235" s="20"/>
      <c r="P235" s="20"/>
      <c r="Q235" s="20"/>
      <c r="R235" s="20"/>
      <c r="S235" s="20"/>
      <c r="T235" s="20"/>
      <c r="U235" s="20"/>
      <c r="V235" s="20"/>
      <c r="W235" s="20"/>
      <c r="X235" s="20"/>
      <c r="Y235" s="20"/>
      <c r="Z235" s="20"/>
    </row>
    <row r="236" spans="14:26" ht="17.25" customHeight="1">
      <c r="N236" s="47"/>
      <c r="O236" s="20"/>
      <c r="P236" s="20"/>
      <c r="Q236" s="20"/>
      <c r="R236" s="20"/>
      <c r="S236" s="20"/>
      <c r="T236" s="20"/>
      <c r="U236" s="20"/>
      <c r="V236" s="20"/>
      <c r="W236" s="20"/>
      <c r="X236" s="20"/>
      <c r="Y236" s="20"/>
      <c r="Z236" s="20"/>
    </row>
    <row r="237" spans="14:26" ht="17.25" customHeight="1">
      <c r="N237" s="47"/>
      <c r="O237" s="20"/>
      <c r="P237" s="20"/>
      <c r="Q237" s="20"/>
      <c r="R237" s="20"/>
      <c r="S237" s="20"/>
      <c r="T237" s="20"/>
      <c r="U237" s="20"/>
      <c r="V237" s="20"/>
      <c r="W237" s="20"/>
      <c r="X237" s="20"/>
      <c r="Y237" s="20"/>
      <c r="Z237" s="20"/>
    </row>
    <row r="238" spans="14:26" ht="17.25" customHeight="1">
      <c r="N238" s="47"/>
      <c r="O238" s="20"/>
      <c r="P238" s="20"/>
      <c r="Q238" s="20"/>
      <c r="R238" s="20"/>
      <c r="S238" s="20"/>
      <c r="T238" s="20"/>
      <c r="U238" s="20"/>
      <c r="V238" s="20"/>
      <c r="W238" s="20"/>
      <c r="X238" s="20"/>
      <c r="Y238" s="20"/>
      <c r="Z238" s="20"/>
    </row>
    <row r="239" spans="14:26" ht="17.25" customHeight="1">
      <c r="N239" s="47"/>
      <c r="O239" s="20"/>
      <c r="P239" s="20"/>
      <c r="Q239" s="20"/>
      <c r="R239" s="20"/>
      <c r="S239" s="20"/>
      <c r="T239" s="20"/>
      <c r="U239" s="20"/>
      <c r="V239" s="20"/>
      <c r="W239" s="20"/>
      <c r="X239" s="20"/>
      <c r="Y239" s="20"/>
      <c r="Z239" s="20"/>
    </row>
    <row r="240" spans="14:26" ht="17.25" customHeight="1">
      <c r="N240" s="47"/>
      <c r="O240" s="20"/>
      <c r="P240" s="20"/>
      <c r="Q240" s="20"/>
      <c r="R240" s="20"/>
      <c r="S240" s="20"/>
      <c r="T240" s="20"/>
      <c r="U240" s="20"/>
      <c r="V240" s="20"/>
      <c r="W240" s="20"/>
      <c r="X240" s="20"/>
      <c r="Y240" s="20"/>
      <c r="Z240" s="20"/>
    </row>
    <row r="241" spans="14:26" ht="17.25" customHeight="1">
      <c r="N241" s="47"/>
      <c r="O241" s="20"/>
      <c r="P241" s="20"/>
      <c r="Q241" s="20"/>
      <c r="R241" s="20"/>
      <c r="S241" s="20"/>
      <c r="T241" s="20"/>
      <c r="U241" s="20"/>
      <c r="V241" s="20"/>
      <c r="W241" s="20"/>
      <c r="X241" s="20"/>
      <c r="Y241" s="20"/>
      <c r="Z241" s="20"/>
    </row>
    <row r="242" spans="14:26" ht="17.25" customHeight="1">
      <c r="N242" s="47"/>
      <c r="O242" s="20"/>
      <c r="P242" s="20"/>
      <c r="Q242" s="20"/>
      <c r="R242" s="20"/>
      <c r="S242" s="20"/>
      <c r="T242" s="20"/>
      <c r="U242" s="20"/>
      <c r="V242" s="20"/>
      <c r="W242" s="20"/>
      <c r="X242" s="20"/>
      <c r="Y242" s="20"/>
      <c r="Z242" s="20"/>
    </row>
    <row r="243" spans="14:26" ht="17.25" customHeight="1">
      <c r="N243" s="47"/>
      <c r="O243" s="20"/>
      <c r="P243" s="20"/>
      <c r="Q243" s="20"/>
      <c r="R243" s="20"/>
      <c r="S243" s="20"/>
      <c r="T243" s="20"/>
      <c r="U243" s="20"/>
      <c r="V243" s="20"/>
      <c r="W243" s="20"/>
      <c r="X243" s="20"/>
      <c r="Y243" s="20"/>
      <c r="Z243" s="20"/>
    </row>
    <row r="244" spans="14:26" ht="17.25" customHeight="1">
      <c r="N244" s="47"/>
      <c r="O244" s="20"/>
      <c r="P244" s="20"/>
      <c r="Q244" s="20"/>
      <c r="R244" s="20"/>
      <c r="S244" s="20"/>
      <c r="T244" s="20"/>
      <c r="U244" s="20"/>
      <c r="V244" s="20"/>
      <c r="W244" s="20"/>
      <c r="X244" s="20"/>
      <c r="Y244" s="20"/>
      <c r="Z244" s="20"/>
    </row>
    <row r="245" spans="14:26" ht="17.25" customHeight="1">
      <c r="N245" s="47"/>
      <c r="O245" s="20"/>
      <c r="P245" s="20"/>
      <c r="Q245" s="20"/>
      <c r="R245" s="20"/>
      <c r="S245" s="20"/>
      <c r="T245" s="20"/>
      <c r="U245" s="20"/>
      <c r="V245" s="20"/>
      <c r="W245" s="20"/>
      <c r="X245" s="20"/>
      <c r="Y245" s="20"/>
      <c r="Z245" s="20"/>
    </row>
    <row r="246" spans="14:26" ht="17.25" customHeight="1">
      <c r="N246" s="47"/>
      <c r="O246" s="20"/>
      <c r="P246" s="20"/>
      <c r="Q246" s="20"/>
      <c r="R246" s="20"/>
      <c r="S246" s="20"/>
      <c r="T246" s="20"/>
      <c r="U246" s="20"/>
      <c r="V246" s="20"/>
      <c r="W246" s="20"/>
      <c r="X246" s="20"/>
      <c r="Y246" s="20"/>
      <c r="Z246" s="20"/>
    </row>
    <row r="247" spans="14:26" ht="17.25" customHeight="1">
      <c r="N247" s="47"/>
      <c r="O247" s="20"/>
      <c r="P247" s="20"/>
      <c r="Q247" s="20"/>
      <c r="R247" s="20"/>
      <c r="S247" s="20"/>
      <c r="T247" s="20"/>
      <c r="U247" s="20"/>
      <c r="V247" s="20"/>
      <c r="W247" s="20"/>
      <c r="X247" s="20"/>
      <c r="Y247" s="20"/>
      <c r="Z247" s="20"/>
    </row>
    <row r="248" spans="14:26" ht="17.25" customHeight="1">
      <c r="N248" s="47"/>
      <c r="O248" s="20"/>
      <c r="P248" s="20"/>
      <c r="Q248" s="20"/>
      <c r="R248" s="20"/>
      <c r="S248" s="20"/>
      <c r="T248" s="20"/>
      <c r="U248" s="20"/>
      <c r="V248" s="20"/>
      <c r="W248" s="20"/>
      <c r="X248" s="20"/>
      <c r="Y248" s="20"/>
      <c r="Z248" s="20"/>
    </row>
    <row r="249" spans="14:26" ht="17.25" customHeight="1">
      <c r="N249" s="47"/>
      <c r="O249" s="20"/>
      <c r="P249" s="20"/>
      <c r="Q249" s="20"/>
      <c r="R249" s="20"/>
      <c r="S249" s="20"/>
      <c r="T249" s="20"/>
      <c r="U249" s="20"/>
      <c r="V249" s="20"/>
      <c r="W249" s="20"/>
      <c r="X249" s="20"/>
      <c r="Y249" s="20"/>
      <c r="Z249" s="20"/>
    </row>
    <row r="250" spans="14:26" ht="17.25" customHeight="1">
      <c r="N250" s="47"/>
      <c r="O250" s="20"/>
      <c r="P250" s="20"/>
      <c r="Q250" s="20"/>
      <c r="R250" s="20"/>
      <c r="S250" s="20"/>
      <c r="T250" s="20"/>
      <c r="U250" s="20"/>
      <c r="V250" s="20"/>
      <c r="W250" s="20"/>
      <c r="X250" s="20"/>
      <c r="Y250" s="20"/>
      <c r="Z250" s="20"/>
    </row>
    <row r="251" spans="14:26" ht="17.25" customHeight="1">
      <c r="N251" s="47"/>
      <c r="O251" s="20"/>
      <c r="P251" s="20"/>
      <c r="Q251" s="20"/>
      <c r="R251" s="20"/>
      <c r="S251" s="20"/>
      <c r="T251" s="20"/>
      <c r="U251" s="20"/>
      <c r="V251" s="20"/>
      <c r="W251" s="20"/>
      <c r="X251" s="20"/>
      <c r="Y251" s="20"/>
      <c r="Z251" s="20"/>
    </row>
    <row r="252" spans="14:26" ht="17.25" customHeight="1">
      <c r="N252" s="47"/>
      <c r="O252" s="20"/>
      <c r="P252" s="20"/>
      <c r="Q252" s="20"/>
      <c r="R252" s="20"/>
      <c r="S252" s="20"/>
      <c r="T252" s="20"/>
      <c r="U252" s="20"/>
      <c r="V252" s="20"/>
      <c r="W252" s="20"/>
      <c r="X252" s="20"/>
      <c r="Y252" s="20"/>
      <c r="Z252" s="20"/>
    </row>
    <row r="253" spans="14:26" ht="17.25" customHeight="1">
      <c r="N253" s="47"/>
      <c r="O253" s="20"/>
      <c r="P253" s="20"/>
      <c r="Q253" s="20"/>
      <c r="R253" s="20"/>
      <c r="S253" s="20"/>
      <c r="T253" s="20"/>
      <c r="U253" s="20"/>
      <c r="V253" s="20"/>
      <c r="W253" s="20"/>
      <c r="X253" s="20"/>
      <c r="Y253" s="20"/>
      <c r="Z253" s="20"/>
    </row>
    <row r="254" spans="14:26" ht="17.25" customHeight="1">
      <c r="N254" s="47"/>
      <c r="O254" s="20"/>
      <c r="P254" s="20"/>
      <c r="Q254" s="20"/>
      <c r="R254" s="20"/>
      <c r="S254" s="20"/>
      <c r="T254" s="20"/>
      <c r="U254" s="20"/>
      <c r="V254" s="20"/>
      <c r="W254" s="20"/>
      <c r="X254" s="20"/>
      <c r="Y254" s="20"/>
      <c r="Z254" s="20"/>
    </row>
    <row r="255" spans="14:26" ht="17.25" customHeight="1">
      <c r="N255" s="47"/>
      <c r="O255" s="20"/>
      <c r="P255" s="20"/>
      <c r="Q255" s="20"/>
      <c r="R255" s="20"/>
      <c r="S255" s="20"/>
      <c r="T255" s="20"/>
      <c r="U255" s="20"/>
      <c r="V255" s="20"/>
      <c r="W255" s="20"/>
      <c r="X255" s="20"/>
      <c r="Y255" s="20"/>
      <c r="Z255" s="20"/>
    </row>
    <row r="256" spans="14:26" ht="17.25" customHeight="1">
      <c r="N256" s="47"/>
      <c r="O256" s="20"/>
      <c r="P256" s="20"/>
      <c r="Q256" s="20"/>
      <c r="R256" s="20"/>
      <c r="S256" s="20"/>
      <c r="T256" s="20"/>
      <c r="U256" s="20"/>
      <c r="V256" s="20"/>
      <c r="W256" s="20"/>
      <c r="X256" s="20"/>
      <c r="Y256" s="20"/>
      <c r="Z256" s="20"/>
    </row>
    <row r="257" spans="14:26" ht="17.25" customHeight="1">
      <c r="N257" s="47"/>
      <c r="O257" s="20"/>
      <c r="P257" s="20"/>
      <c r="Q257" s="20"/>
      <c r="R257" s="20"/>
      <c r="S257" s="20"/>
      <c r="T257" s="20"/>
      <c r="U257" s="20"/>
      <c r="V257" s="20"/>
      <c r="W257" s="20"/>
      <c r="X257" s="20"/>
      <c r="Y257" s="20"/>
      <c r="Z257" s="20"/>
    </row>
    <row r="258" spans="14:26" ht="17.25" customHeight="1">
      <c r="N258" s="47"/>
      <c r="O258" s="20"/>
      <c r="P258" s="20"/>
      <c r="Q258" s="20"/>
      <c r="R258" s="20"/>
      <c r="S258" s="20"/>
      <c r="T258" s="20"/>
      <c r="U258" s="20"/>
      <c r="V258" s="20"/>
      <c r="W258" s="20"/>
      <c r="X258" s="20"/>
      <c r="Y258" s="20"/>
      <c r="Z258" s="20"/>
    </row>
    <row r="259" spans="14:26" ht="17.25" customHeight="1">
      <c r="N259" s="47"/>
      <c r="O259" s="20"/>
      <c r="P259" s="20"/>
      <c r="Q259" s="20"/>
      <c r="R259" s="20"/>
      <c r="S259" s="20"/>
      <c r="T259" s="20"/>
      <c r="U259" s="20"/>
      <c r="V259" s="20"/>
      <c r="W259" s="20"/>
      <c r="X259" s="20"/>
      <c r="Y259" s="20"/>
      <c r="Z259" s="20"/>
    </row>
    <row r="260" spans="14:26" ht="17.25" customHeight="1">
      <c r="N260" s="47"/>
      <c r="O260" s="20"/>
      <c r="P260" s="20"/>
      <c r="Q260" s="20"/>
      <c r="R260" s="20"/>
      <c r="S260" s="20"/>
      <c r="T260" s="20"/>
      <c r="U260" s="20"/>
      <c r="V260" s="20"/>
      <c r="W260" s="20"/>
      <c r="X260" s="20"/>
      <c r="Y260" s="20"/>
      <c r="Z260" s="20"/>
    </row>
    <row r="261" spans="14:26" ht="17.25" customHeight="1">
      <c r="N261" s="47"/>
      <c r="O261" s="20"/>
      <c r="P261" s="20"/>
      <c r="Q261" s="20"/>
      <c r="R261" s="20"/>
      <c r="S261" s="20"/>
      <c r="T261" s="20"/>
      <c r="U261" s="20"/>
      <c r="V261" s="20"/>
      <c r="W261" s="20"/>
      <c r="X261" s="20"/>
      <c r="Y261" s="20"/>
      <c r="Z261" s="20"/>
    </row>
    <row r="262" spans="14:26" ht="17.25" customHeight="1">
      <c r="N262" s="47"/>
      <c r="O262" s="20"/>
      <c r="P262" s="20"/>
      <c r="Q262" s="20"/>
      <c r="R262" s="20"/>
      <c r="S262" s="20"/>
      <c r="T262" s="20"/>
      <c r="U262" s="20"/>
      <c r="V262" s="20"/>
      <c r="W262" s="20"/>
      <c r="X262" s="20"/>
      <c r="Y262" s="20"/>
      <c r="Z262" s="20"/>
    </row>
    <row r="263" spans="14:26" ht="17.25" customHeight="1">
      <c r="N263" s="47"/>
      <c r="O263" s="20"/>
      <c r="P263" s="20"/>
      <c r="Q263" s="20"/>
      <c r="R263" s="20"/>
      <c r="S263" s="20"/>
      <c r="T263" s="20"/>
      <c r="U263" s="20"/>
      <c r="V263" s="20"/>
      <c r="W263" s="20"/>
      <c r="X263" s="20"/>
      <c r="Y263" s="20"/>
      <c r="Z263" s="20"/>
    </row>
    <row r="264" spans="14:26" ht="17.25" customHeight="1">
      <c r="N264" s="47"/>
      <c r="O264" s="20"/>
      <c r="P264" s="20"/>
      <c r="Q264" s="20"/>
      <c r="R264" s="20"/>
      <c r="S264" s="20"/>
      <c r="T264" s="20"/>
      <c r="U264" s="20"/>
      <c r="V264" s="20"/>
      <c r="W264" s="20"/>
      <c r="X264" s="20"/>
      <c r="Y264" s="20"/>
      <c r="Z264" s="20"/>
    </row>
    <row r="265" spans="14:26" ht="17.25" customHeight="1">
      <c r="N265" s="47"/>
      <c r="O265" s="20"/>
      <c r="P265" s="20"/>
      <c r="Q265" s="20"/>
      <c r="R265" s="20"/>
      <c r="S265" s="20"/>
      <c r="T265" s="20"/>
      <c r="U265" s="20"/>
      <c r="V265" s="20"/>
      <c r="W265" s="20"/>
      <c r="X265" s="20"/>
      <c r="Y265" s="20"/>
      <c r="Z265" s="20"/>
    </row>
    <row r="266" spans="14:26" ht="17.25" customHeight="1">
      <c r="N266" s="47"/>
      <c r="O266" s="20"/>
      <c r="P266" s="20"/>
      <c r="Q266" s="20"/>
      <c r="R266" s="20"/>
      <c r="S266" s="20"/>
      <c r="T266" s="20"/>
      <c r="U266" s="20"/>
      <c r="V266" s="20"/>
      <c r="W266" s="20"/>
      <c r="X266" s="20"/>
      <c r="Y266" s="20"/>
      <c r="Z266" s="20"/>
    </row>
    <row r="267" spans="14:26" ht="17.25" customHeight="1">
      <c r="N267" s="47"/>
      <c r="O267" s="20"/>
      <c r="P267" s="20"/>
      <c r="Q267" s="20"/>
      <c r="R267" s="20"/>
      <c r="S267" s="20"/>
      <c r="T267" s="20"/>
      <c r="U267" s="20"/>
      <c r="V267" s="20"/>
      <c r="W267" s="20"/>
      <c r="X267" s="20"/>
      <c r="Y267" s="20"/>
      <c r="Z267" s="20"/>
    </row>
    <row r="268" spans="14:26" ht="17.25" customHeight="1">
      <c r="N268" s="47"/>
      <c r="O268" s="20"/>
      <c r="P268" s="20"/>
      <c r="Q268" s="20"/>
      <c r="R268" s="20"/>
      <c r="S268" s="20"/>
      <c r="T268" s="20"/>
      <c r="U268" s="20"/>
      <c r="V268" s="20"/>
      <c r="W268" s="20"/>
      <c r="X268" s="20"/>
      <c r="Y268" s="20"/>
      <c r="Z268" s="20"/>
    </row>
    <row r="269" spans="14:26" ht="17.25" customHeight="1">
      <c r="N269" s="47"/>
      <c r="O269" s="20"/>
      <c r="P269" s="20"/>
      <c r="Q269" s="20"/>
      <c r="R269" s="20"/>
      <c r="S269" s="20"/>
      <c r="T269" s="20"/>
      <c r="U269" s="20"/>
      <c r="V269" s="20"/>
      <c r="W269" s="20"/>
      <c r="X269" s="20"/>
      <c r="Y269" s="20"/>
      <c r="Z269" s="20"/>
    </row>
    <row r="270" spans="14:26" ht="17.25" customHeight="1">
      <c r="N270" s="47"/>
      <c r="O270" s="20"/>
      <c r="P270" s="20"/>
      <c r="Q270" s="20"/>
      <c r="R270" s="20"/>
      <c r="S270" s="20"/>
      <c r="T270" s="20"/>
      <c r="U270" s="20"/>
      <c r="V270" s="20"/>
      <c r="W270" s="20"/>
      <c r="X270" s="20"/>
      <c r="Y270" s="20"/>
      <c r="Z270" s="20"/>
    </row>
    <row r="271" spans="14:26" ht="17.25" customHeight="1">
      <c r="N271" s="47"/>
      <c r="O271" s="20"/>
      <c r="P271" s="20"/>
      <c r="Q271" s="20"/>
      <c r="R271" s="20"/>
      <c r="S271" s="20"/>
      <c r="T271" s="20"/>
      <c r="U271" s="20"/>
      <c r="V271" s="20"/>
      <c r="W271" s="20"/>
      <c r="X271" s="20"/>
      <c r="Y271" s="20"/>
      <c r="Z271" s="20"/>
    </row>
    <row r="272" spans="14:26" ht="17.25" customHeight="1">
      <c r="N272" s="47"/>
      <c r="O272" s="20"/>
      <c r="P272" s="20"/>
      <c r="Q272" s="20"/>
      <c r="R272" s="20"/>
      <c r="S272" s="20"/>
      <c r="T272" s="20"/>
      <c r="U272" s="20"/>
      <c r="V272" s="20"/>
      <c r="W272" s="20"/>
      <c r="X272" s="20"/>
      <c r="Y272" s="20"/>
      <c r="Z272" s="20"/>
    </row>
    <row r="273" spans="14:26" ht="17.25" customHeight="1">
      <c r="N273" s="47"/>
      <c r="O273" s="20"/>
      <c r="P273" s="20"/>
      <c r="Q273" s="20"/>
      <c r="R273" s="20"/>
      <c r="S273" s="20"/>
      <c r="T273" s="20"/>
      <c r="U273" s="20"/>
      <c r="V273" s="20"/>
      <c r="W273" s="20"/>
      <c r="X273" s="20"/>
      <c r="Y273" s="20"/>
      <c r="Z273" s="20"/>
    </row>
    <row r="274" spans="14:26" ht="17.25" customHeight="1">
      <c r="N274" s="47"/>
      <c r="O274" s="20"/>
      <c r="P274" s="20"/>
      <c r="Q274" s="20"/>
      <c r="R274" s="20"/>
      <c r="S274" s="20"/>
      <c r="T274" s="20"/>
      <c r="U274" s="20"/>
      <c r="V274" s="20"/>
      <c r="W274" s="20"/>
      <c r="X274" s="20"/>
      <c r="Y274" s="20"/>
      <c r="Z274" s="20"/>
    </row>
    <row r="275" spans="14:26" ht="17.25" customHeight="1">
      <c r="N275" s="47"/>
      <c r="O275" s="20"/>
      <c r="P275" s="20"/>
      <c r="Q275" s="20"/>
      <c r="R275" s="20"/>
      <c r="S275" s="20"/>
      <c r="T275" s="20"/>
      <c r="U275" s="20"/>
      <c r="V275" s="20"/>
      <c r="W275" s="20"/>
      <c r="X275" s="20"/>
      <c r="Y275" s="20"/>
      <c r="Z275" s="20"/>
    </row>
    <row r="276" spans="14:26" ht="17.25" customHeight="1">
      <c r="N276" s="47"/>
      <c r="O276" s="20"/>
      <c r="P276" s="20"/>
      <c r="Q276" s="20"/>
      <c r="R276" s="20"/>
      <c r="S276" s="20"/>
      <c r="T276" s="20"/>
      <c r="U276" s="20"/>
      <c r="V276" s="20"/>
      <c r="W276" s="20"/>
      <c r="X276" s="20"/>
      <c r="Y276" s="20"/>
      <c r="Z276" s="20"/>
    </row>
    <row r="277" spans="14:26" ht="17.25" customHeight="1">
      <c r="N277" s="47"/>
      <c r="O277" s="20"/>
      <c r="P277" s="20"/>
      <c r="Q277" s="20"/>
      <c r="R277" s="20"/>
      <c r="S277" s="20"/>
      <c r="T277" s="20"/>
      <c r="U277" s="20"/>
      <c r="V277" s="20"/>
      <c r="W277" s="20"/>
      <c r="X277" s="20"/>
      <c r="Y277" s="20"/>
      <c r="Z277" s="20"/>
    </row>
    <row r="278" spans="14:26" ht="17.25" customHeight="1">
      <c r="N278" s="47"/>
      <c r="O278" s="20"/>
      <c r="P278" s="20"/>
      <c r="Q278" s="20"/>
      <c r="R278" s="20"/>
      <c r="S278" s="20"/>
      <c r="T278" s="20"/>
      <c r="U278" s="20"/>
      <c r="V278" s="20"/>
      <c r="W278" s="20"/>
      <c r="X278" s="20"/>
      <c r="Y278" s="20"/>
      <c r="Z278" s="20"/>
    </row>
    <row r="279" spans="14:26" ht="17.25" customHeight="1">
      <c r="N279" s="47"/>
      <c r="O279" s="20"/>
      <c r="P279" s="20"/>
      <c r="Q279" s="20"/>
      <c r="R279" s="20"/>
      <c r="S279" s="20"/>
      <c r="T279" s="20"/>
      <c r="U279" s="20"/>
      <c r="V279" s="20"/>
      <c r="W279" s="20"/>
      <c r="X279" s="20"/>
      <c r="Y279" s="20"/>
      <c r="Z279" s="20"/>
    </row>
    <row r="280" spans="14:26" ht="17.25" customHeight="1">
      <c r="N280" s="47"/>
      <c r="O280" s="20"/>
      <c r="P280" s="20"/>
      <c r="Q280" s="20"/>
      <c r="R280" s="20"/>
      <c r="S280" s="20"/>
      <c r="T280" s="20"/>
      <c r="U280" s="20"/>
      <c r="V280" s="20"/>
      <c r="W280" s="20"/>
      <c r="X280" s="20"/>
      <c r="Y280" s="20"/>
      <c r="Z280" s="20"/>
    </row>
    <row r="281" spans="14:26" ht="17.25" customHeight="1">
      <c r="N281" s="47"/>
      <c r="O281" s="20"/>
      <c r="P281" s="20"/>
      <c r="Q281" s="20"/>
      <c r="R281" s="20"/>
      <c r="S281" s="20"/>
      <c r="T281" s="20"/>
      <c r="U281" s="20"/>
      <c r="V281" s="20"/>
      <c r="W281" s="20"/>
      <c r="X281" s="20"/>
      <c r="Y281" s="20"/>
      <c r="Z281" s="20"/>
    </row>
    <row r="282" spans="14:26" ht="17.25" customHeight="1">
      <c r="N282" s="47"/>
      <c r="O282" s="20"/>
      <c r="P282" s="20"/>
      <c r="Q282" s="20"/>
      <c r="R282" s="20"/>
      <c r="S282" s="20"/>
      <c r="T282" s="20"/>
      <c r="U282" s="20"/>
      <c r="V282" s="20"/>
      <c r="W282" s="20"/>
      <c r="X282" s="20"/>
      <c r="Y282" s="20"/>
      <c r="Z282" s="20"/>
    </row>
    <row r="283" spans="14:26" ht="17.25" customHeight="1">
      <c r="N283" s="47"/>
      <c r="O283" s="20"/>
      <c r="P283" s="20"/>
      <c r="Q283" s="20"/>
      <c r="R283" s="20"/>
      <c r="S283" s="20"/>
      <c r="T283" s="20"/>
      <c r="U283" s="20"/>
      <c r="V283" s="20"/>
      <c r="W283" s="20"/>
      <c r="X283" s="20"/>
      <c r="Y283" s="20"/>
      <c r="Z283" s="20"/>
    </row>
    <row r="284" spans="14:26" ht="17.25" customHeight="1">
      <c r="N284" s="47"/>
      <c r="O284" s="20"/>
      <c r="P284" s="20"/>
      <c r="Q284" s="20"/>
      <c r="R284" s="20"/>
      <c r="S284" s="20"/>
      <c r="T284" s="20"/>
      <c r="U284" s="20"/>
      <c r="V284" s="20"/>
      <c r="W284" s="20"/>
      <c r="X284" s="20"/>
      <c r="Y284" s="20"/>
      <c r="Z284" s="20"/>
    </row>
    <row r="285" spans="14:26" ht="17.25" customHeight="1">
      <c r="N285" s="47"/>
      <c r="O285" s="20"/>
      <c r="P285" s="20"/>
      <c r="Q285" s="20"/>
      <c r="R285" s="20"/>
      <c r="S285" s="20"/>
      <c r="T285" s="20"/>
      <c r="U285" s="20"/>
      <c r="V285" s="20"/>
      <c r="W285" s="20"/>
      <c r="X285" s="20"/>
      <c r="Y285" s="20"/>
      <c r="Z285" s="20"/>
    </row>
    <row r="286" spans="14:26" ht="17.25" customHeight="1">
      <c r="N286" s="47"/>
      <c r="O286" s="20"/>
      <c r="P286" s="20"/>
      <c r="Q286" s="20"/>
      <c r="R286" s="20"/>
      <c r="S286" s="20"/>
      <c r="T286" s="20"/>
      <c r="U286" s="20"/>
      <c r="V286" s="20"/>
      <c r="W286" s="20"/>
      <c r="X286" s="20"/>
      <c r="Y286" s="20"/>
      <c r="Z286" s="20"/>
    </row>
    <row r="287" spans="14:26" ht="17.25" customHeight="1">
      <c r="N287" s="47"/>
      <c r="O287" s="20"/>
      <c r="P287" s="20"/>
      <c r="Q287" s="20"/>
      <c r="R287" s="20"/>
      <c r="S287" s="20"/>
      <c r="T287" s="20"/>
      <c r="U287" s="20"/>
      <c r="V287" s="20"/>
      <c r="W287" s="20"/>
      <c r="X287" s="20"/>
      <c r="Y287" s="20"/>
      <c r="Z287" s="20"/>
    </row>
    <row r="288" spans="14:26" ht="17.25" customHeight="1">
      <c r="N288" s="47"/>
      <c r="O288" s="20"/>
      <c r="P288" s="20"/>
      <c r="Q288" s="20"/>
      <c r="R288" s="20"/>
      <c r="S288" s="20"/>
      <c r="T288" s="20"/>
      <c r="U288" s="20"/>
      <c r="V288" s="20"/>
      <c r="W288" s="20"/>
      <c r="X288" s="20"/>
      <c r="Y288" s="20"/>
      <c r="Z288" s="20"/>
    </row>
    <row r="289" spans="14:26" ht="17.25" customHeight="1">
      <c r="N289" s="47"/>
      <c r="O289" s="20"/>
      <c r="P289" s="20"/>
      <c r="Q289" s="20"/>
      <c r="R289" s="20"/>
      <c r="S289" s="20"/>
      <c r="T289" s="20"/>
      <c r="U289" s="20"/>
      <c r="V289" s="20"/>
      <c r="W289" s="20"/>
      <c r="X289" s="20"/>
      <c r="Y289" s="20"/>
      <c r="Z289" s="20"/>
    </row>
    <row r="290" spans="14:26" ht="17.25" customHeight="1">
      <c r="N290" s="47"/>
      <c r="O290" s="20"/>
      <c r="P290" s="20"/>
      <c r="Q290" s="20"/>
      <c r="R290" s="20"/>
      <c r="S290" s="20"/>
      <c r="T290" s="20"/>
      <c r="U290" s="20"/>
      <c r="V290" s="20"/>
      <c r="W290" s="20"/>
      <c r="X290" s="20"/>
      <c r="Y290" s="20"/>
      <c r="Z290" s="20"/>
    </row>
    <row r="291" spans="14:26" ht="17.25" customHeight="1">
      <c r="N291" s="47"/>
      <c r="O291" s="20"/>
      <c r="P291" s="20"/>
      <c r="Q291" s="20"/>
      <c r="R291" s="20"/>
      <c r="S291" s="20"/>
      <c r="T291" s="20"/>
      <c r="U291" s="20"/>
      <c r="V291" s="20"/>
      <c r="W291" s="20"/>
      <c r="X291" s="20"/>
      <c r="Y291" s="20"/>
      <c r="Z291" s="20"/>
    </row>
    <row r="292" spans="14:26" ht="17.25" customHeight="1">
      <c r="N292" s="47"/>
      <c r="O292" s="20"/>
      <c r="P292" s="20"/>
      <c r="Q292" s="20"/>
      <c r="R292" s="20"/>
      <c r="S292" s="20"/>
      <c r="T292" s="20"/>
      <c r="U292" s="20"/>
      <c r="V292" s="20"/>
      <c r="W292" s="20"/>
      <c r="X292" s="20"/>
      <c r="Y292" s="20"/>
      <c r="Z292" s="20"/>
    </row>
    <row r="293" spans="14:26" ht="17.25" customHeight="1">
      <c r="N293" s="47"/>
      <c r="O293" s="20"/>
      <c r="P293" s="20"/>
      <c r="Q293" s="20"/>
      <c r="R293" s="20"/>
      <c r="S293" s="20"/>
      <c r="T293" s="20"/>
      <c r="U293" s="20"/>
      <c r="V293" s="20"/>
      <c r="W293" s="20"/>
      <c r="X293" s="20"/>
      <c r="Y293" s="20"/>
      <c r="Z293" s="20"/>
    </row>
    <row r="294" spans="14:26" ht="17.25" customHeight="1">
      <c r="N294" s="47"/>
      <c r="O294" s="20"/>
      <c r="P294" s="20"/>
      <c r="Q294" s="20"/>
      <c r="R294" s="20"/>
      <c r="S294" s="20"/>
      <c r="T294" s="20"/>
      <c r="U294" s="20"/>
      <c r="V294" s="20"/>
      <c r="W294" s="20"/>
      <c r="X294" s="20"/>
      <c r="Y294" s="20"/>
      <c r="Z294" s="20"/>
    </row>
    <row r="295" spans="14:26" ht="17.25" customHeight="1">
      <c r="N295" s="47"/>
      <c r="O295" s="20"/>
      <c r="P295" s="20"/>
      <c r="Q295" s="20"/>
      <c r="R295" s="20"/>
      <c r="S295" s="20"/>
      <c r="T295" s="20"/>
      <c r="U295" s="20"/>
      <c r="V295" s="20"/>
      <c r="W295" s="20"/>
      <c r="X295" s="20"/>
      <c r="Y295" s="20"/>
      <c r="Z295" s="20"/>
    </row>
    <row r="296" spans="14:26" ht="17.25" customHeight="1">
      <c r="N296" s="47"/>
      <c r="O296" s="20"/>
      <c r="P296" s="20"/>
      <c r="Q296" s="20"/>
      <c r="R296" s="20"/>
      <c r="S296" s="20"/>
      <c r="T296" s="20"/>
      <c r="U296" s="20"/>
      <c r="V296" s="20"/>
      <c r="W296" s="20"/>
      <c r="X296" s="20"/>
      <c r="Y296" s="20"/>
      <c r="Z296" s="20"/>
    </row>
    <row r="297" spans="14:26" ht="17.25" customHeight="1">
      <c r="N297" s="47"/>
      <c r="O297" s="20"/>
      <c r="P297" s="20"/>
      <c r="Q297" s="20"/>
      <c r="R297" s="20"/>
      <c r="S297" s="20"/>
      <c r="T297" s="20"/>
      <c r="U297" s="20"/>
      <c r="V297" s="20"/>
      <c r="W297" s="20"/>
      <c r="X297" s="20"/>
      <c r="Y297" s="20"/>
      <c r="Z297" s="20"/>
    </row>
    <row r="298" spans="14:26" ht="17.25" customHeight="1">
      <c r="N298" s="47"/>
      <c r="O298" s="20"/>
      <c r="P298" s="20"/>
      <c r="Q298" s="20"/>
      <c r="R298" s="20"/>
      <c r="S298" s="20"/>
      <c r="T298" s="20"/>
      <c r="U298" s="20"/>
      <c r="V298" s="20"/>
      <c r="W298" s="20"/>
      <c r="X298" s="20"/>
      <c r="Y298" s="20"/>
      <c r="Z298" s="20"/>
    </row>
    <row r="299" spans="14:26" ht="17.25" customHeight="1">
      <c r="N299" s="47"/>
      <c r="O299" s="20"/>
      <c r="P299" s="20"/>
      <c r="Q299" s="20"/>
      <c r="R299" s="20"/>
      <c r="S299" s="20"/>
      <c r="T299" s="20"/>
      <c r="U299" s="20"/>
      <c r="V299" s="20"/>
      <c r="W299" s="20"/>
      <c r="X299" s="20"/>
      <c r="Y299" s="20"/>
      <c r="Z299" s="20"/>
    </row>
    <row r="300" spans="14:26" ht="17.25" customHeight="1">
      <c r="N300" s="47"/>
      <c r="O300" s="20"/>
      <c r="P300" s="20"/>
      <c r="Q300" s="20"/>
      <c r="R300" s="20"/>
      <c r="S300" s="20"/>
      <c r="T300" s="20"/>
      <c r="U300" s="20"/>
      <c r="V300" s="20"/>
      <c r="W300" s="20"/>
      <c r="X300" s="20"/>
      <c r="Y300" s="20"/>
      <c r="Z300" s="20"/>
    </row>
    <row r="301" spans="14:26" ht="17.25" customHeight="1">
      <c r="N301" s="47"/>
      <c r="O301" s="20"/>
      <c r="P301" s="20"/>
      <c r="Q301" s="20"/>
      <c r="R301" s="20"/>
      <c r="S301" s="20"/>
      <c r="T301" s="20"/>
      <c r="U301" s="20"/>
      <c r="V301" s="20"/>
      <c r="W301" s="20"/>
      <c r="X301" s="20"/>
      <c r="Y301" s="20"/>
      <c r="Z301" s="20"/>
    </row>
    <row r="302" spans="14:26" ht="17.25" customHeight="1">
      <c r="N302" s="47"/>
      <c r="O302" s="20"/>
      <c r="P302" s="20"/>
      <c r="Q302" s="20"/>
      <c r="R302" s="20"/>
      <c r="S302" s="20"/>
      <c r="T302" s="20"/>
      <c r="U302" s="20"/>
      <c r="V302" s="20"/>
      <c r="W302" s="20"/>
      <c r="X302" s="20"/>
      <c r="Y302" s="20"/>
      <c r="Z302" s="20"/>
    </row>
    <row r="303" spans="14:26" ht="17.25" customHeight="1">
      <c r="N303" s="47"/>
      <c r="O303" s="20"/>
      <c r="P303" s="20"/>
      <c r="Q303" s="20"/>
      <c r="R303" s="20"/>
      <c r="S303" s="20"/>
      <c r="T303" s="20"/>
      <c r="U303" s="20"/>
      <c r="V303" s="20"/>
      <c r="W303" s="20"/>
      <c r="X303" s="20"/>
      <c r="Y303" s="20"/>
      <c r="Z303" s="20"/>
    </row>
    <row r="304" spans="14:26" ht="17.25" customHeight="1">
      <c r="N304" s="47"/>
      <c r="O304" s="20"/>
      <c r="P304" s="20"/>
      <c r="Q304" s="20"/>
      <c r="R304" s="20"/>
      <c r="S304" s="20"/>
      <c r="T304" s="20"/>
      <c r="U304" s="20"/>
      <c r="V304" s="20"/>
      <c r="W304" s="20"/>
      <c r="X304" s="20"/>
      <c r="Y304" s="20"/>
      <c r="Z304" s="20"/>
    </row>
    <row r="305" spans="14:26" ht="17.25" customHeight="1">
      <c r="N305" s="47"/>
      <c r="O305" s="20"/>
      <c r="P305" s="20"/>
      <c r="Q305" s="20"/>
      <c r="R305" s="20"/>
      <c r="S305" s="20"/>
      <c r="T305" s="20"/>
      <c r="U305" s="20"/>
      <c r="V305" s="20"/>
      <c r="W305" s="20"/>
      <c r="X305" s="20"/>
      <c r="Y305" s="20"/>
      <c r="Z305" s="20"/>
    </row>
    <row r="306" spans="14:26" ht="17.25" customHeight="1">
      <c r="N306" s="47"/>
      <c r="O306" s="20"/>
      <c r="P306" s="20"/>
      <c r="Q306" s="20"/>
      <c r="R306" s="20"/>
      <c r="S306" s="20"/>
      <c r="T306" s="20"/>
      <c r="U306" s="20"/>
      <c r="V306" s="20"/>
      <c r="W306" s="20"/>
      <c r="X306" s="20"/>
      <c r="Y306" s="20"/>
      <c r="Z306" s="20"/>
    </row>
    <row r="307" spans="14:26" ht="17.25" customHeight="1">
      <c r="N307" s="47"/>
      <c r="O307" s="20"/>
      <c r="P307" s="20"/>
      <c r="Q307" s="20"/>
      <c r="R307" s="20"/>
      <c r="S307" s="20"/>
      <c r="T307" s="20"/>
      <c r="U307" s="20"/>
      <c r="V307" s="20"/>
      <c r="W307" s="20"/>
      <c r="X307" s="20"/>
      <c r="Y307" s="20"/>
      <c r="Z307" s="20"/>
    </row>
    <row r="308" spans="14:26" ht="17.25" customHeight="1">
      <c r="N308" s="47"/>
      <c r="O308" s="20"/>
      <c r="P308" s="20"/>
      <c r="Q308" s="20"/>
      <c r="R308" s="20"/>
      <c r="S308" s="20"/>
      <c r="T308" s="20"/>
      <c r="U308" s="20"/>
      <c r="V308" s="20"/>
      <c r="W308" s="20"/>
      <c r="X308" s="20"/>
      <c r="Y308" s="20"/>
      <c r="Z308" s="20"/>
    </row>
    <row r="309" spans="14:26" ht="17.25" customHeight="1">
      <c r="N309" s="47"/>
      <c r="O309" s="20"/>
      <c r="P309" s="20"/>
      <c r="Q309" s="20"/>
      <c r="R309" s="20"/>
      <c r="S309" s="20"/>
      <c r="T309" s="20"/>
      <c r="U309" s="20"/>
      <c r="V309" s="20"/>
      <c r="W309" s="20"/>
      <c r="X309" s="20"/>
      <c r="Y309" s="20"/>
      <c r="Z309" s="20"/>
    </row>
    <row r="310" spans="14:26" ht="17.25" customHeight="1">
      <c r="N310" s="47"/>
      <c r="O310" s="20"/>
      <c r="P310" s="20"/>
      <c r="Q310" s="20"/>
      <c r="R310" s="20"/>
      <c r="S310" s="20"/>
      <c r="T310" s="20"/>
      <c r="U310" s="20"/>
      <c r="V310" s="20"/>
      <c r="W310" s="20"/>
      <c r="X310" s="20"/>
      <c r="Y310" s="20"/>
      <c r="Z310" s="20"/>
    </row>
    <row r="311" spans="14:26" ht="17.25" customHeight="1">
      <c r="N311" s="47"/>
      <c r="O311" s="20"/>
      <c r="P311" s="20"/>
      <c r="Q311" s="20"/>
      <c r="R311" s="20"/>
      <c r="S311" s="20"/>
      <c r="T311" s="20"/>
      <c r="U311" s="20"/>
      <c r="V311" s="20"/>
      <c r="W311" s="20"/>
      <c r="X311" s="20"/>
      <c r="Y311" s="20"/>
      <c r="Z311" s="20"/>
    </row>
    <row r="312" spans="14:26" ht="17.25" customHeight="1">
      <c r="N312" s="47"/>
      <c r="O312" s="20"/>
      <c r="P312" s="20"/>
      <c r="Q312" s="20"/>
      <c r="R312" s="20"/>
      <c r="S312" s="20"/>
      <c r="T312" s="20"/>
      <c r="U312" s="20"/>
      <c r="V312" s="20"/>
      <c r="W312" s="20"/>
      <c r="X312" s="20"/>
      <c r="Y312" s="20"/>
      <c r="Z312" s="20"/>
    </row>
    <row r="313" spans="14:26" ht="17.25" customHeight="1">
      <c r="N313" s="47"/>
      <c r="O313" s="20"/>
      <c r="P313" s="20"/>
      <c r="Q313" s="20"/>
      <c r="R313" s="20"/>
      <c r="S313" s="20"/>
      <c r="T313" s="20"/>
      <c r="U313" s="20"/>
      <c r="V313" s="20"/>
      <c r="W313" s="20"/>
      <c r="X313" s="20"/>
      <c r="Y313" s="20"/>
      <c r="Z313" s="20"/>
    </row>
    <row r="314" spans="14:26" ht="17.25" customHeight="1">
      <c r="N314" s="47"/>
      <c r="O314" s="20"/>
      <c r="P314" s="20"/>
      <c r="Q314" s="20"/>
      <c r="R314" s="20"/>
      <c r="S314" s="20"/>
      <c r="T314" s="20"/>
      <c r="U314" s="20"/>
      <c r="V314" s="20"/>
      <c r="W314" s="20"/>
      <c r="X314" s="20"/>
      <c r="Y314" s="20"/>
      <c r="Z314" s="20"/>
    </row>
    <row r="315" spans="14:26" ht="17.25" customHeight="1">
      <c r="N315" s="47"/>
      <c r="O315" s="20"/>
      <c r="P315" s="20"/>
      <c r="Q315" s="20"/>
      <c r="R315" s="20"/>
      <c r="S315" s="20"/>
      <c r="T315" s="20"/>
      <c r="U315" s="20"/>
      <c r="V315" s="20"/>
      <c r="W315" s="20"/>
      <c r="X315" s="20"/>
      <c r="Y315" s="20"/>
      <c r="Z315" s="20"/>
    </row>
    <row r="316" spans="14:26" ht="17.25" customHeight="1">
      <c r="N316" s="47"/>
      <c r="O316" s="20"/>
      <c r="P316" s="20"/>
      <c r="Q316" s="20"/>
      <c r="R316" s="20"/>
      <c r="S316" s="20"/>
      <c r="T316" s="20"/>
      <c r="U316" s="20"/>
      <c r="V316" s="20"/>
      <c r="W316" s="20"/>
      <c r="X316" s="20"/>
      <c r="Y316" s="20"/>
      <c r="Z316" s="20"/>
    </row>
    <row r="317" spans="14:26" ht="17.25" customHeight="1">
      <c r="N317" s="47"/>
      <c r="O317" s="20"/>
      <c r="P317" s="20"/>
      <c r="Q317" s="20"/>
      <c r="R317" s="20"/>
      <c r="S317" s="20"/>
      <c r="T317" s="20"/>
      <c r="U317" s="20"/>
      <c r="V317" s="20"/>
      <c r="W317" s="20"/>
      <c r="X317" s="20"/>
      <c r="Y317" s="20"/>
      <c r="Z317" s="20"/>
    </row>
    <row r="318" spans="14:26" ht="17.25" customHeight="1">
      <c r="N318" s="47"/>
      <c r="O318" s="20"/>
      <c r="P318" s="20"/>
      <c r="Q318" s="20"/>
      <c r="R318" s="20"/>
      <c r="S318" s="20"/>
      <c r="T318" s="20"/>
      <c r="U318" s="20"/>
      <c r="V318" s="20"/>
      <c r="W318" s="20"/>
      <c r="X318" s="20"/>
      <c r="Y318" s="20"/>
      <c r="Z318" s="20"/>
    </row>
    <row r="319" spans="14:26" ht="17.25" customHeight="1">
      <c r="N319" s="47"/>
      <c r="O319" s="20"/>
      <c r="P319" s="20"/>
      <c r="Q319" s="20"/>
      <c r="R319" s="20"/>
      <c r="S319" s="20"/>
      <c r="T319" s="20"/>
      <c r="U319" s="20"/>
      <c r="V319" s="20"/>
      <c r="W319" s="20"/>
      <c r="X319" s="20"/>
      <c r="Y319" s="20"/>
      <c r="Z319" s="20"/>
    </row>
    <row r="320" spans="14:26" ht="17.25" customHeight="1">
      <c r="N320" s="47"/>
      <c r="O320" s="20"/>
      <c r="P320" s="20"/>
      <c r="Q320" s="20"/>
      <c r="R320" s="20"/>
      <c r="S320" s="20"/>
      <c r="T320" s="20"/>
      <c r="U320" s="20"/>
      <c r="V320" s="20"/>
      <c r="W320" s="20"/>
      <c r="X320" s="20"/>
      <c r="Y320" s="20"/>
      <c r="Z320" s="20"/>
    </row>
    <row r="321" spans="14:26" ht="17.25" customHeight="1">
      <c r="N321" s="47"/>
      <c r="O321" s="20"/>
      <c r="P321" s="20"/>
      <c r="Q321" s="20"/>
      <c r="R321" s="20"/>
      <c r="S321" s="20"/>
      <c r="T321" s="20"/>
      <c r="U321" s="20"/>
      <c r="V321" s="20"/>
      <c r="W321" s="20"/>
      <c r="X321" s="20"/>
      <c r="Y321" s="20"/>
      <c r="Z321" s="20"/>
    </row>
    <row r="322" spans="14:26" ht="17.25" customHeight="1">
      <c r="N322" s="47"/>
      <c r="O322" s="20"/>
      <c r="P322" s="20"/>
      <c r="Q322" s="20"/>
      <c r="R322" s="20"/>
      <c r="S322" s="20"/>
      <c r="T322" s="20"/>
      <c r="U322" s="20"/>
      <c r="V322" s="20"/>
      <c r="W322" s="20"/>
      <c r="X322" s="20"/>
      <c r="Y322" s="20"/>
      <c r="Z322" s="20"/>
    </row>
    <row r="323" spans="14:26" ht="17.25" customHeight="1">
      <c r="N323" s="47"/>
      <c r="O323" s="20"/>
      <c r="P323" s="20"/>
      <c r="Q323" s="20"/>
      <c r="R323" s="20"/>
      <c r="S323" s="20"/>
      <c r="T323" s="20"/>
      <c r="U323" s="20"/>
      <c r="V323" s="20"/>
      <c r="W323" s="20"/>
      <c r="X323" s="20"/>
      <c r="Y323" s="20"/>
      <c r="Z323" s="20"/>
    </row>
    <row r="324" spans="14:26" ht="17.25" customHeight="1">
      <c r="N324" s="47"/>
      <c r="O324" s="20"/>
      <c r="P324" s="20"/>
      <c r="Q324" s="20"/>
      <c r="R324" s="20"/>
      <c r="S324" s="20"/>
      <c r="T324" s="20"/>
      <c r="U324" s="20"/>
      <c r="V324" s="20"/>
      <c r="W324" s="20"/>
      <c r="X324" s="20"/>
      <c r="Y324" s="20"/>
      <c r="Z324" s="20"/>
    </row>
    <row r="325" spans="14:26" ht="17.25" customHeight="1">
      <c r="N325" s="47"/>
      <c r="O325" s="20"/>
      <c r="P325" s="20"/>
      <c r="Q325" s="20"/>
      <c r="R325" s="20"/>
      <c r="S325" s="20"/>
      <c r="T325" s="20"/>
      <c r="U325" s="20"/>
      <c r="V325" s="20"/>
      <c r="W325" s="20"/>
      <c r="X325" s="20"/>
      <c r="Y325" s="20"/>
      <c r="Z325" s="20"/>
    </row>
    <row r="326" spans="14:26" ht="17.25" customHeight="1">
      <c r="N326" s="47"/>
      <c r="O326" s="20"/>
      <c r="P326" s="20"/>
      <c r="Q326" s="20"/>
      <c r="R326" s="20"/>
      <c r="S326" s="20"/>
      <c r="T326" s="20"/>
      <c r="U326" s="20"/>
      <c r="V326" s="20"/>
      <c r="W326" s="20"/>
      <c r="X326" s="20"/>
      <c r="Y326" s="20"/>
      <c r="Z326" s="20"/>
    </row>
    <row r="327" spans="14:26" ht="17.25" customHeight="1">
      <c r="N327" s="47"/>
      <c r="O327" s="20"/>
      <c r="P327" s="20"/>
      <c r="Q327" s="20"/>
      <c r="R327" s="20"/>
      <c r="S327" s="20"/>
      <c r="T327" s="20"/>
      <c r="U327" s="20"/>
      <c r="V327" s="20"/>
      <c r="W327" s="20"/>
      <c r="X327" s="20"/>
      <c r="Y327" s="20"/>
      <c r="Z327" s="20"/>
    </row>
    <row r="328" spans="14:26" ht="17.25" customHeight="1">
      <c r="N328" s="47"/>
      <c r="O328" s="20"/>
      <c r="P328" s="20"/>
      <c r="Q328" s="20"/>
      <c r="R328" s="20"/>
      <c r="S328" s="20"/>
      <c r="T328" s="20"/>
      <c r="U328" s="20"/>
      <c r="V328" s="20"/>
      <c r="W328" s="20"/>
      <c r="X328" s="20"/>
      <c r="Y328" s="20"/>
      <c r="Z328" s="20"/>
    </row>
    <row r="329" spans="14:26" ht="17.25" customHeight="1">
      <c r="N329" s="47"/>
      <c r="O329" s="20"/>
      <c r="P329" s="20"/>
      <c r="Q329" s="20"/>
      <c r="R329" s="20"/>
      <c r="S329" s="20"/>
      <c r="T329" s="20"/>
      <c r="U329" s="20"/>
      <c r="V329" s="20"/>
      <c r="W329" s="20"/>
      <c r="X329" s="20"/>
      <c r="Y329" s="20"/>
      <c r="Z329" s="20"/>
    </row>
    <row r="330" spans="14:26" ht="17.25" customHeight="1">
      <c r="N330" s="47"/>
      <c r="O330" s="20"/>
      <c r="P330" s="20"/>
      <c r="Q330" s="20"/>
      <c r="R330" s="20"/>
      <c r="S330" s="20"/>
      <c r="T330" s="20"/>
      <c r="U330" s="20"/>
      <c r="V330" s="20"/>
      <c r="W330" s="20"/>
      <c r="X330" s="20"/>
      <c r="Y330" s="20"/>
      <c r="Z330" s="20"/>
    </row>
    <row r="331" spans="14:26" ht="17.25" customHeight="1">
      <c r="N331" s="47"/>
      <c r="O331" s="20"/>
      <c r="P331" s="20"/>
      <c r="Q331" s="20"/>
      <c r="R331" s="20"/>
      <c r="S331" s="20"/>
      <c r="T331" s="20"/>
      <c r="U331" s="20"/>
      <c r="V331" s="20"/>
      <c r="W331" s="20"/>
      <c r="X331" s="20"/>
      <c r="Y331" s="20"/>
      <c r="Z331" s="20"/>
    </row>
    <row r="332" spans="14:26" ht="17.25" customHeight="1">
      <c r="N332" s="47"/>
      <c r="O332" s="20"/>
      <c r="P332" s="20"/>
      <c r="Q332" s="20"/>
      <c r="R332" s="20"/>
      <c r="S332" s="20"/>
      <c r="T332" s="20"/>
      <c r="U332" s="20"/>
      <c r="V332" s="20"/>
      <c r="W332" s="20"/>
      <c r="X332" s="20"/>
      <c r="Y332" s="20"/>
      <c r="Z332" s="20"/>
    </row>
    <row r="333" spans="14:26" ht="17.25" customHeight="1">
      <c r="N333" s="47"/>
      <c r="O333" s="20"/>
      <c r="P333" s="20"/>
      <c r="Q333" s="20"/>
      <c r="R333" s="20"/>
      <c r="S333" s="20"/>
      <c r="T333" s="20"/>
      <c r="U333" s="20"/>
      <c r="V333" s="20"/>
      <c r="W333" s="20"/>
      <c r="X333" s="20"/>
      <c r="Y333" s="20"/>
      <c r="Z333" s="20"/>
    </row>
    <row r="334" spans="14:26" ht="17.25" customHeight="1">
      <c r="N334" s="47"/>
      <c r="O334" s="20"/>
      <c r="P334" s="20"/>
      <c r="Q334" s="20"/>
      <c r="R334" s="20"/>
      <c r="S334" s="20"/>
      <c r="T334" s="20"/>
      <c r="U334" s="20"/>
      <c r="V334" s="20"/>
      <c r="W334" s="20"/>
      <c r="X334" s="20"/>
      <c r="Y334" s="20"/>
      <c r="Z334" s="20"/>
    </row>
    <row r="335" spans="14:26" ht="17.25" customHeight="1">
      <c r="N335" s="47"/>
      <c r="O335" s="20"/>
      <c r="P335" s="20"/>
      <c r="Q335" s="20"/>
      <c r="R335" s="20"/>
      <c r="S335" s="20"/>
      <c r="T335" s="20"/>
      <c r="U335" s="20"/>
      <c r="V335" s="20"/>
      <c r="W335" s="20"/>
      <c r="X335" s="20"/>
      <c r="Y335" s="20"/>
      <c r="Z335" s="20"/>
    </row>
    <row r="336" spans="14:26" ht="17.25" customHeight="1">
      <c r="N336" s="47"/>
      <c r="O336" s="20"/>
      <c r="P336" s="20"/>
      <c r="Q336" s="20"/>
      <c r="R336" s="20"/>
      <c r="S336" s="20"/>
      <c r="T336" s="20"/>
      <c r="U336" s="20"/>
      <c r="V336" s="20"/>
      <c r="W336" s="20"/>
      <c r="X336" s="20"/>
      <c r="Y336" s="20"/>
      <c r="Z336" s="20"/>
    </row>
    <row r="337" spans="14:26" ht="17.25" customHeight="1">
      <c r="N337" s="47"/>
      <c r="O337" s="20"/>
      <c r="P337" s="20"/>
      <c r="Q337" s="20"/>
      <c r="R337" s="20"/>
      <c r="S337" s="20"/>
      <c r="T337" s="20"/>
      <c r="U337" s="20"/>
      <c r="V337" s="20"/>
      <c r="W337" s="20"/>
      <c r="X337" s="20"/>
      <c r="Y337" s="20"/>
      <c r="Z337" s="20"/>
    </row>
    <row r="338" spans="14:26" ht="17.25" customHeight="1">
      <c r="N338" s="47"/>
      <c r="O338" s="20"/>
      <c r="P338" s="20"/>
      <c r="Q338" s="20"/>
      <c r="R338" s="20"/>
      <c r="S338" s="20"/>
      <c r="T338" s="20"/>
      <c r="U338" s="20"/>
      <c r="V338" s="20"/>
      <c r="W338" s="20"/>
      <c r="X338" s="20"/>
      <c r="Y338" s="20"/>
      <c r="Z338" s="20"/>
    </row>
    <row r="339" spans="14:26" ht="17.25" customHeight="1">
      <c r="N339" s="47"/>
      <c r="O339" s="20"/>
      <c r="P339" s="20"/>
      <c r="Q339" s="20"/>
      <c r="R339" s="20"/>
      <c r="S339" s="20"/>
      <c r="T339" s="20"/>
      <c r="U339" s="20"/>
      <c r="V339" s="20"/>
      <c r="W339" s="20"/>
      <c r="X339" s="20"/>
      <c r="Y339" s="20"/>
      <c r="Z339" s="20"/>
    </row>
    <row r="340" spans="14:26" ht="17.25" customHeight="1">
      <c r="N340" s="47"/>
      <c r="O340" s="20"/>
      <c r="P340" s="20"/>
      <c r="Q340" s="20"/>
      <c r="R340" s="20"/>
      <c r="S340" s="20"/>
      <c r="T340" s="20"/>
      <c r="U340" s="20"/>
      <c r="V340" s="20"/>
      <c r="W340" s="20"/>
      <c r="X340" s="20"/>
      <c r="Y340" s="20"/>
      <c r="Z340" s="20"/>
    </row>
    <row r="341" spans="14:26" ht="17.25" customHeight="1">
      <c r="N341" s="47"/>
      <c r="O341" s="20"/>
      <c r="P341" s="20"/>
      <c r="Q341" s="20"/>
      <c r="R341" s="20"/>
      <c r="S341" s="20"/>
      <c r="T341" s="20"/>
      <c r="U341" s="20"/>
      <c r="V341" s="20"/>
      <c r="W341" s="20"/>
      <c r="X341" s="20"/>
      <c r="Y341" s="20"/>
      <c r="Z341" s="20"/>
    </row>
    <row r="342" spans="14:26" ht="17.25" customHeight="1">
      <c r="N342" s="47"/>
      <c r="O342" s="20"/>
      <c r="P342" s="20"/>
      <c r="Q342" s="20"/>
      <c r="R342" s="20"/>
      <c r="S342" s="20"/>
      <c r="T342" s="20"/>
      <c r="U342" s="20"/>
      <c r="V342" s="20"/>
      <c r="W342" s="20"/>
      <c r="X342" s="20"/>
      <c r="Y342" s="20"/>
      <c r="Z342" s="20"/>
    </row>
    <row r="343" spans="14:26" ht="17.25" customHeight="1">
      <c r="N343" s="47"/>
      <c r="O343" s="20"/>
      <c r="P343" s="20"/>
      <c r="Q343" s="20"/>
      <c r="R343" s="20"/>
      <c r="S343" s="20"/>
      <c r="T343" s="20"/>
      <c r="U343" s="20"/>
      <c r="V343" s="20"/>
      <c r="W343" s="20"/>
      <c r="X343" s="20"/>
      <c r="Y343" s="20"/>
      <c r="Z343" s="20"/>
    </row>
    <row r="344" spans="14:26" ht="17.25" customHeight="1">
      <c r="N344" s="47"/>
      <c r="O344" s="20"/>
      <c r="P344" s="20"/>
      <c r="Q344" s="20"/>
      <c r="R344" s="20"/>
      <c r="S344" s="20"/>
      <c r="T344" s="20"/>
      <c r="U344" s="20"/>
      <c r="V344" s="20"/>
      <c r="W344" s="20"/>
      <c r="X344" s="20"/>
      <c r="Y344" s="20"/>
      <c r="Z344" s="20"/>
    </row>
    <row r="345" spans="14:26" ht="17.25" customHeight="1">
      <c r="N345" s="47"/>
      <c r="O345" s="20"/>
      <c r="P345" s="20"/>
      <c r="Q345" s="20"/>
      <c r="R345" s="20"/>
      <c r="S345" s="20"/>
      <c r="T345" s="20"/>
      <c r="U345" s="20"/>
      <c r="V345" s="20"/>
      <c r="W345" s="20"/>
      <c r="X345" s="20"/>
      <c r="Y345" s="20"/>
      <c r="Z345" s="20"/>
    </row>
    <row r="346" spans="14:26" ht="17.25" customHeight="1">
      <c r="N346" s="47"/>
      <c r="O346" s="20"/>
      <c r="P346" s="20"/>
      <c r="Q346" s="20"/>
      <c r="R346" s="20"/>
      <c r="S346" s="20"/>
      <c r="T346" s="20"/>
      <c r="U346" s="20"/>
      <c r="V346" s="20"/>
      <c r="W346" s="20"/>
      <c r="X346" s="20"/>
      <c r="Y346" s="20"/>
      <c r="Z346" s="20"/>
    </row>
    <row r="347" spans="14:26" ht="17.25" customHeight="1">
      <c r="N347" s="47"/>
      <c r="O347" s="20"/>
      <c r="P347" s="20"/>
      <c r="Q347" s="20"/>
      <c r="R347" s="20"/>
      <c r="S347" s="20"/>
      <c r="T347" s="20"/>
      <c r="U347" s="20"/>
      <c r="V347" s="20"/>
      <c r="W347" s="20"/>
      <c r="X347" s="20"/>
      <c r="Y347" s="20"/>
      <c r="Z347" s="20"/>
    </row>
    <row r="348" spans="14:26" ht="17.25" customHeight="1">
      <c r="N348" s="47"/>
      <c r="O348" s="20"/>
      <c r="P348" s="20"/>
      <c r="Q348" s="20"/>
      <c r="R348" s="20"/>
      <c r="S348" s="20"/>
      <c r="T348" s="20"/>
      <c r="U348" s="20"/>
      <c r="V348" s="20"/>
      <c r="W348" s="20"/>
      <c r="X348" s="20"/>
      <c r="Y348" s="20"/>
      <c r="Z348" s="20"/>
    </row>
    <row r="349" spans="14:26" ht="17.25" customHeight="1">
      <c r="N349" s="47"/>
      <c r="O349" s="20"/>
      <c r="P349" s="20"/>
      <c r="Q349" s="20"/>
      <c r="R349" s="20"/>
      <c r="S349" s="20"/>
      <c r="T349" s="20"/>
      <c r="U349" s="20"/>
      <c r="V349" s="20"/>
      <c r="W349" s="20"/>
      <c r="X349" s="20"/>
      <c r="Y349" s="20"/>
      <c r="Z349" s="20"/>
    </row>
    <row r="350" spans="14:26" ht="17.25" customHeight="1">
      <c r="N350" s="47"/>
      <c r="O350" s="20"/>
      <c r="P350" s="20"/>
      <c r="Q350" s="20"/>
      <c r="R350" s="20"/>
      <c r="S350" s="20"/>
      <c r="T350" s="20"/>
      <c r="U350" s="20"/>
      <c r="V350" s="20"/>
      <c r="W350" s="20"/>
      <c r="X350" s="20"/>
      <c r="Y350" s="20"/>
      <c r="Z350" s="20"/>
    </row>
    <row r="351" spans="14:26" ht="17.25" customHeight="1">
      <c r="N351" s="47"/>
      <c r="O351" s="20"/>
      <c r="P351" s="20"/>
      <c r="Q351" s="20"/>
      <c r="R351" s="20"/>
      <c r="S351" s="20"/>
      <c r="T351" s="20"/>
      <c r="U351" s="20"/>
      <c r="V351" s="20"/>
      <c r="W351" s="20"/>
      <c r="X351" s="20"/>
      <c r="Y351" s="20"/>
      <c r="Z351" s="20"/>
    </row>
    <row r="352" spans="14:26" ht="17.25" customHeight="1">
      <c r="N352" s="47"/>
      <c r="O352" s="20"/>
      <c r="P352" s="20"/>
      <c r="Q352" s="20"/>
      <c r="R352" s="20"/>
      <c r="S352" s="20"/>
      <c r="T352" s="20"/>
      <c r="U352" s="20"/>
      <c r="V352" s="20"/>
      <c r="W352" s="20"/>
      <c r="X352" s="20"/>
      <c r="Y352" s="20"/>
      <c r="Z352" s="20"/>
    </row>
    <row r="353" spans="14:26" ht="17.25" customHeight="1">
      <c r="N353" s="47"/>
      <c r="O353" s="20"/>
      <c r="P353" s="20"/>
      <c r="Q353" s="20"/>
      <c r="R353" s="20"/>
      <c r="S353" s="20"/>
      <c r="T353" s="20"/>
      <c r="U353" s="20"/>
      <c r="V353" s="20"/>
      <c r="W353" s="20"/>
      <c r="X353" s="20"/>
      <c r="Y353" s="20"/>
      <c r="Z353" s="20"/>
    </row>
    <row r="354" spans="14:26" ht="17.25" customHeight="1">
      <c r="N354" s="47"/>
      <c r="O354" s="20"/>
      <c r="P354" s="20"/>
      <c r="Q354" s="20"/>
      <c r="R354" s="20"/>
      <c r="S354" s="20"/>
      <c r="T354" s="20"/>
      <c r="U354" s="20"/>
      <c r="V354" s="20"/>
      <c r="W354" s="20"/>
      <c r="X354" s="20"/>
      <c r="Y354" s="20"/>
      <c r="Z354" s="20"/>
    </row>
    <row r="355" spans="14:26" ht="17.25" customHeight="1">
      <c r="N355" s="47"/>
      <c r="O355" s="20"/>
      <c r="P355" s="20"/>
      <c r="Q355" s="20"/>
      <c r="R355" s="20"/>
      <c r="S355" s="20"/>
      <c r="T355" s="20"/>
      <c r="U355" s="20"/>
      <c r="V355" s="20"/>
      <c r="W355" s="20"/>
      <c r="X355" s="20"/>
      <c r="Y355" s="20"/>
      <c r="Z355" s="20"/>
    </row>
    <row r="356" spans="14:26" ht="17.25" customHeight="1">
      <c r="N356" s="47"/>
      <c r="O356" s="20"/>
      <c r="P356" s="20"/>
      <c r="Q356" s="20"/>
      <c r="R356" s="20"/>
      <c r="S356" s="20"/>
      <c r="T356" s="20"/>
      <c r="U356" s="20"/>
      <c r="V356" s="20"/>
      <c r="W356" s="20"/>
      <c r="X356" s="20"/>
      <c r="Y356" s="20"/>
      <c r="Z356" s="20"/>
    </row>
    <row r="357" spans="14:26" ht="17.25" customHeight="1">
      <c r="N357" s="47"/>
      <c r="O357" s="20"/>
      <c r="P357" s="20"/>
      <c r="Q357" s="20"/>
      <c r="R357" s="20"/>
      <c r="S357" s="20"/>
      <c r="T357" s="20"/>
      <c r="U357" s="20"/>
      <c r="V357" s="20"/>
      <c r="W357" s="20"/>
      <c r="X357" s="20"/>
      <c r="Y357" s="20"/>
      <c r="Z357" s="20"/>
    </row>
    <row r="358" spans="14:26" ht="17.25" customHeight="1">
      <c r="N358" s="47"/>
      <c r="O358" s="20"/>
      <c r="P358" s="20"/>
      <c r="Q358" s="20"/>
      <c r="R358" s="20"/>
      <c r="S358" s="20"/>
      <c r="T358" s="20"/>
      <c r="U358" s="20"/>
      <c r="V358" s="20"/>
      <c r="W358" s="20"/>
      <c r="X358" s="20"/>
      <c r="Y358" s="20"/>
      <c r="Z358" s="20"/>
    </row>
    <row r="359" spans="14:26" ht="17.25" customHeight="1">
      <c r="N359" s="47"/>
      <c r="O359" s="20"/>
      <c r="P359" s="20"/>
      <c r="Q359" s="20"/>
      <c r="R359" s="20"/>
      <c r="S359" s="20"/>
      <c r="T359" s="20"/>
      <c r="U359" s="20"/>
      <c r="V359" s="20"/>
      <c r="W359" s="20"/>
      <c r="X359" s="20"/>
      <c r="Y359" s="20"/>
      <c r="Z359" s="20"/>
    </row>
    <row r="360" spans="14:26" ht="17.25" customHeight="1">
      <c r="N360" s="47"/>
      <c r="O360" s="20"/>
      <c r="P360" s="20"/>
      <c r="Q360" s="20"/>
      <c r="R360" s="20"/>
      <c r="S360" s="20"/>
      <c r="T360" s="20"/>
      <c r="U360" s="20"/>
      <c r="V360" s="20"/>
      <c r="W360" s="20"/>
      <c r="X360" s="20"/>
      <c r="Y360" s="20"/>
      <c r="Z360" s="20"/>
    </row>
    <row r="361" spans="14:26" ht="17.25" customHeight="1">
      <c r="N361" s="47"/>
      <c r="O361" s="20"/>
      <c r="P361" s="20"/>
      <c r="Q361" s="20"/>
      <c r="R361" s="20"/>
      <c r="S361" s="20"/>
      <c r="T361" s="20"/>
      <c r="U361" s="20"/>
      <c r="V361" s="20"/>
      <c r="W361" s="20"/>
      <c r="X361" s="20"/>
      <c r="Y361" s="20"/>
      <c r="Z361" s="20"/>
    </row>
    <row r="362" spans="14:26" ht="17.25" customHeight="1">
      <c r="N362" s="47"/>
      <c r="O362" s="20"/>
      <c r="P362" s="20"/>
      <c r="Q362" s="20"/>
      <c r="R362" s="20"/>
      <c r="S362" s="20"/>
      <c r="T362" s="20"/>
      <c r="U362" s="20"/>
      <c r="V362" s="20"/>
      <c r="W362" s="20"/>
      <c r="X362" s="20"/>
      <c r="Y362" s="20"/>
      <c r="Z362" s="20"/>
    </row>
    <row r="363" spans="14:26" ht="17.25" customHeight="1">
      <c r="N363" s="47"/>
      <c r="O363" s="20"/>
      <c r="P363" s="20"/>
      <c r="Q363" s="20"/>
      <c r="R363" s="20"/>
      <c r="S363" s="20"/>
      <c r="T363" s="20"/>
      <c r="U363" s="20"/>
      <c r="V363" s="20"/>
      <c r="W363" s="20"/>
      <c r="X363" s="20"/>
      <c r="Y363" s="20"/>
      <c r="Z363" s="20"/>
    </row>
    <row r="364" spans="14:26" ht="17.25" customHeight="1">
      <c r="N364" s="47"/>
      <c r="O364" s="20"/>
      <c r="P364" s="20"/>
      <c r="Q364" s="20"/>
      <c r="R364" s="20"/>
      <c r="S364" s="20"/>
      <c r="T364" s="20"/>
      <c r="U364" s="20"/>
      <c r="V364" s="20"/>
      <c r="W364" s="20"/>
      <c r="X364" s="20"/>
      <c r="Y364" s="20"/>
      <c r="Z364" s="20"/>
    </row>
    <row r="365" spans="14:26" ht="17.25" customHeight="1">
      <c r="N365" s="47"/>
      <c r="O365" s="20"/>
      <c r="P365" s="20"/>
      <c r="Q365" s="20"/>
      <c r="R365" s="20"/>
      <c r="S365" s="20"/>
      <c r="T365" s="20"/>
      <c r="U365" s="20"/>
      <c r="V365" s="20"/>
      <c r="W365" s="20"/>
      <c r="X365" s="20"/>
      <c r="Y365" s="20"/>
      <c r="Z365" s="20"/>
    </row>
    <row r="366" spans="14:26" ht="17.25" customHeight="1">
      <c r="N366" s="47"/>
      <c r="O366" s="20"/>
      <c r="P366" s="20"/>
      <c r="Q366" s="20"/>
      <c r="R366" s="20"/>
      <c r="S366" s="20"/>
      <c r="T366" s="20"/>
      <c r="U366" s="20"/>
      <c r="V366" s="20"/>
      <c r="W366" s="20"/>
      <c r="X366" s="20"/>
      <c r="Y366" s="20"/>
      <c r="Z366" s="20"/>
    </row>
    <row r="367" spans="14:26" ht="17.25" customHeight="1">
      <c r="N367" s="47"/>
      <c r="O367" s="20"/>
      <c r="P367" s="20"/>
      <c r="Q367" s="20"/>
      <c r="R367" s="20"/>
      <c r="S367" s="20"/>
      <c r="T367" s="20"/>
      <c r="U367" s="20"/>
      <c r="V367" s="20"/>
      <c r="W367" s="20"/>
      <c r="X367" s="20"/>
      <c r="Y367" s="20"/>
      <c r="Z367" s="20"/>
    </row>
    <row r="368" spans="14:26" ht="17.25" customHeight="1">
      <c r="N368" s="47"/>
      <c r="O368" s="20"/>
      <c r="P368" s="20"/>
      <c r="Q368" s="20"/>
      <c r="R368" s="20"/>
      <c r="S368" s="20"/>
      <c r="T368" s="20"/>
      <c r="U368" s="20"/>
      <c r="V368" s="20"/>
      <c r="W368" s="20"/>
      <c r="X368" s="20"/>
      <c r="Y368" s="20"/>
      <c r="Z368" s="20"/>
    </row>
    <row r="369" spans="14:26" ht="17.25" customHeight="1">
      <c r="N369" s="47"/>
      <c r="O369" s="20"/>
      <c r="P369" s="20"/>
      <c r="Q369" s="20"/>
      <c r="R369" s="20"/>
      <c r="S369" s="20"/>
      <c r="T369" s="20"/>
      <c r="U369" s="20"/>
      <c r="V369" s="20"/>
      <c r="W369" s="20"/>
      <c r="X369" s="20"/>
      <c r="Y369" s="20"/>
      <c r="Z369" s="20"/>
    </row>
    <row r="370" spans="14:26" ht="17.25" customHeight="1">
      <c r="N370" s="47"/>
      <c r="O370" s="20"/>
      <c r="P370" s="20"/>
      <c r="Q370" s="20"/>
      <c r="R370" s="20"/>
      <c r="S370" s="20"/>
      <c r="T370" s="20"/>
      <c r="U370" s="20"/>
      <c r="V370" s="20"/>
      <c r="W370" s="20"/>
      <c r="X370" s="20"/>
      <c r="Y370" s="20"/>
      <c r="Z370" s="20"/>
    </row>
    <row r="371" spans="14:26" ht="17.25" customHeight="1">
      <c r="N371" s="47"/>
      <c r="O371" s="20"/>
      <c r="P371" s="20"/>
      <c r="Q371" s="20"/>
      <c r="R371" s="20"/>
      <c r="S371" s="20"/>
      <c r="T371" s="20"/>
      <c r="U371" s="20"/>
      <c r="V371" s="20"/>
      <c r="W371" s="20"/>
      <c r="X371" s="20"/>
      <c r="Y371" s="20"/>
      <c r="Z371" s="20"/>
    </row>
    <row r="372" spans="14:26" ht="17.25" customHeight="1">
      <c r="N372" s="47"/>
      <c r="O372" s="20"/>
      <c r="P372" s="20"/>
      <c r="Q372" s="20"/>
      <c r="R372" s="20"/>
      <c r="S372" s="20"/>
      <c r="T372" s="20"/>
      <c r="U372" s="20"/>
      <c r="V372" s="20"/>
      <c r="W372" s="20"/>
      <c r="X372" s="20"/>
      <c r="Y372" s="20"/>
      <c r="Z372" s="20"/>
    </row>
    <row r="373" spans="14:26" ht="17.25" customHeight="1">
      <c r="N373" s="47"/>
      <c r="O373" s="20"/>
      <c r="P373" s="20"/>
      <c r="Q373" s="20"/>
      <c r="R373" s="20"/>
      <c r="S373" s="20"/>
      <c r="T373" s="20"/>
      <c r="U373" s="20"/>
      <c r="V373" s="20"/>
      <c r="W373" s="20"/>
      <c r="X373" s="20"/>
      <c r="Y373" s="20"/>
      <c r="Z373" s="20"/>
    </row>
    <row r="374" spans="14:26" ht="17.25" customHeight="1">
      <c r="N374" s="47"/>
      <c r="O374" s="20"/>
      <c r="P374" s="20"/>
      <c r="Q374" s="20"/>
      <c r="R374" s="20"/>
      <c r="S374" s="20"/>
      <c r="T374" s="20"/>
      <c r="U374" s="20"/>
      <c r="V374" s="20"/>
      <c r="W374" s="20"/>
      <c r="X374" s="20"/>
      <c r="Y374" s="20"/>
      <c r="Z374" s="20"/>
    </row>
    <row r="375" spans="14:26" ht="17.25" customHeight="1">
      <c r="N375" s="47"/>
      <c r="O375" s="20"/>
      <c r="P375" s="20"/>
      <c r="Q375" s="20"/>
      <c r="R375" s="20"/>
      <c r="S375" s="20"/>
      <c r="T375" s="20"/>
      <c r="U375" s="20"/>
      <c r="V375" s="20"/>
      <c r="W375" s="20"/>
      <c r="X375" s="20"/>
      <c r="Y375" s="20"/>
      <c r="Z375" s="20"/>
    </row>
    <row r="376" spans="14:26" ht="17.25" customHeight="1">
      <c r="N376" s="47"/>
      <c r="O376" s="20"/>
      <c r="P376" s="20"/>
      <c r="Q376" s="20"/>
      <c r="R376" s="20"/>
      <c r="S376" s="20"/>
      <c r="T376" s="20"/>
      <c r="U376" s="20"/>
      <c r="V376" s="20"/>
      <c r="W376" s="20"/>
      <c r="X376" s="20"/>
      <c r="Y376" s="20"/>
      <c r="Z376" s="20"/>
    </row>
    <row r="377" spans="14:26" ht="17.25" customHeight="1">
      <c r="N377" s="47"/>
      <c r="O377" s="20"/>
      <c r="P377" s="20"/>
      <c r="Q377" s="20"/>
      <c r="R377" s="20"/>
      <c r="S377" s="20"/>
      <c r="T377" s="20"/>
      <c r="U377" s="20"/>
      <c r="V377" s="20"/>
      <c r="W377" s="20"/>
      <c r="X377" s="20"/>
      <c r="Y377" s="20"/>
      <c r="Z377" s="20"/>
    </row>
    <row r="378" spans="14:26" ht="17.25" customHeight="1">
      <c r="N378" s="47"/>
      <c r="O378" s="20"/>
      <c r="P378" s="20"/>
      <c r="Q378" s="20"/>
      <c r="R378" s="20"/>
      <c r="S378" s="20"/>
      <c r="T378" s="20"/>
      <c r="U378" s="20"/>
      <c r="V378" s="20"/>
      <c r="W378" s="20"/>
      <c r="X378" s="20"/>
      <c r="Y378" s="20"/>
      <c r="Z378" s="20"/>
    </row>
    <row r="379" spans="14:26" ht="17.25" customHeight="1">
      <c r="N379" s="47"/>
      <c r="O379" s="20"/>
      <c r="P379" s="20"/>
      <c r="Q379" s="20"/>
      <c r="R379" s="20"/>
      <c r="S379" s="20"/>
      <c r="T379" s="20"/>
      <c r="U379" s="20"/>
      <c r="V379" s="20"/>
      <c r="W379" s="20"/>
      <c r="X379" s="20"/>
      <c r="Y379" s="20"/>
      <c r="Z379" s="20"/>
    </row>
    <row r="380" spans="14:26" ht="17.25" customHeight="1">
      <c r="N380" s="47"/>
      <c r="O380" s="20"/>
      <c r="P380" s="20"/>
      <c r="Q380" s="20"/>
      <c r="R380" s="20"/>
      <c r="S380" s="20"/>
      <c r="T380" s="20"/>
      <c r="U380" s="20"/>
      <c r="V380" s="20"/>
      <c r="W380" s="20"/>
      <c r="X380" s="20"/>
      <c r="Y380" s="20"/>
      <c r="Z380" s="20"/>
    </row>
    <row r="381" spans="14:26" ht="17.25" customHeight="1">
      <c r="N381" s="47"/>
      <c r="O381" s="20"/>
      <c r="P381" s="20"/>
      <c r="Q381" s="20"/>
      <c r="R381" s="20"/>
      <c r="S381" s="20"/>
      <c r="T381" s="20"/>
      <c r="U381" s="20"/>
      <c r="V381" s="20"/>
      <c r="W381" s="20"/>
      <c r="X381" s="20"/>
      <c r="Y381" s="20"/>
      <c r="Z381" s="20"/>
    </row>
    <row r="382" spans="14:26" ht="17.25" customHeight="1">
      <c r="N382" s="47"/>
      <c r="O382" s="20"/>
      <c r="P382" s="20"/>
      <c r="Q382" s="20"/>
      <c r="R382" s="20"/>
      <c r="S382" s="20"/>
      <c r="T382" s="20"/>
      <c r="U382" s="20"/>
      <c r="V382" s="20"/>
      <c r="W382" s="20"/>
      <c r="X382" s="20"/>
      <c r="Y382" s="20"/>
      <c r="Z382" s="20"/>
    </row>
    <row r="383" spans="14:26" ht="17.25" customHeight="1">
      <c r="N383" s="47"/>
      <c r="O383" s="20"/>
      <c r="P383" s="20"/>
      <c r="Q383" s="20"/>
      <c r="R383" s="20"/>
      <c r="S383" s="20"/>
      <c r="T383" s="20"/>
      <c r="U383" s="20"/>
      <c r="V383" s="20"/>
      <c r="W383" s="20"/>
      <c r="X383" s="20"/>
      <c r="Y383" s="20"/>
      <c r="Z383" s="20"/>
    </row>
    <row r="384" spans="14:26" ht="17.25" customHeight="1">
      <c r="N384" s="47"/>
      <c r="O384" s="20"/>
      <c r="P384" s="20"/>
      <c r="Q384" s="20"/>
      <c r="R384" s="20"/>
      <c r="S384" s="20"/>
      <c r="T384" s="20"/>
      <c r="U384" s="20"/>
      <c r="V384" s="20"/>
      <c r="W384" s="20"/>
      <c r="X384" s="20"/>
      <c r="Y384" s="20"/>
      <c r="Z384" s="20"/>
    </row>
    <row r="385" spans="14:26" ht="17.25" customHeight="1">
      <c r="N385" s="47"/>
      <c r="O385" s="20"/>
      <c r="P385" s="20"/>
      <c r="Q385" s="20"/>
      <c r="R385" s="20"/>
      <c r="S385" s="20"/>
      <c r="T385" s="20"/>
      <c r="U385" s="20"/>
      <c r="V385" s="20"/>
      <c r="W385" s="20"/>
      <c r="X385" s="20"/>
      <c r="Y385" s="20"/>
      <c r="Z385" s="20"/>
    </row>
    <row r="386" spans="14:26" ht="17.25" customHeight="1">
      <c r="N386" s="47"/>
      <c r="O386" s="20"/>
      <c r="P386" s="20"/>
      <c r="Q386" s="20"/>
      <c r="R386" s="20"/>
      <c r="S386" s="20"/>
      <c r="T386" s="20"/>
      <c r="U386" s="20"/>
      <c r="V386" s="20"/>
      <c r="W386" s="20"/>
      <c r="X386" s="20"/>
      <c r="Y386" s="20"/>
      <c r="Z386" s="20"/>
    </row>
    <row r="387" spans="14:26" ht="17.25" customHeight="1">
      <c r="N387" s="47"/>
      <c r="O387" s="20"/>
      <c r="P387" s="20"/>
      <c r="Q387" s="20"/>
      <c r="R387" s="20"/>
      <c r="S387" s="20"/>
      <c r="T387" s="20"/>
      <c r="U387" s="20"/>
      <c r="V387" s="20"/>
      <c r="W387" s="20"/>
      <c r="X387" s="20"/>
      <c r="Y387" s="20"/>
      <c r="Z387" s="20"/>
    </row>
    <row r="388" spans="14:26" ht="17.25" customHeight="1">
      <c r="N388" s="47"/>
      <c r="O388" s="20"/>
      <c r="P388" s="20"/>
      <c r="Q388" s="20"/>
      <c r="R388" s="20"/>
      <c r="S388" s="20"/>
      <c r="T388" s="20"/>
      <c r="U388" s="20"/>
      <c r="V388" s="20"/>
      <c r="W388" s="20"/>
      <c r="X388" s="20"/>
      <c r="Y388" s="20"/>
      <c r="Z388" s="20"/>
    </row>
    <row r="389" spans="14:26" ht="17.25" customHeight="1">
      <c r="N389" s="47"/>
      <c r="O389" s="20"/>
      <c r="P389" s="20"/>
      <c r="Q389" s="20"/>
      <c r="R389" s="20"/>
      <c r="S389" s="20"/>
      <c r="T389" s="20"/>
      <c r="U389" s="20"/>
      <c r="V389" s="20"/>
      <c r="W389" s="20"/>
      <c r="X389" s="20"/>
      <c r="Y389" s="20"/>
      <c r="Z389" s="20"/>
    </row>
    <row r="390" spans="14:26" ht="17.25" customHeight="1">
      <c r="N390" s="47"/>
      <c r="O390" s="20"/>
      <c r="P390" s="20"/>
      <c r="Q390" s="20"/>
      <c r="R390" s="20"/>
      <c r="S390" s="20"/>
      <c r="T390" s="20"/>
      <c r="U390" s="20"/>
      <c r="V390" s="20"/>
      <c r="W390" s="20"/>
      <c r="X390" s="20"/>
      <c r="Y390" s="20"/>
      <c r="Z390" s="20"/>
    </row>
    <row r="391" spans="14:26" ht="17.25" customHeight="1">
      <c r="N391" s="47"/>
      <c r="O391" s="20"/>
      <c r="P391" s="20"/>
      <c r="Q391" s="20"/>
      <c r="R391" s="20"/>
      <c r="S391" s="20"/>
      <c r="T391" s="20"/>
      <c r="U391" s="20"/>
      <c r="V391" s="20"/>
      <c r="W391" s="20"/>
      <c r="X391" s="20"/>
      <c r="Y391" s="20"/>
      <c r="Z391" s="20"/>
    </row>
    <row r="392" spans="14:26" ht="17.25" customHeight="1">
      <c r="N392" s="47"/>
      <c r="O392" s="20"/>
      <c r="P392" s="20"/>
      <c r="Q392" s="20"/>
      <c r="R392" s="20"/>
      <c r="S392" s="20"/>
      <c r="T392" s="20"/>
      <c r="U392" s="20"/>
      <c r="V392" s="20"/>
      <c r="W392" s="20"/>
      <c r="X392" s="20"/>
      <c r="Y392" s="20"/>
      <c r="Z392" s="20"/>
    </row>
    <row r="393" spans="14:26" ht="17.25" customHeight="1">
      <c r="N393" s="47"/>
      <c r="O393" s="20"/>
      <c r="P393" s="20"/>
      <c r="Q393" s="20"/>
      <c r="R393" s="20"/>
      <c r="S393" s="20"/>
      <c r="T393" s="20"/>
      <c r="U393" s="20"/>
      <c r="V393" s="20"/>
      <c r="W393" s="20"/>
      <c r="X393" s="20"/>
      <c r="Y393" s="20"/>
      <c r="Z393" s="20"/>
    </row>
    <row r="394" spans="14:26" ht="17.25" customHeight="1">
      <c r="N394" s="47"/>
      <c r="O394" s="20"/>
      <c r="P394" s="20"/>
      <c r="Q394" s="20"/>
      <c r="R394" s="20"/>
      <c r="S394" s="20"/>
      <c r="T394" s="20"/>
      <c r="U394" s="20"/>
      <c r="V394" s="20"/>
      <c r="W394" s="20"/>
      <c r="X394" s="20"/>
      <c r="Y394" s="20"/>
      <c r="Z394" s="20"/>
    </row>
    <row r="395" spans="14:26" ht="17.25" customHeight="1">
      <c r="N395" s="47"/>
      <c r="O395" s="20"/>
      <c r="P395" s="20"/>
      <c r="Q395" s="20"/>
      <c r="R395" s="20"/>
      <c r="S395" s="20"/>
      <c r="T395" s="20"/>
      <c r="U395" s="20"/>
      <c r="V395" s="20"/>
      <c r="W395" s="20"/>
      <c r="X395" s="20"/>
      <c r="Y395" s="20"/>
      <c r="Z395" s="20"/>
    </row>
    <row r="396" spans="14:26" ht="17.25" customHeight="1">
      <c r="N396" s="47"/>
      <c r="O396" s="20"/>
      <c r="P396" s="20"/>
      <c r="Q396" s="20"/>
      <c r="R396" s="20"/>
      <c r="S396" s="20"/>
      <c r="T396" s="20"/>
      <c r="U396" s="20"/>
      <c r="V396" s="20"/>
      <c r="W396" s="20"/>
      <c r="X396" s="20"/>
      <c r="Y396" s="20"/>
      <c r="Z396" s="20"/>
    </row>
    <row r="397" spans="14:26" ht="17.25" customHeight="1">
      <c r="N397" s="47"/>
      <c r="O397" s="20"/>
      <c r="P397" s="20"/>
      <c r="Q397" s="20"/>
      <c r="R397" s="20"/>
      <c r="S397" s="20"/>
      <c r="T397" s="20"/>
      <c r="U397" s="20"/>
      <c r="V397" s="20"/>
      <c r="W397" s="20"/>
      <c r="X397" s="20"/>
      <c r="Y397" s="20"/>
      <c r="Z397" s="20"/>
    </row>
    <row r="398" spans="14:26" ht="17.25" customHeight="1">
      <c r="N398" s="47"/>
      <c r="O398" s="20"/>
      <c r="P398" s="20"/>
      <c r="Q398" s="20"/>
      <c r="R398" s="20"/>
      <c r="S398" s="20"/>
      <c r="T398" s="20"/>
      <c r="U398" s="20"/>
      <c r="V398" s="20"/>
      <c r="W398" s="20"/>
      <c r="X398" s="20"/>
      <c r="Y398" s="20"/>
      <c r="Z398" s="20"/>
    </row>
    <row r="399" spans="14:26" ht="17.25" customHeight="1">
      <c r="N399" s="47"/>
      <c r="O399" s="20"/>
      <c r="P399" s="20"/>
      <c r="Q399" s="20"/>
      <c r="R399" s="20"/>
      <c r="S399" s="20"/>
      <c r="T399" s="20"/>
      <c r="U399" s="20"/>
      <c r="V399" s="20"/>
      <c r="W399" s="20"/>
      <c r="X399" s="20"/>
      <c r="Y399" s="20"/>
      <c r="Z399" s="20"/>
    </row>
    <row r="400" spans="14:26" ht="17.25" customHeight="1">
      <c r="N400" s="47"/>
      <c r="O400" s="20"/>
      <c r="P400" s="20"/>
      <c r="Q400" s="20"/>
      <c r="R400" s="20"/>
      <c r="S400" s="20"/>
      <c r="T400" s="20"/>
      <c r="U400" s="20"/>
      <c r="V400" s="20"/>
      <c r="W400" s="20"/>
      <c r="X400" s="20"/>
      <c r="Y400" s="20"/>
      <c r="Z400" s="20"/>
    </row>
    <row r="401" spans="14:26" ht="17.25" customHeight="1">
      <c r="N401" s="47"/>
      <c r="O401" s="20"/>
      <c r="P401" s="20"/>
      <c r="Q401" s="20"/>
      <c r="R401" s="20"/>
      <c r="S401" s="20"/>
      <c r="T401" s="20"/>
      <c r="U401" s="20"/>
      <c r="V401" s="20"/>
      <c r="W401" s="20"/>
      <c r="X401" s="20"/>
      <c r="Y401" s="20"/>
      <c r="Z401" s="20"/>
    </row>
    <row r="402" spans="14:26" ht="17.25" customHeight="1">
      <c r="N402" s="47"/>
      <c r="O402" s="20"/>
      <c r="P402" s="20"/>
      <c r="Q402" s="20"/>
      <c r="R402" s="20"/>
      <c r="S402" s="20"/>
      <c r="T402" s="20"/>
      <c r="U402" s="20"/>
      <c r="V402" s="20"/>
      <c r="W402" s="20"/>
      <c r="X402" s="20"/>
      <c r="Y402" s="20"/>
      <c r="Z402" s="20"/>
    </row>
    <row r="403" spans="14:26" ht="17.25" customHeight="1">
      <c r="N403" s="47"/>
      <c r="O403" s="20"/>
      <c r="P403" s="20"/>
      <c r="Q403" s="20"/>
      <c r="R403" s="20"/>
      <c r="S403" s="20"/>
      <c r="T403" s="20"/>
      <c r="U403" s="20"/>
      <c r="V403" s="20"/>
      <c r="W403" s="20"/>
      <c r="X403" s="20"/>
      <c r="Y403" s="20"/>
      <c r="Z403" s="20"/>
    </row>
    <row r="404" spans="14:26" ht="17.25" customHeight="1">
      <c r="N404" s="47"/>
      <c r="O404" s="20"/>
      <c r="P404" s="20"/>
      <c r="Q404" s="20"/>
      <c r="R404" s="20"/>
      <c r="S404" s="20"/>
      <c r="T404" s="20"/>
      <c r="U404" s="20"/>
      <c r="V404" s="20"/>
      <c r="W404" s="20"/>
      <c r="X404" s="20"/>
      <c r="Y404" s="20"/>
      <c r="Z404" s="20"/>
    </row>
    <row r="405" spans="14:26" ht="17.25" customHeight="1">
      <c r="N405" s="47"/>
      <c r="O405" s="20"/>
      <c r="P405" s="20"/>
      <c r="Q405" s="20"/>
      <c r="R405" s="20"/>
      <c r="S405" s="20"/>
      <c r="T405" s="20"/>
      <c r="U405" s="20"/>
      <c r="V405" s="20"/>
      <c r="W405" s="20"/>
      <c r="X405" s="20"/>
      <c r="Y405" s="20"/>
      <c r="Z405" s="20"/>
    </row>
    <row r="406" spans="14:26" ht="17.25" customHeight="1">
      <c r="N406" s="47"/>
      <c r="O406" s="20"/>
      <c r="P406" s="20"/>
      <c r="Q406" s="20"/>
      <c r="R406" s="20"/>
      <c r="S406" s="20"/>
      <c r="T406" s="20"/>
      <c r="U406" s="20"/>
      <c r="V406" s="20"/>
      <c r="W406" s="20"/>
      <c r="X406" s="20"/>
      <c r="Y406" s="20"/>
      <c r="Z406" s="20"/>
    </row>
    <row r="407" spans="14:26" ht="17.25" customHeight="1">
      <c r="N407" s="47"/>
      <c r="O407" s="20"/>
      <c r="P407" s="20"/>
      <c r="Q407" s="20"/>
      <c r="R407" s="20"/>
      <c r="S407" s="20"/>
      <c r="T407" s="20"/>
      <c r="U407" s="20"/>
      <c r="V407" s="20"/>
      <c r="W407" s="20"/>
      <c r="X407" s="20"/>
      <c r="Y407" s="20"/>
      <c r="Z407" s="20"/>
    </row>
    <row r="408" spans="14:26" ht="17.25" customHeight="1">
      <c r="N408" s="47"/>
      <c r="O408" s="20"/>
      <c r="P408" s="20"/>
      <c r="Q408" s="20"/>
      <c r="R408" s="20"/>
      <c r="S408" s="20"/>
      <c r="T408" s="20"/>
      <c r="U408" s="20"/>
      <c r="V408" s="20"/>
      <c r="W408" s="20"/>
      <c r="X408" s="20"/>
      <c r="Y408" s="20"/>
      <c r="Z408" s="20"/>
    </row>
    <row r="409" spans="14:26" ht="17.25" customHeight="1">
      <c r="N409" s="47"/>
      <c r="O409" s="20"/>
      <c r="P409" s="20"/>
      <c r="Q409" s="20"/>
      <c r="R409" s="20"/>
      <c r="S409" s="20"/>
      <c r="T409" s="20"/>
      <c r="U409" s="20"/>
      <c r="V409" s="20"/>
      <c r="W409" s="20"/>
      <c r="X409" s="20"/>
      <c r="Y409" s="20"/>
      <c r="Z409" s="20"/>
    </row>
    <row r="410" spans="14:26" ht="17.25" customHeight="1">
      <c r="N410" s="47"/>
      <c r="O410" s="20"/>
      <c r="P410" s="20"/>
      <c r="Q410" s="20"/>
      <c r="R410" s="20"/>
      <c r="S410" s="20"/>
      <c r="T410" s="20"/>
      <c r="U410" s="20"/>
      <c r="V410" s="20"/>
      <c r="W410" s="20"/>
      <c r="X410" s="20"/>
      <c r="Y410" s="20"/>
      <c r="Z410" s="20"/>
    </row>
    <row r="411" spans="14:26" ht="17.25" customHeight="1">
      <c r="N411" s="47"/>
      <c r="O411" s="20"/>
      <c r="P411" s="20"/>
      <c r="Q411" s="20"/>
      <c r="R411" s="20"/>
      <c r="S411" s="20"/>
      <c r="T411" s="20"/>
      <c r="U411" s="20"/>
      <c r="V411" s="20"/>
      <c r="W411" s="20"/>
      <c r="X411" s="20"/>
      <c r="Y411" s="20"/>
      <c r="Z411" s="20"/>
    </row>
    <row r="412" spans="14:26" ht="17.25" customHeight="1">
      <c r="N412" s="47"/>
      <c r="O412" s="20"/>
      <c r="P412" s="20"/>
      <c r="Q412" s="20"/>
      <c r="R412" s="20"/>
      <c r="S412" s="20"/>
      <c r="T412" s="20"/>
      <c r="U412" s="20"/>
      <c r="V412" s="20"/>
      <c r="W412" s="20"/>
      <c r="X412" s="20"/>
      <c r="Y412" s="20"/>
      <c r="Z412" s="20"/>
    </row>
    <row r="413" spans="14:26" ht="17.25" customHeight="1">
      <c r="N413" s="47"/>
      <c r="O413" s="20"/>
      <c r="P413" s="20"/>
      <c r="Q413" s="20"/>
      <c r="R413" s="20"/>
      <c r="S413" s="20"/>
      <c r="T413" s="20"/>
      <c r="U413" s="20"/>
      <c r="V413" s="20"/>
      <c r="W413" s="20"/>
      <c r="X413" s="20"/>
      <c r="Y413" s="20"/>
      <c r="Z413" s="20"/>
    </row>
    <row r="414" spans="14:26" ht="17.25" customHeight="1">
      <c r="N414" s="47"/>
      <c r="O414" s="20"/>
      <c r="P414" s="20"/>
      <c r="Q414" s="20"/>
      <c r="R414" s="20"/>
      <c r="S414" s="20"/>
      <c r="T414" s="20"/>
      <c r="U414" s="20"/>
      <c r="V414" s="20"/>
      <c r="W414" s="20"/>
      <c r="X414" s="20"/>
      <c r="Y414" s="20"/>
      <c r="Z414" s="20"/>
    </row>
    <row r="415" spans="14:26" ht="17.25" customHeight="1">
      <c r="N415" s="47"/>
      <c r="O415" s="20"/>
      <c r="P415" s="20"/>
      <c r="Q415" s="20"/>
      <c r="R415" s="20"/>
      <c r="S415" s="20"/>
      <c r="T415" s="20"/>
      <c r="U415" s="20"/>
      <c r="V415" s="20"/>
      <c r="W415" s="20"/>
      <c r="X415" s="20"/>
      <c r="Y415" s="20"/>
      <c r="Z415" s="20"/>
    </row>
    <row r="416" spans="14:26" ht="17.25" customHeight="1">
      <c r="N416" s="47"/>
      <c r="O416" s="20"/>
      <c r="P416" s="20"/>
      <c r="Q416" s="20"/>
      <c r="R416" s="20"/>
      <c r="S416" s="20"/>
      <c r="T416" s="20"/>
      <c r="U416" s="20"/>
      <c r="V416" s="20"/>
      <c r="W416" s="20"/>
      <c r="X416" s="20"/>
      <c r="Y416" s="20"/>
      <c r="Z416" s="20"/>
    </row>
    <row r="417" spans="14:26" ht="17.25" customHeight="1">
      <c r="N417" s="47"/>
      <c r="O417" s="20"/>
      <c r="P417" s="20"/>
      <c r="Q417" s="20"/>
      <c r="R417" s="20"/>
      <c r="S417" s="20"/>
      <c r="T417" s="20"/>
      <c r="U417" s="20"/>
      <c r="V417" s="20"/>
      <c r="W417" s="20"/>
      <c r="X417" s="20"/>
      <c r="Y417" s="20"/>
      <c r="Z417" s="20"/>
    </row>
    <row r="418" spans="14:26" ht="17.25" customHeight="1">
      <c r="N418" s="47"/>
      <c r="O418" s="20"/>
      <c r="P418" s="20"/>
      <c r="Q418" s="20"/>
      <c r="R418" s="20"/>
      <c r="S418" s="20"/>
      <c r="T418" s="20"/>
      <c r="U418" s="20"/>
      <c r="V418" s="20"/>
      <c r="W418" s="20"/>
      <c r="X418" s="20"/>
      <c r="Y418" s="20"/>
      <c r="Z418" s="20"/>
    </row>
    <row r="419" spans="14:26" ht="17.25" customHeight="1">
      <c r="N419" s="47"/>
      <c r="O419" s="20"/>
      <c r="P419" s="20"/>
      <c r="Q419" s="20"/>
      <c r="R419" s="20"/>
      <c r="S419" s="20"/>
      <c r="T419" s="20"/>
      <c r="U419" s="20"/>
      <c r="V419" s="20"/>
      <c r="W419" s="20"/>
      <c r="X419" s="20"/>
      <c r="Y419" s="20"/>
      <c r="Z419" s="20"/>
    </row>
    <row r="420" spans="14:26" ht="17.25" customHeight="1">
      <c r="N420" s="47"/>
      <c r="O420" s="20"/>
      <c r="P420" s="20"/>
      <c r="Q420" s="20"/>
      <c r="R420" s="20"/>
      <c r="S420" s="20"/>
      <c r="T420" s="20"/>
      <c r="U420" s="20"/>
      <c r="V420" s="20"/>
      <c r="W420" s="20"/>
      <c r="X420" s="20"/>
      <c r="Y420" s="20"/>
      <c r="Z420" s="20"/>
    </row>
    <row r="421" spans="14:26" ht="17.25" customHeight="1">
      <c r="N421" s="47"/>
      <c r="O421" s="20"/>
      <c r="P421" s="20"/>
      <c r="Q421" s="20"/>
      <c r="R421" s="20"/>
      <c r="S421" s="20"/>
      <c r="T421" s="20"/>
      <c r="U421" s="20"/>
      <c r="V421" s="20"/>
      <c r="W421" s="20"/>
      <c r="X421" s="20"/>
      <c r="Y421" s="20"/>
      <c r="Z421" s="20"/>
    </row>
    <row r="422" spans="14:26" ht="17.25" customHeight="1">
      <c r="N422" s="47"/>
      <c r="O422" s="20"/>
      <c r="P422" s="20"/>
      <c r="Q422" s="20"/>
      <c r="R422" s="20"/>
      <c r="S422" s="20"/>
      <c r="T422" s="20"/>
      <c r="U422" s="20"/>
      <c r="V422" s="20"/>
      <c r="W422" s="20"/>
      <c r="X422" s="20"/>
      <c r="Y422" s="20"/>
      <c r="Z422" s="20"/>
    </row>
    <row r="423" spans="14:26" ht="17.25" customHeight="1">
      <c r="N423" s="47"/>
      <c r="O423" s="20"/>
      <c r="P423" s="20"/>
      <c r="Q423" s="20"/>
      <c r="R423" s="20"/>
      <c r="S423" s="20"/>
      <c r="T423" s="20"/>
      <c r="U423" s="20"/>
      <c r="V423" s="20"/>
      <c r="W423" s="20"/>
      <c r="X423" s="20"/>
      <c r="Y423" s="20"/>
      <c r="Z423" s="20"/>
    </row>
    <row r="424" spans="14:26" ht="17.25" customHeight="1">
      <c r="N424" s="47"/>
      <c r="O424" s="20"/>
      <c r="P424" s="20"/>
      <c r="Q424" s="20"/>
      <c r="R424" s="20"/>
      <c r="S424" s="20"/>
      <c r="T424" s="20"/>
      <c r="U424" s="20"/>
      <c r="V424" s="20"/>
      <c r="W424" s="20"/>
      <c r="X424" s="20"/>
      <c r="Y424" s="20"/>
      <c r="Z424" s="20"/>
    </row>
    <row r="425" spans="14:26" ht="17.25" customHeight="1">
      <c r="N425" s="47"/>
      <c r="O425" s="20"/>
      <c r="P425" s="20"/>
      <c r="Q425" s="20"/>
      <c r="R425" s="20"/>
      <c r="S425" s="20"/>
      <c r="T425" s="20"/>
      <c r="U425" s="20"/>
      <c r="V425" s="20"/>
      <c r="W425" s="20"/>
      <c r="X425" s="20"/>
      <c r="Y425" s="20"/>
      <c r="Z425" s="20"/>
    </row>
    <row r="426" spans="14:26" ht="17.25" customHeight="1">
      <c r="N426" s="47"/>
      <c r="O426" s="20"/>
      <c r="P426" s="20"/>
      <c r="Q426" s="20"/>
      <c r="R426" s="20"/>
      <c r="S426" s="20"/>
      <c r="T426" s="20"/>
      <c r="U426" s="20"/>
      <c r="V426" s="20"/>
      <c r="W426" s="20"/>
      <c r="X426" s="20"/>
      <c r="Y426" s="20"/>
      <c r="Z426" s="20"/>
    </row>
    <row r="427" spans="14:26" ht="17.25" customHeight="1">
      <c r="N427" s="47"/>
      <c r="O427" s="20"/>
      <c r="P427" s="20"/>
      <c r="Q427" s="20"/>
      <c r="R427" s="20"/>
      <c r="S427" s="20"/>
      <c r="T427" s="20"/>
      <c r="U427" s="20"/>
      <c r="V427" s="20"/>
      <c r="W427" s="20"/>
      <c r="X427" s="20"/>
      <c r="Y427" s="20"/>
      <c r="Z427" s="20"/>
    </row>
    <row r="428" spans="14:26" ht="17.25" customHeight="1">
      <c r="N428" s="47"/>
      <c r="O428" s="20"/>
      <c r="P428" s="20"/>
      <c r="Q428" s="20"/>
      <c r="R428" s="20"/>
      <c r="S428" s="20"/>
      <c r="T428" s="20"/>
      <c r="U428" s="20"/>
      <c r="V428" s="20"/>
      <c r="W428" s="20"/>
      <c r="X428" s="20"/>
      <c r="Y428" s="20"/>
      <c r="Z428" s="20"/>
    </row>
    <row r="429" spans="14:26" ht="17.25" customHeight="1">
      <c r="N429" s="47"/>
      <c r="O429" s="20"/>
      <c r="P429" s="20"/>
      <c r="Q429" s="20"/>
      <c r="R429" s="20"/>
      <c r="S429" s="20"/>
      <c r="T429" s="20"/>
      <c r="U429" s="20"/>
      <c r="V429" s="20"/>
      <c r="W429" s="20"/>
      <c r="X429" s="20"/>
      <c r="Y429" s="20"/>
      <c r="Z429" s="20"/>
    </row>
    <row r="430" spans="14:26" ht="17.25" customHeight="1">
      <c r="N430" s="47"/>
      <c r="O430" s="20"/>
      <c r="P430" s="20"/>
      <c r="Q430" s="20"/>
      <c r="R430" s="20"/>
      <c r="S430" s="20"/>
      <c r="T430" s="20"/>
      <c r="U430" s="20"/>
      <c r="V430" s="20"/>
      <c r="W430" s="20"/>
      <c r="X430" s="20"/>
      <c r="Y430" s="20"/>
      <c r="Z430" s="20"/>
    </row>
    <row r="431" spans="14:26" ht="17.25" customHeight="1">
      <c r="N431" s="47"/>
      <c r="O431" s="20"/>
      <c r="P431" s="20"/>
      <c r="Q431" s="20"/>
      <c r="R431" s="20"/>
      <c r="S431" s="20"/>
      <c r="T431" s="20"/>
      <c r="U431" s="20"/>
      <c r="V431" s="20"/>
      <c r="W431" s="20"/>
      <c r="X431" s="20"/>
      <c r="Y431" s="20"/>
      <c r="Z431" s="20"/>
    </row>
    <row r="432" spans="14:26" ht="17.25" customHeight="1">
      <c r="N432" s="47"/>
      <c r="O432" s="20"/>
      <c r="P432" s="20"/>
      <c r="Q432" s="20"/>
      <c r="R432" s="20"/>
      <c r="S432" s="20"/>
      <c r="T432" s="20"/>
      <c r="U432" s="20"/>
      <c r="V432" s="20"/>
      <c r="W432" s="20"/>
      <c r="X432" s="20"/>
      <c r="Y432" s="20"/>
      <c r="Z432" s="20"/>
    </row>
    <row r="433" spans="14:26" ht="17.25" customHeight="1">
      <c r="N433" s="47"/>
      <c r="O433" s="20"/>
      <c r="P433" s="20"/>
      <c r="Q433" s="20"/>
      <c r="R433" s="20"/>
      <c r="S433" s="20"/>
      <c r="T433" s="20"/>
      <c r="U433" s="20"/>
      <c r="V433" s="20"/>
      <c r="W433" s="20"/>
      <c r="X433" s="20"/>
      <c r="Y433" s="20"/>
      <c r="Z433" s="20"/>
    </row>
    <row r="434" spans="14:26" ht="17.25" customHeight="1">
      <c r="N434" s="47"/>
      <c r="O434" s="20"/>
      <c r="P434" s="20"/>
      <c r="Q434" s="20"/>
      <c r="R434" s="20"/>
      <c r="S434" s="20"/>
      <c r="T434" s="20"/>
      <c r="U434" s="20"/>
      <c r="V434" s="20"/>
      <c r="W434" s="20"/>
      <c r="X434" s="20"/>
      <c r="Y434" s="20"/>
      <c r="Z434" s="20"/>
    </row>
    <row r="435" spans="14:26" ht="17.25" customHeight="1">
      <c r="N435" s="47"/>
      <c r="O435" s="20"/>
      <c r="P435" s="20"/>
      <c r="Q435" s="20"/>
      <c r="R435" s="20"/>
      <c r="S435" s="20"/>
      <c r="T435" s="20"/>
      <c r="U435" s="20"/>
      <c r="V435" s="20"/>
      <c r="W435" s="20"/>
      <c r="X435" s="20"/>
      <c r="Y435" s="20"/>
      <c r="Z435" s="20"/>
    </row>
    <row r="436" spans="14:26" ht="17.25" customHeight="1">
      <c r="N436" s="47"/>
      <c r="O436" s="20"/>
      <c r="P436" s="20"/>
      <c r="Q436" s="20"/>
      <c r="R436" s="20"/>
      <c r="S436" s="20"/>
      <c r="T436" s="20"/>
      <c r="U436" s="20"/>
      <c r="V436" s="20"/>
      <c r="W436" s="20"/>
      <c r="X436" s="20"/>
      <c r="Y436" s="20"/>
      <c r="Z436" s="20"/>
    </row>
    <row r="437" spans="14:26" ht="17.25" customHeight="1">
      <c r="N437" s="47"/>
      <c r="O437" s="20"/>
      <c r="P437" s="20"/>
      <c r="Q437" s="20"/>
      <c r="R437" s="20"/>
      <c r="S437" s="20"/>
      <c r="T437" s="20"/>
      <c r="U437" s="20"/>
      <c r="V437" s="20"/>
      <c r="W437" s="20"/>
      <c r="X437" s="20"/>
      <c r="Y437" s="20"/>
      <c r="Z437" s="20"/>
    </row>
    <row r="438" spans="14:26" ht="17.25" customHeight="1">
      <c r="N438" s="47"/>
      <c r="O438" s="20"/>
      <c r="P438" s="20"/>
      <c r="Q438" s="20"/>
      <c r="R438" s="20"/>
      <c r="S438" s="20"/>
      <c r="T438" s="20"/>
      <c r="U438" s="20"/>
      <c r="V438" s="20"/>
      <c r="W438" s="20"/>
      <c r="X438" s="20"/>
      <c r="Y438" s="20"/>
      <c r="Z438" s="20"/>
    </row>
    <row r="439" spans="14:26" ht="17.25" customHeight="1">
      <c r="N439" s="47"/>
      <c r="O439" s="20"/>
      <c r="P439" s="20"/>
      <c r="Q439" s="20"/>
      <c r="R439" s="20"/>
      <c r="S439" s="20"/>
      <c r="T439" s="20"/>
      <c r="U439" s="20"/>
      <c r="V439" s="20"/>
      <c r="W439" s="20"/>
      <c r="X439" s="20"/>
      <c r="Y439" s="20"/>
      <c r="Z439" s="20"/>
    </row>
    <row r="440" spans="14:26" ht="17.25" customHeight="1">
      <c r="N440" s="47"/>
      <c r="O440" s="20"/>
      <c r="P440" s="20"/>
      <c r="Q440" s="20"/>
      <c r="R440" s="20"/>
      <c r="S440" s="20"/>
      <c r="T440" s="20"/>
      <c r="U440" s="20"/>
      <c r="V440" s="20"/>
      <c r="W440" s="20"/>
      <c r="X440" s="20"/>
      <c r="Y440" s="20"/>
      <c r="Z440" s="20"/>
    </row>
    <row r="441" spans="14:26" ht="17.25" customHeight="1">
      <c r="N441" s="47"/>
      <c r="O441" s="20"/>
      <c r="P441" s="20"/>
      <c r="Q441" s="20"/>
      <c r="R441" s="20"/>
      <c r="S441" s="20"/>
      <c r="T441" s="20"/>
      <c r="U441" s="20"/>
      <c r="V441" s="20"/>
      <c r="W441" s="20"/>
      <c r="X441" s="20"/>
      <c r="Y441" s="20"/>
      <c r="Z441" s="20"/>
    </row>
    <row r="442" spans="14:26" ht="17.25" customHeight="1">
      <c r="N442" s="47"/>
      <c r="O442" s="20"/>
      <c r="P442" s="20"/>
      <c r="Q442" s="20"/>
      <c r="R442" s="20"/>
      <c r="S442" s="20"/>
      <c r="T442" s="20"/>
      <c r="U442" s="20"/>
      <c r="V442" s="20"/>
      <c r="W442" s="20"/>
      <c r="X442" s="20"/>
      <c r="Y442" s="20"/>
      <c r="Z442" s="20"/>
    </row>
    <row r="443" spans="14:26" ht="17.25" customHeight="1">
      <c r="N443" s="47"/>
      <c r="O443" s="20"/>
      <c r="P443" s="20"/>
      <c r="Q443" s="20"/>
      <c r="R443" s="20"/>
      <c r="S443" s="20"/>
      <c r="T443" s="20"/>
      <c r="U443" s="20"/>
      <c r="V443" s="20"/>
      <c r="W443" s="20"/>
      <c r="X443" s="20"/>
      <c r="Y443" s="20"/>
      <c r="Z443" s="20"/>
    </row>
    <row r="444" spans="14:26" ht="17.25" customHeight="1">
      <c r="N444" s="47"/>
      <c r="O444" s="20"/>
      <c r="P444" s="20"/>
      <c r="Q444" s="20"/>
      <c r="R444" s="20"/>
      <c r="S444" s="20"/>
      <c r="T444" s="20"/>
      <c r="U444" s="20"/>
      <c r="V444" s="20"/>
      <c r="W444" s="20"/>
      <c r="X444" s="20"/>
      <c r="Y444" s="20"/>
      <c r="Z444" s="20"/>
    </row>
    <row r="445" spans="14:26" ht="17.25" customHeight="1">
      <c r="N445" s="47"/>
      <c r="O445" s="20"/>
      <c r="P445" s="20"/>
      <c r="Q445" s="20"/>
      <c r="R445" s="20"/>
      <c r="S445" s="20"/>
      <c r="T445" s="20"/>
      <c r="U445" s="20"/>
      <c r="V445" s="20"/>
      <c r="W445" s="20"/>
      <c r="X445" s="20"/>
      <c r="Y445" s="20"/>
      <c r="Z445" s="20"/>
    </row>
    <row r="446" spans="14:26" ht="17.25" customHeight="1">
      <c r="N446" s="47"/>
      <c r="O446" s="20"/>
      <c r="P446" s="20"/>
      <c r="Q446" s="20"/>
      <c r="R446" s="20"/>
      <c r="S446" s="20"/>
      <c r="T446" s="20"/>
      <c r="U446" s="20"/>
      <c r="V446" s="20"/>
      <c r="W446" s="20"/>
      <c r="X446" s="20"/>
      <c r="Y446" s="20"/>
      <c r="Z446" s="20"/>
    </row>
    <row r="447" spans="14:26" ht="17.25" customHeight="1">
      <c r="N447" s="47"/>
      <c r="O447" s="20"/>
      <c r="P447" s="20"/>
      <c r="Q447" s="20"/>
      <c r="R447" s="20"/>
      <c r="S447" s="20"/>
      <c r="T447" s="20"/>
      <c r="U447" s="20"/>
      <c r="V447" s="20"/>
      <c r="W447" s="20"/>
      <c r="X447" s="20"/>
      <c r="Y447" s="20"/>
      <c r="Z447" s="20"/>
    </row>
    <row r="448" spans="14:26" ht="17.25" customHeight="1">
      <c r="N448" s="47"/>
      <c r="O448" s="20"/>
      <c r="P448" s="20"/>
      <c r="Q448" s="20"/>
      <c r="R448" s="20"/>
      <c r="S448" s="20"/>
      <c r="T448" s="20"/>
      <c r="U448" s="20"/>
      <c r="V448" s="20"/>
      <c r="W448" s="20"/>
      <c r="X448" s="20"/>
      <c r="Y448" s="20"/>
      <c r="Z448" s="20"/>
    </row>
    <row r="449" spans="14:26" ht="17.25" customHeight="1">
      <c r="N449" s="47"/>
      <c r="O449" s="20"/>
      <c r="P449" s="20"/>
      <c r="Q449" s="20"/>
      <c r="R449" s="20"/>
      <c r="S449" s="20"/>
      <c r="T449" s="20"/>
      <c r="U449" s="20"/>
      <c r="V449" s="20"/>
      <c r="W449" s="20"/>
      <c r="X449" s="20"/>
      <c r="Y449" s="20"/>
      <c r="Z449" s="20"/>
    </row>
    <row r="450" spans="14:26" ht="17.25" customHeight="1">
      <c r="N450" s="47"/>
      <c r="O450" s="20"/>
      <c r="P450" s="20"/>
      <c r="Q450" s="20"/>
      <c r="R450" s="20"/>
      <c r="S450" s="20"/>
      <c r="T450" s="20"/>
      <c r="U450" s="20"/>
      <c r="V450" s="20"/>
      <c r="W450" s="20"/>
      <c r="X450" s="20"/>
      <c r="Y450" s="20"/>
      <c r="Z450" s="20"/>
    </row>
    <row r="451" spans="14:26" ht="17.25" customHeight="1">
      <c r="N451" s="47"/>
      <c r="O451" s="20"/>
      <c r="P451" s="20"/>
      <c r="Q451" s="20"/>
      <c r="R451" s="20"/>
      <c r="S451" s="20"/>
      <c r="T451" s="20"/>
      <c r="U451" s="20"/>
      <c r="V451" s="20"/>
      <c r="W451" s="20"/>
      <c r="X451" s="20"/>
      <c r="Y451" s="20"/>
      <c r="Z451" s="20"/>
    </row>
    <row r="452" spans="14:26" ht="17.25" customHeight="1">
      <c r="N452" s="47"/>
      <c r="O452" s="20"/>
      <c r="P452" s="20"/>
      <c r="Q452" s="20"/>
      <c r="R452" s="20"/>
      <c r="S452" s="20"/>
      <c r="T452" s="20"/>
      <c r="U452" s="20"/>
      <c r="V452" s="20"/>
      <c r="W452" s="20"/>
      <c r="X452" s="20"/>
      <c r="Y452" s="20"/>
      <c r="Z452" s="20"/>
    </row>
    <row r="453" spans="14:26" ht="17.25" customHeight="1">
      <c r="N453" s="47"/>
      <c r="O453" s="20"/>
      <c r="P453" s="20"/>
      <c r="Q453" s="20"/>
      <c r="R453" s="20"/>
      <c r="S453" s="20"/>
      <c r="T453" s="20"/>
      <c r="U453" s="20"/>
      <c r="V453" s="20"/>
      <c r="W453" s="20"/>
      <c r="X453" s="20"/>
      <c r="Y453" s="20"/>
      <c r="Z453" s="20"/>
    </row>
    <row r="454" spans="14:26" ht="17.25" customHeight="1">
      <c r="N454" s="47"/>
      <c r="O454" s="20"/>
      <c r="P454" s="20"/>
      <c r="Q454" s="20"/>
      <c r="R454" s="20"/>
      <c r="S454" s="20"/>
      <c r="T454" s="20"/>
      <c r="U454" s="20"/>
      <c r="V454" s="20"/>
      <c r="W454" s="20"/>
      <c r="X454" s="20"/>
      <c r="Y454" s="20"/>
      <c r="Z454" s="20"/>
    </row>
    <row r="455" spans="14:26" ht="17.25" customHeight="1">
      <c r="N455" s="47"/>
      <c r="O455" s="20"/>
      <c r="P455" s="20"/>
      <c r="Q455" s="20"/>
      <c r="R455" s="20"/>
      <c r="S455" s="20"/>
      <c r="T455" s="20"/>
      <c r="U455" s="20"/>
      <c r="V455" s="20"/>
      <c r="W455" s="20"/>
      <c r="X455" s="20"/>
      <c r="Y455" s="20"/>
      <c r="Z455" s="20"/>
    </row>
    <row r="456" spans="14:26" ht="17.25" customHeight="1">
      <c r="N456" s="47"/>
      <c r="O456" s="20"/>
      <c r="P456" s="20"/>
      <c r="Q456" s="20"/>
      <c r="R456" s="20"/>
      <c r="S456" s="20"/>
      <c r="T456" s="20"/>
      <c r="U456" s="20"/>
      <c r="V456" s="20"/>
      <c r="W456" s="20"/>
      <c r="X456" s="20"/>
      <c r="Y456" s="20"/>
      <c r="Z456" s="20"/>
    </row>
    <row r="457" spans="14:26" ht="17.25" customHeight="1">
      <c r="N457" s="47"/>
      <c r="O457" s="20"/>
      <c r="P457" s="20"/>
      <c r="Q457" s="20"/>
      <c r="R457" s="20"/>
      <c r="S457" s="20"/>
      <c r="T457" s="20"/>
      <c r="U457" s="20"/>
      <c r="V457" s="20"/>
      <c r="W457" s="20"/>
      <c r="X457" s="20"/>
      <c r="Y457" s="20"/>
      <c r="Z457" s="20"/>
    </row>
    <row r="458" spans="14:26" ht="17.25" customHeight="1">
      <c r="N458" s="47"/>
      <c r="O458" s="20"/>
      <c r="P458" s="20"/>
      <c r="Q458" s="20"/>
      <c r="R458" s="20"/>
      <c r="S458" s="20"/>
      <c r="T458" s="20"/>
      <c r="U458" s="20"/>
      <c r="V458" s="20"/>
      <c r="W458" s="20"/>
      <c r="X458" s="20"/>
      <c r="Y458" s="20"/>
      <c r="Z458" s="20"/>
    </row>
    <row r="459" spans="14:26" ht="17.25" customHeight="1">
      <c r="N459" s="47"/>
      <c r="O459" s="20"/>
      <c r="P459" s="20"/>
      <c r="Q459" s="20"/>
      <c r="R459" s="20"/>
      <c r="S459" s="20"/>
      <c r="T459" s="20"/>
      <c r="U459" s="20"/>
      <c r="V459" s="20"/>
      <c r="W459" s="20"/>
      <c r="X459" s="20"/>
      <c r="Y459" s="20"/>
      <c r="Z459" s="20"/>
    </row>
    <row r="460" spans="14:26" ht="17.25" customHeight="1">
      <c r="N460" s="47"/>
      <c r="O460" s="20"/>
      <c r="P460" s="20"/>
      <c r="Q460" s="20"/>
      <c r="R460" s="20"/>
      <c r="S460" s="20"/>
      <c r="T460" s="20"/>
      <c r="U460" s="20"/>
      <c r="V460" s="20"/>
      <c r="W460" s="20"/>
      <c r="X460" s="20"/>
      <c r="Y460" s="20"/>
      <c r="Z460" s="20"/>
    </row>
    <row r="461" spans="14:26" ht="17.25" customHeight="1">
      <c r="N461" s="47"/>
      <c r="O461" s="20"/>
      <c r="P461" s="20"/>
      <c r="Q461" s="20"/>
      <c r="R461" s="20"/>
      <c r="S461" s="20"/>
      <c r="T461" s="20"/>
      <c r="U461" s="20"/>
      <c r="V461" s="20"/>
      <c r="W461" s="20"/>
      <c r="X461" s="20"/>
      <c r="Y461" s="20"/>
      <c r="Z461" s="20"/>
    </row>
    <row r="462" spans="14:26" ht="17.25" customHeight="1">
      <c r="N462" s="47"/>
      <c r="O462" s="20"/>
      <c r="P462" s="20"/>
      <c r="Q462" s="20"/>
      <c r="R462" s="20"/>
      <c r="S462" s="20"/>
      <c r="T462" s="20"/>
      <c r="U462" s="20"/>
      <c r="V462" s="20"/>
      <c r="W462" s="20"/>
      <c r="X462" s="20"/>
      <c r="Y462" s="20"/>
      <c r="Z462" s="20"/>
    </row>
    <row r="463" spans="14:26" ht="17.25" customHeight="1">
      <c r="N463" s="47"/>
      <c r="O463" s="20"/>
      <c r="P463" s="20"/>
      <c r="Q463" s="20"/>
      <c r="R463" s="20"/>
      <c r="S463" s="20"/>
      <c r="T463" s="20"/>
      <c r="U463" s="20"/>
      <c r="V463" s="20"/>
      <c r="W463" s="20"/>
      <c r="X463" s="20"/>
      <c r="Y463" s="20"/>
      <c r="Z463" s="20"/>
    </row>
    <row r="464" spans="14:26" ht="17.25" customHeight="1">
      <c r="N464" s="47"/>
      <c r="O464" s="20"/>
      <c r="P464" s="20"/>
      <c r="Q464" s="20"/>
      <c r="R464" s="20"/>
      <c r="S464" s="20"/>
      <c r="T464" s="20"/>
      <c r="U464" s="20"/>
      <c r="V464" s="20"/>
      <c r="W464" s="20"/>
      <c r="X464" s="20"/>
      <c r="Y464" s="20"/>
      <c r="Z464" s="20"/>
    </row>
    <row r="465" spans="14:26" ht="17.25" customHeight="1">
      <c r="N465" s="47"/>
      <c r="O465" s="20"/>
      <c r="P465" s="20"/>
      <c r="Q465" s="20"/>
      <c r="R465" s="20"/>
      <c r="S465" s="20"/>
      <c r="T465" s="20"/>
      <c r="U465" s="20"/>
      <c r="V465" s="20"/>
      <c r="W465" s="20"/>
      <c r="X465" s="20"/>
      <c r="Y465" s="20"/>
      <c r="Z465" s="20"/>
    </row>
    <row r="466" spans="14:26" ht="17.25" customHeight="1">
      <c r="N466" s="47"/>
      <c r="O466" s="20"/>
      <c r="P466" s="20"/>
      <c r="Q466" s="20"/>
      <c r="R466" s="20"/>
      <c r="S466" s="20"/>
      <c r="T466" s="20"/>
      <c r="U466" s="20"/>
      <c r="V466" s="20"/>
      <c r="W466" s="20"/>
      <c r="X466" s="20"/>
      <c r="Y466" s="20"/>
      <c r="Z466" s="20"/>
    </row>
    <row r="467" spans="14:26" ht="17.25" customHeight="1">
      <c r="N467" s="47"/>
      <c r="O467" s="20"/>
      <c r="P467" s="20"/>
      <c r="Q467" s="20"/>
      <c r="R467" s="20"/>
      <c r="S467" s="20"/>
      <c r="T467" s="20"/>
      <c r="U467" s="20"/>
      <c r="V467" s="20"/>
      <c r="W467" s="20"/>
      <c r="X467" s="20"/>
      <c r="Y467" s="20"/>
      <c r="Z467" s="20"/>
    </row>
    <row r="468" spans="14:26" ht="17.25" customHeight="1">
      <c r="N468" s="47"/>
      <c r="O468" s="20"/>
      <c r="P468" s="20"/>
      <c r="Q468" s="20"/>
      <c r="R468" s="20"/>
      <c r="S468" s="20"/>
      <c r="T468" s="20"/>
      <c r="U468" s="20"/>
      <c r="V468" s="20"/>
      <c r="W468" s="20"/>
      <c r="X468" s="20"/>
      <c r="Y468" s="20"/>
      <c r="Z468" s="20"/>
    </row>
    <row r="469" spans="14:26" ht="17.25" customHeight="1">
      <c r="N469" s="47"/>
      <c r="O469" s="20"/>
      <c r="P469" s="20"/>
      <c r="Q469" s="20"/>
      <c r="R469" s="20"/>
      <c r="S469" s="20"/>
      <c r="T469" s="20"/>
      <c r="U469" s="20"/>
      <c r="V469" s="20"/>
      <c r="W469" s="20"/>
      <c r="X469" s="20"/>
      <c r="Y469" s="20"/>
      <c r="Z469" s="20"/>
    </row>
    <row r="470" spans="14:26" ht="17.25" customHeight="1">
      <c r="N470" s="47"/>
      <c r="O470" s="20"/>
      <c r="P470" s="20"/>
      <c r="Q470" s="20"/>
      <c r="R470" s="20"/>
      <c r="S470" s="20"/>
      <c r="T470" s="20"/>
      <c r="U470" s="20"/>
      <c r="V470" s="20"/>
      <c r="W470" s="20"/>
      <c r="X470" s="20"/>
      <c r="Y470" s="20"/>
      <c r="Z470" s="20"/>
    </row>
    <row r="471" spans="14:26" ht="17.25" customHeight="1">
      <c r="N471" s="47"/>
      <c r="O471" s="20"/>
      <c r="P471" s="20"/>
      <c r="Q471" s="20"/>
      <c r="R471" s="20"/>
      <c r="S471" s="20"/>
      <c r="T471" s="20"/>
      <c r="U471" s="20"/>
      <c r="V471" s="20"/>
      <c r="W471" s="20"/>
      <c r="X471" s="20"/>
      <c r="Y471" s="20"/>
      <c r="Z471" s="20"/>
    </row>
    <row r="472" spans="14:26" ht="17.25" customHeight="1">
      <c r="N472" s="47"/>
      <c r="O472" s="20"/>
      <c r="P472" s="20"/>
      <c r="Q472" s="20"/>
      <c r="R472" s="20"/>
      <c r="S472" s="20"/>
      <c r="T472" s="20"/>
      <c r="U472" s="20"/>
      <c r="V472" s="20"/>
      <c r="W472" s="20"/>
      <c r="X472" s="20"/>
      <c r="Y472" s="20"/>
      <c r="Z472" s="20"/>
    </row>
    <row r="473" spans="14:26" ht="17.25" customHeight="1">
      <c r="N473" s="47"/>
      <c r="O473" s="20"/>
      <c r="P473" s="20"/>
      <c r="Q473" s="20"/>
      <c r="R473" s="20"/>
      <c r="S473" s="20"/>
      <c r="T473" s="20"/>
      <c r="U473" s="20"/>
      <c r="V473" s="20"/>
      <c r="W473" s="20"/>
      <c r="X473" s="20"/>
      <c r="Y473" s="20"/>
      <c r="Z473" s="20"/>
    </row>
    <row r="474" spans="14:26" ht="17.25" customHeight="1">
      <c r="N474" s="47"/>
      <c r="O474" s="20"/>
      <c r="P474" s="20"/>
      <c r="Q474" s="20"/>
      <c r="R474" s="20"/>
      <c r="S474" s="20"/>
      <c r="T474" s="20"/>
      <c r="U474" s="20"/>
      <c r="V474" s="20"/>
      <c r="W474" s="20"/>
      <c r="X474" s="20"/>
      <c r="Y474" s="20"/>
      <c r="Z474" s="20"/>
    </row>
    <row r="475" spans="14:26" ht="17.25" customHeight="1">
      <c r="N475" s="47"/>
      <c r="O475" s="20"/>
      <c r="P475" s="20"/>
      <c r="Q475" s="20"/>
      <c r="R475" s="20"/>
      <c r="S475" s="20"/>
      <c r="T475" s="20"/>
      <c r="U475" s="20"/>
      <c r="V475" s="20"/>
      <c r="W475" s="20"/>
      <c r="X475" s="20"/>
      <c r="Y475" s="20"/>
      <c r="Z475" s="20"/>
    </row>
    <row r="476" spans="14:26" ht="17.25" customHeight="1">
      <c r="N476" s="47"/>
      <c r="O476" s="20"/>
      <c r="P476" s="20"/>
      <c r="Q476" s="20"/>
      <c r="R476" s="20"/>
      <c r="S476" s="20"/>
      <c r="T476" s="20"/>
      <c r="U476" s="20"/>
      <c r="V476" s="20"/>
      <c r="W476" s="20"/>
      <c r="X476" s="20"/>
      <c r="Y476" s="20"/>
      <c r="Z476" s="20"/>
    </row>
    <row r="477" spans="14:26" ht="17.25" customHeight="1">
      <c r="N477" s="47"/>
      <c r="O477" s="20"/>
      <c r="P477" s="20"/>
      <c r="Q477" s="20"/>
      <c r="R477" s="20"/>
      <c r="S477" s="20"/>
      <c r="T477" s="20"/>
      <c r="U477" s="20"/>
      <c r="V477" s="20"/>
      <c r="W477" s="20"/>
      <c r="X477" s="20"/>
      <c r="Y477" s="20"/>
      <c r="Z477" s="20"/>
    </row>
    <row r="478" spans="14:26" ht="17.25" customHeight="1">
      <c r="N478" s="47"/>
      <c r="O478" s="20"/>
      <c r="P478" s="20"/>
      <c r="Q478" s="20"/>
      <c r="R478" s="20"/>
      <c r="S478" s="20"/>
      <c r="T478" s="20"/>
      <c r="U478" s="20"/>
      <c r="V478" s="20"/>
      <c r="W478" s="20"/>
      <c r="X478" s="20"/>
      <c r="Y478" s="20"/>
      <c r="Z478" s="20"/>
    </row>
    <row r="479" spans="14:26" ht="17.25" customHeight="1">
      <c r="N479" s="47"/>
      <c r="O479" s="20"/>
      <c r="P479" s="20"/>
      <c r="Q479" s="20"/>
      <c r="R479" s="20"/>
      <c r="S479" s="20"/>
      <c r="T479" s="20"/>
      <c r="U479" s="20"/>
      <c r="V479" s="20"/>
      <c r="W479" s="20"/>
      <c r="X479" s="20"/>
      <c r="Y479" s="20"/>
      <c r="Z479" s="20"/>
    </row>
    <row r="480" spans="14:26" ht="17.25" customHeight="1">
      <c r="N480" s="47"/>
      <c r="O480" s="20"/>
      <c r="P480" s="20"/>
      <c r="Q480" s="20"/>
      <c r="R480" s="20"/>
      <c r="S480" s="20"/>
      <c r="T480" s="20"/>
      <c r="U480" s="20"/>
      <c r="V480" s="20"/>
      <c r="W480" s="20"/>
      <c r="X480" s="20"/>
      <c r="Y480" s="20"/>
      <c r="Z480" s="20"/>
    </row>
    <row r="481" spans="14:26" ht="17.25" customHeight="1">
      <c r="N481" s="47"/>
      <c r="O481" s="20"/>
      <c r="P481" s="20"/>
      <c r="Q481" s="20"/>
      <c r="R481" s="20"/>
      <c r="S481" s="20"/>
      <c r="T481" s="20"/>
      <c r="U481" s="20"/>
      <c r="V481" s="20"/>
      <c r="W481" s="20"/>
      <c r="X481" s="20"/>
      <c r="Y481" s="20"/>
      <c r="Z481" s="20"/>
    </row>
    <row r="482" spans="14:26" ht="17.25" customHeight="1">
      <c r="N482" s="47"/>
      <c r="O482" s="20"/>
      <c r="P482" s="20"/>
      <c r="Q482" s="20"/>
      <c r="R482" s="20"/>
      <c r="S482" s="20"/>
      <c r="T482" s="20"/>
      <c r="U482" s="20"/>
      <c r="V482" s="20"/>
      <c r="W482" s="20"/>
      <c r="X482" s="20"/>
      <c r="Y482" s="20"/>
      <c r="Z482" s="20"/>
    </row>
    <row r="483" spans="14:26" ht="17.25" customHeight="1">
      <c r="N483" s="47"/>
      <c r="O483" s="20"/>
      <c r="P483" s="20"/>
      <c r="Q483" s="20"/>
      <c r="R483" s="20"/>
      <c r="S483" s="20"/>
      <c r="T483" s="20"/>
      <c r="U483" s="20"/>
      <c r="V483" s="20"/>
      <c r="W483" s="20"/>
      <c r="X483" s="20"/>
      <c r="Y483" s="20"/>
      <c r="Z483" s="20"/>
    </row>
    <row r="484" spans="14:26" ht="17.25" customHeight="1">
      <c r="N484" s="47"/>
      <c r="O484" s="20"/>
      <c r="P484" s="20"/>
      <c r="Q484" s="20"/>
      <c r="R484" s="20"/>
      <c r="S484" s="20"/>
      <c r="T484" s="20"/>
      <c r="U484" s="20"/>
      <c r="V484" s="20"/>
      <c r="W484" s="20"/>
      <c r="X484" s="20"/>
      <c r="Y484" s="20"/>
      <c r="Z484" s="20"/>
    </row>
    <row r="485" spans="14:26" ht="17.25" customHeight="1">
      <c r="N485" s="47"/>
      <c r="O485" s="20"/>
      <c r="P485" s="20"/>
      <c r="Q485" s="20"/>
      <c r="R485" s="20"/>
      <c r="S485" s="20"/>
      <c r="T485" s="20"/>
      <c r="U485" s="20"/>
      <c r="V485" s="20"/>
      <c r="W485" s="20"/>
      <c r="X485" s="20"/>
      <c r="Y485" s="20"/>
      <c r="Z485" s="20"/>
    </row>
    <row r="486" spans="14:26" ht="17.25" customHeight="1">
      <c r="N486" s="47"/>
      <c r="O486" s="20"/>
      <c r="P486" s="20"/>
      <c r="Q486" s="20"/>
      <c r="R486" s="20"/>
      <c r="S486" s="20"/>
      <c r="T486" s="20"/>
      <c r="U486" s="20"/>
      <c r="V486" s="20"/>
      <c r="W486" s="20"/>
      <c r="X486" s="20"/>
      <c r="Y486" s="20"/>
      <c r="Z486" s="20"/>
    </row>
    <row r="487" spans="14:26" ht="17.25" customHeight="1">
      <c r="N487" s="47"/>
      <c r="O487" s="20"/>
      <c r="P487" s="20"/>
      <c r="Q487" s="20"/>
      <c r="R487" s="20"/>
      <c r="S487" s="20"/>
      <c r="T487" s="20"/>
      <c r="U487" s="20"/>
      <c r="V487" s="20"/>
      <c r="W487" s="20"/>
      <c r="X487" s="20"/>
      <c r="Y487" s="20"/>
      <c r="Z487" s="20"/>
    </row>
    <row r="488" spans="14:26" ht="17.25" customHeight="1">
      <c r="N488" s="47"/>
      <c r="O488" s="20"/>
      <c r="P488" s="20"/>
      <c r="Q488" s="20"/>
      <c r="R488" s="20"/>
      <c r="S488" s="20"/>
      <c r="T488" s="20"/>
      <c r="U488" s="20"/>
      <c r="V488" s="20"/>
      <c r="W488" s="20"/>
      <c r="X488" s="20"/>
      <c r="Y488" s="20"/>
      <c r="Z488" s="20"/>
    </row>
    <row r="489" spans="14:26" ht="17.25" customHeight="1">
      <c r="N489" s="47"/>
      <c r="O489" s="20"/>
      <c r="P489" s="20"/>
      <c r="Q489" s="20"/>
      <c r="R489" s="20"/>
      <c r="S489" s="20"/>
      <c r="T489" s="20"/>
      <c r="U489" s="20"/>
      <c r="V489" s="20"/>
      <c r="W489" s="20"/>
      <c r="X489" s="20"/>
      <c r="Y489" s="20"/>
      <c r="Z489" s="20"/>
    </row>
    <row r="490" spans="14:26" ht="17.25" customHeight="1">
      <c r="N490" s="47"/>
      <c r="O490" s="20"/>
      <c r="P490" s="20"/>
      <c r="Q490" s="20"/>
      <c r="R490" s="20"/>
      <c r="S490" s="20"/>
      <c r="T490" s="20"/>
      <c r="U490" s="20"/>
      <c r="V490" s="20"/>
      <c r="W490" s="20"/>
      <c r="X490" s="20"/>
      <c r="Y490" s="20"/>
      <c r="Z490" s="20"/>
    </row>
    <row r="491" spans="14:26" ht="17.25" customHeight="1">
      <c r="N491" s="47"/>
      <c r="O491" s="20"/>
      <c r="P491" s="20"/>
      <c r="Q491" s="20"/>
      <c r="R491" s="20"/>
      <c r="S491" s="20"/>
      <c r="T491" s="20"/>
      <c r="U491" s="20"/>
      <c r="V491" s="20"/>
      <c r="W491" s="20"/>
      <c r="X491" s="20"/>
      <c r="Y491" s="20"/>
      <c r="Z491" s="20"/>
    </row>
    <row r="492" spans="14:26" ht="17.25" customHeight="1">
      <c r="N492" s="47"/>
      <c r="O492" s="20"/>
      <c r="P492" s="20"/>
      <c r="Q492" s="20"/>
      <c r="R492" s="20"/>
      <c r="S492" s="20"/>
      <c r="T492" s="20"/>
      <c r="U492" s="20"/>
      <c r="V492" s="20"/>
      <c r="W492" s="20"/>
      <c r="X492" s="20"/>
      <c r="Y492" s="20"/>
      <c r="Z492" s="20"/>
    </row>
    <row r="493" spans="14:26" ht="17.25" customHeight="1">
      <c r="N493" s="47"/>
      <c r="O493" s="20"/>
      <c r="P493" s="20"/>
      <c r="Q493" s="20"/>
      <c r="R493" s="20"/>
      <c r="S493" s="20"/>
      <c r="T493" s="20"/>
      <c r="U493" s="20"/>
      <c r="V493" s="20"/>
      <c r="W493" s="20"/>
      <c r="X493" s="20"/>
      <c r="Y493" s="20"/>
      <c r="Z493" s="20"/>
    </row>
    <row r="494" spans="14:26" ht="17.25" customHeight="1">
      <c r="N494" s="47"/>
      <c r="O494" s="20"/>
      <c r="P494" s="20"/>
      <c r="Q494" s="20"/>
      <c r="R494" s="20"/>
      <c r="S494" s="20"/>
      <c r="T494" s="20"/>
      <c r="U494" s="20"/>
      <c r="V494" s="20"/>
      <c r="W494" s="20"/>
      <c r="X494" s="20"/>
      <c r="Y494" s="20"/>
      <c r="Z494" s="20"/>
    </row>
    <row r="495" spans="14:26" ht="17.25" customHeight="1">
      <c r="N495" s="47"/>
      <c r="O495" s="20"/>
      <c r="P495" s="20"/>
      <c r="Q495" s="20"/>
      <c r="R495" s="20"/>
      <c r="S495" s="20"/>
      <c r="T495" s="20"/>
      <c r="U495" s="20"/>
      <c r="V495" s="20"/>
      <c r="W495" s="20"/>
      <c r="X495" s="20"/>
      <c r="Y495" s="20"/>
      <c r="Z495" s="20"/>
    </row>
    <row r="496" spans="14:26" ht="17.25" customHeight="1">
      <c r="N496" s="47"/>
      <c r="O496" s="20"/>
      <c r="P496" s="20"/>
      <c r="Q496" s="20"/>
      <c r="R496" s="20"/>
      <c r="S496" s="20"/>
      <c r="T496" s="20"/>
      <c r="U496" s="20"/>
      <c r="V496" s="20"/>
      <c r="W496" s="20"/>
      <c r="X496" s="20"/>
      <c r="Y496" s="20"/>
      <c r="Z496" s="20"/>
    </row>
    <row r="497" spans="14:26" ht="17.25" customHeight="1">
      <c r="N497" s="47"/>
      <c r="O497" s="20"/>
      <c r="P497" s="20"/>
      <c r="Q497" s="20"/>
      <c r="R497" s="20"/>
      <c r="S497" s="20"/>
      <c r="T497" s="20"/>
      <c r="U497" s="20"/>
      <c r="V497" s="20"/>
      <c r="W497" s="20"/>
      <c r="X497" s="20"/>
      <c r="Y497" s="20"/>
      <c r="Z497" s="20"/>
    </row>
    <row r="498" spans="14:26" ht="17.25" customHeight="1">
      <c r="N498" s="47"/>
      <c r="O498" s="20"/>
      <c r="P498" s="20"/>
      <c r="Q498" s="20"/>
      <c r="R498" s="20"/>
      <c r="S498" s="20"/>
      <c r="T498" s="20"/>
      <c r="U498" s="20"/>
      <c r="V498" s="20"/>
      <c r="W498" s="20"/>
      <c r="X498" s="20"/>
      <c r="Y498" s="20"/>
      <c r="Z498" s="20"/>
    </row>
    <row r="499" spans="14:26" ht="17.25" customHeight="1">
      <c r="N499" s="47"/>
      <c r="O499" s="20"/>
      <c r="P499" s="20"/>
      <c r="Q499" s="20"/>
      <c r="R499" s="20"/>
      <c r="S499" s="20"/>
      <c r="T499" s="20"/>
      <c r="U499" s="20"/>
      <c r="V499" s="20"/>
      <c r="W499" s="20"/>
      <c r="X499" s="20"/>
      <c r="Y499" s="20"/>
      <c r="Z499" s="20"/>
    </row>
    <row r="500" spans="14:26" ht="17.25" customHeight="1">
      <c r="N500" s="47"/>
      <c r="O500" s="20"/>
      <c r="P500" s="20"/>
      <c r="Q500" s="20"/>
      <c r="R500" s="20"/>
      <c r="S500" s="20"/>
      <c r="T500" s="20"/>
      <c r="U500" s="20"/>
      <c r="V500" s="20"/>
      <c r="W500" s="20"/>
      <c r="X500" s="20"/>
      <c r="Y500" s="20"/>
      <c r="Z500" s="20"/>
    </row>
    <row r="501" spans="14:26" ht="17.25" customHeight="1">
      <c r="N501" s="47"/>
      <c r="O501" s="20"/>
      <c r="P501" s="20"/>
      <c r="Q501" s="20"/>
      <c r="R501" s="20"/>
      <c r="S501" s="20"/>
      <c r="T501" s="20"/>
      <c r="U501" s="20"/>
      <c r="V501" s="20"/>
      <c r="W501" s="20"/>
      <c r="X501" s="20"/>
      <c r="Y501" s="20"/>
      <c r="Z501" s="20"/>
    </row>
    <row r="502" spans="14:26" ht="17.25" customHeight="1">
      <c r="N502" s="47"/>
      <c r="O502" s="20"/>
      <c r="P502" s="20"/>
      <c r="Q502" s="20"/>
      <c r="R502" s="20"/>
      <c r="S502" s="20"/>
      <c r="T502" s="20"/>
      <c r="U502" s="20"/>
      <c r="V502" s="20"/>
      <c r="W502" s="20"/>
      <c r="X502" s="20"/>
      <c r="Y502" s="20"/>
      <c r="Z502" s="20"/>
    </row>
    <row r="503" spans="14:26" ht="17.25" customHeight="1">
      <c r="N503" s="47"/>
      <c r="O503" s="20"/>
      <c r="P503" s="20"/>
      <c r="Q503" s="20"/>
      <c r="R503" s="20"/>
      <c r="S503" s="20"/>
      <c r="T503" s="20"/>
      <c r="U503" s="20"/>
      <c r="V503" s="20"/>
      <c r="W503" s="20"/>
      <c r="X503" s="20"/>
      <c r="Y503" s="20"/>
      <c r="Z503" s="20"/>
    </row>
    <row r="504" spans="14:26" ht="17.25" customHeight="1">
      <c r="N504" s="47"/>
      <c r="O504" s="20"/>
      <c r="P504" s="20"/>
      <c r="Q504" s="20"/>
      <c r="R504" s="20"/>
      <c r="S504" s="20"/>
      <c r="T504" s="20"/>
      <c r="U504" s="20"/>
      <c r="V504" s="20"/>
      <c r="W504" s="20"/>
      <c r="X504" s="20"/>
      <c r="Y504" s="20"/>
      <c r="Z504" s="20"/>
    </row>
    <row r="505" spans="14:26" ht="17.25" customHeight="1">
      <c r="N505" s="47"/>
      <c r="O505" s="20"/>
      <c r="P505" s="20"/>
      <c r="Q505" s="20"/>
      <c r="R505" s="20"/>
      <c r="S505" s="20"/>
      <c r="T505" s="20"/>
      <c r="U505" s="20"/>
      <c r="V505" s="20"/>
      <c r="W505" s="20"/>
      <c r="X505" s="20"/>
      <c r="Y505" s="20"/>
      <c r="Z505" s="20"/>
    </row>
    <row r="506" spans="14:26" ht="17.25" customHeight="1">
      <c r="N506" s="47"/>
      <c r="O506" s="20"/>
      <c r="P506" s="20"/>
      <c r="Q506" s="20"/>
      <c r="R506" s="20"/>
      <c r="S506" s="20"/>
      <c r="T506" s="20"/>
      <c r="U506" s="20"/>
      <c r="V506" s="20"/>
      <c r="W506" s="20"/>
      <c r="X506" s="20"/>
      <c r="Y506" s="20"/>
      <c r="Z506" s="20"/>
    </row>
    <row r="507" spans="14:26" ht="17.25" customHeight="1">
      <c r="N507" s="47"/>
      <c r="O507" s="20"/>
      <c r="P507" s="20"/>
      <c r="Q507" s="20"/>
      <c r="R507" s="20"/>
      <c r="S507" s="20"/>
      <c r="T507" s="20"/>
      <c r="U507" s="20"/>
      <c r="V507" s="20"/>
      <c r="W507" s="20"/>
      <c r="X507" s="20"/>
      <c r="Y507" s="20"/>
      <c r="Z507" s="20"/>
    </row>
    <row r="508" spans="14:26" ht="17.25" customHeight="1">
      <c r="N508" s="47"/>
      <c r="O508" s="20"/>
      <c r="P508" s="20"/>
      <c r="Q508" s="20"/>
      <c r="R508" s="20"/>
      <c r="S508" s="20"/>
      <c r="T508" s="20"/>
      <c r="U508" s="20"/>
      <c r="V508" s="20"/>
      <c r="W508" s="20"/>
      <c r="X508" s="20"/>
      <c r="Y508" s="20"/>
      <c r="Z508" s="20"/>
    </row>
    <row r="509" spans="14:26" ht="17.25" customHeight="1">
      <c r="N509" s="47"/>
      <c r="O509" s="20"/>
      <c r="P509" s="20"/>
      <c r="Q509" s="20"/>
      <c r="R509" s="20"/>
      <c r="S509" s="20"/>
      <c r="T509" s="20"/>
      <c r="U509" s="20"/>
      <c r="V509" s="20"/>
      <c r="W509" s="20"/>
      <c r="X509" s="20"/>
      <c r="Y509" s="20"/>
      <c r="Z509" s="20"/>
    </row>
    <row r="510" spans="14:26" ht="17.25" customHeight="1">
      <c r="N510" s="47"/>
      <c r="O510" s="20"/>
      <c r="P510" s="20"/>
      <c r="Q510" s="20"/>
      <c r="R510" s="20"/>
      <c r="S510" s="20"/>
      <c r="T510" s="20"/>
      <c r="U510" s="20"/>
      <c r="V510" s="20"/>
      <c r="W510" s="20"/>
      <c r="X510" s="20"/>
      <c r="Y510" s="20"/>
      <c r="Z510" s="20"/>
    </row>
    <row r="511" spans="14:26" ht="17.25" customHeight="1">
      <c r="N511" s="47"/>
      <c r="O511" s="20"/>
      <c r="P511" s="20"/>
      <c r="Q511" s="20"/>
      <c r="R511" s="20"/>
      <c r="S511" s="20"/>
      <c r="T511" s="20"/>
      <c r="U511" s="20"/>
      <c r="V511" s="20"/>
      <c r="W511" s="20"/>
      <c r="X511" s="20"/>
      <c r="Y511" s="20"/>
      <c r="Z511" s="20"/>
    </row>
    <row r="512" spans="14:26" ht="17.25" customHeight="1">
      <c r="N512" s="47"/>
      <c r="O512" s="20"/>
      <c r="P512" s="20"/>
      <c r="Q512" s="20"/>
      <c r="R512" s="20"/>
      <c r="S512" s="20"/>
      <c r="T512" s="20"/>
      <c r="U512" s="20"/>
      <c r="V512" s="20"/>
      <c r="W512" s="20"/>
      <c r="X512" s="20"/>
      <c r="Y512" s="20"/>
      <c r="Z512" s="20"/>
    </row>
    <row r="513" spans="14:26" ht="17.25" customHeight="1">
      <c r="N513" s="47"/>
      <c r="O513" s="20"/>
      <c r="P513" s="20"/>
      <c r="Q513" s="20"/>
      <c r="R513" s="20"/>
      <c r="S513" s="20"/>
      <c r="T513" s="20"/>
      <c r="U513" s="20"/>
      <c r="V513" s="20"/>
      <c r="W513" s="20"/>
      <c r="X513" s="20"/>
      <c r="Y513" s="20"/>
      <c r="Z513" s="20"/>
    </row>
    <row r="514" spans="14:26" ht="17.25" customHeight="1">
      <c r="N514" s="47"/>
      <c r="O514" s="20"/>
      <c r="P514" s="20"/>
      <c r="Q514" s="20"/>
      <c r="R514" s="20"/>
      <c r="S514" s="20"/>
      <c r="T514" s="20"/>
      <c r="U514" s="20"/>
      <c r="V514" s="20"/>
      <c r="W514" s="20"/>
      <c r="X514" s="20"/>
      <c r="Y514" s="20"/>
      <c r="Z514" s="20"/>
    </row>
    <row r="515" spans="14:26" ht="17.25" customHeight="1">
      <c r="N515" s="47"/>
      <c r="O515" s="20"/>
      <c r="P515" s="20"/>
      <c r="Q515" s="20"/>
      <c r="R515" s="20"/>
      <c r="S515" s="20"/>
      <c r="T515" s="20"/>
      <c r="U515" s="20"/>
      <c r="V515" s="20"/>
      <c r="W515" s="20"/>
      <c r="X515" s="20"/>
      <c r="Y515" s="20"/>
      <c r="Z515" s="20"/>
    </row>
    <row r="516" spans="14:26" ht="17.25" customHeight="1">
      <c r="N516" s="47"/>
      <c r="O516" s="20"/>
      <c r="P516" s="20"/>
      <c r="Q516" s="20"/>
      <c r="R516" s="20"/>
      <c r="S516" s="20"/>
      <c r="T516" s="20"/>
      <c r="U516" s="20"/>
      <c r="V516" s="20"/>
      <c r="W516" s="20"/>
      <c r="X516" s="20"/>
      <c r="Y516" s="20"/>
      <c r="Z516" s="20"/>
    </row>
    <row r="517" spans="14:26" ht="17.25" customHeight="1">
      <c r="N517" s="47"/>
      <c r="O517" s="20"/>
      <c r="P517" s="20"/>
      <c r="Q517" s="20"/>
      <c r="R517" s="20"/>
      <c r="S517" s="20"/>
      <c r="T517" s="20"/>
      <c r="U517" s="20"/>
      <c r="V517" s="20"/>
      <c r="W517" s="20"/>
      <c r="X517" s="20"/>
      <c r="Y517" s="20"/>
      <c r="Z517" s="20"/>
    </row>
    <row r="518" spans="14:26" ht="17.25" customHeight="1">
      <c r="N518" s="47"/>
      <c r="O518" s="20"/>
      <c r="P518" s="20"/>
      <c r="Q518" s="20"/>
      <c r="R518" s="20"/>
      <c r="S518" s="20"/>
      <c r="T518" s="20"/>
      <c r="U518" s="20"/>
      <c r="V518" s="20"/>
      <c r="W518" s="20"/>
      <c r="X518" s="20"/>
      <c r="Y518" s="20"/>
      <c r="Z518" s="20"/>
    </row>
    <row r="519" spans="14:26" ht="17.25" customHeight="1">
      <c r="N519" s="47"/>
      <c r="O519" s="20"/>
      <c r="P519" s="20"/>
      <c r="Q519" s="20"/>
      <c r="R519" s="20"/>
      <c r="S519" s="20"/>
      <c r="T519" s="20"/>
      <c r="U519" s="20"/>
      <c r="V519" s="20"/>
      <c r="W519" s="20"/>
      <c r="X519" s="20"/>
      <c r="Y519" s="20"/>
      <c r="Z519" s="20"/>
    </row>
    <row r="520" spans="14:26" ht="17.25" customHeight="1">
      <c r="N520" s="47"/>
      <c r="O520" s="20"/>
      <c r="P520" s="20"/>
      <c r="Q520" s="20"/>
      <c r="R520" s="20"/>
      <c r="S520" s="20"/>
      <c r="T520" s="20"/>
      <c r="U520" s="20"/>
      <c r="V520" s="20"/>
      <c r="W520" s="20"/>
      <c r="X520" s="20"/>
      <c r="Y520" s="20"/>
      <c r="Z520" s="20"/>
    </row>
    <row r="521" spans="14:26" ht="17.25" customHeight="1">
      <c r="N521" s="47"/>
      <c r="O521" s="20"/>
      <c r="P521" s="20"/>
      <c r="Q521" s="20"/>
      <c r="R521" s="20"/>
      <c r="S521" s="20"/>
      <c r="T521" s="20"/>
      <c r="U521" s="20"/>
      <c r="V521" s="20"/>
      <c r="W521" s="20"/>
      <c r="X521" s="20"/>
      <c r="Y521" s="20"/>
      <c r="Z521" s="20"/>
    </row>
    <row r="522" spans="14:26" ht="17.25" customHeight="1">
      <c r="N522" s="47"/>
      <c r="O522" s="20"/>
      <c r="P522" s="20"/>
      <c r="Q522" s="20"/>
      <c r="R522" s="20"/>
      <c r="S522" s="20"/>
      <c r="T522" s="20"/>
      <c r="U522" s="20"/>
      <c r="V522" s="20"/>
      <c r="W522" s="20"/>
      <c r="X522" s="20"/>
      <c r="Y522" s="20"/>
      <c r="Z522" s="20"/>
    </row>
    <row r="523" spans="14:26" ht="17.25" customHeight="1">
      <c r="N523" s="47"/>
      <c r="O523" s="20"/>
      <c r="P523" s="20"/>
      <c r="Q523" s="20"/>
      <c r="R523" s="20"/>
      <c r="S523" s="20"/>
      <c r="T523" s="20"/>
      <c r="U523" s="20"/>
      <c r="V523" s="20"/>
      <c r="W523" s="20"/>
      <c r="X523" s="20"/>
      <c r="Y523" s="20"/>
      <c r="Z523" s="20"/>
    </row>
    <row r="524" spans="14:26" ht="17.25" customHeight="1">
      <c r="N524" s="47"/>
      <c r="O524" s="20"/>
      <c r="P524" s="20"/>
      <c r="Q524" s="20"/>
      <c r="R524" s="20"/>
      <c r="S524" s="20"/>
      <c r="T524" s="20"/>
      <c r="U524" s="20"/>
      <c r="V524" s="20"/>
      <c r="W524" s="20"/>
      <c r="X524" s="20"/>
      <c r="Y524" s="20"/>
      <c r="Z524" s="20"/>
    </row>
    <row r="525" spans="14:26" ht="17.25" customHeight="1">
      <c r="N525" s="47"/>
      <c r="O525" s="20"/>
      <c r="P525" s="20"/>
      <c r="Q525" s="20"/>
      <c r="R525" s="20"/>
      <c r="S525" s="20"/>
      <c r="T525" s="20"/>
      <c r="U525" s="20"/>
      <c r="V525" s="20"/>
      <c r="W525" s="20"/>
      <c r="X525" s="20"/>
      <c r="Y525" s="20"/>
      <c r="Z525" s="20"/>
    </row>
    <row r="526" spans="14:26" ht="17.25" customHeight="1">
      <c r="N526" s="47"/>
      <c r="O526" s="20"/>
      <c r="P526" s="20"/>
      <c r="Q526" s="20"/>
      <c r="R526" s="20"/>
      <c r="S526" s="20"/>
      <c r="T526" s="20"/>
      <c r="U526" s="20"/>
      <c r="V526" s="20"/>
      <c r="W526" s="20"/>
      <c r="X526" s="20"/>
      <c r="Y526" s="20"/>
      <c r="Z526" s="20"/>
    </row>
    <row r="527" spans="14:26" ht="17.25" customHeight="1">
      <c r="N527" s="47"/>
      <c r="O527" s="20"/>
      <c r="P527" s="20"/>
      <c r="Q527" s="20"/>
      <c r="R527" s="20"/>
      <c r="S527" s="20"/>
      <c r="T527" s="20"/>
      <c r="U527" s="20"/>
      <c r="V527" s="20"/>
      <c r="W527" s="20"/>
      <c r="X527" s="20"/>
      <c r="Y527" s="20"/>
      <c r="Z527" s="20"/>
    </row>
    <row r="528" spans="14:26" ht="17.25" customHeight="1">
      <c r="N528" s="47"/>
      <c r="O528" s="20"/>
      <c r="P528" s="20"/>
      <c r="Q528" s="20"/>
      <c r="R528" s="20"/>
      <c r="S528" s="20"/>
      <c r="T528" s="20"/>
      <c r="U528" s="20"/>
      <c r="V528" s="20"/>
      <c r="W528" s="20"/>
      <c r="X528" s="20"/>
      <c r="Y528" s="20"/>
      <c r="Z528" s="20"/>
    </row>
    <row r="529" spans="14:26" ht="17.25" customHeight="1">
      <c r="N529" s="47"/>
      <c r="O529" s="20"/>
      <c r="P529" s="20"/>
      <c r="Q529" s="20"/>
      <c r="R529" s="20"/>
      <c r="S529" s="20"/>
      <c r="T529" s="20"/>
      <c r="U529" s="20"/>
      <c r="V529" s="20"/>
      <c r="W529" s="20"/>
      <c r="X529" s="20"/>
      <c r="Y529" s="20"/>
      <c r="Z529" s="20"/>
    </row>
    <row r="530" spans="14:26" ht="17.25" customHeight="1">
      <c r="N530" s="47"/>
      <c r="O530" s="20"/>
      <c r="P530" s="20"/>
      <c r="Q530" s="20"/>
      <c r="R530" s="20"/>
      <c r="S530" s="20"/>
      <c r="T530" s="20"/>
      <c r="U530" s="20"/>
      <c r="V530" s="20"/>
      <c r="W530" s="20"/>
      <c r="X530" s="20"/>
      <c r="Y530" s="20"/>
      <c r="Z530" s="20"/>
    </row>
    <row r="531" spans="14:26" ht="17.25" customHeight="1">
      <c r="N531" s="47"/>
      <c r="O531" s="20"/>
      <c r="P531" s="20"/>
      <c r="Q531" s="20"/>
      <c r="R531" s="20"/>
      <c r="S531" s="20"/>
      <c r="T531" s="20"/>
      <c r="U531" s="20"/>
      <c r="V531" s="20"/>
      <c r="W531" s="20"/>
      <c r="X531" s="20"/>
      <c r="Y531" s="20"/>
      <c r="Z531" s="20"/>
    </row>
    <row r="532" spans="14:26" ht="17.25" customHeight="1">
      <c r="N532" s="47"/>
      <c r="O532" s="20"/>
      <c r="P532" s="20"/>
      <c r="Q532" s="20"/>
      <c r="R532" s="20"/>
      <c r="S532" s="20"/>
      <c r="T532" s="20"/>
      <c r="U532" s="20"/>
      <c r="V532" s="20"/>
      <c r="W532" s="20"/>
      <c r="X532" s="20"/>
      <c r="Y532" s="20"/>
      <c r="Z532" s="20"/>
    </row>
    <row r="533" spans="14:26" ht="17.25" customHeight="1">
      <c r="N533" s="47"/>
      <c r="O533" s="20"/>
      <c r="P533" s="20"/>
      <c r="Q533" s="20"/>
      <c r="R533" s="20"/>
      <c r="S533" s="20"/>
      <c r="T533" s="20"/>
      <c r="U533" s="20"/>
      <c r="V533" s="20"/>
      <c r="W533" s="20"/>
      <c r="X533" s="20"/>
      <c r="Y533" s="20"/>
      <c r="Z533" s="20"/>
    </row>
    <row r="534" spans="14:26" ht="17.25" customHeight="1">
      <c r="N534" s="47"/>
      <c r="O534" s="20"/>
      <c r="P534" s="20"/>
      <c r="Q534" s="20"/>
      <c r="R534" s="20"/>
      <c r="S534" s="20"/>
      <c r="T534" s="20"/>
      <c r="U534" s="20"/>
      <c r="V534" s="20"/>
      <c r="W534" s="20"/>
      <c r="X534" s="20"/>
      <c r="Y534" s="20"/>
      <c r="Z534" s="20"/>
    </row>
    <row r="535" spans="14:26" ht="17.25" customHeight="1">
      <c r="N535" s="47"/>
      <c r="O535" s="20"/>
      <c r="P535" s="20"/>
      <c r="Q535" s="20"/>
      <c r="R535" s="20"/>
      <c r="S535" s="20"/>
      <c r="T535" s="20"/>
      <c r="U535" s="20"/>
      <c r="V535" s="20"/>
      <c r="W535" s="20"/>
      <c r="X535" s="20"/>
      <c r="Y535" s="20"/>
      <c r="Z535" s="20"/>
    </row>
    <row r="536" spans="14:26" ht="17.25" customHeight="1">
      <c r="N536" s="47"/>
      <c r="O536" s="20"/>
      <c r="P536" s="20"/>
      <c r="Q536" s="20"/>
      <c r="R536" s="20"/>
      <c r="S536" s="20"/>
      <c r="T536" s="20"/>
      <c r="U536" s="20"/>
      <c r="V536" s="20"/>
      <c r="W536" s="20"/>
      <c r="X536" s="20"/>
      <c r="Y536" s="20"/>
      <c r="Z536" s="20"/>
    </row>
    <row r="537" spans="14:26" ht="17.25" customHeight="1">
      <c r="N537" s="47"/>
      <c r="O537" s="20"/>
      <c r="P537" s="20"/>
      <c r="Q537" s="20"/>
      <c r="R537" s="20"/>
      <c r="S537" s="20"/>
      <c r="T537" s="20"/>
      <c r="U537" s="20"/>
      <c r="V537" s="20"/>
      <c r="W537" s="20"/>
      <c r="X537" s="20"/>
      <c r="Y537" s="20"/>
      <c r="Z537" s="20"/>
    </row>
    <row r="538" spans="14:26" ht="17.25" customHeight="1">
      <c r="N538" s="47"/>
      <c r="O538" s="20"/>
      <c r="P538" s="20"/>
      <c r="Q538" s="20"/>
      <c r="R538" s="20"/>
      <c r="S538" s="20"/>
      <c r="T538" s="20"/>
      <c r="U538" s="20"/>
      <c r="V538" s="20"/>
      <c r="W538" s="20"/>
      <c r="X538" s="20"/>
      <c r="Y538" s="20"/>
      <c r="Z538" s="20"/>
    </row>
    <row r="539" spans="14:26" ht="17.25" customHeight="1">
      <c r="N539" s="47"/>
      <c r="O539" s="20"/>
      <c r="P539" s="20"/>
      <c r="Q539" s="20"/>
      <c r="R539" s="20"/>
      <c r="S539" s="20"/>
      <c r="T539" s="20"/>
      <c r="U539" s="20"/>
      <c r="V539" s="20"/>
      <c r="W539" s="20"/>
      <c r="X539" s="20"/>
      <c r="Y539" s="20"/>
      <c r="Z539" s="20"/>
    </row>
    <row r="540" spans="14:26" ht="17.25" customHeight="1">
      <c r="N540" s="47"/>
      <c r="O540" s="20"/>
      <c r="P540" s="20"/>
      <c r="Q540" s="20"/>
      <c r="R540" s="20"/>
      <c r="S540" s="20"/>
      <c r="T540" s="20"/>
      <c r="U540" s="20"/>
      <c r="V540" s="20"/>
      <c r="W540" s="20"/>
      <c r="X540" s="20"/>
      <c r="Y540" s="20"/>
      <c r="Z540" s="20"/>
    </row>
    <row r="541" spans="14:26" ht="17.25" customHeight="1">
      <c r="N541" s="47"/>
      <c r="O541" s="20"/>
      <c r="P541" s="20"/>
      <c r="Q541" s="20"/>
      <c r="R541" s="20"/>
      <c r="S541" s="20"/>
      <c r="T541" s="20"/>
      <c r="U541" s="20"/>
      <c r="V541" s="20"/>
      <c r="W541" s="20"/>
      <c r="X541" s="20"/>
      <c r="Y541" s="20"/>
      <c r="Z541" s="20"/>
    </row>
    <row r="542" spans="14:26" ht="17.25" customHeight="1">
      <c r="N542" s="47"/>
      <c r="O542" s="20"/>
      <c r="P542" s="20"/>
      <c r="Q542" s="20"/>
      <c r="R542" s="20"/>
      <c r="S542" s="20"/>
      <c r="T542" s="20"/>
      <c r="U542" s="20"/>
      <c r="V542" s="20"/>
      <c r="W542" s="20"/>
      <c r="X542" s="20"/>
      <c r="Y542" s="20"/>
      <c r="Z542" s="20"/>
    </row>
    <row r="543" spans="14:26" ht="17.25" customHeight="1">
      <c r="N543" s="47"/>
      <c r="O543" s="20"/>
      <c r="P543" s="20"/>
      <c r="Q543" s="20"/>
      <c r="R543" s="20"/>
      <c r="S543" s="20"/>
      <c r="T543" s="20"/>
      <c r="U543" s="20"/>
      <c r="V543" s="20"/>
      <c r="W543" s="20"/>
      <c r="X543" s="20"/>
      <c r="Y543" s="20"/>
      <c r="Z543" s="20"/>
    </row>
    <row r="544" spans="14:26" ht="17.25" customHeight="1">
      <c r="N544" s="47"/>
      <c r="O544" s="20"/>
      <c r="P544" s="20"/>
      <c r="Q544" s="20"/>
      <c r="R544" s="20"/>
      <c r="S544" s="20"/>
      <c r="T544" s="20"/>
      <c r="U544" s="20"/>
      <c r="V544" s="20"/>
      <c r="W544" s="20"/>
      <c r="X544" s="20"/>
      <c r="Y544" s="20"/>
      <c r="Z544" s="20"/>
    </row>
    <row r="545" spans="14:26" ht="17.25" customHeight="1">
      <c r="N545" s="47"/>
      <c r="O545" s="20"/>
      <c r="P545" s="20"/>
      <c r="Q545" s="20"/>
      <c r="R545" s="20"/>
      <c r="S545" s="20"/>
      <c r="T545" s="20"/>
      <c r="U545" s="20"/>
      <c r="V545" s="20"/>
      <c r="W545" s="20"/>
      <c r="X545" s="20"/>
      <c r="Y545" s="20"/>
      <c r="Z545" s="20"/>
    </row>
    <row r="546" spans="14:26" ht="17.25" customHeight="1">
      <c r="N546" s="47"/>
      <c r="O546" s="20"/>
      <c r="P546" s="20"/>
      <c r="Q546" s="20"/>
      <c r="R546" s="20"/>
      <c r="S546" s="20"/>
      <c r="T546" s="20"/>
      <c r="U546" s="20"/>
      <c r="V546" s="20"/>
      <c r="W546" s="20"/>
      <c r="X546" s="20"/>
      <c r="Y546" s="20"/>
      <c r="Z546" s="20"/>
    </row>
    <row r="547" spans="14:26" ht="17.25" customHeight="1">
      <c r="N547" s="47"/>
      <c r="O547" s="20"/>
      <c r="P547" s="20"/>
      <c r="Q547" s="20"/>
      <c r="R547" s="20"/>
      <c r="S547" s="20"/>
      <c r="T547" s="20"/>
      <c r="U547" s="20"/>
      <c r="V547" s="20"/>
      <c r="W547" s="20"/>
      <c r="X547" s="20"/>
      <c r="Y547" s="20"/>
      <c r="Z547" s="20"/>
    </row>
    <row r="548" spans="14:26" ht="17.25" customHeight="1">
      <c r="N548" s="47"/>
      <c r="O548" s="20"/>
      <c r="P548" s="20"/>
      <c r="Q548" s="20"/>
      <c r="R548" s="20"/>
      <c r="S548" s="20"/>
      <c r="T548" s="20"/>
      <c r="U548" s="20"/>
      <c r="V548" s="20"/>
      <c r="W548" s="20"/>
      <c r="X548" s="20"/>
      <c r="Y548" s="20"/>
      <c r="Z548" s="20"/>
    </row>
    <row r="549" spans="14:26" ht="17.25" customHeight="1">
      <c r="N549" s="47"/>
      <c r="O549" s="20"/>
      <c r="P549" s="20"/>
      <c r="Q549" s="20"/>
      <c r="R549" s="20"/>
      <c r="S549" s="20"/>
      <c r="T549" s="20"/>
      <c r="U549" s="20"/>
      <c r="V549" s="20"/>
      <c r="W549" s="20"/>
      <c r="X549" s="20"/>
      <c r="Y549" s="20"/>
      <c r="Z549" s="20"/>
    </row>
    <row r="550" spans="14:26" ht="17.25" customHeight="1">
      <c r="N550" s="47"/>
      <c r="O550" s="20"/>
      <c r="P550" s="20"/>
      <c r="Q550" s="20"/>
      <c r="R550" s="20"/>
      <c r="S550" s="20"/>
      <c r="T550" s="20"/>
      <c r="U550" s="20"/>
      <c r="V550" s="20"/>
      <c r="W550" s="20"/>
      <c r="X550" s="20"/>
      <c r="Y550" s="20"/>
      <c r="Z550" s="20"/>
    </row>
    <row r="551" spans="14:26" ht="17.25" customHeight="1">
      <c r="N551" s="47"/>
      <c r="O551" s="20"/>
      <c r="P551" s="20"/>
      <c r="Q551" s="20"/>
      <c r="R551" s="20"/>
      <c r="S551" s="20"/>
      <c r="T551" s="20"/>
      <c r="U551" s="20"/>
      <c r="V551" s="20"/>
      <c r="W551" s="20"/>
      <c r="X551" s="20"/>
      <c r="Y551" s="20"/>
      <c r="Z551" s="20"/>
    </row>
    <row r="552" spans="14:26" ht="17.25" customHeight="1">
      <c r="N552" s="47"/>
      <c r="O552" s="20"/>
      <c r="P552" s="20"/>
      <c r="Q552" s="20"/>
      <c r="R552" s="20"/>
      <c r="S552" s="20"/>
      <c r="T552" s="20"/>
      <c r="U552" s="20"/>
      <c r="V552" s="20"/>
      <c r="W552" s="20"/>
      <c r="X552" s="20"/>
      <c r="Y552" s="20"/>
      <c r="Z552" s="20"/>
    </row>
    <row r="553" spans="14:26" ht="17.25" customHeight="1">
      <c r="N553" s="47"/>
      <c r="O553" s="20"/>
      <c r="P553" s="20"/>
      <c r="Q553" s="20"/>
      <c r="R553" s="20"/>
      <c r="S553" s="20"/>
      <c r="T553" s="20"/>
      <c r="U553" s="20"/>
      <c r="V553" s="20"/>
      <c r="W553" s="20"/>
      <c r="X553" s="20"/>
      <c r="Y553" s="20"/>
      <c r="Z553" s="20"/>
    </row>
    <row r="554" spans="14:26" ht="17.25" customHeight="1">
      <c r="N554" s="47"/>
      <c r="O554" s="20"/>
      <c r="P554" s="20"/>
      <c r="Q554" s="20"/>
      <c r="R554" s="20"/>
      <c r="S554" s="20"/>
      <c r="T554" s="20"/>
      <c r="U554" s="20"/>
      <c r="V554" s="20"/>
      <c r="W554" s="20"/>
      <c r="X554" s="20"/>
      <c r="Y554" s="20"/>
      <c r="Z554" s="20"/>
    </row>
    <row r="555" spans="14:26" ht="17.25" customHeight="1">
      <c r="N555" s="47"/>
      <c r="O555" s="20"/>
      <c r="P555" s="20"/>
      <c r="Q555" s="20"/>
      <c r="R555" s="20"/>
      <c r="S555" s="20"/>
      <c r="T555" s="20"/>
      <c r="U555" s="20"/>
      <c r="V555" s="20"/>
      <c r="W555" s="20"/>
      <c r="X555" s="20"/>
      <c r="Y555" s="20"/>
      <c r="Z555" s="20"/>
    </row>
    <row r="556" spans="14:26" ht="17.25" customHeight="1">
      <c r="N556" s="47"/>
      <c r="O556" s="20"/>
      <c r="P556" s="20"/>
      <c r="Q556" s="20"/>
      <c r="R556" s="20"/>
      <c r="S556" s="20"/>
      <c r="T556" s="20"/>
      <c r="U556" s="20"/>
      <c r="V556" s="20"/>
      <c r="W556" s="20"/>
      <c r="X556" s="20"/>
      <c r="Y556" s="20"/>
      <c r="Z556" s="20"/>
    </row>
    <row r="557" spans="14:26" ht="17.25" customHeight="1">
      <c r="N557" s="47"/>
      <c r="O557" s="20"/>
      <c r="P557" s="20"/>
      <c r="Q557" s="20"/>
      <c r="R557" s="20"/>
      <c r="S557" s="20"/>
      <c r="T557" s="20"/>
      <c r="U557" s="20"/>
      <c r="V557" s="20"/>
      <c r="W557" s="20"/>
      <c r="X557" s="20"/>
      <c r="Y557" s="20"/>
      <c r="Z557" s="20"/>
    </row>
    <row r="558" spans="14:26" ht="17.25" customHeight="1">
      <c r="N558" s="47"/>
      <c r="O558" s="20"/>
      <c r="P558" s="20"/>
      <c r="Q558" s="20"/>
      <c r="R558" s="20"/>
      <c r="S558" s="20"/>
      <c r="T558" s="20"/>
      <c r="U558" s="20"/>
      <c r="V558" s="20"/>
      <c r="W558" s="20"/>
      <c r="X558" s="20"/>
      <c r="Y558" s="20"/>
      <c r="Z558" s="20"/>
    </row>
    <row r="559" spans="14:26" ht="17.25" customHeight="1">
      <c r="N559" s="47"/>
      <c r="O559" s="20"/>
      <c r="P559" s="20"/>
      <c r="Q559" s="20"/>
      <c r="R559" s="20"/>
      <c r="S559" s="20"/>
      <c r="T559" s="20"/>
      <c r="U559" s="20"/>
      <c r="V559" s="20"/>
      <c r="W559" s="20"/>
      <c r="X559" s="20"/>
      <c r="Y559" s="20"/>
      <c r="Z559" s="20"/>
    </row>
    <row r="560" spans="14:26" ht="17.25" customHeight="1">
      <c r="N560" s="47"/>
      <c r="O560" s="20"/>
      <c r="P560" s="20"/>
      <c r="Q560" s="20"/>
      <c r="R560" s="20"/>
      <c r="S560" s="20"/>
      <c r="T560" s="20"/>
      <c r="U560" s="20"/>
      <c r="V560" s="20"/>
      <c r="W560" s="20"/>
      <c r="X560" s="20"/>
      <c r="Y560" s="20"/>
      <c r="Z560" s="20"/>
    </row>
    <row r="561" spans="14:26" ht="17.25" customHeight="1">
      <c r="N561" s="47"/>
      <c r="O561" s="20"/>
      <c r="P561" s="20"/>
      <c r="Q561" s="20"/>
      <c r="R561" s="20"/>
      <c r="S561" s="20"/>
      <c r="T561" s="20"/>
      <c r="U561" s="20"/>
      <c r="V561" s="20"/>
      <c r="W561" s="20"/>
      <c r="X561" s="20"/>
      <c r="Y561" s="20"/>
      <c r="Z561" s="20"/>
    </row>
    <row r="562" spans="14:26" ht="17.25" customHeight="1">
      <c r="N562" s="47"/>
      <c r="O562" s="20"/>
      <c r="P562" s="20"/>
      <c r="Q562" s="20"/>
      <c r="R562" s="20"/>
      <c r="S562" s="20"/>
      <c r="T562" s="20"/>
      <c r="U562" s="20"/>
      <c r="V562" s="20"/>
      <c r="W562" s="20"/>
      <c r="X562" s="20"/>
      <c r="Y562" s="20"/>
      <c r="Z562" s="20"/>
    </row>
    <row r="563" spans="14:26" ht="17.25" customHeight="1">
      <c r="N563" s="47"/>
      <c r="O563" s="20"/>
      <c r="P563" s="20"/>
      <c r="Q563" s="20"/>
      <c r="R563" s="20"/>
      <c r="S563" s="20"/>
      <c r="T563" s="20"/>
      <c r="U563" s="20"/>
      <c r="V563" s="20"/>
      <c r="W563" s="20"/>
      <c r="X563" s="20"/>
      <c r="Y563" s="20"/>
      <c r="Z563" s="20"/>
    </row>
    <row r="564" spans="14:26" ht="17.25" customHeight="1">
      <c r="N564" s="47"/>
      <c r="O564" s="20"/>
      <c r="P564" s="20"/>
      <c r="Q564" s="20"/>
      <c r="R564" s="20"/>
      <c r="S564" s="20"/>
      <c r="T564" s="20"/>
      <c r="U564" s="20"/>
      <c r="V564" s="20"/>
      <c r="W564" s="20"/>
      <c r="X564" s="20"/>
      <c r="Y564" s="20"/>
      <c r="Z564" s="20"/>
    </row>
    <row r="565" spans="14:26" ht="17.25" customHeight="1">
      <c r="N565" s="47"/>
      <c r="O565" s="20"/>
      <c r="P565" s="20"/>
      <c r="Q565" s="20"/>
      <c r="R565" s="20"/>
      <c r="S565" s="20"/>
      <c r="T565" s="20"/>
      <c r="U565" s="20"/>
      <c r="V565" s="20"/>
      <c r="W565" s="20"/>
      <c r="X565" s="20"/>
      <c r="Y565" s="20"/>
      <c r="Z565" s="20"/>
    </row>
    <row r="566" spans="14:26" ht="17.25" customHeight="1">
      <c r="N566" s="47"/>
      <c r="O566" s="20"/>
      <c r="P566" s="20"/>
      <c r="Q566" s="20"/>
      <c r="R566" s="20"/>
      <c r="S566" s="20"/>
      <c r="T566" s="20"/>
      <c r="U566" s="20"/>
      <c r="V566" s="20"/>
      <c r="W566" s="20"/>
      <c r="X566" s="20"/>
      <c r="Y566" s="20"/>
      <c r="Z566" s="20"/>
    </row>
    <row r="567" spans="14:26" ht="17.25" customHeight="1">
      <c r="N567" s="47"/>
      <c r="O567" s="20"/>
      <c r="P567" s="20"/>
      <c r="Q567" s="20"/>
      <c r="R567" s="20"/>
      <c r="S567" s="20"/>
      <c r="T567" s="20"/>
      <c r="U567" s="20"/>
      <c r="V567" s="20"/>
      <c r="W567" s="20"/>
      <c r="X567" s="20"/>
      <c r="Y567" s="20"/>
      <c r="Z567" s="20"/>
    </row>
    <row r="568" spans="14:26" ht="17.25" customHeight="1">
      <c r="N568" s="47"/>
      <c r="O568" s="20"/>
      <c r="P568" s="20"/>
      <c r="Q568" s="20"/>
      <c r="R568" s="20"/>
      <c r="S568" s="20"/>
      <c r="T568" s="20"/>
      <c r="U568" s="20"/>
      <c r="V568" s="20"/>
      <c r="W568" s="20"/>
      <c r="X568" s="20"/>
      <c r="Y568" s="20"/>
      <c r="Z568" s="20"/>
    </row>
    <row r="569" spans="14:26" ht="17.25" customHeight="1">
      <c r="N569" s="47"/>
      <c r="O569" s="20"/>
      <c r="P569" s="20"/>
      <c r="Q569" s="20"/>
      <c r="R569" s="20"/>
      <c r="S569" s="20"/>
      <c r="T569" s="20"/>
      <c r="U569" s="20"/>
      <c r="V569" s="20"/>
      <c r="W569" s="20"/>
      <c r="X569" s="20"/>
      <c r="Y569" s="20"/>
      <c r="Z569" s="20"/>
    </row>
    <row r="570" spans="14:26" ht="17.25" customHeight="1">
      <c r="N570" s="47"/>
      <c r="O570" s="20"/>
      <c r="P570" s="20"/>
      <c r="Q570" s="20"/>
      <c r="R570" s="20"/>
      <c r="S570" s="20"/>
      <c r="T570" s="20"/>
      <c r="U570" s="20"/>
      <c r="V570" s="20"/>
      <c r="W570" s="20"/>
      <c r="X570" s="20"/>
      <c r="Y570" s="20"/>
      <c r="Z570" s="20"/>
    </row>
    <row r="571" spans="14:26" ht="17.25" customHeight="1">
      <c r="N571" s="47"/>
      <c r="O571" s="20"/>
      <c r="P571" s="20"/>
      <c r="Q571" s="20"/>
      <c r="R571" s="20"/>
      <c r="S571" s="20"/>
      <c r="T571" s="20"/>
      <c r="U571" s="20"/>
      <c r="V571" s="20"/>
      <c r="W571" s="20"/>
      <c r="X571" s="20"/>
      <c r="Y571" s="20"/>
      <c r="Z571" s="20"/>
    </row>
    <row r="572" spans="14:26" ht="17.25" customHeight="1">
      <c r="N572" s="47"/>
      <c r="O572" s="20"/>
      <c r="P572" s="20"/>
      <c r="Q572" s="20"/>
      <c r="R572" s="20"/>
      <c r="S572" s="20"/>
      <c r="T572" s="20"/>
      <c r="U572" s="20"/>
      <c r="V572" s="20"/>
      <c r="W572" s="20"/>
      <c r="X572" s="20"/>
      <c r="Y572" s="20"/>
      <c r="Z572" s="20"/>
    </row>
    <row r="573" spans="14:26" ht="17.25" customHeight="1">
      <c r="N573" s="47"/>
      <c r="O573" s="20"/>
      <c r="P573" s="20"/>
      <c r="Q573" s="20"/>
      <c r="R573" s="20"/>
      <c r="S573" s="20"/>
      <c r="T573" s="20"/>
      <c r="U573" s="20"/>
      <c r="V573" s="20"/>
      <c r="W573" s="20"/>
      <c r="X573" s="20"/>
      <c r="Y573" s="20"/>
      <c r="Z573" s="20"/>
    </row>
    <row r="574" spans="14:26" ht="17.25" customHeight="1">
      <c r="N574" s="47"/>
      <c r="O574" s="20"/>
      <c r="P574" s="20"/>
      <c r="Q574" s="20"/>
      <c r="R574" s="20"/>
      <c r="S574" s="20"/>
      <c r="T574" s="20"/>
      <c r="U574" s="20"/>
      <c r="V574" s="20"/>
      <c r="W574" s="20"/>
      <c r="X574" s="20"/>
      <c r="Y574" s="20"/>
      <c r="Z574" s="20"/>
    </row>
    <row r="575" spans="14:26" ht="17.25" customHeight="1">
      <c r="N575" s="47"/>
      <c r="O575" s="20"/>
      <c r="P575" s="20"/>
      <c r="Q575" s="20"/>
      <c r="R575" s="20"/>
      <c r="S575" s="20"/>
      <c r="T575" s="20"/>
      <c r="U575" s="20"/>
      <c r="V575" s="20"/>
      <c r="W575" s="20"/>
      <c r="X575" s="20"/>
      <c r="Y575" s="20"/>
      <c r="Z575" s="20"/>
    </row>
    <row r="576" spans="14:26" ht="17.25" customHeight="1">
      <c r="N576" s="47"/>
      <c r="O576" s="20"/>
      <c r="P576" s="20"/>
      <c r="Q576" s="20"/>
      <c r="R576" s="20"/>
      <c r="S576" s="20"/>
      <c r="T576" s="20"/>
      <c r="U576" s="20"/>
      <c r="V576" s="20"/>
      <c r="W576" s="20"/>
      <c r="X576" s="20"/>
      <c r="Y576" s="20"/>
      <c r="Z576" s="20"/>
    </row>
    <row r="577" spans="14:26" ht="17.25" customHeight="1">
      <c r="N577" s="47"/>
      <c r="O577" s="20"/>
      <c r="P577" s="20"/>
      <c r="Q577" s="20"/>
      <c r="R577" s="20"/>
      <c r="S577" s="20"/>
      <c r="T577" s="20"/>
      <c r="U577" s="20"/>
      <c r="V577" s="20"/>
      <c r="W577" s="20"/>
      <c r="X577" s="20"/>
      <c r="Y577" s="20"/>
      <c r="Z577" s="20"/>
    </row>
    <row r="578" spans="14:26" ht="17.25" customHeight="1">
      <c r="N578" s="47"/>
      <c r="O578" s="20"/>
      <c r="P578" s="20"/>
      <c r="Q578" s="20"/>
      <c r="R578" s="20"/>
      <c r="S578" s="20"/>
      <c r="T578" s="20"/>
      <c r="U578" s="20"/>
      <c r="V578" s="20"/>
      <c r="W578" s="20"/>
      <c r="X578" s="20"/>
      <c r="Y578" s="20"/>
      <c r="Z578" s="20"/>
    </row>
    <row r="579" spans="14:26" ht="17.25" customHeight="1">
      <c r="N579" s="47"/>
      <c r="O579" s="20"/>
      <c r="P579" s="20"/>
      <c r="Q579" s="20"/>
      <c r="R579" s="20"/>
      <c r="S579" s="20"/>
      <c r="T579" s="20"/>
      <c r="U579" s="20"/>
      <c r="V579" s="20"/>
      <c r="W579" s="20"/>
      <c r="X579" s="20"/>
      <c r="Y579" s="20"/>
      <c r="Z579" s="20"/>
    </row>
    <row r="580" spans="14:26" ht="17.25" customHeight="1">
      <c r="N580" s="47"/>
      <c r="O580" s="20"/>
      <c r="P580" s="20"/>
      <c r="Q580" s="20"/>
      <c r="R580" s="20"/>
      <c r="S580" s="20"/>
      <c r="T580" s="20"/>
      <c r="U580" s="20"/>
      <c r="V580" s="20"/>
      <c r="W580" s="20"/>
      <c r="X580" s="20"/>
      <c r="Y580" s="20"/>
      <c r="Z580" s="20"/>
    </row>
    <row r="581" spans="14:26" ht="17.25" customHeight="1">
      <c r="N581" s="47"/>
      <c r="O581" s="20"/>
      <c r="P581" s="20"/>
      <c r="Q581" s="20"/>
      <c r="R581" s="20"/>
      <c r="S581" s="20"/>
      <c r="T581" s="20"/>
      <c r="U581" s="20"/>
      <c r="V581" s="20"/>
      <c r="W581" s="20"/>
      <c r="X581" s="20"/>
      <c r="Y581" s="20"/>
      <c r="Z581" s="20"/>
    </row>
    <row r="582" spans="14:26" ht="17.25" customHeight="1">
      <c r="N582" s="47"/>
      <c r="O582" s="20"/>
      <c r="P582" s="20"/>
      <c r="Q582" s="20"/>
      <c r="R582" s="20"/>
      <c r="S582" s="20"/>
      <c r="T582" s="20"/>
      <c r="U582" s="20"/>
      <c r="V582" s="20"/>
      <c r="W582" s="20"/>
      <c r="X582" s="20"/>
      <c r="Y582" s="20"/>
      <c r="Z582" s="20"/>
    </row>
    <row r="583" spans="14:26" ht="17.25" customHeight="1">
      <c r="N583" s="47"/>
      <c r="O583" s="20"/>
      <c r="P583" s="20"/>
      <c r="Q583" s="20"/>
      <c r="R583" s="20"/>
      <c r="S583" s="20"/>
      <c r="T583" s="20"/>
      <c r="U583" s="20"/>
      <c r="V583" s="20"/>
      <c r="W583" s="20"/>
      <c r="X583" s="20"/>
      <c r="Y583" s="20"/>
      <c r="Z583" s="20"/>
    </row>
    <row r="584" spans="14:26" ht="17.25" customHeight="1">
      <c r="N584" s="47"/>
      <c r="O584" s="20"/>
      <c r="P584" s="20"/>
      <c r="Q584" s="20"/>
      <c r="R584" s="20"/>
      <c r="S584" s="20"/>
      <c r="T584" s="20"/>
      <c r="U584" s="20"/>
      <c r="V584" s="20"/>
      <c r="W584" s="20"/>
      <c r="X584" s="20"/>
      <c r="Y584" s="20"/>
      <c r="Z584" s="20"/>
    </row>
    <row r="585" spans="14:26" ht="17.25" customHeight="1">
      <c r="N585" s="47"/>
      <c r="O585" s="20"/>
      <c r="P585" s="20"/>
      <c r="Q585" s="20"/>
      <c r="R585" s="20"/>
      <c r="S585" s="20"/>
      <c r="T585" s="20"/>
      <c r="U585" s="20"/>
      <c r="V585" s="20"/>
      <c r="W585" s="20"/>
      <c r="X585" s="20"/>
      <c r="Y585" s="20"/>
      <c r="Z585" s="20"/>
    </row>
    <row r="586" spans="14:26" ht="17.25" customHeight="1">
      <c r="N586" s="47"/>
      <c r="O586" s="20"/>
      <c r="P586" s="20"/>
      <c r="Q586" s="20"/>
      <c r="R586" s="20"/>
      <c r="S586" s="20"/>
      <c r="T586" s="20"/>
      <c r="U586" s="20"/>
      <c r="V586" s="20"/>
      <c r="W586" s="20"/>
      <c r="X586" s="20"/>
      <c r="Y586" s="20"/>
      <c r="Z586" s="20"/>
    </row>
    <row r="587" spans="14:26" ht="17.25" customHeight="1">
      <c r="N587" s="47"/>
      <c r="O587" s="20"/>
      <c r="P587" s="20"/>
      <c r="Q587" s="20"/>
      <c r="R587" s="20"/>
      <c r="S587" s="20"/>
      <c r="T587" s="20"/>
      <c r="U587" s="20"/>
      <c r="V587" s="20"/>
      <c r="W587" s="20"/>
      <c r="X587" s="20"/>
      <c r="Y587" s="20"/>
      <c r="Z587" s="20"/>
    </row>
    <row r="588" spans="14:26" ht="17.25" customHeight="1">
      <c r="N588" s="47"/>
      <c r="O588" s="20"/>
      <c r="P588" s="20"/>
      <c r="Q588" s="20"/>
      <c r="R588" s="20"/>
      <c r="S588" s="20"/>
      <c r="T588" s="20"/>
      <c r="U588" s="20"/>
      <c r="V588" s="20"/>
      <c r="W588" s="20"/>
      <c r="X588" s="20"/>
      <c r="Y588" s="20"/>
      <c r="Z588" s="20"/>
    </row>
    <row r="589" spans="14:26" ht="17.25" customHeight="1">
      <c r="N589" s="47"/>
      <c r="O589" s="20"/>
      <c r="P589" s="20"/>
      <c r="Q589" s="20"/>
      <c r="R589" s="20"/>
      <c r="S589" s="20"/>
      <c r="T589" s="20"/>
      <c r="U589" s="20"/>
      <c r="V589" s="20"/>
      <c r="W589" s="20"/>
      <c r="X589" s="20"/>
      <c r="Y589" s="20"/>
      <c r="Z589" s="20"/>
    </row>
    <row r="590" spans="14:26" ht="17.25" customHeight="1">
      <c r="N590" s="47"/>
      <c r="O590" s="20"/>
      <c r="P590" s="20"/>
      <c r="Q590" s="20"/>
      <c r="R590" s="20"/>
      <c r="S590" s="20"/>
      <c r="T590" s="20"/>
      <c r="U590" s="20"/>
      <c r="V590" s="20"/>
      <c r="W590" s="20"/>
      <c r="X590" s="20"/>
      <c r="Y590" s="20"/>
      <c r="Z590" s="20"/>
    </row>
    <row r="591" spans="14:26" ht="17.25" customHeight="1">
      <c r="N591" s="47"/>
      <c r="O591" s="20"/>
      <c r="P591" s="20"/>
      <c r="Q591" s="20"/>
      <c r="R591" s="20"/>
      <c r="S591" s="20"/>
      <c r="T591" s="20"/>
      <c r="U591" s="20"/>
      <c r="V591" s="20"/>
      <c r="W591" s="20"/>
      <c r="X591" s="20"/>
      <c r="Y591" s="20"/>
      <c r="Z591" s="20"/>
    </row>
    <row r="592" spans="14:26" ht="17.25" customHeight="1">
      <c r="N592" s="47"/>
      <c r="O592" s="20"/>
      <c r="P592" s="20"/>
      <c r="Q592" s="20"/>
      <c r="R592" s="20"/>
      <c r="S592" s="20"/>
      <c r="T592" s="20"/>
      <c r="U592" s="20"/>
      <c r="V592" s="20"/>
      <c r="W592" s="20"/>
      <c r="X592" s="20"/>
      <c r="Y592" s="20"/>
      <c r="Z592" s="20"/>
    </row>
    <row r="593" spans="14:26" ht="17.25" customHeight="1">
      <c r="N593" s="47"/>
      <c r="O593" s="20"/>
      <c r="P593" s="20"/>
      <c r="Q593" s="20"/>
      <c r="R593" s="20"/>
      <c r="S593" s="20"/>
      <c r="T593" s="20"/>
      <c r="U593" s="20"/>
      <c r="V593" s="20"/>
      <c r="W593" s="20"/>
      <c r="X593" s="20"/>
      <c r="Y593" s="20"/>
      <c r="Z593" s="20"/>
    </row>
    <row r="594" spans="14:26" ht="17.25" customHeight="1">
      <c r="N594" s="47"/>
      <c r="O594" s="20"/>
      <c r="P594" s="20"/>
      <c r="Q594" s="20"/>
      <c r="R594" s="20"/>
      <c r="S594" s="20"/>
      <c r="T594" s="20"/>
      <c r="U594" s="20"/>
      <c r="V594" s="20"/>
      <c r="W594" s="20"/>
      <c r="X594" s="20"/>
      <c r="Y594" s="20"/>
      <c r="Z594" s="20"/>
    </row>
    <row r="595" spans="14:26" ht="17.25" customHeight="1">
      <c r="N595" s="47"/>
      <c r="O595" s="20"/>
      <c r="P595" s="20"/>
      <c r="Q595" s="20"/>
      <c r="R595" s="20"/>
      <c r="S595" s="20"/>
      <c r="T595" s="20"/>
      <c r="U595" s="20"/>
      <c r="V595" s="20"/>
      <c r="W595" s="20"/>
      <c r="X595" s="20"/>
      <c r="Y595" s="20"/>
      <c r="Z595" s="20"/>
    </row>
    <row r="596" spans="14:26" ht="17.25" customHeight="1">
      <c r="N596" s="47"/>
      <c r="O596" s="20"/>
      <c r="P596" s="20"/>
      <c r="Q596" s="20"/>
      <c r="R596" s="20"/>
      <c r="S596" s="20"/>
      <c r="T596" s="20"/>
      <c r="U596" s="20"/>
      <c r="V596" s="20"/>
      <c r="W596" s="20"/>
      <c r="X596" s="20"/>
      <c r="Y596" s="20"/>
      <c r="Z596" s="20"/>
    </row>
    <row r="597" spans="14:26" ht="17.25" customHeight="1">
      <c r="N597" s="47"/>
      <c r="O597" s="20"/>
      <c r="P597" s="20"/>
      <c r="Q597" s="20"/>
      <c r="R597" s="20"/>
      <c r="S597" s="20"/>
      <c r="T597" s="20"/>
      <c r="U597" s="20"/>
      <c r="V597" s="20"/>
      <c r="W597" s="20"/>
      <c r="X597" s="20"/>
      <c r="Y597" s="20"/>
      <c r="Z597" s="20"/>
    </row>
    <row r="598" spans="14:26" ht="17.25" customHeight="1">
      <c r="N598" s="47"/>
      <c r="O598" s="20"/>
      <c r="P598" s="20"/>
      <c r="Q598" s="20"/>
      <c r="R598" s="20"/>
      <c r="S598" s="20"/>
      <c r="T598" s="20"/>
      <c r="U598" s="20"/>
      <c r="V598" s="20"/>
      <c r="W598" s="20"/>
      <c r="X598" s="20"/>
      <c r="Y598" s="20"/>
      <c r="Z598" s="20"/>
    </row>
    <row r="599" spans="14:26" ht="17.25" customHeight="1">
      <c r="N599" s="47"/>
      <c r="O599" s="20"/>
      <c r="P599" s="20"/>
      <c r="Q599" s="20"/>
      <c r="R599" s="20"/>
      <c r="S599" s="20"/>
      <c r="T599" s="20"/>
      <c r="U599" s="20"/>
      <c r="V599" s="20"/>
      <c r="W599" s="20"/>
      <c r="X599" s="20"/>
      <c r="Y599" s="20"/>
      <c r="Z599" s="20"/>
    </row>
    <row r="600" spans="14:26" ht="17.25" customHeight="1">
      <c r="N600" s="47"/>
      <c r="O600" s="20"/>
      <c r="P600" s="20"/>
      <c r="Q600" s="20"/>
      <c r="R600" s="20"/>
      <c r="S600" s="20"/>
      <c r="T600" s="20"/>
      <c r="U600" s="20"/>
      <c r="V600" s="20"/>
      <c r="W600" s="20"/>
      <c r="X600" s="20"/>
      <c r="Y600" s="20"/>
      <c r="Z600" s="20"/>
    </row>
    <row r="601" spans="14:26" ht="17.25" customHeight="1">
      <c r="N601" s="47"/>
      <c r="O601" s="20"/>
      <c r="P601" s="20"/>
      <c r="Q601" s="20"/>
      <c r="R601" s="20"/>
      <c r="S601" s="20"/>
      <c r="T601" s="20"/>
      <c r="U601" s="20"/>
      <c r="V601" s="20"/>
      <c r="W601" s="20"/>
      <c r="X601" s="20"/>
      <c r="Y601" s="20"/>
      <c r="Z601" s="20"/>
    </row>
    <row r="602" spans="14:26" ht="17.25" customHeight="1">
      <c r="N602" s="47"/>
      <c r="O602" s="20"/>
      <c r="P602" s="20"/>
      <c r="Q602" s="20"/>
      <c r="R602" s="20"/>
      <c r="S602" s="20"/>
      <c r="T602" s="20"/>
      <c r="U602" s="20"/>
      <c r="V602" s="20"/>
      <c r="W602" s="20"/>
      <c r="X602" s="20"/>
      <c r="Y602" s="20"/>
      <c r="Z602" s="20"/>
    </row>
    <row r="603" spans="14:26" ht="17.25" customHeight="1">
      <c r="N603" s="47"/>
      <c r="O603" s="20"/>
      <c r="P603" s="20"/>
      <c r="Q603" s="20"/>
      <c r="R603" s="20"/>
      <c r="S603" s="20"/>
      <c r="T603" s="20"/>
      <c r="U603" s="20"/>
      <c r="V603" s="20"/>
      <c r="W603" s="20"/>
      <c r="X603" s="20"/>
      <c r="Y603" s="20"/>
      <c r="Z603" s="20"/>
    </row>
    <row r="604" spans="14:26" ht="17.25" customHeight="1">
      <c r="N604" s="47"/>
      <c r="O604" s="20"/>
      <c r="P604" s="20"/>
      <c r="Q604" s="20"/>
      <c r="R604" s="20"/>
      <c r="S604" s="20"/>
      <c r="T604" s="20"/>
      <c r="U604" s="20"/>
      <c r="V604" s="20"/>
      <c r="W604" s="20"/>
      <c r="X604" s="20"/>
      <c r="Y604" s="20"/>
      <c r="Z604" s="20"/>
    </row>
    <row r="605" spans="14:26" ht="17.25" customHeight="1">
      <c r="N605" s="47"/>
      <c r="O605" s="20"/>
      <c r="P605" s="20"/>
      <c r="Q605" s="20"/>
      <c r="R605" s="20"/>
      <c r="S605" s="20"/>
      <c r="T605" s="20"/>
      <c r="U605" s="20"/>
      <c r="V605" s="20"/>
      <c r="W605" s="20"/>
      <c r="X605" s="20"/>
      <c r="Y605" s="20"/>
      <c r="Z605" s="20"/>
    </row>
    <row r="606" spans="14:26" ht="17.25" customHeight="1">
      <c r="N606" s="47"/>
      <c r="O606" s="20"/>
      <c r="P606" s="20"/>
      <c r="Q606" s="20"/>
      <c r="R606" s="20"/>
      <c r="S606" s="20"/>
      <c r="T606" s="20"/>
      <c r="U606" s="20"/>
      <c r="V606" s="20"/>
      <c r="W606" s="20"/>
      <c r="X606" s="20"/>
      <c r="Y606" s="20"/>
      <c r="Z606" s="20"/>
    </row>
    <row r="607" spans="14:26" ht="17.25" customHeight="1">
      <c r="N607" s="47"/>
      <c r="O607" s="20"/>
      <c r="P607" s="20"/>
      <c r="Q607" s="20"/>
      <c r="R607" s="20"/>
      <c r="S607" s="20"/>
      <c r="T607" s="20"/>
      <c r="U607" s="20"/>
      <c r="V607" s="20"/>
      <c r="W607" s="20"/>
      <c r="X607" s="20"/>
      <c r="Y607" s="20"/>
      <c r="Z607" s="20"/>
    </row>
    <row r="608" spans="14:26" ht="17.25" customHeight="1">
      <c r="N608" s="47"/>
      <c r="O608" s="20"/>
      <c r="P608" s="20"/>
      <c r="Q608" s="20"/>
      <c r="R608" s="20"/>
      <c r="S608" s="20"/>
      <c r="T608" s="20"/>
      <c r="U608" s="20"/>
      <c r="V608" s="20"/>
      <c r="W608" s="20"/>
      <c r="X608" s="20"/>
      <c r="Y608" s="20"/>
      <c r="Z608" s="20"/>
    </row>
    <row r="609" spans="14:26" ht="17.25" customHeight="1">
      <c r="N609" s="47"/>
      <c r="O609" s="20"/>
      <c r="P609" s="20"/>
      <c r="Q609" s="20"/>
      <c r="R609" s="20"/>
      <c r="S609" s="20"/>
      <c r="T609" s="20"/>
      <c r="U609" s="20"/>
      <c r="V609" s="20"/>
      <c r="W609" s="20"/>
      <c r="X609" s="20"/>
      <c r="Y609" s="20"/>
      <c r="Z609" s="20"/>
    </row>
    <row r="610" spans="14:26" ht="17.25" customHeight="1">
      <c r="N610" s="47"/>
      <c r="O610" s="20"/>
      <c r="P610" s="20"/>
      <c r="Q610" s="20"/>
      <c r="R610" s="20"/>
      <c r="S610" s="20"/>
      <c r="T610" s="20"/>
      <c r="U610" s="20"/>
      <c r="V610" s="20"/>
      <c r="W610" s="20"/>
      <c r="X610" s="20"/>
      <c r="Y610" s="20"/>
      <c r="Z610" s="20"/>
    </row>
    <row r="611" spans="14:26" ht="17.25" customHeight="1">
      <c r="N611" s="47"/>
      <c r="O611" s="20"/>
      <c r="P611" s="20"/>
      <c r="Q611" s="20"/>
      <c r="R611" s="20"/>
      <c r="S611" s="20"/>
      <c r="T611" s="20"/>
      <c r="U611" s="20"/>
      <c r="V611" s="20"/>
      <c r="W611" s="20"/>
      <c r="X611" s="20"/>
      <c r="Y611" s="20"/>
      <c r="Z611" s="20"/>
    </row>
    <row r="612" spans="14:26" ht="17.25" customHeight="1">
      <c r="N612" s="47"/>
      <c r="O612" s="20"/>
      <c r="P612" s="20"/>
      <c r="Q612" s="20"/>
      <c r="R612" s="20"/>
      <c r="S612" s="20"/>
      <c r="T612" s="20"/>
      <c r="U612" s="20"/>
      <c r="V612" s="20"/>
      <c r="W612" s="20"/>
      <c r="X612" s="20"/>
      <c r="Y612" s="20"/>
      <c r="Z612" s="20"/>
    </row>
    <row r="613" spans="14:26" ht="17.25" customHeight="1">
      <c r="N613" s="47"/>
      <c r="O613" s="20"/>
      <c r="P613" s="20"/>
      <c r="Q613" s="20"/>
      <c r="R613" s="20"/>
      <c r="S613" s="20"/>
      <c r="T613" s="20"/>
      <c r="U613" s="20"/>
      <c r="V613" s="20"/>
      <c r="W613" s="20"/>
      <c r="X613" s="20"/>
      <c r="Y613" s="20"/>
      <c r="Z613" s="20"/>
    </row>
    <row r="614" spans="14:26" ht="17.25" customHeight="1">
      <c r="N614" s="47"/>
      <c r="O614" s="20"/>
      <c r="P614" s="20"/>
      <c r="Q614" s="20"/>
      <c r="R614" s="20"/>
      <c r="S614" s="20"/>
      <c r="T614" s="20"/>
      <c r="U614" s="20"/>
      <c r="V614" s="20"/>
      <c r="W614" s="20"/>
      <c r="X614" s="20"/>
      <c r="Y614" s="20"/>
      <c r="Z614" s="20"/>
    </row>
    <row r="615" spans="14:26" ht="17.25" customHeight="1">
      <c r="N615" s="47"/>
      <c r="O615" s="20"/>
      <c r="P615" s="20"/>
      <c r="Q615" s="20"/>
      <c r="R615" s="20"/>
      <c r="S615" s="20"/>
      <c r="T615" s="20"/>
      <c r="U615" s="20"/>
      <c r="V615" s="20"/>
      <c r="W615" s="20"/>
      <c r="X615" s="20"/>
      <c r="Y615" s="20"/>
      <c r="Z615" s="20"/>
    </row>
    <row r="616" spans="14:26" ht="17.25" customHeight="1">
      <c r="N616" s="47"/>
      <c r="O616" s="20"/>
      <c r="P616" s="20"/>
      <c r="Q616" s="20"/>
      <c r="R616" s="20"/>
      <c r="S616" s="20"/>
      <c r="T616" s="20"/>
      <c r="U616" s="20"/>
      <c r="V616" s="20"/>
      <c r="W616" s="20"/>
      <c r="X616" s="20"/>
      <c r="Y616" s="20"/>
      <c r="Z616" s="20"/>
    </row>
    <row r="617" spans="14:26" ht="17.25" customHeight="1">
      <c r="N617" s="47"/>
      <c r="O617" s="20"/>
      <c r="P617" s="20"/>
      <c r="Q617" s="20"/>
      <c r="R617" s="20"/>
      <c r="S617" s="20"/>
      <c r="T617" s="20"/>
      <c r="U617" s="20"/>
      <c r="V617" s="20"/>
      <c r="W617" s="20"/>
      <c r="X617" s="20"/>
      <c r="Y617" s="20"/>
      <c r="Z617" s="20"/>
    </row>
    <row r="618" spans="14:26" ht="17.25" customHeight="1">
      <c r="N618" s="47"/>
      <c r="O618" s="20"/>
      <c r="P618" s="20"/>
      <c r="Q618" s="20"/>
      <c r="R618" s="20"/>
      <c r="S618" s="20"/>
      <c r="T618" s="20"/>
      <c r="U618" s="20"/>
      <c r="V618" s="20"/>
      <c r="W618" s="20"/>
      <c r="X618" s="20"/>
      <c r="Y618" s="20"/>
      <c r="Z618" s="20"/>
    </row>
    <row r="619" spans="14:26" ht="17.25" customHeight="1">
      <c r="N619" s="47"/>
      <c r="O619" s="20"/>
      <c r="P619" s="20"/>
      <c r="Q619" s="20"/>
      <c r="R619" s="20"/>
      <c r="S619" s="20"/>
      <c r="T619" s="20"/>
      <c r="U619" s="20"/>
      <c r="V619" s="20"/>
      <c r="W619" s="20"/>
      <c r="X619" s="20"/>
      <c r="Y619" s="20"/>
      <c r="Z619" s="20"/>
    </row>
    <row r="620" spans="14:26" ht="17.25" customHeight="1">
      <c r="N620" s="47"/>
      <c r="O620" s="20"/>
      <c r="P620" s="20"/>
      <c r="Q620" s="20"/>
      <c r="R620" s="20"/>
      <c r="S620" s="20"/>
      <c r="T620" s="20"/>
      <c r="U620" s="20"/>
      <c r="V620" s="20"/>
      <c r="W620" s="20"/>
      <c r="X620" s="20"/>
      <c r="Y620" s="20"/>
      <c r="Z620" s="20"/>
    </row>
    <row r="621" spans="14:26" ht="17.25" customHeight="1">
      <c r="N621" s="47"/>
      <c r="O621" s="20"/>
      <c r="P621" s="20"/>
      <c r="Q621" s="20"/>
      <c r="R621" s="20"/>
      <c r="S621" s="20"/>
      <c r="T621" s="20"/>
      <c r="U621" s="20"/>
      <c r="V621" s="20"/>
      <c r="W621" s="20"/>
      <c r="X621" s="20"/>
      <c r="Y621" s="20"/>
      <c r="Z621" s="20"/>
    </row>
    <row r="622" spans="14:26" ht="17.25" customHeight="1">
      <c r="N622" s="47"/>
      <c r="O622" s="20"/>
      <c r="P622" s="20"/>
      <c r="Q622" s="20"/>
      <c r="R622" s="20"/>
      <c r="S622" s="20"/>
      <c r="T622" s="20"/>
      <c r="U622" s="20"/>
      <c r="V622" s="20"/>
      <c r="W622" s="20"/>
      <c r="X622" s="20"/>
      <c r="Y622" s="20"/>
      <c r="Z622" s="20"/>
    </row>
    <row r="623" spans="14:26" ht="17.25" customHeight="1">
      <c r="N623" s="47"/>
      <c r="O623" s="20"/>
      <c r="P623" s="20"/>
      <c r="Q623" s="20"/>
      <c r="R623" s="20"/>
      <c r="S623" s="20"/>
      <c r="T623" s="20"/>
      <c r="U623" s="20"/>
      <c r="V623" s="20"/>
      <c r="W623" s="20"/>
      <c r="X623" s="20"/>
      <c r="Y623" s="20"/>
      <c r="Z623" s="20"/>
    </row>
    <row r="624" spans="14:26" ht="17.25" customHeight="1">
      <c r="N624" s="47"/>
      <c r="O624" s="20"/>
      <c r="P624" s="20"/>
      <c r="Q624" s="20"/>
      <c r="R624" s="20"/>
      <c r="S624" s="20"/>
      <c r="T624" s="20"/>
      <c r="U624" s="20"/>
      <c r="V624" s="20"/>
      <c r="W624" s="20"/>
      <c r="X624" s="20"/>
      <c r="Y624" s="20"/>
      <c r="Z624" s="20"/>
    </row>
    <row r="625" spans="14:26" ht="17.25" customHeight="1">
      <c r="N625" s="47"/>
      <c r="O625" s="20"/>
      <c r="P625" s="20"/>
      <c r="Q625" s="20"/>
      <c r="R625" s="20"/>
      <c r="S625" s="20"/>
      <c r="T625" s="20"/>
      <c r="U625" s="20"/>
      <c r="V625" s="20"/>
      <c r="W625" s="20"/>
      <c r="X625" s="20"/>
      <c r="Y625" s="20"/>
      <c r="Z625" s="20"/>
    </row>
    <row r="626" spans="14:26" ht="17.25" customHeight="1">
      <c r="N626" s="47"/>
      <c r="O626" s="20"/>
      <c r="P626" s="20"/>
      <c r="Q626" s="20"/>
      <c r="R626" s="20"/>
      <c r="S626" s="20"/>
      <c r="T626" s="20"/>
      <c r="U626" s="20"/>
      <c r="V626" s="20"/>
      <c r="W626" s="20"/>
      <c r="X626" s="20"/>
      <c r="Y626" s="20"/>
      <c r="Z626" s="20"/>
    </row>
    <row r="627" spans="14:26" ht="17.25" customHeight="1">
      <c r="N627" s="47"/>
      <c r="O627" s="20"/>
      <c r="P627" s="20"/>
      <c r="Q627" s="20"/>
      <c r="R627" s="20"/>
      <c r="S627" s="20"/>
      <c r="T627" s="20"/>
      <c r="U627" s="20"/>
      <c r="V627" s="20"/>
      <c r="W627" s="20"/>
      <c r="X627" s="20"/>
      <c r="Y627" s="20"/>
      <c r="Z627" s="20"/>
    </row>
    <row r="628" spans="14:26" ht="17.25" customHeight="1">
      <c r="N628" s="47"/>
      <c r="O628" s="20"/>
      <c r="P628" s="20"/>
      <c r="Q628" s="20"/>
      <c r="R628" s="20"/>
      <c r="S628" s="20"/>
      <c r="T628" s="20"/>
      <c r="U628" s="20"/>
      <c r="V628" s="20"/>
      <c r="W628" s="20"/>
      <c r="X628" s="20"/>
      <c r="Y628" s="20"/>
      <c r="Z628" s="20"/>
    </row>
    <row r="629" spans="14:26" ht="17.25" customHeight="1">
      <c r="N629" s="47"/>
      <c r="O629" s="20"/>
      <c r="P629" s="20"/>
      <c r="Q629" s="20"/>
      <c r="R629" s="20"/>
      <c r="S629" s="20"/>
      <c r="T629" s="20"/>
      <c r="U629" s="20"/>
      <c r="V629" s="20"/>
      <c r="W629" s="20"/>
      <c r="X629" s="20"/>
      <c r="Y629" s="20"/>
      <c r="Z629" s="20"/>
    </row>
    <row r="630" spans="14:26" ht="17.25" customHeight="1">
      <c r="N630" s="47"/>
      <c r="O630" s="20"/>
      <c r="P630" s="20"/>
      <c r="Q630" s="20"/>
      <c r="R630" s="20"/>
      <c r="S630" s="20"/>
      <c r="T630" s="20"/>
      <c r="U630" s="20"/>
      <c r="V630" s="20"/>
      <c r="W630" s="20"/>
      <c r="X630" s="20"/>
      <c r="Y630" s="20"/>
      <c r="Z630" s="20"/>
    </row>
    <row r="631" spans="14:26" ht="17.25" customHeight="1">
      <c r="N631" s="47"/>
      <c r="O631" s="20"/>
      <c r="P631" s="20"/>
      <c r="Q631" s="20"/>
      <c r="R631" s="20"/>
      <c r="S631" s="20"/>
      <c r="T631" s="20"/>
      <c r="U631" s="20"/>
      <c r="V631" s="20"/>
      <c r="W631" s="20"/>
      <c r="X631" s="20"/>
      <c r="Y631" s="20"/>
      <c r="Z631" s="20"/>
    </row>
    <row r="632" spans="14:26" ht="17.25" customHeight="1">
      <c r="N632" s="47"/>
      <c r="O632" s="20"/>
      <c r="P632" s="20"/>
      <c r="Q632" s="20"/>
      <c r="R632" s="20"/>
      <c r="S632" s="20"/>
      <c r="T632" s="20"/>
      <c r="U632" s="20"/>
      <c r="V632" s="20"/>
      <c r="W632" s="20"/>
      <c r="X632" s="20"/>
      <c r="Y632" s="20"/>
      <c r="Z632" s="20"/>
    </row>
    <row r="633" spans="14:26" ht="17.25" customHeight="1">
      <c r="N633" s="47"/>
      <c r="O633" s="20"/>
      <c r="P633" s="20"/>
      <c r="Q633" s="20"/>
      <c r="R633" s="20"/>
      <c r="S633" s="20"/>
      <c r="T633" s="20"/>
      <c r="U633" s="20"/>
      <c r="V633" s="20"/>
      <c r="W633" s="20"/>
      <c r="X633" s="20"/>
      <c r="Y633" s="20"/>
      <c r="Z633" s="20"/>
    </row>
    <row r="634" spans="14:26" ht="17.25" customHeight="1">
      <c r="N634" s="47"/>
      <c r="O634" s="20"/>
      <c r="P634" s="20"/>
      <c r="Q634" s="20"/>
      <c r="R634" s="20"/>
      <c r="S634" s="20"/>
      <c r="T634" s="20"/>
      <c r="U634" s="20"/>
      <c r="V634" s="20"/>
      <c r="W634" s="20"/>
      <c r="X634" s="20"/>
      <c r="Y634" s="20"/>
      <c r="Z634" s="20"/>
    </row>
    <row r="635" spans="14:26" ht="17.25" customHeight="1">
      <c r="N635" s="47"/>
      <c r="O635" s="20"/>
      <c r="P635" s="20"/>
      <c r="Q635" s="20"/>
      <c r="R635" s="20"/>
      <c r="S635" s="20"/>
      <c r="T635" s="20"/>
      <c r="U635" s="20"/>
      <c r="V635" s="20"/>
      <c r="W635" s="20"/>
      <c r="X635" s="20"/>
      <c r="Y635" s="20"/>
      <c r="Z635" s="20"/>
    </row>
    <row r="636" spans="14:26" ht="17.25" customHeight="1">
      <c r="N636" s="47"/>
      <c r="O636" s="20"/>
      <c r="P636" s="20"/>
      <c r="Q636" s="20"/>
      <c r="R636" s="20"/>
      <c r="S636" s="20"/>
      <c r="T636" s="20"/>
      <c r="U636" s="20"/>
      <c r="V636" s="20"/>
      <c r="W636" s="20"/>
      <c r="X636" s="20"/>
      <c r="Y636" s="20"/>
      <c r="Z636" s="20"/>
    </row>
    <row r="637" spans="14:26" ht="17.25" customHeight="1">
      <c r="N637" s="47"/>
      <c r="O637" s="20"/>
      <c r="P637" s="20"/>
      <c r="Q637" s="20"/>
      <c r="R637" s="20"/>
      <c r="S637" s="20"/>
      <c r="T637" s="20"/>
      <c r="U637" s="20"/>
      <c r="V637" s="20"/>
      <c r="W637" s="20"/>
      <c r="X637" s="20"/>
      <c r="Y637" s="20"/>
      <c r="Z637" s="20"/>
    </row>
    <row r="638" spans="14:26" ht="17.25" customHeight="1">
      <c r="N638" s="47"/>
      <c r="O638" s="20"/>
      <c r="P638" s="20"/>
      <c r="Q638" s="20"/>
      <c r="R638" s="20"/>
      <c r="S638" s="20"/>
      <c r="T638" s="20"/>
      <c r="U638" s="20"/>
      <c r="V638" s="20"/>
      <c r="W638" s="20"/>
      <c r="X638" s="20"/>
      <c r="Y638" s="20"/>
      <c r="Z638" s="20"/>
    </row>
    <row r="639" spans="14:26" ht="17.25" customHeight="1">
      <c r="N639" s="47"/>
      <c r="O639" s="20"/>
      <c r="P639" s="20"/>
      <c r="Q639" s="20"/>
      <c r="R639" s="20"/>
      <c r="S639" s="20"/>
      <c r="T639" s="20"/>
      <c r="U639" s="20"/>
      <c r="V639" s="20"/>
      <c r="W639" s="20"/>
      <c r="X639" s="20"/>
      <c r="Y639" s="20"/>
      <c r="Z639" s="20"/>
    </row>
    <row r="640" spans="14:26" ht="17.25" customHeight="1">
      <c r="N640" s="47"/>
      <c r="O640" s="20"/>
      <c r="P640" s="20"/>
      <c r="Q640" s="20"/>
      <c r="R640" s="20"/>
      <c r="S640" s="20"/>
      <c r="T640" s="20"/>
      <c r="U640" s="20"/>
      <c r="V640" s="20"/>
      <c r="W640" s="20"/>
      <c r="X640" s="20"/>
      <c r="Y640" s="20"/>
      <c r="Z640" s="20"/>
    </row>
    <row r="641" spans="14:26" ht="17.25" customHeight="1">
      <c r="N641" s="47"/>
      <c r="O641" s="20"/>
      <c r="P641" s="20"/>
      <c r="Q641" s="20"/>
      <c r="R641" s="20"/>
      <c r="S641" s="20"/>
      <c r="T641" s="20"/>
      <c r="U641" s="20"/>
      <c r="V641" s="20"/>
      <c r="W641" s="20"/>
      <c r="X641" s="20"/>
      <c r="Y641" s="20"/>
      <c r="Z641" s="20"/>
    </row>
    <row r="642" spans="14:26" ht="17.25" customHeight="1">
      <c r="N642" s="47"/>
      <c r="O642" s="20"/>
      <c r="P642" s="20"/>
      <c r="Q642" s="20"/>
      <c r="R642" s="20"/>
      <c r="S642" s="20"/>
      <c r="T642" s="20"/>
      <c r="U642" s="20"/>
      <c r="V642" s="20"/>
      <c r="W642" s="20"/>
      <c r="X642" s="20"/>
      <c r="Y642" s="20"/>
      <c r="Z642" s="20"/>
    </row>
    <row r="643" spans="14:26" ht="17.25" customHeight="1">
      <c r="N643" s="47"/>
      <c r="O643" s="20"/>
      <c r="P643" s="20"/>
      <c r="Q643" s="20"/>
      <c r="R643" s="20"/>
      <c r="S643" s="20"/>
      <c r="T643" s="20"/>
      <c r="U643" s="20"/>
      <c r="V643" s="20"/>
      <c r="W643" s="20"/>
      <c r="X643" s="20"/>
      <c r="Y643" s="20"/>
      <c r="Z643" s="20"/>
    </row>
    <row r="644" spans="14:26" ht="17.25" customHeight="1">
      <c r="N644" s="47"/>
      <c r="O644" s="20"/>
      <c r="P644" s="20"/>
      <c r="Q644" s="20"/>
      <c r="R644" s="20"/>
      <c r="S644" s="20"/>
      <c r="T644" s="20"/>
      <c r="U644" s="20"/>
      <c r="V644" s="20"/>
      <c r="W644" s="20"/>
      <c r="X644" s="20"/>
      <c r="Y644" s="20"/>
      <c r="Z644" s="20"/>
    </row>
    <row r="645" spans="14:26" ht="17.25" customHeight="1">
      <c r="N645" s="47"/>
      <c r="O645" s="20"/>
      <c r="P645" s="20"/>
      <c r="Q645" s="20"/>
      <c r="R645" s="20"/>
      <c r="S645" s="20"/>
      <c r="T645" s="20"/>
      <c r="U645" s="20"/>
      <c r="V645" s="20"/>
      <c r="W645" s="20"/>
      <c r="X645" s="20"/>
      <c r="Y645" s="20"/>
      <c r="Z645" s="20"/>
    </row>
    <row r="646" spans="14:26" ht="17.25" customHeight="1">
      <c r="N646" s="47"/>
      <c r="O646" s="20"/>
      <c r="P646" s="20"/>
      <c r="Q646" s="20"/>
      <c r="R646" s="20"/>
      <c r="S646" s="20"/>
      <c r="T646" s="20"/>
      <c r="U646" s="20"/>
      <c r="V646" s="20"/>
      <c r="W646" s="20"/>
      <c r="X646" s="20"/>
      <c r="Y646" s="20"/>
      <c r="Z646" s="20"/>
    </row>
    <row r="647" spans="14:26" ht="17.25" customHeight="1">
      <c r="N647" s="47"/>
      <c r="O647" s="20"/>
      <c r="P647" s="20"/>
      <c r="Q647" s="20"/>
      <c r="R647" s="20"/>
      <c r="S647" s="20"/>
      <c r="T647" s="20"/>
      <c r="U647" s="20"/>
      <c r="V647" s="20"/>
      <c r="W647" s="20"/>
      <c r="X647" s="20"/>
      <c r="Y647" s="20"/>
      <c r="Z647" s="20"/>
    </row>
    <row r="648" spans="14:26" ht="17.25" customHeight="1">
      <c r="N648" s="47"/>
      <c r="O648" s="20"/>
      <c r="P648" s="20"/>
      <c r="Q648" s="20"/>
      <c r="R648" s="20"/>
      <c r="S648" s="20"/>
      <c r="T648" s="20"/>
      <c r="U648" s="20"/>
      <c r="V648" s="20"/>
      <c r="W648" s="20"/>
      <c r="X648" s="20"/>
      <c r="Y648" s="20"/>
      <c r="Z648" s="20"/>
    </row>
    <row r="649" spans="14:26" ht="17.25" customHeight="1">
      <c r="N649" s="47"/>
      <c r="O649" s="20"/>
      <c r="P649" s="20"/>
      <c r="Q649" s="20"/>
      <c r="R649" s="20"/>
      <c r="S649" s="20"/>
      <c r="T649" s="20"/>
      <c r="U649" s="20"/>
      <c r="V649" s="20"/>
      <c r="W649" s="20"/>
      <c r="X649" s="20"/>
      <c r="Y649" s="20"/>
      <c r="Z649" s="20"/>
    </row>
    <row r="650" spans="14:26" ht="17.25" customHeight="1">
      <c r="N650" s="47"/>
      <c r="O650" s="20"/>
      <c r="P650" s="20"/>
      <c r="Q650" s="20"/>
      <c r="R650" s="20"/>
      <c r="S650" s="20"/>
      <c r="T650" s="20"/>
      <c r="U650" s="20"/>
      <c r="V650" s="20"/>
      <c r="W650" s="20"/>
      <c r="X650" s="20"/>
      <c r="Y650" s="20"/>
      <c r="Z650" s="20"/>
    </row>
    <row r="651" spans="14:26" ht="17.25" customHeight="1">
      <c r="N651" s="47"/>
      <c r="O651" s="20"/>
      <c r="P651" s="20"/>
      <c r="Q651" s="20"/>
      <c r="R651" s="20"/>
      <c r="S651" s="20"/>
      <c r="T651" s="20"/>
      <c r="U651" s="20"/>
      <c r="V651" s="20"/>
      <c r="W651" s="20"/>
      <c r="X651" s="20"/>
      <c r="Y651" s="20"/>
      <c r="Z651" s="20"/>
    </row>
    <row r="652" spans="14:26" ht="17.25" customHeight="1">
      <c r="N652" s="47"/>
      <c r="O652" s="20"/>
      <c r="P652" s="20"/>
      <c r="Q652" s="20"/>
      <c r="R652" s="20"/>
      <c r="S652" s="20"/>
      <c r="T652" s="20"/>
      <c r="U652" s="20"/>
      <c r="V652" s="20"/>
      <c r="W652" s="20"/>
      <c r="X652" s="20"/>
      <c r="Y652" s="20"/>
      <c r="Z652" s="20"/>
    </row>
    <row r="653" spans="14:26" ht="17.25" customHeight="1">
      <c r="N653" s="47"/>
      <c r="O653" s="20"/>
      <c r="P653" s="20"/>
      <c r="Q653" s="20"/>
      <c r="R653" s="20"/>
      <c r="S653" s="20"/>
      <c r="T653" s="20"/>
      <c r="U653" s="20"/>
      <c r="V653" s="20"/>
      <c r="W653" s="20"/>
      <c r="X653" s="20"/>
      <c r="Y653" s="20"/>
      <c r="Z653" s="20"/>
    </row>
    <row r="654" spans="14:26" ht="17.25" customHeight="1">
      <c r="N654" s="47"/>
      <c r="O654" s="20"/>
      <c r="P654" s="20"/>
      <c r="Q654" s="20"/>
      <c r="R654" s="20"/>
      <c r="S654" s="20"/>
      <c r="T654" s="20"/>
      <c r="U654" s="20"/>
      <c r="V654" s="20"/>
      <c r="W654" s="20"/>
      <c r="X654" s="20"/>
      <c r="Y654" s="20"/>
      <c r="Z654" s="20"/>
    </row>
    <row r="655" spans="14:26" ht="17.25" customHeight="1">
      <c r="N655" s="47"/>
      <c r="O655" s="20"/>
      <c r="P655" s="20"/>
      <c r="Q655" s="20"/>
      <c r="R655" s="20"/>
      <c r="S655" s="20"/>
      <c r="T655" s="20"/>
      <c r="U655" s="20"/>
      <c r="V655" s="20"/>
      <c r="W655" s="20"/>
      <c r="X655" s="20"/>
      <c r="Y655" s="20"/>
      <c r="Z655" s="20"/>
    </row>
    <row r="656" spans="14:26" ht="17.25" customHeight="1">
      <c r="N656" s="47"/>
      <c r="O656" s="20"/>
      <c r="P656" s="20"/>
      <c r="Q656" s="20"/>
      <c r="R656" s="20"/>
      <c r="S656" s="20"/>
      <c r="T656" s="20"/>
      <c r="U656" s="20"/>
      <c r="V656" s="20"/>
      <c r="W656" s="20"/>
      <c r="X656" s="20"/>
      <c r="Y656" s="20"/>
      <c r="Z656" s="20"/>
    </row>
    <row r="657" spans="14:26" ht="17.25" customHeight="1">
      <c r="N657" s="47"/>
      <c r="O657" s="20"/>
      <c r="P657" s="20"/>
      <c r="Q657" s="20"/>
      <c r="R657" s="20"/>
      <c r="S657" s="20"/>
      <c r="T657" s="20"/>
      <c r="U657" s="20"/>
      <c r="V657" s="20"/>
      <c r="W657" s="20"/>
      <c r="X657" s="20"/>
      <c r="Y657" s="20"/>
      <c r="Z657" s="20"/>
    </row>
    <row r="658" spans="14:26" ht="17.25" customHeight="1">
      <c r="N658" s="47"/>
      <c r="O658" s="20"/>
      <c r="P658" s="20"/>
      <c r="Q658" s="20"/>
      <c r="R658" s="20"/>
      <c r="S658" s="20"/>
      <c r="T658" s="20"/>
      <c r="U658" s="20"/>
      <c r="V658" s="20"/>
      <c r="W658" s="20"/>
      <c r="X658" s="20"/>
      <c r="Y658" s="20"/>
      <c r="Z658" s="20"/>
    </row>
    <row r="659" spans="14:26" ht="17.25" customHeight="1">
      <c r="N659" s="47"/>
      <c r="O659" s="20"/>
      <c r="P659" s="20"/>
      <c r="Q659" s="20"/>
      <c r="R659" s="20"/>
      <c r="S659" s="20"/>
      <c r="T659" s="20"/>
      <c r="U659" s="20"/>
      <c r="V659" s="20"/>
      <c r="W659" s="20"/>
      <c r="X659" s="20"/>
      <c r="Y659" s="20"/>
      <c r="Z659" s="20"/>
    </row>
    <row r="660" spans="14:26" ht="17.25" customHeight="1">
      <c r="N660" s="47"/>
      <c r="O660" s="20"/>
      <c r="P660" s="20"/>
      <c r="Q660" s="20"/>
      <c r="R660" s="20"/>
      <c r="S660" s="20"/>
      <c r="T660" s="20"/>
      <c r="U660" s="20"/>
      <c r="V660" s="20"/>
      <c r="W660" s="20"/>
      <c r="X660" s="20"/>
      <c r="Y660" s="20"/>
      <c r="Z660" s="20"/>
    </row>
    <row r="661" spans="14:26" ht="17.25" customHeight="1">
      <c r="N661" s="47"/>
      <c r="O661" s="20"/>
      <c r="P661" s="20"/>
      <c r="Q661" s="20"/>
      <c r="R661" s="20"/>
      <c r="S661" s="20"/>
      <c r="T661" s="20"/>
      <c r="U661" s="20"/>
      <c r="V661" s="20"/>
      <c r="W661" s="20"/>
      <c r="X661" s="20"/>
      <c r="Y661" s="20"/>
      <c r="Z661" s="20"/>
    </row>
    <row r="662" spans="14:26" ht="17.25" customHeight="1">
      <c r="N662" s="47"/>
      <c r="O662" s="20"/>
      <c r="P662" s="20"/>
      <c r="Q662" s="20"/>
      <c r="R662" s="20"/>
      <c r="S662" s="20"/>
      <c r="T662" s="20"/>
      <c r="U662" s="20"/>
      <c r="V662" s="20"/>
      <c r="W662" s="20"/>
      <c r="X662" s="20"/>
      <c r="Y662" s="20"/>
      <c r="Z662" s="20"/>
    </row>
    <row r="663" spans="14:26" ht="17.25" customHeight="1">
      <c r="N663" s="47"/>
      <c r="O663" s="20"/>
      <c r="P663" s="20"/>
      <c r="Q663" s="20"/>
      <c r="R663" s="20"/>
      <c r="S663" s="20"/>
      <c r="T663" s="20"/>
      <c r="U663" s="20"/>
      <c r="V663" s="20"/>
      <c r="W663" s="20"/>
      <c r="X663" s="20"/>
      <c r="Y663" s="20"/>
      <c r="Z663" s="20"/>
    </row>
    <row r="664" spans="14:26" ht="17.25" customHeight="1">
      <c r="N664" s="47"/>
      <c r="O664" s="20"/>
      <c r="P664" s="20"/>
      <c r="Q664" s="20"/>
      <c r="R664" s="20"/>
      <c r="S664" s="20"/>
      <c r="T664" s="20"/>
      <c r="U664" s="20"/>
      <c r="V664" s="20"/>
      <c r="W664" s="20"/>
      <c r="X664" s="20"/>
      <c r="Y664" s="20"/>
      <c r="Z664" s="20"/>
    </row>
    <row r="665" spans="14:26" ht="17.25" customHeight="1">
      <c r="N665" s="47"/>
      <c r="O665" s="20"/>
      <c r="P665" s="20"/>
      <c r="Q665" s="20"/>
      <c r="R665" s="20"/>
      <c r="S665" s="20"/>
      <c r="T665" s="20"/>
      <c r="U665" s="20"/>
      <c r="V665" s="20"/>
      <c r="W665" s="20"/>
      <c r="X665" s="20"/>
      <c r="Y665" s="20"/>
      <c r="Z665" s="20"/>
    </row>
    <row r="666" spans="14:26" ht="17.25" customHeight="1">
      <c r="N666" s="47"/>
      <c r="O666" s="20"/>
      <c r="P666" s="20"/>
      <c r="Q666" s="20"/>
      <c r="R666" s="20"/>
      <c r="S666" s="20"/>
      <c r="T666" s="20"/>
      <c r="U666" s="20"/>
      <c r="V666" s="20"/>
      <c r="W666" s="20"/>
      <c r="X666" s="20"/>
      <c r="Y666" s="20"/>
      <c r="Z666" s="20"/>
    </row>
    <row r="667" spans="14:26" ht="17.25" customHeight="1">
      <c r="N667" s="47"/>
      <c r="O667" s="20"/>
      <c r="P667" s="20"/>
      <c r="Q667" s="20"/>
      <c r="R667" s="20"/>
      <c r="S667" s="20"/>
      <c r="T667" s="20"/>
      <c r="U667" s="20"/>
      <c r="V667" s="20"/>
      <c r="W667" s="20"/>
      <c r="X667" s="20"/>
      <c r="Y667" s="20"/>
      <c r="Z667" s="20"/>
    </row>
    <row r="668" spans="14:26" ht="17.25" customHeight="1">
      <c r="N668" s="47"/>
      <c r="O668" s="20"/>
      <c r="P668" s="20"/>
      <c r="Q668" s="20"/>
      <c r="R668" s="20"/>
      <c r="S668" s="20"/>
      <c r="T668" s="20"/>
      <c r="U668" s="20"/>
      <c r="V668" s="20"/>
      <c r="W668" s="20"/>
      <c r="X668" s="20"/>
      <c r="Y668" s="20"/>
      <c r="Z668" s="20"/>
    </row>
    <row r="669" spans="14:26" ht="17.25" customHeight="1">
      <c r="N669" s="47"/>
      <c r="O669" s="20"/>
      <c r="P669" s="20"/>
      <c r="Q669" s="20"/>
      <c r="R669" s="20"/>
      <c r="S669" s="20"/>
      <c r="T669" s="20"/>
      <c r="U669" s="20"/>
      <c r="V669" s="20"/>
      <c r="W669" s="20"/>
      <c r="X669" s="20"/>
      <c r="Y669" s="20"/>
      <c r="Z669" s="20"/>
    </row>
    <row r="670" spans="14:26" ht="17.25" customHeight="1">
      <c r="N670" s="47"/>
      <c r="O670" s="20"/>
      <c r="P670" s="20"/>
      <c r="Q670" s="20"/>
      <c r="R670" s="20"/>
      <c r="S670" s="20"/>
      <c r="T670" s="20"/>
      <c r="U670" s="20"/>
      <c r="V670" s="20"/>
      <c r="W670" s="20"/>
      <c r="X670" s="20"/>
      <c r="Y670" s="20"/>
      <c r="Z670" s="20"/>
    </row>
    <row r="671" spans="14:26" ht="17.25" customHeight="1">
      <c r="N671" s="47"/>
      <c r="O671" s="20"/>
      <c r="P671" s="20"/>
      <c r="Q671" s="20"/>
      <c r="R671" s="20"/>
      <c r="S671" s="20"/>
      <c r="T671" s="20"/>
      <c r="U671" s="20"/>
      <c r="V671" s="20"/>
      <c r="W671" s="20"/>
      <c r="X671" s="20"/>
      <c r="Y671" s="20"/>
      <c r="Z671" s="20"/>
    </row>
    <row r="672" spans="14:26" ht="17.25" customHeight="1">
      <c r="N672" s="47"/>
      <c r="O672" s="20"/>
      <c r="P672" s="20"/>
      <c r="Q672" s="20"/>
      <c r="R672" s="20"/>
      <c r="S672" s="20"/>
      <c r="T672" s="20"/>
      <c r="U672" s="20"/>
      <c r="V672" s="20"/>
      <c r="W672" s="20"/>
      <c r="X672" s="20"/>
      <c r="Y672" s="20"/>
      <c r="Z672" s="20"/>
    </row>
    <row r="673" spans="14:26" ht="17.25" customHeight="1">
      <c r="N673" s="47"/>
      <c r="O673" s="20"/>
      <c r="P673" s="20"/>
      <c r="Q673" s="20"/>
      <c r="R673" s="20"/>
      <c r="S673" s="20"/>
      <c r="T673" s="20"/>
      <c r="U673" s="20"/>
      <c r="V673" s="20"/>
      <c r="W673" s="20"/>
      <c r="X673" s="20"/>
      <c r="Y673" s="20"/>
      <c r="Z673" s="20"/>
    </row>
    <row r="674" spans="14:26" ht="17.25" customHeight="1">
      <c r="N674" s="47"/>
      <c r="O674" s="20"/>
      <c r="P674" s="20"/>
      <c r="Q674" s="20"/>
      <c r="R674" s="20"/>
      <c r="S674" s="20"/>
      <c r="T674" s="20"/>
      <c r="U674" s="20"/>
      <c r="V674" s="20"/>
      <c r="W674" s="20"/>
      <c r="X674" s="20"/>
      <c r="Y674" s="20"/>
      <c r="Z674" s="20"/>
    </row>
    <row r="675" spans="14:26" ht="17.25" customHeight="1">
      <c r="N675" s="47"/>
      <c r="O675" s="20"/>
      <c r="P675" s="20"/>
      <c r="Q675" s="20"/>
      <c r="R675" s="20"/>
      <c r="S675" s="20"/>
      <c r="T675" s="20"/>
      <c r="U675" s="20"/>
      <c r="V675" s="20"/>
      <c r="W675" s="20"/>
      <c r="X675" s="20"/>
      <c r="Y675" s="20"/>
      <c r="Z675" s="20"/>
    </row>
    <row r="676" spans="14:26" ht="17.25" customHeight="1">
      <c r="N676" s="47"/>
      <c r="O676" s="20"/>
      <c r="P676" s="20"/>
      <c r="Q676" s="20"/>
      <c r="R676" s="20"/>
      <c r="S676" s="20"/>
      <c r="T676" s="20"/>
      <c r="U676" s="20"/>
      <c r="V676" s="20"/>
      <c r="W676" s="20"/>
      <c r="X676" s="20"/>
      <c r="Y676" s="20"/>
      <c r="Z676" s="20"/>
    </row>
    <row r="677" spans="14:26" ht="17.25" customHeight="1">
      <c r="N677" s="47"/>
      <c r="O677" s="20"/>
      <c r="P677" s="20"/>
      <c r="Q677" s="20"/>
      <c r="R677" s="20"/>
      <c r="S677" s="20"/>
      <c r="T677" s="20"/>
      <c r="U677" s="20"/>
      <c r="V677" s="20"/>
      <c r="W677" s="20"/>
      <c r="X677" s="20"/>
      <c r="Y677" s="20"/>
      <c r="Z677" s="20"/>
    </row>
    <row r="678" spans="14:26" ht="17.25" customHeight="1">
      <c r="N678" s="47"/>
      <c r="O678" s="20"/>
      <c r="P678" s="20"/>
      <c r="Q678" s="20"/>
      <c r="R678" s="20"/>
      <c r="S678" s="20"/>
      <c r="T678" s="20"/>
      <c r="U678" s="20"/>
      <c r="V678" s="20"/>
      <c r="W678" s="20"/>
      <c r="X678" s="20"/>
      <c r="Y678" s="20"/>
      <c r="Z678" s="20"/>
    </row>
    <row r="679" spans="14:26" ht="17.25" customHeight="1">
      <c r="N679" s="47"/>
      <c r="O679" s="20"/>
      <c r="P679" s="20"/>
      <c r="Q679" s="20"/>
      <c r="R679" s="20"/>
      <c r="S679" s="20"/>
      <c r="T679" s="20"/>
      <c r="U679" s="20"/>
      <c r="V679" s="20"/>
      <c r="W679" s="20"/>
      <c r="X679" s="20"/>
      <c r="Y679" s="20"/>
      <c r="Z679" s="20"/>
    </row>
    <row r="680" spans="14:26" ht="17.25" customHeight="1">
      <c r="N680" s="47"/>
      <c r="O680" s="20"/>
      <c r="P680" s="20"/>
      <c r="Q680" s="20"/>
      <c r="R680" s="20"/>
      <c r="S680" s="20"/>
      <c r="T680" s="20"/>
      <c r="U680" s="20"/>
      <c r="V680" s="20"/>
      <c r="W680" s="20"/>
      <c r="X680" s="20"/>
      <c r="Y680" s="20"/>
      <c r="Z680" s="20"/>
    </row>
    <row r="681" spans="14:26" ht="17.25" customHeight="1">
      <c r="N681" s="47"/>
      <c r="O681" s="20"/>
      <c r="P681" s="20"/>
      <c r="Q681" s="20"/>
      <c r="R681" s="20"/>
      <c r="S681" s="20"/>
      <c r="T681" s="20"/>
      <c r="U681" s="20"/>
      <c r="V681" s="20"/>
      <c r="W681" s="20"/>
      <c r="X681" s="20"/>
      <c r="Y681" s="20"/>
      <c r="Z681" s="20"/>
    </row>
    <row r="682" spans="14:26" ht="17.25" customHeight="1">
      <c r="N682" s="47"/>
      <c r="O682" s="20"/>
      <c r="P682" s="20"/>
      <c r="Q682" s="20"/>
      <c r="R682" s="20"/>
      <c r="S682" s="20"/>
      <c r="T682" s="20"/>
      <c r="U682" s="20"/>
      <c r="V682" s="20"/>
      <c r="W682" s="20"/>
      <c r="X682" s="20"/>
      <c r="Y682" s="20"/>
      <c r="Z682" s="20"/>
    </row>
    <row r="683" spans="14:26" ht="17.25" customHeight="1">
      <c r="N683" s="47"/>
      <c r="O683" s="20"/>
      <c r="P683" s="20"/>
      <c r="Q683" s="20"/>
      <c r="R683" s="20"/>
      <c r="S683" s="20"/>
      <c r="T683" s="20"/>
      <c r="U683" s="20"/>
      <c r="V683" s="20"/>
      <c r="W683" s="20"/>
      <c r="X683" s="20"/>
      <c r="Y683" s="20"/>
      <c r="Z683" s="20"/>
    </row>
    <row r="684" spans="14:26" ht="17.25" customHeight="1">
      <c r="N684" s="47"/>
      <c r="O684" s="20"/>
      <c r="P684" s="20"/>
      <c r="Q684" s="20"/>
      <c r="R684" s="20"/>
      <c r="S684" s="20"/>
      <c r="T684" s="20"/>
      <c r="U684" s="20"/>
      <c r="V684" s="20"/>
      <c r="W684" s="20"/>
      <c r="X684" s="20"/>
      <c r="Y684" s="20"/>
      <c r="Z684" s="20"/>
    </row>
    <row r="685" spans="14:26" ht="17.25" customHeight="1">
      <c r="N685" s="47"/>
      <c r="O685" s="20"/>
      <c r="P685" s="20"/>
      <c r="Q685" s="20"/>
      <c r="R685" s="20"/>
      <c r="S685" s="20"/>
      <c r="T685" s="20"/>
      <c r="U685" s="20"/>
      <c r="V685" s="20"/>
      <c r="W685" s="20"/>
      <c r="X685" s="20"/>
      <c r="Y685" s="20"/>
      <c r="Z685" s="20"/>
    </row>
    <row r="686" spans="14:26" ht="17.25" customHeight="1">
      <c r="N686" s="47"/>
      <c r="O686" s="20"/>
      <c r="P686" s="20"/>
      <c r="Q686" s="20"/>
      <c r="R686" s="20"/>
      <c r="S686" s="20"/>
      <c r="T686" s="20"/>
      <c r="U686" s="20"/>
      <c r="V686" s="20"/>
      <c r="W686" s="20"/>
      <c r="X686" s="20"/>
      <c r="Y686" s="20"/>
      <c r="Z686" s="20"/>
    </row>
    <row r="687" spans="14:26" ht="17.25" customHeight="1">
      <c r="N687" s="47"/>
      <c r="O687" s="20"/>
      <c r="P687" s="20"/>
      <c r="Q687" s="20"/>
      <c r="R687" s="20"/>
      <c r="S687" s="20"/>
      <c r="T687" s="20"/>
      <c r="U687" s="20"/>
      <c r="V687" s="20"/>
      <c r="W687" s="20"/>
      <c r="X687" s="20"/>
      <c r="Y687" s="20"/>
      <c r="Z687" s="20"/>
    </row>
    <row r="688" spans="14:26" ht="17.25" customHeight="1">
      <c r="N688" s="47"/>
      <c r="O688" s="20"/>
      <c r="P688" s="20"/>
      <c r="Q688" s="20"/>
      <c r="R688" s="20"/>
      <c r="S688" s="20"/>
      <c r="T688" s="20"/>
      <c r="U688" s="20"/>
      <c r="V688" s="20"/>
      <c r="W688" s="20"/>
      <c r="X688" s="20"/>
      <c r="Y688" s="20"/>
      <c r="Z688" s="20"/>
    </row>
    <row r="689" spans="14:26" ht="17.25" customHeight="1">
      <c r="N689" s="47"/>
      <c r="O689" s="20"/>
      <c r="P689" s="20"/>
      <c r="Q689" s="20"/>
      <c r="R689" s="20"/>
      <c r="S689" s="20"/>
      <c r="T689" s="20"/>
      <c r="U689" s="20"/>
      <c r="V689" s="20"/>
      <c r="W689" s="20"/>
      <c r="X689" s="20"/>
      <c r="Y689" s="20"/>
      <c r="Z689" s="20"/>
    </row>
    <row r="690" spans="14:26" ht="17.25" customHeight="1">
      <c r="N690" s="47"/>
      <c r="O690" s="20"/>
      <c r="P690" s="20"/>
      <c r="Q690" s="20"/>
      <c r="R690" s="20"/>
      <c r="S690" s="20"/>
      <c r="T690" s="20"/>
      <c r="U690" s="20"/>
      <c r="V690" s="20"/>
      <c r="W690" s="20"/>
      <c r="X690" s="20"/>
      <c r="Y690" s="20"/>
      <c r="Z690" s="20"/>
    </row>
    <row r="691" spans="14:26" ht="17.25" customHeight="1">
      <c r="N691" s="47"/>
      <c r="O691" s="20"/>
      <c r="P691" s="20"/>
      <c r="Q691" s="20"/>
      <c r="R691" s="20"/>
      <c r="S691" s="20"/>
      <c r="T691" s="20"/>
      <c r="U691" s="20"/>
      <c r="V691" s="20"/>
      <c r="W691" s="20"/>
      <c r="X691" s="20"/>
      <c r="Y691" s="20"/>
      <c r="Z691" s="20"/>
    </row>
    <row r="692" spans="14:26" ht="17.25" customHeight="1">
      <c r="N692" s="47"/>
      <c r="O692" s="20"/>
      <c r="P692" s="20"/>
      <c r="Q692" s="20"/>
      <c r="R692" s="20"/>
      <c r="S692" s="20"/>
      <c r="T692" s="20"/>
      <c r="U692" s="20"/>
      <c r="V692" s="20"/>
      <c r="W692" s="20"/>
      <c r="X692" s="20"/>
      <c r="Y692" s="20"/>
      <c r="Z692" s="20"/>
    </row>
    <row r="693" spans="14:26" ht="17.25" customHeight="1">
      <c r="N693" s="47"/>
      <c r="O693" s="20"/>
      <c r="P693" s="20"/>
      <c r="Q693" s="20"/>
      <c r="R693" s="20"/>
      <c r="S693" s="20"/>
      <c r="T693" s="20"/>
      <c r="U693" s="20"/>
      <c r="V693" s="20"/>
      <c r="W693" s="20"/>
      <c r="X693" s="20"/>
      <c r="Y693" s="20"/>
      <c r="Z693" s="20"/>
    </row>
    <row r="694" spans="14:26" ht="17.25" customHeight="1">
      <c r="N694" s="47"/>
      <c r="O694" s="20"/>
      <c r="P694" s="20"/>
      <c r="Q694" s="20"/>
      <c r="R694" s="20"/>
      <c r="S694" s="20"/>
      <c r="T694" s="20"/>
      <c r="U694" s="20"/>
      <c r="V694" s="20"/>
      <c r="W694" s="20"/>
      <c r="X694" s="20"/>
      <c r="Y694" s="20"/>
      <c r="Z694" s="20"/>
    </row>
    <row r="695" spans="14:26" ht="17.25" customHeight="1">
      <c r="N695" s="47"/>
      <c r="O695" s="20"/>
      <c r="P695" s="20"/>
      <c r="Q695" s="20"/>
      <c r="R695" s="20"/>
      <c r="S695" s="20"/>
      <c r="T695" s="20"/>
      <c r="U695" s="20"/>
      <c r="V695" s="20"/>
      <c r="W695" s="20"/>
      <c r="X695" s="20"/>
      <c r="Y695" s="20"/>
      <c r="Z695" s="20"/>
    </row>
    <row r="696" spans="14:26" ht="17.25" customHeight="1">
      <c r="N696" s="47"/>
      <c r="O696" s="20"/>
      <c r="P696" s="20"/>
      <c r="Q696" s="20"/>
      <c r="R696" s="20"/>
      <c r="S696" s="20"/>
      <c r="T696" s="20"/>
      <c r="U696" s="20"/>
      <c r="V696" s="20"/>
      <c r="W696" s="20"/>
      <c r="X696" s="20"/>
      <c r="Y696" s="20"/>
      <c r="Z696" s="20"/>
    </row>
    <row r="697" spans="14:26" ht="17.25" customHeight="1">
      <c r="N697" s="47"/>
      <c r="O697" s="20"/>
      <c r="P697" s="20"/>
      <c r="Q697" s="20"/>
      <c r="R697" s="20"/>
      <c r="S697" s="20"/>
      <c r="T697" s="20"/>
      <c r="U697" s="20"/>
      <c r="V697" s="20"/>
      <c r="W697" s="20"/>
      <c r="X697" s="20"/>
      <c r="Y697" s="20"/>
      <c r="Z697" s="20"/>
    </row>
    <row r="698" spans="14:26" ht="17.25" customHeight="1">
      <c r="N698" s="47"/>
      <c r="O698" s="20"/>
      <c r="P698" s="20"/>
      <c r="Q698" s="20"/>
      <c r="R698" s="20"/>
      <c r="S698" s="20"/>
      <c r="T698" s="20"/>
      <c r="U698" s="20"/>
      <c r="V698" s="20"/>
      <c r="W698" s="20"/>
      <c r="X698" s="20"/>
      <c r="Y698" s="20"/>
      <c r="Z698" s="20"/>
    </row>
    <row r="699" spans="14:26" ht="17.25" customHeight="1">
      <c r="N699" s="47"/>
      <c r="O699" s="20"/>
      <c r="P699" s="20"/>
      <c r="Q699" s="20"/>
      <c r="R699" s="20"/>
      <c r="S699" s="20"/>
      <c r="T699" s="20"/>
      <c r="U699" s="20"/>
      <c r="V699" s="20"/>
      <c r="W699" s="20"/>
      <c r="X699" s="20"/>
      <c r="Y699" s="20"/>
      <c r="Z699" s="20"/>
    </row>
    <row r="700" spans="14:26" ht="17.25" customHeight="1">
      <c r="N700" s="47"/>
      <c r="O700" s="20"/>
      <c r="P700" s="20"/>
      <c r="Q700" s="20"/>
      <c r="R700" s="20"/>
      <c r="S700" s="20"/>
      <c r="T700" s="20"/>
      <c r="U700" s="20"/>
      <c r="V700" s="20"/>
      <c r="W700" s="20"/>
      <c r="X700" s="20"/>
      <c r="Y700" s="20"/>
      <c r="Z700" s="20"/>
    </row>
    <row r="701" spans="14:26" ht="17.25" customHeight="1">
      <c r="N701" s="47"/>
      <c r="O701" s="20"/>
      <c r="P701" s="20"/>
      <c r="Q701" s="20"/>
      <c r="R701" s="20"/>
      <c r="S701" s="20"/>
      <c r="T701" s="20"/>
      <c r="U701" s="20"/>
      <c r="V701" s="20"/>
      <c r="W701" s="20"/>
      <c r="X701" s="20"/>
      <c r="Y701" s="20"/>
      <c r="Z701" s="20"/>
    </row>
    <row r="702" spans="14:26" ht="17.25" customHeight="1">
      <c r="N702" s="47"/>
      <c r="O702" s="20"/>
      <c r="P702" s="20"/>
      <c r="Q702" s="20"/>
      <c r="R702" s="20"/>
      <c r="S702" s="20"/>
      <c r="T702" s="20"/>
      <c r="U702" s="20"/>
      <c r="V702" s="20"/>
      <c r="W702" s="20"/>
      <c r="X702" s="20"/>
      <c r="Y702" s="20"/>
      <c r="Z702" s="20"/>
    </row>
    <row r="703" spans="14:26" ht="17.25" customHeight="1">
      <c r="N703" s="47"/>
      <c r="O703" s="20"/>
      <c r="P703" s="20"/>
      <c r="Q703" s="20"/>
      <c r="R703" s="20"/>
      <c r="S703" s="20"/>
      <c r="T703" s="20"/>
      <c r="U703" s="20"/>
      <c r="V703" s="20"/>
      <c r="W703" s="20"/>
      <c r="X703" s="20"/>
      <c r="Y703" s="20"/>
      <c r="Z703" s="20"/>
    </row>
    <row r="704" spans="14:26" ht="17.25" customHeight="1">
      <c r="N704" s="47"/>
      <c r="O704" s="20"/>
      <c r="P704" s="20"/>
      <c r="Q704" s="20"/>
      <c r="R704" s="20"/>
      <c r="S704" s="20"/>
      <c r="T704" s="20"/>
      <c r="U704" s="20"/>
      <c r="V704" s="20"/>
      <c r="W704" s="20"/>
      <c r="X704" s="20"/>
      <c r="Y704" s="20"/>
      <c r="Z704" s="20"/>
    </row>
    <row r="705" spans="14:26" ht="17.25" customHeight="1">
      <c r="N705" s="47"/>
      <c r="O705" s="20"/>
      <c r="P705" s="20"/>
      <c r="Q705" s="20"/>
      <c r="R705" s="20"/>
      <c r="S705" s="20"/>
      <c r="T705" s="20"/>
      <c r="U705" s="20"/>
      <c r="V705" s="20"/>
      <c r="W705" s="20"/>
      <c r="X705" s="20"/>
      <c r="Y705" s="20"/>
      <c r="Z705" s="20"/>
    </row>
    <row r="706" spans="14:26" ht="17.25" customHeight="1">
      <c r="N706" s="47"/>
      <c r="O706" s="20"/>
      <c r="P706" s="20"/>
      <c r="Q706" s="20"/>
      <c r="R706" s="20"/>
      <c r="S706" s="20"/>
      <c r="T706" s="20"/>
      <c r="U706" s="20"/>
      <c r="V706" s="20"/>
      <c r="W706" s="20"/>
      <c r="X706" s="20"/>
      <c r="Y706" s="20"/>
      <c r="Z706" s="20"/>
    </row>
    <row r="707" spans="14:26" ht="17.25" customHeight="1">
      <c r="N707" s="47"/>
      <c r="O707" s="20"/>
      <c r="P707" s="20"/>
      <c r="Q707" s="20"/>
      <c r="R707" s="20"/>
      <c r="S707" s="20"/>
      <c r="T707" s="20"/>
      <c r="U707" s="20"/>
      <c r="V707" s="20"/>
      <c r="W707" s="20"/>
      <c r="X707" s="20"/>
      <c r="Y707" s="20"/>
      <c r="Z707" s="20"/>
    </row>
    <row r="708" spans="14:26" ht="17.25" customHeight="1">
      <c r="N708" s="47"/>
      <c r="O708" s="20"/>
      <c r="P708" s="20"/>
      <c r="Q708" s="20"/>
      <c r="R708" s="20"/>
      <c r="S708" s="20"/>
      <c r="T708" s="20"/>
      <c r="U708" s="20"/>
      <c r="V708" s="20"/>
      <c r="W708" s="20"/>
      <c r="X708" s="20"/>
      <c r="Y708" s="20"/>
      <c r="Z708" s="20"/>
    </row>
    <row r="709" spans="14:26" ht="17.25" customHeight="1">
      <c r="N709" s="47"/>
      <c r="O709" s="20"/>
      <c r="P709" s="20"/>
      <c r="Q709" s="20"/>
      <c r="R709" s="20"/>
      <c r="S709" s="20"/>
      <c r="T709" s="20"/>
      <c r="U709" s="20"/>
      <c r="V709" s="20"/>
      <c r="W709" s="20"/>
      <c r="X709" s="20"/>
      <c r="Y709" s="20"/>
      <c r="Z709" s="20"/>
    </row>
    <row r="710" spans="14:26" ht="17.25" customHeight="1">
      <c r="N710" s="47"/>
      <c r="O710" s="20"/>
      <c r="P710" s="20"/>
      <c r="Q710" s="20"/>
      <c r="R710" s="20"/>
      <c r="S710" s="20"/>
      <c r="T710" s="20"/>
      <c r="U710" s="20"/>
      <c r="V710" s="20"/>
      <c r="W710" s="20"/>
      <c r="X710" s="20"/>
      <c r="Y710" s="20"/>
      <c r="Z710" s="20"/>
    </row>
    <row r="711" spans="14:26" ht="17.25" customHeight="1">
      <c r="N711" s="47"/>
      <c r="O711" s="20"/>
      <c r="P711" s="20"/>
      <c r="Q711" s="20"/>
      <c r="R711" s="20"/>
      <c r="S711" s="20"/>
      <c r="T711" s="20"/>
      <c r="U711" s="20"/>
      <c r="V711" s="20"/>
      <c r="W711" s="20"/>
      <c r="X711" s="20"/>
      <c r="Y711" s="20"/>
      <c r="Z711" s="20"/>
    </row>
    <row r="712" spans="14:26" ht="17.25" customHeight="1">
      <c r="N712" s="47"/>
      <c r="O712" s="20"/>
      <c r="P712" s="20"/>
      <c r="Q712" s="20"/>
      <c r="R712" s="20"/>
      <c r="S712" s="20"/>
      <c r="T712" s="20"/>
      <c r="U712" s="20"/>
      <c r="V712" s="20"/>
      <c r="W712" s="20"/>
      <c r="X712" s="20"/>
      <c r="Y712" s="20"/>
      <c r="Z712" s="20"/>
    </row>
    <row r="713" spans="14:26" ht="17.25" customHeight="1">
      <c r="N713" s="47"/>
      <c r="O713" s="20"/>
      <c r="P713" s="20"/>
      <c r="Q713" s="20"/>
      <c r="R713" s="20"/>
      <c r="S713" s="20"/>
      <c r="T713" s="20"/>
      <c r="U713" s="20"/>
      <c r="V713" s="20"/>
      <c r="W713" s="20"/>
      <c r="X713" s="20"/>
      <c r="Y713" s="20"/>
      <c r="Z713" s="20"/>
    </row>
    <row r="714" spans="14:26" ht="17.25" customHeight="1">
      <c r="N714" s="47"/>
      <c r="O714" s="20"/>
      <c r="P714" s="20"/>
      <c r="Q714" s="20"/>
      <c r="R714" s="20"/>
      <c r="S714" s="20"/>
      <c r="T714" s="20"/>
      <c r="U714" s="20"/>
      <c r="V714" s="20"/>
      <c r="W714" s="20"/>
      <c r="X714" s="20"/>
      <c r="Y714" s="20"/>
      <c r="Z714" s="20"/>
    </row>
    <row r="715" spans="14:26" ht="17.25" customHeight="1">
      <c r="N715" s="47"/>
      <c r="O715" s="20"/>
      <c r="P715" s="20"/>
      <c r="Q715" s="20"/>
      <c r="R715" s="20"/>
      <c r="S715" s="20"/>
      <c r="T715" s="20"/>
      <c r="U715" s="20"/>
      <c r="V715" s="20"/>
      <c r="W715" s="20"/>
      <c r="X715" s="20"/>
      <c r="Y715" s="20"/>
      <c r="Z715" s="20"/>
    </row>
    <row r="716" spans="14:26" ht="17.25" customHeight="1">
      <c r="N716" s="47"/>
      <c r="O716" s="20"/>
      <c r="P716" s="20"/>
      <c r="Q716" s="20"/>
      <c r="R716" s="20"/>
      <c r="S716" s="20"/>
      <c r="T716" s="20"/>
      <c r="U716" s="20"/>
      <c r="V716" s="20"/>
      <c r="W716" s="20"/>
      <c r="X716" s="20"/>
      <c r="Y716" s="20"/>
      <c r="Z716" s="20"/>
    </row>
    <row r="717" spans="14:26" ht="17.25" customHeight="1">
      <c r="N717" s="47"/>
      <c r="O717" s="20"/>
      <c r="P717" s="20"/>
      <c r="Q717" s="20"/>
      <c r="R717" s="20"/>
      <c r="S717" s="20"/>
      <c r="T717" s="20"/>
      <c r="U717" s="20"/>
      <c r="V717" s="20"/>
      <c r="W717" s="20"/>
      <c r="X717" s="20"/>
      <c r="Y717" s="20"/>
      <c r="Z717" s="20"/>
    </row>
    <row r="718" spans="14:26" ht="17.25" customHeight="1">
      <c r="N718" s="47"/>
      <c r="O718" s="20"/>
      <c r="P718" s="20"/>
      <c r="Q718" s="20"/>
      <c r="R718" s="20"/>
      <c r="S718" s="20"/>
      <c r="T718" s="20"/>
      <c r="U718" s="20"/>
      <c r="V718" s="20"/>
      <c r="W718" s="20"/>
      <c r="X718" s="20"/>
      <c r="Y718" s="20"/>
      <c r="Z718" s="20"/>
    </row>
    <row r="719" spans="14:26" ht="17.25" customHeight="1">
      <c r="N719" s="47"/>
      <c r="O719" s="20"/>
      <c r="P719" s="20"/>
      <c r="Q719" s="20"/>
      <c r="R719" s="20"/>
      <c r="S719" s="20"/>
      <c r="T719" s="20"/>
      <c r="U719" s="20"/>
      <c r="V719" s="20"/>
      <c r="W719" s="20"/>
      <c r="X719" s="20"/>
      <c r="Y719" s="20"/>
      <c r="Z719" s="20"/>
    </row>
    <row r="720" spans="14:26" ht="17.25" customHeight="1">
      <c r="N720" s="47"/>
      <c r="O720" s="20"/>
      <c r="P720" s="20"/>
      <c r="Q720" s="20"/>
      <c r="R720" s="20"/>
      <c r="S720" s="20"/>
      <c r="T720" s="20"/>
      <c r="U720" s="20"/>
      <c r="V720" s="20"/>
      <c r="W720" s="20"/>
      <c r="X720" s="20"/>
      <c r="Y720" s="20"/>
      <c r="Z720" s="20"/>
    </row>
    <row r="721" spans="14:26" ht="17.25" customHeight="1">
      <c r="N721" s="47"/>
      <c r="O721" s="20"/>
      <c r="P721" s="20"/>
      <c r="Q721" s="20"/>
      <c r="R721" s="20"/>
      <c r="S721" s="20"/>
      <c r="T721" s="20"/>
      <c r="U721" s="20"/>
      <c r="V721" s="20"/>
      <c r="W721" s="20"/>
      <c r="X721" s="20"/>
      <c r="Y721" s="20"/>
      <c r="Z721" s="20"/>
    </row>
    <row r="722" spans="14:26" ht="17.25" customHeight="1">
      <c r="N722" s="47"/>
      <c r="O722" s="20"/>
      <c r="P722" s="20"/>
      <c r="Q722" s="20"/>
      <c r="R722" s="20"/>
      <c r="S722" s="20"/>
      <c r="T722" s="20"/>
      <c r="U722" s="20"/>
      <c r="V722" s="20"/>
      <c r="W722" s="20"/>
      <c r="X722" s="20"/>
      <c r="Y722" s="20"/>
      <c r="Z722" s="20"/>
    </row>
    <row r="723" spans="14:26" ht="17.25" customHeight="1">
      <c r="N723" s="47"/>
      <c r="O723" s="20"/>
      <c r="P723" s="20"/>
      <c r="Q723" s="20"/>
      <c r="R723" s="20"/>
      <c r="S723" s="20"/>
      <c r="T723" s="20"/>
      <c r="U723" s="20"/>
      <c r="V723" s="20"/>
      <c r="W723" s="20"/>
      <c r="X723" s="20"/>
      <c r="Y723" s="20"/>
      <c r="Z723" s="20"/>
    </row>
    <row r="724" spans="14:26" ht="17.25" customHeight="1">
      <c r="N724" s="47"/>
      <c r="O724" s="20"/>
      <c r="P724" s="20"/>
      <c r="Q724" s="20"/>
      <c r="R724" s="20"/>
      <c r="S724" s="20"/>
      <c r="T724" s="20"/>
      <c r="U724" s="20"/>
      <c r="V724" s="20"/>
      <c r="W724" s="20"/>
      <c r="X724" s="20"/>
      <c r="Y724" s="20"/>
      <c r="Z724" s="20"/>
    </row>
    <row r="725" spans="14:26" ht="17.25" customHeight="1">
      <c r="N725" s="47"/>
      <c r="O725" s="20"/>
      <c r="P725" s="20"/>
      <c r="Q725" s="20"/>
      <c r="R725" s="20"/>
      <c r="S725" s="20"/>
      <c r="T725" s="20"/>
      <c r="U725" s="20"/>
      <c r="V725" s="20"/>
      <c r="W725" s="20"/>
      <c r="X725" s="20"/>
      <c r="Y725" s="20"/>
      <c r="Z725" s="20"/>
    </row>
    <row r="726" spans="14:26" ht="17.25" customHeight="1">
      <c r="N726" s="47"/>
      <c r="O726" s="20"/>
      <c r="P726" s="20"/>
      <c r="Q726" s="20"/>
      <c r="R726" s="20"/>
      <c r="S726" s="20"/>
      <c r="T726" s="20"/>
      <c r="U726" s="20"/>
      <c r="V726" s="20"/>
      <c r="W726" s="20"/>
      <c r="X726" s="20"/>
      <c r="Y726" s="20"/>
      <c r="Z726" s="20"/>
    </row>
    <row r="727" spans="14:26" ht="17.25" customHeight="1">
      <c r="N727" s="47"/>
      <c r="O727" s="20"/>
      <c r="P727" s="20"/>
      <c r="Q727" s="20"/>
      <c r="R727" s="20"/>
      <c r="S727" s="20"/>
      <c r="T727" s="20"/>
      <c r="U727" s="20"/>
      <c r="V727" s="20"/>
      <c r="W727" s="20"/>
      <c r="X727" s="20"/>
      <c r="Y727" s="20"/>
      <c r="Z727" s="20"/>
    </row>
    <row r="728" spans="14:26" ht="17.25" customHeight="1">
      <c r="N728" s="47"/>
      <c r="O728" s="20"/>
      <c r="P728" s="20"/>
      <c r="Q728" s="20"/>
      <c r="R728" s="20"/>
      <c r="S728" s="20"/>
      <c r="T728" s="20"/>
      <c r="U728" s="20"/>
      <c r="V728" s="20"/>
      <c r="W728" s="20"/>
      <c r="X728" s="20"/>
      <c r="Y728" s="20"/>
      <c r="Z728" s="20"/>
    </row>
    <row r="729" spans="14:26" ht="17.25" customHeight="1">
      <c r="N729" s="47"/>
      <c r="O729" s="20"/>
      <c r="P729" s="20"/>
      <c r="Q729" s="20"/>
      <c r="R729" s="20"/>
      <c r="S729" s="20"/>
      <c r="T729" s="20"/>
      <c r="U729" s="20"/>
      <c r="V729" s="20"/>
      <c r="W729" s="20"/>
      <c r="X729" s="20"/>
      <c r="Y729" s="20"/>
      <c r="Z729" s="20"/>
    </row>
    <row r="730" spans="14:26" ht="17.25" customHeight="1">
      <c r="N730" s="47"/>
      <c r="O730" s="20"/>
      <c r="P730" s="20"/>
      <c r="Q730" s="20"/>
      <c r="R730" s="20"/>
      <c r="S730" s="20"/>
      <c r="T730" s="20"/>
      <c r="U730" s="20"/>
      <c r="V730" s="20"/>
      <c r="W730" s="20"/>
      <c r="X730" s="20"/>
      <c r="Y730" s="20"/>
      <c r="Z730" s="20"/>
    </row>
    <row r="731" spans="14:26" ht="17.25" customHeight="1">
      <c r="N731" s="47"/>
      <c r="O731" s="20"/>
      <c r="P731" s="20"/>
      <c r="Q731" s="20"/>
      <c r="R731" s="20"/>
      <c r="S731" s="20"/>
      <c r="T731" s="20"/>
      <c r="U731" s="20"/>
      <c r="V731" s="20"/>
      <c r="W731" s="20"/>
      <c r="X731" s="20"/>
      <c r="Y731" s="20"/>
      <c r="Z731" s="20"/>
    </row>
    <row r="732" spans="14:26" ht="17.25" customHeight="1">
      <c r="N732" s="47"/>
      <c r="O732" s="20"/>
      <c r="P732" s="20"/>
      <c r="Q732" s="20"/>
      <c r="R732" s="20"/>
      <c r="S732" s="20"/>
      <c r="T732" s="20"/>
      <c r="U732" s="20"/>
      <c r="V732" s="20"/>
      <c r="W732" s="20"/>
      <c r="X732" s="20"/>
      <c r="Y732" s="20"/>
      <c r="Z732" s="20"/>
    </row>
    <row r="733" spans="14:26" ht="17.25" customHeight="1">
      <c r="N733" s="47"/>
      <c r="O733" s="20"/>
      <c r="P733" s="20"/>
      <c r="Q733" s="20"/>
      <c r="R733" s="20"/>
      <c r="S733" s="20"/>
      <c r="T733" s="20"/>
      <c r="U733" s="20"/>
      <c r="V733" s="20"/>
      <c r="W733" s="20"/>
      <c r="X733" s="20"/>
      <c r="Y733" s="20"/>
      <c r="Z733" s="20"/>
    </row>
    <row r="734" spans="14:26" ht="17.25" customHeight="1">
      <c r="N734" s="47"/>
      <c r="O734" s="20"/>
      <c r="P734" s="20"/>
      <c r="Q734" s="20"/>
      <c r="R734" s="20"/>
      <c r="S734" s="20"/>
      <c r="T734" s="20"/>
      <c r="U734" s="20"/>
      <c r="V734" s="20"/>
      <c r="W734" s="20"/>
      <c r="X734" s="20"/>
      <c r="Y734" s="20"/>
      <c r="Z734" s="20"/>
    </row>
    <row r="735" spans="14:26" ht="17.25" customHeight="1">
      <c r="N735" s="47"/>
      <c r="O735" s="20"/>
      <c r="P735" s="20"/>
      <c r="Q735" s="20"/>
      <c r="R735" s="20"/>
      <c r="S735" s="20"/>
      <c r="T735" s="20"/>
      <c r="U735" s="20"/>
      <c r="V735" s="20"/>
      <c r="W735" s="20"/>
      <c r="X735" s="20"/>
      <c r="Y735" s="20"/>
      <c r="Z735" s="20"/>
    </row>
    <row r="736" spans="14:26" ht="17.25" customHeight="1">
      <c r="N736" s="47"/>
      <c r="O736" s="20"/>
      <c r="P736" s="20"/>
      <c r="Q736" s="20"/>
      <c r="R736" s="20"/>
      <c r="S736" s="20"/>
      <c r="T736" s="20"/>
      <c r="U736" s="20"/>
      <c r="V736" s="20"/>
      <c r="W736" s="20"/>
      <c r="X736" s="20"/>
      <c r="Y736" s="20"/>
      <c r="Z736" s="20"/>
    </row>
    <row r="737" spans="14:26" ht="17.25" customHeight="1">
      <c r="N737" s="47"/>
      <c r="O737" s="20"/>
      <c r="P737" s="20"/>
      <c r="Q737" s="20"/>
      <c r="R737" s="20"/>
      <c r="S737" s="20"/>
      <c r="T737" s="20"/>
      <c r="U737" s="20"/>
      <c r="V737" s="20"/>
      <c r="W737" s="20"/>
      <c r="X737" s="20"/>
      <c r="Y737" s="20"/>
      <c r="Z737" s="20"/>
    </row>
    <row r="738" spans="14:26" ht="17.25" customHeight="1">
      <c r="N738" s="47"/>
      <c r="O738" s="20"/>
      <c r="P738" s="20"/>
      <c r="Q738" s="20"/>
      <c r="R738" s="20"/>
      <c r="S738" s="20"/>
      <c r="T738" s="20"/>
      <c r="U738" s="20"/>
      <c r="V738" s="20"/>
      <c r="W738" s="20"/>
      <c r="X738" s="20"/>
      <c r="Y738" s="20"/>
      <c r="Z738" s="20"/>
    </row>
    <row r="739" spans="14:26" ht="17.25" customHeight="1">
      <c r="N739" s="47"/>
      <c r="O739" s="20"/>
      <c r="P739" s="20"/>
      <c r="Q739" s="20"/>
      <c r="R739" s="20"/>
      <c r="S739" s="20"/>
      <c r="T739" s="20"/>
      <c r="U739" s="20"/>
      <c r="V739" s="20"/>
      <c r="W739" s="20"/>
      <c r="X739" s="20"/>
      <c r="Y739" s="20"/>
      <c r="Z739" s="20"/>
    </row>
    <row r="740" spans="14:26" ht="17.25" customHeight="1">
      <c r="N740" s="47"/>
      <c r="O740" s="20"/>
      <c r="P740" s="20"/>
      <c r="Q740" s="20"/>
      <c r="R740" s="20"/>
      <c r="S740" s="20"/>
      <c r="T740" s="20"/>
      <c r="U740" s="20"/>
      <c r="V740" s="20"/>
      <c r="W740" s="20"/>
      <c r="X740" s="20"/>
      <c r="Y740" s="20"/>
      <c r="Z740" s="20"/>
    </row>
    <row r="741" spans="14:26" ht="17.25" customHeight="1">
      <c r="N741" s="47"/>
      <c r="O741" s="20"/>
      <c r="P741" s="20"/>
      <c r="Q741" s="20"/>
      <c r="R741" s="20"/>
      <c r="S741" s="20"/>
      <c r="T741" s="20"/>
      <c r="U741" s="20"/>
      <c r="V741" s="20"/>
      <c r="W741" s="20"/>
      <c r="X741" s="20"/>
      <c r="Y741" s="20"/>
      <c r="Z741" s="20"/>
    </row>
    <row r="742" spans="14:26" ht="17.25" customHeight="1">
      <c r="N742" s="47"/>
      <c r="O742" s="20"/>
      <c r="P742" s="20"/>
      <c r="Q742" s="20"/>
      <c r="R742" s="20"/>
      <c r="S742" s="20"/>
      <c r="T742" s="20"/>
      <c r="U742" s="20"/>
      <c r="V742" s="20"/>
      <c r="W742" s="20"/>
      <c r="X742" s="20"/>
      <c r="Y742" s="20"/>
      <c r="Z742" s="20"/>
    </row>
    <row r="743" spans="14:26" ht="17.25" customHeight="1">
      <c r="N743" s="47"/>
      <c r="O743" s="20"/>
      <c r="P743" s="20"/>
      <c r="Q743" s="20"/>
      <c r="R743" s="20"/>
      <c r="S743" s="20"/>
      <c r="T743" s="20"/>
      <c r="U743" s="20"/>
      <c r="V743" s="20"/>
      <c r="W743" s="20"/>
      <c r="X743" s="20"/>
      <c r="Y743" s="20"/>
      <c r="Z743" s="20"/>
    </row>
    <row r="744" spans="14:26" ht="17.25" customHeight="1">
      <c r="N744" s="47"/>
      <c r="O744" s="20"/>
      <c r="P744" s="20"/>
      <c r="Q744" s="20"/>
      <c r="R744" s="20"/>
      <c r="S744" s="20"/>
      <c r="T744" s="20"/>
      <c r="U744" s="20"/>
      <c r="V744" s="20"/>
      <c r="W744" s="20"/>
      <c r="X744" s="20"/>
      <c r="Y744" s="20"/>
      <c r="Z744" s="20"/>
    </row>
    <row r="745" spans="14:26" ht="17.25" customHeight="1">
      <c r="N745" s="47"/>
      <c r="O745" s="20"/>
      <c r="P745" s="20"/>
      <c r="Q745" s="20"/>
      <c r="R745" s="20"/>
      <c r="S745" s="20"/>
      <c r="T745" s="20"/>
      <c r="U745" s="20"/>
      <c r="V745" s="20"/>
      <c r="W745" s="20"/>
      <c r="X745" s="20"/>
      <c r="Y745" s="20"/>
      <c r="Z745" s="20"/>
    </row>
    <row r="746" spans="14:26" ht="17.25" customHeight="1">
      <c r="N746" s="47"/>
      <c r="O746" s="20"/>
      <c r="P746" s="20"/>
      <c r="Q746" s="20"/>
      <c r="R746" s="20"/>
      <c r="S746" s="20"/>
      <c r="T746" s="20"/>
      <c r="U746" s="20"/>
      <c r="V746" s="20"/>
      <c r="W746" s="20"/>
      <c r="X746" s="20"/>
      <c r="Y746" s="20"/>
      <c r="Z746" s="20"/>
    </row>
    <row r="747" spans="14:26" ht="17.25" customHeight="1">
      <c r="N747" s="47"/>
      <c r="O747" s="20"/>
      <c r="P747" s="20"/>
      <c r="Q747" s="20"/>
      <c r="R747" s="20"/>
      <c r="S747" s="20"/>
      <c r="T747" s="20"/>
      <c r="U747" s="20"/>
      <c r="V747" s="20"/>
      <c r="W747" s="20"/>
      <c r="X747" s="20"/>
      <c r="Y747" s="20"/>
      <c r="Z747" s="20"/>
    </row>
    <row r="748" spans="14:26" ht="17.25" customHeight="1">
      <c r="N748" s="47"/>
      <c r="O748" s="20"/>
      <c r="P748" s="20"/>
      <c r="Q748" s="20"/>
      <c r="R748" s="20"/>
      <c r="S748" s="20"/>
      <c r="T748" s="20"/>
      <c r="U748" s="20"/>
      <c r="V748" s="20"/>
      <c r="W748" s="20"/>
      <c r="X748" s="20"/>
      <c r="Y748" s="20"/>
      <c r="Z748" s="20"/>
    </row>
    <row r="749" spans="14:26" ht="17.25" customHeight="1">
      <c r="N749" s="47"/>
      <c r="O749" s="20"/>
      <c r="P749" s="20"/>
      <c r="Q749" s="20"/>
      <c r="R749" s="20"/>
      <c r="S749" s="20"/>
      <c r="T749" s="20"/>
      <c r="U749" s="20"/>
      <c r="V749" s="20"/>
      <c r="W749" s="20"/>
      <c r="X749" s="20"/>
      <c r="Y749" s="20"/>
      <c r="Z749" s="20"/>
    </row>
    <row r="750" spans="14:26" ht="17.25" customHeight="1">
      <c r="N750" s="47"/>
      <c r="O750" s="20"/>
      <c r="P750" s="20"/>
      <c r="Q750" s="20"/>
      <c r="R750" s="20"/>
      <c r="S750" s="20"/>
      <c r="T750" s="20"/>
      <c r="U750" s="20"/>
      <c r="V750" s="20"/>
      <c r="W750" s="20"/>
      <c r="X750" s="20"/>
      <c r="Y750" s="20"/>
      <c r="Z750" s="20"/>
    </row>
    <row r="751" spans="14:26" ht="17.25" customHeight="1">
      <c r="N751" s="47"/>
      <c r="O751" s="20"/>
      <c r="P751" s="20"/>
      <c r="Q751" s="20"/>
      <c r="R751" s="20"/>
      <c r="S751" s="20"/>
      <c r="T751" s="20"/>
      <c r="U751" s="20"/>
      <c r="V751" s="20"/>
      <c r="W751" s="20"/>
      <c r="X751" s="20"/>
      <c r="Y751" s="20"/>
      <c r="Z751" s="20"/>
    </row>
    <row r="752" spans="14:26" ht="17.25" customHeight="1">
      <c r="N752" s="47"/>
      <c r="O752" s="20"/>
      <c r="P752" s="20"/>
      <c r="Q752" s="20"/>
      <c r="R752" s="20"/>
      <c r="S752" s="20"/>
      <c r="T752" s="20"/>
      <c r="U752" s="20"/>
      <c r="V752" s="20"/>
      <c r="W752" s="20"/>
      <c r="X752" s="20"/>
      <c r="Y752" s="20"/>
      <c r="Z752" s="20"/>
    </row>
    <row r="753" spans="14:26" ht="17.25" customHeight="1">
      <c r="N753" s="47"/>
      <c r="O753" s="20"/>
      <c r="P753" s="20"/>
      <c r="Q753" s="20"/>
      <c r="R753" s="20"/>
      <c r="S753" s="20"/>
      <c r="T753" s="20"/>
      <c r="U753" s="20"/>
      <c r="V753" s="20"/>
      <c r="W753" s="20"/>
      <c r="X753" s="20"/>
      <c r="Y753" s="20"/>
      <c r="Z753" s="20"/>
    </row>
    <row r="754" spans="14:26" ht="17.25" customHeight="1">
      <c r="N754" s="47"/>
      <c r="O754" s="20"/>
      <c r="P754" s="20"/>
      <c r="Q754" s="20"/>
      <c r="R754" s="20"/>
      <c r="S754" s="20"/>
      <c r="T754" s="20"/>
      <c r="U754" s="20"/>
      <c r="V754" s="20"/>
      <c r="W754" s="20"/>
      <c r="X754" s="20"/>
      <c r="Y754" s="20"/>
      <c r="Z754" s="20"/>
    </row>
    <row r="755" spans="14:26" ht="17.25" customHeight="1">
      <c r="N755" s="47"/>
      <c r="O755" s="20"/>
      <c r="P755" s="20"/>
      <c r="Q755" s="20"/>
      <c r="R755" s="20"/>
      <c r="S755" s="20"/>
      <c r="T755" s="20"/>
      <c r="U755" s="20"/>
      <c r="V755" s="20"/>
      <c r="W755" s="20"/>
      <c r="X755" s="20"/>
      <c r="Y755" s="20"/>
      <c r="Z755" s="20"/>
    </row>
    <row r="756" spans="14:26" ht="17.25" customHeight="1">
      <c r="N756" s="47"/>
      <c r="O756" s="20"/>
      <c r="P756" s="20"/>
      <c r="Q756" s="20"/>
      <c r="R756" s="20"/>
      <c r="S756" s="20"/>
      <c r="T756" s="20"/>
      <c r="U756" s="20"/>
      <c r="V756" s="20"/>
      <c r="W756" s="20"/>
      <c r="X756" s="20"/>
      <c r="Y756" s="20"/>
      <c r="Z756" s="20"/>
    </row>
    <row r="757" spans="14:26" ht="17.25" customHeight="1">
      <c r="N757" s="47"/>
      <c r="O757" s="20"/>
      <c r="P757" s="20"/>
      <c r="Q757" s="20"/>
      <c r="R757" s="20"/>
      <c r="S757" s="20"/>
      <c r="T757" s="20"/>
      <c r="U757" s="20"/>
      <c r="V757" s="20"/>
      <c r="W757" s="20"/>
      <c r="X757" s="20"/>
      <c r="Y757" s="20"/>
      <c r="Z757" s="20"/>
    </row>
    <row r="758" spans="14:26" ht="17.25" customHeight="1">
      <c r="N758" s="47"/>
      <c r="O758" s="20"/>
      <c r="P758" s="20"/>
      <c r="Q758" s="20"/>
      <c r="R758" s="20"/>
      <c r="S758" s="20"/>
      <c r="T758" s="20"/>
      <c r="U758" s="20"/>
      <c r="V758" s="20"/>
      <c r="W758" s="20"/>
      <c r="X758" s="20"/>
      <c r="Y758" s="20"/>
      <c r="Z758" s="20"/>
    </row>
    <row r="759" spans="14:26" ht="17.25" customHeight="1">
      <c r="N759" s="47"/>
      <c r="O759" s="20"/>
      <c r="P759" s="20"/>
      <c r="Q759" s="20"/>
      <c r="R759" s="20"/>
      <c r="S759" s="20"/>
      <c r="T759" s="20"/>
      <c r="U759" s="20"/>
      <c r="V759" s="20"/>
      <c r="W759" s="20"/>
      <c r="X759" s="20"/>
      <c r="Y759" s="20"/>
      <c r="Z759" s="20"/>
    </row>
    <row r="760" spans="14:26" ht="17.25" customHeight="1">
      <c r="N760" s="47"/>
      <c r="O760" s="20"/>
      <c r="P760" s="20"/>
      <c r="Q760" s="20"/>
      <c r="R760" s="20"/>
      <c r="S760" s="20"/>
      <c r="T760" s="20"/>
      <c r="U760" s="20"/>
      <c r="V760" s="20"/>
      <c r="W760" s="20"/>
      <c r="X760" s="20"/>
      <c r="Y760" s="20"/>
      <c r="Z760" s="20"/>
    </row>
    <row r="761" spans="14:26" ht="17.25" customHeight="1">
      <c r="N761" s="47"/>
      <c r="O761" s="20"/>
      <c r="P761" s="20"/>
      <c r="Q761" s="20"/>
      <c r="R761" s="20"/>
      <c r="S761" s="20"/>
      <c r="T761" s="20"/>
      <c r="U761" s="20"/>
      <c r="V761" s="20"/>
      <c r="W761" s="20"/>
      <c r="X761" s="20"/>
      <c r="Y761" s="20"/>
      <c r="Z761" s="20"/>
    </row>
    <row r="762" spans="14:26" ht="17.25" customHeight="1">
      <c r="N762" s="47"/>
      <c r="O762" s="20"/>
      <c r="P762" s="20"/>
      <c r="Q762" s="20"/>
      <c r="R762" s="20"/>
      <c r="S762" s="20"/>
      <c r="T762" s="20"/>
      <c r="U762" s="20"/>
      <c r="V762" s="20"/>
      <c r="W762" s="20"/>
      <c r="X762" s="20"/>
      <c r="Y762" s="20"/>
      <c r="Z762" s="20"/>
    </row>
    <row r="763" spans="14:26" ht="17.25" customHeight="1">
      <c r="N763" s="47"/>
      <c r="O763" s="20"/>
      <c r="P763" s="20"/>
      <c r="Q763" s="20"/>
      <c r="R763" s="20"/>
      <c r="S763" s="20"/>
      <c r="T763" s="20"/>
      <c r="U763" s="20"/>
      <c r="V763" s="20"/>
      <c r="W763" s="20"/>
      <c r="X763" s="20"/>
      <c r="Y763" s="20"/>
      <c r="Z763" s="20"/>
    </row>
    <row r="764" spans="14:26" ht="17.25" customHeight="1">
      <c r="N764" s="47"/>
      <c r="O764" s="20"/>
      <c r="P764" s="20"/>
      <c r="Q764" s="20"/>
      <c r="R764" s="20"/>
      <c r="S764" s="20"/>
      <c r="T764" s="20"/>
      <c r="U764" s="20"/>
      <c r="V764" s="20"/>
      <c r="W764" s="20"/>
      <c r="X764" s="20"/>
      <c r="Y764" s="20"/>
      <c r="Z764" s="20"/>
    </row>
    <row r="765" spans="14:26" ht="17.25" customHeight="1">
      <c r="N765" s="47"/>
      <c r="O765" s="20"/>
      <c r="P765" s="20"/>
      <c r="Q765" s="20"/>
      <c r="R765" s="20"/>
      <c r="S765" s="20"/>
      <c r="T765" s="20"/>
      <c r="U765" s="20"/>
      <c r="V765" s="20"/>
      <c r="W765" s="20"/>
      <c r="X765" s="20"/>
      <c r="Y765" s="20"/>
      <c r="Z765" s="20"/>
    </row>
    <row r="766" spans="14:26" ht="17.25" customHeight="1">
      <c r="N766" s="47"/>
      <c r="O766" s="20"/>
      <c r="P766" s="20"/>
      <c r="Q766" s="20"/>
      <c r="R766" s="20"/>
      <c r="S766" s="20"/>
      <c r="T766" s="20"/>
      <c r="U766" s="20"/>
      <c r="V766" s="20"/>
      <c r="W766" s="20"/>
      <c r="X766" s="20"/>
      <c r="Y766" s="20"/>
      <c r="Z766" s="20"/>
    </row>
    <row r="767" spans="14:26" ht="17.25" customHeight="1">
      <c r="N767" s="47"/>
      <c r="O767" s="20"/>
      <c r="P767" s="20"/>
      <c r="Q767" s="20"/>
      <c r="R767" s="20"/>
      <c r="S767" s="20"/>
      <c r="T767" s="20"/>
      <c r="U767" s="20"/>
      <c r="V767" s="20"/>
      <c r="W767" s="20"/>
      <c r="X767" s="20"/>
      <c r="Y767" s="20"/>
      <c r="Z767" s="20"/>
    </row>
    <row r="768" spans="14:26" ht="17.25" customHeight="1">
      <c r="N768" s="47"/>
      <c r="O768" s="20"/>
      <c r="P768" s="20"/>
      <c r="Q768" s="20"/>
      <c r="R768" s="20"/>
      <c r="S768" s="20"/>
      <c r="T768" s="20"/>
      <c r="U768" s="20"/>
      <c r="V768" s="20"/>
      <c r="W768" s="20"/>
      <c r="X768" s="20"/>
      <c r="Y768" s="20"/>
      <c r="Z768" s="20"/>
    </row>
    <row r="769" spans="14:26" ht="17.25" customHeight="1">
      <c r="N769" s="47"/>
      <c r="O769" s="20"/>
      <c r="P769" s="20"/>
      <c r="Q769" s="20"/>
      <c r="R769" s="20"/>
      <c r="S769" s="20"/>
      <c r="T769" s="20"/>
      <c r="U769" s="20"/>
      <c r="V769" s="20"/>
      <c r="W769" s="20"/>
      <c r="X769" s="20"/>
      <c r="Y769" s="20"/>
      <c r="Z769" s="20"/>
    </row>
    <row r="770" spans="14:26" ht="17.25" customHeight="1">
      <c r="N770" s="47"/>
      <c r="O770" s="20"/>
      <c r="P770" s="20"/>
      <c r="Q770" s="20"/>
      <c r="R770" s="20"/>
      <c r="S770" s="20"/>
      <c r="T770" s="20"/>
      <c r="U770" s="20"/>
      <c r="V770" s="20"/>
      <c r="W770" s="20"/>
      <c r="X770" s="20"/>
      <c r="Y770" s="20"/>
      <c r="Z770" s="20"/>
    </row>
    <row r="771" spans="14:26" ht="17.25" customHeight="1">
      <c r="N771" s="47"/>
      <c r="O771" s="20"/>
      <c r="P771" s="20"/>
      <c r="Q771" s="20"/>
      <c r="R771" s="20"/>
      <c r="S771" s="20"/>
      <c r="T771" s="20"/>
      <c r="U771" s="20"/>
      <c r="V771" s="20"/>
      <c r="W771" s="20"/>
      <c r="X771" s="20"/>
      <c r="Y771" s="20"/>
      <c r="Z771" s="20"/>
    </row>
    <row r="772" spans="14:26" ht="17.25" customHeight="1">
      <c r="N772" s="47"/>
      <c r="O772" s="20"/>
      <c r="P772" s="20"/>
      <c r="Q772" s="20"/>
      <c r="R772" s="20"/>
      <c r="S772" s="20"/>
      <c r="T772" s="20"/>
      <c r="U772" s="20"/>
      <c r="V772" s="20"/>
      <c r="W772" s="20"/>
      <c r="X772" s="20"/>
      <c r="Y772" s="20"/>
      <c r="Z772" s="20"/>
    </row>
    <row r="773" spans="14:26" ht="17.25" customHeight="1">
      <c r="N773" s="47"/>
      <c r="O773" s="20"/>
      <c r="P773" s="20"/>
      <c r="Q773" s="20"/>
      <c r="R773" s="20"/>
      <c r="S773" s="20"/>
      <c r="T773" s="20"/>
      <c r="U773" s="20"/>
      <c r="V773" s="20"/>
      <c r="W773" s="20"/>
      <c r="X773" s="20"/>
      <c r="Y773" s="20"/>
      <c r="Z773" s="20"/>
    </row>
    <row r="774" spans="14:26" ht="17.25" customHeight="1">
      <c r="N774" s="47"/>
      <c r="O774" s="20"/>
      <c r="P774" s="20"/>
      <c r="Q774" s="20"/>
      <c r="R774" s="20"/>
      <c r="S774" s="20"/>
      <c r="T774" s="20"/>
      <c r="U774" s="20"/>
      <c r="V774" s="20"/>
      <c r="W774" s="20"/>
      <c r="X774" s="20"/>
      <c r="Y774" s="20"/>
      <c r="Z774" s="20"/>
    </row>
    <row r="775" spans="14:26" ht="17.25" customHeight="1">
      <c r="N775" s="47"/>
      <c r="O775" s="20"/>
      <c r="P775" s="20"/>
      <c r="Q775" s="20"/>
      <c r="R775" s="20"/>
      <c r="S775" s="20"/>
      <c r="T775" s="20"/>
      <c r="U775" s="20"/>
      <c r="V775" s="20"/>
      <c r="W775" s="20"/>
      <c r="X775" s="20"/>
      <c r="Y775" s="20"/>
      <c r="Z775" s="20"/>
    </row>
    <row r="776" spans="14:26" ht="17.25" customHeight="1">
      <c r="N776" s="47"/>
      <c r="O776" s="20"/>
      <c r="P776" s="20"/>
      <c r="Q776" s="20"/>
      <c r="R776" s="20"/>
      <c r="S776" s="20"/>
      <c r="T776" s="20"/>
      <c r="U776" s="20"/>
      <c r="V776" s="20"/>
      <c r="W776" s="20"/>
      <c r="X776" s="20"/>
      <c r="Y776" s="20"/>
      <c r="Z776" s="20"/>
    </row>
    <row r="777" spans="14:26" ht="17.25" customHeight="1">
      <c r="N777" s="47"/>
      <c r="O777" s="20"/>
      <c r="P777" s="20"/>
      <c r="Q777" s="20"/>
      <c r="R777" s="20"/>
      <c r="S777" s="20"/>
      <c r="T777" s="20"/>
      <c r="U777" s="20"/>
      <c r="V777" s="20"/>
      <c r="W777" s="20"/>
      <c r="X777" s="20"/>
      <c r="Y777" s="20"/>
      <c r="Z777" s="20"/>
    </row>
    <row r="778" spans="14:26" ht="17.25" customHeight="1">
      <c r="N778" s="47"/>
      <c r="O778" s="20"/>
      <c r="P778" s="20"/>
      <c r="Q778" s="20"/>
      <c r="R778" s="20"/>
      <c r="S778" s="20"/>
      <c r="T778" s="20"/>
      <c r="U778" s="20"/>
      <c r="V778" s="20"/>
      <c r="W778" s="20"/>
      <c r="X778" s="20"/>
      <c r="Y778" s="20"/>
      <c r="Z778" s="20"/>
    </row>
    <row r="779" spans="14:26" ht="17.25" customHeight="1">
      <c r="N779" s="47"/>
      <c r="O779" s="20"/>
      <c r="P779" s="20"/>
      <c r="Q779" s="20"/>
      <c r="R779" s="20"/>
      <c r="S779" s="20"/>
      <c r="T779" s="20"/>
      <c r="U779" s="20"/>
      <c r="V779" s="20"/>
      <c r="W779" s="20"/>
      <c r="X779" s="20"/>
      <c r="Y779" s="20"/>
      <c r="Z779" s="20"/>
    </row>
    <row r="780" spans="14:26" ht="17.25" customHeight="1">
      <c r="N780" s="47"/>
      <c r="O780" s="20"/>
      <c r="P780" s="20"/>
      <c r="Q780" s="20"/>
      <c r="R780" s="20"/>
      <c r="S780" s="20"/>
      <c r="T780" s="20"/>
      <c r="U780" s="20"/>
      <c r="V780" s="20"/>
      <c r="W780" s="20"/>
      <c r="X780" s="20"/>
      <c r="Y780" s="20"/>
      <c r="Z780" s="20"/>
    </row>
    <row r="781" spans="14:26" ht="17.25" customHeight="1">
      <c r="N781" s="47"/>
      <c r="O781" s="20"/>
      <c r="P781" s="20"/>
      <c r="Q781" s="20"/>
      <c r="R781" s="20"/>
      <c r="S781" s="20"/>
      <c r="T781" s="20"/>
      <c r="U781" s="20"/>
      <c r="V781" s="20"/>
      <c r="W781" s="20"/>
      <c r="X781" s="20"/>
      <c r="Y781" s="20"/>
      <c r="Z781" s="20"/>
    </row>
    <row r="782" spans="14:26" ht="17.25" customHeight="1">
      <c r="N782" s="47"/>
      <c r="O782" s="20"/>
      <c r="P782" s="20"/>
      <c r="Q782" s="20"/>
      <c r="R782" s="20"/>
      <c r="S782" s="20"/>
      <c r="T782" s="20"/>
      <c r="U782" s="20"/>
      <c r="V782" s="20"/>
      <c r="W782" s="20"/>
      <c r="X782" s="20"/>
      <c r="Y782" s="20"/>
      <c r="Z782" s="20"/>
    </row>
    <row r="783" spans="14:26" ht="17.25" customHeight="1">
      <c r="N783" s="47"/>
      <c r="O783" s="20"/>
      <c r="P783" s="20"/>
      <c r="Q783" s="20"/>
      <c r="R783" s="20"/>
      <c r="S783" s="20"/>
      <c r="T783" s="20"/>
      <c r="U783" s="20"/>
      <c r="V783" s="20"/>
      <c r="W783" s="20"/>
      <c r="X783" s="20"/>
      <c r="Y783" s="20"/>
      <c r="Z783" s="20"/>
    </row>
    <row r="784" spans="14:26" ht="17.25" customHeight="1">
      <c r="N784" s="47"/>
      <c r="O784" s="20"/>
      <c r="P784" s="20"/>
      <c r="Q784" s="20"/>
      <c r="R784" s="20"/>
      <c r="S784" s="20"/>
      <c r="T784" s="20"/>
      <c r="U784" s="20"/>
      <c r="V784" s="20"/>
      <c r="W784" s="20"/>
      <c r="X784" s="20"/>
      <c r="Y784" s="20"/>
      <c r="Z784" s="20"/>
    </row>
    <row r="785" spans="14:26" ht="17.25" customHeight="1">
      <c r="N785" s="47"/>
      <c r="O785" s="20"/>
      <c r="P785" s="20"/>
      <c r="Q785" s="20"/>
      <c r="R785" s="20"/>
      <c r="S785" s="20"/>
      <c r="T785" s="20"/>
      <c r="U785" s="20"/>
      <c r="V785" s="20"/>
      <c r="W785" s="20"/>
      <c r="X785" s="20"/>
      <c r="Y785" s="20"/>
      <c r="Z785" s="20"/>
    </row>
    <row r="786" spans="14:26" ht="17.25" customHeight="1">
      <c r="N786" s="47"/>
      <c r="O786" s="20"/>
      <c r="P786" s="20"/>
      <c r="Q786" s="20"/>
      <c r="R786" s="20"/>
      <c r="S786" s="20"/>
      <c r="T786" s="20"/>
      <c r="U786" s="20"/>
      <c r="V786" s="20"/>
      <c r="W786" s="20"/>
      <c r="X786" s="20"/>
      <c r="Y786" s="20"/>
      <c r="Z786" s="20"/>
    </row>
    <row r="787" spans="14:26" ht="17.25" customHeight="1">
      <c r="N787" s="47"/>
      <c r="O787" s="20"/>
      <c r="P787" s="20"/>
      <c r="Q787" s="20"/>
      <c r="R787" s="20"/>
      <c r="S787" s="20"/>
      <c r="T787" s="20"/>
      <c r="U787" s="20"/>
      <c r="V787" s="20"/>
      <c r="W787" s="20"/>
      <c r="X787" s="20"/>
      <c r="Y787" s="20"/>
      <c r="Z787" s="20"/>
    </row>
    <row r="788" spans="14:26" ht="17.25" customHeight="1">
      <c r="N788" s="47"/>
      <c r="O788" s="20"/>
      <c r="P788" s="20"/>
      <c r="Q788" s="20"/>
      <c r="R788" s="20"/>
      <c r="S788" s="20"/>
      <c r="T788" s="20"/>
      <c r="U788" s="20"/>
      <c r="V788" s="20"/>
      <c r="W788" s="20"/>
      <c r="X788" s="20"/>
      <c r="Y788" s="20"/>
      <c r="Z788" s="20"/>
    </row>
    <row r="789" spans="14:26" ht="17.25" customHeight="1">
      <c r="N789" s="47"/>
      <c r="O789" s="20"/>
      <c r="P789" s="20"/>
      <c r="Q789" s="20"/>
      <c r="R789" s="20"/>
      <c r="S789" s="20"/>
      <c r="T789" s="20"/>
      <c r="U789" s="20"/>
      <c r="V789" s="20"/>
      <c r="W789" s="20"/>
      <c r="X789" s="20"/>
      <c r="Y789" s="20"/>
      <c r="Z789" s="20"/>
    </row>
    <row r="790" spans="14:26" ht="17.25" customHeight="1">
      <c r="N790" s="47"/>
      <c r="O790" s="20"/>
      <c r="P790" s="20"/>
      <c r="Q790" s="20"/>
      <c r="R790" s="20"/>
      <c r="S790" s="20"/>
      <c r="T790" s="20"/>
      <c r="U790" s="20"/>
      <c r="V790" s="20"/>
      <c r="W790" s="20"/>
      <c r="X790" s="20"/>
      <c r="Y790" s="20"/>
      <c r="Z790" s="20"/>
    </row>
    <row r="791" spans="14:26" ht="17.25" customHeight="1">
      <c r="N791" s="47"/>
      <c r="O791" s="20"/>
      <c r="P791" s="20"/>
      <c r="Q791" s="20"/>
      <c r="R791" s="20"/>
      <c r="S791" s="20"/>
      <c r="T791" s="20"/>
      <c r="U791" s="20"/>
      <c r="V791" s="20"/>
      <c r="W791" s="20"/>
      <c r="X791" s="20"/>
      <c r="Y791" s="20"/>
      <c r="Z791" s="20"/>
    </row>
    <row r="792" spans="14:26" ht="17.25" customHeight="1">
      <c r="N792" s="47"/>
      <c r="O792" s="20"/>
      <c r="P792" s="20"/>
      <c r="Q792" s="20"/>
      <c r="R792" s="20"/>
      <c r="S792" s="20"/>
      <c r="T792" s="20"/>
      <c r="U792" s="20"/>
      <c r="V792" s="20"/>
      <c r="W792" s="20"/>
      <c r="X792" s="20"/>
      <c r="Y792" s="20"/>
      <c r="Z792" s="20"/>
    </row>
    <row r="793" spans="14:26" ht="17.25" customHeight="1">
      <c r="N793" s="47"/>
      <c r="O793" s="20"/>
      <c r="P793" s="20"/>
      <c r="Q793" s="20"/>
      <c r="R793" s="20"/>
      <c r="S793" s="20"/>
      <c r="T793" s="20"/>
      <c r="U793" s="20"/>
      <c r="V793" s="20"/>
      <c r="W793" s="20"/>
      <c r="X793" s="20"/>
      <c r="Y793" s="20"/>
      <c r="Z793" s="20"/>
    </row>
    <row r="794" spans="14:26" ht="17.25" customHeight="1">
      <c r="N794" s="47"/>
      <c r="O794" s="20"/>
      <c r="P794" s="20"/>
      <c r="Q794" s="20"/>
      <c r="R794" s="20"/>
      <c r="S794" s="20"/>
      <c r="T794" s="20"/>
      <c r="U794" s="20"/>
      <c r="V794" s="20"/>
      <c r="W794" s="20"/>
      <c r="X794" s="20"/>
      <c r="Y794" s="20"/>
      <c r="Z794" s="20"/>
    </row>
    <row r="795" spans="14:26" ht="17.25" customHeight="1">
      <c r="N795" s="47"/>
      <c r="O795" s="20"/>
      <c r="P795" s="20"/>
      <c r="Q795" s="20"/>
      <c r="R795" s="20"/>
      <c r="S795" s="20"/>
      <c r="T795" s="20"/>
      <c r="U795" s="20"/>
      <c r="V795" s="20"/>
      <c r="W795" s="20"/>
      <c r="X795" s="20"/>
      <c r="Y795" s="20"/>
      <c r="Z795" s="20"/>
    </row>
    <row r="796" spans="14:26" ht="17.25" customHeight="1">
      <c r="N796" s="47"/>
      <c r="O796" s="20"/>
      <c r="P796" s="20"/>
      <c r="Q796" s="20"/>
      <c r="R796" s="20"/>
      <c r="S796" s="20"/>
      <c r="T796" s="20"/>
      <c r="U796" s="20"/>
      <c r="V796" s="20"/>
      <c r="W796" s="20"/>
      <c r="X796" s="20"/>
      <c r="Y796" s="20"/>
      <c r="Z796" s="20"/>
    </row>
    <row r="797" spans="14:26" ht="17.25" customHeight="1">
      <c r="N797" s="47"/>
      <c r="O797" s="20"/>
      <c r="P797" s="20"/>
      <c r="Q797" s="20"/>
      <c r="R797" s="20"/>
      <c r="S797" s="20"/>
      <c r="T797" s="20"/>
      <c r="U797" s="20"/>
      <c r="V797" s="20"/>
      <c r="W797" s="20"/>
      <c r="X797" s="20"/>
      <c r="Y797" s="20"/>
      <c r="Z797" s="20"/>
    </row>
    <row r="798" spans="14:26" ht="17.25" customHeight="1">
      <c r="N798" s="47"/>
      <c r="O798" s="20"/>
      <c r="P798" s="20"/>
      <c r="Q798" s="20"/>
      <c r="R798" s="20"/>
      <c r="S798" s="20"/>
      <c r="T798" s="20"/>
      <c r="U798" s="20"/>
      <c r="V798" s="20"/>
      <c r="W798" s="20"/>
      <c r="X798" s="20"/>
      <c r="Y798" s="20"/>
      <c r="Z798" s="20"/>
    </row>
    <row r="799" spans="14:26" ht="17.25" customHeight="1">
      <c r="N799" s="47"/>
      <c r="O799" s="20"/>
      <c r="P799" s="20"/>
      <c r="Q799" s="20"/>
      <c r="R799" s="20"/>
      <c r="S799" s="20"/>
      <c r="T799" s="20"/>
      <c r="U799" s="20"/>
      <c r="V799" s="20"/>
      <c r="W799" s="20"/>
      <c r="X799" s="20"/>
      <c r="Y799" s="20"/>
      <c r="Z799" s="20"/>
    </row>
    <row r="800" spans="14:26" ht="17.25" customHeight="1">
      <c r="N800" s="47"/>
      <c r="O800" s="20"/>
      <c r="P800" s="20"/>
      <c r="Q800" s="20"/>
      <c r="R800" s="20"/>
      <c r="S800" s="20"/>
      <c r="T800" s="20"/>
      <c r="U800" s="20"/>
      <c r="V800" s="20"/>
      <c r="W800" s="20"/>
      <c r="X800" s="20"/>
      <c r="Y800" s="20"/>
      <c r="Z800" s="20"/>
    </row>
    <row r="801" spans="14:26" ht="17.25" customHeight="1">
      <c r="N801" s="47"/>
      <c r="O801" s="20"/>
      <c r="P801" s="20"/>
      <c r="Q801" s="20"/>
      <c r="R801" s="20"/>
      <c r="S801" s="20"/>
      <c r="T801" s="20"/>
      <c r="U801" s="20"/>
      <c r="V801" s="20"/>
      <c r="W801" s="20"/>
      <c r="X801" s="20"/>
      <c r="Y801" s="20"/>
      <c r="Z801" s="20"/>
    </row>
    <row r="802" spans="14:26" ht="17.25" customHeight="1">
      <c r="N802" s="47"/>
      <c r="O802" s="20"/>
      <c r="P802" s="20"/>
      <c r="Q802" s="20"/>
      <c r="R802" s="20"/>
      <c r="S802" s="20"/>
      <c r="T802" s="20"/>
      <c r="U802" s="20"/>
      <c r="V802" s="20"/>
      <c r="W802" s="20"/>
      <c r="X802" s="20"/>
      <c r="Y802" s="20"/>
      <c r="Z802" s="20"/>
    </row>
    <row r="803" spans="14:26" ht="17.25" customHeight="1">
      <c r="N803" s="47"/>
      <c r="O803" s="20"/>
      <c r="P803" s="20"/>
      <c r="Q803" s="20"/>
      <c r="R803" s="20"/>
      <c r="S803" s="20"/>
      <c r="T803" s="20"/>
      <c r="U803" s="20"/>
      <c r="V803" s="20"/>
      <c r="W803" s="20"/>
      <c r="X803" s="20"/>
      <c r="Y803" s="20"/>
      <c r="Z803" s="20"/>
    </row>
    <row r="804" spans="14:26" ht="17.25" customHeight="1">
      <c r="N804" s="47"/>
      <c r="O804" s="20"/>
      <c r="P804" s="20"/>
      <c r="Q804" s="20"/>
      <c r="R804" s="20"/>
      <c r="S804" s="20"/>
      <c r="T804" s="20"/>
      <c r="U804" s="20"/>
      <c r="V804" s="20"/>
      <c r="W804" s="20"/>
      <c r="X804" s="20"/>
      <c r="Y804" s="20"/>
      <c r="Z804" s="20"/>
    </row>
    <row r="805" spans="14:26" ht="17.25" customHeight="1">
      <c r="N805" s="47"/>
      <c r="O805" s="20"/>
      <c r="P805" s="20"/>
      <c r="Q805" s="20"/>
      <c r="R805" s="20"/>
      <c r="S805" s="20"/>
      <c r="T805" s="20"/>
      <c r="U805" s="20"/>
      <c r="V805" s="20"/>
      <c r="W805" s="20"/>
      <c r="X805" s="20"/>
      <c r="Y805" s="20"/>
      <c r="Z805" s="20"/>
    </row>
    <row r="806" spans="14:26" ht="17.25" customHeight="1">
      <c r="N806" s="47"/>
      <c r="O806" s="20"/>
      <c r="P806" s="20"/>
      <c r="Q806" s="20"/>
      <c r="R806" s="20"/>
      <c r="S806" s="20"/>
      <c r="T806" s="20"/>
      <c r="U806" s="20"/>
      <c r="V806" s="20"/>
      <c r="W806" s="20"/>
      <c r="X806" s="20"/>
      <c r="Y806" s="20"/>
      <c r="Z806" s="20"/>
    </row>
    <row r="807" spans="14:26" ht="17.25" customHeight="1">
      <c r="N807" s="47"/>
      <c r="O807" s="20"/>
      <c r="P807" s="20"/>
      <c r="Q807" s="20"/>
      <c r="R807" s="20"/>
      <c r="S807" s="20"/>
      <c r="T807" s="20"/>
      <c r="U807" s="20"/>
      <c r="V807" s="20"/>
      <c r="W807" s="20"/>
      <c r="X807" s="20"/>
      <c r="Y807" s="20"/>
      <c r="Z807" s="20"/>
    </row>
    <row r="808" spans="14:26" ht="17.25" customHeight="1">
      <c r="N808" s="47"/>
      <c r="O808" s="20"/>
      <c r="P808" s="20"/>
      <c r="Q808" s="20"/>
      <c r="R808" s="20"/>
      <c r="S808" s="20"/>
      <c r="T808" s="20"/>
      <c r="U808" s="20"/>
      <c r="V808" s="20"/>
      <c r="W808" s="20"/>
      <c r="X808" s="20"/>
      <c r="Y808" s="20"/>
      <c r="Z808" s="20"/>
    </row>
    <row r="809" spans="14:26" ht="17.25" customHeight="1">
      <c r="N809" s="47"/>
      <c r="O809" s="20"/>
      <c r="P809" s="20"/>
      <c r="Q809" s="20"/>
      <c r="R809" s="20"/>
      <c r="S809" s="20"/>
      <c r="T809" s="20"/>
      <c r="U809" s="20"/>
      <c r="V809" s="20"/>
      <c r="W809" s="20"/>
      <c r="X809" s="20"/>
      <c r="Y809" s="20"/>
      <c r="Z809" s="20"/>
    </row>
    <row r="810" spans="14:26" ht="17.25" customHeight="1">
      <c r="N810" s="47"/>
      <c r="O810" s="20"/>
      <c r="P810" s="20"/>
      <c r="Q810" s="20"/>
      <c r="R810" s="20"/>
      <c r="S810" s="20"/>
      <c r="T810" s="20"/>
      <c r="U810" s="20"/>
      <c r="V810" s="20"/>
      <c r="W810" s="20"/>
      <c r="X810" s="20"/>
      <c r="Y810" s="20"/>
      <c r="Z810" s="20"/>
    </row>
    <row r="811" spans="14:26" ht="17.25" customHeight="1">
      <c r="N811" s="47"/>
      <c r="O811" s="20"/>
      <c r="P811" s="20"/>
      <c r="Q811" s="20"/>
      <c r="R811" s="20"/>
      <c r="S811" s="20"/>
      <c r="T811" s="20"/>
      <c r="U811" s="20"/>
      <c r="V811" s="20"/>
      <c r="W811" s="20"/>
      <c r="X811" s="20"/>
      <c r="Y811" s="20"/>
      <c r="Z811" s="20"/>
    </row>
    <row r="812" spans="14:26" ht="17.25" customHeight="1">
      <c r="N812" s="47"/>
      <c r="O812" s="20"/>
      <c r="P812" s="20"/>
      <c r="Q812" s="20"/>
      <c r="R812" s="20"/>
      <c r="S812" s="20"/>
      <c r="T812" s="20"/>
      <c r="U812" s="20"/>
      <c r="V812" s="20"/>
      <c r="W812" s="20"/>
      <c r="X812" s="20"/>
      <c r="Y812" s="20"/>
      <c r="Z812" s="20"/>
    </row>
    <row r="813" spans="14:26" ht="17.25" customHeight="1">
      <c r="N813" s="47"/>
      <c r="O813" s="20"/>
      <c r="P813" s="20"/>
      <c r="Q813" s="20"/>
      <c r="R813" s="20"/>
      <c r="S813" s="20"/>
      <c r="T813" s="20"/>
      <c r="U813" s="20"/>
      <c r="V813" s="20"/>
      <c r="W813" s="20"/>
      <c r="X813" s="20"/>
      <c r="Y813" s="20"/>
      <c r="Z813" s="20"/>
    </row>
    <row r="814" spans="14:26" ht="17.25" customHeight="1">
      <c r="N814" s="47"/>
      <c r="O814" s="20"/>
      <c r="P814" s="20"/>
      <c r="Q814" s="20"/>
      <c r="R814" s="20"/>
      <c r="S814" s="20"/>
      <c r="T814" s="20"/>
      <c r="U814" s="20"/>
      <c r="V814" s="20"/>
      <c r="W814" s="20"/>
      <c r="X814" s="20"/>
      <c r="Y814" s="20"/>
      <c r="Z814" s="20"/>
    </row>
    <row r="815" spans="14:26" ht="17.25" customHeight="1">
      <c r="N815" s="47"/>
      <c r="O815" s="20"/>
      <c r="P815" s="20"/>
      <c r="Q815" s="20"/>
      <c r="R815" s="20"/>
      <c r="S815" s="20"/>
      <c r="T815" s="20"/>
      <c r="U815" s="20"/>
      <c r="V815" s="20"/>
      <c r="W815" s="20"/>
      <c r="X815" s="20"/>
      <c r="Y815" s="20"/>
      <c r="Z815" s="20"/>
    </row>
    <row r="816" spans="14:26" ht="17.25" customHeight="1">
      <c r="N816" s="47"/>
      <c r="O816" s="20"/>
      <c r="P816" s="20"/>
      <c r="Q816" s="20"/>
      <c r="R816" s="20"/>
      <c r="S816" s="20"/>
      <c r="T816" s="20"/>
      <c r="U816" s="20"/>
      <c r="V816" s="20"/>
      <c r="W816" s="20"/>
      <c r="X816" s="20"/>
      <c r="Y816" s="20"/>
      <c r="Z816" s="20"/>
    </row>
    <row r="817" spans="14:26" ht="17.25" customHeight="1">
      <c r="N817" s="47"/>
      <c r="O817" s="20"/>
      <c r="P817" s="20"/>
      <c r="Q817" s="20"/>
      <c r="R817" s="20"/>
      <c r="S817" s="20"/>
      <c r="T817" s="20"/>
      <c r="U817" s="20"/>
      <c r="V817" s="20"/>
      <c r="W817" s="20"/>
      <c r="X817" s="20"/>
      <c r="Y817" s="20"/>
      <c r="Z817" s="20"/>
    </row>
    <row r="818" spans="14:26" ht="17.25" customHeight="1">
      <c r="N818" s="47"/>
      <c r="O818" s="20"/>
      <c r="P818" s="20"/>
      <c r="Q818" s="20"/>
      <c r="R818" s="20"/>
      <c r="S818" s="20"/>
      <c r="T818" s="20"/>
      <c r="U818" s="20"/>
      <c r="V818" s="20"/>
      <c r="W818" s="20"/>
      <c r="X818" s="20"/>
      <c r="Y818" s="20"/>
      <c r="Z818" s="20"/>
    </row>
    <row r="819" spans="14:26" ht="17.25" customHeight="1">
      <c r="N819" s="47"/>
      <c r="O819" s="20"/>
      <c r="P819" s="20"/>
      <c r="Q819" s="20"/>
      <c r="R819" s="20"/>
      <c r="S819" s="20"/>
      <c r="T819" s="20"/>
      <c r="U819" s="20"/>
      <c r="V819" s="20"/>
      <c r="W819" s="20"/>
      <c r="X819" s="20"/>
      <c r="Y819" s="20"/>
      <c r="Z819" s="20"/>
    </row>
    <row r="820" spans="14:26" ht="17.25" customHeight="1">
      <c r="N820" s="47"/>
      <c r="O820" s="20"/>
      <c r="P820" s="20"/>
      <c r="Q820" s="20"/>
      <c r="R820" s="20"/>
      <c r="S820" s="20"/>
      <c r="T820" s="20"/>
      <c r="U820" s="20"/>
      <c r="V820" s="20"/>
      <c r="W820" s="20"/>
      <c r="X820" s="20"/>
      <c r="Y820" s="20"/>
      <c r="Z820" s="20"/>
    </row>
    <row r="821" spans="14:26" ht="17.25" customHeight="1">
      <c r="N821" s="47"/>
      <c r="O821" s="20"/>
      <c r="P821" s="20"/>
      <c r="Q821" s="20"/>
      <c r="R821" s="20"/>
      <c r="S821" s="20"/>
      <c r="T821" s="20"/>
      <c r="U821" s="20"/>
      <c r="V821" s="20"/>
      <c r="W821" s="20"/>
      <c r="X821" s="20"/>
      <c r="Y821" s="20"/>
      <c r="Z821" s="20"/>
    </row>
    <row r="822" spans="14:26" ht="17.25" customHeight="1">
      <c r="N822" s="47"/>
      <c r="O822" s="20"/>
      <c r="P822" s="20"/>
      <c r="Q822" s="20"/>
      <c r="R822" s="20"/>
      <c r="S822" s="20"/>
      <c r="T822" s="20"/>
      <c r="U822" s="20"/>
      <c r="V822" s="20"/>
      <c r="W822" s="20"/>
      <c r="X822" s="20"/>
      <c r="Y822" s="20"/>
      <c r="Z822" s="20"/>
    </row>
    <row r="823" spans="14:26" ht="17.25" customHeight="1">
      <c r="N823" s="47"/>
      <c r="O823" s="20"/>
      <c r="P823" s="20"/>
      <c r="Q823" s="20"/>
      <c r="R823" s="20"/>
      <c r="S823" s="20"/>
      <c r="T823" s="20"/>
      <c r="U823" s="20"/>
      <c r="V823" s="20"/>
      <c r="W823" s="20"/>
      <c r="X823" s="20"/>
      <c r="Y823" s="20"/>
      <c r="Z823" s="20"/>
    </row>
    <row r="824" spans="14:26" ht="17.25" customHeight="1">
      <c r="N824" s="47"/>
      <c r="O824" s="20"/>
      <c r="P824" s="20"/>
      <c r="Q824" s="20"/>
      <c r="R824" s="20"/>
      <c r="S824" s="20"/>
      <c r="T824" s="20"/>
      <c r="U824" s="20"/>
      <c r="V824" s="20"/>
      <c r="W824" s="20"/>
      <c r="X824" s="20"/>
      <c r="Y824" s="20"/>
      <c r="Z824" s="20"/>
    </row>
    <row r="825" spans="14:26" ht="17.25" customHeight="1">
      <c r="N825" s="47"/>
      <c r="O825" s="20"/>
      <c r="P825" s="20"/>
      <c r="Q825" s="20"/>
      <c r="R825" s="20"/>
      <c r="S825" s="20"/>
      <c r="T825" s="20"/>
      <c r="U825" s="20"/>
      <c r="V825" s="20"/>
      <c r="W825" s="20"/>
      <c r="X825" s="20"/>
      <c r="Y825" s="20"/>
      <c r="Z825" s="20"/>
    </row>
    <row r="826" spans="14:26" ht="17.25" customHeight="1">
      <c r="N826" s="47"/>
      <c r="O826" s="20"/>
      <c r="P826" s="20"/>
      <c r="Q826" s="20"/>
      <c r="R826" s="20"/>
      <c r="S826" s="20"/>
      <c r="T826" s="20"/>
      <c r="U826" s="20"/>
      <c r="V826" s="20"/>
      <c r="W826" s="20"/>
      <c r="X826" s="20"/>
      <c r="Y826" s="20"/>
      <c r="Z826" s="20"/>
    </row>
    <row r="827" spans="14:26" ht="17.25" customHeight="1">
      <c r="N827" s="47"/>
      <c r="O827" s="20"/>
      <c r="P827" s="20"/>
      <c r="Q827" s="20"/>
      <c r="R827" s="20"/>
      <c r="S827" s="20"/>
      <c r="T827" s="20"/>
      <c r="U827" s="20"/>
      <c r="V827" s="20"/>
      <c r="W827" s="20"/>
      <c r="X827" s="20"/>
      <c r="Y827" s="20"/>
      <c r="Z827" s="20"/>
    </row>
    <row r="828" spans="14:26" ht="17.25" customHeight="1">
      <c r="N828" s="47"/>
      <c r="O828" s="20"/>
      <c r="P828" s="20"/>
      <c r="Q828" s="20"/>
      <c r="R828" s="20"/>
      <c r="S828" s="20"/>
      <c r="T828" s="20"/>
      <c r="U828" s="20"/>
      <c r="V828" s="20"/>
      <c r="W828" s="20"/>
      <c r="X828" s="20"/>
      <c r="Y828" s="20"/>
      <c r="Z828" s="20"/>
    </row>
    <row r="829" spans="14:26" ht="17.25" customHeight="1">
      <c r="N829" s="47"/>
      <c r="O829" s="20"/>
      <c r="P829" s="20"/>
      <c r="Q829" s="20"/>
      <c r="R829" s="20"/>
      <c r="S829" s="20"/>
      <c r="T829" s="20"/>
      <c r="U829" s="20"/>
      <c r="V829" s="20"/>
      <c r="W829" s="20"/>
      <c r="X829" s="20"/>
      <c r="Y829" s="20"/>
      <c r="Z829" s="20"/>
    </row>
    <row r="830" spans="14:26" ht="17.25" customHeight="1">
      <c r="N830" s="47"/>
      <c r="O830" s="20"/>
      <c r="P830" s="20"/>
      <c r="Q830" s="20"/>
      <c r="R830" s="20"/>
      <c r="S830" s="20"/>
      <c r="T830" s="20"/>
      <c r="U830" s="20"/>
      <c r="V830" s="20"/>
      <c r="W830" s="20"/>
      <c r="X830" s="20"/>
      <c r="Y830" s="20"/>
      <c r="Z830" s="20"/>
    </row>
    <row r="831" spans="14:26" ht="17.25" customHeight="1">
      <c r="N831" s="47"/>
      <c r="O831" s="20"/>
      <c r="P831" s="20"/>
      <c r="Q831" s="20"/>
      <c r="R831" s="20"/>
      <c r="S831" s="20"/>
      <c r="T831" s="20"/>
      <c r="U831" s="20"/>
      <c r="V831" s="20"/>
      <c r="W831" s="20"/>
      <c r="X831" s="20"/>
      <c r="Y831" s="20"/>
      <c r="Z831" s="20"/>
    </row>
    <row r="832" spans="14:26" ht="17.25" customHeight="1">
      <c r="N832" s="47"/>
      <c r="O832" s="20"/>
      <c r="P832" s="20"/>
      <c r="Q832" s="20"/>
      <c r="R832" s="20"/>
      <c r="S832" s="20"/>
      <c r="T832" s="20"/>
      <c r="U832" s="20"/>
      <c r="V832" s="20"/>
      <c r="W832" s="20"/>
      <c r="X832" s="20"/>
      <c r="Y832" s="20"/>
      <c r="Z832" s="20"/>
    </row>
    <row r="833" spans="14:26" ht="17.25" customHeight="1">
      <c r="N833" s="47"/>
      <c r="O833" s="20"/>
      <c r="P833" s="20"/>
      <c r="Q833" s="20"/>
      <c r="R833" s="20"/>
      <c r="S833" s="20"/>
      <c r="T833" s="20"/>
      <c r="U833" s="20"/>
      <c r="V833" s="20"/>
      <c r="W833" s="20"/>
      <c r="X833" s="20"/>
      <c r="Y833" s="20"/>
      <c r="Z833" s="20"/>
    </row>
    <row r="834" spans="14:26" ht="17.25" customHeight="1">
      <c r="N834" s="47"/>
      <c r="O834" s="20"/>
      <c r="P834" s="20"/>
      <c r="Q834" s="20"/>
      <c r="R834" s="20"/>
      <c r="S834" s="20"/>
      <c r="T834" s="20"/>
      <c r="U834" s="20"/>
      <c r="V834" s="20"/>
      <c r="W834" s="20"/>
      <c r="X834" s="20"/>
      <c r="Y834" s="20"/>
      <c r="Z834" s="20"/>
    </row>
    <row r="835" spans="14:26" ht="17.25" customHeight="1">
      <c r="N835" s="47"/>
      <c r="O835" s="20"/>
      <c r="P835" s="20"/>
      <c r="Q835" s="20"/>
      <c r="R835" s="20"/>
      <c r="S835" s="20"/>
      <c r="T835" s="20"/>
      <c r="U835" s="20"/>
      <c r="V835" s="20"/>
      <c r="W835" s="20"/>
      <c r="X835" s="20"/>
      <c r="Y835" s="20"/>
      <c r="Z835" s="20"/>
    </row>
    <row r="836" spans="14:26" ht="17.25" customHeight="1">
      <c r="N836" s="47"/>
      <c r="O836" s="20"/>
      <c r="P836" s="20"/>
      <c r="Q836" s="20"/>
      <c r="R836" s="20"/>
      <c r="S836" s="20"/>
      <c r="T836" s="20"/>
      <c r="U836" s="20"/>
      <c r="V836" s="20"/>
      <c r="W836" s="20"/>
      <c r="X836" s="20"/>
      <c r="Y836" s="20"/>
      <c r="Z836" s="20"/>
    </row>
    <row r="837" spans="14:26" ht="17.25" customHeight="1">
      <c r="N837" s="47"/>
      <c r="O837" s="20"/>
      <c r="P837" s="20"/>
      <c r="Q837" s="20"/>
      <c r="R837" s="20"/>
      <c r="S837" s="20"/>
      <c r="T837" s="20"/>
      <c r="U837" s="20"/>
      <c r="V837" s="20"/>
      <c r="W837" s="20"/>
      <c r="X837" s="20"/>
      <c r="Y837" s="20"/>
      <c r="Z837" s="20"/>
    </row>
    <row r="838" spans="14:26" ht="17.25" customHeight="1">
      <c r="N838" s="47"/>
      <c r="O838" s="20"/>
      <c r="P838" s="20"/>
      <c r="Q838" s="20"/>
      <c r="R838" s="20"/>
      <c r="S838" s="20"/>
      <c r="T838" s="20"/>
      <c r="U838" s="20"/>
      <c r="V838" s="20"/>
      <c r="W838" s="20"/>
      <c r="X838" s="20"/>
      <c r="Y838" s="20"/>
      <c r="Z838" s="20"/>
    </row>
    <row r="839" spans="14:26" ht="17.25" customHeight="1">
      <c r="N839" s="47"/>
      <c r="O839" s="20"/>
      <c r="P839" s="20"/>
      <c r="Q839" s="20"/>
      <c r="R839" s="20"/>
      <c r="S839" s="20"/>
      <c r="T839" s="20"/>
      <c r="U839" s="20"/>
      <c r="V839" s="20"/>
      <c r="W839" s="20"/>
      <c r="X839" s="20"/>
      <c r="Y839" s="20"/>
      <c r="Z839" s="20"/>
    </row>
    <row r="840" spans="14:26" ht="17.25" customHeight="1">
      <c r="N840" s="47"/>
      <c r="O840" s="20"/>
      <c r="P840" s="20"/>
      <c r="Q840" s="20"/>
      <c r="R840" s="20"/>
      <c r="S840" s="20"/>
      <c r="T840" s="20"/>
      <c r="U840" s="20"/>
      <c r="V840" s="20"/>
      <c r="W840" s="20"/>
      <c r="X840" s="20"/>
      <c r="Y840" s="20"/>
      <c r="Z840" s="20"/>
    </row>
    <row r="841" spans="14:26" ht="17.25" customHeight="1">
      <c r="N841" s="47"/>
      <c r="O841" s="20"/>
      <c r="P841" s="20"/>
      <c r="Q841" s="20"/>
      <c r="R841" s="20"/>
      <c r="S841" s="20"/>
      <c r="T841" s="20"/>
      <c r="U841" s="20"/>
      <c r="V841" s="20"/>
      <c r="W841" s="20"/>
      <c r="X841" s="20"/>
      <c r="Y841" s="20"/>
      <c r="Z841" s="20"/>
    </row>
    <row r="842" spans="14:26" ht="17.25" customHeight="1">
      <c r="N842" s="47"/>
      <c r="O842" s="20"/>
      <c r="P842" s="20"/>
      <c r="Q842" s="20"/>
      <c r="R842" s="20"/>
      <c r="S842" s="20"/>
      <c r="T842" s="20"/>
      <c r="U842" s="20"/>
      <c r="V842" s="20"/>
      <c r="W842" s="20"/>
      <c r="X842" s="20"/>
      <c r="Y842" s="20"/>
      <c r="Z842" s="20"/>
    </row>
    <row r="843" spans="14:26" ht="17.25" customHeight="1">
      <c r="N843" s="47"/>
      <c r="O843" s="20"/>
      <c r="P843" s="20"/>
      <c r="Q843" s="20"/>
      <c r="R843" s="20"/>
      <c r="S843" s="20"/>
      <c r="T843" s="20"/>
      <c r="U843" s="20"/>
      <c r="V843" s="20"/>
      <c r="W843" s="20"/>
      <c r="X843" s="20"/>
      <c r="Y843" s="20"/>
      <c r="Z843" s="20"/>
    </row>
    <row r="844" spans="14:26" ht="17.25" customHeight="1">
      <c r="N844" s="47"/>
      <c r="O844" s="20"/>
      <c r="P844" s="20"/>
      <c r="Q844" s="20"/>
      <c r="R844" s="20"/>
      <c r="S844" s="20"/>
      <c r="T844" s="20"/>
      <c r="U844" s="20"/>
      <c r="V844" s="20"/>
      <c r="W844" s="20"/>
      <c r="X844" s="20"/>
      <c r="Y844" s="20"/>
      <c r="Z844" s="20"/>
    </row>
    <row r="845" spans="14:26" ht="17.25" customHeight="1">
      <c r="N845" s="47"/>
      <c r="O845" s="20"/>
      <c r="P845" s="20"/>
      <c r="Q845" s="20"/>
      <c r="R845" s="20"/>
      <c r="S845" s="20"/>
      <c r="T845" s="20"/>
      <c r="U845" s="20"/>
      <c r="V845" s="20"/>
      <c r="W845" s="20"/>
      <c r="X845" s="20"/>
      <c r="Y845" s="20"/>
      <c r="Z845" s="20"/>
    </row>
    <row r="846" spans="14:26" ht="17.25" customHeight="1">
      <c r="N846" s="47"/>
      <c r="O846" s="20"/>
      <c r="P846" s="20"/>
      <c r="Q846" s="20"/>
      <c r="R846" s="20"/>
      <c r="S846" s="20"/>
      <c r="T846" s="20"/>
      <c r="U846" s="20"/>
      <c r="V846" s="20"/>
      <c r="W846" s="20"/>
      <c r="X846" s="20"/>
      <c r="Y846" s="20"/>
      <c r="Z846" s="20"/>
    </row>
    <row r="847" spans="14:26" ht="17.25" customHeight="1">
      <c r="N847" s="47"/>
      <c r="O847" s="20"/>
      <c r="P847" s="20"/>
      <c r="Q847" s="20"/>
      <c r="R847" s="20"/>
      <c r="S847" s="20"/>
      <c r="T847" s="20"/>
      <c r="U847" s="20"/>
      <c r="V847" s="20"/>
      <c r="W847" s="20"/>
      <c r="X847" s="20"/>
      <c r="Y847" s="20"/>
      <c r="Z847" s="20"/>
    </row>
    <row r="848" spans="14:26" ht="17.25" customHeight="1">
      <c r="N848" s="47"/>
      <c r="O848" s="20"/>
      <c r="P848" s="20"/>
      <c r="Q848" s="20"/>
      <c r="R848" s="20"/>
      <c r="S848" s="20"/>
      <c r="T848" s="20"/>
      <c r="U848" s="20"/>
      <c r="V848" s="20"/>
      <c r="W848" s="20"/>
      <c r="X848" s="20"/>
      <c r="Y848" s="20"/>
      <c r="Z848" s="20"/>
    </row>
    <row r="849" spans="14:26" ht="17.25" customHeight="1">
      <c r="N849" s="47"/>
      <c r="O849" s="20"/>
      <c r="P849" s="20"/>
      <c r="Q849" s="20"/>
      <c r="R849" s="20"/>
      <c r="S849" s="20"/>
      <c r="T849" s="20"/>
      <c r="U849" s="20"/>
      <c r="V849" s="20"/>
      <c r="W849" s="20"/>
      <c r="X849" s="20"/>
      <c r="Y849" s="20"/>
      <c r="Z849" s="20"/>
    </row>
    <row r="850" spans="14:26" ht="17.25" customHeight="1">
      <c r="N850" s="47"/>
      <c r="O850" s="20"/>
      <c r="P850" s="20"/>
      <c r="Q850" s="20"/>
      <c r="R850" s="20"/>
      <c r="S850" s="20"/>
      <c r="T850" s="20"/>
      <c r="U850" s="20"/>
      <c r="V850" s="20"/>
      <c r="W850" s="20"/>
      <c r="X850" s="20"/>
      <c r="Y850" s="20"/>
      <c r="Z850" s="20"/>
    </row>
    <row r="851" spans="14:26" ht="17.25" customHeight="1">
      <c r="N851" s="47"/>
      <c r="O851" s="20"/>
      <c r="P851" s="20"/>
      <c r="Q851" s="20"/>
      <c r="R851" s="20"/>
      <c r="S851" s="20"/>
      <c r="T851" s="20"/>
      <c r="U851" s="20"/>
      <c r="V851" s="20"/>
      <c r="W851" s="20"/>
      <c r="X851" s="20"/>
      <c r="Y851" s="20"/>
      <c r="Z851" s="20"/>
    </row>
    <row r="852" spans="14:26" ht="17.25" customHeight="1">
      <c r="N852" s="47"/>
      <c r="O852" s="20"/>
      <c r="P852" s="20"/>
      <c r="Q852" s="20"/>
      <c r="R852" s="20"/>
      <c r="S852" s="20"/>
      <c r="T852" s="20"/>
      <c r="U852" s="20"/>
      <c r="V852" s="20"/>
      <c r="W852" s="20"/>
      <c r="X852" s="20"/>
      <c r="Y852" s="20"/>
      <c r="Z852" s="20"/>
    </row>
    <row r="853" spans="14:26" ht="17.25" customHeight="1">
      <c r="N853" s="47"/>
      <c r="O853" s="20"/>
      <c r="P853" s="20"/>
      <c r="Q853" s="20"/>
      <c r="R853" s="20"/>
      <c r="S853" s="20"/>
      <c r="T853" s="20"/>
      <c r="U853" s="20"/>
      <c r="V853" s="20"/>
      <c r="W853" s="20"/>
      <c r="X853" s="20"/>
      <c r="Y853" s="20"/>
      <c r="Z853" s="20"/>
    </row>
    <row r="854" spans="14:26" ht="17.25" customHeight="1">
      <c r="N854" s="47"/>
      <c r="O854" s="20"/>
      <c r="P854" s="20"/>
      <c r="Q854" s="20"/>
      <c r="R854" s="20"/>
      <c r="S854" s="20"/>
      <c r="T854" s="20"/>
      <c r="U854" s="20"/>
      <c r="V854" s="20"/>
      <c r="W854" s="20"/>
      <c r="X854" s="20"/>
      <c r="Y854" s="20"/>
      <c r="Z854" s="20"/>
    </row>
    <row r="855" spans="14:26" ht="17.25" customHeight="1">
      <c r="N855" s="47"/>
      <c r="O855" s="20"/>
      <c r="P855" s="20"/>
      <c r="Q855" s="20"/>
      <c r="R855" s="20"/>
      <c r="S855" s="20"/>
      <c r="T855" s="20"/>
      <c r="U855" s="20"/>
      <c r="V855" s="20"/>
      <c r="W855" s="20"/>
      <c r="X855" s="20"/>
      <c r="Y855" s="20"/>
      <c r="Z855" s="20"/>
    </row>
    <row r="856" spans="14:26" ht="17.25" customHeight="1">
      <c r="N856" s="47"/>
      <c r="O856" s="20"/>
      <c r="P856" s="20"/>
      <c r="Q856" s="20"/>
      <c r="R856" s="20"/>
      <c r="S856" s="20"/>
      <c r="T856" s="20"/>
      <c r="U856" s="20"/>
      <c r="V856" s="20"/>
      <c r="W856" s="20"/>
      <c r="X856" s="20"/>
      <c r="Y856" s="20"/>
      <c r="Z856" s="20"/>
    </row>
    <row r="857" spans="14:26" ht="17.25" customHeight="1">
      <c r="N857" s="47"/>
      <c r="O857" s="20"/>
      <c r="P857" s="20"/>
      <c r="Q857" s="20"/>
      <c r="R857" s="20"/>
      <c r="S857" s="20"/>
      <c r="T857" s="20"/>
      <c r="U857" s="20"/>
      <c r="V857" s="20"/>
      <c r="W857" s="20"/>
      <c r="X857" s="20"/>
      <c r="Y857" s="20"/>
      <c r="Z857" s="20"/>
    </row>
    <row r="858" spans="14:26" ht="17.25" customHeight="1">
      <c r="N858" s="47"/>
      <c r="O858" s="20"/>
      <c r="P858" s="20"/>
      <c r="Q858" s="20"/>
      <c r="R858" s="20"/>
      <c r="S858" s="20"/>
      <c r="T858" s="20"/>
      <c r="U858" s="20"/>
      <c r="V858" s="20"/>
      <c r="W858" s="20"/>
      <c r="X858" s="20"/>
      <c r="Y858" s="20"/>
      <c r="Z858" s="20"/>
    </row>
    <row r="859" spans="14:26" ht="17.25" customHeight="1">
      <c r="N859" s="47"/>
      <c r="O859" s="20"/>
      <c r="P859" s="20"/>
      <c r="Q859" s="20"/>
      <c r="R859" s="20"/>
      <c r="S859" s="20"/>
      <c r="T859" s="20"/>
      <c r="U859" s="20"/>
      <c r="V859" s="20"/>
      <c r="W859" s="20"/>
      <c r="X859" s="20"/>
      <c r="Y859" s="20"/>
      <c r="Z859" s="20"/>
    </row>
    <row r="860" spans="14:26" ht="17.25" customHeight="1">
      <c r="N860" s="47"/>
      <c r="O860" s="20"/>
      <c r="P860" s="20"/>
      <c r="Q860" s="20"/>
      <c r="R860" s="20"/>
      <c r="S860" s="20"/>
      <c r="T860" s="20"/>
      <c r="U860" s="20"/>
      <c r="V860" s="20"/>
      <c r="W860" s="20"/>
      <c r="X860" s="20"/>
      <c r="Y860" s="20"/>
      <c r="Z860" s="20"/>
    </row>
    <row r="861" spans="14:26" ht="17.25" customHeight="1">
      <c r="N861" s="47"/>
      <c r="O861" s="20"/>
      <c r="P861" s="20"/>
      <c r="Q861" s="20"/>
      <c r="R861" s="20"/>
      <c r="S861" s="20"/>
      <c r="T861" s="20"/>
      <c r="U861" s="20"/>
      <c r="V861" s="20"/>
      <c r="W861" s="20"/>
      <c r="X861" s="20"/>
      <c r="Y861" s="20"/>
      <c r="Z861" s="20"/>
    </row>
    <row r="862" spans="14:26" ht="17.25" customHeight="1">
      <c r="N862" s="47"/>
      <c r="O862" s="20"/>
      <c r="P862" s="20"/>
      <c r="Q862" s="20"/>
      <c r="R862" s="20"/>
      <c r="S862" s="20"/>
      <c r="T862" s="20"/>
      <c r="U862" s="20"/>
      <c r="V862" s="20"/>
      <c r="W862" s="20"/>
      <c r="X862" s="20"/>
      <c r="Y862" s="20"/>
      <c r="Z862" s="20"/>
    </row>
    <row r="863" spans="14:26" ht="17.25" customHeight="1">
      <c r="N863" s="47"/>
      <c r="O863" s="20"/>
      <c r="P863" s="20"/>
      <c r="Q863" s="20"/>
      <c r="R863" s="20"/>
      <c r="S863" s="20"/>
      <c r="T863" s="20"/>
      <c r="U863" s="20"/>
      <c r="V863" s="20"/>
      <c r="W863" s="20"/>
      <c r="X863" s="20"/>
      <c r="Y863" s="20"/>
      <c r="Z863" s="20"/>
    </row>
    <row r="864" spans="14:26" ht="17.25" customHeight="1">
      <c r="N864" s="47"/>
      <c r="O864" s="20"/>
      <c r="P864" s="20"/>
      <c r="Q864" s="20"/>
      <c r="R864" s="20"/>
      <c r="S864" s="20"/>
      <c r="T864" s="20"/>
      <c r="U864" s="20"/>
      <c r="V864" s="20"/>
      <c r="W864" s="20"/>
      <c r="X864" s="20"/>
      <c r="Y864" s="20"/>
      <c r="Z864" s="20"/>
    </row>
    <row r="865" spans="14:26" ht="17.25" customHeight="1">
      <c r="N865" s="47"/>
      <c r="O865" s="20"/>
      <c r="P865" s="20"/>
      <c r="Q865" s="20"/>
      <c r="R865" s="20"/>
      <c r="S865" s="20"/>
      <c r="T865" s="20"/>
      <c r="U865" s="20"/>
      <c r="V865" s="20"/>
      <c r="W865" s="20"/>
      <c r="X865" s="20"/>
      <c r="Y865" s="20"/>
      <c r="Z865" s="20"/>
    </row>
    <row r="866" spans="14:26" ht="17.25" customHeight="1">
      <c r="N866" s="47"/>
      <c r="O866" s="20"/>
      <c r="P866" s="20"/>
      <c r="Q866" s="20"/>
      <c r="R866" s="20"/>
      <c r="S866" s="20"/>
      <c r="T866" s="20"/>
      <c r="U866" s="20"/>
      <c r="V866" s="20"/>
      <c r="W866" s="20"/>
      <c r="X866" s="20"/>
      <c r="Y866" s="20"/>
      <c r="Z866" s="20"/>
    </row>
    <row r="867" spans="14:26" ht="17.25" customHeight="1">
      <c r="N867" s="47"/>
      <c r="O867" s="20"/>
      <c r="P867" s="20"/>
      <c r="Q867" s="20"/>
      <c r="R867" s="20"/>
      <c r="S867" s="20"/>
      <c r="T867" s="20"/>
      <c r="U867" s="20"/>
      <c r="V867" s="20"/>
      <c r="W867" s="20"/>
      <c r="X867" s="20"/>
      <c r="Y867" s="20"/>
      <c r="Z867" s="20"/>
    </row>
    <row r="868" spans="14:26" ht="17.25" customHeight="1">
      <c r="N868" s="47"/>
      <c r="O868" s="20"/>
      <c r="P868" s="20"/>
      <c r="Q868" s="20"/>
      <c r="R868" s="20"/>
      <c r="S868" s="20"/>
      <c r="T868" s="20"/>
      <c r="U868" s="20"/>
      <c r="V868" s="20"/>
      <c r="W868" s="20"/>
      <c r="X868" s="20"/>
      <c r="Y868" s="20"/>
      <c r="Z868" s="20"/>
    </row>
    <row r="869" spans="14:26" ht="17.25" customHeight="1">
      <c r="N869" s="47"/>
      <c r="O869" s="20"/>
      <c r="P869" s="20"/>
      <c r="Q869" s="20"/>
      <c r="R869" s="20"/>
      <c r="S869" s="20"/>
      <c r="T869" s="20"/>
      <c r="U869" s="20"/>
      <c r="V869" s="20"/>
      <c r="W869" s="20"/>
      <c r="X869" s="20"/>
      <c r="Y869" s="20"/>
      <c r="Z869" s="20"/>
    </row>
    <row r="870" spans="14:26" ht="17.25" customHeight="1">
      <c r="N870" s="47"/>
      <c r="O870" s="20"/>
      <c r="P870" s="20"/>
      <c r="Q870" s="20"/>
      <c r="R870" s="20"/>
      <c r="S870" s="20"/>
      <c r="T870" s="20"/>
      <c r="U870" s="20"/>
      <c r="V870" s="20"/>
      <c r="W870" s="20"/>
      <c r="X870" s="20"/>
      <c r="Y870" s="20"/>
      <c r="Z870" s="20"/>
    </row>
    <row r="871" spans="14:26" ht="17.25" customHeight="1">
      <c r="N871" s="47"/>
      <c r="O871" s="20"/>
      <c r="P871" s="20"/>
      <c r="Q871" s="20"/>
      <c r="R871" s="20"/>
      <c r="S871" s="20"/>
      <c r="T871" s="20"/>
      <c r="U871" s="20"/>
      <c r="V871" s="20"/>
      <c r="W871" s="20"/>
      <c r="X871" s="20"/>
      <c r="Y871" s="20"/>
      <c r="Z871" s="20"/>
    </row>
    <row r="872" spans="14:26" ht="17.25" customHeight="1">
      <c r="N872" s="47"/>
      <c r="O872" s="20"/>
      <c r="P872" s="20"/>
      <c r="Q872" s="20"/>
      <c r="R872" s="20"/>
      <c r="S872" s="20"/>
      <c r="T872" s="20"/>
      <c r="U872" s="20"/>
      <c r="V872" s="20"/>
      <c r="W872" s="20"/>
      <c r="X872" s="20"/>
      <c r="Y872" s="20"/>
      <c r="Z872" s="20"/>
    </row>
    <row r="873" spans="14:26" ht="17.25" customHeight="1">
      <c r="N873" s="47"/>
      <c r="O873" s="20"/>
      <c r="P873" s="20"/>
      <c r="Q873" s="20"/>
      <c r="R873" s="20"/>
      <c r="S873" s="20"/>
      <c r="T873" s="20"/>
      <c r="U873" s="20"/>
      <c r="V873" s="20"/>
      <c r="W873" s="20"/>
      <c r="X873" s="20"/>
      <c r="Y873" s="20"/>
      <c r="Z873" s="20"/>
    </row>
    <row r="874" spans="14:26" ht="17.25" customHeight="1">
      <c r="N874" s="47"/>
      <c r="O874" s="20"/>
      <c r="P874" s="20"/>
      <c r="Q874" s="20"/>
      <c r="R874" s="20"/>
      <c r="S874" s="20"/>
      <c r="T874" s="20"/>
      <c r="U874" s="20"/>
      <c r="V874" s="20"/>
      <c r="W874" s="20"/>
      <c r="X874" s="20"/>
      <c r="Y874" s="20"/>
      <c r="Z874" s="20"/>
    </row>
    <row r="875" spans="14:26" ht="17.25" customHeight="1">
      <c r="N875" s="47"/>
      <c r="O875" s="20"/>
      <c r="P875" s="20"/>
      <c r="Q875" s="20"/>
      <c r="R875" s="20"/>
      <c r="S875" s="20"/>
      <c r="T875" s="20"/>
      <c r="U875" s="20"/>
      <c r="V875" s="20"/>
      <c r="W875" s="20"/>
      <c r="X875" s="20"/>
      <c r="Y875" s="20"/>
      <c r="Z875" s="20"/>
    </row>
    <row r="876" spans="14:26" ht="17.25" customHeight="1">
      <c r="N876" s="47"/>
      <c r="O876" s="20"/>
      <c r="P876" s="20"/>
      <c r="Q876" s="20"/>
      <c r="R876" s="20"/>
      <c r="S876" s="20"/>
      <c r="T876" s="20"/>
      <c r="U876" s="20"/>
      <c r="V876" s="20"/>
      <c r="W876" s="20"/>
      <c r="X876" s="20"/>
      <c r="Y876" s="20"/>
      <c r="Z876" s="20"/>
    </row>
    <row r="877" spans="14:26" ht="17.25" customHeight="1">
      <c r="N877" s="47"/>
      <c r="O877" s="20"/>
      <c r="P877" s="20"/>
      <c r="Q877" s="20"/>
      <c r="R877" s="20"/>
      <c r="S877" s="20"/>
      <c r="T877" s="20"/>
      <c r="U877" s="20"/>
      <c r="V877" s="20"/>
      <c r="W877" s="20"/>
      <c r="X877" s="20"/>
      <c r="Y877" s="20"/>
      <c r="Z877" s="20"/>
    </row>
    <row r="878" spans="14:26" ht="17.25" customHeight="1">
      <c r="N878" s="47"/>
      <c r="O878" s="20"/>
      <c r="P878" s="20"/>
      <c r="Q878" s="20"/>
      <c r="R878" s="20"/>
      <c r="S878" s="20"/>
      <c r="T878" s="20"/>
      <c r="U878" s="20"/>
      <c r="V878" s="20"/>
      <c r="W878" s="20"/>
      <c r="X878" s="20"/>
      <c r="Y878" s="20"/>
      <c r="Z878" s="20"/>
    </row>
    <row r="879" spans="14:26" ht="17.25" customHeight="1">
      <c r="N879" s="47"/>
      <c r="O879" s="20"/>
      <c r="P879" s="20"/>
      <c r="Q879" s="20"/>
      <c r="R879" s="20"/>
      <c r="S879" s="20"/>
      <c r="T879" s="20"/>
      <c r="U879" s="20"/>
      <c r="V879" s="20"/>
      <c r="W879" s="20"/>
      <c r="X879" s="20"/>
      <c r="Y879" s="20"/>
      <c r="Z879" s="20"/>
    </row>
    <row r="880" spans="14:26" ht="17.25" customHeight="1">
      <c r="N880" s="47"/>
      <c r="O880" s="20"/>
      <c r="P880" s="20"/>
      <c r="Q880" s="20"/>
      <c r="R880" s="20"/>
      <c r="S880" s="20"/>
      <c r="T880" s="20"/>
      <c r="U880" s="20"/>
      <c r="V880" s="20"/>
      <c r="W880" s="20"/>
      <c r="X880" s="20"/>
      <c r="Y880" s="20"/>
      <c r="Z880" s="20"/>
    </row>
    <row r="881" spans="14:26" ht="17.25" customHeight="1">
      <c r="N881" s="47"/>
      <c r="O881" s="20"/>
      <c r="P881" s="20"/>
      <c r="Q881" s="20"/>
      <c r="R881" s="20"/>
      <c r="S881" s="20"/>
      <c r="T881" s="20"/>
      <c r="U881" s="20"/>
      <c r="V881" s="20"/>
      <c r="W881" s="20"/>
      <c r="X881" s="20"/>
      <c r="Y881" s="20"/>
      <c r="Z881" s="20"/>
    </row>
    <row r="882" spans="14:26" ht="17.25" customHeight="1">
      <c r="N882" s="47"/>
      <c r="O882" s="20"/>
      <c r="P882" s="20"/>
      <c r="Q882" s="20"/>
      <c r="R882" s="20"/>
      <c r="S882" s="20"/>
      <c r="T882" s="20"/>
      <c r="U882" s="20"/>
      <c r="V882" s="20"/>
      <c r="W882" s="20"/>
      <c r="X882" s="20"/>
      <c r="Y882" s="20"/>
      <c r="Z882" s="20"/>
    </row>
    <row r="883" spans="14:26" ht="17.25" customHeight="1">
      <c r="N883" s="47"/>
      <c r="O883" s="20"/>
      <c r="P883" s="20"/>
      <c r="Q883" s="20"/>
      <c r="R883" s="20"/>
      <c r="S883" s="20"/>
      <c r="T883" s="20"/>
      <c r="U883" s="20"/>
      <c r="V883" s="20"/>
      <c r="W883" s="20"/>
      <c r="X883" s="20"/>
      <c r="Y883" s="20"/>
      <c r="Z883" s="20"/>
    </row>
    <row r="884" spans="14:26" ht="17.25" customHeight="1">
      <c r="N884" s="47"/>
      <c r="O884" s="20"/>
      <c r="P884" s="20"/>
      <c r="Q884" s="20"/>
      <c r="R884" s="20"/>
      <c r="S884" s="20"/>
      <c r="T884" s="20"/>
      <c r="U884" s="20"/>
      <c r="V884" s="20"/>
      <c r="W884" s="20"/>
      <c r="X884" s="20"/>
      <c r="Y884" s="20"/>
      <c r="Z884" s="20"/>
    </row>
    <row r="885" spans="14:26" ht="17.25" customHeight="1">
      <c r="N885" s="47"/>
      <c r="O885" s="20"/>
      <c r="P885" s="20"/>
      <c r="Q885" s="20"/>
      <c r="R885" s="20"/>
      <c r="S885" s="20"/>
      <c r="T885" s="20"/>
      <c r="U885" s="20"/>
      <c r="V885" s="20"/>
      <c r="W885" s="20"/>
      <c r="X885" s="20"/>
      <c r="Y885" s="20"/>
      <c r="Z885" s="20"/>
    </row>
    <row r="886" spans="14:26" ht="17.25" customHeight="1">
      <c r="N886" s="47"/>
      <c r="O886" s="20"/>
      <c r="P886" s="20"/>
      <c r="Q886" s="20"/>
      <c r="R886" s="20"/>
      <c r="S886" s="20"/>
      <c r="T886" s="20"/>
      <c r="U886" s="20"/>
      <c r="V886" s="20"/>
      <c r="W886" s="20"/>
      <c r="X886" s="20"/>
      <c r="Y886" s="20"/>
      <c r="Z886" s="20"/>
    </row>
    <row r="887" spans="14:26" ht="17.25" customHeight="1">
      <c r="N887" s="47"/>
      <c r="O887" s="20"/>
      <c r="P887" s="20"/>
      <c r="Q887" s="20"/>
      <c r="R887" s="20"/>
      <c r="S887" s="20"/>
      <c r="T887" s="20"/>
      <c r="U887" s="20"/>
      <c r="V887" s="20"/>
      <c r="W887" s="20"/>
      <c r="X887" s="20"/>
      <c r="Y887" s="20"/>
      <c r="Z887" s="20"/>
    </row>
    <row r="888" spans="14:26" ht="17.25" customHeight="1">
      <c r="N888" s="47"/>
      <c r="O888" s="20"/>
      <c r="P888" s="20"/>
      <c r="Q888" s="20"/>
      <c r="R888" s="20"/>
      <c r="S888" s="20"/>
      <c r="T888" s="20"/>
      <c r="U888" s="20"/>
      <c r="V888" s="20"/>
      <c r="W888" s="20"/>
      <c r="X888" s="20"/>
      <c r="Y888" s="20"/>
      <c r="Z888" s="20"/>
    </row>
    <row r="889" spans="14:26" ht="17.25" customHeight="1">
      <c r="N889" s="47"/>
      <c r="O889" s="20"/>
      <c r="P889" s="20"/>
      <c r="Q889" s="20"/>
      <c r="R889" s="20"/>
      <c r="S889" s="20"/>
      <c r="T889" s="20"/>
      <c r="U889" s="20"/>
      <c r="V889" s="20"/>
      <c r="W889" s="20"/>
      <c r="X889" s="20"/>
      <c r="Y889" s="20"/>
      <c r="Z889" s="20"/>
    </row>
    <row r="890" spans="14:26" ht="17.25" customHeight="1">
      <c r="N890" s="47"/>
      <c r="O890" s="20"/>
      <c r="P890" s="20"/>
      <c r="Q890" s="20"/>
      <c r="R890" s="20"/>
      <c r="S890" s="20"/>
      <c r="T890" s="20"/>
      <c r="U890" s="20"/>
      <c r="V890" s="20"/>
      <c r="W890" s="20"/>
      <c r="X890" s="20"/>
      <c r="Y890" s="20"/>
      <c r="Z890" s="20"/>
    </row>
    <row r="891" spans="14:26" ht="17.25" customHeight="1">
      <c r="N891" s="47"/>
      <c r="O891" s="20"/>
      <c r="P891" s="20"/>
      <c r="Q891" s="20"/>
      <c r="R891" s="20"/>
      <c r="S891" s="20"/>
      <c r="T891" s="20"/>
      <c r="U891" s="20"/>
      <c r="V891" s="20"/>
      <c r="W891" s="20"/>
      <c r="X891" s="20"/>
      <c r="Y891" s="20"/>
      <c r="Z891" s="20"/>
    </row>
    <row r="892" spans="14:26" ht="17.25" customHeight="1">
      <c r="N892" s="47"/>
      <c r="O892" s="20"/>
      <c r="P892" s="20"/>
      <c r="Q892" s="20"/>
      <c r="R892" s="20"/>
      <c r="S892" s="20"/>
      <c r="T892" s="20"/>
      <c r="U892" s="20"/>
      <c r="V892" s="20"/>
      <c r="W892" s="20"/>
      <c r="X892" s="20"/>
      <c r="Y892" s="20"/>
      <c r="Z892" s="20"/>
    </row>
    <row r="893" spans="14:26" ht="17.25" customHeight="1">
      <c r="N893" s="47"/>
      <c r="O893" s="20"/>
      <c r="P893" s="20"/>
      <c r="Q893" s="20"/>
      <c r="R893" s="20"/>
      <c r="S893" s="20"/>
      <c r="T893" s="20"/>
      <c r="U893" s="20"/>
      <c r="V893" s="20"/>
      <c r="W893" s="20"/>
      <c r="X893" s="20"/>
      <c r="Y893" s="20"/>
      <c r="Z893" s="20"/>
    </row>
    <row r="894" spans="14:26" ht="17.25" customHeight="1">
      <c r="N894" s="47"/>
      <c r="O894" s="20"/>
      <c r="P894" s="20"/>
      <c r="Q894" s="20"/>
      <c r="R894" s="20"/>
      <c r="S894" s="20"/>
      <c r="T894" s="20"/>
      <c r="U894" s="20"/>
      <c r="V894" s="20"/>
      <c r="W894" s="20"/>
      <c r="X894" s="20"/>
      <c r="Y894" s="20"/>
      <c r="Z894" s="20"/>
    </row>
    <row r="895" spans="14:26" ht="17.25" customHeight="1">
      <c r="N895" s="47"/>
      <c r="O895" s="20"/>
      <c r="P895" s="20"/>
      <c r="Q895" s="20"/>
      <c r="R895" s="20"/>
      <c r="S895" s="20"/>
      <c r="T895" s="20"/>
      <c r="U895" s="20"/>
      <c r="V895" s="20"/>
      <c r="W895" s="20"/>
      <c r="X895" s="20"/>
      <c r="Y895" s="20"/>
      <c r="Z895" s="20"/>
    </row>
    <row r="896" spans="14:26" ht="17.25" customHeight="1">
      <c r="N896" s="47"/>
      <c r="O896" s="20"/>
      <c r="P896" s="20"/>
      <c r="Q896" s="20"/>
      <c r="R896" s="20"/>
      <c r="S896" s="20"/>
      <c r="T896" s="20"/>
      <c r="U896" s="20"/>
      <c r="V896" s="20"/>
      <c r="W896" s="20"/>
      <c r="X896" s="20"/>
      <c r="Y896" s="20"/>
      <c r="Z896" s="20"/>
    </row>
    <row r="897" spans="14:26" ht="17.25" customHeight="1">
      <c r="N897" s="47"/>
      <c r="O897" s="20"/>
      <c r="P897" s="20"/>
      <c r="Q897" s="20"/>
      <c r="R897" s="20"/>
      <c r="S897" s="20"/>
      <c r="T897" s="20"/>
      <c r="U897" s="20"/>
      <c r="V897" s="20"/>
      <c r="W897" s="20"/>
      <c r="X897" s="20"/>
      <c r="Y897" s="20"/>
      <c r="Z897" s="20"/>
    </row>
    <row r="898" spans="14:26" ht="17.25" customHeight="1">
      <c r="N898" s="47"/>
      <c r="O898" s="20"/>
      <c r="P898" s="20"/>
      <c r="Q898" s="20"/>
      <c r="R898" s="20"/>
      <c r="S898" s="20"/>
      <c r="T898" s="20"/>
      <c r="U898" s="20"/>
      <c r="V898" s="20"/>
      <c r="W898" s="20"/>
      <c r="X898" s="20"/>
      <c r="Y898" s="20"/>
      <c r="Z898" s="20"/>
    </row>
    <row r="899" spans="14:26" ht="17.25" customHeight="1">
      <c r="N899" s="47"/>
      <c r="O899" s="20"/>
      <c r="P899" s="20"/>
      <c r="Q899" s="20"/>
      <c r="R899" s="20"/>
      <c r="S899" s="20"/>
      <c r="T899" s="20"/>
      <c r="U899" s="20"/>
      <c r="V899" s="20"/>
      <c r="W899" s="20"/>
      <c r="X899" s="20"/>
      <c r="Y899" s="20"/>
      <c r="Z899" s="20"/>
    </row>
    <row r="900" spans="14:26" ht="17.25" customHeight="1">
      <c r="N900" s="47"/>
      <c r="O900" s="20"/>
      <c r="P900" s="20"/>
      <c r="Q900" s="20"/>
      <c r="R900" s="20"/>
      <c r="S900" s="20"/>
      <c r="T900" s="20"/>
      <c r="U900" s="20"/>
      <c r="V900" s="20"/>
      <c r="W900" s="20"/>
      <c r="X900" s="20"/>
      <c r="Y900" s="20"/>
      <c r="Z900" s="20"/>
    </row>
    <row r="901" spans="14:26" ht="17.25" customHeight="1">
      <c r="N901" s="47"/>
      <c r="O901" s="20"/>
      <c r="P901" s="20"/>
      <c r="Q901" s="20"/>
      <c r="R901" s="20"/>
      <c r="S901" s="20"/>
      <c r="T901" s="20"/>
      <c r="U901" s="20"/>
      <c r="V901" s="20"/>
      <c r="W901" s="20"/>
      <c r="X901" s="20"/>
      <c r="Y901" s="20"/>
      <c r="Z901" s="20"/>
    </row>
    <row r="902" spans="14:26" ht="17.25" customHeight="1">
      <c r="N902" s="47"/>
      <c r="O902" s="20"/>
      <c r="P902" s="20"/>
      <c r="Q902" s="20"/>
      <c r="R902" s="20"/>
      <c r="S902" s="20"/>
      <c r="T902" s="20"/>
      <c r="U902" s="20"/>
      <c r="V902" s="20"/>
      <c r="W902" s="20"/>
      <c r="X902" s="20"/>
      <c r="Y902" s="20"/>
      <c r="Z902" s="20"/>
    </row>
    <row r="903" spans="14:26" ht="17.25" customHeight="1">
      <c r="N903" s="47"/>
      <c r="O903" s="20"/>
      <c r="P903" s="20"/>
      <c r="Q903" s="20"/>
      <c r="R903" s="20"/>
      <c r="S903" s="20"/>
      <c r="T903" s="20"/>
      <c r="U903" s="20"/>
      <c r="V903" s="20"/>
      <c r="W903" s="20"/>
      <c r="X903" s="20"/>
      <c r="Y903" s="20"/>
      <c r="Z903" s="20"/>
    </row>
    <row r="904" spans="14:26" ht="17.25" customHeight="1">
      <c r="N904" s="47"/>
      <c r="O904" s="20"/>
      <c r="P904" s="20"/>
      <c r="Q904" s="20"/>
      <c r="R904" s="20"/>
      <c r="S904" s="20"/>
      <c r="T904" s="20"/>
      <c r="U904" s="20"/>
      <c r="V904" s="20"/>
      <c r="W904" s="20"/>
      <c r="X904" s="20"/>
      <c r="Y904" s="20"/>
      <c r="Z904" s="20"/>
    </row>
    <row r="905" spans="14:26" ht="17.25" customHeight="1">
      <c r="N905" s="47"/>
      <c r="O905" s="20"/>
      <c r="P905" s="20"/>
      <c r="Q905" s="20"/>
      <c r="R905" s="20"/>
      <c r="S905" s="20"/>
      <c r="T905" s="20"/>
      <c r="U905" s="20"/>
      <c r="V905" s="20"/>
      <c r="W905" s="20"/>
      <c r="X905" s="20"/>
      <c r="Y905" s="20"/>
      <c r="Z905" s="20"/>
    </row>
    <row r="906" spans="14:26" ht="17.25" customHeight="1">
      <c r="N906" s="47"/>
      <c r="O906" s="20"/>
      <c r="P906" s="20"/>
      <c r="Q906" s="20"/>
      <c r="R906" s="20"/>
      <c r="S906" s="20"/>
      <c r="T906" s="20"/>
      <c r="U906" s="20"/>
      <c r="V906" s="20"/>
      <c r="W906" s="20"/>
      <c r="X906" s="20"/>
      <c r="Y906" s="20"/>
      <c r="Z906" s="20"/>
    </row>
    <row r="907" spans="14:26" ht="17.25" customHeight="1">
      <c r="N907" s="47"/>
      <c r="O907" s="20"/>
      <c r="P907" s="20"/>
      <c r="Q907" s="20"/>
      <c r="R907" s="20"/>
      <c r="S907" s="20"/>
      <c r="T907" s="20"/>
      <c r="U907" s="20"/>
      <c r="V907" s="20"/>
      <c r="W907" s="20"/>
      <c r="X907" s="20"/>
      <c r="Y907" s="20"/>
      <c r="Z907" s="20"/>
    </row>
    <row r="908" spans="14:26" ht="17.25" customHeight="1">
      <c r="N908" s="47"/>
      <c r="O908" s="20"/>
      <c r="P908" s="20"/>
      <c r="Q908" s="20"/>
      <c r="R908" s="20"/>
      <c r="S908" s="20"/>
      <c r="T908" s="20"/>
      <c r="U908" s="20"/>
      <c r="V908" s="20"/>
      <c r="W908" s="20"/>
      <c r="X908" s="20"/>
      <c r="Y908" s="20"/>
      <c r="Z908" s="20"/>
    </row>
    <row r="909" spans="14:26" ht="17.25" customHeight="1">
      <c r="N909" s="47"/>
      <c r="O909" s="20"/>
      <c r="P909" s="20"/>
      <c r="Q909" s="20"/>
      <c r="R909" s="20"/>
      <c r="S909" s="20"/>
      <c r="T909" s="20"/>
      <c r="U909" s="20"/>
      <c r="V909" s="20"/>
      <c r="W909" s="20"/>
      <c r="X909" s="20"/>
      <c r="Y909" s="20"/>
      <c r="Z909" s="20"/>
    </row>
    <row r="910" spans="14:26" ht="17.25" customHeight="1">
      <c r="N910" s="47"/>
      <c r="O910" s="20"/>
      <c r="P910" s="20"/>
      <c r="Q910" s="20"/>
      <c r="R910" s="20"/>
      <c r="S910" s="20"/>
      <c r="T910" s="20"/>
      <c r="U910" s="20"/>
      <c r="V910" s="20"/>
      <c r="W910" s="20"/>
      <c r="X910" s="20"/>
      <c r="Y910" s="20"/>
      <c r="Z910" s="20"/>
    </row>
    <row r="911" spans="14:26" ht="17.25" customHeight="1">
      <c r="N911" s="47"/>
      <c r="O911" s="20"/>
      <c r="P911" s="20"/>
      <c r="Q911" s="20"/>
      <c r="R911" s="20"/>
      <c r="S911" s="20"/>
      <c r="T911" s="20"/>
      <c r="U911" s="20"/>
      <c r="V911" s="20"/>
      <c r="W911" s="20"/>
      <c r="X911" s="20"/>
      <c r="Y911" s="20"/>
      <c r="Z911" s="20"/>
    </row>
    <row r="912" spans="14:26" ht="17.25" customHeight="1">
      <c r="N912" s="47"/>
      <c r="O912" s="20"/>
      <c r="P912" s="20"/>
      <c r="Q912" s="20"/>
      <c r="R912" s="20"/>
      <c r="S912" s="20"/>
      <c r="T912" s="20"/>
      <c r="U912" s="20"/>
      <c r="V912" s="20"/>
      <c r="W912" s="20"/>
      <c r="X912" s="20"/>
      <c r="Y912" s="20"/>
      <c r="Z912" s="20"/>
    </row>
    <row r="913" spans="14:26" ht="17.25" customHeight="1">
      <c r="N913" s="47"/>
      <c r="O913" s="20"/>
      <c r="P913" s="20"/>
      <c r="Q913" s="20"/>
      <c r="R913" s="20"/>
      <c r="S913" s="20"/>
      <c r="T913" s="20"/>
      <c r="U913" s="20"/>
      <c r="V913" s="20"/>
      <c r="W913" s="20"/>
      <c r="X913" s="20"/>
      <c r="Y913" s="20"/>
      <c r="Z913" s="20"/>
    </row>
    <row r="914" spans="14:26" ht="17.25" customHeight="1">
      <c r="N914" s="47"/>
      <c r="O914" s="20"/>
      <c r="P914" s="20"/>
      <c r="Q914" s="20"/>
      <c r="R914" s="20"/>
      <c r="S914" s="20"/>
      <c r="T914" s="20"/>
      <c r="U914" s="20"/>
      <c r="V914" s="20"/>
      <c r="W914" s="20"/>
      <c r="X914" s="20"/>
      <c r="Y914" s="20"/>
      <c r="Z914" s="20"/>
    </row>
    <row r="915" spans="14:26" ht="17.25" customHeight="1">
      <c r="N915" s="47"/>
      <c r="O915" s="20"/>
      <c r="P915" s="20"/>
      <c r="Q915" s="20"/>
      <c r="R915" s="20"/>
      <c r="S915" s="20"/>
      <c r="T915" s="20"/>
      <c r="U915" s="20"/>
      <c r="V915" s="20"/>
      <c r="W915" s="20"/>
      <c r="X915" s="20"/>
      <c r="Y915" s="20"/>
      <c r="Z915" s="20"/>
    </row>
    <row r="916" spans="14:26" ht="17.25" customHeight="1">
      <c r="N916" s="47"/>
      <c r="O916" s="20"/>
      <c r="P916" s="20"/>
      <c r="Q916" s="20"/>
      <c r="R916" s="20"/>
      <c r="S916" s="20"/>
      <c r="T916" s="20"/>
      <c r="U916" s="20"/>
      <c r="V916" s="20"/>
      <c r="W916" s="20"/>
      <c r="X916" s="20"/>
      <c r="Y916" s="20"/>
      <c r="Z916" s="20"/>
    </row>
    <row r="917" spans="14:26" ht="17.25" customHeight="1">
      <c r="N917" s="47"/>
      <c r="O917" s="20"/>
      <c r="P917" s="20"/>
      <c r="Q917" s="20"/>
      <c r="R917" s="20"/>
      <c r="S917" s="20"/>
      <c r="T917" s="20"/>
      <c r="U917" s="20"/>
      <c r="V917" s="20"/>
      <c r="W917" s="20"/>
      <c r="X917" s="20"/>
      <c r="Y917" s="20"/>
      <c r="Z917" s="20"/>
    </row>
    <row r="918" spans="14:26" ht="17.25" customHeight="1">
      <c r="N918" s="47"/>
      <c r="O918" s="20"/>
      <c r="P918" s="20"/>
      <c r="Q918" s="20"/>
      <c r="R918" s="20"/>
      <c r="S918" s="20"/>
      <c r="T918" s="20"/>
      <c r="U918" s="20"/>
      <c r="V918" s="20"/>
      <c r="W918" s="20"/>
      <c r="X918" s="20"/>
      <c r="Y918" s="20"/>
      <c r="Z918" s="20"/>
    </row>
    <row r="919" spans="14:26" ht="17.25" customHeight="1">
      <c r="N919" s="47"/>
      <c r="O919" s="20"/>
      <c r="P919" s="20"/>
      <c r="Q919" s="20"/>
      <c r="R919" s="20"/>
      <c r="S919" s="20"/>
      <c r="T919" s="20"/>
      <c r="U919" s="20"/>
      <c r="V919" s="20"/>
      <c r="W919" s="20"/>
      <c r="X919" s="20"/>
      <c r="Y919" s="20"/>
      <c r="Z919" s="20"/>
    </row>
    <row r="920" spans="14:26" ht="17.25" customHeight="1">
      <c r="N920" s="47"/>
      <c r="O920" s="20"/>
      <c r="P920" s="20"/>
      <c r="Q920" s="20"/>
      <c r="R920" s="20"/>
      <c r="S920" s="20"/>
      <c r="T920" s="20"/>
      <c r="U920" s="20"/>
      <c r="V920" s="20"/>
      <c r="W920" s="20"/>
      <c r="X920" s="20"/>
      <c r="Y920" s="20"/>
      <c r="Z920" s="20"/>
    </row>
    <row r="921" spans="14:26" ht="17.25" customHeight="1">
      <c r="N921" s="47"/>
      <c r="O921" s="20"/>
      <c r="P921" s="20"/>
      <c r="Q921" s="20"/>
      <c r="R921" s="20"/>
      <c r="S921" s="20"/>
      <c r="T921" s="20"/>
      <c r="U921" s="20"/>
      <c r="V921" s="20"/>
      <c r="W921" s="20"/>
      <c r="X921" s="20"/>
      <c r="Y921" s="20"/>
      <c r="Z921" s="20"/>
    </row>
    <row r="922" spans="14:26" ht="17.25" customHeight="1">
      <c r="N922" s="47"/>
      <c r="O922" s="20"/>
      <c r="P922" s="20"/>
      <c r="Q922" s="20"/>
      <c r="R922" s="20"/>
      <c r="S922" s="20"/>
      <c r="T922" s="20"/>
      <c r="U922" s="20"/>
      <c r="V922" s="20"/>
      <c r="W922" s="20"/>
      <c r="X922" s="20"/>
      <c r="Y922" s="20"/>
      <c r="Z922" s="20"/>
    </row>
    <row r="923" spans="14:26" ht="17.25" customHeight="1">
      <c r="N923" s="47"/>
      <c r="O923" s="20"/>
      <c r="P923" s="20"/>
      <c r="Q923" s="20"/>
      <c r="R923" s="20"/>
      <c r="S923" s="20"/>
      <c r="T923" s="20"/>
      <c r="U923" s="20"/>
      <c r="V923" s="20"/>
      <c r="W923" s="20"/>
      <c r="X923" s="20"/>
      <c r="Y923" s="20"/>
      <c r="Z923" s="20"/>
    </row>
    <row r="924" spans="14:26" ht="17.25" customHeight="1">
      <c r="N924" s="47"/>
      <c r="O924" s="20"/>
      <c r="P924" s="20"/>
      <c r="Q924" s="20"/>
      <c r="R924" s="20"/>
      <c r="S924" s="20"/>
      <c r="T924" s="20"/>
      <c r="U924" s="20"/>
      <c r="V924" s="20"/>
      <c r="W924" s="20"/>
      <c r="X924" s="20"/>
      <c r="Y924" s="20"/>
      <c r="Z924" s="20"/>
    </row>
    <row r="925" spans="14:26" ht="17.25" customHeight="1">
      <c r="N925" s="47"/>
      <c r="O925" s="20"/>
      <c r="P925" s="20"/>
      <c r="Q925" s="20"/>
      <c r="R925" s="20"/>
      <c r="S925" s="20"/>
      <c r="T925" s="20"/>
      <c r="U925" s="20"/>
      <c r="V925" s="20"/>
      <c r="W925" s="20"/>
      <c r="X925" s="20"/>
      <c r="Y925" s="20"/>
      <c r="Z925" s="20"/>
    </row>
    <row r="926" spans="14:26" ht="17.25" customHeight="1">
      <c r="N926" s="47"/>
      <c r="O926" s="20"/>
      <c r="P926" s="20"/>
      <c r="Q926" s="20"/>
      <c r="R926" s="20"/>
      <c r="S926" s="20"/>
      <c r="T926" s="20"/>
      <c r="U926" s="20"/>
      <c r="V926" s="20"/>
      <c r="W926" s="20"/>
      <c r="X926" s="20"/>
      <c r="Y926" s="20"/>
      <c r="Z926" s="20"/>
    </row>
    <row r="927" spans="14:26" ht="17.25" customHeight="1">
      <c r="N927" s="47"/>
      <c r="O927" s="20"/>
      <c r="P927" s="20"/>
      <c r="Q927" s="20"/>
      <c r="R927" s="20"/>
      <c r="S927" s="20"/>
      <c r="T927" s="20"/>
      <c r="U927" s="20"/>
      <c r="V927" s="20"/>
      <c r="W927" s="20"/>
      <c r="X927" s="20"/>
      <c r="Y927" s="20"/>
      <c r="Z927" s="20"/>
    </row>
    <row r="928" spans="14:26" ht="17.25" customHeight="1">
      <c r="N928" s="47"/>
      <c r="O928" s="20"/>
      <c r="P928" s="20"/>
      <c r="Q928" s="20"/>
      <c r="R928" s="20"/>
      <c r="S928" s="20"/>
      <c r="T928" s="20"/>
      <c r="U928" s="20"/>
      <c r="V928" s="20"/>
      <c r="W928" s="20"/>
      <c r="X928" s="20"/>
      <c r="Y928" s="20"/>
      <c r="Z928" s="20"/>
    </row>
    <row r="929" spans="14:26" ht="17.25" customHeight="1">
      <c r="N929" s="47"/>
      <c r="O929" s="20"/>
      <c r="P929" s="20"/>
      <c r="Q929" s="20"/>
      <c r="R929" s="20"/>
      <c r="S929" s="20"/>
      <c r="T929" s="20"/>
      <c r="U929" s="20"/>
      <c r="V929" s="20"/>
      <c r="W929" s="20"/>
      <c r="X929" s="20"/>
      <c r="Y929" s="20"/>
      <c r="Z929" s="20"/>
    </row>
    <row r="930" spans="14:26" ht="17.25" customHeight="1">
      <c r="N930" s="47"/>
      <c r="O930" s="20"/>
      <c r="P930" s="20"/>
      <c r="Q930" s="20"/>
      <c r="R930" s="20"/>
      <c r="S930" s="20"/>
      <c r="T930" s="20"/>
      <c r="U930" s="20"/>
      <c r="V930" s="20"/>
      <c r="W930" s="20"/>
      <c r="X930" s="20"/>
      <c r="Y930" s="20"/>
      <c r="Z930" s="20"/>
    </row>
    <row r="931" spans="14:26" ht="17.25" customHeight="1">
      <c r="N931" s="47"/>
      <c r="O931" s="20"/>
      <c r="P931" s="20"/>
      <c r="Q931" s="20"/>
      <c r="R931" s="20"/>
      <c r="S931" s="20"/>
      <c r="T931" s="20"/>
      <c r="U931" s="20"/>
      <c r="V931" s="20"/>
      <c r="W931" s="20"/>
      <c r="X931" s="20"/>
      <c r="Y931" s="20"/>
      <c r="Z931" s="20"/>
    </row>
    <row r="932" spans="14:26" ht="17.25" customHeight="1">
      <c r="N932" s="47"/>
      <c r="O932" s="20"/>
      <c r="P932" s="20"/>
      <c r="Q932" s="20"/>
      <c r="R932" s="20"/>
      <c r="S932" s="20"/>
      <c r="T932" s="20"/>
      <c r="U932" s="20"/>
      <c r="V932" s="20"/>
      <c r="W932" s="20"/>
      <c r="X932" s="20"/>
      <c r="Y932" s="20"/>
      <c r="Z932" s="20"/>
    </row>
    <row r="933" spans="14:26" ht="17.25" customHeight="1">
      <c r="N933" s="47"/>
      <c r="O933" s="20"/>
      <c r="P933" s="20"/>
      <c r="Q933" s="20"/>
      <c r="R933" s="20"/>
      <c r="S933" s="20"/>
      <c r="T933" s="20"/>
      <c r="U933" s="20"/>
      <c r="V933" s="20"/>
      <c r="W933" s="20"/>
      <c r="X933" s="20"/>
      <c r="Y933" s="20"/>
      <c r="Z933" s="20"/>
    </row>
    <row r="934" spans="14:26" ht="17.25" customHeight="1">
      <c r="N934" s="47"/>
      <c r="O934" s="20"/>
      <c r="P934" s="20"/>
      <c r="Q934" s="20"/>
      <c r="R934" s="20"/>
      <c r="S934" s="20"/>
      <c r="T934" s="20"/>
      <c r="U934" s="20"/>
      <c r="V934" s="20"/>
      <c r="W934" s="20"/>
      <c r="X934" s="20"/>
      <c r="Y934" s="20"/>
      <c r="Z934" s="20"/>
    </row>
    <row r="935" spans="14:26" ht="17.25" customHeight="1">
      <c r="N935" s="47"/>
      <c r="O935" s="20"/>
      <c r="P935" s="20"/>
      <c r="Q935" s="20"/>
      <c r="R935" s="20"/>
      <c r="S935" s="20"/>
      <c r="T935" s="20"/>
      <c r="U935" s="20"/>
      <c r="V935" s="20"/>
      <c r="W935" s="20"/>
      <c r="X935" s="20"/>
      <c r="Y935" s="20"/>
      <c r="Z935" s="20"/>
    </row>
    <row r="936" spans="14:26" ht="17.25" customHeight="1">
      <c r="N936" s="47"/>
      <c r="O936" s="20"/>
      <c r="P936" s="20"/>
      <c r="Q936" s="20"/>
      <c r="R936" s="20"/>
      <c r="S936" s="20"/>
      <c r="T936" s="20"/>
      <c r="U936" s="20"/>
      <c r="V936" s="20"/>
      <c r="W936" s="20"/>
      <c r="X936" s="20"/>
      <c r="Y936" s="20"/>
      <c r="Z936" s="20"/>
    </row>
    <row r="937" spans="14:26" ht="17.25" customHeight="1">
      <c r="N937" s="47"/>
      <c r="O937" s="20"/>
      <c r="P937" s="20"/>
      <c r="Q937" s="20"/>
      <c r="R937" s="20"/>
      <c r="S937" s="20"/>
      <c r="T937" s="20"/>
      <c r="U937" s="20"/>
      <c r="V937" s="20"/>
      <c r="W937" s="20"/>
      <c r="X937" s="20"/>
      <c r="Y937" s="20"/>
      <c r="Z937" s="20"/>
    </row>
    <row r="938" spans="14:26" ht="17.25" customHeight="1">
      <c r="N938" s="47"/>
      <c r="O938" s="20"/>
      <c r="P938" s="20"/>
      <c r="Q938" s="20"/>
      <c r="R938" s="20"/>
      <c r="S938" s="20"/>
      <c r="T938" s="20"/>
      <c r="U938" s="20"/>
      <c r="V938" s="20"/>
      <c r="W938" s="20"/>
      <c r="X938" s="20"/>
      <c r="Y938" s="20"/>
      <c r="Z938" s="20"/>
    </row>
    <row r="939" spans="14:26" ht="17.25" customHeight="1">
      <c r="N939" s="47"/>
      <c r="O939" s="20"/>
      <c r="P939" s="20"/>
      <c r="Q939" s="20"/>
      <c r="R939" s="20"/>
      <c r="S939" s="20"/>
      <c r="T939" s="20"/>
      <c r="U939" s="20"/>
      <c r="V939" s="20"/>
      <c r="W939" s="20"/>
      <c r="X939" s="20"/>
      <c r="Y939" s="20"/>
      <c r="Z939" s="20"/>
    </row>
    <row r="940" spans="14:26" ht="17.25" customHeight="1">
      <c r="N940" s="47"/>
      <c r="O940" s="20"/>
      <c r="P940" s="20"/>
      <c r="Q940" s="20"/>
      <c r="R940" s="20"/>
      <c r="S940" s="20"/>
      <c r="T940" s="20"/>
      <c r="U940" s="20"/>
      <c r="V940" s="20"/>
      <c r="W940" s="20"/>
      <c r="X940" s="20"/>
      <c r="Y940" s="20"/>
      <c r="Z940" s="20"/>
    </row>
    <row r="941" spans="14:26" ht="17.25" customHeight="1">
      <c r="N941" s="47"/>
      <c r="O941" s="20"/>
      <c r="P941" s="20"/>
      <c r="Q941" s="20"/>
      <c r="R941" s="20"/>
      <c r="S941" s="20"/>
      <c r="T941" s="20"/>
      <c r="U941" s="20"/>
      <c r="V941" s="20"/>
      <c r="W941" s="20"/>
      <c r="X941" s="20"/>
      <c r="Y941" s="20"/>
      <c r="Z941" s="20"/>
    </row>
    <row r="942" spans="14:26" ht="17.25" customHeight="1">
      <c r="N942" s="47"/>
      <c r="O942" s="20"/>
      <c r="P942" s="20"/>
      <c r="Q942" s="20"/>
      <c r="R942" s="20"/>
      <c r="S942" s="20"/>
      <c r="T942" s="20"/>
      <c r="U942" s="20"/>
      <c r="V942" s="20"/>
      <c r="W942" s="20"/>
      <c r="X942" s="20"/>
      <c r="Y942" s="20"/>
      <c r="Z942" s="20"/>
    </row>
    <row r="943" spans="14:26" ht="17.25" customHeight="1">
      <c r="N943" s="47"/>
      <c r="O943" s="20"/>
      <c r="P943" s="20"/>
      <c r="Q943" s="20"/>
      <c r="R943" s="20"/>
      <c r="S943" s="20"/>
      <c r="T943" s="20"/>
      <c r="U943" s="20"/>
      <c r="V943" s="20"/>
      <c r="W943" s="20"/>
      <c r="X943" s="20"/>
      <c r="Y943" s="20"/>
      <c r="Z943" s="20"/>
    </row>
    <row r="944" spans="14:26" ht="17.25" customHeight="1">
      <c r="N944" s="47"/>
      <c r="O944" s="20"/>
      <c r="P944" s="20"/>
      <c r="Q944" s="20"/>
      <c r="R944" s="20"/>
      <c r="S944" s="20"/>
      <c r="T944" s="20"/>
      <c r="U944" s="20"/>
      <c r="V944" s="20"/>
      <c r="W944" s="20"/>
      <c r="X944" s="20"/>
      <c r="Y944" s="20"/>
      <c r="Z944" s="20"/>
    </row>
    <row r="945" spans="14:26" ht="17.25" customHeight="1">
      <c r="N945" s="47"/>
      <c r="O945" s="20"/>
      <c r="P945" s="20"/>
      <c r="Q945" s="20"/>
      <c r="R945" s="20"/>
      <c r="S945" s="20"/>
      <c r="T945" s="20"/>
      <c r="U945" s="20"/>
      <c r="V945" s="20"/>
      <c r="W945" s="20"/>
      <c r="X945" s="20"/>
      <c r="Y945" s="20"/>
      <c r="Z945" s="20"/>
    </row>
    <row r="946" spans="14:26" ht="17.25" customHeight="1">
      <c r="N946" s="47"/>
      <c r="O946" s="20"/>
      <c r="P946" s="20"/>
      <c r="Q946" s="20"/>
      <c r="R946" s="20"/>
      <c r="S946" s="20"/>
      <c r="T946" s="20"/>
      <c r="U946" s="20"/>
      <c r="V946" s="20"/>
      <c r="W946" s="20"/>
      <c r="X946" s="20"/>
      <c r="Y946" s="20"/>
      <c r="Z946" s="20"/>
    </row>
    <row r="947" spans="14:26" ht="17.25" customHeight="1">
      <c r="N947" s="47"/>
      <c r="O947" s="20"/>
      <c r="P947" s="20"/>
      <c r="Q947" s="20"/>
      <c r="R947" s="20"/>
      <c r="S947" s="20"/>
      <c r="T947" s="20"/>
      <c r="U947" s="20"/>
      <c r="V947" s="20"/>
      <c r="W947" s="20"/>
      <c r="X947" s="20"/>
      <c r="Y947" s="20"/>
      <c r="Z947" s="20"/>
    </row>
    <row r="948" spans="14:26" ht="17.25" customHeight="1">
      <c r="N948" s="47"/>
      <c r="O948" s="20"/>
      <c r="P948" s="20"/>
      <c r="Q948" s="20"/>
      <c r="R948" s="20"/>
      <c r="S948" s="20"/>
      <c r="T948" s="20"/>
      <c r="U948" s="20"/>
      <c r="V948" s="20"/>
      <c r="W948" s="20"/>
      <c r="X948" s="20"/>
      <c r="Y948" s="20"/>
      <c r="Z948" s="20"/>
    </row>
    <row r="949" spans="14:26" ht="17.25" customHeight="1">
      <c r="N949" s="47"/>
      <c r="O949" s="20"/>
      <c r="P949" s="20"/>
      <c r="Q949" s="20"/>
      <c r="R949" s="20"/>
      <c r="S949" s="20"/>
      <c r="T949" s="20"/>
      <c r="U949" s="20"/>
      <c r="V949" s="20"/>
      <c r="W949" s="20"/>
      <c r="X949" s="20"/>
      <c r="Y949" s="20"/>
      <c r="Z949" s="20"/>
    </row>
    <row r="950" spans="14:26" ht="17.25" customHeight="1">
      <c r="N950" s="47"/>
      <c r="O950" s="20"/>
      <c r="P950" s="20"/>
      <c r="Q950" s="20"/>
      <c r="R950" s="20"/>
      <c r="S950" s="20"/>
      <c r="T950" s="20"/>
      <c r="U950" s="20"/>
      <c r="V950" s="20"/>
      <c r="W950" s="20"/>
      <c r="X950" s="20"/>
      <c r="Y950" s="20"/>
      <c r="Z950" s="20"/>
    </row>
    <row r="951" spans="14:26" ht="17.25" customHeight="1">
      <c r="N951" s="47"/>
      <c r="O951" s="20"/>
      <c r="P951" s="20"/>
      <c r="Q951" s="20"/>
      <c r="R951" s="20"/>
      <c r="S951" s="20"/>
      <c r="T951" s="20"/>
      <c r="U951" s="20"/>
      <c r="V951" s="20"/>
      <c r="W951" s="20"/>
      <c r="X951" s="20"/>
      <c r="Y951" s="20"/>
      <c r="Z951" s="20"/>
    </row>
    <row r="952" spans="14:26" ht="17.25" customHeight="1">
      <c r="N952" s="47"/>
      <c r="O952" s="20"/>
      <c r="P952" s="20"/>
      <c r="Q952" s="20"/>
      <c r="R952" s="20"/>
      <c r="S952" s="20"/>
      <c r="T952" s="20"/>
      <c r="U952" s="20"/>
      <c r="V952" s="20"/>
      <c r="W952" s="20"/>
      <c r="X952" s="20"/>
      <c r="Y952" s="20"/>
      <c r="Z952" s="20"/>
    </row>
    <row r="953" spans="14:26" ht="17.25" customHeight="1">
      <c r="N953" s="47"/>
      <c r="O953" s="20"/>
      <c r="P953" s="20"/>
      <c r="Q953" s="20"/>
      <c r="R953" s="20"/>
      <c r="S953" s="20"/>
      <c r="T953" s="20"/>
      <c r="U953" s="20"/>
      <c r="V953" s="20"/>
      <c r="W953" s="20"/>
      <c r="X953" s="20"/>
      <c r="Y953" s="20"/>
      <c r="Z953" s="20"/>
    </row>
    <row r="954" spans="14:26" ht="17.25" customHeight="1">
      <c r="N954" s="47"/>
      <c r="O954" s="20"/>
      <c r="P954" s="20"/>
      <c r="Q954" s="20"/>
      <c r="R954" s="20"/>
      <c r="S954" s="20"/>
      <c r="T954" s="20"/>
      <c r="U954" s="20"/>
      <c r="V954" s="20"/>
      <c r="W954" s="20"/>
      <c r="X954" s="20"/>
      <c r="Y954" s="20"/>
      <c r="Z954" s="20"/>
    </row>
    <row r="955" spans="14:26" ht="17.25" customHeight="1">
      <c r="N955" s="47"/>
      <c r="O955" s="20"/>
      <c r="P955" s="20"/>
      <c r="Q955" s="20"/>
      <c r="R955" s="20"/>
      <c r="S955" s="20"/>
      <c r="T955" s="20"/>
      <c r="U955" s="20"/>
      <c r="V955" s="20"/>
      <c r="W955" s="20"/>
      <c r="X955" s="20"/>
      <c r="Y955" s="20"/>
      <c r="Z955" s="20"/>
    </row>
    <row r="956" spans="14:26" ht="17.25" customHeight="1">
      <c r="N956" s="47"/>
      <c r="O956" s="20"/>
      <c r="P956" s="20"/>
      <c r="Q956" s="20"/>
      <c r="R956" s="20"/>
      <c r="S956" s="20"/>
      <c r="T956" s="20"/>
      <c r="U956" s="20"/>
      <c r="V956" s="20"/>
      <c r="W956" s="20"/>
      <c r="X956" s="20"/>
      <c r="Y956" s="20"/>
      <c r="Z956" s="20"/>
    </row>
    <row r="957" spans="14:26" ht="17.25" customHeight="1">
      <c r="N957" s="47"/>
      <c r="O957" s="20"/>
      <c r="P957" s="20"/>
      <c r="Q957" s="20"/>
      <c r="R957" s="20"/>
      <c r="S957" s="20"/>
      <c r="T957" s="20"/>
      <c r="U957" s="20"/>
      <c r="V957" s="20"/>
      <c r="W957" s="20"/>
      <c r="X957" s="20"/>
      <c r="Y957" s="20"/>
      <c r="Z957" s="20"/>
    </row>
    <row r="958" spans="14:26" ht="17.25" customHeight="1">
      <c r="N958" s="47"/>
      <c r="O958" s="20"/>
      <c r="P958" s="20"/>
      <c r="Q958" s="20"/>
      <c r="R958" s="20"/>
      <c r="S958" s="20"/>
      <c r="T958" s="20"/>
      <c r="U958" s="20"/>
      <c r="V958" s="20"/>
      <c r="W958" s="20"/>
      <c r="X958" s="20"/>
      <c r="Y958" s="20"/>
      <c r="Z958" s="20"/>
    </row>
    <row r="959" spans="14:26" ht="17.25" customHeight="1">
      <c r="N959" s="47"/>
      <c r="O959" s="20"/>
      <c r="P959" s="20"/>
      <c r="Q959" s="20"/>
      <c r="R959" s="20"/>
      <c r="S959" s="20"/>
      <c r="T959" s="20"/>
      <c r="U959" s="20"/>
      <c r="V959" s="20"/>
      <c r="W959" s="20"/>
      <c r="X959" s="20"/>
      <c r="Y959" s="20"/>
      <c r="Z959" s="20"/>
    </row>
    <row r="960" spans="14:26" ht="17.25" customHeight="1">
      <c r="N960" s="47"/>
      <c r="O960" s="20"/>
      <c r="P960" s="20"/>
      <c r="Q960" s="20"/>
      <c r="R960" s="20"/>
      <c r="S960" s="20"/>
      <c r="T960" s="20"/>
      <c r="U960" s="20"/>
      <c r="V960" s="20"/>
      <c r="W960" s="20"/>
      <c r="X960" s="20"/>
      <c r="Y960" s="20"/>
      <c r="Z960" s="20"/>
    </row>
    <row r="961" spans="14:26" ht="17.25" customHeight="1">
      <c r="N961" s="47"/>
      <c r="O961" s="20"/>
      <c r="P961" s="20"/>
      <c r="Q961" s="20"/>
      <c r="R961" s="20"/>
      <c r="S961" s="20"/>
      <c r="T961" s="20"/>
      <c r="U961" s="20"/>
      <c r="V961" s="20"/>
      <c r="W961" s="20"/>
      <c r="X961" s="20"/>
      <c r="Y961" s="20"/>
      <c r="Z961" s="20"/>
    </row>
    <row r="962" spans="14:26" ht="17.25" customHeight="1">
      <c r="N962" s="47"/>
      <c r="O962" s="20"/>
      <c r="P962" s="20"/>
      <c r="Q962" s="20"/>
      <c r="R962" s="20"/>
      <c r="S962" s="20"/>
      <c r="T962" s="20"/>
      <c r="U962" s="20"/>
      <c r="V962" s="20"/>
      <c r="W962" s="20"/>
      <c r="X962" s="20"/>
      <c r="Y962" s="20"/>
      <c r="Z962" s="20"/>
    </row>
    <row r="963" spans="14:26" ht="17.25" customHeight="1">
      <c r="N963" s="47"/>
      <c r="O963" s="20"/>
      <c r="P963" s="20"/>
      <c r="Q963" s="20"/>
      <c r="R963" s="20"/>
      <c r="S963" s="20"/>
      <c r="T963" s="20"/>
      <c r="U963" s="20"/>
      <c r="V963" s="20"/>
      <c r="W963" s="20"/>
      <c r="X963" s="20"/>
      <c r="Y963" s="20"/>
      <c r="Z963" s="20"/>
    </row>
    <row r="964" spans="14:26" ht="17.25" customHeight="1">
      <c r="N964" s="47"/>
      <c r="O964" s="20"/>
      <c r="P964" s="20"/>
      <c r="Q964" s="20"/>
      <c r="R964" s="20"/>
      <c r="S964" s="20"/>
      <c r="T964" s="20"/>
      <c r="U964" s="20"/>
      <c r="V964" s="20"/>
      <c r="W964" s="20"/>
      <c r="X964" s="20"/>
      <c r="Y964" s="20"/>
      <c r="Z964" s="20"/>
    </row>
    <row r="965" spans="14:26" ht="17.25" customHeight="1">
      <c r="N965" s="47"/>
      <c r="O965" s="20"/>
      <c r="P965" s="20"/>
      <c r="Q965" s="20"/>
      <c r="R965" s="20"/>
      <c r="S965" s="20"/>
      <c r="T965" s="20"/>
      <c r="U965" s="20"/>
      <c r="V965" s="20"/>
      <c r="W965" s="20"/>
      <c r="X965" s="20"/>
      <c r="Y965" s="20"/>
      <c r="Z965" s="20"/>
    </row>
    <row r="966" spans="14:26" ht="17.25" customHeight="1">
      <c r="N966" s="47"/>
      <c r="O966" s="20"/>
      <c r="P966" s="20"/>
      <c r="Q966" s="20"/>
      <c r="R966" s="20"/>
      <c r="S966" s="20"/>
      <c r="T966" s="20"/>
      <c r="U966" s="20"/>
      <c r="V966" s="20"/>
      <c r="W966" s="20"/>
      <c r="X966" s="20"/>
      <c r="Y966" s="20"/>
      <c r="Z966" s="20"/>
    </row>
    <row r="967" spans="14:26" ht="17.25" customHeight="1">
      <c r="N967" s="47"/>
      <c r="O967" s="20"/>
      <c r="P967" s="20"/>
      <c r="Q967" s="20"/>
      <c r="R967" s="20"/>
      <c r="S967" s="20"/>
      <c r="T967" s="20"/>
      <c r="U967" s="20"/>
      <c r="V967" s="20"/>
      <c r="W967" s="20"/>
      <c r="X967" s="20"/>
      <c r="Y967" s="20"/>
      <c r="Z967" s="20"/>
    </row>
    <row r="968" spans="14:26" ht="17.25" customHeight="1">
      <c r="N968" s="47"/>
      <c r="O968" s="20"/>
      <c r="P968" s="20"/>
      <c r="Q968" s="20"/>
      <c r="R968" s="20"/>
      <c r="S968" s="20"/>
      <c r="T968" s="20"/>
      <c r="U968" s="20"/>
      <c r="V968" s="20"/>
      <c r="W968" s="20"/>
      <c r="X968" s="20"/>
      <c r="Y968" s="20"/>
      <c r="Z968" s="20"/>
    </row>
    <row r="969" spans="14:26" ht="17.25" customHeight="1">
      <c r="N969" s="47"/>
      <c r="O969" s="20"/>
      <c r="P969" s="20"/>
      <c r="Q969" s="20"/>
      <c r="R969" s="20"/>
      <c r="S969" s="20"/>
      <c r="T969" s="20"/>
      <c r="U969" s="20"/>
      <c r="V969" s="20"/>
      <c r="W969" s="20"/>
      <c r="X969" s="20"/>
      <c r="Y969" s="20"/>
      <c r="Z969" s="20"/>
    </row>
    <row r="970" spans="14:26" ht="17.25" customHeight="1">
      <c r="N970" s="47"/>
      <c r="O970" s="20"/>
      <c r="P970" s="20"/>
      <c r="Q970" s="20"/>
      <c r="R970" s="20"/>
      <c r="S970" s="20"/>
      <c r="T970" s="20"/>
      <c r="U970" s="20"/>
      <c r="V970" s="20"/>
      <c r="W970" s="20"/>
      <c r="X970" s="20"/>
      <c r="Y970" s="20"/>
      <c r="Z970" s="20"/>
    </row>
    <row r="971" spans="14:26" ht="17.25" customHeight="1">
      <c r="N971" s="47"/>
      <c r="O971" s="20"/>
      <c r="P971" s="20"/>
      <c r="Q971" s="20"/>
      <c r="R971" s="20"/>
      <c r="S971" s="20"/>
      <c r="T971" s="20"/>
      <c r="U971" s="20"/>
      <c r="V971" s="20"/>
      <c r="W971" s="20"/>
      <c r="X971" s="20"/>
      <c r="Y971" s="20"/>
      <c r="Z971" s="20"/>
    </row>
    <row r="972" spans="14:26" ht="17.25" customHeight="1">
      <c r="N972" s="47"/>
      <c r="O972" s="20"/>
      <c r="P972" s="20"/>
      <c r="Q972" s="20"/>
      <c r="R972" s="20"/>
      <c r="S972" s="20"/>
      <c r="T972" s="20"/>
      <c r="U972" s="20"/>
      <c r="V972" s="20"/>
      <c r="W972" s="20"/>
      <c r="X972" s="20"/>
      <c r="Y972" s="20"/>
      <c r="Z972" s="20"/>
    </row>
    <row r="973" spans="14:26" ht="17.25" customHeight="1">
      <c r="N973" s="47"/>
      <c r="O973" s="20"/>
      <c r="P973" s="20"/>
      <c r="Q973" s="20"/>
      <c r="R973" s="20"/>
      <c r="S973" s="20"/>
      <c r="T973" s="20"/>
      <c r="U973" s="20"/>
      <c r="V973" s="20"/>
      <c r="W973" s="20"/>
      <c r="X973" s="20"/>
      <c r="Y973" s="20"/>
      <c r="Z973" s="20"/>
    </row>
    <row r="974" spans="14:26" ht="17.25" customHeight="1">
      <c r="N974" s="47"/>
      <c r="O974" s="20"/>
      <c r="P974" s="20"/>
      <c r="Q974" s="20"/>
      <c r="R974" s="20"/>
      <c r="S974" s="20"/>
      <c r="T974" s="20"/>
      <c r="U974" s="20"/>
      <c r="V974" s="20"/>
      <c r="W974" s="20"/>
      <c r="X974" s="20"/>
      <c r="Y974" s="20"/>
      <c r="Z974" s="20"/>
    </row>
    <row r="975" spans="14:26" ht="17.25" customHeight="1">
      <c r="N975" s="47"/>
      <c r="O975" s="20"/>
      <c r="P975" s="20"/>
      <c r="Q975" s="20"/>
      <c r="R975" s="20"/>
      <c r="S975" s="20"/>
      <c r="T975" s="20"/>
      <c r="U975" s="20"/>
      <c r="V975" s="20"/>
      <c r="W975" s="20"/>
      <c r="X975" s="20"/>
      <c r="Y975" s="20"/>
      <c r="Z975" s="20"/>
    </row>
    <row r="976" spans="14:26" ht="17.25" customHeight="1">
      <c r="N976" s="47"/>
      <c r="O976" s="20"/>
      <c r="P976" s="20"/>
      <c r="Q976" s="20"/>
      <c r="R976" s="20"/>
      <c r="S976" s="20"/>
      <c r="T976" s="20"/>
      <c r="U976" s="20"/>
      <c r="V976" s="20"/>
      <c r="W976" s="20"/>
      <c r="X976" s="20"/>
      <c r="Y976" s="20"/>
      <c r="Z976" s="20"/>
    </row>
    <row r="977" spans="14:26" ht="17.25" customHeight="1">
      <c r="N977" s="47"/>
      <c r="O977" s="20"/>
      <c r="P977" s="20"/>
      <c r="Q977" s="20"/>
      <c r="R977" s="20"/>
      <c r="S977" s="20"/>
      <c r="T977" s="20"/>
      <c r="U977" s="20"/>
      <c r="V977" s="20"/>
      <c r="W977" s="20"/>
      <c r="X977" s="20"/>
      <c r="Y977" s="20"/>
      <c r="Z977" s="20"/>
    </row>
    <row r="978" spans="14:26" ht="17.25" customHeight="1">
      <c r="N978" s="47"/>
      <c r="O978" s="20"/>
      <c r="P978" s="20"/>
      <c r="Q978" s="20"/>
      <c r="R978" s="20"/>
      <c r="S978" s="20"/>
      <c r="T978" s="20"/>
      <c r="U978" s="20"/>
      <c r="V978" s="20"/>
      <c r="W978" s="20"/>
      <c r="X978" s="20"/>
      <c r="Y978" s="20"/>
      <c r="Z978" s="20"/>
    </row>
    <row r="979" spans="14:26" ht="17.25" customHeight="1">
      <c r="N979" s="47"/>
      <c r="O979" s="20"/>
      <c r="P979" s="20"/>
      <c r="Q979" s="20"/>
      <c r="R979" s="20"/>
      <c r="S979" s="20"/>
      <c r="T979" s="20"/>
      <c r="U979" s="20"/>
      <c r="V979" s="20"/>
      <c r="W979" s="20"/>
      <c r="X979" s="20"/>
      <c r="Y979" s="20"/>
      <c r="Z979" s="20"/>
    </row>
    <row r="980" spans="14:26" ht="17.25" customHeight="1">
      <c r="N980" s="47"/>
      <c r="O980" s="20"/>
      <c r="P980" s="20"/>
      <c r="Q980" s="20"/>
      <c r="R980" s="20"/>
      <c r="S980" s="20"/>
      <c r="T980" s="20"/>
      <c r="U980" s="20"/>
      <c r="V980" s="20"/>
      <c r="W980" s="20"/>
      <c r="X980" s="20"/>
      <c r="Y980" s="20"/>
      <c r="Z980" s="20"/>
    </row>
    <row r="981" spans="14:26" ht="17.25" customHeight="1">
      <c r="N981" s="47"/>
      <c r="O981" s="20"/>
      <c r="P981" s="20"/>
      <c r="Q981" s="20"/>
      <c r="R981" s="20"/>
      <c r="S981" s="20"/>
      <c r="T981" s="20"/>
      <c r="U981" s="20"/>
      <c r="V981" s="20"/>
      <c r="W981" s="20"/>
      <c r="X981" s="20"/>
      <c r="Y981" s="20"/>
      <c r="Z981" s="20"/>
    </row>
    <row r="982" spans="14:26" ht="17.25" customHeight="1">
      <c r="N982" s="47"/>
      <c r="O982" s="20"/>
      <c r="P982" s="20"/>
      <c r="Q982" s="20"/>
      <c r="R982" s="20"/>
      <c r="S982" s="20"/>
      <c r="T982" s="20"/>
      <c r="U982" s="20"/>
      <c r="V982" s="20"/>
      <c r="W982" s="20"/>
      <c r="X982" s="20"/>
      <c r="Y982" s="20"/>
      <c r="Z982" s="20"/>
    </row>
    <row r="983" spans="14:26" ht="17.25" customHeight="1">
      <c r="N983" s="47"/>
      <c r="O983" s="20"/>
      <c r="P983" s="20"/>
      <c r="Q983" s="20"/>
      <c r="R983" s="20"/>
      <c r="S983" s="20"/>
      <c r="T983" s="20"/>
      <c r="U983" s="20"/>
      <c r="V983" s="20"/>
      <c r="W983" s="20"/>
      <c r="X983" s="20"/>
      <c r="Y983" s="20"/>
      <c r="Z983" s="20"/>
    </row>
    <row r="984" spans="14:26" ht="17.25" customHeight="1">
      <c r="N984" s="47"/>
      <c r="O984" s="20"/>
      <c r="P984" s="20"/>
      <c r="Q984" s="20"/>
      <c r="R984" s="20"/>
      <c r="S984" s="20"/>
      <c r="T984" s="20"/>
      <c r="U984" s="20"/>
      <c r="V984" s="20"/>
      <c r="W984" s="20"/>
      <c r="X984" s="20"/>
      <c r="Y984" s="20"/>
      <c r="Z984" s="20"/>
    </row>
    <row r="985" spans="14:26" ht="17.25" customHeight="1">
      <c r="N985" s="47"/>
      <c r="O985" s="20"/>
      <c r="P985" s="20"/>
      <c r="Q985" s="20"/>
      <c r="R985" s="20"/>
      <c r="S985" s="20"/>
      <c r="T985" s="20"/>
      <c r="U985" s="20"/>
      <c r="V985" s="20"/>
      <c r="W985" s="20"/>
      <c r="X985" s="20"/>
      <c r="Y985" s="20"/>
      <c r="Z985" s="20"/>
    </row>
    <row r="986" spans="14:26" ht="17.25" customHeight="1">
      <c r="N986" s="47"/>
      <c r="O986" s="20"/>
      <c r="P986" s="20"/>
      <c r="Q986" s="20"/>
      <c r="R986" s="20"/>
      <c r="S986" s="20"/>
      <c r="T986" s="20"/>
      <c r="U986" s="20"/>
      <c r="V986" s="20"/>
      <c r="W986" s="20"/>
      <c r="X986" s="20"/>
      <c r="Y986" s="20"/>
      <c r="Z986" s="20"/>
    </row>
    <row r="987" spans="14:26" ht="17.25" customHeight="1">
      <c r="N987" s="47"/>
      <c r="O987" s="20"/>
      <c r="P987" s="20"/>
      <c r="Q987" s="20"/>
      <c r="R987" s="20"/>
      <c r="S987" s="20"/>
      <c r="T987" s="20"/>
      <c r="U987" s="20"/>
      <c r="V987" s="20"/>
      <c r="W987" s="20"/>
      <c r="X987" s="20"/>
      <c r="Y987" s="20"/>
      <c r="Z987" s="20"/>
    </row>
    <row r="988" spans="14:26" ht="17.25" customHeight="1">
      <c r="N988" s="47"/>
      <c r="O988" s="20"/>
      <c r="P988" s="20"/>
      <c r="Q988" s="20"/>
      <c r="R988" s="20"/>
      <c r="S988" s="20"/>
      <c r="T988" s="20"/>
      <c r="U988" s="20"/>
      <c r="V988" s="20"/>
      <c r="W988" s="20"/>
      <c r="X988" s="20"/>
      <c r="Y988" s="20"/>
      <c r="Z988" s="20"/>
    </row>
    <row r="989" spans="14:26" ht="17.25" customHeight="1">
      <c r="N989" s="47"/>
      <c r="O989" s="20"/>
      <c r="P989" s="20"/>
      <c r="Q989" s="20"/>
      <c r="R989" s="20"/>
      <c r="S989" s="20"/>
      <c r="T989" s="20"/>
      <c r="U989" s="20"/>
      <c r="V989" s="20"/>
      <c r="W989" s="20"/>
      <c r="X989" s="20"/>
      <c r="Y989" s="20"/>
      <c r="Z989" s="20"/>
    </row>
    <row r="990" spans="14:26" ht="17.25" customHeight="1">
      <c r="N990" s="47"/>
      <c r="O990" s="20"/>
      <c r="P990" s="20"/>
      <c r="Q990" s="20"/>
      <c r="R990" s="20"/>
      <c r="S990" s="20"/>
      <c r="T990" s="20"/>
      <c r="U990" s="20"/>
      <c r="V990" s="20"/>
      <c r="W990" s="20"/>
      <c r="X990" s="20"/>
      <c r="Y990" s="20"/>
      <c r="Z990" s="20"/>
    </row>
    <row r="991" spans="14:26" ht="17.25" customHeight="1">
      <c r="N991" s="47"/>
      <c r="O991" s="20"/>
      <c r="P991" s="20"/>
      <c r="Q991" s="20"/>
      <c r="R991" s="20"/>
      <c r="S991" s="20"/>
      <c r="T991" s="20"/>
      <c r="U991" s="20"/>
      <c r="V991" s="20"/>
      <c r="W991" s="20"/>
      <c r="X991" s="20"/>
      <c r="Y991" s="20"/>
      <c r="Z991" s="20"/>
    </row>
    <row r="992" spans="14:26" ht="17.25" customHeight="1">
      <c r="N992" s="47"/>
      <c r="O992" s="20"/>
      <c r="P992" s="20"/>
      <c r="Q992" s="20"/>
      <c r="R992" s="20"/>
      <c r="S992" s="20"/>
      <c r="T992" s="20"/>
      <c r="U992" s="20"/>
      <c r="V992" s="20"/>
      <c r="W992" s="20"/>
      <c r="X992" s="20"/>
      <c r="Y992" s="20"/>
      <c r="Z992" s="20"/>
    </row>
    <row r="993" spans="14:26" ht="17.25" customHeight="1">
      <c r="N993" s="47"/>
      <c r="O993" s="20"/>
      <c r="P993" s="20"/>
      <c r="Q993" s="20"/>
      <c r="R993" s="20"/>
      <c r="S993" s="20"/>
      <c r="T993" s="20"/>
      <c r="U993" s="20"/>
      <c r="V993" s="20"/>
      <c r="W993" s="20"/>
      <c r="X993" s="20"/>
      <c r="Y993" s="20"/>
      <c r="Z993" s="20"/>
    </row>
    <row r="994" spans="14:26" ht="17.25" customHeight="1">
      <c r="N994" s="47"/>
      <c r="O994" s="20"/>
      <c r="P994" s="20"/>
      <c r="Q994" s="20"/>
      <c r="R994" s="20"/>
      <c r="S994" s="20"/>
      <c r="T994" s="20"/>
      <c r="U994" s="20"/>
      <c r="V994" s="20"/>
      <c r="W994" s="20"/>
      <c r="X994" s="20"/>
      <c r="Y994" s="20"/>
      <c r="Z994" s="20"/>
    </row>
    <row r="995" spans="14:26" ht="17.25" customHeight="1">
      <c r="N995" s="47"/>
      <c r="O995" s="20"/>
      <c r="P995" s="20"/>
      <c r="Q995" s="20"/>
      <c r="R995" s="20"/>
      <c r="S995" s="20"/>
      <c r="T995" s="20"/>
      <c r="U995" s="20"/>
      <c r="V995" s="20"/>
      <c r="W995" s="20"/>
      <c r="X995" s="20"/>
      <c r="Y995" s="20"/>
      <c r="Z995" s="20"/>
    </row>
    <row r="996" spans="14:26" ht="17.25" customHeight="1">
      <c r="N996" s="47"/>
      <c r="O996" s="20"/>
      <c r="P996" s="20"/>
      <c r="Q996" s="20"/>
      <c r="R996" s="20"/>
      <c r="S996" s="20"/>
      <c r="T996" s="20"/>
      <c r="U996" s="20"/>
      <c r="V996" s="20"/>
      <c r="W996" s="20"/>
      <c r="X996" s="20"/>
      <c r="Y996" s="20"/>
      <c r="Z996" s="20"/>
    </row>
    <row r="997" spans="14:26" ht="17.25" customHeight="1">
      <c r="N997" s="47"/>
      <c r="O997" s="20"/>
      <c r="P997" s="20"/>
      <c r="Q997" s="20"/>
      <c r="R997" s="20"/>
      <c r="S997" s="20"/>
      <c r="T997" s="20"/>
      <c r="U997" s="20"/>
      <c r="V997" s="20"/>
      <c r="W997" s="20"/>
      <c r="X997" s="20"/>
      <c r="Y997" s="20"/>
      <c r="Z997" s="20"/>
    </row>
    <row r="998" spans="14:26" ht="17.25" customHeight="1">
      <c r="N998" s="47"/>
      <c r="O998" s="20"/>
      <c r="P998" s="20"/>
      <c r="Q998" s="20"/>
      <c r="R998" s="20"/>
      <c r="S998" s="20"/>
      <c r="T998" s="20"/>
      <c r="U998" s="20"/>
      <c r="V998" s="20"/>
      <c r="W998" s="20"/>
      <c r="X998" s="20"/>
      <c r="Y998" s="20"/>
      <c r="Z998" s="20"/>
    </row>
    <row r="999" spans="14:26" ht="17.25" customHeight="1">
      <c r="N999" s="47"/>
      <c r="O999" s="20"/>
      <c r="P999" s="20"/>
      <c r="Q999" s="20"/>
      <c r="R999" s="20"/>
      <c r="S999" s="20"/>
      <c r="T999" s="20"/>
      <c r="U999" s="20"/>
      <c r="V999" s="20"/>
      <c r="W999" s="20"/>
      <c r="X999" s="20"/>
      <c r="Y999" s="20"/>
      <c r="Z999" s="20"/>
    </row>
    <row r="1000" spans="14:26" ht="17.25" customHeight="1">
      <c r="N1000" s="47"/>
      <c r="O1000" s="20"/>
      <c r="P1000" s="20"/>
      <c r="Q1000" s="20"/>
      <c r="R1000" s="20"/>
      <c r="S1000" s="20"/>
      <c r="T1000" s="20"/>
      <c r="U1000" s="20"/>
      <c r="V1000" s="20"/>
      <c r="W1000" s="20"/>
      <c r="X1000" s="20"/>
      <c r="Y1000" s="20"/>
      <c r="Z1000" s="20"/>
    </row>
  </sheetData>
  <mergeCells count="41">
    <mergeCell ref="C1:N1"/>
    <mergeCell ref="N3:O3"/>
    <mergeCell ref="N4:O4"/>
    <mergeCell ref="N5:O5"/>
    <mergeCell ref="N6:O6"/>
    <mergeCell ref="N7:O7"/>
    <mergeCell ref="N8:O8"/>
    <mergeCell ref="N9:O9"/>
    <mergeCell ref="N10:O10"/>
    <mergeCell ref="N11:O11"/>
    <mergeCell ref="N12:O12"/>
    <mergeCell ref="N13:O13"/>
    <mergeCell ref="N14:O14"/>
    <mergeCell ref="N15:O15"/>
    <mergeCell ref="N16:O16"/>
    <mergeCell ref="N17:O17"/>
    <mergeCell ref="N18:O18"/>
    <mergeCell ref="N19:O19"/>
    <mergeCell ref="N20:O20"/>
    <mergeCell ref="N21:O21"/>
    <mergeCell ref="N22:O22"/>
    <mergeCell ref="N23:O23"/>
    <mergeCell ref="N24:O24"/>
    <mergeCell ref="N25:O25"/>
    <mergeCell ref="N26:O26"/>
    <mergeCell ref="N27:O27"/>
    <mergeCell ref="N28:O28"/>
    <mergeCell ref="N29:O29"/>
    <mergeCell ref="N37:O37"/>
    <mergeCell ref="N38:O38"/>
    <mergeCell ref="N39:O39"/>
    <mergeCell ref="N40:O40"/>
    <mergeCell ref="N41:O41"/>
    <mergeCell ref="N42:O42"/>
    <mergeCell ref="N30:O30"/>
    <mergeCell ref="N31:O31"/>
    <mergeCell ref="N32:O32"/>
    <mergeCell ref="N33:O33"/>
    <mergeCell ref="N34:O34"/>
    <mergeCell ref="N35:O35"/>
    <mergeCell ref="N36:O36"/>
  </mergeCells>
  <conditionalFormatting sqref="A3:A18">
    <cfRule type="containsBlanks" dxfId="4" priority="1">
      <formula>LEN(TRIM(A3))=0</formula>
    </cfRule>
  </conditionalFormatting>
  <conditionalFormatting sqref="B3:N7 B8:B16 B17:N18 B19">
    <cfRule type="containsBlanks" dxfId="3" priority="2">
      <formula>LEN(TRIM(B3))=0</formula>
    </cfRule>
  </conditionalFormatting>
  <conditionalFormatting sqref="C8:N12">
    <cfRule type="containsBlanks" dxfId="2" priority="3">
      <formula>LEN(TRIM(C8))=0</formula>
    </cfRule>
  </conditionalFormatting>
  <conditionalFormatting sqref="C13:N16">
    <cfRule type="containsBlanks" dxfId="1" priority="4">
      <formula>LEN(TRIM(C13))=0</formula>
    </cfRule>
  </conditionalFormatting>
  <dataValidations count="3">
    <dataValidation type="list" allowBlank="1" showErrorMessage="1" sqref="B3:B5 B7:B16" xr:uid="{00000000-0002-0000-2200-000001000000}">
      <formula1>"Occupancy,Equipment,Lighting,Water_use,Setpoint,Window"</formula1>
    </dataValidation>
    <dataValidation type="list" allowBlank="1" showErrorMessage="1" sqref="B17:B18" xr:uid="{00000000-0002-0000-2200-000002000000}">
      <formula1>"Occupancy,Equipment,Lighting,Flow rate,Setpoint"</formula1>
    </dataValidation>
    <dataValidation type="list" allowBlank="1" showErrorMessage="1" sqref="B6" xr:uid="{00000000-0002-0000-2200-000003000000}">
      <formula1>"Occupancy,Equipment,Lighting,WaterUse,Setpoint,Window"</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200-000000000000}">
          <x14:formula1>
            <xm:f>Week_schedules!$A$3:$A$62</xm:f>
          </x14:formula1>
          <xm:sqref>C3:N42 C43:O62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000"/>
  <sheetViews>
    <sheetView workbookViewId="0"/>
  </sheetViews>
  <sheetFormatPr baseColWidth="10" defaultColWidth="11.28515625" defaultRowHeight="15" customHeight="1"/>
  <cols>
    <col min="1" max="1" width="11.42578125" customWidth="1"/>
    <col min="2" max="2" width="20" customWidth="1"/>
    <col min="3" max="26" width="11.42578125" customWidth="1"/>
  </cols>
  <sheetData>
    <row r="1" spans="1:3" ht="17.25" customHeight="1"/>
    <row r="2" spans="1:3" ht="17.25" customHeight="1">
      <c r="A2" s="15" t="s">
        <v>6048</v>
      </c>
      <c r="B2" s="15" t="s">
        <v>6049</v>
      </c>
      <c r="C2" s="15" t="s">
        <v>6050</v>
      </c>
    </row>
    <row r="3" spans="1:3" ht="17.25" customHeight="1"/>
    <row r="4" spans="1:3" ht="17.25" customHeight="1"/>
    <row r="5" spans="1:3" ht="17.25" customHeight="1"/>
    <row r="6" spans="1:3" ht="17.25" customHeight="1"/>
    <row r="7" spans="1:3" ht="17.25" customHeight="1"/>
    <row r="8" spans="1:3" ht="17.25" customHeight="1"/>
    <row r="9" spans="1:3" ht="17.25" customHeight="1"/>
    <row r="10" spans="1:3" ht="17.25" customHeight="1"/>
    <row r="11" spans="1:3" ht="17.25" customHeight="1"/>
    <row r="12" spans="1:3" ht="17.25" customHeight="1"/>
    <row r="13" spans="1:3" ht="17.25" customHeight="1"/>
    <row r="14" spans="1:3" ht="17.25" customHeight="1"/>
    <row r="15" spans="1:3" ht="17.25" customHeight="1"/>
    <row r="16" spans="1:3"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7"/>
  </sheetPr>
  <dimension ref="A1:Z999"/>
  <sheetViews>
    <sheetView workbookViewId="0">
      <pane ySplit="1" topLeftCell="A2" activePane="bottomLeft" state="frozen"/>
      <selection pane="bottomLeft" activeCell="B3" sqref="B3"/>
    </sheetView>
  </sheetViews>
  <sheetFormatPr baseColWidth="10" defaultColWidth="11.28515625" defaultRowHeight="15" customHeight="1"/>
  <cols>
    <col min="1" max="2" width="34.140625" customWidth="1"/>
    <col min="3" max="3" width="31.140625" customWidth="1"/>
    <col min="4" max="4" width="72.85546875" customWidth="1"/>
    <col min="5" max="5" width="24.42578125" customWidth="1"/>
    <col min="6" max="6" width="24" customWidth="1"/>
    <col min="7" max="7" width="23.7109375" customWidth="1"/>
    <col min="8" max="8" width="52.42578125" customWidth="1"/>
    <col min="9" max="9" width="60.7109375" customWidth="1"/>
    <col min="10" max="10" width="45.42578125" hidden="1" customWidth="1"/>
    <col min="11" max="26" width="11.42578125" customWidth="1"/>
  </cols>
  <sheetData>
    <row r="1" spans="1:26" ht="64.5" customHeight="1">
      <c r="A1" s="38" t="s">
        <v>6051</v>
      </c>
      <c r="B1" s="38" t="s">
        <v>6052</v>
      </c>
      <c r="C1" s="38" t="s">
        <v>6053</v>
      </c>
      <c r="D1" s="38" t="s">
        <v>6054</v>
      </c>
      <c r="E1" s="38" t="s">
        <v>6055</v>
      </c>
      <c r="F1" s="192"/>
      <c r="G1" s="192"/>
      <c r="H1" s="38" t="s">
        <v>6056</v>
      </c>
      <c r="I1" s="38" t="s">
        <v>6057</v>
      </c>
      <c r="J1" s="40" t="s">
        <v>6058</v>
      </c>
      <c r="K1" s="108"/>
      <c r="L1" s="108"/>
      <c r="M1" s="108"/>
      <c r="N1" s="108"/>
      <c r="O1" s="108"/>
      <c r="P1" s="108"/>
      <c r="Q1" s="108"/>
      <c r="R1" s="108"/>
      <c r="S1" s="108"/>
      <c r="T1" s="108"/>
      <c r="U1" s="108"/>
      <c r="V1" s="108"/>
      <c r="W1" s="108"/>
      <c r="X1" s="108"/>
      <c r="Y1" s="108"/>
      <c r="Z1" s="108"/>
    </row>
    <row r="2" spans="1:26" ht="17.25" customHeight="1">
      <c r="A2" s="193" t="s">
        <v>6059</v>
      </c>
      <c r="B2" s="193" t="s">
        <v>6060</v>
      </c>
      <c r="C2" s="193" t="s">
        <v>6061</v>
      </c>
      <c r="D2" s="193" t="s">
        <v>6062</v>
      </c>
      <c r="E2" s="193" t="s">
        <v>6063</v>
      </c>
      <c r="F2" s="193" t="s">
        <v>6064</v>
      </c>
      <c r="G2" s="193" t="s">
        <v>6065</v>
      </c>
      <c r="H2" s="193" t="s">
        <v>6066</v>
      </c>
      <c r="I2" s="194" t="s">
        <v>6067</v>
      </c>
      <c r="J2" s="195" t="s">
        <v>6068</v>
      </c>
      <c r="K2" s="20"/>
      <c r="L2" s="20"/>
      <c r="M2" s="20"/>
      <c r="N2" s="20"/>
      <c r="O2" s="20"/>
      <c r="P2" s="20"/>
      <c r="Q2" s="20"/>
      <c r="R2" s="20"/>
      <c r="S2" s="20"/>
      <c r="T2" s="20"/>
      <c r="U2" s="20"/>
      <c r="V2" s="20"/>
      <c r="W2" s="20"/>
      <c r="X2" s="20"/>
      <c r="Y2" s="20"/>
      <c r="Z2" s="20"/>
    </row>
    <row r="3" spans="1:26" ht="17.25" customHeight="1">
      <c r="A3" s="15" t="s">
        <v>6069</v>
      </c>
      <c r="B3" s="196" t="s">
        <v>6070</v>
      </c>
      <c r="C3" s="124" t="s">
        <v>4826</v>
      </c>
      <c r="D3" s="124" t="e">
        <f t="array" aca="1" ref="D3" ca="1">_xludf.XLOOKUP(C3,Units!$A$2:$A$30,Units!$D$2:$D$30,"")</f>
        <v>#NAME?</v>
      </c>
      <c r="E3" s="15">
        <v>-30</v>
      </c>
      <c r="F3" s="124" t="s">
        <v>6071</v>
      </c>
      <c r="G3" s="15" t="e">
        <f t="array" aca="1" ref="G3" ca="1">_xludf.XLOOKUP(C3,Units!$A$2:$A$30,Units!$B$2:$B$30,"")</f>
        <v>#NAME?</v>
      </c>
      <c r="H3" s="15" t="s">
        <v>6072</v>
      </c>
      <c r="I3" s="45" t="s">
        <v>6073</v>
      </c>
      <c r="J3" s="197"/>
      <c r="K3" s="20"/>
      <c r="L3" s="20"/>
      <c r="M3" s="20"/>
      <c r="N3" s="20"/>
      <c r="O3" s="20"/>
      <c r="P3" s="20"/>
      <c r="Q3" s="20"/>
      <c r="R3" s="20"/>
      <c r="S3" s="20"/>
      <c r="T3" s="20"/>
      <c r="U3" s="20"/>
      <c r="V3" s="20"/>
      <c r="W3" s="20"/>
      <c r="X3" s="20"/>
      <c r="Y3" s="20"/>
      <c r="Z3" s="20"/>
    </row>
    <row r="4" spans="1:26" ht="17.25" customHeight="1">
      <c r="A4" s="15" t="s">
        <v>6074</v>
      </c>
      <c r="B4" s="196" t="s">
        <v>6070</v>
      </c>
      <c r="C4" s="124" t="s">
        <v>4959</v>
      </c>
      <c r="D4" s="124" t="e">
        <f t="array" aca="1" ref="D4" ca="1">_xludf.XLOOKUP(C4,Units!$A$2:$A$30,Units!$D$2:$D$30,"")</f>
        <v>#NAME?</v>
      </c>
      <c r="E4" s="15">
        <v>-1</v>
      </c>
      <c r="F4" s="124" t="s">
        <v>6075</v>
      </c>
      <c r="G4" s="15" t="e">
        <f t="array" aca="1" ref="G4" ca="1">_xludf.XLOOKUP(C4,Units!$A$2:$A$30,Units!$B$2:$B$30,"")</f>
        <v>#NAME?</v>
      </c>
      <c r="H4" s="15" t="s">
        <v>6072</v>
      </c>
      <c r="I4" s="45" t="s">
        <v>6076</v>
      </c>
      <c r="J4" s="197"/>
      <c r="K4" s="20"/>
      <c r="L4" s="20"/>
      <c r="M4" s="20"/>
      <c r="N4" s="20"/>
      <c r="O4" s="20"/>
      <c r="P4" s="20"/>
      <c r="Q4" s="20"/>
      <c r="R4" s="20"/>
      <c r="S4" s="20"/>
      <c r="T4" s="20"/>
      <c r="U4" s="20"/>
      <c r="V4" s="20"/>
      <c r="W4" s="20"/>
      <c r="X4" s="20"/>
      <c r="Y4" s="20"/>
      <c r="Z4" s="20"/>
    </row>
    <row r="5" spans="1:26" ht="17.25" customHeight="1">
      <c r="A5" s="15" t="s">
        <v>6077</v>
      </c>
      <c r="B5" s="196" t="s">
        <v>6070</v>
      </c>
      <c r="C5" s="124" t="s">
        <v>4822</v>
      </c>
      <c r="D5" s="124" t="e">
        <f t="array" aca="1" ref="D5" ca="1">_xludf.XLOOKUP(C5,Units!$A$2:$A$30,Units!$D$2:$D$30,"")</f>
        <v>#NAME?</v>
      </c>
      <c r="E5" s="15">
        <v>-10</v>
      </c>
      <c r="F5" s="124" t="s">
        <v>6071</v>
      </c>
      <c r="G5" s="15" t="e">
        <f t="array" aca="1" ref="G5" ca="1">_xludf.XLOOKUP(C5,Units!$A$2:$A$30,Units!$B$2:$B$30,"")</f>
        <v>#NAME?</v>
      </c>
      <c r="H5" s="15" t="s">
        <v>6072</v>
      </c>
      <c r="I5" s="15" t="s">
        <v>6078</v>
      </c>
      <c r="J5" s="197"/>
      <c r="K5" s="20"/>
      <c r="L5" s="20"/>
      <c r="M5" s="20"/>
      <c r="N5" s="20"/>
      <c r="O5" s="20"/>
      <c r="P5" s="20"/>
      <c r="Q5" s="20"/>
      <c r="R5" s="20"/>
      <c r="S5" s="20"/>
      <c r="T5" s="20"/>
      <c r="U5" s="20"/>
      <c r="V5" s="20"/>
      <c r="W5" s="20"/>
      <c r="X5" s="20"/>
      <c r="Y5" s="20"/>
      <c r="Z5" s="20"/>
    </row>
    <row r="6" spans="1:26" ht="17.25" customHeight="1">
      <c r="A6" s="15" t="s">
        <v>6079</v>
      </c>
      <c r="B6" s="196" t="s">
        <v>6070</v>
      </c>
      <c r="C6" s="124" t="s">
        <v>164</v>
      </c>
      <c r="D6" s="124" t="e">
        <f t="array" aca="1" ref="D6" ca="1">_xludf.XLOOKUP(C6,Units!$A$2:$A$30,Units!$D$2:$D$30,"")</f>
        <v>#NAME?</v>
      </c>
      <c r="E6" s="15">
        <v>0.3</v>
      </c>
      <c r="F6" s="124" t="s">
        <v>6075</v>
      </c>
      <c r="G6" s="15" t="e">
        <f t="array" aca="1" ref="G6" ca="1">_xludf.XLOOKUP(C6,Units!$A$2:$A$30,Units!$B$2:$B$30,"")</f>
        <v>#NAME?</v>
      </c>
      <c r="H6" s="15" t="s">
        <v>6080</v>
      </c>
      <c r="I6" s="15" t="s">
        <v>6081</v>
      </c>
      <c r="J6" s="197"/>
      <c r="K6" s="20"/>
      <c r="L6" s="20"/>
      <c r="M6" s="20"/>
      <c r="N6" s="20"/>
      <c r="O6" s="20"/>
      <c r="P6" s="20"/>
      <c r="Q6" s="20"/>
      <c r="R6" s="20"/>
      <c r="S6" s="20"/>
      <c r="T6" s="20"/>
      <c r="U6" s="20"/>
      <c r="V6" s="20"/>
      <c r="W6" s="20"/>
      <c r="X6" s="20"/>
      <c r="Y6" s="20"/>
      <c r="Z6" s="20"/>
    </row>
    <row r="7" spans="1:26" ht="17.25" customHeight="1">
      <c r="A7" s="15" t="s">
        <v>6082</v>
      </c>
      <c r="B7" s="196" t="s">
        <v>6083</v>
      </c>
      <c r="C7" s="15" t="s">
        <v>163</v>
      </c>
      <c r="D7" s="124" t="e">
        <f t="array" aca="1" ref="D7" ca="1">_xludf.XLOOKUP(C7,Units!$A$2:$A$30,Units!$D$2:$D$30,"")</f>
        <v>#NAME?</v>
      </c>
      <c r="E7" s="15" t="s">
        <v>5839</v>
      </c>
      <c r="F7" s="15" t="s">
        <v>6084</v>
      </c>
      <c r="G7" s="15" t="e">
        <f t="array" aca="1" ref="G7" ca="1">_xludf.XLOOKUP(C7,Units!$A$2:$A$30,Units!$B$2:$B$30,"")</f>
        <v>#NAME?</v>
      </c>
      <c r="H7" s="15" t="s">
        <v>6080</v>
      </c>
      <c r="I7" s="15" t="s">
        <v>6085</v>
      </c>
      <c r="J7" s="197"/>
      <c r="K7" s="20"/>
      <c r="L7" s="20"/>
      <c r="M7" s="20"/>
      <c r="N7" s="20"/>
      <c r="O7" s="20"/>
      <c r="P7" s="20"/>
      <c r="Q7" s="20"/>
      <c r="R7" s="20"/>
      <c r="S7" s="20"/>
      <c r="T7" s="20"/>
      <c r="U7" s="20"/>
      <c r="V7" s="20"/>
      <c r="W7" s="20"/>
      <c r="X7" s="20"/>
      <c r="Y7" s="20"/>
      <c r="Z7" s="20"/>
    </row>
    <row r="8" spans="1:26" ht="17.25" customHeight="1">
      <c r="A8" s="15" t="s">
        <v>6086</v>
      </c>
      <c r="B8" s="196" t="s">
        <v>6083</v>
      </c>
      <c r="C8" s="15" t="s">
        <v>154</v>
      </c>
      <c r="D8" s="124" t="e">
        <f t="array" aca="1" ref="D8" ca="1">_xludf.XLOOKUP(C8,Units!$A$2:$A$30,Units!$D$2:$D$30,"")</f>
        <v>#NAME?</v>
      </c>
      <c r="E8" s="15" t="s">
        <v>6087</v>
      </c>
      <c r="F8" s="15" t="s">
        <v>6084</v>
      </c>
      <c r="G8" s="15" t="e">
        <f t="array" aca="1" ref="G8" ca="1">_xludf.XLOOKUP(C8,Units!$A$2:$A$30,Units!$B$2:$B$30,"")</f>
        <v>#NAME?</v>
      </c>
      <c r="H8" s="15" t="s">
        <v>6080</v>
      </c>
      <c r="I8" s="15" t="s">
        <v>6088</v>
      </c>
      <c r="J8" s="197"/>
      <c r="K8" s="20"/>
      <c r="L8" s="20"/>
      <c r="M8" s="20"/>
      <c r="N8" s="20"/>
      <c r="O8" s="20"/>
      <c r="P8" s="20"/>
      <c r="Q8" s="20"/>
      <c r="R8" s="20"/>
      <c r="S8" s="20"/>
      <c r="T8" s="20"/>
      <c r="U8" s="20"/>
      <c r="V8" s="20"/>
      <c r="W8" s="20"/>
      <c r="X8" s="20"/>
      <c r="Y8" s="20"/>
      <c r="Z8" s="20"/>
    </row>
    <row r="9" spans="1:26" ht="17.25" customHeight="1">
      <c r="A9" s="15" t="s">
        <v>6089</v>
      </c>
      <c r="B9" s="196" t="s">
        <v>6090</v>
      </c>
      <c r="C9" s="15" t="s">
        <v>6091</v>
      </c>
      <c r="D9" s="15"/>
      <c r="E9" s="15" t="s">
        <v>5045</v>
      </c>
      <c r="F9" s="15" t="s">
        <v>6084</v>
      </c>
      <c r="G9" s="15" t="e">
        <f t="array" aca="1" ref="G9" ca="1">_xludf.XLOOKUP(C9,Units!$A$2:$A$30,Units!$B$2:$B$30,"")</f>
        <v>#NAME?</v>
      </c>
      <c r="H9" s="15" t="s">
        <v>6092</v>
      </c>
      <c r="I9" s="15" t="s">
        <v>6093</v>
      </c>
      <c r="J9" s="197"/>
      <c r="K9" s="20"/>
      <c r="L9" s="20"/>
      <c r="M9" s="20"/>
      <c r="N9" s="20"/>
      <c r="O9" s="20"/>
      <c r="P9" s="20"/>
      <c r="Q9" s="20"/>
      <c r="R9" s="20"/>
      <c r="S9" s="20"/>
      <c r="T9" s="20"/>
      <c r="U9" s="20"/>
      <c r="V9" s="20"/>
      <c r="W9" s="20"/>
      <c r="X9" s="20"/>
      <c r="Y9" s="20"/>
      <c r="Z9" s="20"/>
    </row>
    <row r="10" spans="1:26" ht="17.25" customHeight="1">
      <c r="A10" s="15" t="s">
        <v>6094</v>
      </c>
      <c r="B10" s="196" t="s">
        <v>6090</v>
      </c>
      <c r="C10" s="124" t="s">
        <v>5147</v>
      </c>
      <c r="D10" s="15"/>
      <c r="E10" s="15" t="s">
        <v>5045</v>
      </c>
      <c r="F10" s="15" t="s">
        <v>6084</v>
      </c>
      <c r="G10" s="15" t="e">
        <f t="array" aca="1" ref="G10" ca="1">_xludf.XLOOKUP(C10,Units!$A$2:$A$30,Units!$B$2:$B$30,"")</f>
        <v>#NAME?</v>
      </c>
      <c r="H10" s="15" t="s">
        <v>6092</v>
      </c>
      <c r="I10" s="15" t="s">
        <v>6095</v>
      </c>
      <c r="J10" s="197"/>
      <c r="K10" s="20"/>
      <c r="L10" s="20"/>
      <c r="M10" s="20"/>
      <c r="N10" s="20"/>
      <c r="O10" s="20"/>
      <c r="P10" s="20"/>
      <c r="Q10" s="20"/>
      <c r="R10" s="20"/>
      <c r="S10" s="20"/>
      <c r="T10" s="20"/>
      <c r="U10" s="20"/>
      <c r="V10" s="20"/>
      <c r="W10" s="20"/>
      <c r="X10" s="20"/>
      <c r="Y10" s="20"/>
      <c r="Z10" s="20"/>
    </row>
    <row r="11" spans="1:26" ht="17.25" customHeight="1">
      <c r="A11" s="15" t="s">
        <v>6096</v>
      </c>
      <c r="B11" s="196" t="s">
        <v>6090</v>
      </c>
      <c r="C11" s="124" t="s">
        <v>154</v>
      </c>
      <c r="D11" s="124" t="e">
        <f t="array" aca="1" ref="D11" ca="1">_xludf.XLOOKUP(C11,Units!$A$2:$A$30,Units!$D$2:$D$30,"")</f>
        <v>#NAME?</v>
      </c>
      <c r="E11" s="15" t="s">
        <v>6087</v>
      </c>
      <c r="F11" s="15" t="s">
        <v>6075</v>
      </c>
      <c r="G11" s="15" t="e">
        <f t="array" aca="1" ref="G11" ca="1">_xludf.XLOOKUP(C11,Units!$A$2:$A$30,Units!$B$2:$B$30,"")</f>
        <v>#NAME?</v>
      </c>
      <c r="H11" s="15" t="s">
        <v>6092</v>
      </c>
      <c r="I11" s="45" t="s">
        <v>6097</v>
      </c>
      <c r="J11" s="47"/>
      <c r="K11" s="20"/>
      <c r="L11" s="20"/>
      <c r="M11" s="20"/>
      <c r="N11" s="20"/>
      <c r="O11" s="20"/>
      <c r="P11" s="20"/>
      <c r="Q11" s="20"/>
      <c r="R11" s="20"/>
      <c r="S11" s="20"/>
      <c r="T11" s="20"/>
      <c r="U11" s="20"/>
      <c r="V11" s="20"/>
      <c r="W11" s="20"/>
      <c r="X11" s="20"/>
      <c r="Y11" s="20"/>
      <c r="Z11" s="20"/>
    </row>
    <row r="12" spans="1:26" ht="17.25" customHeight="1">
      <c r="A12" s="15" t="s">
        <v>6098</v>
      </c>
      <c r="B12" s="196" t="s">
        <v>6090</v>
      </c>
      <c r="C12" s="124" t="s">
        <v>164</v>
      </c>
      <c r="D12" s="124" t="s">
        <v>6099</v>
      </c>
      <c r="E12" s="15">
        <v>0.2</v>
      </c>
      <c r="F12" s="124" t="s">
        <v>6075</v>
      </c>
      <c r="G12" s="15" t="e">
        <f t="array" aca="1" ref="G12" ca="1">_xludf.XLOOKUP(C12,Units!$A$2:$A$30,Units!$B$2:$B$30,"")</f>
        <v>#NAME?</v>
      </c>
      <c r="H12" s="15" t="s">
        <v>6092</v>
      </c>
      <c r="I12" s="45" t="s">
        <v>6100</v>
      </c>
      <c r="J12" s="47"/>
      <c r="K12" s="20"/>
      <c r="L12" s="20"/>
      <c r="M12" s="20"/>
      <c r="N12" s="20"/>
      <c r="O12" s="20"/>
      <c r="P12" s="20"/>
      <c r="Q12" s="20"/>
      <c r="R12" s="20"/>
      <c r="S12" s="20"/>
      <c r="T12" s="20"/>
      <c r="U12" s="20"/>
      <c r="V12" s="20"/>
      <c r="W12" s="20"/>
      <c r="X12" s="20"/>
      <c r="Y12" s="20"/>
      <c r="Z12" s="20"/>
    </row>
    <row r="13" spans="1:26" ht="17.25" customHeight="1">
      <c r="A13" s="15"/>
      <c r="B13" s="196"/>
      <c r="C13" s="124"/>
      <c r="D13" s="124" t="e">
        <f t="array" aca="1" ref="D13" ca="1">_xludf.XLOOKUP(C13,Units!$A$2:$A$30,Units!$D$2:$D$30,"")</f>
        <v>#NAME?</v>
      </c>
      <c r="E13" s="15"/>
      <c r="F13" s="198"/>
      <c r="G13" s="15" t="e">
        <f t="array" aca="1" ref="G13" ca="1">_xludf.XLOOKUP(C13,Units!$A$2:$A$30,Units!$B$2:$B$30,"")</f>
        <v>#NAME?</v>
      </c>
      <c r="H13" s="15"/>
      <c r="I13" s="45"/>
      <c r="J13" s="47"/>
      <c r="K13" s="20"/>
      <c r="L13" s="20"/>
      <c r="M13" s="20"/>
      <c r="N13" s="20"/>
      <c r="O13" s="20"/>
      <c r="P13" s="20"/>
      <c r="Q13" s="20"/>
      <c r="R13" s="20"/>
      <c r="S13" s="20"/>
      <c r="T13" s="20"/>
      <c r="U13" s="20"/>
      <c r="V13" s="20"/>
      <c r="W13" s="20"/>
      <c r="X13" s="20"/>
      <c r="Y13" s="20"/>
      <c r="Z13" s="20"/>
    </row>
    <row r="14" spans="1:26" ht="17.25" customHeight="1">
      <c r="A14" s="15"/>
      <c r="B14" s="196"/>
      <c r="C14" s="124"/>
      <c r="D14" s="124"/>
      <c r="E14" s="15"/>
      <c r="F14" s="198"/>
      <c r="G14" s="15"/>
      <c r="H14" s="15"/>
      <c r="I14" s="45"/>
      <c r="J14" s="47"/>
      <c r="K14" s="20"/>
      <c r="L14" s="20"/>
      <c r="M14" s="20"/>
      <c r="N14" s="20"/>
      <c r="O14" s="20"/>
      <c r="P14" s="20"/>
      <c r="Q14" s="20"/>
      <c r="R14" s="20"/>
      <c r="S14" s="20"/>
      <c r="T14" s="20"/>
      <c r="U14" s="20"/>
      <c r="V14" s="20"/>
      <c r="W14" s="20"/>
      <c r="X14" s="20"/>
      <c r="Y14" s="20"/>
      <c r="Z14" s="20"/>
    </row>
    <row r="15" spans="1:26" ht="17.25" customHeight="1">
      <c r="A15" s="15"/>
      <c r="B15" s="196"/>
      <c r="C15" s="124"/>
      <c r="D15" s="124"/>
      <c r="E15" s="15"/>
      <c r="F15" s="198"/>
      <c r="G15" s="15"/>
      <c r="H15" s="15"/>
      <c r="I15" s="45"/>
      <c r="J15" s="47"/>
      <c r="K15" s="20"/>
      <c r="L15" s="20"/>
      <c r="M15" s="20"/>
      <c r="N15" s="20"/>
      <c r="O15" s="20"/>
      <c r="P15" s="20"/>
      <c r="Q15" s="20"/>
      <c r="R15" s="20"/>
      <c r="S15" s="20"/>
      <c r="T15" s="20"/>
      <c r="U15" s="20"/>
      <c r="V15" s="20"/>
      <c r="W15" s="20"/>
      <c r="X15" s="20"/>
      <c r="Y15" s="20"/>
      <c r="Z15" s="20"/>
    </row>
    <row r="16" spans="1:26" ht="17.25" customHeight="1">
      <c r="A16" s="15"/>
      <c r="B16" s="196"/>
      <c r="C16" s="124"/>
      <c r="D16" s="124" t="e">
        <f t="array" aca="1" ref="D16" ca="1">_xludf.XLOOKUP(C16,Units!$A$2:$A$30,Units!$D$2:$D$30,"")</f>
        <v>#NAME?</v>
      </c>
      <c r="E16" s="15"/>
      <c r="F16" s="198"/>
      <c r="G16" s="15" t="e">
        <f t="array" aca="1" ref="G16" ca="1">_xludf.XLOOKUP(C16,Units!$A$2:$A$30,Units!$B$2:$B$30,"")</f>
        <v>#NAME?</v>
      </c>
      <c r="H16" s="15"/>
      <c r="I16" s="45"/>
      <c r="J16" s="47"/>
      <c r="K16" s="20"/>
      <c r="L16" s="20"/>
      <c r="M16" s="20"/>
      <c r="N16" s="20"/>
      <c r="O16" s="20"/>
      <c r="P16" s="20"/>
      <c r="Q16" s="20"/>
      <c r="R16" s="20"/>
      <c r="S16" s="20"/>
      <c r="T16" s="20"/>
      <c r="U16" s="20"/>
      <c r="V16" s="20"/>
      <c r="W16" s="20"/>
      <c r="X16" s="20"/>
      <c r="Y16" s="20"/>
      <c r="Z16" s="20"/>
    </row>
    <row r="17" spans="1:26" ht="17.25" customHeight="1">
      <c r="A17" s="57"/>
      <c r="C17" s="57"/>
      <c r="D17" s="57"/>
      <c r="E17" s="57"/>
      <c r="F17" s="57"/>
      <c r="G17" s="57"/>
      <c r="H17" s="57"/>
      <c r="I17" s="57"/>
      <c r="J17" s="47"/>
      <c r="K17" s="20"/>
      <c r="L17" s="20"/>
      <c r="M17" s="20"/>
      <c r="N17" s="20"/>
      <c r="O17" s="20"/>
      <c r="P17" s="20"/>
      <c r="Q17" s="20"/>
      <c r="R17" s="20"/>
      <c r="S17" s="20"/>
      <c r="T17" s="20"/>
      <c r="U17" s="20"/>
      <c r="V17" s="20"/>
      <c r="W17" s="20"/>
      <c r="X17" s="20"/>
      <c r="Y17" s="20"/>
      <c r="Z17" s="20"/>
    </row>
    <row r="18" spans="1:26" ht="17.25" customHeight="1">
      <c r="A18" s="57"/>
      <c r="C18" s="57"/>
      <c r="D18" s="57"/>
      <c r="E18" s="57"/>
      <c r="F18" s="57"/>
      <c r="G18" s="57"/>
      <c r="H18" s="57"/>
      <c r="I18" s="57"/>
      <c r="J18" s="47"/>
      <c r="K18" s="20"/>
      <c r="L18" s="20"/>
      <c r="M18" s="20"/>
      <c r="N18" s="20"/>
      <c r="O18" s="20"/>
      <c r="P18" s="20"/>
      <c r="Q18" s="20"/>
      <c r="R18" s="20"/>
      <c r="S18" s="20"/>
      <c r="T18" s="20"/>
      <c r="U18" s="20"/>
      <c r="V18" s="20"/>
      <c r="W18" s="20"/>
      <c r="X18" s="20"/>
      <c r="Y18" s="20"/>
      <c r="Z18" s="20"/>
    </row>
    <row r="19" spans="1:26" ht="17.25" customHeight="1">
      <c r="A19" s="57"/>
      <c r="C19" s="57"/>
      <c r="D19" s="57"/>
      <c r="E19" s="57"/>
      <c r="F19" s="57"/>
      <c r="G19" s="57"/>
      <c r="H19" s="57"/>
      <c r="I19" s="57"/>
      <c r="J19" s="47"/>
      <c r="K19" s="20"/>
      <c r="L19" s="20"/>
      <c r="M19" s="20"/>
      <c r="N19" s="20"/>
      <c r="O19" s="20"/>
      <c r="P19" s="20"/>
      <c r="Q19" s="20"/>
      <c r="R19" s="20"/>
      <c r="S19" s="20"/>
      <c r="T19" s="20"/>
      <c r="U19" s="20"/>
      <c r="V19" s="20"/>
      <c r="W19" s="20"/>
      <c r="X19" s="20"/>
      <c r="Y19" s="20"/>
      <c r="Z19" s="20"/>
    </row>
    <row r="20" spans="1:26" ht="17.25" customHeight="1">
      <c r="A20" s="57"/>
      <c r="C20" s="57"/>
      <c r="D20" s="57"/>
      <c r="E20" s="57"/>
      <c r="F20" s="57"/>
      <c r="G20" s="57"/>
      <c r="H20" s="57"/>
      <c r="I20" s="57"/>
      <c r="J20" s="47"/>
      <c r="K20" s="20"/>
      <c r="L20" s="20"/>
      <c r="M20" s="20"/>
      <c r="N20" s="20"/>
      <c r="O20" s="20"/>
      <c r="P20" s="20"/>
      <c r="Q20" s="20"/>
      <c r="R20" s="20"/>
      <c r="S20" s="20"/>
      <c r="T20" s="20"/>
      <c r="U20" s="20"/>
      <c r="V20" s="20"/>
      <c r="W20" s="20"/>
      <c r="X20" s="20"/>
      <c r="Y20" s="20"/>
      <c r="Z20" s="20"/>
    </row>
    <row r="21" spans="1:26" ht="17.25" customHeight="1">
      <c r="A21" s="57"/>
      <c r="C21" s="57"/>
      <c r="D21" s="57"/>
      <c r="E21" s="57"/>
      <c r="F21" s="57"/>
      <c r="G21" s="57"/>
      <c r="H21" s="57"/>
      <c r="I21" s="57"/>
      <c r="J21" s="47"/>
      <c r="K21" s="20"/>
      <c r="L21" s="20"/>
      <c r="M21" s="20"/>
      <c r="N21" s="20"/>
      <c r="O21" s="20"/>
      <c r="P21" s="20"/>
      <c r="Q21" s="20"/>
      <c r="R21" s="20"/>
      <c r="S21" s="20"/>
      <c r="T21" s="20"/>
      <c r="U21" s="20"/>
      <c r="V21" s="20"/>
      <c r="W21" s="20"/>
      <c r="X21" s="20"/>
      <c r="Y21" s="20"/>
      <c r="Z21" s="20"/>
    </row>
    <row r="22" spans="1:26" ht="17.25" customHeight="1">
      <c r="A22" s="57"/>
      <c r="C22" s="57"/>
      <c r="D22" s="57"/>
      <c r="E22" s="57"/>
      <c r="F22" s="57"/>
      <c r="G22" s="57"/>
      <c r="H22" s="57"/>
      <c r="I22" s="57"/>
      <c r="J22" s="47"/>
      <c r="K22" s="20"/>
      <c r="L22" s="20"/>
      <c r="M22" s="20"/>
      <c r="N22" s="20"/>
      <c r="O22" s="20"/>
      <c r="P22" s="20"/>
      <c r="Q22" s="20"/>
      <c r="R22" s="20"/>
      <c r="S22" s="20"/>
      <c r="T22" s="20"/>
      <c r="U22" s="20"/>
      <c r="V22" s="20"/>
      <c r="W22" s="20"/>
      <c r="X22" s="20"/>
      <c r="Y22" s="20"/>
      <c r="Z22" s="20"/>
    </row>
    <row r="23" spans="1:26" ht="17.25" customHeight="1">
      <c r="A23" s="57"/>
      <c r="C23" s="57"/>
      <c r="D23" s="57"/>
      <c r="E23" s="57"/>
      <c r="F23" s="57"/>
      <c r="G23" s="57"/>
      <c r="H23" s="57"/>
      <c r="I23" s="57"/>
      <c r="J23" s="47"/>
      <c r="K23" s="20"/>
      <c r="L23" s="20"/>
      <c r="M23" s="20"/>
      <c r="N23" s="20"/>
      <c r="O23" s="20"/>
      <c r="P23" s="20"/>
      <c r="Q23" s="20"/>
      <c r="R23" s="20"/>
      <c r="S23" s="20"/>
      <c r="T23" s="20"/>
      <c r="U23" s="20"/>
      <c r="V23" s="20"/>
      <c r="W23" s="20"/>
      <c r="X23" s="20"/>
      <c r="Y23" s="20"/>
      <c r="Z23" s="20"/>
    </row>
    <row r="24" spans="1:26" ht="17.25" customHeight="1">
      <c r="A24" s="57"/>
      <c r="C24" s="57"/>
      <c r="D24" s="57"/>
      <c r="E24" s="57"/>
      <c r="F24" s="57"/>
      <c r="G24" s="57"/>
      <c r="H24" s="57"/>
      <c r="I24" s="57"/>
      <c r="J24" s="47"/>
      <c r="K24" s="20"/>
      <c r="L24" s="20"/>
      <c r="M24" s="20"/>
      <c r="N24" s="20"/>
      <c r="O24" s="20"/>
      <c r="P24" s="20"/>
      <c r="Q24" s="20"/>
      <c r="R24" s="20"/>
      <c r="S24" s="20"/>
      <c r="T24" s="20"/>
      <c r="U24" s="20"/>
      <c r="V24" s="20"/>
      <c r="W24" s="20"/>
      <c r="X24" s="20"/>
      <c r="Y24" s="20"/>
      <c r="Z24" s="20"/>
    </row>
    <row r="25" spans="1:26" ht="17.25" customHeight="1">
      <c r="A25" s="57"/>
      <c r="C25" s="57"/>
      <c r="D25" s="57"/>
      <c r="E25" s="57"/>
      <c r="F25" s="57"/>
      <c r="G25" s="57"/>
      <c r="H25" s="57"/>
      <c r="I25" s="57"/>
      <c r="J25" s="47"/>
      <c r="K25" s="20"/>
      <c r="L25" s="20"/>
      <c r="M25" s="20"/>
      <c r="N25" s="20"/>
      <c r="O25" s="20"/>
      <c r="P25" s="20"/>
      <c r="Q25" s="20"/>
      <c r="R25" s="20"/>
      <c r="S25" s="20"/>
      <c r="T25" s="20"/>
      <c r="U25" s="20"/>
      <c r="V25" s="20"/>
      <c r="W25" s="20"/>
      <c r="X25" s="20"/>
      <c r="Y25" s="20"/>
      <c r="Z25" s="20"/>
    </row>
    <row r="26" spans="1:26" ht="17.25" customHeight="1">
      <c r="A26" s="57"/>
      <c r="C26" s="57"/>
      <c r="D26" s="57"/>
      <c r="E26" s="57"/>
      <c r="F26" s="57"/>
      <c r="G26" s="57"/>
      <c r="H26" s="57"/>
      <c r="I26" s="57"/>
      <c r="J26" s="47"/>
      <c r="K26" s="20"/>
      <c r="L26" s="20"/>
      <c r="M26" s="20"/>
      <c r="N26" s="20"/>
      <c r="O26" s="20"/>
      <c r="P26" s="20"/>
      <c r="Q26" s="20"/>
      <c r="R26" s="20"/>
      <c r="S26" s="20"/>
      <c r="T26" s="20"/>
      <c r="U26" s="20"/>
      <c r="V26" s="20"/>
      <c r="W26" s="20"/>
      <c r="X26" s="20"/>
      <c r="Y26" s="20"/>
      <c r="Z26" s="20"/>
    </row>
    <row r="27" spans="1:26" ht="17.25" customHeight="1">
      <c r="A27" s="57"/>
      <c r="C27" s="57"/>
      <c r="D27" s="57"/>
      <c r="E27" s="57"/>
      <c r="F27" s="57"/>
      <c r="G27" s="57"/>
      <c r="H27" s="57"/>
      <c r="I27" s="57"/>
      <c r="J27" s="47"/>
      <c r="K27" s="20"/>
      <c r="L27" s="20"/>
      <c r="M27" s="20"/>
      <c r="N27" s="20"/>
      <c r="O27" s="20"/>
      <c r="P27" s="20"/>
      <c r="Q27" s="20"/>
      <c r="R27" s="20"/>
      <c r="S27" s="20"/>
      <c r="T27" s="20"/>
      <c r="U27" s="20"/>
      <c r="V27" s="20"/>
      <c r="W27" s="20"/>
      <c r="X27" s="20"/>
      <c r="Y27" s="20"/>
      <c r="Z27" s="20"/>
    </row>
    <row r="28" spans="1:26" ht="17.25" customHeight="1">
      <c r="A28" s="15"/>
      <c r="B28" s="196"/>
      <c r="C28" s="124"/>
      <c r="D28" s="124" t="e">
        <f t="array" aca="1" ref="D28" ca="1">_xludf.XLOOKUP(C28,Units!$A$2:$A$30,Units!$D$2:$D$30,"")</f>
        <v>#NAME?</v>
      </c>
      <c r="E28" s="15"/>
      <c r="F28" s="198"/>
      <c r="G28" s="15" t="e">
        <f t="array" aca="1" ref="G28" ca="1">_xludf.XLOOKUP(C28,Units!$A$2:$A$30,Units!$B$2:$B$30,"")</f>
        <v>#NAME?</v>
      </c>
      <c r="H28" s="15"/>
      <c r="I28" s="45"/>
      <c r="J28" s="47"/>
      <c r="K28" s="20"/>
      <c r="L28" s="20"/>
      <c r="M28" s="20"/>
      <c r="N28" s="20"/>
      <c r="O28" s="20"/>
      <c r="P28" s="20"/>
      <c r="Q28" s="20"/>
      <c r="R28" s="20"/>
      <c r="S28" s="20"/>
      <c r="T28" s="20"/>
      <c r="U28" s="20"/>
      <c r="V28" s="20"/>
      <c r="W28" s="20"/>
      <c r="X28" s="20"/>
      <c r="Y28" s="20"/>
      <c r="Z28" s="20"/>
    </row>
    <row r="29" spans="1:26" ht="17.25" customHeight="1">
      <c r="A29" s="15"/>
      <c r="B29" s="196"/>
      <c r="C29" s="124"/>
      <c r="D29" s="124" t="e">
        <f t="array" aca="1" ref="D29" ca="1">_xludf.XLOOKUP(C29,Units!$A$2:$A$30,Units!$D$2:$D$30,"")</f>
        <v>#NAME?</v>
      </c>
      <c r="E29" s="15"/>
      <c r="F29" s="198"/>
      <c r="G29" s="15" t="e">
        <f t="array" aca="1" ref="G29" ca="1">_xludf.XLOOKUP(C29,Units!$A$2:$A$30,Units!$B$2:$B$30,"")</f>
        <v>#NAME?</v>
      </c>
      <c r="H29" s="15"/>
      <c r="I29" s="45"/>
      <c r="J29" s="47"/>
      <c r="K29" s="20"/>
      <c r="L29" s="20"/>
      <c r="M29" s="20"/>
      <c r="N29" s="20"/>
      <c r="O29" s="20"/>
      <c r="P29" s="20"/>
      <c r="Q29" s="20"/>
      <c r="R29" s="20"/>
      <c r="S29" s="20"/>
      <c r="T29" s="20"/>
      <c r="U29" s="20"/>
      <c r="V29" s="20"/>
      <c r="W29" s="20"/>
      <c r="X29" s="20"/>
      <c r="Y29" s="20"/>
      <c r="Z29" s="20"/>
    </row>
    <row r="30" spans="1:26" ht="17.25" customHeight="1">
      <c r="A30" s="15"/>
      <c r="B30" s="196"/>
      <c r="C30" s="124"/>
      <c r="D30" s="124" t="e">
        <f t="array" aca="1" ref="D30" ca="1">_xludf.XLOOKUP(C30,Units!$A$2:$A$30,Units!$D$2:$D$30,"")</f>
        <v>#NAME?</v>
      </c>
      <c r="E30" s="15"/>
      <c r="F30" s="198"/>
      <c r="G30" s="15" t="e">
        <f t="array" aca="1" ref="G30" ca="1">_xludf.XLOOKUP(C30,Units!$A$2:$A$30,Units!$B$2:$B$30,"")</f>
        <v>#NAME?</v>
      </c>
      <c r="H30" s="15"/>
      <c r="I30" s="45"/>
      <c r="J30" s="47"/>
      <c r="K30" s="20"/>
      <c r="L30" s="20"/>
      <c r="M30" s="20"/>
      <c r="N30" s="20"/>
      <c r="O30" s="20"/>
      <c r="P30" s="20"/>
      <c r="Q30" s="20"/>
      <c r="R30" s="20"/>
      <c r="S30" s="20"/>
      <c r="T30" s="20"/>
      <c r="U30" s="20"/>
      <c r="V30" s="20"/>
      <c r="W30" s="20"/>
      <c r="X30" s="20"/>
      <c r="Y30" s="20"/>
      <c r="Z30" s="20"/>
    </row>
    <row r="31" spans="1:26" ht="17.25" customHeight="1">
      <c r="A31" s="15"/>
      <c r="B31" s="196"/>
      <c r="C31" s="124"/>
      <c r="D31" s="124" t="e">
        <f t="array" aca="1" ref="D31" ca="1">_xludf.XLOOKUP(C31,Units!$A$2:$A$30,Units!$D$2:$D$30,"")</f>
        <v>#NAME?</v>
      </c>
      <c r="E31" s="15"/>
      <c r="F31" s="198"/>
      <c r="G31" s="15" t="e">
        <f t="array" aca="1" ref="G31" ca="1">_xludf.XLOOKUP(C31,Units!$A$2:$A$30,Units!$B$2:$B$30,"")</f>
        <v>#NAME?</v>
      </c>
      <c r="H31" s="15"/>
      <c r="I31" s="45"/>
      <c r="J31" s="47"/>
      <c r="K31" s="20"/>
      <c r="L31" s="20"/>
      <c r="M31" s="20"/>
      <c r="N31" s="20"/>
      <c r="O31" s="20"/>
      <c r="P31" s="20"/>
      <c r="Q31" s="20"/>
      <c r="R31" s="20"/>
      <c r="S31" s="20"/>
      <c r="T31" s="20"/>
      <c r="U31" s="20"/>
      <c r="V31" s="20"/>
      <c r="W31" s="20"/>
      <c r="X31" s="20"/>
      <c r="Y31" s="20"/>
      <c r="Z31" s="20"/>
    </row>
    <row r="32" spans="1:26" ht="17.25" customHeight="1">
      <c r="A32" s="15"/>
      <c r="B32" s="15"/>
      <c r="C32" s="124"/>
      <c r="D32" s="124" t="e">
        <f t="array" aca="1" ref="D32" ca="1">_xludf.XLOOKUP(C32,Units!$A$2:$A$30,Units!$D$2:$D$30,"")</f>
        <v>#NAME?</v>
      </c>
      <c r="E32" s="15"/>
      <c r="F32" s="198"/>
      <c r="G32" s="15" t="e">
        <f t="array" aca="1" ref="G32" ca="1">_xludf.XLOOKUP(C32,Units!$A$2:$A$30,Units!$B$2:$B$30,"")</f>
        <v>#NAME?</v>
      </c>
      <c r="H32" s="15"/>
      <c r="I32" s="45"/>
      <c r="J32" s="47"/>
      <c r="K32" s="20"/>
      <c r="L32" s="20"/>
      <c r="M32" s="20"/>
      <c r="N32" s="20"/>
      <c r="O32" s="20"/>
      <c r="P32" s="20"/>
      <c r="Q32" s="20"/>
      <c r="R32" s="20"/>
      <c r="S32" s="20"/>
      <c r="T32" s="20"/>
      <c r="U32" s="20"/>
      <c r="V32" s="20"/>
      <c r="W32" s="20"/>
      <c r="X32" s="20"/>
      <c r="Y32" s="20"/>
      <c r="Z32" s="20"/>
    </row>
    <row r="33" spans="1:26" ht="17.25" customHeight="1">
      <c r="A33" s="15"/>
      <c r="B33" s="15"/>
      <c r="C33" s="124"/>
      <c r="D33" s="124" t="e">
        <f t="array" aca="1" ref="D33" ca="1">_xludf.XLOOKUP(C33,Units!$A$2:$A$30,Units!$D$2:$D$30,"")</f>
        <v>#NAME?</v>
      </c>
      <c r="E33" s="15"/>
      <c r="F33" s="198"/>
      <c r="G33" s="15" t="e">
        <f t="array" aca="1" ref="G33" ca="1">_xludf.XLOOKUP(C33,Units!$A$2:$A$30,Units!$B$2:$B$30,"")</f>
        <v>#NAME?</v>
      </c>
      <c r="H33" s="15"/>
      <c r="I33" s="45"/>
      <c r="J33" s="47"/>
      <c r="K33" s="20"/>
      <c r="L33" s="20"/>
      <c r="M33" s="20"/>
      <c r="N33" s="20"/>
      <c r="O33" s="20"/>
      <c r="P33" s="20"/>
      <c r="Q33" s="20"/>
      <c r="R33" s="20"/>
      <c r="S33" s="20"/>
      <c r="T33" s="20"/>
      <c r="U33" s="20"/>
      <c r="V33" s="20"/>
      <c r="W33" s="20"/>
      <c r="X33" s="20"/>
      <c r="Y33" s="20"/>
      <c r="Z33" s="20"/>
    </row>
    <row r="34" spans="1:26" ht="17.25" customHeight="1">
      <c r="A34" s="15"/>
      <c r="B34" s="15"/>
      <c r="C34" s="124"/>
      <c r="D34" s="124" t="e">
        <f t="array" aca="1" ref="D34" ca="1">_xludf.XLOOKUP(C34,Units!$A$2:$A$30,Units!$D$2:$D$30,"")</f>
        <v>#NAME?</v>
      </c>
      <c r="E34" s="15"/>
      <c r="F34" s="198"/>
      <c r="G34" s="15" t="e">
        <f t="array" aca="1" ref="G34" ca="1">_xludf.XLOOKUP(C34,Units!$A$2:$A$30,Units!$B$2:$B$30,"")</f>
        <v>#NAME?</v>
      </c>
      <c r="H34" s="15"/>
      <c r="I34" s="45"/>
      <c r="J34" s="47"/>
      <c r="K34" s="20"/>
      <c r="L34" s="20"/>
      <c r="M34" s="20"/>
      <c r="N34" s="20"/>
      <c r="O34" s="20"/>
      <c r="P34" s="20"/>
      <c r="Q34" s="20"/>
      <c r="R34" s="20"/>
      <c r="S34" s="20"/>
      <c r="T34" s="20"/>
      <c r="U34" s="20"/>
      <c r="V34" s="20"/>
      <c r="W34" s="20"/>
      <c r="X34" s="20"/>
      <c r="Y34" s="20"/>
      <c r="Z34" s="20"/>
    </row>
    <row r="35" spans="1:26" ht="17.25" customHeight="1">
      <c r="A35" s="15"/>
      <c r="B35" s="15"/>
      <c r="C35" s="124"/>
      <c r="D35" s="124" t="e">
        <f t="array" aca="1" ref="D35" ca="1">_xludf.XLOOKUP(C35,Units!$A$2:$A$30,Units!$D$2:$D$30,"")</f>
        <v>#NAME?</v>
      </c>
      <c r="E35" s="15"/>
      <c r="F35" s="198"/>
      <c r="G35" s="15" t="e">
        <f t="array" aca="1" ref="G35" ca="1">_xludf.XLOOKUP(C35,Units!$A$2:$A$30,Units!$B$2:$B$30,"")</f>
        <v>#NAME?</v>
      </c>
      <c r="H35" s="15"/>
      <c r="I35" s="45"/>
      <c r="J35" s="47"/>
      <c r="K35" s="20"/>
      <c r="L35" s="20"/>
      <c r="M35" s="20"/>
      <c r="N35" s="20"/>
      <c r="O35" s="20"/>
      <c r="P35" s="20"/>
      <c r="Q35" s="20"/>
      <c r="R35" s="20"/>
      <c r="S35" s="20"/>
      <c r="T35" s="20"/>
      <c r="U35" s="20"/>
      <c r="V35" s="20"/>
      <c r="W35" s="20"/>
      <c r="X35" s="20"/>
      <c r="Y35" s="20"/>
      <c r="Z35" s="20"/>
    </row>
    <row r="36" spans="1:26" ht="17.25" customHeight="1">
      <c r="A36" s="15"/>
      <c r="B36" s="15"/>
      <c r="C36" s="124"/>
      <c r="D36" s="124" t="e">
        <f t="array" aca="1" ref="D36" ca="1">_xludf.XLOOKUP(C36,Units!$A$2:$A$30,Units!$D$2:$D$30,"")</f>
        <v>#NAME?</v>
      </c>
      <c r="E36" s="15"/>
      <c r="F36" s="198"/>
      <c r="G36" s="15" t="e">
        <f t="array" aca="1" ref="G36" ca="1">_xludf.XLOOKUP(C36,Units!$A$2:$A$30,Units!$B$2:$B$30,"")</f>
        <v>#NAME?</v>
      </c>
      <c r="H36" s="15"/>
      <c r="I36" s="45"/>
      <c r="J36" s="47"/>
      <c r="K36" s="20"/>
      <c r="L36" s="20"/>
      <c r="M36" s="20"/>
      <c r="N36" s="20"/>
      <c r="O36" s="20"/>
      <c r="P36" s="20"/>
      <c r="Q36" s="20"/>
      <c r="R36" s="20"/>
      <c r="S36" s="20"/>
      <c r="T36" s="20"/>
      <c r="U36" s="20"/>
      <c r="V36" s="20"/>
      <c r="W36" s="20"/>
      <c r="X36" s="20"/>
      <c r="Y36" s="20"/>
      <c r="Z36" s="20"/>
    </row>
    <row r="37" spans="1:26" ht="17.25" customHeight="1">
      <c r="A37" s="15"/>
      <c r="B37" s="15"/>
      <c r="C37" s="124"/>
      <c r="D37" s="124" t="e">
        <f t="array" aca="1" ref="D37" ca="1">_xludf.XLOOKUP(C37,Units!$A$2:$A$30,Units!$D$2:$D$30,"")</f>
        <v>#NAME?</v>
      </c>
      <c r="E37" s="15"/>
      <c r="F37" s="198"/>
      <c r="G37" s="15" t="e">
        <f t="array" aca="1" ref="G37" ca="1">_xludf.XLOOKUP(C37,Units!$A$2:$A$30,Units!$B$2:$B$30,"")</f>
        <v>#NAME?</v>
      </c>
      <c r="H37" s="15"/>
      <c r="I37" s="45"/>
      <c r="J37" s="47"/>
      <c r="K37" s="20"/>
      <c r="L37" s="20"/>
      <c r="M37" s="20"/>
      <c r="N37" s="20"/>
      <c r="O37" s="20"/>
      <c r="P37" s="20"/>
      <c r="Q37" s="20"/>
      <c r="R37" s="20"/>
      <c r="S37" s="20"/>
      <c r="T37" s="20"/>
      <c r="U37" s="20"/>
      <c r="V37" s="20"/>
      <c r="W37" s="20"/>
      <c r="X37" s="20"/>
      <c r="Y37" s="20"/>
      <c r="Z37" s="20"/>
    </row>
    <row r="38" spans="1:26" ht="17.25" customHeight="1">
      <c r="A38" s="15"/>
      <c r="B38" s="15"/>
      <c r="C38" s="124"/>
      <c r="D38" s="124" t="e">
        <f t="array" aca="1" ref="D38" ca="1">_xludf.XLOOKUP(C38,Units!$A$2:$A$30,Units!$D$2:$D$30,"")</f>
        <v>#NAME?</v>
      </c>
      <c r="E38" s="15"/>
      <c r="F38" s="15"/>
      <c r="G38" s="15"/>
      <c r="H38" s="15"/>
      <c r="I38" s="45"/>
      <c r="J38" s="47"/>
      <c r="K38" s="20"/>
      <c r="L38" s="20"/>
      <c r="M38" s="20"/>
      <c r="N38" s="20"/>
      <c r="O38" s="20"/>
      <c r="P38" s="20"/>
      <c r="Q38" s="20"/>
      <c r="R38" s="20"/>
      <c r="S38" s="20"/>
      <c r="T38" s="20"/>
      <c r="U38" s="20"/>
      <c r="V38" s="20"/>
      <c r="W38" s="20"/>
      <c r="X38" s="20"/>
      <c r="Y38" s="20"/>
      <c r="Z38" s="20"/>
    </row>
    <row r="39" spans="1:26" ht="17.25" customHeight="1">
      <c r="A39" s="15"/>
      <c r="B39" s="15"/>
      <c r="C39" s="124"/>
      <c r="D39" s="124" t="e">
        <f t="array" aca="1" ref="D39" ca="1">_xludf.XLOOKUP(C39,Units!$A$2:$A$30,Units!$D$2:$D$30,"")</f>
        <v>#NAME?</v>
      </c>
      <c r="E39" s="15"/>
      <c r="F39" s="15"/>
      <c r="G39" s="15"/>
      <c r="H39" s="15"/>
      <c r="I39" s="45"/>
      <c r="J39" s="47"/>
      <c r="K39" s="20"/>
      <c r="L39" s="20"/>
      <c r="M39" s="20"/>
      <c r="N39" s="20"/>
      <c r="O39" s="20"/>
      <c r="P39" s="20"/>
      <c r="Q39" s="20"/>
      <c r="R39" s="20"/>
      <c r="S39" s="20"/>
      <c r="T39" s="20"/>
      <c r="U39" s="20"/>
      <c r="V39" s="20"/>
      <c r="W39" s="20"/>
      <c r="X39" s="20"/>
      <c r="Y39" s="20"/>
      <c r="Z39" s="20"/>
    </row>
    <row r="40" spans="1:26" ht="17.25" customHeight="1">
      <c r="A40" s="15"/>
      <c r="B40" s="15"/>
      <c r="C40" s="124"/>
      <c r="D40" s="124" t="e">
        <f t="array" aca="1" ref="D40" ca="1">_xludf.XLOOKUP(C40,Units!$A$2:$A$30,Units!$D$2:$D$30,"")</f>
        <v>#NAME?</v>
      </c>
      <c r="E40" s="15"/>
      <c r="F40" s="15"/>
      <c r="G40" s="15"/>
      <c r="H40" s="15"/>
      <c r="I40" s="45"/>
      <c r="J40" s="47"/>
      <c r="K40" s="20"/>
      <c r="L40" s="20"/>
      <c r="M40" s="20"/>
      <c r="N40" s="20"/>
      <c r="O40" s="20"/>
      <c r="P40" s="20"/>
      <c r="Q40" s="20"/>
      <c r="R40" s="20"/>
      <c r="S40" s="20"/>
      <c r="T40" s="20"/>
      <c r="U40" s="20"/>
      <c r="V40" s="20"/>
      <c r="W40" s="20"/>
      <c r="X40" s="20"/>
      <c r="Y40" s="20"/>
      <c r="Z40" s="20"/>
    </row>
    <row r="41" spans="1:26" ht="17.25" customHeight="1">
      <c r="A41" s="15"/>
      <c r="B41" s="15"/>
      <c r="C41" s="124"/>
      <c r="D41" s="124" t="e">
        <f t="array" aca="1" ref="D41" ca="1">_xludf.XLOOKUP(C41,Units!$A$2:$A$30,Units!$D$2:$D$30,"")</f>
        <v>#NAME?</v>
      </c>
      <c r="E41" s="15"/>
      <c r="F41" s="15"/>
      <c r="G41" s="15"/>
      <c r="H41" s="15"/>
      <c r="I41" s="45"/>
      <c r="J41" s="47"/>
      <c r="K41" s="20"/>
      <c r="L41" s="20"/>
      <c r="M41" s="20"/>
      <c r="N41" s="20"/>
      <c r="O41" s="20"/>
      <c r="P41" s="20"/>
      <c r="Q41" s="20"/>
      <c r="R41" s="20"/>
      <c r="S41" s="20"/>
      <c r="T41" s="20"/>
      <c r="U41" s="20"/>
      <c r="V41" s="20"/>
      <c r="W41" s="20"/>
      <c r="X41" s="20"/>
      <c r="Y41" s="20"/>
      <c r="Z41" s="20"/>
    </row>
    <row r="42" spans="1:26" ht="17.25" customHeight="1">
      <c r="A42" s="15"/>
      <c r="B42" s="15"/>
      <c r="C42" s="124"/>
      <c r="D42" s="124" t="e">
        <f t="array" aca="1" ref="D42" ca="1">_xludf.XLOOKUP(C42,Units!$A$2:$A$30,Units!$D$2:$D$30,"")</f>
        <v>#NAME?</v>
      </c>
      <c r="E42" s="15"/>
      <c r="F42" s="15"/>
      <c r="G42" s="15"/>
      <c r="H42" s="15"/>
      <c r="I42" s="45"/>
      <c r="J42" s="47"/>
      <c r="K42" s="20"/>
      <c r="L42" s="20"/>
      <c r="M42" s="20"/>
      <c r="N42" s="20"/>
      <c r="O42" s="20"/>
      <c r="P42" s="20"/>
      <c r="Q42" s="20"/>
      <c r="R42" s="20"/>
      <c r="S42" s="20"/>
      <c r="T42" s="20"/>
      <c r="U42" s="20"/>
      <c r="V42" s="20"/>
      <c r="W42" s="20"/>
      <c r="X42" s="20"/>
      <c r="Y42" s="20"/>
      <c r="Z42" s="20"/>
    </row>
    <row r="43" spans="1:26" ht="17.25" customHeight="1">
      <c r="A43" s="15"/>
      <c r="B43" s="15"/>
      <c r="C43" s="124"/>
      <c r="D43" s="124" t="e">
        <f t="array" aca="1" ref="D43" ca="1">_xludf.XLOOKUP(C43,Units!$A$2:$A$30,Units!$D$2:$D$30,"")</f>
        <v>#NAME?</v>
      </c>
      <c r="E43" s="15"/>
      <c r="F43" s="15"/>
      <c r="G43" s="15"/>
      <c r="H43" s="15"/>
      <c r="I43" s="45"/>
      <c r="J43" s="47"/>
      <c r="K43" s="20"/>
      <c r="L43" s="20"/>
      <c r="M43" s="20"/>
      <c r="N43" s="20"/>
      <c r="O43" s="20"/>
      <c r="P43" s="20"/>
      <c r="Q43" s="20"/>
      <c r="R43" s="20"/>
      <c r="S43" s="20"/>
      <c r="T43" s="20"/>
      <c r="U43" s="20"/>
      <c r="V43" s="20"/>
      <c r="W43" s="20"/>
      <c r="X43" s="20"/>
      <c r="Y43" s="20"/>
      <c r="Z43" s="20"/>
    </row>
    <row r="44" spans="1:26" ht="17.25" customHeight="1">
      <c r="A44" s="15"/>
      <c r="B44" s="15"/>
      <c r="C44" s="124"/>
      <c r="D44" s="124" t="e">
        <f t="array" aca="1" ref="D44" ca="1">_xludf.XLOOKUP(C44,Units!$A$2:$A$30,Units!$D$2:$D$30,"")</f>
        <v>#NAME?</v>
      </c>
      <c r="E44" s="15"/>
      <c r="F44" s="15"/>
      <c r="G44" s="15"/>
      <c r="H44" s="15"/>
      <c r="I44" s="45"/>
      <c r="J44" s="47"/>
      <c r="K44" s="20"/>
      <c r="L44" s="20"/>
      <c r="M44" s="20"/>
      <c r="N44" s="20"/>
      <c r="O44" s="20"/>
      <c r="P44" s="20"/>
      <c r="Q44" s="20"/>
      <c r="R44" s="20"/>
      <c r="S44" s="20"/>
      <c r="T44" s="20"/>
      <c r="U44" s="20"/>
      <c r="V44" s="20"/>
      <c r="W44" s="20"/>
      <c r="X44" s="20"/>
      <c r="Y44" s="20"/>
      <c r="Z44" s="20"/>
    </row>
    <row r="45" spans="1:26" ht="17.25" customHeight="1">
      <c r="A45" s="15"/>
      <c r="B45" s="15"/>
      <c r="C45" s="15"/>
      <c r="D45" s="124" t="e">
        <f t="array" aca="1" ref="D45" ca="1">_xludf.XLOOKUP(C45,Units!$A$2:$A$30,Units!$D$2:$D$30,"")</f>
        <v>#NAME?</v>
      </c>
      <c r="E45" s="15"/>
      <c r="F45" s="15"/>
      <c r="G45" s="15"/>
      <c r="H45" s="15"/>
      <c r="I45" s="45"/>
      <c r="J45" s="47"/>
      <c r="K45" s="20"/>
      <c r="L45" s="20"/>
      <c r="M45" s="20"/>
      <c r="N45" s="20"/>
      <c r="O45" s="20"/>
      <c r="P45" s="20"/>
      <c r="Q45" s="20"/>
      <c r="R45" s="20"/>
      <c r="S45" s="20"/>
      <c r="T45" s="20"/>
      <c r="U45" s="20"/>
      <c r="V45" s="20"/>
      <c r="W45" s="20"/>
      <c r="X45" s="20"/>
      <c r="Y45" s="20"/>
      <c r="Z45" s="20"/>
    </row>
    <row r="46" spans="1:26" ht="17.25" customHeight="1">
      <c r="A46" s="15"/>
      <c r="B46" s="15"/>
      <c r="C46" s="15"/>
      <c r="D46" s="124" t="e">
        <f t="array" aca="1" ref="D46" ca="1">_xludf.XLOOKUP(C46,Units!$A$2:$A$30,Units!$D$2:$D$30,"")</f>
        <v>#NAME?</v>
      </c>
      <c r="E46" s="15"/>
      <c r="F46" s="15"/>
      <c r="G46" s="15"/>
      <c r="H46" s="15"/>
      <c r="I46" s="45"/>
      <c r="J46" s="47"/>
      <c r="K46" s="20"/>
      <c r="L46" s="20"/>
      <c r="M46" s="20"/>
      <c r="N46" s="20"/>
      <c r="O46" s="20"/>
      <c r="P46" s="20"/>
      <c r="Q46" s="20"/>
      <c r="R46" s="20"/>
      <c r="S46" s="20"/>
      <c r="T46" s="20"/>
      <c r="U46" s="20"/>
      <c r="V46" s="20"/>
      <c r="W46" s="20"/>
      <c r="X46" s="20"/>
      <c r="Y46" s="20"/>
      <c r="Z46" s="20"/>
    </row>
    <row r="47" spans="1:26" ht="17.25" customHeight="1">
      <c r="A47" s="15"/>
      <c r="B47" s="15"/>
      <c r="C47" s="15"/>
      <c r="D47" s="124" t="e">
        <f t="array" aca="1" ref="D47" ca="1">_xludf.XLOOKUP(C47,Units!$A$2:$A$30,Units!$D$2:$D$30,"")</f>
        <v>#NAME?</v>
      </c>
      <c r="E47" s="15"/>
      <c r="F47" s="15"/>
      <c r="G47" s="15"/>
      <c r="H47" s="15"/>
      <c r="I47" s="45"/>
      <c r="J47" s="47"/>
      <c r="K47" s="20"/>
      <c r="L47" s="20"/>
      <c r="M47" s="20"/>
      <c r="N47" s="20"/>
      <c r="O47" s="20"/>
      <c r="P47" s="20"/>
      <c r="Q47" s="20"/>
      <c r="R47" s="20"/>
      <c r="S47" s="20"/>
      <c r="T47" s="20"/>
      <c r="U47" s="20"/>
      <c r="V47" s="20"/>
      <c r="W47" s="20"/>
      <c r="X47" s="20"/>
      <c r="Y47" s="20"/>
      <c r="Z47" s="20"/>
    </row>
    <row r="48" spans="1:26" ht="17.25" customHeight="1">
      <c r="A48" s="15"/>
      <c r="B48" s="15"/>
      <c r="C48" s="15"/>
      <c r="D48" s="124" t="e">
        <f t="array" aca="1" ref="D48" ca="1">_xludf.XLOOKUP(C48,Units!$A$2:$A$30,Units!$D$2:$D$30,"")</f>
        <v>#NAME?</v>
      </c>
      <c r="E48" s="15"/>
      <c r="F48" s="15"/>
      <c r="G48" s="15"/>
      <c r="H48" s="15"/>
      <c r="I48" s="45"/>
      <c r="J48" s="47"/>
      <c r="K48" s="20"/>
      <c r="L48" s="20"/>
      <c r="M48" s="20"/>
      <c r="N48" s="20"/>
      <c r="O48" s="20"/>
      <c r="P48" s="20"/>
      <c r="Q48" s="20"/>
      <c r="R48" s="20"/>
      <c r="S48" s="20"/>
      <c r="T48" s="20"/>
      <c r="U48" s="20"/>
      <c r="V48" s="20"/>
      <c r="W48" s="20"/>
      <c r="X48" s="20"/>
      <c r="Y48" s="20"/>
      <c r="Z48" s="20"/>
    </row>
    <row r="49" spans="1:26" ht="17.25" customHeight="1">
      <c r="A49" s="15"/>
      <c r="B49" s="15"/>
      <c r="C49" s="15"/>
      <c r="D49" s="124" t="e">
        <f t="array" aca="1" ref="D49" ca="1">_xludf.XLOOKUP(C49,Units!$A$2:$A$30,Units!$D$2:$D$30,"")</f>
        <v>#NAME?</v>
      </c>
      <c r="E49" s="15"/>
      <c r="F49" s="15"/>
      <c r="G49" s="15"/>
      <c r="H49" s="15"/>
      <c r="I49" s="45"/>
      <c r="J49" s="47"/>
      <c r="K49" s="20"/>
      <c r="L49" s="20"/>
      <c r="M49" s="20"/>
      <c r="N49" s="20"/>
      <c r="O49" s="20"/>
      <c r="P49" s="20"/>
      <c r="Q49" s="20"/>
      <c r="R49" s="20"/>
      <c r="S49" s="20"/>
      <c r="T49" s="20"/>
      <c r="U49" s="20"/>
      <c r="V49" s="20"/>
      <c r="W49" s="20"/>
      <c r="X49" s="20"/>
      <c r="Y49" s="20"/>
      <c r="Z49" s="20"/>
    </row>
    <row r="50" spans="1:26" ht="17.25" customHeight="1">
      <c r="A50" s="15"/>
      <c r="B50" s="15"/>
      <c r="C50" s="15"/>
      <c r="D50" s="124" t="e">
        <f t="array" aca="1" ref="D50" ca="1">_xludf.XLOOKUP(C50,Units!$A$2:$A$30,Units!$D$2:$D$30,"")</f>
        <v>#NAME?</v>
      </c>
      <c r="E50" s="15"/>
      <c r="F50" s="15"/>
      <c r="G50" s="15"/>
      <c r="H50" s="15"/>
      <c r="I50" s="45"/>
      <c r="J50" s="47"/>
      <c r="K50" s="20"/>
      <c r="L50" s="20"/>
      <c r="M50" s="20"/>
      <c r="N50" s="20"/>
      <c r="O50" s="20"/>
      <c r="P50" s="20"/>
      <c r="Q50" s="20"/>
      <c r="R50" s="20"/>
      <c r="S50" s="20"/>
      <c r="T50" s="20"/>
      <c r="U50" s="20"/>
      <c r="V50" s="20"/>
      <c r="W50" s="20"/>
      <c r="X50" s="20"/>
      <c r="Y50" s="20"/>
      <c r="Z50" s="20"/>
    </row>
    <row r="51" spans="1:26" ht="17.25" customHeight="1">
      <c r="A51" s="15"/>
      <c r="B51" s="15"/>
      <c r="C51" s="15"/>
      <c r="D51" s="15"/>
      <c r="E51" s="15"/>
      <c r="F51" s="15"/>
      <c r="G51" s="15"/>
      <c r="H51" s="15"/>
      <c r="I51" s="45"/>
      <c r="J51" s="47"/>
      <c r="K51" s="20"/>
      <c r="L51" s="20"/>
      <c r="M51" s="20"/>
      <c r="N51" s="20"/>
      <c r="O51" s="20"/>
      <c r="P51" s="20"/>
      <c r="Q51" s="20"/>
      <c r="R51" s="20"/>
      <c r="S51" s="20"/>
      <c r="T51" s="20"/>
      <c r="U51" s="20"/>
      <c r="V51" s="20"/>
      <c r="W51" s="20"/>
      <c r="X51" s="20"/>
      <c r="Y51" s="20"/>
      <c r="Z51" s="20"/>
    </row>
    <row r="52" spans="1:26" ht="17.25" customHeight="1">
      <c r="A52" s="15"/>
      <c r="B52" s="15"/>
      <c r="C52" s="15"/>
      <c r="D52" s="15"/>
      <c r="E52" s="15"/>
      <c r="F52" s="15"/>
      <c r="G52" s="15"/>
      <c r="H52" s="15"/>
      <c r="I52" s="45"/>
      <c r="J52" s="47"/>
      <c r="K52" s="20"/>
      <c r="L52" s="20"/>
      <c r="M52" s="20"/>
      <c r="N52" s="20"/>
      <c r="O52" s="20"/>
      <c r="P52" s="20"/>
      <c r="Q52" s="20"/>
      <c r="R52" s="20"/>
      <c r="S52" s="20"/>
      <c r="T52" s="20"/>
      <c r="U52" s="20"/>
      <c r="V52" s="20"/>
      <c r="W52" s="20"/>
      <c r="X52" s="20"/>
      <c r="Y52" s="20"/>
      <c r="Z52" s="20"/>
    </row>
    <row r="53" spans="1:26" ht="17.25" customHeight="1">
      <c r="A53" s="15"/>
      <c r="B53" s="15"/>
      <c r="C53" s="15"/>
      <c r="D53" s="15"/>
      <c r="E53" s="15"/>
      <c r="F53" s="15"/>
      <c r="G53" s="15"/>
      <c r="H53" s="15"/>
      <c r="I53" s="45"/>
      <c r="J53" s="47"/>
      <c r="K53" s="20"/>
      <c r="L53" s="20"/>
      <c r="M53" s="20"/>
      <c r="N53" s="20"/>
      <c r="O53" s="20"/>
      <c r="P53" s="20"/>
      <c r="Q53" s="20"/>
      <c r="R53" s="20"/>
      <c r="S53" s="20"/>
      <c r="T53" s="20"/>
      <c r="U53" s="20"/>
      <c r="V53" s="20"/>
      <c r="W53" s="20"/>
      <c r="X53" s="20"/>
      <c r="Y53" s="20"/>
      <c r="Z53" s="20"/>
    </row>
    <row r="54" spans="1:26" ht="17.25" customHeight="1">
      <c r="A54" s="15"/>
      <c r="B54" s="15"/>
      <c r="C54" s="15"/>
      <c r="D54" s="15"/>
      <c r="E54" s="15"/>
      <c r="F54" s="15"/>
      <c r="G54" s="15"/>
      <c r="H54" s="15"/>
      <c r="I54" s="45"/>
      <c r="J54" s="47"/>
      <c r="K54" s="20"/>
      <c r="L54" s="20"/>
      <c r="M54" s="20"/>
      <c r="N54" s="20"/>
      <c r="O54" s="20"/>
      <c r="P54" s="20"/>
      <c r="Q54" s="20"/>
      <c r="R54" s="20"/>
      <c r="S54" s="20"/>
      <c r="T54" s="20"/>
      <c r="U54" s="20"/>
      <c r="V54" s="20"/>
      <c r="W54" s="20"/>
      <c r="X54" s="20"/>
      <c r="Y54" s="20"/>
      <c r="Z54" s="20"/>
    </row>
    <row r="55" spans="1:26" ht="17.25" customHeight="1">
      <c r="A55" s="15"/>
      <c r="B55" s="15"/>
      <c r="C55" s="15"/>
      <c r="D55" s="15"/>
      <c r="E55" s="15"/>
      <c r="F55" s="15"/>
      <c r="G55" s="15"/>
      <c r="H55" s="15"/>
      <c r="I55" s="45"/>
      <c r="J55" s="47"/>
      <c r="K55" s="20"/>
      <c r="L55" s="20"/>
      <c r="M55" s="20"/>
      <c r="N55" s="20"/>
      <c r="O55" s="20"/>
      <c r="P55" s="20"/>
      <c r="Q55" s="20"/>
      <c r="R55" s="20"/>
      <c r="S55" s="20"/>
      <c r="T55" s="20"/>
      <c r="U55" s="20"/>
      <c r="V55" s="20"/>
      <c r="W55" s="20"/>
      <c r="X55" s="20"/>
      <c r="Y55" s="20"/>
      <c r="Z55" s="20"/>
    </row>
    <row r="56" spans="1:26" ht="17.25" customHeight="1">
      <c r="A56" s="15"/>
      <c r="B56" s="15"/>
      <c r="C56" s="15"/>
      <c r="D56" s="15"/>
      <c r="E56" s="15"/>
      <c r="F56" s="15"/>
      <c r="G56" s="15"/>
      <c r="H56" s="15"/>
      <c r="I56" s="45"/>
      <c r="J56" s="47"/>
      <c r="K56" s="20"/>
      <c r="L56" s="20"/>
      <c r="M56" s="20"/>
      <c r="N56" s="20"/>
      <c r="O56" s="20"/>
      <c r="P56" s="20"/>
      <c r="Q56" s="20"/>
      <c r="R56" s="20"/>
      <c r="S56" s="20"/>
      <c r="T56" s="20"/>
      <c r="U56" s="20"/>
      <c r="V56" s="20"/>
      <c r="W56" s="20"/>
      <c r="X56" s="20"/>
      <c r="Y56" s="20"/>
      <c r="Z56" s="20"/>
    </row>
    <row r="57" spans="1:26" ht="17.25" customHeight="1">
      <c r="A57" s="15"/>
      <c r="B57" s="15"/>
      <c r="C57" s="15"/>
      <c r="D57" s="15"/>
      <c r="E57" s="15"/>
      <c r="F57" s="15"/>
      <c r="G57" s="15"/>
      <c r="H57" s="15"/>
      <c r="I57" s="45"/>
      <c r="J57" s="47"/>
      <c r="K57" s="20"/>
      <c r="L57" s="20"/>
      <c r="M57" s="20"/>
      <c r="N57" s="20"/>
      <c r="O57" s="20"/>
      <c r="P57" s="20"/>
      <c r="Q57" s="20"/>
      <c r="R57" s="20"/>
      <c r="S57" s="20"/>
      <c r="T57" s="20"/>
      <c r="U57" s="20"/>
      <c r="V57" s="20"/>
      <c r="W57" s="20"/>
      <c r="X57" s="20"/>
      <c r="Y57" s="20"/>
      <c r="Z57" s="20"/>
    </row>
    <row r="58" spans="1:26" ht="17.25" customHeight="1">
      <c r="A58" s="15"/>
      <c r="B58" s="15"/>
      <c r="C58" s="15"/>
      <c r="D58" s="15"/>
      <c r="E58" s="15"/>
      <c r="F58" s="15"/>
      <c r="G58" s="15"/>
      <c r="H58" s="15"/>
      <c r="I58" s="45"/>
      <c r="J58" s="47"/>
      <c r="K58" s="20"/>
      <c r="L58" s="20"/>
      <c r="M58" s="20"/>
      <c r="N58" s="20"/>
      <c r="O58" s="20"/>
      <c r="P58" s="20"/>
      <c r="Q58" s="20"/>
      <c r="R58" s="20"/>
      <c r="S58" s="20"/>
      <c r="T58" s="20"/>
      <c r="U58" s="20"/>
      <c r="V58" s="20"/>
      <c r="W58" s="20"/>
      <c r="X58" s="20"/>
      <c r="Y58" s="20"/>
      <c r="Z58" s="20"/>
    </row>
    <row r="59" spans="1:26" ht="17.25" customHeight="1">
      <c r="A59" s="15"/>
      <c r="B59" s="15"/>
      <c r="C59" s="15"/>
      <c r="D59" s="15"/>
      <c r="E59" s="15"/>
      <c r="F59" s="15"/>
      <c r="G59" s="15"/>
      <c r="H59" s="15"/>
      <c r="I59" s="45"/>
      <c r="J59" s="47"/>
      <c r="K59" s="20"/>
      <c r="L59" s="20"/>
      <c r="M59" s="20"/>
      <c r="N59" s="20"/>
      <c r="O59" s="20"/>
      <c r="P59" s="20"/>
      <c r="Q59" s="20"/>
      <c r="R59" s="20"/>
      <c r="S59" s="20"/>
      <c r="T59" s="20"/>
      <c r="U59" s="20"/>
      <c r="V59" s="20"/>
      <c r="W59" s="20"/>
      <c r="X59" s="20"/>
      <c r="Y59" s="20"/>
      <c r="Z59" s="20"/>
    </row>
    <row r="60" spans="1:26" ht="17.25" customHeight="1">
      <c r="A60" s="15"/>
      <c r="B60" s="15"/>
      <c r="C60" s="15"/>
      <c r="D60" s="15"/>
      <c r="E60" s="15"/>
      <c r="F60" s="15"/>
      <c r="G60" s="15"/>
      <c r="H60" s="15"/>
      <c r="I60" s="45"/>
      <c r="J60" s="47"/>
      <c r="K60" s="20"/>
      <c r="L60" s="20"/>
      <c r="M60" s="20"/>
      <c r="N60" s="20"/>
      <c r="O60" s="20"/>
      <c r="P60" s="20"/>
      <c r="Q60" s="20"/>
      <c r="R60" s="20"/>
      <c r="S60" s="20"/>
      <c r="T60" s="20"/>
      <c r="U60" s="20"/>
      <c r="V60" s="20"/>
      <c r="W60" s="20"/>
      <c r="X60" s="20"/>
      <c r="Y60" s="20"/>
      <c r="Z60" s="20"/>
    </row>
    <row r="61" spans="1:26" ht="17.25" customHeight="1">
      <c r="A61" s="15"/>
      <c r="B61" s="15"/>
      <c r="C61" s="15"/>
      <c r="D61" s="15"/>
      <c r="E61" s="15"/>
      <c r="F61" s="15"/>
      <c r="G61" s="15"/>
      <c r="H61" s="15"/>
      <c r="I61" s="45"/>
      <c r="J61" s="47"/>
      <c r="K61" s="20"/>
      <c r="L61" s="20"/>
      <c r="M61" s="20"/>
      <c r="N61" s="20"/>
      <c r="O61" s="20"/>
      <c r="P61" s="20"/>
      <c r="Q61" s="20"/>
      <c r="R61" s="20"/>
      <c r="S61" s="20"/>
      <c r="T61" s="20"/>
      <c r="U61" s="20"/>
      <c r="V61" s="20"/>
      <c r="W61" s="20"/>
      <c r="X61" s="20"/>
      <c r="Y61" s="20"/>
      <c r="Z61" s="20"/>
    </row>
    <row r="62" spans="1:26" ht="17.25" customHeight="1">
      <c r="A62" s="15"/>
      <c r="B62" s="15"/>
      <c r="C62" s="15"/>
      <c r="D62" s="15"/>
      <c r="E62" s="15"/>
      <c r="F62" s="15"/>
      <c r="G62" s="15"/>
      <c r="H62" s="15"/>
      <c r="I62" s="45"/>
      <c r="J62" s="47"/>
      <c r="K62" s="20"/>
      <c r="L62" s="20"/>
      <c r="M62" s="20"/>
      <c r="N62" s="20"/>
      <c r="O62" s="20"/>
      <c r="P62" s="20"/>
      <c r="Q62" s="20"/>
      <c r="R62" s="20"/>
      <c r="S62" s="20"/>
      <c r="T62" s="20"/>
      <c r="U62" s="20"/>
      <c r="V62" s="20"/>
      <c r="W62" s="20"/>
      <c r="X62" s="20"/>
      <c r="Y62" s="20"/>
      <c r="Z62" s="20"/>
    </row>
    <row r="63" spans="1:26" ht="17.25" customHeight="1">
      <c r="A63" s="15"/>
      <c r="B63" s="15"/>
      <c r="C63" s="15"/>
      <c r="D63" s="15"/>
      <c r="E63" s="15"/>
      <c r="F63" s="15"/>
      <c r="G63" s="15"/>
      <c r="H63" s="15"/>
      <c r="I63" s="45"/>
      <c r="J63" s="47"/>
      <c r="K63" s="20"/>
      <c r="L63" s="20"/>
      <c r="M63" s="20"/>
      <c r="N63" s="20"/>
      <c r="O63" s="20"/>
      <c r="P63" s="20"/>
      <c r="Q63" s="20"/>
      <c r="R63" s="20"/>
      <c r="S63" s="20"/>
      <c r="T63" s="20"/>
      <c r="U63" s="20"/>
      <c r="V63" s="20"/>
      <c r="W63" s="20"/>
      <c r="X63" s="20"/>
      <c r="Y63" s="20"/>
      <c r="Z63" s="20"/>
    </row>
    <row r="64" spans="1:26" ht="17.25" customHeight="1">
      <c r="A64" s="15"/>
      <c r="B64" s="15"/>
      <c r="C64" s="15"/>
      <c r="D64" s="15"/>
      <c r="E64" s="15"/>
      <c r="F64" s="15"/>
      <c r="G64" s="15"/>
      <c r="H64" s="15"/>
      <c r="I64" s="45"/>
      <c r="J64" s="47"/>
      <c r="K64" s="20"/>
      <c r="L64" s="20"/>
      <c r="M64" s="20"/>
      <c r="N64" s="20"/>
      <c r="O64" s="20"/>
      <c r="P64" s="20"/>
      <c r="Q64" s="20"/>
      <c r="R64" s="20"/>
      <c r="S64" s="20"/>
      <c r="T64" s="20"/>
      <c r="U64" s="20"/>
      <c r="V64" s="20"/>
      <c r="W64" s="20"/>
      <c r="X64" s="20"/>
      <c r="Y64" s="20"/>
      <c r="Z64" s="20"/>
    </row>
    <row r="65" spans="1:26" ht="17.25" customHeight="1">
      <c r="A65" s="15"/>
      <c r="B65" s="15"/>
      <c r="C65" s="15"/>
      <c r="D65" s="15"/>
      <c r="E65" s="15"/>
      <c r="F65" s="15"/>
      <c r="G65" s="15"/>
      <c r="H65" s="15"/>
      <c r="I65" s="45"/>
      <c r="J65" s="47"/>
      <c r="K65" s="20"/>
      <c r="L65" s="20"/>
      <c r="M65" s="20"/>
      <c r="N65" s="20"/>
      <c r="O65" s="20"/>
      <c r="P65" s="20"/>
      <c r="Q65" s="20"/>
      <c r="R65" s="20"/>
      <c r="S65" s="20"/>
      <c r="T65" s="20"/>
      <c r="U65" s="20"/>
      <c r="V65" s="20"/>
      <c r="W65" s="20"/>
      <c r="X65" s="20"/>
      <c r="Y65" s="20"/>
      <c r="Z65" s="20"/>
    </row>
    <row r="66" spans="1:26" ht="17.25" customHeight="1">
      <c r="A66" s="15"/>
      <c r="B66" s="15"/>
      <c r="C66" s="15"/>
      <c r="D66" s="15"/>
      <c r="E66" s="15"/>
      <c r="F66" s="15"/>
      <c r="G66" s="15"/>
      <c r="H66" s="15"/>
      <c r="I66" s="45"/>
      <c r="J66" s="47"/>
      <c r="K66" s="20"/>
      <c r="L66" s="20"/>
      <c r="M66" s="20"/>
      <c r="N66" s="20"/>
      <c r="O66" s="20"/>
      <c r="P66" s="20"/>
      <c r="Q66" s="20"/>
      <c r="R66" s="20"/>
      <c r="S66" s="20"/>
      <c r="T66" s="20"/>
      <c r="U66" s="20"/>
      <c r="V66" s="20"/>
      <c r="W66" s="20"/>
      <c r="X66" s="20"/>
      <c r="Y66" s="20"/>
      <c r="Z66" s="20"/>
    </row>
    <row r="67" spans="1:26" ht="17.25" customHeight="1">
      <c r="A67" s="15"/>
      <c r="B67" s="15"/>
      <c r="C67" s="15"/>
      <c r="D67" s="15"/>
      <c r="E67" s="15"/>
      <c r="F67" s="15"/>
      <c r="G67" s="15"/>
      <c r="H67" s="15"/>
      <c r="I67" s="45"/>
      <c r="J67" s="47"/>
      <c r="K67" s="20"/>
      <c r="L67" s="20"/>
      <c r="M67" s="20"/>
      <c r="N67" s="20"/>
      <c r="O67" s="20"/>
      <c r="P67" s="20"/>
      <c r="Q67" s="20"/>
      <c r="R67" s="20"/>
      <c r="S67" s="20"/>
      <c r="T67" s="20"/>
      <c r="U67" s="20"/>
      <c r="V67" s="20"/>
      <c r="W67" s="20"/>
      <c r="X67" s="20"/>
      <c r="Y67" s="20"/>
      <c r="Z67" s="20"/>
    </row>
    <row r="68" spans="1:26" ht="17.25" customHeight="1">
      <c r="A68" s="15"/>
      <c r="B68" s="15"/>
      <c r="C68" s="15"/>
      <c r="D68" s="15"/>
      <c r="E68" s="15"/>
      <c r="F68" s="15"/>
      <c r="G68" s="15"/>
      <c r="H68" s="15"/>
      <c r="I68" s="45"/>
      <c r="J68" s="47"/>
      <c r="K68" s="20"/>
      <c r="L68" s="20"/>
      <c r="M68" s="20"/>
      <c r="N68" s="20"/>
      <c r="O68" s="20"/>
      <c r="P68" s="20"/>
      <c r="Q68" s="20"/>
      <c r="R68" s="20"/>
      <c r="S68" s="20"/>
      <c r="T68" s="20"/>
      <c r="U68" s="20"/>
      <c r="V68" s="20"/>
      <c r="W68" s="20"/>
      <c r="X68" s="20"/>
      <c r="Y68" s="20"/>
      <c r="Z68" s="20"/>
    </row>
    <row r="69" spans="1:26" ht="17.25" customHeight="1">
      <c r="A69" s="15"/>
      <c r="B69" s="15"/>
      <c r="C69" s="15"/>
      <c r="D69" s="15"/>
      <c r="E69" s="15"/>
      <c r="F69" s="15"/>
      <c r="G69" s="15"/>
      <c r="H69" s="15"/>
      <c r="I69" s="45"/>
      <c r="J69" s="47"/>
      <c r="K69" s="20"/>
      <c r="L69" s="20"/>
      <c r="M69" s="20"/>
      <c r="N69" s="20"/>
      <c r="O69" s="20"/>
      <c r="P69" s="20"/>
      <c r="Q69" s="20"/>
      <c r="R69" s="20"/>
      <c r="S69" s="20"/>
      <c r="T69" s="20"/>
      <c r="U69" s="20"/>
      <c r="V69" s="20"/>
      <c r="W69" s="20"/>
      <c r="X69" s="20"/>
      <c r="Y69" s="20"/>
      <c r="Z69" s="20"/>
    </row>
    <row r="70" spans="1:26" ht="17.25" customHeight="1">
      <c r="A70" s="15"/>
      <c r="B70" s="15"/>
      <c r="C70" s="15"/>
      <c r="D70" s="15"/>
      <c r="E70" s="15"/>
      <c r="F70" s="15"/>
      <c r="G70" s="15"/>
      <c r="H70" s="15"/>
      <c r="I70" s="45"/>
      <c r="J70" s="47"/>
      <c r="K70" s="20"/>
      <c r="L70" s="20"/>
      <c r="M70" s="20"/>
      <c r="N70" s="20"/>
      <c r="O70" s="20"/>
      <c r="P70" s="20"/>
      <c r="Q70" s="20"/>
      <c r="R70" s="20"/>
      <c r="S70" s="20"/>
      <c r="T70" s="20"/>
      <c r="U70" s="20"/>
      <c r="V70" s="20"/>
      <c r="W70" s="20"/>
      <c r="X70" s="20"/>
      <c r="Y70" s="20"/>
      <c r="Z70" s="20"/>
    </row>
    <row r="71" spans="1:26" ht="17.25" customHeight="1">
      <c r="A71" s="15"/>
      <c r="B71" s="15"/>
      <c r="C71" s="15"/>
      <c r="D71" s="15"/>
      <c r="E71" s="15"/>
      <c r="F71" s="15"/>
      <c r="G71" s="15"/>
      <c r="H71" s="15"/>
      <c r="I71" s="45"/>
      <c r="J71" s="47"/>
      <c r="K71" s="20"/>
      <c r="L71" s="20"/>
      <c r="M71" s="20"/>
      <c r="N71" s="20"/>
      <c r="O71" s="20"/>
      <c r="P71" s="20"/>
      <c r="Q71" s="20"/>
      <c r="R71" s="20"/>
      <c r="S71" s="20"/>
      <c r="T71" s="20"/>
      <c r="U71" s="20"/>
      <c r="V71" s="20"/>
      <c r="W71" s="20"/>
      <c r="X71" s="20"/>
      <c r="Y71" s="20"/>
      <c r="Z71" s="20"/>
    </row>
    <row r="72" spans="1:26" ht="17.25" customHeight="1">
      <c r="A72" s="15"/>
      <c r="B72" s="15"/>
      <c r="C72" s="15"/>
      <c r="D72" s="15"/>
      <c r="E72" s="15"/>
      <c r="F72" s="15"/>
      <c r="G72" s="15"/>
      <c r="H72" s="15"/>
      <c r="I72" s="45"/>
      <c r="J72" s="47"/>
      <c r="K72" s="20"/>
      <c r="L72" s="20"/>
      <c r="M72" s="20"/>
      <c r="N72" s="20"/>
      <c r="O72" s="20"/>
      <c r="P72" s="20"/>
      <c r="Q72" s="20"/>
      <c r="R72" s="20"/>
      <c r="S72" s="20"/>
      <c r="T72" s="20"/>
      <c r="U72" s="20"/>
      <c r="V72" s="20"/>
      <c r="W72" s="20"/>
      <c r="X72" s="20"/>
      <c r="Y72" s="20"/>
      <c r="Z72" s="20"/>
    </row>
    <row r="73" spans="1:26" ht="17.25" customHeight="1">
      <c r="A73" s="15"/>
      <c r="B73" s="15"/>
      <c r="C73" s="15"/>
      <c r="D73" s="15"/>
      <c r="E73" s="15"/>
      <c r="F73" s="15"/>
      <c r="G73" s="15"/>
      <c r="H73" s="15"/>
      <c r="I73" s="45"/>
      <c r="J73" s="47"/>
      <c r="K73" s="20"/>
      <c r="L73" s="20"/>
      <c r="M73" s="20"/>
      <c r="N73" s="20"/>
      <c r="O73" s="20"/>
      <c r="P73" s="20"/>
      <c r="Q73" s="20"/>
      <c r="R73" s="20"/>
      <c r="S73" s="20"/>
      <c r="T73" s="20"/>
      <c r="U73" s="20"/>
      <c r="V73" s="20"/>
      <c r="W73" s="20"/>
      <c r="X73" s="20"/>
      <c r="Y73" s="20"/>
      <c r="Z73" s="20"/>
    </row>
    <row r="74" spans="1:26" ht="17.25" customHeight="1">
      <c r="A74" s="15"/>
      <c r="B74" s="15"/>
      <c r="C74" s="15"/>
      <c r="D74" s="15"/>
      <c r="E74" s="15"/>
      <c r="F74" s="15"/>
      <c r="G74" s="15"/>
      <c r="H74" s="15"/>
      <c r="I74" s="45"/>
      <c r="J74" s="47"/>
      <c r="K74" s="20"/>
      <c r="L74" s="20"/>
      <c r="M74" s="20"/>
      <c r="N74" s="20"/>
      <c r="O74" s="20"/>
      <c r="P74" s="20"/>
      <c r="Q74" s="20"/>
      <c r="R74" s="20"/>
      <c r="S74" s="20"/>
      <c r="T74" s="20"/>
      <c r="U74" s="20"/>
      <c r="V74" s="20"/>
      <c r="W74" s="20"/>
      <c r="X74" s="20"/>
      <c r="Y74" s="20"/>
      <c r="Z74" s="20"/>
    </row>
    <row r="75" spans="1:26" ht="17.25" customHeight="1">
      <c r="A75" s="15"/>
      <c r="B75" s="15"/>
      <c r="C75" s="15"/>
      <c r="D75" s="15"/>
      <c r="E75" s="15"/>
      <c r="F75" s="15"/>
      <c r="G75" s="15"/>
      <c r="H75" s="15"/>
      <c r="I75" s="45"/>
      <c r="J75" s="47"/>
      <c r="K75" s="20"/>
      <c r="L75" s="20"/>
      <c r="M75" s="20"/>
      <c r="N75" s="20"/>
      <c r="O75" s="20"/>
      <c r="P75" s="20"/>
      <c r="Q75" s="20"/>
      <c r="R75" s="20"/>
      <c r="S75" s="20"/>
      <c r="T75" s="20"/>
      <c r="U75" s="20"/>
      <c r="V75" s="20"/>
      <c r="W75" s="20"/>
      <c r="X75" s="20"/>
      <c r="Y75" s="20"/>
      <c r="Z75" s="20"/>
    </row>
    <row r="76" spans="1:26" ht="17.25" customHeight="1">
      <c r="A76" s="15"/>
      <c r="B76" s="15"/>
      <c r="C76" s="15"/>
      <c r="D76" s="15"/>
      <c r="E76" s="15"/>
      <c r="F76" s="15"/>
      <c r="G76" s="15"/>
      <c r="H76" s="15"/>
      <c r="I76" s="45"/>
      <c r="J76" s="47"/>
      <c r="K76" s="20"/>
      <c r="L76" s="20"/>
      <c r="M76" s="20"/>
      <c r="N76" s="20"/>
      <c r="O76" s="20"/>
      <c r="P76" s="20"/>
      <c r="Q76" s="20"/>
      <c r="R76" s="20"/>
      <c r="S76" s="20"/>
      <c r="T76" s="20"/>
      <c r="U76" s="20"/>
      <c r="V76" s="20"/>
      <c r="W76" s="20"/>
      <c r="X76" s="20"/>
      <c r="Y76" s="20"/>
      <c r="Z76" s="20"/>
    </row>
    <row r="77" spans="1:26" ht="17.25" customHeight="1">
      <c r="A77" s="15"/>
      <c r="B77" s="15"/>
      <c r="C77" s="15"/>
      <c r="D77" s="15"/>
      <c r="E77" s="15"/>
      <c r="F77" s="15"/>
      <c r="G77" s="15"/>
      <c r="H77" s="15"/>
      <c r="I77" s="45"/>
      <c r="J77" s="47"/>
      <c r="K77" s="20"/>
      <c r="L77" s="20"/>
      <c r="M77" s="20"/>
      <c r="N77" s="20"/>
      <c r="O77" s="20"/>
      <c r="P77" s="20"/>
      <c r="Q77" s="20"/>
      <c r="R77" s="20"/>
      <c r="S77" s="20"/>
      <c r="T77" s="20"/>
      <c r="U77" s="20"/>
      <c r="V77" s="20"/>
      <c r="W77" s="20"/>
      <c r="X77" s="20"/>
      <c r="Y77" s="20"/>
      <c r="Z77" s="20"/>
    </row>
    <row r="78" spans="1:26" ht="17.25" customHeight="1">
      <c r="A78" s="15"/>
      <c r="B78" s="15"/>
      <c r="C78" s="15"/>
      <c r="D78" s="15"/>
      <c r="E78" s="15"/>
      <c r="F78" s="15"/>
      <c r="G78" s="15"/>
      <c r="H78" s="15"/>
      <c r="I78" s="45"/>
      <c r="J78" s="47"/>
      <c r="K78" s="20"/>
      <c r="L78" s="20"/>
      <c r="M78" s="20"/>
      <c r="N78" s="20"/>
      <c r="O78" s="20"/>
      <c r="P78" s="20"/>
      <c r="Q78" s="20"/>
      <c r="R78" s="20"/>
      <c r="S78" s="20"/>
      <c r="T78" s="20"/>
      <c r="U78" s="20"/>
      <c r="V78" s="20"/>
      <c r="W78" s="20"/>
      <c r="X78" s="20"/>
      <c r="Y78" s="20"/>
      <c r="Z78" s="20"/>
    </row>
    <row r="79" spans="1:26" ht="17.25" customHeight="1">
      <c r="A79" s="15"/>
      <c r="B79" s="15"/>
      <c r="C79" s="15"/>
      <c r="D79" s="15"/>
      <c r="E79" s="15"/>
      <c r="F79" s="15"/>
      <c r="G79" s="15"/>
      <c r="H79" s="15"/>
      <c r="I79" s="45"/>
      <c r="J79" s="47"/>
      <c r="K79" s="20"/>
      <c r="L79" s="20"/>
      <c r="M79" s="20"/>
      <c r="N79" s="20"/>
      <c r="O79" s="20"/>
      <c r="P79" s="20"/>
      <c r="Q79" s="20"/>
      <c r="R79" s="20"/>
      <c r="S79" s="20"/>
      <c r="T79" s="20"/>
      <c r="U79" s="20"/>
      <c r="V79" s="20"/>
      <c r="W79" s="20"/>
      <c r="X79" s="20"/>
      <c r="Y79" s="20"/>
      <c r="Z79" s="20"/>
    </row>
    <row r="80" spans="1:26" ht="17.25" customHeight="1">
      <c r="A80" s="15"/>
      <c r="B80" s="15"/>
      <c r="C80" s="15"/>
      <c r="D80" s="15"/>
      <c r="E80" s="15"/>
      <c r="F80" s="15"/>
      <c r="G80" s="15"/>
      <c r="H80" s="15"/>
      <c r="I80" s="45"/>
      <c r="J80" s="47"/>
      <c r="K80" s="20"/>
      <c r="L80" s="20"/>
      <c r="M80" s="20"/>
      <c r="N80" s="20"/>
      <c r="O80" s="20"/>
      <c r="P80" s="20"/>
      <c r="Q80" s="20"/>
      <c r="R80" s="20"/>
      <c r="S80" s="20"/>
      <c r="T80" s="20"/>
      <c r="U80" s="20"/>
      <c r="V80" s="20"/>
      <c r="W80" s="20"/>
      <c r="X80" s="20"/>
      <c r="Y80" s="20"/>
      <c r="Z80" s="20"/>
    </row>
    <row r="81" spans="1:26" ht="17.25" customHeight="1">
      <c r="A81" s="15"/>
      <c r="B81" s="15"/>
      <c r="C81" s="15"/>
      <c r="D81" s="15"/>
      <c r="E81" s="15"/>
      <c r="F81" s="15"/>
      <c r="G81" s="15"/>
      <c r="H81" s="15"/>
      <c r="I81" s="45"/>
      <c r="J81" s="47"/>
      <c r="K81" s="20"/>
      <c r="L81" s="20"/>
      <c r="M81" s="20"/>
      <c r="N81" s="20"/>
      <c r="O81" s="20"/>
      <c r="P81" s="20"/>
      <c r="Q81" s="20"/>
      <c r="R81" s="20"/>
      <c r="S81" s="20"/>
      <c r="T81" s="20"/>
      <c r="U81" s="20"/>
      <c r="V81" s="20"/>
      <c r="W81" s="20"/>
      <c r="X81" s="20"/>
      <c r="Y81" s="20"/>
      <c r="Z81" s="20"/>
    </row>
    <row r="82" spans="1:26" ht="17.25" customHeight="1">
      <c r="A82" s="15"/>
      <c r="B82" s="15"/>
      <c r="C82" s="15"/>
      <c r="D82" s="15"/>
      <c r="E82" s="15"/>
      <c r="F82" s="15"/>
      <c r="G82" s="15"/>
      <c r="H82" s="15"/>
      <c r="I82" s="45"/>
      <c r="J82" s="47"/>
      <c r="K82" s="20"/>
      <c r="L82" s="20"/>
      <c r="M82" s="20"/>
      <c r="N82" s="20"/>
      <c r="O82" s="20"/>
      <c r="P82" s="20"/>
      <c r="Q82" s="20"/>
      <c r="R82" s="20"/>
      <c r="S82" s="20"/>
      <c r="T82" s="20"/>
      <c r="U82" s="20"/>
      <c r="V82" s="20"/>
      <c r="W82" s="20"/>
      <c r="X82" s="20"/>
      <c r="Y82" s="20"/>
      <c r="Z82" s="20"/>
    </row>
    <row r="83" spans="1:26" ht="17.25" customHeight="1">
      <c r="A83" s="15"/>
      <c r="B83" s="15"/>
      <c r="C83" s="15"/>
      <c r="D83" s="15"/>
      <c r="E83" s="15"/>
      <c r="F83" s="15"/>
      <c r="G83" s="15"/>
      <c r="H83" s="15"/>
      <c r="I83" s="45"/>
      <c r="J83" s="47"/>
      <c r="K83" s="20"/>
      <c r="L83" s="20"/>
      <c r="M83" s="20"/>
      <c r="N83" s="20"/>
      <c r="O83" s="20"/>
      <c r="P83" s="20"/>
      <c r="Q83" s="20"/>
      <c r="R83" s="20"/>
      <c r="S83" s="20"/>
      <c r="T83" s="20"/>
      <c r="U83" s="20"/>
      <c r="V83" s="20"/>
      <c r="W83" s="20"/>
      <c r="X83" s="20"/>
      <c r="Y83" s="20"/>
      <c r="Z83" s="20"/>
    </row>
    <row r="84" spans="1:26" ht="17.25" customHeight="1">
      <c r="A84" s="15"/>
      <c r="B84" s="15"/>
      <c r="C84" s="15"/>
      <c r="D84" s="15"/>
      <c r="E84" s="15"/>
      <c r="F84" s="15"/>
      <c r="G84" s="15"/>
      <c r="H84" s="15"/>
      <c r="I84" s="45"/>
      <c r="J84" s="47"/>
      <c r="K84" s="20"/>
      <c r="L84" s="20"/>
      <c r="M84" s="20"/>
      <c r="N84" s="20"/>
      <c r="O84" s="20"/>
      <c r="P84" s="20"/>
      <c r="Q84" s="20"/>
      <c r="R84" s="20"/>
      <c r="S84" s="20"/>
      <c r="T84" s="20"/>
      <c r="U84" s="20"/>
      <c r="V84" s="20"/>
      <c r="W84" s="20"/>
      <c r="X84" s="20"/>
      <c r="Y84" s="20"/>
      <c r="Z84" s="20"/>
    </row>
    <row r="85" spans="1:26" ht="17.25" customHeight="1">
      <c r="A85" s="15"/>
      <c r="B85" s="15"/>
      <c r="C85" s="15"/>
      <c r="D85" s="15"/>
      <c r="E85" s="15"/>
      <c r="F85" s="15"/>
      <c r="G85" s="15"/>
      <c r="H85" s="15"/>
      <c r="I85" s="45"/>
      <c r="J85" s="47"/>
      <c r="K85" s="20"/>
      <c r="L85" s="20"/>
      <c r="M85" s="20"/>
      <c r="N85" s="20"/>
      <c r="O85" s="20"/>
      <c r="P85" s="20"/>
      <c r="Q85" s="20"/>
      <c r="R85" s="20"/>
      <c r="S85" s="20"/>
      <c r="T85" s="20"/>
      <c r="U85" s="20"/>
      <c r="V85" s="20"/>
      <c r="W85" s="20"/>
      <c r="X85" s="20"/>
      <c r="Y85" s="20"/>
      <c r="Z85" s="20"/>
    </row>
    <row r="86" spans="1:26" ht="17.25" customHeight="1">
      <c r="A86" s="15"/>
      <c r="B86" s="15"/>
      <c r="C86" s="15"/>
      <c r="D86" s="15"/>
      <c r="E86" s="15"/>
      <c r="F86" s="15"/>
      <c r="G86" s="15"/>
      <c r="H86" s="15"/>
      <c r="I86" s="45"/>
      <c r="J86" s="47"/>
      <c r="K86" s="20"/>
      <c r="L86" s="20"/>
      <c r="M86" s="20"/>
      <c r="N86" s="20"/>
      <c r="O86" s="20"/>
      <c r="P86" s="20"/>
      <c r="Q86" s="20"/>
      <c r="R86" s="20"/>
      <c r="S86" s="20"/>
      <c r="T86" s="20"/>
      <c r="U86" s="20"/>
      <c r="V86" s="20"/>
      <c r="W86" s="20"/>
      <c r="X86" s="20"/>
      <c r="Y86" s="20"/>
      <c r="Z86" s="20"/>
    </row>
    <row r="87" spans="1:26" ht="17.25" customHeight="1">
      <c r="A87" s="15"/>
      <c r="B87" s="15"/>
      <c r="C87" s="15"/>
      <c r="D87" s="15"/>
      <c r="E87" s="15"/>
      <c r="F87" s="15"/>
      <c r="G87" s="15"/>
      <c r="H87" s="15"/>
      <c r="I87" s="45"/>
      <c r="J87" s="47"/>
      <c r="K87" s="20"/>
      <c r="L87" s="20"/>
      <c r="M87" s="20"/>
      <c r="N87" s="20"/>
      <c r="O87" s="20"/>
      <c r="P87" s="20"/>
      <c r="Q87" s="20"/>
      <c r="R87" s="20"/>
      <c r="S87" s="20"/>
      <c r="T87" s="20"/>
      <c r="U87" s="20"/>
      <c r="V87" s="20"/>
      <c r="W87" s="20"/>
      <c r="X87" s="20"/>
      <c r="Y87" s="20"/>
      <c r="Z87" s="20"/>
    </row>
    <row r="88" spans="1:26" ht="17.25" customHeight="1">
      <c r="A88" s="15"/>
      <c r="B88" s="15"/>
      <c r="C88" s="15"/>
      <c r="D88" s="15"/>
      <c r="E88" s="15"/>
      <c r="F88" s="15"/>
      <c r="G88" s="15"/>
      <c r="H88" s="15"/>
      <c r="I88" s="45"/>
      <c r="J88" s="47"/>
      <c r="K88" s="20"/>
      <c r="L88" s="20"/>
      <c r="M88" s="20"/>
      <c r="N88" s="20"/>
      <c r="O88" s="20"/>
      <c r="P88" s="20"/>
      <c r="Q88" s="20"/>
      <c r="R88" s="20"/>
      <c r="S88" s="20"/>
      <c r="T88" s="20"/>
      <c r="U88" s="20"/>
      <c r="V88" s="20"/>
      <c r="W88" s="20"/>
      <c r="X88" s="20"/>
      <c r="Y88" s="20"/>
      <c r="Z88" s="20"/>
    </row>
    <row r="89" spans="1:26" ht="17.25" customHeight="1">
      <c r="A89" s="15"/>
      <c r="B89" s="15"/>
      <c r="C89" s="15"/>
      <c r="D89" s="15"/>
      <c r="E89" s="15"/>
      <c r="F89" s="15"/>
      <c r="G89" s="15"/>
      <c r="H89" s="15"/>
      <c r="I89" s="45"/>
      <c r="J89" s="47"/>
      <c r="K89" s="20"/>
      <c r="L89" s="20"/>
      <c r="M89" s="20"/>
      <c r="N89" s="20"/>
      <c r="O89" s="20"/>
      <c r="P89" s="20"/>
      <c r="Q89" s="20"/>
      <c r="R89" s="20"/>
      <c r="S89" s="20"/>
      <c r="T89" s="20"/>
      <c r="U89" s="20"/>
      <c r="V89" s="20"/>
      <c r="W89" s="20"/>
      <c r="X89" s="20"/>
      <c r="Y89" s="20"/>
      <c r="Z89" s="20"/>
    </row>
    <row r="90" spans="1:26" ht="17.25" customHeight="1">
      <c r="A90" s="15"/>
      <c r="B90" s="15"/>
      <c r="C90" s="15"/>
      <c r="D90" s="15"/>
      <c r="E90" s="15"/>
      <c r="F90" s="15"/>
      <c r="G90" s="15"/>
      <c r="H90" s="15"/>
      <c r="I90" s="45"/>
      <c r="J90" s="47"/>
      <c r="K90" s="20"/>
      <c r="L90" s="20"/>
      <c r="M90" s="20"/>
      <c r="N90" s="20"/>
      <c r="O90" s="20"/>
      <c r="P90" s="20"/>
      <c r="Q90" s="20"/>
      <c r="R90" s="20"/>
      <c r="S90" s="20"/>
      <c r="T90" s="20"/>
      <c r="U90" s="20"/>
      <c r="V90" s="20"/>
      <c r="W90" s="20"/>
      <c r="X90" s="20"/>
      <c r="Y90" s="20"/>
      <c r="Z90" s="20"/>
    </row>
    <row r="91" spans="1:26" ht="17.25" customHeight="1">
      <c r="A91" s="15"/>
      <c r="B91" s="15"/>
      <c r="C91" s="15"/>
      <c r="D91" s="15"/>
      <c r="E91" s="15"/>
      <c r="F91" s="15"/>
      <c r="G91" s="15"/>
      <c r="H91" s="15"/>
      <c r="I91" s="45"/>
      <c r="J91" s="47"/>
      <c r="K91" s="20"/>
      <c r="L91" s="20"/>
      <c r="M91" s="20"/>
      <c r="N91" s="20"/>
      <c r="O91" s="20"/>
      <c r="P91" s="20"/>
      <c r="Q91" s="20"/>
      <c r="R91" s="20"/>
      <c r="S91" s="20"/>
      <c r="T91" s="20"/>
      <c r="U91" s="20"/>
      <c r="V91" s="20"/>
      <c r="W91" s="20"/>
      <c r="X91" s="20"/>
      <c r="Y91" s="20"/>
      <c r="Z91" s="20"/>
    </row>
    <row r="92" spans="1:26" ht="17.25" customHeight="1">
      <c r="A92" s="15"/>
      <c r="B92" s="15"/>
      <c r="C92" s="15"/>
      <c r="D92" s="15"/>
      <c r="E92" s="15"/>
      <c r="F92" s="15"/>
      <c r="G92" s="15"/>
      <c r="H92" s="15"/>
      <c r="I92" s="45"/>
      <c r="J92" s="47"/>
      <c r="K92" s="20"/>
      <c r="L92" s="20"/>
      <c r="M92" s="20"/>
      <c r="N92" s="20"/>
      <c r="O92" s="20"/>
      <c r="P92" s="20"/>
      <c r="Q92" s="20"/>
      <c r="R92" s="20"/>
      <c r="S92" s="20"/>
      <c r="T92" s="20"/>
      <c r="U92" s="20"/>
      <c r="V92" s="20"/>
      <c r="W92" s="20"/>
      <c r="X92" s="20"/>
      <c r="Y92" s="20"/>
      <c r="Z92" s="20"/>
    </row>
    <row r="93" spans="1:26" ht="17.25" customHeight="1">
      <c r="A93" s="15"/>
      <c r="B93" s="15"/>
      <c r="C93" s="15"/>
      <c r="D93" s="15"/>
      <c r="E93" s="15"/>
      <c r="F93" s="15"/>
      <c r="G93" s="15"/>
      <c r="H93" s="15"/>
      <c r="I93" s="45"/>
      <c r="J93" s="47"/>
      <c r="K93" s="20"/>
      <c r="L93" s="20"/>
      <c r="M93" s="20"/>
      <c r="N93" s="20"/>
      <c r="O93" s="20"/>
      <c r="P93" s="20"/>
      <c r="Q93" s="20"/>
      <c r="R93" s="20"/>
      <c r="S93" s="20"/>
      <c r="T93" s="20"/>
      <c r="U93" s="20"/>
      <c r="V93" s="20"/>
      <c r="W93" s="20"/>
      <c r="X93" s="20"/>
      <c r="Y93" s="20"/>
      <c r="Z93" s="20"/>
    </row>
    <row r="94" spans="1:26" ht="17.25" customHeight="1">
      <c r="A94" s="15"/>
      <c r="B94" s="15"/>
      <c r="C94" s="15"/>
      <c r="D94" s="15"/>
      <c r="E94" s="15"/>
      <c r="F94" s="15"/>
      <c r="G94" s="15"/>
      <c r="H94" s="15"/>
      <c r="I94" s="45"/>
      <c r="J94" s="47"/>
      <c r="K94" s="20"/>
      <c r="L94" s="20"/>
      <c r="M94" s="20"/>
      <c r="N94" s="20"/>
      <c r="O94" s="20"/>
      <c r="P94" s="20"/>
      <c r="Q94" s="20"/>
      <c r="R94" s="20"/>
      <c r="S94" s="20"/>
      <c r="T94" s="20"/>
      <c r="U94" s="20"/>
      <c r="V94" s="20"/>
      <c r="W94" s="20"/>
      <c r="X94" s="20"/>
      <c r="Y94" s="20"/>
      <c r="Z94" s="20"/>
    </row>
    <row r="95" spans="1:26" ht="17.25" customHeight="1">
      <c r="A95" s="15"/>
      <c r="B95" s="15"/>
      <c r="C95" s="15"/>
      <c r="D95" s="15"/>
      <c r="E95" s="15"/>
      <c r="F95" s="15"/>
      <c r="G95" s="15"/>
      <c r="H95" s="15"/>
      <c r="I95" s="45"/>
      <c r="J95" s="47"/>
      <c r="K95" s="20"/>
      <c r="L95" s="20"/>
      <c r="M95" s="20"/>
      <c r="N95" s="20"/>
      <c r="O95" s="20"/>
      <c r="P95" s="20"/>
      <c r="Q95" s="20"/>
      <c r="R95" s="20"/>
      <c r="S95" s="20"/>
      <c r="T95" s="20"/>
      <c r="U95" s="20"/>
      <c r="V95" s="20"/>
      <c r="W95" s="20"/>
      <c r="X95" s="20"/>
      <c r="Y95" s="20"/>
      <c r="Z95" s="20"/>
    </row>
    <row r="96" spans="1:26" ht="17.25" customHeight="1">
      <c r="A96" s="15"/>
      <c r="B96" s="15"/>
      <c r="C96" s="15"/>
      <c r="D96" s="15"/>
      <c r="E96" s="15"/>
      <c r="F96" s="15"/>
      <c r="G96" s="15"/>
      <c r="H96" s="15"/>
      <c r="I96" s="45"/>
      <c r="J96" s="47"/>
      <c r="K96" s="20"/>
      <c r="L96" s="20"/>
      <c r="M96" s="20"/>
      <c r="N96" s="20"/>
      <c r="O96" s="20"/>
      <c r="P96" s="20"/>
      <c r="Q96" s="20"/>
      <c r="R96" s="20"/>
      <c r="S96" s="20"/>
      <c r="T96" s="20"/>
      <c r="U96" s="20"/>
      <c r="V96" s="20"/>
      <c r="W96" s="20"/>
      <c r="X96" s="20"/>
      <c r="Y96" s="20"/>
      <c r="Z96" s="20"/>
    </row>
    <row r="97" spans="1:26" ht="17.25" customHeight="1">
      <c r="A97" s="15"/>
      <c r="B97" s="15"/>
      <c r="C97" s="15"/>
      <c r="D97" s="15"/>
      <c r="E97" s="15"/>
      <c r="F97" s="15"/>
      <c r="G97" s="15"/>
      <c r="H97" s="15"/>
      <c r="I97" s="45"/>
      <c r="J97" s="47"/>
      <c r="K97" s="20"/>
      <c r="L97" s="20"/>
      <c r="M97" s="20"/>
      <c r="N97" s="20"/>
      <c r="O97" s="20"/>
      <c r="P97" s="20"/>
      <c r="Q97" s="20"/>
      <c r="R97" s="20"/>
      <c r="S97" s="20"/>
      <c r="T97" s="20"/>
      <c r="U97" s="20"/>
      <c r="V97" s="20"/>
      <c r="W97" s="20"/>
      <c r="X97" s="20"/>
      <c r="Y97" s="20"/>
      <c r="Z97" s="20"/>
    </row>
    <row r="98" spans="1:26" ht="17.25" customHeight="1">
      <c r="A98" s="15"/>
      <c r="B98" s="15"/>
      <c r="C98" s="15"/>
      <c r="D98" s="15"/>
      <c r="E98" s="15"/>
      <c r="F98" s="15"/>
      <c r="G98" s="15"/>
      <c r="H98" s="15"/>
      <c r="I98" s="45"/>
      <c r="J98" s="47"/>
      <c r="K98" s="20"/>
      <c r="L98" s="20"/>
      <c r="M98" s="20"/>
      <c r="N98" s="20"/>
      <c r="O98" s="20"/>
      <c r="P98" s="20"/>
      <c r="Q98" s="20"/>
      <c r="R98" s="20"/>
      <c r="S98" s="20"/>
      <c r="T98" s="20"/>
      <c r="U98" s="20"/>
      <c r="V98" s="20"/>
      <c r="W98" s="20"/>
      <c r="X98" s="20"/>
      <c r="Y98" s="20"/>
      <c r="Z98" s="20"/>
    </row>
    <row r="99" spans="1:26" ht="17.25" customHeight="1">
      <c r="A99" s="15"/>
      <c r="B99" s="15"/>
      <c r="C99" s="15"/>
      <c r="D99" s="15"/>
      <c r="E99" s="15"/>
      <c r="F99" s="15"/>
      <c r="G99" s="15"/>
      <c r="H99" s="15"/>
      <c r="I99" s="45"/>
      <c r="J99" s="47"/>
      <c r="K99" s="20"/>
      <c r="L99" s="20"/>
      <c r="M99" s="20"/>
      <c r="N99" s="20"/>
      <c r="O99" s="20"/>
      <c r="P99" s="20"/>
      <c r="Q99" s="20"/>
      <c r="R99" s="20"/>
      <c r="S99" s="20"/>
      <c r="T99" s="20"/>
      <c r="U99" s="20"/>
      <c r="V99" s="20"/>
      <c r="W99" s="20"/>
      <c r="X99" s="20"/>
      <c r="Y99" s="20"/>
      <c r="Z99" s="20"/>
    </row>
    <row r="100" spans="1:26" ht="17.25" customHeight="1">
      <c r="A100" s="15"/>
      <c r="B100" s="15"/>
      <c r="C100" s="15"/>
      <c r="D100" s="15"/>
      <c r="E100" s="15"/>
      <c r="F100" s="15"/>
      <c r="G100" s="15"/>
      <c r="H100" s="15"/>
      <c r="I100" s="45"/>
      <c r="J100" s="47"/>
      <c r="K100" s="20"/>
      <c r="L100" s="20"/>
      <c r="M100" s="20"/>
      <c r="N100" s="20"/>
      <c r="O100" s="20"/>
      <c r="P100" s="20"/>
      <c r="Q100" s="20"/>
      <c r="R100" s="20"/>
      <c r="S100" s="20"/>
      <c r="T100" s="20"/>
      <c r="U100" s="20"/>
      <c r="V100" s="20"/>
      <c r="W100" s="20"/>
      <c r="X100" s="20"/>
      <c r="Y100" s="20"/>
      <c r="Z100" s="20"/>
    </row>
    <row r="101" spans="1:26" ht="17.25" customHeight="1">
      <c r="A101" s="15"/>
      <c r="B101" s="15"/>
      <c r="C101" s="15"/>
      <c r="D101" s="15"/>
      <c r="E101" s="15"/>
      <c r="F101" s="15"/>
      <c r="G101" s="15"/>
      <c r="H101" s="15"/>
      <c r="I101" s="45"/>
      <c r="J101" s="47"/>
      <c r="K101" s="20"/>
      <c r="L101" s="20"/>
      <c r="M101" s="20"/>
      <c r="N101" s="20"/>
      <c r="O101" s="20"/>
      <c r="P101" s="20"/>
      <c r="Q101" s="20"/>
      <c r="R101" s="20"/>
      <c r="S101" s="20"/>
      <c r="T101" s="20"/>
      <c r="U101" s="20"/>
      <c r="V101" s="20"/>
      <c r="W101" s="20"/>
      <c r="X101" s="20"/>
      <c r="Y101" s="20"/>
      <c r="Z101" s="20"/>
    </row>
    <row r="102" spans="1:26" ht="17.25" customHeight="1">
      <c r="A102" s="15"/>
      <c r="B102" s="15"/>
      <c r="C102" s="15"/>
      <c r="D102" s="15"/>
      <c r="E102" s="15"/>
      <c r="F102" s="15"/>
      <c r="G102" s="15"/>
      <c r="H102" s="15"/>
      <c r="I102" s="45"/>
      <c r="J102" s="47"/>
      <c r="K102" s="20"/>
      <c r="L102" s="20"/>
      <c r="M102" s="20"/>
      <c r="N102" s="20"/>
      <c r="O102" s="20"/>
      <c r="P102" s="20"/>
      <c r="Q102" s="20"/>
      <c r="R102" s="20"/>
      <c r="S102" s="20"/>
      <c r="T102" s="20"/>
      <c r="U102" s="20"/>
      <c r="V102" s="20"/>
      <c r="W102" s="20"/>
      <c r="X102" s="20"/>
      <c r="Y102" s="20"/>
      <c r="Z102" s="20"/>
    </row>
    <row r="103" spans="1:26" ht="17.25" customHeight="1">
      <c r="A103" s="15"/>
      <c r="B103" s="15"/>
      <c r="C103" s="15"/>
      <c r="D103" s="15"/>
      <c r="E103" s="15"/>
      <c r="F103" s="15"/>
      <c r="G103" s="15"/>
      <c r="H103" s="15"/>
      <c r="I103" s="45"/>
      <c r="J103" s="47"/>
      <c r="K103" s="20"/>
      <c r="L103" s="20"/>
      <c r="M103" s="20"/>
      <c r="N103" s="20"/>
      <c r="O103" s="20"/>
      <c r="P103" s="20"/>
      <c r="Q103" s="20"/>
      <c r="R103" s="20"/>
      <c r="S103" s="20"/>
      <c r="T103" s="20"/>
      <c r="U103" s="20"/>
      <c r="V103" s="20"/>
      <c r="W103" s="20"/>
      <c r="X103" s="20"/>
      <c r="Y103" s="20"/>
      <c r="Z103" s="20"/>
    </row>
    <row r="104" spans="1:26" ht="17.25" customHeight="1">
      <c r="A104" s="15"/>
      <c r="B104" s="15"/>
      <c r="C104" s="15"/>
      <c r="D104" s="15"/>
      <c r="E104" s="15"/>
      <c r="F104" s="15"/>
      <c r="G104" s="15"/>
      <c r="H104" s="15"/>
      <c r="I104" s="45"/>
      <c r="J104" s="47"/>
      <c r="K104" s="20"/>
      <c r="L104" s="20"/>
      <c r="M104" s="20"/>
      <c r="N104" s="20"/>
      <c r="O104" s="20"/>
      <c r="P104" s="20"/>
      <c r="Q104" s="20"/>
      <c r="R104" s="20"/>
      <c r="S104" s="20"/>
      <c r="T104" s="20"/>
      <c r="U104" s="20"/>
      <c r="V104" s="20"/>
      <c r="W104" s="20"/>
      <c r="X104" s="20"/>
      <c r="Y104" s="20"/>
      <c r="Z104" s="20"/>
    </row>
    <row r="105" spans="1:26" ht="17.25" customHeight="1">
      <c r="A105" s="15"/>
      <c r="B105" s="15"/>
      <c r="C105" s="15"/>
      <c r="D105" s="15"/>
      <c r="E105" s="15"/>
      <c r="F105" s="15"/>
      <c r="G105" s="15"/>
      <c r="H105" s="15"/>
      <c r="I105" s="45"/>
      <c r="J105" s="47"/>
      <c r="K105" s="20"/>
      <c r="L105" s="20"/>
      <c r="M105" s="20"/>
      <c r="N105" s="20"/>
      <c r="O105" s="20"/>
      <c r="P105" s="20"/>
      <c r="Q105" s="20"/>
      <c r="R105" s="20"/>
      <c r="S105" s="20"/>
      <c r="T105" s="20"/>
      <c r="U105" s="20"/>
      <c r="V105" s="20"/>
      <c r="W105" s="20"/>
      <c r="X105" s="20"/>
      <c r="Y105" s="20"/>
      <c r="Z105" s="20"/>
    </row>
    <row r="106" spans="1:26" ht="17.25" customHeight="1">
      <c r="A106" s="15"/>
      <c r="B106" s="15"/>
      <c r="C106" s="15"/>
      <c r="D106" s="15"/>
      <c r="E106" s="15"/>
      <c r="F106" s="15"/>
      <c r="G106" s="15"/>
      <c r="H106" s="15"/>
      <c r="I106" s="45"/>
      <c r="J106" s="47"/>
      <c r="K106" s="20"/>
      <c r="L106" s="20"/>
      <c r="M106" s="20"/>
      <c r="N106" s="20"/>
      <c r="O106" s="20"/>
      <c r="P106" s="20"/>
      <c r="Q106" s="20"/>
      <c r="R106" s="20"/>
      <c r="S106" s="20"/>
      <c r="T106" s="20"/>
      <c r="U106" s="20"/>
      <c r="V106" s="20"/>
      <c r="W106" s="20"/>
      <c r="X106" s="20"/>
      <c r="Y106" s="20"/>
      <c r="Z106" s="20"/>
    </row>
    <row r="107" spans="1:26" ht="17.25" customHeight="1">
      <c r="A107" s="15"/>
      <c r="B107" s="15"/>
      <c r="C107" s="15"/>
      <c r="D107" s="15"/>
      <c r="E107" s="15"/>
      <c r="F107" s="15"/>
      <c r="G107" s="15"/>
      <c r="H107" s="15"/>
      <c r="I107" s="45"/>
      <c r="J107" s="47"/>
      <c r="K107" s="20"/>
      <c r="L107" s="20"/>
      <c r="M107" s="20"/>
      <c r="N107" s="20"/>
      <c r="O107" s="20"/>
      <c r="P107" s="20"/>
      <c r="Q107" s="20"/>
      <c r="R107" s="20"/>
      <c r="S107" s="20"/>
      <c r="T107" s="20"/>
      <c r="U107" s="20"/>
      <c r="V107" s="20"/>
      <c r="W107" s="20"/>
      <c r="X107" s="20"/>
      <c r="Y107" s="20"/>
      <c r="Z107" s="20"/>
    </row>
    <row r="108" spans="1:26" ht="17.25" customHeight="1">
      <c r="A108" s="15"/>
      <c r="B108" s="15"/>
      <c r="C108" s="15"/>
      <c r="D108" s="15"/>
      <c r="E108" s="15"/>
      <c r="F108" s="15"/>
      <c r="G108" s="15"/>
      <c r="H108" s="15"/>
      <c r="I108" s="45"/>
      <c r="J108" s="47"/>
      <c r="K108" s="20"/>
      <c r="L108" s="20"/>
      <c r="M108" s="20"/>
      <c r="N108" s="20"/>
      <c r="O108" s="20"/>
      <c r="P108" s="20"/>
      <c r="Q108" s="20"/>
      <c r="R108" s="20"/>
      <c r="S108" s="20"/>
      <c r="T108" s="20"/>
      <c r="U108" s="20"/>
      <c r="V108" s="20"/>
      <c r="W108" s="20"/>
      <c r="X108" s="20"/>
      <c r="Y108" s="20"/>
      <c r="Z108" s="20"/>
    </row>
    <row r="109" spans="1:26" ht="17.25" customHeight="1">
      <c r="A109" s="15"/>
      <c r="B109" s="15"/>
      <c r="C109" s="15"/>
      <c r="D109" s="15"/>
      <c r="E109" s="15"/>
      <c r="F109" s="15"/>
      <c r="G109" s="15"/>
      <c r="H109" s="15"/>
      <c r="I109" s="45"/>
      <c r="J109" s="47"/>
      <c r="K109" s="20"/>
      <c r="L109" s="20"/>
      <c r="M109" s="20"/>
      <c r="N109" s="20"/>
      <c r="O109" s="20"/>
      <c r="P109" s="20"/>
      <c r="Q109" s="20"/>
      <c r="R109" s="20"/>
      <c r="S109" s="20"/>
      <c r="T109" s="20"/>
      <c r="U109" s="20"/>
      <c r="V109" s="20"/>
      <c r="W109" s="20"/>
      <c r="X109" s="20"/>
      <c r="Y109" s="20"/>
      <c r="Z109" s="20"/>
    </row>
    <row r="110" spans="1:26" ht="17.25" customHeight="1">
      <c r="A110" s="15"/>
      <c r="B110" s="15"/>
      <c r="C110" s="15"/>
      <c r="D110" s="15"/>
      <c r="E110" s="15"/>
      <c r="F110" s="15"/>
      <c r="G110" s="15"/>
      <c r="H110" s="15"/>
      <c r="I110" s="45"/>
      <c r="J110" s="47"/>
      <c r="K110" s="20"/>
      <c r="L110" s="20"/>
      <c r="M110" s="20"/>
      <c r="N110" s="20"/>
      <c r="O110" s="20"/>
      <c r="P110" s="20"/>
      <c r="Q110" s="20"/>
      <c r="R110" s="20"/>
      <c r="S110" s="20"/>
      <c r="T110" s="20"/>
      <c r="U110" s="20"/>
      <c r="V110" s="20"/>
      <c r="W110" s="20"/>
      <c r="X110" s="20"/>
      <c r="Y110" s="20"/>
      <c r="Z110" s="20"/>
    </row>
    <row r="111" spans="1:26" ht="17.25" customHeight="1">
      <c r="A111" s="15"/>
      <c r="B111" s="15"/>
      <c r="C111" s="15"/>
      <c r="D111" s="15"/>
      <c r="E111" s="15"/>
      <c r="F111" s="15"/>
      <c r="G111" s="15"/>
      <c r="H111" s="15"/>
      <c r="I111" s="45"/>
      <c r="J111" s="47"/>
      <c r="K111" s="20"/>
      <c r="L111" s="20"/>
      <c r="M111" s="20"/>
      <c r="N111" s="20"/>
      <c r="O111" s="20"/>
      <c r="P111" s="20"/>
      <c r="Q111" s="20"/>
      <c r="R111" s="20"/>
      <c r="S111" s="20"/>
      <c r="T111" s="20"/>
      <c r="U111" s="20"/>
      <c r="V111" s="20"/>
      <c r="W111" s="20"/>
      <c r="X111" s="20"/>
      <c r="Y111" s="20"/>
      <c r="Z111" s="20"/>
    </row>
    <row r="112" spans="1:26" ht="17.25" customHeight="1">
      <c r="A112" s="15"/>
      <c r="B112" s="15"/>
      <c r="C112" s="15"/>
      <c r="D112" s="15"/>
      <c r="E112" s="15"/>
      <c r="F112" s="15"/>
      <c r="G112" s="15"/>
      <c r="H112" s="15"/>
      <c r="I112" s="45"/>
      <c r="J112" s="47"/>
      <c r="K112" s="20"/>
      <c r="L112" s="20"/>
      <c r="M112" s="20"/>
      <c r="N112" s="20"/>
      <c r="O112" s="20"/>
      <c r="P112" s="20"/>
      <c r="Q112" s="20"/>
      <c r="R112" s="20"/>
      <c r="S112" s="20"/>
      <c r="T112" s="20"/>
      <c r="U112" s="20"/>
      <c r="V112" s="20"/>
      <c r="W112" s="20"/>
      <c r="X112" s="20"/>
      <c r="Y112" s="20"/>
      <c r="Z112" s="20"/>
    </row>
    <row r="113" spans="1:26" ht="17.25" customHeight="1">
      <c r="A113" s="15"/>
      <c r="B113" s="15"/>
      <c r="C113" s="15"/>
      <c r="D113" s="15"/>
      <c r="E113" s="15"/>
      <c r="F113" s="15"/>
      <c r="G113" s="15"/>
      <c r="H113" s="15"/>
      <c r="I113" s="45"/>
      <c r="J113" s="47"/>
      <c r="K113" s="20"/>
      <c r="L113" s="20"/>
      <c r="M113" s="20"/>
      <c r="N113" s="20"/>
      <c r="O113" s="20"/>
      <c r="P113" s="20"/>
      <c r="Q113" s="20"/>
      <c r="R113" s="20"/>
      <c r="S113" s="20"/>
      <c r="T113" s="20"/>
      <c r="U113" s="20"/>
      <c r="V113" s="20"/>
      <c r="W113" s="20"/>
      <c r="X113" s="20"/>
      <c r="Y113" s="20"/>
      <c r="Z113" s="20"/>
    </row>
    <row r="114" spans="1:26" ht="17.25" customHeight="1">
      <c r="A114" s="15"/>
      <c r="B114" s="15"/>
      <c r="C114" s="15"/>
      <c r="D114" s="15"/>
      <c r="E114" s="15"/>
      <c r="F114" s="15"/>
      <c r="G114" s="15"/>
      <c r="H114" s="15"/>
      <c r="I114" s="45"/>
      <c r="J114" s="47"/>
      <c r="K114" s="20"/>
      <c r="L114" s="20"/>
      <c r="M114" s="20"/>
      <c r="N114" s="20"/>
      <c r="O114" s="20"/>
      <c r="P114" s="20"/>
      <c r="Q114" s="20"/>
      <c r="R114" s="20"/>
      <c r="S114" s="20"/>
      <c r="T114" s="20"/>
      <c r="U114" s="20"/>
      <c r="V114" s="20"/>
      <c r="W114" s="20"/>
      <c r="X114" s="20"/>
      <c r="Y114" s="20"/>
      <c r="Z114" s="20"/>
    </row>
    <row r="115" spans="1:26" ht="17.25" customHeight="1">
      <c r="A115" s="15"/>
      <c r="B115" s="15"/>
      <c r="C115" s="15"/>
      <c r="D115" s="15"/>
      <c r="E115" s="15"/>
      <c r="F115" s="15"/>
      <c r="G115" s="15"/>
      <c r="H115" s="15"/>
      <c r="I115" s="45"/>
      <c r="J115" s="47"/>
      <c r="K115" s="20"/>
      <c r="L115" s="20"/>
      <c r="M115" s="20"/>
      <c r="N115" s="20"/>
      <c r="O115" s="20"/>
      <c r="P115" s="20"/>
      <c r="Q115" s="20"/>
      <c r="R115" s="20"/>
      <c r="S115" s="20"/>
      <c r="T115" s="20"/>
      <c r="U115" s="20"/>
      <c r="V115" s="20"/>
      <c r="W115" s="20"/>
      <c r="X115" s="20"/>
      <c r="Y115" s="20"/>
      <c r="Z115" s="20"/>
    </row>
    <row r="116" spans="1:26" ht="17.25" customHeight="1">
      <c r="A116" s="15"/>
      <c r="B116" s="15"/>
      <c r="C116" s="15"/>
      <c r="D116" s="15"/>
      <c r="E116" s="15"/>
      <c r="F116" s="15"/>
      <c r="G116" s="15"/>
      <c r="H116" s="15"/>
      <c r="I116" s="45"/>
      <c r="J116" s="47"/>
      <c r="K116" s="20"/>
      <c r="L116" s="20"/>
      <c r="M116" s="20"/>
      <c r="N116" s="20"/>
      <c r="O116" s="20"/>
      <c r="P116" s="20"/>
      <c r="Q116" s="20"/>
      <c r="R116" s="20"/>
      <c r="S116" s="20"/>
      <c r="T116" s="20"/>
      <c r="U116" s="20"/>
      <c r="V116" s="20"/>
      <c r="W116" s="20"/>
      <c r="X116" s="20"/>
      <c r="Y116" s="20"/>
      <c r="Z116" s="20"/>
    </row>
    <row r="117" spans="1:26" ht="17.25" customHeight="1">
      <c r="A117" s="15"/>
      <c r="B117" s="15"/>
      <c r="C117" s="15"/>
      <c r="D117" s="15"/>
      <c r="E117" s="15"/>
      <c r="F117" s="15"/>
      <c r="G117" s="15"/>
      <c r="H117" s="15"/>
      <c r="I117" s="45"/>
      <c r="J117" s="47"/>
      <c r="K117" s="20"/>
      <c r="L117" s="20"/>
      <c r="M117" s="20"/>
      <c r="N117" s="20"/>
      <c r="O117" s="20"/>
      <c r="P117" s="20"/>
      <c r="Q117" s="20"/>
      <c r="R117" s="20"/>
      <c r="S117" s="20"/>
      <c r="T117" s="20"/>
      <c r="U117" s="20"/>
      <c r="V117" s="20"/>
      <c r="W117" s="20"/>
      <c r="X117" s="20"/>
      <c r="Y117" s="20"/>
      <c r="Z117" s="20"/>
    </row>
    <row r="118" spans="1:26" ht="17.25" customHeight="1">
      <c r="A118" s="15"/>
      <c r="B118" s="15"/>
      <c r="C118" s="15"/>
      <c r="D118" s="15"/>
      <c r="E118" s="15"/>
      <c r="F118" s="15"/>
      <c r="G118" s="15"/>
      <c r="H118" s="15"/>
      <c r="I118" s="45"/>
      <c r="J118" s="47"/>
      <c r="K118" s="20"/>
      <c r="L118" s="20"/>
      <c r="M118" s="20"/>
      <c r="N118" s="20"/>
      <c r="O118" s="20"/>
      <c r="P118" s="20"/>
      <c r="Q118" s="20"/>
      <c r="R118" s="20"/>
      <c r="S118" s="20"/>
      <c r="T118" s="20"/>
      <c r="U118" s="20"/>
      <c r="V118" s="20"/>
      <c r="W118" s="20"/>
      <c r="X118" s="20"/>
      <c r="Y118" s="20"/>
      <c r="Z118" s="20"/>
    </row>
    <row r="119" spans="1:26" ht="17.25" customHeight="1">
      <c r="A119" s="15"/>
      <c r="B119" s="15"/>
      <c r="C119" s="15"/>
      <c r="D119" s="15"/>
      <c r="E119" s="15"/>
      <c r="F119" s="15"/>
      <c r="G119" s="15"/>
      <c r="H119" s="15"/>
      <c r="I119" s="45"/>
      <c r="J119" s="47"/>
      <c r="K119" s="20"/>
      <c r="L119" s="20"/>
      <c r="M119" s="20"/>
      <c r="N119" s="20"/>
      <c r="O119" s="20"/>
      <c r="P119" s="20"/>
      <c r="Q119" s="20"/>
      <c r="R119" s="20"/>
      <c r="S119" s="20"/>
      <c r="T119" s="20"/>
      <c r="U119" s="20"/>
      <c r="V119" s="20"/>
      <c r="W119" s="20"/>
      <c r="X119" s="20"/>
      <c r="Y119" s="20"/>
      <c r="Z119" s="20"/>
    </row>
    <row r="120" spans="1:26" ht="17.25" customHeight="1">
      <c r="A120" s="15"/>
      <c r="B120" s="15"/>
      <c r="C120" s="15"/>
      <c r="D120" s="15"/>
      <c r="E120" s="15"/>
      <c r="F120" s="15"/>
      <c r="G120" s="15"/>
      <c r="H120" s="15"/>
      <c r="I120" s="45"/>
      <c r="J120" s="47"/>
      <c r="K120" s="20"/>
      <c r="L120" s="20"/>
      <c r="M120" s="20"/>
      <c r="N120" s="20"/>
      <c r="O120" s="20"/>
      <c r="P120" s="20"/>
      <c r="Q120" s="20"/>
      <c r="R120" s="20"/>
      <c r="S120" s="20"/>
      <c r="T120" s="20"/>
      <c r="U120" s="20"/>
      <c r="V120" s="20"/>
      <c r="W120" s="20"/>
      <c r="X120" s="20"/>
      <c r="Y120" s="20"/>
      <c r="Z120" s="20"/>
    </row>
    <row r="121" spans="1:26" ht="17.25" customHeight="1">
      <c r="A121" s="15"/>
      <c r="B121" s="15"/>
      <c r="C121" s="15"/>
      <c r="D121" s="15"/>
      <c r="E121" s="15"/>
      <c r="F121" s="15"/>
      <c r="G121" s="15"/>
      <c r="H121" s="15"/>
      <c r="I121" s="45"/>
      <c r="J121" s="47"/>
      <c r="K121" s="20"/>
      <c r="L121" s="20"/>
      <c r="M121" s="20"/>
      <c r="N121" s="20"/>
      <c r="O121" s="20"/>
      <c r="P121" s="20"/>
      <c r="Q121" s="20"/>
      <c r="R121" s="20"/>
      <c r="S121" s="20"/>
      <c r="T121" s="20"/>
      <c r="U121" s="20"/>
      <c r="V121" s="20"/>
      <c r="W121" s="20"/>
      <c r="X121" s="20"/>
      <c r="Y121" s="20"/>
      <c r="Z121" s="20"/>
    </row>
    <row r="122" spans="1:26" ht="17.25" customHeight="1">
      <c r="A122" s="15"/>
      <c r="B122" s="15"/>
      <c r="C122" s="15"/>
      <c r="D122" s="15"/>
      <c r="E122" s="15"/>
      <c r="F122" s="15"/>
      <c r="G122" s="15"/>
      <c r="H122" s="15"/>
      <c r="I122" s="45"/>
      <c r="J122" s="47"/>
      <c r="K122" s="20"/>
      <c r="L122" s="20"/>
      <c r="M122" s="20"/>
      <c r="N122" s="20"/>
      <c r="O122" s="20"/>
      <c r="P122" s="20"/>
      <c r="Q122" s="20"/>
      <c r="R122" s="20"/>
      <c r="S122" s="20"/>
      <c r="T122" s="20"/>
      <c r="U122" s="20"/>
      <c r="V122" s="20"/>
      <c r="W122" s="20"/>
      <c r="X122" s="20"/>
      <c r="Y122" s="20"/>
      <c r="Z122" s="20"/>
    </row>
    <row r="123" spans="1:26" ht="17.25" customHeight="1">
      <c r="A123" s="15"/>
      <c r="B123" s="15"/>
      <c r="C123" s="15"/>
      <c r="D123" s="15"/>
      <c r="E123" s="15"/>
      <c r="F123" s="15"/>
      <c r="G123" s="15"/>
      <c r="H123" s="15"/>
      <c r="I123" s="45"/>
      <c r="J123" s="47"/>
      <c r="K123" s="20"/>
      <c r="L123" s="20"/>
      <c r="M123" s="20"/>
      <c r="N123" s="20"/>
      <c r="O123" s="20"/>
      <c r="P123" s="20"/>
      <c r="Q123" s="20"/>
      <c r="R123" s="20"/>
      <c r="S123" s="20"/>
      <c r="T123" s="20"/>
      <c r="U123" s="20"/>
      <c r="V123" s="20"/>
      <c r="W123" s="20"/>
      <c r="X123" s="20"/>
      <c r="Y123" s="20"/>
      <c r="Z123" s="20"/>
    </row>
    <row r="124" spans="1:26" ht="17.25" customHeight="1">
      <c r="A124" s="15"/>
      <c r="B124" s="15"/>
      <c r="C124" s="15"/>
      <c r="D124" s="15"/>
      <c r="E124" s="15"/>
      <c r="F124" s="15"/>
      <c r="G124" s="15"/>
      <c r="H124" s="15"/>
      <c r="I124" s="45"/>
      <c r="J124" s="47"/>
      <c r="K124" s="20"/>
      <c r="L124" s="20"/>
      <c r="M124" s="20"/>
      <c r="N124" s="20"/>
      <c r="O124" s="20"/>
      <c r="P124" s="20"/>
      <c r="Q124" s="20"/>
      <c r="R124" s="20"/>
      <c r="S124" s="20"/>
      <c r="T124" s="20"/>
      <c r="U124" s="20"/>
      <c r="V124" s="20"/>
      <c r="W124" s="20"/>
      <c r="X124" s="20"/>
      <c r="Y124" s="20"/>
      <c r="Z124" s="20"/>
    </row>
    <row r="125" spans="1:26" ht="17.25" customHeight="1">
      <c r="A125" s="15"/>
      <c r="B125" s="15"/>
      <c r="C125" s="15"/>
      <c r="D125" s="15"/>
      <c r="E125" s="15"/>
      <c r="F125" s="15"/>
      <c r="G125" s="15"/>
      <c r="H125" s="15"/>
      <c r="I125" s="45"/>
      <c r="J125" s="47"/>
      <c r="K125" s="20"/>
      <c r="L125" s="20"/>
      <c r="M125" s="20"/>
      <c r="N125" s="20"/>
      <c r="O125" s="20"/>
      <c r="P125" s="20"/>
      <c r="Q125" s="20"/>
      <c r="R125" s="20"/>
      <c r="S125" s="20"/>
      <c r="T125" s="20"/>
      <c r="U125" s="20"/>
      <c r="V125" s="20"/>
      <c r="W125" s="20"/>
      <c r="X125" s="20"/>
      <c r="Y125" s="20"/>
      <c r="Z125" s="20"/>
    </row>
    <row r="126" spans="1:26" ht="17.25" customHeight="1">
      <c r="A126" s="15"/>
      <c r="B126" s="15"/>
      <c r="C126" s="15"/>
      <c r="D126" s="15"/>
      <c r="E126" s="15"/>
      <c r="F126" s="15"/>
      <c r="G126" s="15"/>
      <c r="H126" s="15"/>
      <c r="I126" s="45"/>
      <c r="J126" s="47"/>
      <c r="K126" s="20"/>
      <c r="L126" s="20"/>
      <c r="M126" s="20"/>
      <c r="N126" s="20"/>
      <c r="O126" s="20"/>
      <c r="P126" s="20"/>
      <c r="Q126" s="20"/>
      <c r="R126" s="20"/>
      <c r="S126" s="20"/>
      <c r="T126" s="20"/>
      <c r="U126" s="20"/>
      <c r="V126" s="20"/>
      <c r="W126" s="20"/>
      <c r="X126" s="20"/>
      <c r="Y126" s="20"/>
      <c r="Z126" s="20"/>
    </row>
    <row r="127" spans="1:26" ht="17.25" customHeight="1">
      <c r="A127" s="15"/>
      <c r="B127" s="15"/>
      <c r="C127" s="15"/>
      <c r="D127" s="15"/>
      <c r="E127" s="15"/>
      <c r="F127" s="15"/>
      <c r="G127" s="15"/>
      <c r="H127" s="15"/>
      <c r="I127" s="45"/>
      <c r="J127" s="47"/>
      <c r="K127" s="20"/>
      <c r="L127" s="20"/>
      <c r="M127" s="20"/>
      <c r="N127" s="20"/>
      <c r="O127" s="20"/>
      <c r="P127" s="20"/>
      <c r="Q127" s="20"/>
      <c r="R127" s="20"/>
      <c r="S127" s="20"/>
      <c r="T127" s="20"/>
      <c r="U127" s="20"/>
      <c r="V127" s="20"/>
      <c r="W127" s="20"/>
      <c r="X127" s="20"/>
      <c r="Y127" s="20"/>
      <c r="Z127" s="20"/>
    </row>
    <row r="128" spans="1:26" ht="17.25" customHeight="1">
      <c r="A128" s="15"/>
      <c r="B128" s="15"/>
      <c r="C128" s="15"/>
      <c r="D128" s="15"/>
      <c r="E128" s="15"/>
      <c r="F128" s="15"/>
      <c r="G128" s="15"/>
      <c r="H128" s="15"/>
      <c r="I128" s="45"/>
      <c r="J128" s="47"/>
      <c r="K128" s="20"/>
      <c r="L128" s="20"/>
      <c r="M128" s="20"/>
      <c r="N128" s="20"/>
      <c r="O128" s="20"/>
      <c r="P128" s="20"/>
      <c r="Q128" s="20"/>
      <c r="R128" s="20"/>
      <c r="S128" s="20"/>
      <c r="T128" s="20"/>
      <c r="U128" s="20"/>
      <c r="V128" s="20"/>
      <c r="W128" s="20"/>
      <c r="X128" s="20"/>
      <c r="Y128" s="20"/>
      <c r="Z128" s="20"/>
    </row>
    <row r="129" spans="1:26" ht="17.25" customHeight="1">
      <c r="A129" s="15"/>
      <c r="B129" s="15"/>
      <c r="C129" s="15"/>
      <c r="D129" s="15"/>
      <c r="E129" s="15"/>
      <c r="F129" s="15"/>
      <c r="G129" s="15"/>
      <c r="H129" s="15"/>
      <c r="I129" s="45"/>
      <c r="J129" s="47"/>
      <c r="K129" s="20"/>
      <c r="L129" s="20"/>
      <c r="M129" s="20"/>
      <c r="N129" s="20"/>
      <c r="O129" s="20"/>
      <c r="P129" s="20"/>
      <c r="Q129" s="20"/>
      <c r="R129" s="20"/>
      <c r="S129" s="20"/>
      <c r="T129" s="20"/>
      <c r="U129" s="20"/>
      <c r="V129" s="20"/>
      <c r="W129" s="20"/>
      <c r="X129" s="20"/>
      <c r="Y129" s="20"/>
      <c r="Z129" s="20"/>
    </row>
    <row r="130" spans="1:26" ht="17.25" customHeight="1">
      <c r="A130" s="15"/>
      <c r="B130" s="15"/>
      <c r="C130" s="15"/>
      <c r="D130" s="15"/>
      <c r="E130" s="15"/>
      <c r="F130" s="15"/>
      <c r="G130" s="15"/>
      <c r="H130" s="15"/>
      <c r="I130" s="45"/>
      <c r="J130" s="47"/>
      <c r="K130" s="20"/>
      <c r="L130" s="20"/>
      <c r="M130" s="20"/>
      <c r="N130" s="20"/>
      <c r="O130" s="20"/>
      <c r="P130" s="20"/>
      <c r="Q130" s="20"/>
      <c r="R130" s="20"/>
      <c r="S130" s="20"/>
      <c r="T130" s="20"/>
      <c r="U130" s="20"/>
      <c r="V130" s="20"/>
      <c r="W130" s="20"/>
      <c r="X130" s="20"/>
      <c r="Y130" s="20"/>
      <c r="Z130" s="20"/>
    </row>
    <row r="131" spans="1:26" ht="17.25" customHeight="1">
      <c r="A131" s="15"/>
      <c r="B131" s="15"/>
      <c r="C131" s="15"/>
      <c r="D131" s="15"/>
      <c r="E131" s="15"/>
      <c r="F131" s="15"/>
      <c r="G131" s="15"/>
      <c r="H131" s="15"/>
      <c r="I131" s="45"/>
      <c r="J131" s="47"/>
      <c r="K131" s="20"/>
      <c r="L131" s="20"/>
      <c r="M131" s="20"/>
      <c r="N131" s="20"/>
      <c r="O131" s="20"/>
      <c r="P131" s="20"/>
      <c r="Q131" s="20"/>
      <c r="R131" s="20"/>
      <c r="S131" s="20"/>
      <c r="T131" s="20"/>
      <c r="U131" s="20"/>
      <c r="V131" s="20"/>
      <c r="W131" s="20"/>
      <c r="X131" s="20"/>
      <c r="Y131" s="20"/>
      <c r="Z131" s="20"/>
    </row>
    <row r="132" spans="1:26" ht="17.25" customHeight="1">
      <c r="A132" s="15"/>
      <c r="B132" s="15"/>
      <c r="C132" s="15"/>
      <c r="D132" s="15"/>
      <c r="E132" s="15"/>
      <c r="F132" s="15"/>
      <c r="G132" s="15"/>
      <c r="H132" s="15"/>
      <c r="I132" s="45"/>
      <c r="J132" s="47"/>
      <c r="K132" s="20"/>
      <c r="L132" s="20"/>
      <c r="M132" s="20"/>
      <c r="N132" s="20"/>
      <c r="O132" s="20"/>
      <c r="P132" s="20"/>
      <c r="Q132" s="20"/>
      <c r="R132" s="20"/>
      <c r="S132" s="20"/>
      <c r="T132" s="20"/>
      <c r="U132" s="20"/>
      <c r="V132" s="20"/>
      <c r="W132" s="20"/>
      <c r="X132" s="20"/>
      <c r="Y132" s="20"/>
      <c r="Z132" s="20"/>
    </row>
    <row r="133" spans="1:26" ht="17.25" customHeight="1">
      <c r="A133" s="15"/>
      <c r="B133" s="15"/>
      <c r="C133" s="15"/>
      <c r="D133" s="15"/>
      <c r="E133" s="15"/>
      <c r="F133" s="15"/>
      <c r="G133" s="15"/>
      <c r="H133" s="15"/>
      <c r="I133" s="45"/>
      <c r="J133" s="47"/>
      <c r="K133" s="20"/>
      <c r="L133" s="20"/>
      <c r="M133" s="20"/>
      <c r="N133" s="20"/>
      <c r="O133" s="20"/>
      <c r="P133" s="20"/>
      <c r="Q133" s="20"/>
      <c r="R133" s="20"/>
      <c r="S133" s="20"/>
      <c r="T133" s="20"/>
      <c r="U133" s="20"/>
      <c r="V133" s="20"/>
      <c r="W133" s="20"/>
      <c r="X133" s="20"/>
      <c r="Y133" s="20"/>
      <c r="Z133" s="20"/>
    </row>
    <row r="134" spans="1:26" ht="17.25" customHeight="1">
      <c r="A134" s="15"/>
      <c r="B134" s="15"/>
      <c r="C134" s="15"/>
      <c r="D134" s="15"/>
      <c r="E134" s="15"/>
      <c r="F134" s="15"/>
      <c r="G134" s="15"/>
      <c r="H134" s="15"/>
      <c r="I134" s="45"/>
      <c r="J134" s="47"/>
      <c r="K134" s="20"/>
      <c r="L134" s="20"/>
      <c r="M134" s="20"/>
      <c r="N134" s="20"/>
      <c r="O134" s="20"/>
      <c r="P134" s="20"/>
      <c r="Q134" s="20"/>
      <c r="R134" s="20"/>
      <c r="S134" s="20"/>
      <c r="T134" s="20"/>
      <c r="U134" s="20"/>
      <c r="V134" s="20"/>
      <c r="W134" s="20"/>
      <c r="X134" s="20"/>
      <c r="Y134" s="20"/>
      <c r="Z134" s="20"/>
    </row>
    <row r="135" spans="1:26" ht="17.25" customHeight="1">
      <c r="A135" s="15"/>
      <c r="B135" s="15"/>
      <c r="C135" s="15"/>
      <c r="D135" s="15"/>
      <c r="E135" s="15"/>
      <c r="F135" s="15"/>
      <c r="G135" s="15"/>
      <c r="H135" s="15"/>
      <c r="I135" s="45"/>
      <c r="J135" s="47"/>
      <c r="K135" s="20"/>
      <c r="L135" s="20"/>
      <c r="M135" s="20"/>
      <c r="N135" s="20"/>
      <c r="O135" s="20"/>
      <c r="P135" s="20"/>
      <c r="Q135" s="20"/>
      <c r="R135" s="20"/>
      <c r="S135" s="20"/>
      <c r="T135" s="20"/>
      <c r="U135" s="20"/>
      <c r="V135" s="20"/>
      <c r="W135" s="20"/>
      <c r="X135" s="20"/>
      <c r="Y135" s="20"/>
      <c r="Z135" s="20"/>
    </row>
    <row r="136" spans="1:26" ht="17.25" customHeight="1">
      <c r="A136" s="15"/>
      <c r="B136" s="15"/>
      <c r="C136" s="15"/>
      <c r="D136" s="15"/>
      <c r="E136" s="15"/>
      <c r="F136" s="15"/>
      <c r="G136" s="15"/>
      <c r="H136" s="15"/>
      <c r="I136" s="45"/>
      <c r="J136" s="47"/>
      <c r="K136" s="20"/>
      <c r="L136" s="20"/>
      <c r="M136" s="20"/>
      <c r="N136" s="20"/>
      <c r="O136" s="20"/>
      <c r="P136" s="20"/>
      <c r="Q136" s="20"/>
      <c r="R136" s="20"/>
      <c r="S136" s="20"/>
      <c r="T136" s="20"/>
      <c r="U136" s="20"/>
      <c r="V136" s="20"/>
      <c r="W136" s="20"/>
      <c r="X136" s="20"/>
      <c r="Y136" s="20"/>
      <c r="Z136" s="20"/>
    </row>
    <row r="137" spans="1:26" ht="17.25" customHeight="1">
      <c r="A137" s="15"/>
      <c r="B137" s="15"/>
      <c r="C137" s="15"/>
      <c r="D137" s="15"/>
      <c r="E137" s="15"/>
      <c r="F137" s="15"/>
      <c r="G137" s="15"/>
      <c r="H137" s="15"/>
      <c r="I137" s="45"/>
      <c r="J137" s="47"/>
      <c r="K137" s="20"/>
      <c r="L137" s="20"/>
      <c r="M137" s="20"/>
      <c r="N137" s="20"/>
      <c r="O137" s="20"/>
      <c r="P137" s="20"/>
      <c r="Q137" s="20"/>
      <c r="R137" s="20"/>
      <c r="S137" s="20"/>
      <c r="T137" s="20"/>
      <c r="U137" s="20"/>
      <c r="V137" s="20"/>
      <c r="W137" s="20"/>
      <c r="X137" s="20"/>
      <c r="Y137" s="20"/>
      <c r="Z137" s="20"/>
    </row>
    <row r="138" spans="1:26" ht="17.25" customHeight="1">
      <c r="A138" s="15"/>
      <c r="B138" s="15"/>
      <c r="C138" s="15"/>
      <c r="D138" s="15"/>
      <c r="E138" s="15"/>
      <c r="F138" s="15"/>
      <c r="G138" s="15"/>
      <c r="H138" s="15"/>
      <c r="I138" s="45"/>
      <c r="J138" s="47"/>
      <c r="K138" s="20"/>
      <c r="L138" s="20"/>
      <c r="M138" s="20"/>
      <c r="N138" s="20"/>
      <c r="O138" s="20"/>
      <c r="P138" s="20"/>
      <c r="Q138" s="20"/>
      <c r="R138" s="20"/>
      <c r="S138" s="20"/>
      <c r="T138" s="20"/>
      <c r="U138" s="20"/>
      <c r="V138" s="20"/>
      <c r="W138" s="20"/>
      <c r="X138" s="20"/>
      <c r="Y138" s="20"/>
      <c r="Z138" s="20"/>
    </row>
    <row r="139" spans="1:26" ht="17.25" customHeight="1">
      <c r="A139" s="15"/>
      <c r="B139" s="15"/>
      <c r="C139" s="15"/>
      <c r="D139" s="15"/>
      <c r="E139" s="15"/>
      <c r="F139" s="15"/>
      <c r="G139" s="15"/>
      <c r="H139" s="15"/>
      <c r="I139" s="45"/>
      <c r="J139" s="47"/>
      <c r="K139" s="20"/>
      <c r="L139" s="20"/>
      <c r="M139" s="20"/>
      <c r="N139" s="20"/>
      <c r="O139" s="20"/>
      <c r="P139" s="20"/>
      <c r="Q139" s="20"/>
      <c r="R139" s="20"/>
      <c r="S139" s="20"/>
      <c r="T139" s="20"/>
      <c r="U139" s="20"/>
      <c r="V139" s="20"/>
      <c r="W139" s="20"/>
      <c r="X139" s="20"/>
      <c r="Y139" s="20"/>
      <c r="Z139" s="20"/>
    </row>
    <row r="140" spans="1:26" ht="17.25" customHeight="1">
      <c r="A140" s="15"/>
      <c r="B140" s="15"/>
      <c r="C140" s="15"/>
      <c r="D140" s="15"/>
      <c r="E140" s="15"/>
      <c r="F140" s="15"/>
      <c r="G140" s="15"/>
      <c r="H140" s="15"/>
      <c r="I140" s="45"/>
      <c r="J140" s="47"/>
      <c r="K140" s="20"/>
      <c r="L140" s="20"/>
      <c r="M140" s="20"/>
      <c r="N140" s="20"/>
      <c r="O140" s="20"/>
      <c r="P140" s="20"/>
      <c r="Q140" s="20"/>
      <c r="R140" s="20"/>
      <c r="S140" s="20"/>
      <c r="T140" s="20"/>
      <c r="U140" s="20"/>
      <c r="V140" s="20"/>
      <c r="W140" s="20"/>
      <c r="X140" s="20"/>
      <c r="Y140" s="20"/>
      <c r="Z140" s="20"/>
    </row>
    <row r="141" spans="1:26" ht="17.25" customHeight="1">
      <c r="A141" s="15"/>
      <c r="B141" s="15"/>
      <c r="C141" s="15"/>
      <c r="D141" s="15"/>
      <c r="E141" s="15"/>
      <c r="F141" s="15"/>
      <c r="G141" s="15"/>
      <c r="H141" s="15"/>
      <c r="I141" s="45"/>
      <c r="J141" s="47"/>
      <c r="K141" s="20"/>
      <c r="L141" s="20"/>
      <c r="M141" s="20"/>
      <c r="N141" s="20"/>
      <c r="O141" s="20"/>
      <c r="P141" s="20"/>
      <c r="Q141" s="20"/>
      <c r="R141" s="20"/>
      <c r="S141" s="20"/>
      <c r="T141" s="20"/>
      <c r="U141" s="20"/>
      <c r="V141" s="20"/>
      <c r="W141" s="20"/>
      <c r="X141" s="20"/>
      <c r="Y141" s="20"/>
      <c r="Z141" s="20"/>
    </row>
    <row r="142" spans="1:26" ht="17.25" customHeight="1">
      <c r="A142" s="15"/>
      <c r="B142" s="15"/>
      <c r="C142" s="15"/>
      <c r="D142" s="15"/>
      <c r="E142" s="15"/>
      <c r="F142" s="15"/>
      <c r="G142" s="15"/>
      <c r="H142" s="15"/>
      <c r="I142" s="45"/>
      <c r="J142" s="47"/>
      <c r="K142" s="20"/>
      <c r="L142" s="20"/>
      <c r="M142" s="20"/>
      <c r="N142" s="20"/>
      <c r="O142" s="20"/>
      <c r="P142" s="20"/>
      <c r="Q142" s="20"/>
      <c r="R142" s="20"/>
      <c r="S142" s="20"/>
      <c r="T142" s="20"/>
      <c r="U142" s="20"/>
      <c r="V142" s="20"/>
      <c r="W142" s="20"/>
      <c r="X142" s="20"/>
      <c r="Y142" s="20"/>
      <c r="Z142" s="20"/>
    </row>
    <row r="143" spans="1:26" ht="17.25" customHeight="1">
      <c r="A143" s="15"/>
      <c r="B143" s="15"/>
      <c r="C143" s="15"/>
      <c r="D143" s="15"/>
      <c r="E143" s="15"/>
      <c r="F143" s="15"/>
      <c r="G143" s="15"/>
      <c r="H143" s="15"/>
      <c r="I143" s="45"/>
      <c r="J143" s="47"/>
      <c r="K143" s="20"/>
      <c r="L143" s="20"/>
      <c r="M143" s="20"/>
      <c r="N143" s="20"/>
      <c r="O143" s="20"/>
      <c r="P143" s="20"/>
      <c r="Q143" s="20"/>
      <c r="R143" s="20"/>
      <c r="S143" s="20"/>
      <c r="T143" s="20"/>
      <c r="U143" s="20"/>
      <c r="V143" s="20"/>
      <c r="W143" s="20"/>
      <c r="X143" s="20"/>
      <c r="Y143" s="20"/>
      <c r="Z143" s="20"/>
    </row>
    <row r="144" spans="1:26" ht="17.25" customHeight="1">
      <c r="A144" s="15"/>
      <c r="B144" s="15"/>
      <c r="C144" s="15"/>
      <c r="D144" s="15"/>
      <c r="E144" s="15"/>
      <c r="F144" s="15"/>
      <c r="G144" s="15"/>
      <c r="H144" s="15"/>
      <c r="I144" s="45"/>
      <c r="J144" s="47"/>
      <c r="K144" s="20"/>
      <c r="L144" s="20"/>
      <c r="M144" s="20"/>
      <c r="N144" s="20"/>
      <c r="O144" s="20"/>
      <c r="P144" s="20"/>
      <c r="Q144" s="20"/>
      <c r="R144" s="20"/>
      <c r="S144" s="20"/>
      <c r="T144" s="20"/>
      <c r="U144" s="20"/>
      <c r="V144" s="20"/>
      <c r="W144" s="20"/>
      <c r="X144" s="20"/>
      <c r="Y144" s="20"/>
      <c r="Z144" s="20"/>
    </row>
    <row r="145" spans="1:26" ht="17.25" customHeight="1">
      <c r="A145" s="15"/>
      <c r="B145" s="15"/>
      <c r="C145" s="15"/>
      <c r="D145" s="15"/>
      <c r="E145" s="15"/>
      <c r="F145" s="15"/>
      <c r="G145" s="15"/>
      <c r="H145" s="15"/>
      <c r="I145" s="45"/>
      <c r="J145" s="47"/>
      <c r="K145" s="20"/>
      <c r="L145" s="20"/>
      <c r="M145" s="20"/>
      <c r="N145" s="20"/>
      <c r="O145" s="20"/>
      <c r="P145" s="20"/>
      <c r="Q145" s="20"/>
      <c r="R145" s="20"/>
      <c r="S145" s="20"/>
      <c r="T145" s="20"/>
      <c r="U145" s="20"/>
      <c r="V145" s="20"/>
      <c r="W145" s="20"/>
      <c r="X145" s="20"/>
      <c r="Y145" s="20"/>
      <c r="Z145" s="20"/>
    </row>
    <row r="146" spans="1:26" ht="17.25" customHeight="1">
      <c r="A146" s="15"/>
      <c r="B146" s="15"/>
      <c r="C146" s="15"/>
      <c r="D146" s="15"/>
      <c r="E146" s="15"/>
      <c r="F146" s="15"/>
      <c r="G146" s="15"/>
      <c r="H146" s="15"/>
      <c r="I146" s="45"/>
      <c r="J146" s="47"/>
      <c r="K146" s="20"/>
      <c r="L146" s="20"/>
      <c r="M146" s="20"/>
      <c r="N146" s="20"/>
      <c r="O146" s="20"/>
      <c r="P146" s="20"/>
      <c r="Q146" s="20"/>
      <c r="R146" s="20"/>
      <c r="S146" s="20"/>
      <c r="T146" s="20"/>
      <c r="U146" s="20"/>
      <c r="V146" s="20"/>
      <c r="W146" s="20"/>
      <c r="X146" s="20"/>
      <c r="Y146" s="20"/>
      <c r="Z146" s="20"/>
    </row>
    <row r="147" spans="1:26" ht="17.25" customHeight="1">
      <c r="A147" s="15"/>
      <c r="B147" s="15"/>
      <c r="C147" s="15"/>
      <c r="D147" s="15"/>
      <c r="E147" s="15"/>
      <c r="F147" s="15"/>
      <c r="G147" s="15"/>
      <c r="H147" s="15"/>
      <c r="I147" s="45"/>
      <c r="J147" s="47"/>
      <c r="K147" s="20"/>
      <c r="L147" s="20"/>
      <c r="M147" s="20"/>
      <c r="N147" s="20"/>
      <c r="O147" s="20"/>
      <c r="P147" s="20"/>
      <c r="Q147" s="20"/>
      <c r="R147" s="20"/>
      <c r="S147" s="20"/>
      <c r="T147" s="20"/>
      <c r="U147" s="20"/>
      <c r="V147" s="20"/>
      <c r="W147" s="20"/>
      <c r="X147" s="20"/>
      <c r="Y147" s="20"/>
      <c r="Z147" s="20"/>
    </row>
    <row r="148" spans="1:26" ht="17.25" customHeight="1">
      <c r="A148" s="15"/>
      <c r="B148" s="15"/>
      <c r="C148" s="15"/>
      <c r="D148" s="15"/>
      <c r="E148" s="15"/>
      <c r="F148" s="15"/>
      <c r="G148" s="15"/>
      <c r="H148" s="15"/>
      <c r="I148" s="45"/>
      <c r="J148" s="47"/>
      <c r="K148" s="20"/>
      <c r="L148" s="20"/>
      <c r="M148" s="20"/>
      <c r="N148" s="20"/>
      <c r="O148" s="20"/>
      <c r="P148" s="20"/>
      <c r="Q148" s="20"/>
      <c r="R148" s="20"/>
      <c r="S148" s="20"/>
      <c r="T148" s="20"/>
      <c r="U148" s="20"/>
      <c r="V148" s="20"/>
      <c r="W148" s="20"/>
      <c r="X148" s="20"/>
      <c r="Y148" s="20"/>
      <c r="Z148" s="20"/>
    </row>
    <row r="149" spans="1:26" ht="17.25" customHeight="1">
      <c r="A149" s="15"/>
      <c r="B149" s="15"/>
      <c r="C149" s="15"/>
      <c r="D149" s="15"/>
      <c r="E149" s="15"/>
      <c r="F149" s="15"/>
      <c r="G149" s="15"/>
      <c r="H149" s="15"/>
      <c r="I149" s="45"/>
      <c r="J149" s="47"/>
      <c r="K149" s="20"/>
      <c r="L149" s="20"/>
      <c r="M149" s="20"/>
      <c r="N149" s="20"/>
      <c r="O149" s="20"/>
      <c r="P149" s="20"/>
      <c r="Q149" s="20"/>
      <c r="R149" s="20"/>
      <c r="S149" s="20"/>
      <c r="T149" s="20"/>
      <c r="U149" s="20"/>
      <c r="V149" s="20"/>
      <c r="W149" s="20"/>
      <c r="X149" s="20"/>
      <c r="Y149" s="20"/>
      <c r="Z149" s="20"/>
    </row>
    <row r="150" spans="1:26" ht="17.25" customHeight="1">
      <c r="A150" s="15"/>
      <c r="B150" s="15"/>
      <c r="C150" s="15"/>
      <c r="D150" s="15"/>
      <c r="E150" s="15"/>
      <c r="F150" s="15"/>
      <c r="G150" s="15"/>
      <c r="H150" s="15"/>
      <c r="I150" s="45"/>
      <c r="J150" s="47"/>
      <c r="K150" s="20"/>
      <c r="L150" s="20"/>
      <c r="M150" s="20"/>
      <c r="N150" s="20"/>
      <c r="O150" s="20"/>
      <c r="P150" s="20"/>
      <c r="Q150" s="20"/>
      <c r="R150" s="20"/>
      <c r="S150" s="20"/>
      <c r="T150" s="20"/>
      <c r="U150" s="20"/>
      <c r="V150" s="20"/>
      <c r="W150" s="20"/>
      <c r="X150" s="20"/>
      <c r="Y150" s="20"/>
      <c r="Z150" s="20"/>
    </row>
    <row r="151" spans="1:26" ht="17.25" customHeight="1">
      <c r="A151" s="15"/>
      <c r="B151" s="15"/>
      <c r="C151" s="15"/>
      <c r="D151" s="15"/>
      <c r="E151" s="15"/>
      <c r="F151" s="15"/>
      <c r="G151" s="15"/>
      <c r="H151" s="15"/>
      <c r="I151" s="45"/>
      <c r="J151" s="47"/>
      <c r="K151" s="20"/>
      <c r="L151" s="20"/>
      <c r="M151" s="20"/>
      <c r="N151" s="20"/>
      <c r="O151" s="20"/>
      <c r="P151" s="20"/>
      <c r="Q151" s="20"/>
      <c r="R151" s="20"/>
      <c r="S151" s="20"/>
      <c r="T151" s="20"/>
      <c r="U151" s="20"/>
      <c r="V151" s="20"/>
      <c r="W151" s="20"/>
      <c r="X151" s="20"/>
      <c r="Y151" s="20"/>
      <c r="Z151" s="20"/>
    </row>
    <row r="152" spans="1:26" ht="17.25" customHeight="1">
      <c r="A152" s="15"/>
      <c r="B152" s="15"/>
      <c r="C152" s="15"/>
      <c r="D152" s="15"/>
      <c r="E152" s="15"/>
      <c r="F152" s="15"/>
      <c r="G152" s="15"/>
      <c r="H152" s="15"/>
      <c r="I152" s="45"/>
      <c r="J152" s="47"/>
      <c r="K152" s="20"/>
      <c r="L152" s="20"/>
      <c r="M152" s="20"/>
      <c r="N152" s="20"/>
      <c r="O152" s="20"/>
      <c r="P152" s="20"/>
      <c r="Q152" s="20"/>
      <c r="R152" s="20"/>
      <c r="S152" s="20"/>
      <c r="T152" s="20"/>
      <c r="U152" s="20"/>
      <c r="V152" s="20"/>
      <c r="W152" s="20"/>
      <c r="X152" s="20"/>
      <c r="Y152" s="20"/>
      <c r="Z152" s="20"/>
    </row>
    <row r="153" spans="1:26" ht="17.25" customHeight="1">
      <c r="A153" s="15"/>
      <c r="B153" s="15"/>
      <c r="C153" s="15"/>
      <c r="D153" s="15"/>
      <c r="E153" s="15"/>
      <c r="F153" s="15"/>
      <c r="G153" s="15"/>
      <c r="H153" s="15"/>
      <c r="I153" s="45"/>
      <c r="J153" s="47"/>
      <c r="K153" s="20"/>
      <c r="L153" s="20"/>
      <c r="M153" s="20"/>
      <c r="N153" s="20"/>
      <c r="O153" s="20"/>
      <c r="P153" s="20"/>
      <c r="Q153" s="20"/>
      <c r="R153" s="20"/>
      <c r="S153" s="20"/>
      <c r="T153" s="20"/>
      <c r="U153" s="20"/>
      <c r="V153" s="20"/>
      <c r="W153" s="20"/>
      <c r="X153" s="20"/>
      <c r="Y153" s="20"/>
      <c r="Z153" s="20"/>
    </row>
    <row r="154" spans="1:26" ht="17.25" customHeight="1">
      <c r="A154" s="15"/>
      <c r="B154" s="15"/>
      <c r="C154" s="15"/>
      <c r="D154" s="15"/>
      <c r="E154" s="15"/>
      <c r="F154" s="15"/>
      <c r="G154" s="15"/>
      <c r="H154" s="15"/>
      <c r="I154" s="45"/>
      <c r="J154" s="47"/>
      <c r="K154" s="20"/>
      <c r="L154" s="20"/>
      <c r="M154" s="20"/>
      <c r="N154" s="20"/>
      <c r="O154" s="20"/>
      <c r="P154" s="20"/>
      <c r="Q154" s="20"/>
      <c r="R154" s="20"/>
      <c r="S154" s="20"/>
      <c r="T154" s="20"/>
      <c r="U154" s="20"/>
      <c r="V154" s="20"/>
      <c r="W154" s="20"/>
      <c r="X154" s="20"/>
      <c r="Y154" s="20"/>
      <c r="Z154" s="20"/>
    </row>
    <row r="155" spans="1:26" ht="17.25" customHeight="1">
      <c r="A155" s="15"/>
      <c r="B155" s="15"/>
      <c r="C155" s="15"/>
      <c r="D155" s="15"/>
      <c r="E155" s="15"/>
      <c r="F155" s="15"/>
      <c r="G155" s="15"/>
      <c r="H155" s="15"/>
      <c r="I155" s="45"/>
      <c r="J155" s="47"/>
      <c r="K155" s="20"/>
      <c r="L155" s="20"/>
      <c r="M155" s="20"/>
      <c r="N155" s="20"/>
      <c r="O155" s="20"/>
      <c r="P155" s="20"/>
      <c r="Q155" s="20"/>
      <c r="R155" s="20"/>
      <c r="S155" s="20"/>
      <c r="T155" s="20"/>
      <c r="U155" s="20"/>
      <c r="V155" s="20"/>
      <c r="W155" s="20"/>
      <c r="X155" s="20"/>
      <c r="Y155" s="20"/>
      <c r="Z155" s="20"/>
    </row>
    <row r="156" spans="1:26" ht="17.25" customHeight="1">
      <c r="A156" s="15"/>
      <c r="B156" s="15"/>
      <c r="C156" s="15"/>
      <c r="D156" s="15"/>
      <c r="E156" s="15"/>
      <c r="F156" s="15"/>
      <c r="G156" s="15"/>
      <c r="H156" s="15"/>
      <c r="I156" s="45"/>
      <c r="J156" s="47"/>
      <c r="K156" s="20"/>
      <c r="L156" s="20"/>
      <c r="M156" s="20"/>
      <c r="N156" s="20"/>
      <c r="O156" s="20"/>
      <c r="P156" s="20"/>
      <c r="Q156" s="20"/>
      <c r="R156" s="20"/>
      <c r="S156" s="20"/>
      <c r="T156" s="20"/>
      <c r="U156" s="20"/>
      <c r="V156" s="20"/>
      <c r="W156" s="20"/>
      <c r="X156" s="20"/>
      <c r="Y156" s="20"/>
      <c r="Z156" s="20"/>
    </row>
    <row r="157" spans="1:26" ht="17.25" customHeight="1">
      <c r="A157" s="15"/>
      <c r="B157" s="15"/>
      <c r="C157" s="15"/>
      <c r="D157" s="15"/>
      <c r="E157" s="15"/>
      <c r="F157" s="15"/>
      <c r="G157" s="15"/>
      <c r="H157" s="15"/>
      <c r="I157" s="45"/>
      <c r="J157" s="47"/>
      <c r="K157" s="20"/>
      <c r="L157" s="20"/>
      <c r="M157" s="20"/>
      <c r="N157" s="20"/>
      <c r="O157" s="20"/>
      <c r="P157" s="20"/>
      <c r="Q157" s="20"/>
      <c r="R157" s="20"/>
      <c r="S157" s="20"/>
      <c r="T157" s="20"/>
      <c r="U157" s="20"/>
      <c r="V157" s="20"/>
      <c r="W157" s="20"/>
      <c r="X157" s="20"/>
      <c r="Y157" s="20"/>
      <c r="Z157" s="20"/>
    </row>
    <row r="158" spans="1:26" ht="17.25" customHeight="1">
      <c r="A158" s="15"/>
      <c r="B158" s="15"/>
      <c r="C158" s="15"/>
      <c r="D158" s="15"/>
      <c r="E158" s="15"/>
      <c r="F158" s="15"/>
      <c r="G158" s="15"/>
      <c r="H158" s="15"/>
      <c r="I158" s="45"/>
      <c r="J158" s="47"/>
      <c r="K158" s="20"/>
      <c r="L158" s="20"/>
      <c r="M158" s="20"/>
      <c r="N158" s="20"/>
      <c r="O158" s="20"/>
      <c r="P158" s="20"/>
      <c r="Q158" s="20"/>
      <c r="R158" s="20"/>
      <c r="S158" s="20"/>
      <c r="T158" s="20"/>
      <c r="U158" s="20"/>
      <c r="V158" s="20"/>
      <c r="W158" s="20"/>
      <c r="X158" s="20"/>
      <c r="Y158" s="20"/>
      <c r="Z158" s="20"/>
    </row>
    <row r="159" spans="1:26" ht="17.25" customHeight="1">
      <c r="A159" s="15"/>
      <c r="B159" s="15"/>
      <c r="C159" s="15"/>
      <c r="D159" s="15"/>
      <c r="E159" s="15"/>
      <c r="F159" s="15"/>
      <c r="G159" s="15"/>
      <c r="H159" s="15"/>
      <c r="I159" s="45"/>
      <c r="J159" s="47"/>
      <c r="K159" s="20"/>
      <c r="L159" s="20"/>
      <c r="M159" s="20"/>
      <c r="N159" s="20"/>
      <c r="O159" s="20"/>
      <c r="P159" s="20"/>
      <c r="Q159" s="20"/>
      <c r="R159" s="20"/>
      <c r="S159" s="20"/>
      <c r="T159" s="20"/>
      <c r="U159" s="20"/>
      <c r="V159" s="20"/>
      <c r="W159" s="20"/>
      <c r="X159" s="20"/>
      <c r="Y159" s="20"/>
      <c r="Z159" s="20"/>
    </row>
    <row r="160" spans="1:26" ht="17.25" customHeight="1">
      <c r="A160" s="15"/>
      <c r="B160" s="15"/>
      <c r="C160" s="15"/>
      <c r="D160" s="15"/>
      <c r="E160" s="15"/>
      <c r="F160" s="15"/>
      <c r="G160" s="15"/>
      <c r="H160" s="15"/>
      <c r="I160" s="45"/>
      <c r="J160" s="47"/>
      <c r="K160" s="20"/>
      <c r="L160" s="20"/>
      <c r="M160" s="20"/>
      <c r="N160" s="20"/>
      <c r="O160" s="20"/>
      <c r="P160" s="20"/>
      <c r="Q160" s="20"/>
      <c r="R160" s="20"/>
      <c r="S160" s="20"/>
      <c r="T160" s="20"/>
      <c r="U160" s="20"/>
      <c r="V160" s="20"/>
      <c r="W160" s="20"/>
      <c r="X160" s="20"/>
      <c r="Y160" s="20"/>
      <c r="Z160" s="20"/>
    </row>
    <row r="161" spans="1:26" ht="17.25" customHeight="1">
      <c r="A161" s="15"/>
      <c r="B161" s="15"/>
      <c r="C161" s="15"/>
      <c r="D161" s="15"/>
      <c r="E161" s="15"/>
      <c r="F161" s="15"/>
      <c r="G161" s="15"/>
      <c r="H161" s="15"/>
      <c r="I161" s="45"/>
      <c r="J161" s="47"/>
      <c r="K161" s="20"/>
      <c r="L161" s="20"/>
      <c r="M161" s="20"/>
      <c r="N161" s="20"/>
      <c r="O161" s="20"/>
      <c r="P161" s="20"/>
      <c r="Q161" s="20"/>
      <c r="R161" s="20"/>
      <c r="S161" s="20"/>
      <c r="T161" s="20"/>
      <c r="U161" s="20"/>
      <c r="V161" s="20"/>
      <c r="W161" s="20"/>
      <c r="X161" s="20"/>
      <c r="Y161" s="20"/>
      <c r="Z161" s="20"/>
    </row>
    <row r="162" spans="1:26" ht="17.25" customHeight="1">
      <c r="A162" s="15"/>
      <c r="B162" s="15"/>
      <c r="C162" s="15"/>
      <c r="D162" s="15"/>
      <c r="E162" s="15"/>
      <c r="F162" s="15"/>
      <c r="G162" s="15"/>
      <c r="H162" s="15"/>
      <c r="I162" s="45"/>
      <c r="J162" s="47"/>
      <c r="K162" s="20"/>
      <c r="L162" s="20"/>
      <c r="M162" s="20"/>
      <c r="N162" s="20"/>
      <c r="O162" s="20"/>
      <c r="P162" s="20"/>
      <c r="Q162" s="20"/>
      <c r="R162" s="20"/>
      <c r="S162" s="20"/>
      <c r="T162" s="20"/>
      <c r="U162" s="20"/>
      <c r="V162" s="20"/>
      <c r="W162" s="20"/>
      <c r="X162" s="20"/>
      <c r="Y162" s="20"/>
      <c r="Z162" s="20"/>
    </row>
    <row r="163" spans="1:26" ht="17.25" customHeight="1">
      <c r="A163" s="15"/>
      <c r="B163" s="15"/>
      <c r="C163" s="15"/>
      <c r="D163" s="15"/>
      <c r="E163" s="15"/>
      <c r="F163" s="15"/>
      <c r="G163" s="15"/>
      <c r="H163" s="15"/>
      <c r="I163" s="45"/>
      <c r="J163" s="47"/>
      <c r="K163" s="20"/>
      <c r="L163" s="20"/>
      <c r="M163" s="20"/>
      <c r="N163" s="20"/>
      <c r="O163" s="20"/>
      <c r="P163" s="20"/>
      <c r="Q163" s="20"/>
      <c r="R163" s="20"/>
      <c r="S163" s="20"/>
      <c r="T163" s="20"/>
      <c r="U163" s="20"/>
      <c r="V163" s="20"/>
      <c r="W163" s="20"/>
      <c r="X163" s="20"/>
      <c r="Y163" s="20"/>
      <c r="Z163" s="20"/>
    </row>
    <row r="164" spans="1:26" ht="17.25" customHeight="1">
      <c r="A164" s="15"/>
      <c r="B164" s="15"/>
      <c r="C164" s="15"/>
      <c r="D164" s="15"/>
      <c r="E164" s="15"/>
      <c r="F164" s="15"/>
      <c r="G164" s="15"/>
      <c r="H164" s="15"/>
      <c r="I164" s="45"/>
      <c r="J164" s="47"/>
      <c r="K164" s="20"/>
      <c r="L164" s="20"/>
      <c r="M164" s="20"/>
      <c r="N164" s="20"/>
      <c r="O164" s="20"/>
      <c r="P164" s="20"/>
      <c r="Q164" s="20"/>
      <c r="R164" s="20"/>
      <c r="S164" s="20"/>
      <c r="T164" s="20"/>
      <c r="U164" s="20"/>
      <c r="V164" s="20"/>
      <c r="W164" s="20"/>
      <c r="X164" s="20"/>
      <c r="Y164" s="20"/>
      <c r="Z164" s="20"/>
    </row>
    <row r="165" spans="1:26" ht="17.25" customHeight="1">
      <c r="A165" s="15"/>
      <c r="B165" s="15"/>
      <c r="C165" s="15"/>
      <c r="D165" s="15"/>
      <c r="E165" s="15"/>
      <c r="F165" s="15"/>
      <c r="G165" s="15"/>
      <c r="H165" s="15"/>
      <c r="I165" s="45"/>
      <c r="J165" s="47"/>
      <c r="K165" s="20"/>
      <c r="L165" s="20"/>
      <c r="M165" s="20"/>
      <c r="N165" s="20"/>
      <c r="O165" s="20"/>
      <c r="P165" s="20"/>
      <c r="Q165" s="20"/>
      <c r="R165" s="20"/>
      <c r="S165" s="20"/>
      <c r="T165" s="20"/>
      <c r="U165" s="20"/>
      <c r="V165" s="20"/>
      <c r="W165" s="20"/>
      <c r="X165" s="20"/>
      <c r="Y165" s="20"/>
      <c r="Z165" s="20"/>
    </row>
    <row r="166" spans="1:26" ht="17.25" customHeight="1">
      <c r="A166" s="15"/>
      <c r="B166" s="15"/>
      <c r="C166" s="15"/>
      <c r="D166" s="15"/>
      <c r="E166" s="15"/>
      <c r="F166" s="15"/>
      <c r="G166" s="15"/>
      <c r="H166" s="15"/>
      <c r="I166" s="45"/>
      <c r="J166" s="47"/>
      <c r="K166" s="20"/>
      <c r="L166" s="20"/>
      <c r="M166" s="20"/>
      <c r="N166" s="20"/>
      <c r="O166" s="20"/>
      <c r="P166" s="20"/>
      <c r="Q166" s="20"/>
      <c r="R166" s="20"/>
      <c r="S166" s="20"/>
      <c r="T166" s="20"/>
      <c r="U166" s="20"/>
      <c r="V166" s="20"/>
      <c r="W166" s="20"/>
      <c r="X166" s="20"/>
      <c r="Y166" s="20"/>
      <c r="Z166" s="20"/>
    </row>
    <row r="167" spans="1:26" ht="17.25" customHeight="1">
      <c r="A167" s="15"/>
      <c r="B167" s="15"/>
      <c r="C167" s="15"/>
      <c r="D167" s="15"/>
      <c r="E167" s="15"/>
      <c r="F167" s="15"/>
      <c r="G167" s="15"/>
      <c r="H167" s="15"/>
      <c r="I167" s="45"/>
      <c r="J167" s="47"/>
      <c r="K167" s="20"/>
      <c r="L167" s="20"/>
      <c r="M167" s="20"/>
      <c r="N167" s="20"/>
      <c r="O167" s="20"/>
      <c r="P167" s="20"/>
      <c r="Q167" s="20"/>
      <c r="R167" s="20"/>
      <c r="S167" s="20"/>
      <c r="T167" s="20"/>
      <c r="U167" s="20"/>
      <c r="V167" s="20"/>
      <c r="W167" s="20"/>
      <c r="X167" s="20"/>
      <c r="Y167" s="20"/>
      <c r="Z167" s="20"/>
    </row>
    <row r="168" spans="1:26" ht="17.25" customHeight="1">
      <c r="A168" s="15"/>
      <c r="B168" s="15"/>
      <c r="C168" s="15"/>
      <c r="D168" s="15"/>
      <c r="E168" s="15"/>
      <c r="F168" s="15"/>
      <c r="G168" s="15"/>
      <c r="H168" s="15"/>
      <c r="I168" s="45"/>
      <c r="J168" s="47"/>
      <c r="K168" s="20"/>
      <c r="L168" s="20"/>
      <c r="M168" s="20"/>
      <c r="N168" s="20"/>
      <c r="O168" s="20"/>
      <c r="P168" s="20"/>
      <c r="Q168" s="20"/>
      <c r="R168" s="20"/>
      <c r="S168" s="20"/>
      <c r="T168" s="20"/>
      <c r="U168" s="20"/>
      <c r="V168" s="20"/>
      <c r="W168" s="20"/>
      <c r="X168" s="20"/>
      <c r="Y168" s="20"/>
      <c r="Z168" s="20"/>
    </row>
    <row r="169" spans="1:26" ht="17.25" customHeight="1">
      <c r="A169" s="15"/>
      <c r="B169" s="15"/>
      <c r="C169" s="15"/>
      <c r="D169" s="15"/>
      <c r="E169" s="15"/>
      <c r="F169" s="15"/>
      <c r="G169" s="15"/>
      <c r="H169" s="15"/>
      <c r="I169" s="45"/>
      <c r="J169" s="47"/>
      <c r="K169" s="20"/>
      <c r="L169" s="20"/>
      <c r="M169" s="20"/>
      <c r="N169" s="20"/>
      <c r="O169" s="20"/>
      <c r="P169" s="20"/>
      <c r="Q169" s="20"/>
      <c r="R169" s="20"/>
      <c r="S169" s="20"/>
      <c r="T169" s="20"/>
      <c r="U169" s="20"/>
      <c r="V169" s="20"/>
      <c r="W169" s="20"/>
      <c r="X169" s="20"/>
      <c r="Y169" s="20"/>
      <c r="Z169" s="20"/>
    </row>
    <row r="170" spans="1:26" ht="17.25" customHeight="1">
      <c r="A170" s="15"/>
      <c r="B170" s="15"/>
      <c r="C170" s="15"/>
      <c r="D170" s="15"/>
      <c r="E170" s="15"/>
      <c r="F170" s="15"/>
      <c r="G170" s="15"/>
      <c r="H170" s="15"/>
      <c r="I170" s="45"/>
      <c r="J170" s="47"/>
      <c r="K170" s="20"/>
      <c r="L170" s="20"/>
      <c r="M170" s="20"/>
      <c r="N170" s="20"/>
      <c r="O170" s="20"/>
      <c r="P170" s="20"/>
      <c r="Q170" s="20"/>
      <c r="R170" s="20"/>
      <c r="S170" s="20"/>
      <c r="T170" s="20"/>
      <c r="U170" s="20"/>
      <c r="V170" s="20"/>
      <c r="W170" s="20"/>
      <c r="X170" s="20"/>
      <c r="Y170" s="20"/>
      <c r="Z170" s="20"/>
    </row>
    <row r="171" spans="1:26" ht="17.25" customHeight="1">
      <c r="A171" s="15"/>
      <c r="B171" s="15"/>
      <c r="C171" s="15"/>
      <c r="D171" s="15"/>
      <c r="E171" s="15"/>
      <c r="F171" s="15"/>
      <c r="G171" s="15"/>
      <c r="H171" s="15"/>
      <c r="I171" s="45"/>
      <c r="J171" s="47"/>
      <c r="K171" s="20"/>
      <c r="L171" s="20"/>
      <c r="M171" s="20"/>
      <c r="N171" s="20"/>
      <c r="O171" s="20"/>
      <c r="P171" s="20"/>
      <c r="Q171" s="20"/>
      <c r="R171" s="20"/>
      <c r="S171" s="20"/>
      <c r="T171" s="20"/>
      <c r="U171" s="20"/>
      <c r="V171" s="20"/>
      <c r="W171" s="20"/>
      <c r="X171" s="20"/>
      <c r="Y171" s="20"/>
      <c r="Z171" s="20"/>
    </row>
    <row r="172" spans="1:26" ht="17.25" customHeight="1">
      <c r="A172" s="15"/>
      <c r="B172" s="15"/>
      <c r="C172" s="15"/>
      <c r="D172" s="15"/>
      <c r="E172" s="15"/>
      <c r="F172" s="15"/>
      <c r="G172" s="15"/>
      <c r="H172" s="15"/>
      <c r="I172" s="45"/>
      <c r="J172" s="47"/>
      <c r="K172" s="20"/>
      <c r="L172" s="20"/>
      <c r="M172" s="20"/>
      <c r="N172" s="20"/>
      <c r="O172" s="20"/>
      <c r="P172" s="20"/>
      <c r="Q172" s="20"/>
      <c r="R172" s="20"/>
      <c r="S172" s="20"/>
      <c r="T172" s="20"/>
      <c r="U172" s="20"/>
      <c r="V172" s="20"/>
      <c r="W172" s="20"/>
      <c r="X172" s="20"/>
      <c r="Y172" s="20"/>
      <c r="Z172" s="20"/>
    </row>
    <row r="173" spans="1:26" ht="17.25" customHeight="1">
      <c r="A173" s="15"/>
      <c r="B173" s="15"/>
      <c r="C173" s="15"/>
      <c r="D173" s="15"/>
      <c r="E173" s="15"/>
      <c r="F173" s="15"/>
      <c r="G173" s="15"/>
      <c r="H173" s="15"/>
      <c r="I173" s="45"/>
      <c r="J173" s="47"/>
      <c r="K173" s="20"/>
      <c r="L173" s="20"/>
      <c r="M173" s="20"/>
      <c r="N173" s="20"/>
      <c r="O173" s="20"/>
      <c r="P173" s="20"/>
      <c r="Q173" s="20"/>
      <c r="R173" s="20"/>
      <c r="S173" s="20"/>
      <c r="T173" s="20"/>
      <c r="U173" s="20"/>
      <c r="V173" s="20"/>
      <c r="W173" s="20"/>
      <c r="X173" s="20"/>
      <c r="Y173" s="20"/>
      <c r="Z173" s="20"/>
    </row>
    <row r="174" spans="1:26" ht="17.25" customHeight="1">
      <c r="A174" s="15"/>
      <c r="B174" s="15"/>
      <c r="C174" s="15"/>
      <c r="D174" s="15"/>
      <c r="E174" s="15"/>
      <c r="F174" s="15"/>
      <c r="G174" s="15"/>
      <c r="H174" s="15"/>
      <c r="I174" s="45"/>
      <c r="J174" s="47"/>
      <c r="K174" s="20"/>
      <c r="L174" s="20"/>
      <c r="M174" s="20"/>
      <c r="N174" s="20"/>
      <c r="O174" s="20"/>
      <c r="P174" s="20"/>
      <c r="Q174" s="20"/>
      <c r="R174" s="20"/>
      <c r="S174" s="20"/>
      <c r="T174" s="20"/>
      <c r="U174" s="20"/>
      <c r="V174" s="20"/>
      <c r="W174" s="20"/>
      <c r="X174" s="20"/>
      <c r="Y174" s="20"/>
      <c r="Z174" s="20"/>
    </row>
    <row r="175" spans="1:26" ht="17.25" customHeight="1">
      <c r="A175" s="15"/>
      <c r="B175" s="15"/>
      <c r="C175" s="15"/>
      <c r="D175" s="15"/>
      <c r="E175" s="15"/>
      <c r="F175" s="15"/>
      <c r="G175" s="15"/>
      <c r="H175" s="15"/>
      <c r="I175" s="45"/>
      <c r="J175" s="47"/>
      <c r="K175" s="20"/>
      <c r="L175" s="20"/>
      <c r="M175" s="20"/>
      <c r="N175" s="20"/>
      <c r="O175" s="20"/>
      <c r="P175" s="20"/>
      <c r="Q175" s="20"/>
      <c r="R175" s="20"/>
      <c r="S175" s="20"/>
      <c r="T175" s="20"/>
      <c r="U175" s="20"/>
      <c r="V175" s="20"/>
      <c r="W175" s="20"/>
      <c r="X175" s="20"/>
      <c r="Y175" s="20"/>
      <c r="Z175" s="20"/>
    </row>
    <row r="176" spans="1:26" ht="17.25" customHeight="1">
      <c r="A176" s="15"/>
      <c r="B176" s="15"/>
      <c r="C176" s="15"/>
      <c r="D176" s="15"/>
      <c r="E176" s="15"/>
      <c r="F176" s="15"/>
      <c r="G176" s="15"/>
      <c r="H176" s="15"/>
      <c r="I176" s="45"/>
      <c r="J176" s="47"/>
      <c r="K176" s="20"/>
      <c r="L176" s="20"/>
      <c r="M176" s="20"/>
      <c r="N176" s="20"/>
      <c r="O176" s="20"/>
      <c r="P176" s="20"/>
      <c r="Q176" s="20"/>
      <c r="R176" s="20"/>
      <c r="S176" s="20"/>
      <c r="T176" s="20"/>
      <c r="U176" s="20"/>
      <c r="V176" s="20"/>
      <c r="W176" s="20"/>
      <c r="X176" s="20"/>
      <c r="Y176" s="20"/>
      <c r="Z176" s="20"/>
    </row>
    <row r="177" spans="1:26" ht="17.25" customHeight="1">
      <c r="A177" s="15"/>
      <c r="B177" s="15"/>
      <c r="C177" s="15"/>
      <c r="D177" s="15"/>
      <c r="E177" s="15"/>
      <c r="F177" s="15"/>
      <c r="G177" s="15"/>
      <c r="H177" s="15"/>
      <c r="I177" s="45"/>
      <c r="J177" s="47"/>
      <c r="K177" s="20"/>
      <c r="L177" s="20"/>
      <c r="M177" s="20"/>
      <c r="N177" s="20"/>
      <c r="O177" s="20"/>
      <c r="P177" s="20"/>
      <c r="Q177" s="20"/>
      <c r="R177" s="20"/>
      <c r="S177" s="20"/>
      <c r="T177" s="20"/>
      <c r="U177" s="20"/>
      <c r="V177" s="20"/>
      <c r="W177" s="20"/>
      <c r="X177" s="20"/>
      <c r="Y177" s="20"/>
      <c r="Z177" s="20"/>
    </row>
    <row r="178" spans="1:26" ht="17.25" customHeight="1">
      <c r="A178" s="15"/>
      <c r="B178" s="15"/>
      <c r="C178" s="15"/>
      <c r="D178" s="15"/>
      <c r="E178" s="15"/>
      <c r="F178" s="15"/>
      <c r="G178" s="15"/>
      <c r="H178" s="15"/>
      <c r="I178" s="45"/>
      <c r="J178" s="47"/>
      <c r="K178" s="20"/>
      <c r="L178" s="20"/>
      <c r="M178" s="20"/>
      <c r="N178" s="20"/>
      <c r="O178" s="20"/>
      <c r="P178" s="20"/>
      <c r="Q178" s="20"/>
      <c r="R178" s="20"/>
      <c r="S178" s="20"/>
      <c r="T178" s="20"/>
      <c r="U178" s="20"/>
      <c r="V178" s="20"/>
      <c r="W178" s="20"/>
      <c r="X178" s="20"/>
      <c r="Y178" s="20"/>
      <c r="Z178" s="20"/>
    </row>
    <row r="179" spans="1:26" ht="17.25" customHeight="1">
      <c r="A179" s="15"/>
      <c r="B179" s="15"/>
      <c r="C179" s="15"/>
      <c r="D179" s="15"/>
      <c r="E179" s="15"/>
      <c r="F179" s="15"/>
      <c r="G179" s="15"/>
      <c r="H179" s="15"/>
      <c r="I179" s="45"/>
      <c r="J179" s="47"/>
      <c r="K179" s="20"/>
      <c r="L179" s="20"/>
      <c r="M179" s="20"/>
      <c r="N179" s="20"/>
      <c r="O179" s="20"/>
      <c r="P179" s="20"/>
      <c r="Q179" s="20"/>
      <c r="R179" s="20"/>
      <c r="S179" s="20"/>
      <c r="T179" s="20"/>
      <c r="U179" s="20"/>
      <c r="V179" s="20"/>
      <c r="W179" s="20"/>
      <c r="X179" s="20"/>
      <c r="Y179" s="20"/>
      <c r="Z179" s="20"/>
    </row>
    <row r="180" spans="1:26" ht="17.25" customHeight="1">
      <c r="A180" s="15"/>
      <c r="B180" s="15"/>
      <c r="C180" s="15"/>
      <c r="D180" s="15"/>
      <c r="E180" s="15"/>
      <c r="F180" s="15"/>
      <c r="G180" s="15"/>
      <c r="H180" s="15"/>
      <c r="I180" s="45"/>
      <c r="J180" s="47"/>
      <c r="K180" s="20"/>
      <c r="L180" s="20"/>
      <c r="M180" s="20"/>
      <c r="N180" s="20"/>
      <c r="O180" s="20"/>
      <c r="P180" s="20"/>
      <c r="Q180" s="20"/>
      <c r="R180" s="20"/>
      <c r="S180" s="20"/>
      <c r="T180" s="20"/>
      <c r="U180" s="20"/>
      <c r="V180" s="20"/>
      <c r="W180" s="20"/>
      <c r="X180" s="20"/>
      <c r="Y180" s="20"/>
      <c r="Z180" s="20"/>
    </row>
    <row r="181" spans="1:26" ht="17.25" customHeight="1">
      <c r="A181" s="15"/>
      <c r="B181" s="15"/>
      <c r="C181" s="15"/>
      <c r="D181" s="15"/>
      <c r="E181" s="15"/>
      <c r="F181" s="15"/>
      <c r="G181" s="15"/>
      <c r="H181" s="15"/>
      <c r="I181" s="45"/>
      <c r="J181" s="47"/>
      <c r="K181" s="20"/>
      <c r="L181" s="20"/>
      <c r="M181" s="20"/>
      <c r="N181" s="20"/>
      <c r="O181" s="20"/>
      <c r="P181" s="20"/>
      <c r="Q181" s="20"/>
      <c r="R181" s="20"/>
      <c r="S181" s="20"/>
      <c r="T181" s="20"/>
      <c r="U181" s="20"/>
      <c r="V181" s="20"/>
      <c r="W181" s="20"/>
      <c r="X181" s="20"/>
      <c r="Y181" s="20"/>
      <c r="Z181" s="20"/>
    </row>
    <row r="182" spans="1:26" ht="17.25" customHeight="1">
      <c r="A182" s="15"/>
      <c r="B182" s="15"/>
      <c r="C182" s="15"/>
      <c r="D182" s="15"/>
      <c r="E182" s="15"/>
      <c r="F182" s="15"/>
      <c r="G182" s="15"/>
      <c r="H182" s="15"/>
      <c r="I182" s="45"/>
      <c r="J182" s="47"/>
      <c r="K182" s="20"/>
      <c r="L182" s="20"/>
      <c r="M182" s="20"/>
      <c r="N182" s="20"/>
      <c r="O182" s="20"/>
      <c r="P182" s="20"/>
      <c r="Q182" s="20"/>
      <c r="R182" s="20"/>
      <c r="S182" s="20"/>
      <c r="T182" s="20"/>
      <c r="U182" s="20"/>
      <c r="V182" s="20"/>
      <c r="W182" s="20"/>
      <c r="X182" s="20"/>
      <c r="Y182" s="20"/>
      <c r="Z182" s="20"/>
    </row>
    <row r="183" spans="1:26" ht="17.25" customHeight="1">
      <c r="A183" s="15"/>
      <c r="B183" s="15"/>
      <c r="C183" s="15"/>
      <c r="D183" s="15"/>
      <c r="E183" s="15"/>
      <c r="F183" s="15"/>
      <c r="G183" s="15"/>
      <c r="H183" s="15"/>
      <c r="I183" s="45"/>
      <c r="J183" s="47"/>
      <c r="K183" s="20"/>
      <c r="L183" s="20"/>
      <c r="M183" s="20"/>
      <c r="N183" s="20"/>
      <c r="O183" s="20"/>
      <c r="P183" s="20"/>
      <c r="Q183" s="20"/>
      <c r="R183" s="20"/>
      <c r="S183" s="20"/>
      <c r="T183" s="20"/>
      <c r="U183" s="20"/>
      <c r="V183" s="20"/>
      <c r="W183" s="20"/>
      <c r="X183" s="20"/>
      <c r="Y183" s="20"/>
      <c r="Z183" s="20"/>
    </row>
    <row r="184" spans="1:26" ht="17.25" customHeight="1">
      <c r="A184" s="15"/>
      <c r="B184" s="15"/>
      <c r="C184" s="15"/>
      <c r="D184" s="15"/>
      <c r="E184" s="15"/>
      <c r="F184" s="15"/>
      <c r="G184" s="15"/>
      <c r="H184" s="15"/>
      <c r="I184" s="45"/>
      <c r="J184" s="47"/>
      <c r="K184" s="20"/>
      <c r="L184" s="20"/>
      <c r="M184" s="20"/>
      <c r="N184" s="20"/>
      <c r="O184" s="20"/>
      <c r="P184" s="20"/>
      <c r="Q184" s="20"/>
      <c r="R184" s="20"/>
      <c r="S184" s="20"/>
      <c r="T184" s="20"/>
      <c r="U184" s="20"/>
      <c r="V184" s="20"/>
      <c r="W184" s="20"/>
      <c r="X184" s="20"/>
      <c r="Y184" s="20"/>
      <c r="Z184" s="20"/>
    </row>
    <row r="185" spans="1:26" ht="17.25" customHeight="1">
      <c r="A185" s="15"/>
      <c r="B185" s="15"/>
      <c r="C185" s="15"/>
      <c r="D185" s="15"/>
      <c r="E185" s="15"/>
      <c r="F185" s="15"/>
      <c r="G185" s="15"/>
      <c r="H185" s="15"/>
      <c r="I185" s="45"/>
      <c r="J185" s="47"/>
      <c r="K185" s="20"/>
      <c r="L185" s="20"/>
      <c r="M185" s="20"/>
      <c r="N185" s="20"/>
      <c r="O185" s="20"/>
      <c r="P185" s="20"/>
      <c r="Q185" s="20"/>
      <c r="R185" s="20"/>
      <c r="S185" s="20"/>
      <c r="T185" s="20"/>
      <c r="U185" s="20"/>
      <c r="V185" s="20"/>
      <c r="W185" s="20"/>
      <c r="X185" s="20"/>
      <c r="Y185" s="20"/>
      <c r="Z185" s="20"/>
    </row>
    <row r="186" spans="1:26" ht="17.25" customHeight="1">
      <c r="A186" s="15"/>
      <c r="B186" s="15"/>
      <c r="C186" s="15"/>
      <c r="D186" s="15"/>
      <c r="E186" s="15"/>
      <c r="F186" s="15"/>
      <c r="G186" s="15"/>
      <c r="H186" s="15"/>
      <c r="I186" s="45"/>
      <c r="J186" s="47"/>
      <c r="K186" s="20"/>
      <c r="L186" s="20"/>
      <c r="M186" s="20"/>
      <c r="N186" s="20"/>
      <c r="O186" s="20"/>
      <c r="P186" s="20"/>
      <c r="Q186" s="20"/>
      <c r="R186" s="20"/>
      <c r="S186" s="20"/>
      <c r="T186" s="20"/>
      <c r="U186" s="20"/>
      <c r="V186" s="20"/>
      <c r="W186" s="20"/>
      <c r="X186" s="20"/>
      <c r="Y186" s="20"/>
      <c r="Z186" s="20"/>
    </row>
    <row r="187" spans="1:26" ht="17.25" customHeight="1">
      <c r="A187" s="15"/>
      <c r="B187" s="15"/>
      <c r="C187" s="15"/>
      <c r="D187" s="15"/>
      <c r="E187" s="15"/>
      <c r="F187" s="15"/>
      <c r="G187" s="15"/>
      <c r="H187" s="15"/>
      <c r="I187" s="45"/>
      <c r="J187" s="47"/>
      <c r="K187" s="20"/>
      <c r="L187" s="20"/>
      <c r="M187" s="20"/>
      <c r="N187" s="20"/>
      <c r="O187" s="20"/>
      <c r="P187" s="20"/>
      <c r="Q187" s="20"/>
      <c r="R187" s="20"/>
      <c r="S187" s="20"/>
      <c r="T187" s="20"/>
      <c r="U187" s="20"/>
      <c r="V187" s="20"/>
      <c r="W187" s="20"/>
      <c r="X187" s="20"/>
      <c r="Y187" s="20"/>
      <c r="Z187" s="20"/>
    </row>
    <row r="188" spans="1:26" ht="17.25" customHeight="1">
      <c r="A188" s="15"/>
      <c r="B188" s="15"/>
      <c r="C188" s="15"/>
      <c r="D188" s="15"/>
      <c r="E188" s="15"/>
      <c r="F188" s="15"/>
      <c r="G188" s="15"/>
      <c r="H188" s="15"/>
      <c r="I188" s="45"/>
      <c r="J188" s="47"/>
      <c r="K188" s="20"/>
      <c r="L188" s="20"/>
      <c r="M188" s="20"/>
      <c r="N188" s="20"/>
      <c r="O188" s="20"/>
      <c r="P188" s="20"/>
      <c r="Q188" s="20"/>
      <c r="R188" s="20"/>
      <c r="S188" s="20"/>
      <c r="T188" s="20"/>
      <c r="U188" s="20"/>
      <c r="V188" s="20"/>
      <c r="W188" s="20"/>
      <c r="X188" s="20"/>
      <c r="Y188" s="20"/>
      <c r="Z188" s="20"/>
    </row>
    <row r="189" spans="1:26" ht="17.25" customHeight="1">
      <c r="A189" s="15"/>
      <c r="B189" s="15"/>
      <c r="C189" s="15"/>
      <c r="D189" s="15"/>
      <c r="E189" s="15"/>
      <c r="F189" s="15"/>
      <c r="G189" s="15"/>
      <c r="H189" s="15"/>
      <c r="I189" s="45"/>
      <c r="J189" s="47"/>
      <c r="K189" s="20"/>
      <c r="L189" s="20"/>
      <c r="M189" s="20"/>
      <c r="N189" s="20"/>
      <c r="O189" s="20"/>
      <c r="P189" s="20"/>
      <c r="Q189" s="20"/>
      <c r="R189" s="20"/>
      <c r="S189" s="20"/>
      <c r="T189" s="20"/>
      <c r="U189" s="20"/>
      <c r="V189" s="20"/>
      <c r="W189" s="20"/>
      <c r="X189" s="20"/>
      <c r="Y189" s="20"/>
      <c r="Z189" s="20"/>
    </row>
    <row r="190" spans="1:26" ht="17.25" customHeight="1">
      <c r="A190" s="15"/>
      <c r="B190" s="15"/>
      <c r="C190" s="15"/>
      <c r="D190" s="15"/>
      <c r="E190" s="15"/>
      <c r="F190" s="15"/>
      <c r="G190" s="15"/>
      <c r="H190" s="15"/>
      <c r="I190" s="45"/>
      <c r="J190" s="47"/>
      <c r="K190" s="20"/>
      <c r="L190" s="20"/>
      <c r="M190" s="20"/>
      <c r="N190" s="20"/>
      <c r="O190" s="20"/>
      <c r="P190" s="20"/>
      <c r="Q190" s="20"/>
      <c r="R190" s="20"/>
      <c r="S190" s="20"/>
      <c r="T190" s="20"/>
      <c r="U190" s="20"/>
      <c r="V190" s="20"/>
      <c r="W190" s="20"/>
      <c r="X190" s="20"/>
      <c r="Y190" s="20"/>
      <c r="Z190" s="20"/>
    </row>
    <row r="191" spans="1:26" ht="17.25" customHeight="1">
      <c r="A191" s="15"/>
      <c r="B191" s="15"/>
      <c r="C191" s="15"/>
      <c r="D191" s="15"/>
      <c r="E191" s="15"/>
      <c r="F191" s="15"/>
      <c r="G191" s="15"/>
      <c r="H191" s="15"/>
      <c r="I191" s="45"/>
      <c r="J191" s="47"/>
      <c r="K191" s="20"/>
      <c r="L191" s="20"/>
      <c r="M191" s="20"/>
      <c r="N191" s="20"/>
      <c r="O191" s="20"/>
      <c r="P191" s="20"/>
      <c r="Q191" s="20"/>
      <c r="R191" s="20"/>
      <c r="S191" s="20"/>
      <c r="T191" s="20"/>
      <c r="U191" s="20"/>
      <c r="V191" s="20"/>
      <c r="W191" s="20"/>
      <c r="X191" s="20"/>
      <c r="Y191" s="20"/>
      <c r="Z191" s="20"/>
    </row>
    <row r="192" spans="1:26" ht="17.25" customHeight="1">
      <c r="A192" s="15"/>
      <c r="B192" s="15"/>
      <c r="C192" s="15"/>
      <c r="D192" s="15"/>
      <c r="E192" s="15"/>
      <c r="F192" s="15"/>
      <c r="G192" s="15"/>
      <c r="H192" s="15"/>
      <c r="I192" s="45"/>
      <c r="J192" s="47"/>
      <c r="K192" s="20"/>
      <c r="L192" s="20"/>
      <c r="M192" s="20"/>
      <c r="N192" s="20"/>
      <c r="O192" s="20"/>
      <c r="P192" s="20"/>
      <c r="Q192" s="20"/>
      <c r="R192" s="20"/>
      <c r="S192" s="20"/>
      <c r="T192" s="20"/>
      <c r="U192" s="20"/>
      <c r="V192" s="20"/>
      <c r="W192" s="20"/>
      <c r="X192" s="20"/>
      <c r="Y192" s="20"/>
      <c r="Z192" s="20"/>
    </row>
    <row r="193" spans="1:26" ht="17.25" customHeight="1">
      <c r="A193" s="15"/>
      <c r="B193" s="15"/>
      <c r="C193" s="15"/>
      <c r="D193" s="15"/>
      <c r="E193" s="15"/>
      <c r="F193" s="15"/>
      <c r="G193" s="15"/>
      <c r="H193" s="15"/>
      <c r="I193" s="45"/>
      <c r="J193" s="47"/>
      <c r="K193" s="20"/>
      <c r="L193" s="20"/>
      <c r="M193" s="20"/>
      <c r="N193" s="20"/>
      <c r="O193" s="20"/>
      <c r="P193" s="20"/>
      <c r="Q193" s="20"/>
      <c r="R193" s="20"/>
      <c r="S193" s="20"/>
      <c r="T193" s="20"/>
      <c r="U193" s="20"/>
      <c r="V193" s="20"/>
      <c r="W193" s="20"/>
      <c r="X193" s="20"/>
      <c r="Y193" s="20"/>
      <c r="Z193" s="20"/>
    </row>
    <row r="194" spans="1:26" ht="17.25" customHeight="1">
      <c r="A194" s="15"/>
      <c r="B194" s="15"/>
      <c r="C194" s="15"/>
      <c r="D194" s="15"/>
      <c r="E194" s="15"/>
      <c r="F194" s="15"/>
      <c r="G194" s="15"/>
      <c r="H194" s="15"/>
      <c r="I194" s="45"/>
      <c r="J194" s="47"/>
      <c r="K194" s="20"/>
      <c r="L194" s="20"/>
      <c r="M194" s="20"/>
      <c r="N194" s="20"/>
      <c r="O194" s="20"/>
      <c r="P194" s="20"/>
      <c r="Q194" s="20"/>
      <c r="R194" s="20"/>
      <c r="S194" s="20"/>
      <c r="T194" s="20"/>
      <c r="U194" s="20"/>
      <c r="V194" s="20"/>
      <c r="W194" s="20"/>
      <c r="X194" s="20"/>
      <c r="Y194" s="20"/>
      <c r="Z194" s="20"/>
    </row>
    <row r="195" spans="1:26" ht="17.25" customHeight="1">
      <c r="A195" s="15"/>
      <c r="B195" s="15"/>
      <c r="C195" s="15"/>
      <c r="D195" s="15"/>
      <c r="E195" s="15"/>
      <c r="F195" s="15"/>
      <c r="G195" s="15"/>
      <c r="H195" s="15"/>
      <c r="I195" s="45"/>
      <c r="J195" s="47"/>
      <c r="K195" s="20"/>
      <c r="L195" s="20"/>
      <c r="M195" s="20"/>
      <c r="N195" s="20"/>
      <c r="O195" s="20"/>
      <c r="P195" s="20"/>
      <c r="Q195" s="20"/>
      <c r="R195" s="20"/>
      <c r="S195" s="20"/>
      <c r="T195" s="20"/>
      <c r="U195" s="20"/>
      <c r="V195" s="20"/>
      <c r="W195" s="20"/>
      <c r="X195" s="20"/>
      <c r="Y195" s="20"/>
      <c r="Z195" s="20"/>
    </row>
    <row r="196" spans="1:26" ht="17.25" customHeight="1">
      <c r="A196" s="15"/>
      <c r="B196" s="15"/>
      <c r="C196" s="15"/>
      <c r="D196" s="15"/>
      <c r="E196" s="15"/>
      <c r="F196" s="15"/>
      <c r="G196" s="15"/>
      <c r="H196" s="15"/>
      <c r="I196" s="45"/>
      <c r="J196" s="47"/>
      <c r="K196" s="20"/>
      <c r="L196" s="20"/>
      <c r="M196" s="20"/>
      <c r="N196" s="20"/>
      <c r="O196" s="20"/>
      <c r="P196" s="20"/>
      <c r="Q196" s="20"/>
      <c r="R196" s="20"/>
      <c r="S196" s="20"/>
      <c r="T196" s="20"/>
      <c r="U196" s="20"/>
      <c r="V196" s="20"/>
      <c r="W196" s="20"/>
      <c r="X196" s="20"/>
      <c r="Y196" s="20"/>
      <c r="Z196" s="20"/>
    </row>
    <row r="197" spans="1:26" ht="17.25" customHeight="1">
      <c r="A197" s="15"/>
      <c r="B197" s="15"/>
      <c r="C197" s="15"/>
      <c r="D197" s="15"/>
      <c r="E197" s="15"/>
      <c r="F197" s="15"/>
      <c r="G197" s="15"/>
      <c r="H197" s="15"/>
      <c r="I197" s="45"/>
      <c r="J197" s="47"/>
      <c r="K197" s="20"/>
      <c r="L197" s="20"/>
      <c r="M197" s="20"/>
      <c r="N197" s="20"/>
      <c r="O197" s="20"/>
      <c r="P197" s="20"/>
      <c r="Q197" s="20"/>
      <c r="R197" s="20"/>
      <c r="S197" s="20"/>
      <c r="T197" s="20"/>
      <c r="U197" s="20"/>
      <c r="V197" s="20"/>
      <c r="W197" s="20"/>
      <c r="X197" s="20"/>
      <c r="Y197" s="20"/>
      <c r="Z197" s="20"/>
    </row>
    <row r="198" spans="1:26" ht="17.25" customHeight="1">
      <c r="A198" s="15"/>
      <c r="B198" s="15"/>
      <c r="C198" s="15"/>
      <c r="D198" s="15"/>
      <c r="E198" s="15"/>
      <c r="F198" s="15"/>
      <c r="G198" s="15"/>
      <c r="H198" s="15"/>
      <c r="I198" s="45"/>
      <c r="J198" s="47"/>
      <c r="K198" s="20"/>
      <c r="L198" s="20"/>
      <c r="M198" s="20"/>
      <c r="N198" s="20"/>
      <c r="O198" s="20"/>
      <c r="P198" s="20"/>
      <c r="Q198" s="20"/>
      <c r="R198" s="20"/>
      <c r="S198" s="20"/>
      <c r="T198" s="20"/>
      <c r="U198" s="20"/>
      <c r="V198" s="20"/>
      <c r="W198" s="20"/>
      <c r="X198" s="20"/>
      <c r="Y198" s="20"/>
      <c r="Z198" s="20"/>
    </row>
    <row r="199" spans="1:26" ht="17.25" customHeight="1">
      <c r="A199" s="15"/>
      <c r="B199" s="15"/>
      <c r="C199" s="15"/>
      <c r="D199" s="15"/>
      <c r="E199" s="15"/>
      <c r="F199" s="15"/>
      <c r="G199" s="15"/>
      <c r="H199" s="15"/>
      <c r="I199" s="45"/>
      <c r="J199" s="47"/>
      <c r="K199" s="20"/>
      <c r="L199" s="20"/>
      <c r="M199" s="20"/>
      <c r="N199" s="20"/>
      <c r="O199" s="20"/>
      <c r="P199" s="20"/>
      <c r="Q199" s="20"/>
      <c r="R199" s="20"/>
      <c r="S199" s="20"/>
      <c r="T199" s="20"/>
      <c r="U199" s="20"/>
      <c r="V199" s="20"/>
      <c r="W199" s="20"/>
      <c r="X199" s="20"/>
      <c r="Y199" s="20"/>
      <c r="Z199" s="20"/>
    </row>
    <row r="200" spans="1:26" ht="17.25" customHeight="1">
      <c r="A200" s="15"/>
      <c r="B200" s="15"/>
      <c r="C200" s="15"/>
      <c r="D200" s="15"/>
      <c r="E200" s="15"/>
      <c r="F200" s="15"/>
      <c r="G200" s="15"/>
      <c r="H200" s="15"/>
      <c r="I200" s="45"/>
      <c r="J200" s="47"/>
      <c r="K200" s="20"/>
      <c r="L200" s="20"/>
      <c r="M200" s="20"/>
      <c r="N200" s="20"/>
      <c r="O200" s="20"/>
      <c r="P200" s="20"/>
      <c r="Q200" s="20"/>
      <c r="R200" s="20"/>
      <c r="S200" s="20"/>
      <c r="T200" s="20"/>
      <c r="U200" s="20"/>
      <c r="V200" s="20"/>
      <c r="W200" s="20"/>
      <c r="X200" s="20"/>
      <c r="Y200" s="20"/>
      <c r="Z200" s="20"/>
    </row>
    <row r="201" spans="1:26" ht="17.25" customHeight="1">
      <c r="A201" s="15"/>
      <c r="B201" s="15"/>
      <c r="C201" s="15"/>
      <c r="D201" s="15"/>
      <c r="E201" s="15"/>
      <c r="F201" s="15"/>
      <c r="G201" s="15"/>
      <c r="H201" s="15"/>
      <c r="I201" s="45"/>
      <c r="J201" s="47"/>
      <c r="K201" s="20"/>
      <c r="L201" s="20"/>
      <c r="M201" s="20"/>
      <c r="N201" s="20"/>
      <c r="O201" s="20"/>
      <c r="P201" s="20"/>
      <c r="Q201" s="20"/>
      <c r="R201" s="20"/>
      <c r="S201" s="20"/>
      <c r="T201" s="20"/>
      <c r="U201" s="20"/>
      <c r="V201" s="20"/>
      <c r="W201" s="20"/>
      <c r="X201" s="20"/>
      <c r="Y201" s="20"/>
      <c r="Z201" s="20"/>
    </row>
    <row r="202" spans="1:26" ht="17.25" customHeight="1">
      <c r="A202" s="15"/>
      <c r="B202" s="15"/>
      <c r="C202" s="15"/>
      <c r="D202" s="15"/>
      <c r="E202" s="15"/>
      <c r="F202" s="15"/>
      <c r="G202" s="15"/>
      <c r="H202" s="15"/>
      <c r="I202" s="45"/>
      <c r="J202" s="47"/>
      <c r="K202" s="20"/>
      <c r="L202" s="20"/>
      <c r="M202" s="20"/>
      <c r="N202" s="20"/>
      <c r="O202" s="20"/>
      <c r="P202" s="20"/>
      <c r="Q202" s="20"/>
      <c r="R202" s="20"/>
      <c r="S202" s="20"/>
      <c r="T202" s="20"/>
      <c r="U202" s="20"/>
      <c r="V202" s="20"/>
      <c r="W202" s="20"/>
      <c r="X202" s="20"/>
      <c r="Y202" s="20"/>
      <c r="Z202" s="20"/>
    </row>
    <row r="203" spans="1:26" ht="17.25" customHeight="1">
      <c r="A203" s="15"/>
      <c r="B203" s="15"/>
      <c r="C203" s="15"/>
      <c r="D203" s="15"/>
      <c r="E203" s="15"/>
      <c r="F203" s="15"/>
      <c r="G203" s="15"/>
      <c r="H203" s="15"/>
      <c r="I203" s="45"/>
      <c r="J203" s="47"/>
      <c r="K203" s="20"/>
      <c r="L203" s="20"/>
      <c r="M203" s="20"/>
      <c r="N203" s="20"/>
      <c r="O203" s="20"/>
      <c r="P203" s="20"/>
      <c r="Q203" s="20"/>
      <c r="R203" s="20"/>
      <c r="S203" s="20"/>
      <c r="T203" s="20"/>
      <c r="U203" s="20"/>
      <c r="V203" s="20"/>
      <c r="W203" s="20"/>
      <c r="X203" s="20"/>
      <c r="Y203" s="20"/>
      <c r="Z203" s="20"/>
    </row>
    <row r="204" spans="1:26" ht="17.25" customHeight="1">
      <c r="A204" s="15"/>
      <c r="B204" s="15"/>
      <c r="C204" s="15"/>
      <c r="D204" s="15"/>
      <c r="E204" s="15"/>
      <c r="F204" s="15"/>
      <c r="G204" s="15"/>
      <c r="H204" s="15"/>
      <c r="I204" s="45"/>
      <c r="J204" s="47"/>
      <c r="K204" s="20"/>
      <c r="L204" s="20"/>
      <c r="M204" s="20"/>
      <c r="N204" s="20"/>
      <c r="O204" s="20"/>
      <c r="P204" s="20"/>
      <c r="Q204" s="20"/>
      <c r="R204" s="20"/>
      <c r="S204" s="20"/>
      <c r="T204" s="20"/>
      <c r="U204" s="20"/>
      <c r="V204" s="20"/>
      <c r="W204" s="20"/>
      <c r="X204" s="20"/>
      <c r="Y204" s="20"/>
      <c r="Z204" s="20"/>
    </row>
    <row r="205" spans="1:26" ht="17.25" customHeight="1">
      <c r="A205" s="15"/>
      <c r="B205" s="15"/>
      <c r="C205" s="15"/>
      <c r="D205" s="15"/>
      <c r="E205" s="15"/>
      <c r="F205" s="15"/>
      <c r="G205" s="15"/>
      <c r="H205" s="15"/>
      <c r="I205" s="45"/>
      <c r="J205" s="47"/>
      <c r="K205" s="20"/>
      <c r="L205" s="20"/>
      <c r="M205" s="20"/>
      <c r="N205" s="20"/>
      <c r="O205" s="20"/>
      <c r="P205" s="20"/>
      <c r="Q205" s="20"/>
      <c r="R205" s="20"/>
      <c r="S205" s="20"/>
      <c r="T205" s="20"/>
      <c r="U205" s="20"/>
      <c r="V205" s="20"/>
      <c r="W205" s="20"/>
      <c r="X205" s="20"/>
      <c r="Y205" s="20"/>
      <c r="Z205" s="20"/>
    </row>
    <row r="206" spans="1:26" ht="17.25" customHeight="1">
      <c r="A206" s="15"/>
      <c r="B206" s="15"/>
      <c r="C206" s="15"/>
      <c r="D206" s="15"/>
      <c r="E206" s="15"/>
      <c r="F206" s="15"/>
      <c r="G206" s="15"/>
      <c r="H206" s="15"/>
      <c r="I206" s="45"/>
      <c r="J206" s="47"/>
      <c r="K206" s="20"/>
      <c r="L206" s="20"/>
      <c r="M206" s="20"/>
      <c r="N206" s="20"/>
      <c r="O206" s="20"/>
      <c r="P206" s="20"/>
      <c r="Q206" s="20"/>
      <c r="R206" s="20"/>
      <c r="S206" s="20"/>
      <c r="T206" s="20"/>
      <c r="U206" s="20"/>
      <c r="V206" s="20"/>
      <c r="W206" s="20"/>
      <c r="X206" s="20"/>
      <c r="Y206" s="20"/>
      <c r="Z206" s="20"/>
    </row>
    <row r="207" spans="1:26" ht="17.25" customHeight="1">
      <c r="A207" s="15"/>
      <c r="B207" s="15"/>
      <c r="C207" s="15"/>
      <c r="D207" s="15"/>
      <c r="E207" s="15"/>
      <c r="F207" s="15"/>
      <c r="G207" s="15"/>
      <c r="H207" s="15"/>
      <c r="I207" s="45"/>
      <c r="J207" s="47"/>
      <c r="K207" s="20"/>
      <c r="L207" s="20"/>
      <c r="M207" s="20"/>
      <c r="N207" s="20"/>
      <c r="O207" s="20"/>
      <c r="P207" s="20"/>
      <c r="Q207" s="20"/>
      <c r="R207" s="20"/>
      <c r="S207" s="20"/>
      <c r="T207" s="20"/>
      <c r="U207" s="20"/>
      <c r="V207" s="20"/>
      <c r="W207" s="20"/>
      <c r="X207" s="20"/>
      <c r="Y207" s="20"/>
      <c r="Z207" s="20"/>
    </row>
    <row r="208" spans="1:26" ht="17.25" customHeight="1">
      <c r="A208" s="15"/>
      <c r="B208" s="15"/>
      <c r="C208" s="15"/>
      <c r="D208" s="15"/>
      <c r="E208" s="15"/>
      <c r="F208" s="15"/>
      <c r="G208" s="15"/>
      <c r="H208" s="15"/>
      <c r="I208" s="45"/>
      <c r="J208" s="47"/>
      <c r="K208" s="20"/>
      <c r="L208" s="20"/>
      <c r="M208" s="20"/>
      <c r="N208" s="20"/>
      <c r="O208" s="20"/>
      <c r="P208" s="20"/>
      <c r="Q208" s="20"/>
      <c r="R208" s="20"/>
      <c r="S208" s="20"/>
      <c r="T208" s="20"/>
      <c r="U208" s="20"/>
      <c r="V208" s="20"/>
      <c r="W208" s="20"/>
      <c r="X208" s="20"/>
      <c r="Y208" s="20"/>
      <c r="Z208" s="20"/>
    </row>
    <row r="209" spans="1:26" ht="17.25" customHeight="1">
      <c r="A209" s="15"/>
      <c r="B209" s="15"/>
      <c r="C209" s="15"/>
      <c r="D209" s="15"/>
      <c r="E209" s="15"/>
      <c r="F209" s="15"/>
      <c r="G209" s="15"/>
      <c r="H209" s="15"/>
      <c r="I209" s="45"/>
      <c r="J209" s="47"/>
      <c r="K209" s="20"/>
      <c r="L209" s="20"/>
      <c r="M209" s="20"/>
      <c r="N209" s="20"/>
      <c r="O209" s="20"/>
      <c r="P209" s="20"/>
      <c r="Q209" s="20"/>
      <c r="R209" s="20"/>
      <c r="S209" s="20"/>
      <c r="T209" s="20"/>
      <c r="U209" s="20"/>
      <c r="V209" s="20"/>
      <c r="W209" s="20"/>
      <c r="X209" s="20"/>
      <c r="Y209" s="20"/>
      <c r="Z209" s="20"/>
    </row>
    <row r="210" spans="1:26" ht="17.25" customHeight="1">
      <c r="A210" s="15"/>
      <c r="B210" s="15"/>
      <c r="C210" s="15"/>
      <c r="D210" s="15"/>
      <c r="E210" s="15"/>
      <c r="F210" s="15"/>
      <c r="G210" s="15"/>
      <c r="H210" s="15"/>
      <c r="I210" s="45"/>
      <c r="J210" s="47"/>
      <c r="K210" s="20"/>
      <c r="L210" s="20"/>
      <c r="M210" s="20"/>
      <c r="N210" s="20"/>
      <c r="O210" s="20"/>
      <c r="P210" s="20"/>
      <c r="Q210" s="20"/>
      <c r="R210" s="20"/>
      <c r="S210" s="20"/>
      <c r="T210" s="20"/>
      <c r="U210" s="20"/>
      <c r="V210" s="20"/>
      <c r="W210" s="20"/>
      <c r="X210" s="20"/>
      <c r="Y210" s="20"/>
      <c r="Z210" s="20"/>
    </row>
    <row r="211" spans="1:26" ht="17.25" customHeight="1">
      <c r="A211" s="15"/>
      <c r="B211" s="15"/>
      <c r="C211" s="15"/>
      <c r="D211" s="15"/>
      <c r="E211" s="15"/>
      <c r="F211" s="15"/>
      <c r="G211" s="15"/>
      <c r="H211" s="15"/>
      <c r="I211" s="45"/>
      <c r="J211" s="47"/>
      <c r="K211" s="20"/>
      <c r="L211" s="20"/>
      <c r="M211" s="20"/>
      <c r="N211" s="20"/>
      <c r="O211" s="20"/>
      <c r="P211" s="20"/>
      <c r="Q211" s="20"/>
      <c r="R211" s="20"/>
      <c r="S211" s="20"/>
      <c r="T211" s="20"/>
      <c r="U211" s="20"/>
      <c r="V211" s="20"/>
      <c r="W211" s="20"/>
      <c r="X211" s="20"/>
      <c r="Y211" s="20"/>
      <c r="Z211" s="20"/>
    </row>
    <row r="212" spans="1:26" ht="17.25" customHeight="1">
      <c r="A212" s="15"/>
      <c r="B212" s="15"/>
      <c r="C212" s="15"/>
      <c r="D212" s="15"/>
      <c r="E212" s="15"/>
      <c r="F212" s="15"/>
      <c r="G212" s="15"/>
      <c r="H212" s="15"/>
      <c r="I212" s="45"/>
      <c r="J212" s="47"/>
      <c r="K212" s="20"/>
      <c r="L212" s="20"/>
      <c r="M212" s="20"/>
      <c r="N212" s="20"/>
      <c r="O212" s="20"/>
      <c r="P212" s="20"/>
      <c r="Q212" s="20"/>
      <c r="R212" s="20"/>
      <c r="S212" s="20"/>
      <c r="T212" s="20"/>
      <c r="U212" s="20"/>
      <c r="V212" s="20"/>
      <c r="W212" s="20"/>
      <c r="X212" s="20"/>
      <c r="Y212" s="20"/>
      <c r="Z212" s="20"/>
    </row>
    <row r="213" spans="1:26" ht="17.25" customHeight="1">
      <c r="A213" s="15"/>
      <c r="B213" s="15"/>
      <c r="C213" s="15"/>
      <c r="D213" s="15"/>
      <c r="E213" s="15"/>
      <c r="F213" s="15"/>
      <c r="G213" s="15"/>
      <c r="H213" s="15"/>
      <c r="I213" s="45"/>
      <c r="J213" s="47"/>
      <c r="K213" s="20"/>
      <c r="L213" s="20"/>
      <c r="M213" s="20"/>
      <c r="N213" s="20"/>
      <c r="O213" s="20"/>
      <c r="P213" s="20"/>
      <c r="Q213" s="20"/>
      <c r="R213" s="20"/>
      <c r="S213" s="20"/>
      <c r="T213" s="20"/>
      <c r="U213" s="20"/>
      <c r="V213" s="20"/>
      <c r="W213" s="20"/>
      <c r="X213" s="20"/>
      <c r="Y213" s="20"/>
      <c r="Z213" s="20"/>
    </row>
    <row r="214" spans="1:26" ht="17.25" customHeight="1">
      <c r="A214" s="15"/>
      <c r="B214" s="15"/>
      <c r="C214" s="15"/>
      <c r="D214" s="15"/>
      <c r="E214" s="15"/>
      <c r="F214" s="15"/>
      <c r="G214" s="15"/>
      <c r="H214" s="15"/>
      <c r="I214" s="45"/>
      <c r="J214" s="47"/>
      <c r="K214" s="20"/>
      <c r="L214" s="20"/>
      <c r="M214" s="20"/>
      <c r="N214" s="20"/>
      <c r="O214" s="20"/>
      <c r="P214" s="20"/>
      <c r="Q214" s="20"/>
      <c r="R214" s="20"/>
      <c r="S214" s="20"/>
      <c r="T214" s="20"/>
      <c r="U214" s="20"/>
      <c r="V214" s="20"/>
      <c r="W214" s="20"/>
      <c r="X214" s="20"/>
      <c r="Y214" s="20"/>
      <c r="Z214" s="20"/>
    </row>
    <row r="215" spans="1:26" ht="17.25" customHeight="1">
      <c r="A215" s="15"/>
      <c r="B215" s="15"/>
      <c r="C215" s="15"/>
      <c r="D215" s="15"/>
      <c r="E215" s="15"/>
      <c r="F215" s="15"/>
      <c r="G215" s="15"/>
      <c r="H215" s="15"/>
      <c r="I215" s="45"/>
      <c r="J215" s="47"/>
      <c r="K215" s="20"/>
      <c r="L215" s="20"/>
      <c r="M215" s="20"/>
      <c r="N215" s="20"/>
      <c r="O215" s="20"/>
      <c r="P215" s="20"/>
      <c r="Q215" s="20"/>
      <c r="R215" s="20"/>
      <c r="S215" s="20"/>
      <c r="T215" s="20"/>
      <c r="U215" s="20"/>
      <c r="V215" s="20"/>
      <c r="W215" s="20"/>
      <c r="X215" s="20"/>
      <c r="Y215" s="20"/>
      <c r="Z215" s="20"/>
    </row>
    <row r="216" spans="1:26" ht="17.25" customHeight="1">
      <c r="A216" s="15"/>
      <c r="B216" s="15"/>
      <c r="C216" s="15"/>
      <c r="D216" s="15"/>
      <c r="E216" s="15"/>
      <c r="F216" s="15"/>
      <c r="G216" s="15"/>
      <c r="H216" s="15"/>
      <c r="I216" s="45"/>
      <c r="J216" s="47"/>
      <c r="K216" s="20"/>
      <c r="L216" s="20"/>
      <c r="M216" s="20"/>
      <c r="N216" s="20"/>
      <c r="O216" s="20"/>
      <c r="P216" s="20"/>
      <c r="Q216" s="20"/>
      <c r="R216" s="20"/>
      <c r="S216" s="20"/>
      <c r="T216" s="20"/>
      <c r="U216" s="20"/>
      <c r="V216" s="20"/>
      <c r="W216" s="20"/>
      <c r="X216" s="20"/>
      <c r="Y216" s="20"/>
      <c r="Z216" s="20"/>
    </row>
    <row r="217" spans="1:26" ht="17.25" customHeight="1">
      <c r="A217" s="15"/>
      <c r="B217" s="15"/>
      <c r="C217" s="15"/>
      <c r="D217" s="15"/>
      <c r="E217" s="15"/>
      <c r="F217" s="15"/>
      <c r="G217" s="15"/>
      <c r="H217" s="15"/>
      <c r="I217" s="45"/>
      <c r="J217" s="47"/>
      <c r="K217" s="20"/>
      <c r="L217" s="20"/>
      <c r="M217" s="20"/>
      <c r="N217" s="20"/>
      <c r="O217" s="20"/>
      <c r="P217" s="20"/>
      <c r="Q217" s="20"/>
      <c r="R217" s="20"/>
      <c r="S217" s="20"/>
      <c r="T217" s="20"/>
      <c r="U217" s="20"/>
      <c r="V217" s="20"/>
      <c r="W217" s="20"/>
      <c r="X217" s="20"/>
      <c r="Y217" s="20"/>
      <c r="Z217" s="20"/>
    </row>
    <row r="218" spans="1:26" ht="17.25" customHeight="1">
      <c r="A218" s="15"/>
      <c r="B218" s="15"/>
      <c r="C218" s="15"/>
      <c r="D218" s="15"/>
      <c r="E218" s="15"/>
      <c r="F218" s="15"/>
      <c r="G218" s="15"/>
      <c r="H218" s="15"/>
      <c r="I218" s="45"/>
      <c r="J218" s="47"/>
      <c r="K218" s="20"/>
      <c r="L218" s="20"/>
      <c r="M218" s="20"/>
      <c r="N218" s="20"/>
      <c r="O218" s="20"/>
      <c r="P218" s="20"/>
      <c r="Q218" s="20"/>
      <c r="R218" s="20"/>
      <c r="S218" s="20"/>
      <c r="T218" s="20"/>
      <c r="U218" s="20"/>
      <c r="V218" s="20"/>
      <c r="W218" s="20"/>
      <c r="X218" s="20"/>
      <c r="Y218" s="20"/>
      <c r="Z218" s="20"/>
    </row>
    <row r="219" spans="1:26" ht="17.25" customHeight="1">
      <c r="A219" s="15"/>
      <c r="B219" s="15"/>
      <c r="C219" s="15"/>
      <c r="D219" s="15"/>
      <c r="E219" s="15"/>
      <c r="F219" s="15"/>
      <c r="G219" s="15"/>
      <c r="H219" s="15"/>
      <c r="I219" s="45"/>
      <c r="J219" s="47"/>
      <c r="K219" s="20"/>
      <c r="L219" s="20"/>
      <c r="M219" s="20"/>
      <c r="N219" s="20"/>
      <c r="O219" s="20"/>
      <c r="P219" s="20"/>
      <c r="Q219" s="20"/>
      <c r="R219" s="20"/>
      <c r="S219" s="20"/>
      <c r="T219" s="20"/>
      <c r="U219" s="20"/>
      <c r="V219" s="20"/>
      <c r="W219" s="20"/>
      <c r="X219" s="20"/>
      <c r="Y219" s="20"/>
      <c r="Z219" s="20"/>
    </row>
    <row r="220" spans="1:26" ht="17.25" customHeight="1">
      <c r="A220" s="15"/>
      <c r="B220" s="15"/>
      <c r="C220" s="15"/>
      <c r="D220" s="15"/>
      <c r="E220" s="15"/>
      <c r="F220" s="15"/>
      <c r="G220" s="15"/>
      <c r="H220" s="15"/>
      <c r="I220" s="45"/>
      <c r="J220" s="47"/>
      <c r="K220" s="20"/>
      <c r="L220" s="20"/>
      <c r="M220" s="20"/>
      <c r="N220" s="20"/>
      <c r="O220" s="20"/>
      <c r="P220" s="20"/>
      <c r="Q220" s="20"/>
      <c r="R220" s="20"/>
      <c r="S220" s="20"/>
      <c r="T220" s="20"/>
      <c r="U220" s="20"/>
      <c r="V220" s="20"/>
      <c r="W220" s="20"/>
      <c r="X220" s="20"/>
      <c r="Y220" s="20"/>
      <c r="Z220" s="20"/>
    </row>
    <row r="221" spans="1:26" ht="17.25" customHeight="1">
      <c r="A221" s="15"/>
      <c r="B221" s="15"/>
      <c r="C221" s="15"/>
      <c r="D221" s="15"/>
      <c r="E221" s="15"/>
      <c r="F221" s="15"/>
      <c r="G221" s="15"/>
      <c r="H221" s="15"/>
      <c r="I221" s="45"/>
      <c r="J221" s="47"/>
      <c r="K221" s="20"/>
      <c r="L221" s="20"/>
      <c r="M221" s="20"/>
      <c r="N221" s="20"/>
      <c r="O221" s="20"/>
      <c r="P221" s="20"/>
      <c r="Q221" s="20"/>
      <c r="R221" s="20"/>
      <c r="S221" s="20"/>
      <c r="T221" s="20"/>
      <c r="U221" s="20"/>
      <c r="V221" s="20"/>
      <c r="W221" s="20"/>
      <c r="X221" s="20"/>
      <c r="Y221" s="20"/>
      <c r="Z221" s="20"/>
    </row>
    <row r="222" spans="1:26" ht="17.25" customHeight="1">
      <c r="A222" s="15"/>
      <c r="B222" s="15"/>
      <c r="C222" s="15"/>
      <c r="D222" s="15"/>
      <c r="E222" s="15"/>
      <c r="F222" s="15"/>
      <c r="G222" s="15"/>
      <c r="H222" s="15"/>
      <c r="I222" s="45"/>
      <c r="J222" s="47"/>
      <c r="K222" s="20"/>
      <c r="L222" s="20"/>
      <c r="M222" s="20"/>
      <c r="N222" s="20"/>
      <c r="O222" s="20"/>
      <c r="P222" s="20"/>
      <c r="Q222" s="20"/>
      <c r="R222" s="20"/>
      <c r="S222" s="20"/>
      <c r="T222" s="20"/>
      <c r="U222" s="20"/>
      <c r="V222" s="20"/>
      <c r="W222" s="20"/>
      <c r="X222" s="20"/>
      <c r="Y222" s="20"/>
      <c r="Z222" s="20"/>
    </row>
    <row r="223" spans="1:26" ht="17.25" customHeight="1">
      <c r="A223" s="15"/>
      <c r="B223" s="15"/>
      <c r="C223" s="15"/>
      <c r="D223" s="15"/>
      <c r="E223" s="15"/>
      <c r="F223" s="15"/>
      <c r="G223" s="15"/>
      <c r="H223" s="15"/>
      <c r="I223" s="45"/>
      <c r="J223" s="47"/>
      <c r="K223" s="20"/>
      <c r="L223" s="20"/>
      <c r="M223" s="20"/>
      <c r="N223" s="20"/>
      <c r="O223" s="20"/>
      <c r="P223" s="20"/>
      <c r="Q223" s="20"/>
      <c r="R223" s="20"/>
      <c r="S223" s="20"/>
      <c r="T223" s="20"/>
      <c r="U223" s="20"/>
      <c r="V223" s="20"/>
      <c r="W223" s="20"/>
      <c r="X223" s="20"/>
      <c r="Y223" s="20"/>
      <c r="Z223" s="20"/>
    </row>
    <row r="224" spans="1:26" ht="17.25" customHeight="1">
      <c r="A224" s="15"/>
      <c r="B224" s="15"/>
      <c r="C224" s="15"/>
      <c r="D224" s="15"/>
      <c r="E224" s="15"/>
      <c r="F224" s="15"/>
      <c r="G224" s="15"/>
      <c r="H224" s="15"/>
      <c r="I224" s="45"/>
      <c r="J224" s="47"/>
      <c r="K224" s="20"/>
      <c r="L224" s="20"/>
      <c r="M224" s="20"/>
      <c r="N224" s="20"/>
      <c r="O224" s="20"/>
      <c r="P224" s="20"/>
      <c r="Q224" s="20"/>
      <c r="R224" s="20"/>
      <c r="S224" s="20"/>
      <c r="T224" s="20"/>
      <c r="U224" s="20"/>
      <c r="V224" s="20"/>
      <c r="W224" s="20"/>
      <c r="X224" s="20"/>
      <c r="Y224" s="20"/>
      <c r="Z224" s="20"/>
    </row>
    <row r="225" spans="1:26" ht="17.25" customHeight="1">
      <c r="A225" s="15"/>
      <c r="B225" s="15"/>
      <c r="C225" s="15"/>
      <c r="D225" s="15"/>
      <c r="E225" s="15"/>
      <c r="F225" s="15"/>
      <c r="G225" s="15"/>
      <c r="H225" s="15"/>
      <c r="I225" s="45"/>
      <c r="J225" s="47"/>
      <c r="K225" s="20"/>
      <c r="L225" s="20"/>
      <c r="M225" s="20"/>
      <c r="N225" s="20"/>
      <c r="O225" s="20"/>
      <c r="P225" s="20"/>
      <c r="Q225" s="20"/>
      <c r="R225" s="20"/>
      <c r="S225" s="20"/>
      <c r="T225" s="20"/>
      <c r="U225" s="20"/>
      <c r="V225" s="20"/>
      <c r="W225" s="20"/>
      <c r="X225" s="20"/>
      <c r="Y225" s="20"/>
      <c r="Z225" s="20"/>
    </row>
    <row r="226" spans="1:26" ht="17.25" customHeight="1">
      <c r="A226" s="15"/>
      <c r="B226" s="15"/>
      <c r="C226" s="15"/>
      <c r="D226" s="15"/>
      <c r="E226" s="15"/>
      <c r="F226" s="15"/>
      <c r="G226" s="15"/>
      <c r="H226" s="15"/>
      <c r="I226" s="45"/>
      <c r="J226" s="47"/>
      <c r="K226" s="20"/>
      <c r="L226" s="20"/>
      <c r="M226" s="20"/>
      <c r="N226" s="20"/>
      <c r="O226" s="20"/>
      <c r="P226" s="20"/>
      <c r="Q226" s="20"/>
      <c r="R226" s="20"/>
      <c r="S226" s="20"/>
      <c r="T226" s="20"/>
      <c r="U226" s="20"/>
      <c r="V226" s="20"/>
      <c r="W226" s="20"/>
      <c r="X226" s="20"/>
      <c r="Y226" s="20"/>
      <c r="Z226" s="20"/>
    </row>
    <row r="227" spans="1:26" ht="17.25" customHeight="1">
      <c r="A227" s="15"/>
      <c r="B227" s="15"/>
      <c r="C227" s="15"/>
      <c r="D227" s="15"/>
      <c r="E227" s="15"/>
      <c r="F227" s="15"/>
      <c r="G227" s="15"/>
      <c r="H227" s="15"/>
      <c r="I227" s="45"/>
      <c r="J227" s="47"/>
      <c r="K227" s="20"/>
      <c r="L227" s="20"/>
      <c r="M227" s="20"/>
      <c r="N227" s="20"/>
      <c r="O227" s="20"/>
      <c r="P227" s="20"/>
      <c r="Q227" s="20"/>
      <c r="R227" s="20"/>
      <c r="S227" s="20"/>
      <c r="T227" s="20"/>
      <c r="U227" s="20"/>
      <c r="V227" s="20"/>
      <c r="W227" s="20"/>
      <c r="X227" s="20"/>
      <c r="Y227" s="20"/>
      <c r="Z227" s="20"/>
    </row>
    <row r="228" spans="1:26" ht="17.25" customHeight="1">
      <c r="A228" s="15"/>
      <c r="B228" s="15"/>
      <c r="C228" s="15"/>
      <c r="D228" s="15"/>
      <c r="E228" s="15"/>
      <c r="F228" s="15"/>
      <c r="G228" s="15"/>
      <c r="H228" s="15"/>
      <c r="I228" s="45"/>
      <c r="J228" s="47"/>
      <c r="K228" s="20"/>
      <c r="L228" s="20"/>
      <c r="M228" s="20"/>
      <c r="N228" s="20"/>
      <c r="O228" s="20"/>
      <c r="P228" s="20"/>
      <c r="Q228" s="20"/>
      <c r="R228" s="20"/>
      <c r="S228" s="20"/>
      <c r="T228" s="20"/>
      <c r="U228" s="20"/>
      <c r="V228" s="20"/>
      <c r="W228" s="20"/>
      <c r="X228" s="20"/>
      <c r="Y228" s="20"/>
      <c r="Z228" s="20"/>
    </row>
    <row r="229" spans="1:26" ht="17.25" customHeight="1">
      <c r="A229" s="15"/>
      <c r="B229" s="15"/>
      <c r="C229" s="15"/>
      <c r="D229" s="15"/>
      <c r="E229" s="15"/>
      <c r="F229" s="15"/>
      <c r="G229" s="15"/>
      <c r="H229" s="15"/>
      <c r="I229" s="45"/>
      <c r="J229" s="47"/>
      <c r="K229" s="20"/>
      <c r="L229" s="20"/>
      <c r="M229" s="20"/>
      <c r="N229" s="20"/>
      <c r="O229" s="20"/>
      <c r="P229" s="20"/>
      <c r="Q229" s="20"/>
      <c r="R229" s="20"/>
      <c r="S229" s="20"/>
      <c r="T229" s="20"/>
      <c r="U229" s="20"/>
      <c r="V229" s="20"/>
      <c r="W229" s="20"/>
      <c r="X229" s="20"/>
      <c r="Y229" s="20"/>
      <c r="Z229" s="20"/>
    </row>
    <row r="230" spans="1:26" ht="17.25" customHeight="1">
      <c r="A230" s="15"/>
      <c r="B230" s="15"/>
      <c r="C230" s="15"/>
      <c r="D230" s="15"/>
      <c r="E230" s="15"/>
      <c r="F230" s="15"/>
      <c r="G230" s="15"/>
      <c r="H230" s="15"/>
      <c r="I230" s="45"/>
      <c r="J230" s="47"/>
      <c r="K230" s="20"/>
      <c r="L230" s="20"/>
      <c r="M230" s="20"/>
      <c r="N230" s="20"/>
      <c r="O230" s="20"/>
      <c r="P230" s="20"/>
      <c r="Q230" s="20"/>
      <c r="R230" s="20"/>
      <c r="S230" s="20"/>
      <c r="T230" s="20"/>
      <c r="U230" s="20"/>
      <c r="V230" s="20"/>
      <c r="W230" s="20"/>
      <c r="X230" s="20"/>
      <c r="Y230" s="20"/>
      <c r="Z230" s="20"/>
    </row>
    <row r="231" spans="1:26" ht="17.25" customHeight="1">
      <c r="A231" s="15"/>
      <c r="B231" s="15"/>
      <c r="C231" s="15"/>
      <c r="D231" s="15"/>
      <c r="E231" s="15"/>
      <c r="F231" s="15"/>
      <c r="G231" s="15"/>
      <c r="H231" s="15"/>
      <c r="I231" s="45"/>
      <c r="J231" s="47"/>
      <c r="K231" s="20"/>
      <c r="L231" s="20"/>
      <c r="M231" s="20"/>
      <c r="N231" s="20"/>
      <c r="O231" s="20"/>
      <c r="P231" s="20"/>
      <c r="Q231" s="20"/>
      <c r="R231" s="20"/>
      <c r="S231" s="20"/>
      <c r="T231" s="20"/>
      <c r="U231" s="20"/>
      <c r="V231" s="20"/>
      <c r="W231" s="20"/>
      <c r="X231" s="20"/>
      <c r="Y231" s="20"/>
      <c r="Z231" s="20"/>
    </row>
    <row r="232" spans="1:26" ht="17.25" customHeight="1">
      <c r="A232" s="15"/>
      <c r="B232" s="15"/>
      <c r="C232" s="15"/>
      <c r="D232" s="15"/>
      <c r="E232" s="15"/>
      <c r="F232" s="15"/>
      <c r="G232" s="15"/>
      <c r="H232" s="15"/>
      <c r="I232" s="45"/>
      <c r="J232" s="47"/>
      <c r="K232" s="20"/>
      <c r="L232" s="20"/>
      <c r="M232" s="20"/>
      <c r="N232" s="20"/>
      <c r="O232" s="20"/>
      <c r="P232" s="20"/>
      <c r="Q232" s="20"/>
      <c r="R232" s="20"/>
      <c r="S232" s="20"/>
      <c r="T232" s="20"/>
      <c r="U232" s="20"/>
      <c r="V232" s="20"/>
      <c r="W232" s="20"/>
      <c r="X232" s="20"/>
      <c r="Y232" s="20"/>
      <c r="Z232" s="20"/>
    </row>
    <row r="233" spans="1:26" ht="17.25" customHeight="1">
      <c r="A233" s="15"/>
      <c r="B233" s="15"/>
      <c r="C233" s="15"/>
      <c r="D233" s="15"/>
      <c r="E233" s="15"/>
      <c r="F233" s="15"/>
      <c r="G233" s="15"/>
      <c r="H233" s="15"/>
      <c r="I233" s="45"/>
      <c r="J233" s="47"/>
      <c r="K233" s="20"/>
      <c r="L233" s="20"/>
      <c r="M233" s="20"/>
      <c r="N233" s="20"/>
      <c r="O233" s="20"/>
      <c r="P233" s="20"/>
      <c r="Q233" s="20"/>
      <c r="R233" s="20"/>
      <c r="S233" s="20"/>
      <c r="T233" s="20"/>
      <c r="U233" s="20"/>
      <c r="V233" s="20"/>
      <c r="W233" s="20"/>
      <c r="X233" s="20"/>
      <c r="Y233" s="20"/>
      <c r="Z233" s="20"/>
    </row>
    <row r="234" spans="1:26" ht="17.25" customHeight="1">
      <c r="A234" s="15"/>
      <c r="B234" s="15"/>
      <c r="C234" s="15"/>
      <c r="D234" s="15"/>
      <c r="E234" s="15"/>
      <c r="F234" s="15"/>
      <c r="G234" s="15"/>
      <c r="H234" s="15"/>
      <c r="I234" s="45"/>
      <c r="J234" s="47"/>
      <c r="K234" s="20"/>
      <c r="L234" s="20"/>
      <c r="M234" s="20"/>
      <c r="N234" s="20"/>
      <c r="O234" s="20"/>
      <c r="P234" s="20"/>
      <c r="Q234" s="20"/>
      <c r="R234" s="20"/>
      <c r="S234" s="20"/>
      <c r="T234" s="20"/>
      <c r="U234" s="20"/>
      <c r="V234" s="20"/>
      <c r="W234" s="20"/>
      <c r="X234" s="20"/>
      <c r="Y234" s="20"/>
      <c r="Z234" s="20"/>
    </row>
    <row r="235" spans="1:26" ht="17.25" customHeight="1">
      <c r="A235" s="15"/>
      <c r="B235" s="15"/>
      <c r="C235" s="15"/>
      <c r="D235" s="15"/>
      <c r="E235" s="15"/>
      <c r="F235" s="15"/>
      <c r="G235" s="15"/>
      <c r="H235" s="15"/>
      <c r="I235" s="45"/>
      <c r="J235" s="47"/>
      <c r="K235" s="20"/>
      <c r="L235" s="20"/>
      <c r="M235" s="20"/>
      <c r="N235" s="20"/>
      <c r="O235" s="20"/>
      <c r="P235" s="20"/>
      <c r="Q235" s="20"/>
      <c r="R235" s="20"/>
      <c r="S235" s="20"/>
      <c r="T235" s="20"/>
      <c r="U235" s="20"/>
      <c r="V235" s="20"/>
      <c r="W235" s="20"/>
      <c r="X235" s="20"/>
      <c r="Y235" s="20"/>
      <c r="Z235" s="20"/>
    </row>
    <row r="236" spans="1:26" ht="17.25" customHeight="1">
      <c r="A236" s="15"/>
      <c r="B236" s="15"/>
      <c r="C236" s="15"/>
      <c r="D236" s="15"/>
      <c r="E236" s="15"/>
      <c r="F236" s="15"/>
      <c r="G236" s="15"/>
      <c r="H236" s="15"/>
      <c r="I236" s="45"/>
      <c r="J236" s="47"/>
      <c r="K236" s="20"/>
      <c r="L236" s="20"/>
      <c r="M236" s="20"/>
      <c r="N236" s="20"/>
      <c r="O236" s="20"/>
      <c r="P236" s="20"/>
      <c r="Q236" s="20"/>
      <c r="R236" s="20"/>
      <c r="S236" s="20"/>
      <c r="T236" s="20"/>
      <c r="U236" s="20"/>
      <c r="V236" s="20"/>
      <c r="W236" s="20"/>
      <c r="X236" s="20"/>
      <c r="Y236" s="20"/>
      <c r="Z236" s="20"/>
    </row>
    <row r="237" spans="1:26" ht="17.25" customHeight="1">
      <c r="A237" s="15"/>
      <c r="B237" s="15"/>
      <c r="C237" s="15"/>
      <c r="D237" s="15"/>
      <c r="E237" s="15"/>
      <c r="F237" s="15"/>
      <c r="G237" s="15"/>
      <c r="H237" s="15"/>
      <c r="I237" s="45"/>
      <c r="J237" s="47"/>
      <c r="K237" s="20"/>
      <c r="L237" s="20"/>
      <c r="M237" s="20"/>
      <c r="N237" s="20"/>
      <c r="O237" s="20"/>
      <c r="P237" s="20"/>
      <c r="Q237" s="20"/>
      <c r="R237" s="20"/>
      <c r="S237" s="20"/>
      <c r="T237" s="20"/>
      <c r="U237" s="20"/>
      <c r="V237" s="20"/>
      <c r="W237" s="20"/>
      <c r="X237" s="20"/>
      <c r="Y237" s="20"/>
      <c r="Z237" s="20"/>
    </row>
    <row r="238" spans="1:26" ht="17.25" customHeight="1">
      <c r="A238" s="15"/>
      <c r="B238" s="15"/>
      <c r="C238" s="15"/>
      <c r="D238" s="15"/>
      <c r="E238" s="15"/>
      <c r="F238" s="15"/>
      <c r="G238" s="15"/>
      <c r="H238" s="15"/>
      <c r="I238" s="45"/>
      <c r="J238" s="47"/>
      <c r="K238" s="20"/>
      <c r="L238" s="20"/>
      <c r="M238" s="20"/>
      <c r="N238" s="20"/>
      <c r="O238" s="20"/>
      <c r="P238" s="20"/>
      <c r="Q238" s="20"/>
      <c r="R238" s="20"/>
      <c r="S238" s="20"/>
      <c r="T238" s="20"/>
      <c r="U238" s="20"/>
      <c r="V238" s="20"/>
      <c r="W238" s="20"/>
      <c r="X238" s="20"/>
      <c r="Y238" s="20"/>
      <c r="Z238" s="20"/>
    </row>
    <row r="239" spans="1:26" ht="17.25" customHeight="1">
      <c r="A239" s="15"/>
      <c r="B239" s="15"/>
      <c r="C239" s="15"/>
      <c r="D239" s="15"/>
      <c r="E239" s="15"/>
      <c r="F239" s="15"/>
      <c r="G239" s="15"/>
      <c r="H239" s="15"/>
      <c r="I239" s="45"/>
      <c r="J239" s="47"/>
      <c r="K239" s="20"/>
      <c r="L239" s="20"/>
      <c r="M239" s="20"/>
      <c r="N239" s="20"/>
      <c r="O239" s="20"/>
      <c r="P239" s="20"/>
      <c r="Q239" s="20"/>
      <c r="R239" s="20"/>
      <c r="S239" s="20"/>
      <c r="T239" s="20"/>
      <c r="U239" s="20"/>
      <c r="V239" s="20"/>
      <c r="W239" s="20"/>
      <c r="X239" s="20"/>
      <c r="Y239" s="20"/>
      <c r="Z239" s="20"/>
    </row>
    <row r="240" spans="1:26" ht="17.25" customHeight="1">
      <c r="A240" s="15"/>
      <c r="B240" s="15"/>
      <c r="C240" s="15"/>
      <c r="D240" s="15"/>
      <c r="E240" s="15"/>
      <c r="F240" s="15"/>
      <c r="G240" s="15"/>
      <c r="H240" s="15"/>
      <c r="I240" s="45"/>
      <c r="J240" s="47"/>
      <c r="K240" s="20"/>
      <c r="L240" s="20"/>
      <c r="M240" s="20"/>
      <c r="N240" s="20"/>
      <c r="O240" s="20"/>
      <c r="P240" s="20"/>
      <c r="Q240" s="20"/>
      <c r="R240" s="20"/>
      <c r="S240" s="20"/>
      <c r="T240" s="20"/>
      <c r="U240" s="20"/>
      <c r="V240" s="20"/>
      <c r="W240" s="20"/>
      <c r="X240" s="20"/>
      <c r="Y240" s="20"/>
      <c r="Z240" s="20"/>
    </row>
    <row r="241" spans="1:26" ht="17.25" customHeight="1">
      <c r="A241" s="15"/>
      <c r="B241" s="15"/>
      <c r="C241" s="15"/>
      <c r="D241" s="15"/>
      <c r="E241" s="15"/>
      <c r="F241" s="15"/>
      <c r="G241" s="15"/>
      <c r="H241" s="15"/>
      <c r="I241" s="45"/>
      <c r="J241" s="47"/>
      <c r="K241" s="20"/>
      <c r="L241" s="20"/>
      <c r="M241" s="20"/>
      <c r="N241" s="20"/>
      <c r="O241" s="20"/>
      <c r="P241" s="20"/>
      <c r="Q241" s="20"/>
      <c r="R241" s="20"/>
      <c r="S241" s="20"/>
      <c r="T241" s="20"/>
      <c r="U241" s="20"/>
      <c r="V241" s="20"/>
      <c r="W241" s="20"/>
      <c r="X241" s="20"/>
      <c r="Y241" s="20"/>
      <c r="Z241" s="20"/>
    </row>
    <row r="242" spans="1:26" ht="17.25" customHeight="1">
      <c r="A242" s="15"/>
      <c r="B242" s="15"/>
      <c r="C242" s="15"/>
      <c r="D242" s="15"/>
      <c r="E242" s="15"/>
      <c r="F242" s="15"/>
      <c r="G242" s="15"/>
      <c r="H242" s="15"/>
      <c r="I242" s="45"/>
      <c r="J242" s="47"/>
      <c r="K242" s="20"/>
      <c r="L242" s="20"/>
      <c r="M242" s="20"/>
      <c r="N242" s="20"/>
      <c r="O242" s="20"/>
      <c r="P242" s="20"/>
      <c r="Q242" s="20"/>
      <c r="R242" s="20"/>
      <c r="S242" s="20"/>
      <c r="T242" s="20"/>
      <c r="U242" s="20"/>
      <c r="V242" s="20"/>
      <c r="W242" s="20"/>
      <c r="X242" s="20"/>
      <c r="Y242" s="20"/>
      <c r="Z242" s="20"/>
    </row>
    <row r="243" spans="1:26" ht="17.25" customHeight="1">
      <c r="A243" s="15"/>
      <c r="B243" s="15"/>
      <c r="C243" s="15"/>
      <c r="D243" s="15"/>
      <c r="E243" s="15"/>
      <c r="F243" s="15"/>
      <c r="G243" s="15"/>
      <c r="H243" s="15"/>
      <c r="I243" s="45"/>
      <c r="J243" s="47"/>
      <c r="K243" s="20"/>
      <c r="L243" s="20"/>
      <c r="M243" s="20"/>
      <c r="N243" s="20"/>
      <c r="O243" s="20"/>
      <c r="P243" s="20"/>
      <c r="Q243" s="20"/>
      <c r="R243" s="20"/>
      <c r="S243" s="20"/>
      <c r="T243" s="20"/>
      <c r="U243" s="20"/>
      <c r="V243" s="20"/>
      <c r="W243" s="20"/>
      <c r="X243" s="20"/>
      <c r="Y243" s="20"/>
      <c r="Z243" s="20"/>
    </row>
    <row r="244" spans="1:26" ht="17.25" customHeight="1">
      <c r="A244" s="15"/>
      <c r="B244" s="15"/>
      <c r="C244" s="15"/>
      <c r="D244" s="15"/>
      <c r="E244" s="15"/>
      <c r="F244" s="15"/>
      <c r="G244" s="15"/>
      <c r="H244" s="15"/>
      <c r="I244" s="45"/>
      <c r="J244" s="47"/>
      <c r="K244" s="20"/>
      <c r="L244" s="20"/>
      <c r="M244" s="20"/>
      <c r="N244" s="20"/>
      <c r="O244" s="20"/>
      <c r="P244" s="20"/>
      <c r="Q244" s="20"/>
      <c r="R244" s="20"/>
      <c r="S244" s="20"/>
      <c r="T244" s="20"/>
      <c r="U244" s="20"/>
      <c r="V244" s="20"/>
      <c r="W244" s="20"/>
      <c r="X244" s="20"/>
      <c r="Y244" s="20"/>
      <c r="Z244" s="20"/>
    </row>
    <row r="245" spans="1:26" ht="17.25" customHeight="1">
      <c r="A245" s="15"/>
      <c r="B245" s="15"/>
      <c r="C245" s="15"/>
      <c r="D245" s="15"/>
      <c r="E245" s="15"/>
      <c r="F245" s="15"/>
      <c r="G245" s="15"/>
      <c r="H245" s="15"/>
      <c r="I245" s="45"/>
      <c r="J245" s="47"/>
      <c r="K245" s="20"/>
      <c r="L245" s="20"/>
      <c r="M245" s="20"/>
      <c r="N245" s="20"/>
      <c r="O245" s="20"/>
      <c r="P245" s="20"/>
      <c r="Q245" s="20"/>
      <c r="R245" s="20"/>
      <c r="S245" s="20"/>
      <c r="T245" s="20"/>
      <c r="U245" s="20"/>
      <c r="V245" s="20"/>
      <c r="W245" s="20"/>
      <c r="X245" s="20"/>
      <c r="Y245" s="20"/>
      <c r="Z245" s="20"/>
    </row>
    <row r="246" spans="1:26" ht="17.25" customHeight="1">
      <c r="A246" s="15"/>
      <c r="B246" s="15"/>
      <c r="C246" s="15"/>
      <c r="D246" s="15"/>
      <c r="E246" s="15"/>
      <c r="F246" s="15"/>
      <c r="G246" s="15"/>
      <c r="H246" s="15"/>
      <c r="I246" s="45"/>
      <c r="J246" s="47"/>
      <c r="K246" s="20"/>
      <c r="L246" s="20"/>
      <c r="M246" s="20"/>
      <c r="N246" s="20"/>
      <c r="O246" s="20"/>
      <c r="P246" s="20"/>
      <c r="Q246" s="20"/>
      <c r="R246" s="20"/>
      <c r="S246" s="20"/>
      <c r="T246" s="20"/>
      <c r="U246" s="20"/>
      <c r="V246" s="20"/>
      <c r="W246" s="20"/>
      <c r="X246" s="20"/>
      <c r="Y246" s="20"/>
      <c r="Z246" s="20"/>
    </row>
    <row r="247" spans="1:26" ht="17.25" customHeight="1">
      <c r="A247" s="15"/>
      <c r="B247" s="15"/>
      <c r="C247" s="15"/>
      <c r="D247" s="15"/>
      <c r="E247" s="15"/>
      <c r="F247" s="15"/>
      <c r="G247" s="15"/>
      <c r="H247" s="15"/>
      <c r="I247" s="45"/>
      <c r="J247" s="47"/>
      <c r="K247" s="20"/>
      <c r="L247" s="20"/>
      <c r="M247" s="20"/>
      <c r="N247" s="20"/>
      <c r="O247" s="20"/>
      <c r="P247" s="20"/>
      <c r="Q247" s="20"/>
      <c r="R247" s="20"/>
      <c r="S247" s="20"/>
      <c r="T247" s="20"/>
      <c r="U247" s="20"/>
      <c r="V247" s="20"/>
      <c r="W247" s="20"/>
      <c r="X247" s="20"/>
      <c r="Y247" s="20"/>
      <c r="Z247" s="20"/>
    </row>
    <row r="248" spans="1:26" ht="17.25" customHeight="1">
      <c r="A248" s="15"/>
      <c r="B248" s="15"/>
      <c r="C248" s="15"/>
      <c r="D248" s="15"/>
      <c r="E248" s="15"/>
      <c r="F248" s="15"/>
      <c r="G248" s="15"/>
      <c r="H248" s="15"/>
      <c r="I248" s="45"/>
      <c r="J248" s="47"/>
      <c r="K248" s="20"/>
      <c r="L248" s="20"/>
      <c r="M248" s="20"/>
      <c r="N248" s="20"/>
      <c r="O248" s="20"/>
      <c r="P248" s="20"/>
      <c r="Q248" s="20"/>
      <c r="R248" s="20"/>
      <c r="S248" s="20"/>
      <c r="T248" s="20"/>
      <c r="U248" s="20"/>
      <c r="V248" s="20"/>
      <c r="W248" s="20"/>
      <c r="X248" s="20"/>
      <c r="Y248" s="20"/>
      <c r="Z248" s="20"/>
    </row>
    <row r="249" spans="1:26" ht="17.25" customHeight="1">
      <c r="A249" s="15"/>
      <c r="B249" s="15"/>
      <c r="C249" s="15"/>
      <c r="D249" s="15"/>
      <c r="E249" s="15"/>
      <c r="F249" s="15"/>
      <c r="G249" s="15"/>
      <c r="H249" s="15"/>
      <c r="I249" s="45"/>
      <c r="J249" s="47"/>
      <c r="K249" s="20"/>
      <c r="L249" s="20"/>
      <c r="M249" s="20"/>
      <c r="N249" s="20"/>
      <c r="O249" s="20"/>
      <c r="P249" s="20"/>
      <c r="Q249" s="20"/>
      <c r="R249" s="20"/>
      <c r="S249" s="20"/>
      <c r="T249" s="20"/>
      <c r="U249" s="20"/>
      <c r="V249" s="20"/>
      <c r="W249" s="20"/>
      <c r="X249" s="20"/>
      <c r="Y249" s="20"/>
      <c r="Z249" s="20"/>
    </row>
    <row r="250" spans="1:26" ht="17.25" customHeight="1">
      <c r="A250" s="15"/>
      <c r="B250" s="15"/>
      <c r="C250" s="15"/>
      <c r="D250" s="15"/>
      <c r="E250" s="15"/>
      <c r="F250" s="15"/>
      <c r="G250" s="15"/>
      <c r="H250" s="15"/>
      <c r="I250" s="45"/>
      <c r="J250" s="47"/>
      <c r="K250" s="20"/>
      <c r="L250" s="20"/>
      <c r="M250" s="20"/>
      <c r="N250" s="20"/>
      <c r="O250" s="20"/>
      <c r="P250" s="20"/>
      <c r="Q250" s="20"/>
      <c r="R250" s="20"/>
      <c r="S250" s="20"/>
      <c r="T250" s="20"/>
      <c r="U250" s="20"/>
      <c r="V250" s="20"/>
      <c r="W250" s="20"/>
      <c r="X250" s="20"/>
      <c r="Y250" s="20"/>
      <c r="Z250" s="20"/>
    </row>
    <row r="251" spans="1:26" ht="17.25" customHeight="1">
      <c r="A251" s="15"/>
      <c r="B251" s="15"/>
      <c r="C251" s="15"/>
      <c r="D251" s="15"/>
      <c r="E251" s="15"/>
      <c r="F251" s="15"/>
      <c r="G251" s="15"/>
      <c r="H251" s="15"/>
      <c r="I251" s="45"/>
      <c r="J251" s="47"/>
      <c r="K251" s="20"/>
      <c r="L251" s="20"/>
      <c r="M251" s="20"/>
      <c r="N251" s="20"/>
      <c r="O251" s="20"/>
      <c r="P251" s="20"/>
      <c r="Q251" s="20"/>
      <c r="R251" s="20"/>
      <c r="S251" s="20"/>
      <c r="T251" s="20"/>
      <c r="U251" s="20"/>
      <c r="V251" s="20"/>
      <c r="W251" s="20"/>
      <c r="X251" s="20"/>
      <c r="Y251" s="20"/>
      <c r="Z251" s="20"/>
    </row>
    <row r="252" spans="1:26" ht="17.25" customHeight="1">
      <c r="A252" s="15"/>
      <c r="B252" s="15"/>
      <c r="C252" s="15"/>
      <c r="D252" s="15"/>
      <c r="E252" s="15"/>
      <c r="F252" s="15"/>
      <c r="G252" s="15"/>
      <c r="H252" s="15"/>
      <c r="I252" s="45"/>
      <c r="J252" s="47"/>
      <c r="K252" s="20"/>
      <c r="L252" s="20"/>
      <c r="M252" s="20"/>
      <c r="N252" s="20"/>
      <c r="O252" s="20"/>
      <c r="P252" s="20"/>
      <c r="Q252" s="20"/>
      <c r="R252" s="20"/>
      <c r="S252" s="20"/>
      <c r="T252" s="20"/>
      <c r="U252" s="20"/>
      <c r="V252" s="20"/>
      <c r="W252" s="20"/>
      <c r="X252" s="20"/>
      <c r="Y252" s="20"/>
      <c r="Z252" s="20"/>
    </row>
    <row r="253" spans="1:26" ht="17.25" customHeight="1">
      <c r="A253" s="15"/>
      <c r="B253" s="15"/>
      <c r="C253" s="15"/>
      <c r="D253" s="15"/>
      <c r="E253" s="15"/>
      <c r="F253" s="15"/>
      <c r="G253" s="15"/>
      <c r="H253" s="15"/>
      <c r="I253" s="45"/>
      <c r="J253" s="47"/>
      <c r="K253" s="20"/>
      <c r="L253" s="20"/>
      <c r="M253" s="20"/>
      <c r="N253" s="20"/>
      <c r="O253" s="20"/>
      <c r="P253" s="20"/>
      <c r="Q253" s="20"/>
      <c r="R253" s="20"/>
      <c r="S253" s="20"/>
      <c r="T253" s="20"/>
      <c r="U253" s="20"/>
      <c r="V253" s="20"/>
      <c r="W253" s="20"/>
      <c r="X253" s="20"/>
      <c r="Y253" s="20"/>
      <c r="Z253" s="20"/>
    </row>
    <row r="254" spans="1:26" ht="17.25" customHeight="1">
      <c r="A254" s="15"/>
      <c r="B254" s="15"/>
      <c r="C254" s="15"/>
      <c r="D254" s="15"/>
      <c r="E254" s="15"/>
      <c r="F254" s="15"/>
      <c r="G254" s="15"/>
      <c r="H254" s="15"/>
      <c r="I254" s="45"/>
      <c r="J254" s="47"/>
      <c r="K254" s="20"/>
      <c r="L254" s="20"/>
      <c r="M254" s="20"/>
      <c r="N254" s="20"/>
      <c r="O254" s="20"/>
      <c r="P254" s="20"/>
      <c r="Q254" s="20"/>
      <c r="R254" s="20"/>
      <c r="S254" s="20"/>
      <c r="T254" s="20"/>
      <c r="U254" s="20"/>
      <c r="V254" s="20"/>
      <c r="W254" s="20"/>
      <c r="X254" s="20"/>
      <c r="Y254" s="20"/>
      <c r="Z254" s="20"/>
    </row>
    <row r="255" spans="1:26" ht="17.25" customHeight="1">
      <c r="A255" s="15"/>
      <c r="B255" s="15"/>
      <c r="C255" s="15"/>
      <c r="D255" s="15"/>
      <c r="E255" s="15"/>
      <c r="F255" s="15"/>
      <c r="G255" s="15"/>
      <c r="H255" s="15"/>
      <c r="I255" s="45"/>
      <c r="J255" s="47"/>
      <c r="K255" s="20"/>
      <c r="L255" s="20"/>
      <c r="M255" s="20"/>
      <c r="N255" s="20"/>
      <c r="O255" s="20"/>
      <c r="P255" s="20"/>
      <c r="Q255" s="20"/>
      <c r="R255" s="20"/>
      <c r="S255" s="20"/>
      <c r="T255" s="20"/>
      <c r="U255" s="20"/>
      <c r="V255" s="20"/>
      <c r="W255" s="20"/>
      <c r="X255" s="20"/>
      <c r="Y255" s="20"/>
      <c r="Z255" s="20"/>
    </row>
    <row r="256" spans="1:26" ht="17.25" customHeight="1">
      <c r="A256" s="15"/>
      <c r="B256" s="15"/>
      <c r="C256" s="15"/>
      <c r="D256" s="15"/>
      <c r="E256" s="15"/>
      <c r="F256" s="15"/>
      <c r="G256" s="15"/>
      <c r="H256" s="15"/>
      <c r="I256" s="45"/>
      <c r="J256" s="47"/>
      <c r="K256" s="20"/>
      <c r="L256" s="20"/>
      <c r="M256" s="20"/>
      <c r="N256" s="20"/>
      <c r="O256" s="20"/>
      <c r="P256" s="20"/>
      <c r="Q256" s="20"/>
      <c r="R256" s="20"/>
      <c r="S256" s="20"/>
      <c r="T256" s="20"/>
      <c r="U256" s="20"/>
      <c r="V256" s="20"/>
      <c r="W256" s="20"/>
      <c r="X256" s="20"/>
      <c r="Y256" s="20"/>
      <c r="Z256" s="20"/>
    </row>
    <row r="257" spans="1:26" ht="17.25" customHeight="1">
      <c r="A257" s="15"/>
      <c r="B257" s="15"/>
      <c r="C257" s="15"/>
      <c r="D257" s="15"/>
      <c r="E257" s="15"/>
      <c r="F257" s="15"/>
      <c r="G257" s="15"/>
      <c r="H257" s="15"/>
      <c r="I257" s="45"/>
      <c r="J257" s="47"/>
      <c r="K257" s="20"/>
      <c r="L257" s="20"/>
      <c r="M257" s="20"/>
      <c r="N257" s="20"/>
      <c r="O257" s="20"/>
      <c r="P257" s="20"/>
      <c r="Q257" s="20"/>
      <c r="R257" s="20"/>
      <c r="S257" s="20"/>
      <c r="T257" s="20"/>
      <c r="U257" s="20"/>
      <c r="V257" s="20"/>
      <c r="W257" s="20"/>
      <c r="X257" s="20"/>
      <c r="Y257" s="20"/>
      <c r="Z257" s="20"/>
    </row>
    <row r="258" spans="1:26" ht="17.25" customHeight="1">
      <c r="A258" s="15"/>
      <c r="B258" s="15"/>
      <c r="C258" s="15"/>
      <c r="D258" s="15"/>
      <c r="E258" s="15"/>
      <c r="F258" s="15"/>
      <c r="G258" s="15"/>
      <c r="H258" s="15"/>
      <c r="I258" s="45"/>
      <c r="J258" s="47"/>
      <c r="K258" s="20"/>
      <c r="L258" s="20"/>
      <c r="M258" s="20"/>
      <c r="N258" s="20"/>
      <c r="O258" s="20"/>
      <c r="P258" s="20"/>
      <c r="Q258" s="20"/>
      <c r="R258" s="20"/>
      <c r="S258" s="20"/>
      <c r="T258" s="20"/>
      <c r="U258" s="20"/>
      <c r="V258" s="20"/>
      <c r="W258" s="20"/>
      <c r="X258" s="20"/>
      <c r="Y258" s="20"/>
      <c r="Z258" s="20"/>
    </row>
    <row r="259" spans="1:26" ht="17.25" customHeight="1">
      <c r="A259" s="15"/>
      <c r="B259" s="15"/>
      <c r="C259" s="15"/>
      <c r="D259" s="15"/>
      <c r="E259" s="15"/>
      <c r="F259" s="15"/>
      <c r="G259" s="15"/>
      <c r="H259" s="15"/>
      <c r="I259" s="45"/>
      <c r="J259" s="47"/>
      <c r="K259" s="20"/>
      <c r="L259" s="20"/>
      <c r="M259" s="20"/>
      <c r="N259" s="20"/>
      <c r="O259" s="20"/>
      <c r="P259" s="20"/>
      <c r="Q259" s="20"/>
      <c r="R259" s="20"/>
      <c r="S259" s="20"/>
      <c r="T259" s="20"/>
      <c r="U259" s="20"/>
      <c r="V259" s="20"/>
      <c r="W259" s="20"/>
      <c r="X259" s="20"/>
      <c r="Y259" s="20"/>
      <c r="Z259" s="20"/>
    </row>
    <row r="260" spans="1:26" ht="17.25" customHeight="1">
      <c r="A260" s="15"/>
      <c r="B260" s="15"/>
      <c r="C260" s="15"/>
      <c r="D260" s="15"/>
      <c r="E260" s="15"/>
      <c r="F260" s="15"/>
      <c r="G260" s="15"/>
      <c r="H260" s="15"/>
      <c r="I260" s="45"/>
      <c r="J260" s="47"/>
      <c r="K260" s="20"/>
      <c r="L260" s="20"/>
      <c r="M260" s="20"/>
      <c r="N260" s="20"/>
      <c r="O260" s="20"/>
      <c r="P260" s="20"/>
      <c r="Q260" s="20"/>
      <c r="R260" s="20"/>
      <c r="S260" s="20"/>
      <c r="T260" s="20"/>
      <c r="U260" s="20"/>
      <c r="V260" s="20"/>
      <c r="W260" s="20"/>
      <c r="X260" s="20"/>
      <c r="Y260" s="20"/>
      <c r="Z260" s="20"/>
    </row>
    <row r="261" spans="1:26" ht="17.25" customHeight="1">
      <c r="A261" s="15"/>
      <c r="B261" s="15"/>
      <c r="C261" s="15"/>
      <c r="D261" s="15"/>
      <c r="E261" s="15"/>
      <c r="F261" s="15"/>
      <c r="G261" s="15"/>
      <c r="H261" s="15"/>
      <c r="I261" s="45"/>
      <c r="J261" s="47"/>
      <c r="K261" s="20"/>
      <c r="L261" s="20"/>
      <c r="M261" s="20"/>
      <c r="N261" s="20"/>
      <c r="O261" s="20"/>
      <c r="P261" s="20"/>
      <c r="Q261" s="20"/>
      <c r="R261" s="20"/>
      <c r="S261" s="20"/>
      <c r="T261" s="20"/>
      <c r="U261" s="20"/>
      <c r="V261" s="20"/>
      <c r="W261" s="20"/>
      <c r="X261" s="20"/>
      <c r="Y261" s="20"/>
      <c r="Z261" s="20"/>
    </row>
    <row r="262" spans="1:26" ht="17.25" customHeight="1">
      <c r="A262" s="15"/>
      <c r="B262" s="15"/>
      <c r="C262" s="15"/>
      <c r="D262" s="15"/>
      <c r="E262" s="15"/>
      <c r="F262" s="15"/>
      <c r="G262" s="15"/>
      <c r="H262" s="15"/>
      <c r="I262" s="45"/>
      <c r="J262" s="47"/>
      <c r="K262" s="20"/>
      <c r="L262" s="20"/>
      <c r="M262" s="20"/>
      <c r="N262" s="20"/>
      <c r="O262" s="20"/>
      <c r="P262" s="20"/>
      <c r="Q262" s="20"/>
      <c r="R262" s="20"/>
      <c r="S262" s="20"/>
      <c r="T262" s="20"/>
      <c r="U262" s="20"/>
      <c r="V262" s="20"/>
      <c r="W262" s="20"/>
      <c r="X262" s="20"/>
      <c r="Y262" s="20"/>
      <c r="Z262" s="20"/>
    </row>
    <row r="263" spans="1:26" ht="17.25" customHeight="1">
      <c r="A263" s="15"/>
      <c r="B263" s="15"/>
      <c r="C263" s="15"/>
      <c r="D263" s="15"/>
      <c r="E263" s="15"/>
      <c r="F263" s="15"/>
      <c r="G263" s="15"/>
      <c r="H263" s="15"/>
      <c r="I263" s="45"/>
      <c r="J263" s="47"/>
      <c r="K263" s="20"/>
      <c r="L263" s="20"/>
      <c r="M263" s="20"/>
      <c r="N263" s="20"/>
      <c r="O263" s="20"/>
      <c r="P263" s="20"/>
      <c r="Q263" s="20"/>
      <c r="R263" s="20"/>
      <c r="S263" s="20"/>
      <c r="T263" s="20"/>
      <c r="U263" s="20"/>
      <c r="V263" s="20"/>
      <c r="W263" s="20"/>
      <c r="X263" s="20"/>
      <c r="Y263" s="20"/>
      <c r="Z263" s="20"/>
    </row>
    <row r="264" spans="1:26" ht="17.25" customHeight="1">
      <c r="A264" s="15"/>
      <c r="B264" s="15"/>
      <c r="C264" s="15"/>
      <c r="D264" s="15"/>
      <c r="E264" s="15"/>
      <c r="F264" s="15"/>
      <c r="G264" s="15"/>
      <c r="H264" s="15"/>
      <c r="I264" s="45"/>
      <c r="J264" s="47"/>
      <c r="K264" s="20"/>
      <c r="L264" s="20"/>
      <c r="M264" s="20"/>
      <c r="N264" s="20"/>
      <c r="O264" s="20"/>
      <c r="P264" s="20"/>
      <c r="Q264" s="20"/>
      <c r="R264" s="20"/>
      <c r="S264" s="20"/>
      <c r="T264" s="20"/>
      <c r="U264" s="20"/>
      <c r="V264" s="20"/>
      <c r="W264" s="20"/>
      <c r="X264" s="20"/>
      <c r="Y264" s="20"/>
      <c r="Z264" s="20"/>
    </row>
    <row r="265" spans="1:26" ht="17.25" customHeight="1">
      <c r="A265" s="15"/>
      <c r="B265" s="15"/>
      <c r="C265" s="15"/>
      <c r="D265" s="15"/>
      <c r="E265" s="15"/>
      <c r="F265" s="15"/>
      <c r="G265" s="15"/>
      <c r="H265" s="15"/>
      <c r="I265" s="45"/>
      <c r="J265" s="47"/>
      <c r="K265" s="20"/>
      <c r="L265" s="20"/>
      <c r="M265" s="20"/>
      <c r="N265" s="20"/>
      <c r="O265" s="20"/>
      <c r="P265" s="20"/>
      <c r="Q265" s="20"/>
      <c r="R265" s="20"/>
      <c r="S265" s="20"/>
      <c r="T265" s="20"/>
      <c r="U265" s="20"/>
      <c r="V265" s="20"/>
      <c r="W265" s="20"/>
      <c r="X265" s="20"/>
      <c r="Y265" s="20"/>
      <c r="Z265" s="20"/>
    </row>
    <row r="266" spans="1:26" ht="17.25" customHeight="1">
      <c r="A266" s="15"/>
      <c r="B266" s="15"/>
      <c r="C266" s="15"/>
      <c r="D266" s="15"/>
      <c r="E266" s="15"/>
      <c r="F266" s="15"/>
      <c r="G266" s="15"/>
      <c r="H266" s="15"/>
      <c r="I266" s="45"/>
      <c r="J266" s="47"/>
      <c r="K266" s="20"/>
      <c r="L266" s="20"/>
      <c r="M266" s="20"/>
      <c r="N266" s="20"/>
      <c r="O266" s="20"/>
      <c r="P266" s="20"/>
      <c r="Q266" s="20"/>
      <c r="R266" s="20"/>
      <c r="S266" s="20"/>
      <c r="T266" s="20"/>
      <c r="U266" s="20"/>
      <c r="V266" s="20"/>
      <c r="W266" s="20"/>
      <c r="X266" s="20"/>
      <c r="Y266" s="20"/>
      <c r="Z266" s="20"/>
    </row>
    <row r="267" spans="1:26" ht="17.25" customHeight="1">
      <c r="A267" s="15"/>
      <c r="B267" s="15"/>
      <c r="C267" s="15"/>
      <c r="D267" s="15"/>
      <c r="E267" s="15"/>
      <c r="F267" s="15"/>
      <c r="G267" s="15"/>
      <c r="H267" s="15"/>
      <c r="I267" s="45"/>
      <c r="J267" s="47"/>
      <c r="K267" s="20"/>
      <c r="L267" s="20"/>
      <c r="M267" s="20"/>
      <c r="N267" s="20"/>
      <c r="O267" s="20"/>
      <c r="P267" s="20"/>
      <c r="Q267" s="20"/>
      <c r="R267" s="20"/>
      <c r="S267" s="20"/>
      <c r="T267" s="20"/>
      <c r="U267" s="20"/>
      <c r="V267" s="20"/>
      <c r="W267" s="20"/>
      <c r="X267" s="20"/>
      <c r="Y267" s="20"/>
      <c r="Z267" s="20"/>
    </row>
    <row r="268" spans="1:26" ht="17.25" customHeight="1">
      <c r="A268" s="15"/>
      <c r="B268" s="15"/>
      <c r="C268" s="15"/>
      <c r="D268" s="15"/>
      <c r="E268" s="15"/>
      <c r="F268" s="15"/>
      <c r="G268" s="15"/>
      <c r="H268" s="15"/>
      <c r="I268" s="45"/>
      <c r="J268" s="47"/>
      <c r="K268" s="20"/>
      <c r="L268" s="20"/>
      <c r="M268" s="20"/>
      <c r="N268" s="20"/>
      <c r="O268" s="20"/>
      <c r="P268" s="20"/>
      <c r="Q268" s="20"/>
      <c r="R268" s="20"/>
      <c r="S268" s="20"/>
      <c r="T268" s="20"/>
      <c r="U268" s="20"/>
      <c r="V268" s="20"/>
      <c r="W268" s="20"/>
      <c r="X268" s="20"/>
      <c r="Y268" s="20"/>
      <c r="Z268" s="20"/>
    </row>
    <row r="269" spans="1:26" ht="17.25" customHeight="1">
      <c r="A269" s="15"/>
      <c r="B269" s="15"/>
      <c r="C269" s="15"/>
      <c r="D269" s="15"/>
      <c r="E269" s="15"/>
      <c r="F269" s="15"/>
      <c r="G269" s="15"/>
      <c r="H269" s="15"/>
      <c r="I269" s="45"/>
      <c r="J269" s="47"/>
      <c r="K269" s="20"/>
      <c r="L269" s="20"/>
      <c r="M269" s="20"/>
      <c r="N269" s="20"/>
      <c r="O269" s="20"/>
      <c r="P269" s="20"/>
      <c r="Q269" s="20"/>
      <c r="R269" s="20"/>
      <c r="S269" s="20"/>
      <c r="T269" s="20"/>
      <c r="U269" s="20"/>
      <c r="V269" s="20"/>
      <c r="W269" s="20"/>
      <c r="X269" s="20"/>
      <c r="Y269" s="20"/>
      <c r="Z269" s="20"/>
    </row>
    <row r="270" spans="1:26" ht="17.25" customHeight="1">
      <c r="A270" s="15"/>
      <c r="B270" s="15"/>
      <c r="C270" s="15"/>
      <c r="D270" s="15"/>
      <c r="E270" s="15"/>
      <c r="F270" s="15"/>
      <c r="G270" s="15"/>
      <c r="H270" s="15"/>
      <c r="I270" s="45"/>
      <c r="J270" s="47"/>
      <c r="K270" s="20"/>
      <c r="L270" s="20"/>
      <c r="M270" s="20"/>
      <c r="N270" s="20"/>
      <c r="O270" s="20"/>
      <c r="P270" s="20"/>
      <c r="Q270" s="20"/>
      <c r="R270" s="20"/>
      <c r="S270" s="20"/>
      <c r="T270" s="20"/>
      <c r="U270" s="20"/>
      <c r="V270" s="20"/>
      <c r="W270" s="20"/>
      <c r="X270" s="20"/>
      <c r="Y270" s="20"/>
      <c r="Z270" s="20"/>
    </row>
    <row r="271" spans="1:26" ht="17.25" customHeight="1">
      <c r="A271" s="15"/>
      <c r="B271" s="15"/>
      <c r="C271" s="15"/>
      <c r="D271" s="15"/>
      <c r="E271" s="15"/>
      <c r="F271" s="15"/>
      <c r="G271" s="15"/>
      <c r="H271" s="15"/>
      <c r="I271" s="45"/>
      <c r="J271" s="47"/>
      <c r="K271" s="20"/>
      <c r="L271" s="20"/>
      <c r="M271" s="20"/>
      <c r="N271" s="20"/>
      <c r="O271" s="20"/>
      <c r="P271" s="20"/>
      <c r="Q271" s="20"/>
      <c r="R271" s="20"/>
      <c r="S271" s="20"/>
      <c r="T271" s="20"/>
      <c r="U271" s="20"/>
      <c r="V271" s="20"/>
      <c r="W271" s="20"/>
      <c r="X271" s="20"/>
      <c r="Y271" s="20"/>
      <c r="Z271" s="20"/>
    </row>
    <row r="272" spans="1:26" ht="17.25" customHeight="1">
      <c r="A272" s="15"/>
      <c r="B272" s="15"/>
      <c r="C272" s="15"/>
      <c r="D272" s="15"/>
      <c r="E272" s="15"/>
      <c r="F272" s="15"/>
      <c r="G272" s="15"/>
      <c r="H272" s="15"/>
      <c r="I272" s="45"/>
      <c r="J272" s="47"/>
      <c r="K272" s="20"/>
      <c r="L272" s="20"/>
      <c r="M272" s="20"/>
      <c r="N272" s="20"/>
      <c r="O272" s="20"/>
      <c r="P272" s="20"/>
      <c r="Q272" s="20"/>
      <c r="R272" s="20"/>
      <c r="S272" s="20"/>
      <c r="T272" s="20"/>
      <c r="U272" s="20"/>
      <c r="V272" s="20"/>
      <c r="W272" s="20"/>
      <c r="X272" s="20"/>
      <c r="Y272" s="20"/>
      <c r="Z272" s="20"/>
    </row>
    <row r="273" spans="1:26" ht="17.25" customHeight="1">
      <c r="A273" s="15"/>
      <c r="B273" s="15"/>
      <c r="C273" s="15"/>
      <c r="D273" s="15"/>
      <c r="E273" s="15"/>
      <c r="F273" s="15"/>
      <c r="G273" s="15"/>
      <c r="H273" s="15"/>
      <c r="I273" s="45"/>
      <c r="J273" s="47"/>
      <c r="K273" s="20"/>
      <c r="L273" s="20"/>
      <c r="M273" s="20"/>
      <c r="N273" s="20"/>
      <c r="O273" s="20"/>
      <c r="P273" s="20"/>
      <c r="Q273" s="20"/>
      <c r="R273" s="20"/>
      <c r="S273" s="20"/>
      <c r="T273" s="20"/>
      <c r="U273" s="20"/>
      <c r="V273" s="20"/>
      <c r="W273" s="20"/>
      <c r="X273" s="20"/>
      <c r="Y273" s="20"/>
      <c r="Z273" s="20"/>
    </row>
    <row r="274" spans="1:26" ht="17.25" customHeight="1">
      <c r="A274" s="15"/>
      <c r="B274" s="15"/>
      <c r="C274" s="15"/>
      <c r="D274" s="15"/>
      <c r="E274" s="15"/>
      <c r="F274" s="15"/>
      <c r="G274" s="15"/>
      <c r="H274" s="15"/>
      <c r="I274" s="45"/>
      <c r="J274" s="47"/>
      <c r="K274" s="20"/>
      <c r="L274" s="20"/>
      <c r="M274" s="20"/>
      <c r="N274" s="20"/>
      <c r="O274" s="20"/>
      <c r="P274" s="20"/>
      <c r="Q274" s="20"/>
      <c r="R274" s="20"/>
      <c r="S274" s="20"/>
      <c r="T274" s="20"/>
      <c r="U274" s="20"/>
      <c r="V274" s="20"/>
      <c r="W274" s="20"/>
      <c r="X274" s="20"/>
      <c r="Y274" s="20"/>
      <c r="Z274" s="20"/>
    </row>
    <row r="275" spans="1:26" ht="17.25" customHeight="1">
      <c r="A275" s="15"/>
      <c r="B275" s="15"/>
      <c r="C275" s="15"/>
      <c r="D275" s="15"/>
      <c r="E275" s="15"/>
      <c r="F275" s="15"/>
      <c r="G275" s="15"/>
      <c r="H275" s="15"/>
      <c r="I275" s="45"/>
      <c r="J275" s="47"/>
      <c r="K275" s="20"/>
      <c r="L275" s="20"/>
      <c r="M275" s="20"/>
      <c r="N275" s="20"/>
      <c r="O275" s="20"/>
      <c r="P275" s="20"/>
      <c r="Q275" s="20"/>
      <c r="R275" s="20"/>
      <c r="S275" s="20"/>
      <c r="T275" s="20"/>
      <c r="U275" s="20"/>
      <c r="V275" s="20"/>
      <c r="W275" s="20"/>
      <c r="X275" s="20"/>
      <c r="Y275" s="20"/>
      <c r="Z275" s="20"/>
    </row>
    <row r="276" spans="1:26" ht="17.25" customHeight="1">
      <c r="A276" s="15"/>
      <c r="B276" s="15"/>
      <c r="C276" s="15"/>
      <c r="D276" s="15"/>
      <c r="E276" s="15"/>
      <c r="F276" s="15"/>
      <c r="G276" s="15"/>
      <c r="H276" s="15"/>
      <c r="I276" s="45"/>
      <c r="J276" s="47"/>
      <c r="K276" s="20"/>
      <c r="L276" s="20"/>
      <c r="M276" s="20"/>
      <c r="N276" s="20"/>
      <c r="O276" s="20"/>
      <c r="P276" s="20"/>
      <c r="Q276" s="20"/>
      <c r="R276" s="20"/>
      <c r="S276" s="20"/>
      <c r="T276" s="20"/>
      <c r="U276" s="20"/>
      <c r="V276" s="20"/>
      <c r="W276" s="20"/>
      <c r="X276" s="20"/>
      <c r="Y276" s="20"/>
      <c r="Z276" s="20"/>
    </row>
    <row r="277" spans="1:26" ht="17.25" customHeight="1">
      <c r="A277" s="15"/>
      <c r="B277" s="15"/>
      <c r="C277" s="15"/>
      <c r="D277" s="15"/>
      <c r="E277" s="15"/>
      <c r="F277" s="15"/>
      <c r="G277" s="15"/>
      <c r="H277" s="15"/>
      <c r="I277" s="45"/>
      <c r="J277" s="47"/>
      <c r="K277" s="20"/>
      <c r="L277" s="20"/>
      <c r="M277" s="20"/>
      <c r="N277" s="20"/>
      <c r="O277" s="20"/>
      <c r="P277" s="20"/>
      <c r="Q277" s="20"/>
      <c r="R277" s="20"/>
      <c r="S277" s="20"/>
      <c r="T277" s="20"/>
      <c r="U277" s="20"/>
      <c r="V277" s="20"/>
      <c r="W277" s="20"/>
      <c r="X277" s="20"/>
      <c r="Y277" s="20"/>
      <c r="Z277" s="20"/>
    </row>
    <row r="278" spans="1:26" ht="17.25" customHeight="1">
      <c r="A278" s="15"/>
      <c r="B278" s="15"/>
      <c r="C278" s="15"/>
      <c r="D278" s="15"/>
      <c r="E278" s="15"/>
      <c r="F278" s="15"/>
      <c r="G278" s="15"/>
      <c r="H278" s="15"/>
      <c r="I278" s="45"/>
      <c r="J278" s="47"/>
      <c r="K278" s="20"/>
      <c r="L278" s="20"/>
      <c r="M278" s="20"/>
      <c r="N278" s="20"/>
      <c r="O278" s="20"/>
      <c r="P278" s="20"/>
      <c r="Q278" s="20"/>
      <c r="R278" s="20"/>
      <c r="S278" s="20"/>
      <c r="T278" s="20"/>
      <c r="U278" s="20"/>
      <c r="V278" s="20"/>
      <c r="W278" s="20"/>
      <c r="X278" s="20"/>
      <c r="Y278" s="20"/>
      <c r="Z278" s="20"/>
    </row>
    <row r="279" spans="1:26" ht="17.25" customHeight="1">
      <c r="A279" s="15"/>
      <c r="B279" s="15"/>
      <c r="C279" s="15"/>
      <c r="D279" s="15"/>
      <c r="E279" s="15"/>
      <c r="F279" s="15"/>
      <c r="G279" s="15"/>
      <c r="H279" s="15"/>
      <c r="I279" s="45"/>
      <c r="J279" s="47"/>
      <c r="K279" s="20"/>
      <c r="L279" s="20"/>
      <c r="M279" s="20"/>
      <c r="N279" s="20"/>
      <c r="O279" s="20"/>
      <c r="P279" s="20"/>
      <c r="Q279" s="20"/>
      <c r="R279" s="20"/>
      <c r="S279" s="20"/>
      <c r="T279" s="20"/>
      <c r="U279" s="20"/>
      <c r="V279" s="20"/>
      <c r="W279" s="20"/>
      <c r="X279" s="20"/>
      <c r="Y279" s="20"/>
      <c r="Z279" s="20"/>
    </row>
    <row r="280" spans="1:26" ht="17.25" customHeight="1">
      <c r="A280" s="15"/>
      <c r="B280" s="15"/>
      <c r="C280" s="15"/>
      <c r="D280" s="15"/>
      <c r="E280" s="15"/>
      <c r="F280" s="15"/>
      <c r="G280" s="15"/>
      <c r="H280" s="15"/>
      <c r="I280" s="45"/>
      <c r="J280" s="47"/>
      <c r="K280" s="20"/>
      <c r="L280" s="20"/>
      <c r="M280" s="20"/>
      <c r="N280" s="20"/>
      <c r="O280" s="20"/>
      <c r="P280" s="20"/>
      <c r="Q280" s="20"/>
      <c r="R280" s="20"/>
      <c r="S280" s="20"/>
      <c r="T280" s="20"/>
      <c r="U280" s="20"/>
      <c r="V280" s="20"/>
      <c r="W280" s="20"/>
      <c r="X280" s="20"/>
      <c r="Y280" s="20"/>
      <c r="Z280" s="20"/>
    </row>
    <row r="281" spans="1:26" ht="17.25" customHeight="1">
      <c r="A281" s="15"/>
      <c r="B281" s="15"/>
      <c r="C281" s="15"/>
      <c r="D281" s="15"/>
      <c r="E281" s="15"/>
      <c r="F281" s="15"/>
      <c r="G281" s="15"/>
      <c r="H281" s="15"/>
      <c r="I281" s="45"/>
      <c r="J281" s="47"/>
      <c r="K281" s="20"/>
      <c r="L281" s="20"/>
      <c r="M281" s="20"/>
      <c r="N281" s="20"/>
      <c r="O281" s="20"/>
      <c r="P281" s="20"/>
      <c r="Q281" s="20"/>
      <c r="R281" s="20"/>
      <c r="S281" s="20"/>
      <c r="T281" s="20"/>
      <c r="U281" s="20"/>
      <c r="V281" s="20"/>
      <c r="W281" s="20"/>
      <c r="X281" s="20"/>
      <c r="Y281" s="20"/>
      <c r="Z281" s="20"/>
    </row>
    <row r="282" spans="1:26" ht="17.25" customHeight="1">
      <c r="A282" s="15"/>
      <c r="B282" s="15"/>
      <c r="C282" s="15"/>
      <c r="D282" s="15"/>
      <c r="E282" s="15"/>
      <c r="F282" s="15"/>
      <c r="G282" s="15"/>
      <c r="H282" s="15"/>
      <c r="I282" s="45"/>
      <c r="J282" s="47"/>
      <c r="K282" s="20"/>
      <c r="L282" s="20"/>
      <c r="M282" s="20"/>
      <c r="N282" s="20"/>
      <c r="O282" s="20"/>
      <c r="P282" s="20"/>
      <c r="Q282" s="20"/>
      <c r="R282" s="20"/>
      <c r="S282" s="20"/>
      <c r="T282" s="20"/>
      <c r="U282" s="20"/>
      <c r="V282" s="20"/>
      <c r="W282" s="20"/>
      <c r="X282" s="20"/>
      <c r="Y282" s="20"/>
      <c r="Z282" s="20"/>
    </row>
    <row r="283" spans="1:26" ht="17.25" customHeight="1">
      <c r="A283" s="15"/>
      <c r="B283" s="15"/>
      <c r="C283" s="15"/>
      <c r="D283" s="15"/>
      <c r="E283" s="15"/>
      <c r="F283" s="15"/>
      <c r="G283" s="15"/>
      <c r="H283" s="15"/>
      <c r="I283" s="45"/>
      <c r="J283" s="47"/>
      <c r="K283" s="20"/>
      <c r="L283" s="20"/>
      <c r="M283" s="20"/>
      <c r="N283" s="20"/>
      <c r="O283" s="20"/>
      <c r="P283" s="20"/>
      <c r="Q283" s="20"/>
      <c r="R283" s="20"/>
      <c r="S283" s="20"/>
      <c r="T283" s="20"/>
      <c r="U283" s="20"/>
      <c r="V283" s="20"/>
      <c r="W283" s="20"/>
      <c r="X283" s="20"/>
      <c r="Y283" s="20"/>
      <c r="Z283" s="20"/>
    </row>
    <row r="284" spans="1:26" ht="17.25" customHeight="1">
      <c r="A284" s="15"/>
      <c r="B284" s="15"/>
      <c r="C284" s="15"/>
      <c r="D284" s="15"/>
      <c r="E284" s="15"/>
      <c r="F284" s="15"/>
      <c r="G284" s="15"/>
      <c r="H284" s="15"/>
      <c r="I284" s="45"/>
      <c r="J284" s="47"/>
      <c r="K284" s="20"/>
      <c r="L284" s="20"/>
      <c r="M284" s="20"/>
      <c r="N284" s="20"/>
      <c r="O284" s="20"/>
      <c r="P284" s="20"/>
      <c r="Q284" s="20"/>
      <c r="R284" s="20"/>
      <c r="S284" s="20"/>
      <c r="T284" s="20"/>
      <c r="U284" s="20"/>
      <c r="V284" s="20"/>
      <c r="W284" s="20"/>
      <c r="X284" s="20"/>
      <c r="Y284" s="20"/>
      <c r="Z284" s="20"/>
    </row>
    <row r="285" spans="1:26" ht="17.25" customHeight="1">
      <c r="A285" s="15"/>
      <c r="B285" s="15"/>
      <c r="C285" s="15"/>
      <c r="D285" s="15"/>
      <c r="E285" s="15"/>
      <c r="F285" s="15"/>
      <c r="G285" s="15"/>
      <c r="H285" s="15"/>
      <c r="I285" s="45"/>
      <c r="J285" s="47"/>
      <c r="K285" s="20"/>
      <c r="L285" s="20"/>
      <c r="M285" s="20"/>
      <c r="N285" s="20"/>
      <c r="O285" s="20"/>
      <c r="P285" s="20"/>
      <c r="Q285" s="20"/>
      <c r="R285" s="20"/>
      <c r="S285" s="20"/>
      <c r="T285" s="20"/>
      <c r="U285" s="20"/>
      <c r="V285" s="20"/>
      <c r="W285" s="20"/>
      <c r="X285" s="20"/>
      <c r="Y285" s="20"/>
      <c r="Z285" s="20"/>
    </row>
    <row r="286" spans="1:26" ht="17.25" customHeight="1">
      <c r="A286" s="15"/>
      <c r="B286" s="15"/>
      <c r="C286" s="15"/>
      <c r="D286" s="15"/>
      <c r="E286" s="15"/>
      <c r="F286" s="15"/>
      <c r="G286" s="15"/>
      <c r="H286" s="15"/>
      <c r="I286" s="45"/>
      <c r="J286" s="47"/>
      <c r="K286" s="20"/>
      <c r="L286" s="20"/>
      <c r="M286" s="20"/>
      <c r="N286" s="20"/>
      <c r="O286" s="20"/>
      <c r="P286" s="20"/>
      <c r="Q286" s="20"/>
      <c r="R286" s="20"/>
      <c r="S286" s="20"/>
      <c r="T286" s="20"/>
      <c r="U286" s="20"/>
      <c r="V286" s="20"/>
      <c r="W286" s="20"/>
      <c r="X286" s="20"/>
      <c r="Y286" s="20"/>
      <c r="Z286" s="20"/>
    </row>
    <row r="287" spans="1:26" ht="17.25" customHeight="1">
      <c r="A287" s="15"/>
      <c r="B287" s="15"/>
      <c r="C287" s="15"/>
      <c r="D287" s="15"/>
      <c r="E287" s="15"/>
      <c r="F287" s="15"/>
      <c r="G287" s="15"/>
      <c r="H287" s="15"/>
      <c r="I287" s="45"/>
      <c r="J287" s="47"/>
      <c r="K287" s="20"/>
      <c r="L287" s="20"/>
      <c r="M287" s="20"/>
      <c r="N287" s="20"/>
      <c r="O287" s="20"/>
      <c r="P287" s="20"/>
      <c r="Q287" s="20"/>
      <c r="R287" s="20"/>
      <c r="S287" s="20"/>
      <c r="T287" s="20"/>
      <c r="U287" s="20"/>
      <c r="V287" s="20"/>
      <c r="W287" s="20"/>
      <c r="X287" s="20"/>
      <c r="Y287" s="20"/>
      <c r="Z287" s="20"/>
    </row>
    <row r="288" spans="1:26" ht="17.25" customHeight="1">
      <c r="A288" s="15"/>
      <c r="B288" s="15"/>
      <c r="C288" s="15"/>
      <c r="D288" s="15"/>
      <c r="E288" s="15"/>
      <c r="F288" s="15"/>
      <c r="G288" s="15"/>
      <c r="H288" s="15"/>
      <c r="I288" s="45"/>
      <c r="J288" s="47"/>
      <c r="K288" s="20"/>
      <c r="L288" s="20"/>
      <c r="M288" s="20"/>
      <c r="N288" s="20"/>
      <c r="O288" s="20"/>
      <c r="P288" s="20"/>
      <c r="Q288" s="20"/>
      <c r="R288" s="20"/>
      <c r="S288" s="20"/>
      <c r="T288" s="20"/>
      <c r="U288" s="20"/>
      <c r="V288" s="20"/>
      <c r="W288" s="20"/>
      <c r="X288" s="20"/>
      <c r="Y288" s="20"/>
      <c r="Z288" s="20"/>
    </row>
    <row r="289" spans="1:26" ht="17.25" customHeight="1">
      <c r="A289" s="15"/>
      <c r="B289" s="15"/>
      <c r="C289" s="15"/>
      <c r="D289" s="15"/>
      <c r="E289" s="15"/>
      <c r="F289" s="15"/>
      <c r="G289" s="15"/>
      <c r="H289" s="15"/>
      <c r="I289" s="45"/>
      <c r="J289" s="47"/>
      <c r="K289" s="20"/>
      <c r="L289" s="20"/>
      <c r="M289" s="20"/>
      <c r="N289" s="20"/>
      <c r="O289" s="20"/>
      <c r="P289" s="20"/>
      <c r="Q289" s="20"/>
      <c r="R289" s="20"/>
      <c r="S289" s="20"/>
      <c r="T289" s="20"/>
      <c r="U289" s="20"/>
      <c r="V289" s="20"/>
      <c r="W289" s="20"/>
      <c r="X289" s="20"/>
      <c r="Y289" s="20"/>
      <c r="Z289" s="20"/>
    </row>
    <row r="290" spans="1:26" ht="17.25" customHeight="1">
      <c r="A290" s="15"/>
      <c r="B290" s="15"/>
      <c r="C290" s="15"/>
      <c r="D290" s="15"/>
      <c r="E290" s="15"/>
      <c r="F290" s="15"/>
      <c r="G290" s="15"/>
      <c r="H290" s="15"/>
      <c r="I290" s="45"/>
      <c r="J290" s="47"/>
      <c r="K290" s="20"/>
      <c r="L290" s="20"/>
      <c r="M290" s="20"/>
      <c r="N290" s="20"/>
      <c r="O290" s="20"/>
      <c r="P290" s="20"/>
      <c r="Q290" s="20"/>
      <c r="R290" s="20"/>
      <c r="S290" s="20"/>
      <c r="T290" s="20"/>
      <c r="U290" s="20"/>
      <c r="V290" s="20"/>
      <c r="W290" s="20"/>
      <c r="X290" s="20"/>
      <c r="Y290" s="20"/>
      <c r="Z290" s="20"/>
    </row>
    <row r="291" spans="1:26" ht="17.25" customHeight="1">
      <c r="A291" s="15"/>
      <c r="B291" s="15"/>
      <c r="C291" s="15"/>
      <c r="D291" s="15"/>
      <c r="E291" s="15"/>
      <c r="F291" s="15"/>
      <c r="G291" s="15"/>
      <c r="H291" s="15"/>
      <c r="I291" s="45"/>
      <c r="J291" s="47"/>
      <c r="K291" s="20"/>
      <c r="L291" s="20"/>
      <c r="M291" s="20"/>
      <c r="N291" s="20"/>
      <c r="O291" s="20"/>
      <c r="P291" s="20"/>
      <c r="Q291" s="20"/>
      <c r="R291" s="20"/>
      <c r="S291" s="20"/>
      <c r="T291" s="20"/>
      <c r="U291" s="20"/>
      <c r="V291" s="20"/>
      <c r="W291" s="20"/>
      <c r="X291" s="20"/>
      <c r="Y291" s="20"/>
      <c r="Z291" s="20"/>
    </row>
    <row r="292" spans="1:26" ht="17.25" customHeight="1">
      <c r="A292" s="15"/>
      <c r="B292" s="15"/>
      <c r="C292" s="15"/>
      <c r="D292" s="15"/>
      <c r="E292" s="15"/>
      <c r="F292" s="15"/>
      <c r="G292" s="15"/>
      <c r="H292" s="15"/>
      <c r="I292" s="45"/>
      <c r="J292" s="47"/>
      <c r="K292" s="20"/>
      <c r="L292" s="20"/>
      <c r="M292" s="20"/>
      <c r="N292" s="20"/>
      <c r="O292" s="20"/>
      <c r="P292" s="20"/>
      <c r="Q292" s="20"/>
      <c r="R292" s="20"/>
      <c r="S292" s="20"/>
      <c r="T292" s="20"/>
      <c r="U292" s="20"/>
      <c r="V292" s="20"/>
      <c r="W292" s="20"/>
      <c r="X292" s="20"/>
      <c r="Y292" s="20"/>
      <c r="Z292" s="20"/>
    </row>
    <row r="293" spans="1:26" ht="17.25" customHeight="1">
      <c r="A293" s="15"/>
      <c r="B293" s="15"/>
      <c r="C293" s="15"/>
      <c r="D293" s="15"/>
      <c r="E293" s="15"/>
      <c r="F293" s="15"/>
      <c r="G293" s="15"/>
      <c r="H293" s="15"/>
      <c r="I293" s="45"/>
      <c r="J293" s="47"/>
      <c r="K293" s="20"/>
      <c r="L293" s="20"/>
      <c r="M293" s="20"/>
      <c r="N293" s="20"/>
      <c r="O293" s="20"/>
      <c r="P293" s="20"/>
      <c r="Q293" s="20"/>
      <c r="R293" s="20"/>
      <c r="S293" s="20"/>
      <c r="T293" s="20"/>
      <c r="U293" s="20"/>
      <c r="V293" s="20"/>
      <c r="W293" s="20"/>
      <c r="X293" s="20"/>
      <c r="Y293" s="20"/>
      <c r="Z293" s="20"/>
    </row>
    <row r="294" spans="1:26" ht="17.25" customHeight="1">
      <c r="A294" s="15"/>
      <c r="B294" s="15"/>
      <c r="C294" s="15"/>
      <c r="D294" s="15"/>
      <c r="E294" s="15"/>
      <c r="F294" s="15"/>
      <c r="G294" s="15"/>
      <c r="H294" s="15"/>
      <c r="I294" s="45"/>
      <c r="J294" s="47"/>
      <c r="K294" s="20"/>
      <c r="L294" s="20"/>
      <c r="M294" s="20"/>
      <c r="N294" s="20"/>
      <c r="O294" s="20"/>
      <c r="P294" s="20"/>
      <c r="Q294" s="20"/>
      <c r="R294" s="20"/>
      <c r="S294" s="20"/>
      <c r="T294" s="20"/>
      <c r="U294" s="20"/>
      <c r="V294" s="20"/>
      <c r="W294" s="20"/>
      <c r="X294" s="20"/>
      <c r="Y294" s="20"/>
      <c r="Z294" s="20"/>
    </row>
    <row r="295" spans="1:26" ht="17.25" customHeight="1">
      <c r="A295" s="15"/>
      <c r="B295" s="15"/>
      <c r="C295" s="15"/>
      <c r="D295" s="15"/>
      <c r="E295" s="15"/>
      <c r="F295" s="15"/>
      <c r="G295" s="15"/>
      <c r="H295" s="15"/>
      <c r="I295" s="45"/>
      <c r="J295" s="47"/>
      <c r="K295" s="20"/>
      <c r="L295" s="20"/>
      <c r="M295" s="20"/>
      <c r="N295" s="20"/>
      <c r="O295" s="20"/>
      <c r="P295" s="20"/>
      <c r="Q295" s="20"/>
      <c r="R295" s="20"/>
      <c r="S295" s="20"/>
      <c r="T295" s="20"/>
      <c r="U295" s="20"/>
      <c r="V295" s="20"/>
      <c r="W295" s="20"/>
      <c r="X295" s="20"/>
      <c r="Y295" s="20"/>
      <c r="Z295" s="20"/>
    </row>
    <row r="296" spans="1:26" ht="17.25" customHeight="1">
      <c r="A296" s="15"/>
      <c r="B296" s="15"/>
      <c r="C296" s="15"/>
      <c r="D296" s="15"/>
      <c r="E296" s="15"/>
      <c r="F296" s="15"/>
      <c r="G296" s="15"/>
      <c r="H296" s="15"/>
      <c r="I296" s="45"/>
      <c r="J296" s="47"/>
      <c r="K296" s="20"/>
      <c r="L296" s="20"/>
      <c r="M296" s="20"/>
      <c r="N296" s="20"/>
      <c r="O296" s="20"/>
      <c r="P296" s="20"/>
      <c r="Q296" s="20"/>
      <c r="R296" s="20"/>
      <c r="S296" s="20"/>
      <c r="T296" s="20"/>
      <c r="U296" s="20"/>
      <c r="V296" s="20"/>
      <c r="W296" s="20"/>
      <c r="X296" s="20"/>
      <c r="Y296" s="20"/>
      <c r="Z296" s="20"/>
    </row>
    <row r="297" spans="1:26" ht="17.25" customHeight="1">
      <c r="A297" s="15"/>
      <c r="B297" s="15"/>
      <c r="C297" s="15"/>
      <c r="D297" s="15"/>
      <c r="E297" s="15"/>
      <c r="F297" s="15"/>
      <c r="G297" s="15"/>
      <c r="H297" s="15"/>
      <c r="I297" s="45"/>
      <c r="J297" s="47"/>
      <c r="K297" s="20"/>
      <c r="L297" s="20"/>
      <c r="M297" s="20"/>
      <c r="N297" s="20"/>
      <c r="O297" s="20"/>
      <c r="P297" s="20"/>
      <c r="Q297" s="20"/>
      <c r="R297" s="20"/>
      <c r="S297" s="20"/>
      <c r="T297" s="20"/>
      <c r="U297" s="20"/>
      <c r="V297" s="20"/>
      <c r="W297" s="20"/>
      <c r="X297" s="20"/>
      <c r="Y297" s="20"/>
      <c r="Z297" s="20"/>
    </row>
    <row r="298" spans="1:26" ht="17.25" customHeight="1">
      <c r="A298" s="15"/>
      <c r="B298" s="15"/>
      <c r="C298" s="15"/>
      <c r="D298" s="15"/>
      <c r="E298" s="15"/>
      <c r="F298" s="15"/>
      <c r="G298" s="15"/>
      <c r="H298" s="15"/>
      <c r="I298" s="45"/>
      <c r="J298" s="47"/>
      <c r="K298" s="20"/>
      <c r="L298" s="20"/>
      <c r="M298" s="20"/>
      <c r="N298" s="20"/>
      <c r="O298" s="20"/>
      <c r="P298" s="20"/>
      <c r="Q298" s="20"/>
      <c r="R298" s="20"/>
      <c r="S298" s="20"/>
      <c r="T298" s="20"/>
      <c r="U298" s="20"/>
      <c r="V298" s="20"/>
      <c r="W298" s="20"/>
      <c r="X298" s="20"/>
      <c r="Y298" s="20"/>
      <c r="Z298" s="20"/>
    </row>
    <row r="299" spans="1:26" ht="17.25" customHeight="1">
      <c r="A299" s="15"/>
      <c r="B299" s="15"/>
      <c r="C299" s="15"/>
      <c r="D299" s="15"/>
      <c r="E299" s="15"/>
      <c r="F299" s="15"/>
      <c r="G299" s="15"/>
      <c r="H299" s="15"/>
      <c r="I299" s="45"/>
      <c r="J299" s="47"/>
      <c r="K299" s="20"/>
      <c r="L299" s="20"/>
      <c r="M299" s="20"/>
      <c r="N299" s="20"/>
      <c r="O299" s="20"/>
      <c r="P299" s="20"/>
      <c r="Q299" s="20"/>
      <c r="R299" s="20"/>
      <c r="S299" s="20"/>
      <c r="T299" s="20"/>
      <c r="U299" s="20"/>
      <c r="V299" s="20"/>
      <c r="W299" s="20"/>
      <c r="X299" s="20"/>
      <c r="Y299" s="20"/>
      <c r="Z299" s="20"/>
    </row>
    <row r="300" spans="1:26" ht="17.25" customHeight="1">
      <c r="A300" s="15"/>
      <c r="B300" s="15"/>
      <c r="C300" s="15"/>
      <c r="D300" s="15"/>
      <c r="E300" s="15"/>
      <c r="F300" s="15"/>
      <c r="G300" s="15"/>
      <c r="H300" s="15"/>
      <c r="I300" s="45"/>
      <c r="J300" s="47"/>
      <c r="K300" s="20"/>
      <c r="L300" s="20"/>
      <c r="M300" s="20"/>
      <c r="N300" s="20"/>
      <c r="O300" s="20"/>
      <c r="P300" s="20"/>
      <c r="Q300" s="20"/>
      <c r="R300" s="20"/>
      <c r="S300" s="20"/>
      <c r="T300" s="20"/>
      <c r="U300" s="20"/>
      <c r="V300" s="20"/>
      <c r="W300" s="20"/>
      <c r="X300" s="20"/>
      <c r="Y300" s="20"/>
      <c r="Z300" s="20"/>
    </row>
    <row r="301" spans="1:26" ht="17.25" customHeight="1">
      <c r="A301" s="15"/>
      <c r="B301" s="15"/>
      <c r="C301" s="15"/>
      <c r="D301" s="15"/>
      <c r="E301" s="15"/>
      <c r="F301" s="15"/>
      <c r="G301" s="15"/>
      <c r="H301" s="15"/>
      <c r="I301" s="45"/>
      <c r="J301" s="47"/>
      <c r="K301" s="20"/>
      <c r="L301" s="20"/>
      <c r="M301" s="20"/>
      <c r="N301" s="20"/>
      <c r="O301" s="20"/>
      <c r="P301" s="20"/>
      <c r="Q301" s="20"/>
      <c r="R301" s="20"/>
      <c r="S301" s="20"/>
      <c r="T301" s="20"/>
      <c r="U301" s="20"/>
      <c r="V301" s="20"/>
      <c r="W301" s="20"/>
      <c r="X301" s="20"/>
      <c r="Y301" s="20"/>
      <c r="Z301" s="20"/>
    </row>
    <row r="302" spans="1:26" ht="17.25" customHeight="1">
      <c r="A302" s="15"/>
      <c r="B302" s="15"/>
      <c r="C302" s="15"/>
      <c r="D302" s="15"/>
      <c r="E302" s="15"/>
      <c r="F302" s="15"/>
      <c r="G302" s="15"/>
      <c r="H302" s="15"/>
      <c r="I302" s="45"/>
      <c r="J302" s="47"/>
      <c r="K302" s="20"/>
      <c r="L302" s="20"/>
      <c r="M302" s="20"/>
      <c r="N302" s="20"/>
      <c r="O302" s="20"/>
      <c r="P302" s="20"/>
      <c r="Q302" s="20"/>
      <c r="R302" s="20"/>
      <c r="S302" s="20"/>
      <c r="T302" s="20"/>
      <c r="U302" s="20"/>
      <c r="V302" s="20"/>
      <c r="W302" s="20"/>
      <c r="X302" s="20"/>
      <c r="Y302" s="20"/>
      <c r="Z302" s="20"/>
    </row>
    <row r="303" spans="1:26" ht="17.25" customHeight="1">
      <c r="A303" s="15"/>
      <c r="B303" s="15"/>
      <c r="C303" s="15"/>
      <c r="D303" s="15"/>
      <c r="E303" s="15"/>
      <c r="F303" s="15"/>
      <c r="G303" s="15"/>
      <c r="H303" s="15"/>
      <c r="I303" s="45"/>
      <c r="J303" s="47"/>
      <c r="K303" s="20"/>
      <c r="L303" s="20"/>
      <c r="M303" s="20"/>
      <c r="N303" s="20"/>
      <c r="O303" s="20"/>
      <c r="P303" s="20"/>
      <c r="Q303" s="20"/>
      <c r="R303" s="20"/>
      <c r="S303" s="20"/>
      <c r="T303" s="20"/>
      <c r="U303" s="20"/>
      <c r="V303" s="20"/>
      <c r="W303" s="20"/>
      <c r="X303" s="20"/>
      <c r="Y303" s="20"/>
      <c r="Z303" s="20"/>
    </row>
    <row r="304" spans="1:26" ht="17.25" customHeight="1">
      <c r="A304" s="15"/>
      <c r="B304" s="15"/>
      <c r="C304" s="15"/>
      <c r="D304" s="15"/>
      <c r="E304" s="15"/>
      <c r="F304" s="15"/>
      <c r="G304" s="15"/>
      <c r="H304" s="15"/>
      <c r="I304" s="45"/>
      <c r="J304" s="47"/>
      <c r="K304" s="20"/>
      <c r="L304" s="20"/>
      <c r="M304" s="20"/>
      <c r="N304" s="20"/>
      <c r="O304" s="20"/>
      <c r="P304" s="20"/>
      <c r="Q304" s="20"/>
      <c r="R304" s="20"/>
      <c r="S304" s="20"/>
      <c r="T304" s="20"/>
      <c r="U304" s="20"/>
      <c r="V304" s="20"/>
      <c r="W304" s="20"/>
      <c r="X304" s="20"/>
      <c r="Y304" s="20"/>
      <c r="Z304" s="20"/>
    </row>
    <row r="305" spans="1:26" ht="17.25" customHeight="1">
      <c r="A305" s="15"/>
      <c r="B305" s="15"/>
      <c r="C305" s="15"/>
      <c r="D305" s="15"/>
      <c r="E305" s="15"/>
      <c r="F305" s="15"/>
      <c r="G305" s="15"/>
      <c r="H305" s="15"/>
      <c r="I305" s="45"/>
      <c r="J305" s="47"/>
      <c r="K305" s="20"/>
      <c r="L305" s="20"/>
      <c r="M305" s="20"/>
      <c r="N305" s="20"/>
      <c r="O305" s="20"/>
      <c r="P305" s="20"/>
      <c r="Q305" s="20"/>
      <c r="R305" s="20"/>
      <c r="S305" s="20"/>
      <c r="T305" s="20"/>
      <c r="U305" s="20"/>
      <c r="V305" s="20"/>
      <c r="W305" s="20"/>
      <c r="X305" s="20"/>
      <c r="Y305" s="20"/>
      <c r="Z305" s="20"/>
    </row>
    <row r="306" spans="1:26" ht="17.25" customHeight="1">
      <c r="A306" s="15"/>
      <c r="B306" s="15"/>
      <c r="C306" s="15"/>
      <c r="D306" s="15"/>
      <c r="E306" s="15"/>
      <c r="F306" s="15"/>
      <c r="G306" s="15"/>
      <c r="H306" s="15"/>
      <c r="I306" s="45"/>
      <c r="J306" s="47"/>
      <c r="K306" s="20"/>
      <c r="L306" s="20"/>
      <c r="M306" s="20"/>
      <c r="N306" s="20"/>
      <c r="O306" s="20"/>
      <c r="P306" s="20"/>
      <c r="Q306" s="20"/>
      <c r="R306" s="20"/>
      <c r="S306" s="20"/>
      <c r="T306" s="20"/>
      <c r="U306" s="20"/>
      <c r="V306" s="20"/>
      <c r="W306" s="20"/>
      <c r="X306" s="20"/>
      <c r="Y306" s="20"/>
      <c r="Z306" s="20"/>
    </row>
    <row r="307" spans="1:26" ht="17.25" customHeight="1">
      <c r="A307" s="15"/>
      <c r="B307" s="15"/>
      <c r="C307" s="15"/>
      <c r="D307" s="15"/>
      <c r="E307" s="15"/>
      <c r="F307" s="15"/>
      <c r="G307" s="15"/>
      <c r="H307" s="15"/>
      <c r="I307" s="45"/>
      <c r="J307" s="47"/>
      <c r="K307" s="20"/>
      <c r="L307" s="20"/>
      <c r="M307" s="20"/>
      <c r="N307" s="20"/>
      <c r="O307" s="20"/>
      <c r="P307" s="20"/>
      <c r="Q307" s="20"/>
      <c r="R307" s="20"/>
      <c r="S307" s="20"/>
      <c r="T307" s="20"/>
      <c r="U307" s="20"/>
      <c r="V307" s="20"/>
      <c r="W307" s="20"/>
      <c r="X307" s="20"/>
      <c r="Y307" s="20"/>
      <c r="Z307" s="20"/>
    </row>
    <row r="308" spans="1:26" ht="17.25" customHeight="1">
      <c r="A308" s="15"/>
      <c r="B308" s="15"/>
      <c r="C308" s="15"/>
      <c r="D308" s="15"/>
      <c r="E308" s="15"/>
      <c r="F308" s="15"/>
      <c r="G308" s="15"/>
      <c r="H308" s="15"/>
      <c r="I308" s="45"/>
      <c r="J308" s="47"/>
      <c r="K308" s="20"/>
      <c r="L308" s="20"/>
      <c r="M308" s="20"/>
      <c r="N308" s="20"/>
      <c r="O308" s="20"/>
      <c r="P308" s="20"/>
      <c r="Q308" s="20"/>
      <c r="R308" s="20"/>
      <c r="S308" s="20"/>
      <c r="T308" s="20"/>
      <c r="U308" s="20"/>
      <c r="V308" s="20"/>
      <c r="W308" s="20"/>
      <c r="X308" s="20"/>
      <c r="Y308" s="20"/>
      <c r="Z308" s="20"/>
    </row>
    <row r="309" spans="1:26" ht="17.25" customHeight="1">
      <c r="A309" s="15"/>
      <c r="B309" s="15"/>
      <c r="C309" s="15"/>
      <c r="D309" s="15"/>
      <c r="E309" s="15"/>
      <c r="F309" s="15"/>
      <c r="G309" s="15"/>
      <c r="H309" s="15"/>
      <c r="I309" s="45"/>
      <c r="J309" s="47"/>
      <c r="K309" s="20"/>
      <c r="L309" s="20"/>
      <c r="M309" s="20"/>
      <c r="N309" s="20"/>
      <c r="O309" s="20"/>
      <c r="P309" s="20"/>
      <c r="Q309" s="20"/>
      <c r="R309" s="20"/>
      <c r="S309" s="20"/>
      <c r="T309" s="20"/>
      <c r="U309" s="20"/>
      <c r="V309" s="20"/>
      <c r="W309" s="20"/>
      <c r="X309" s="20"/>
      <c r="Y309" s="20"/>
      <c r="Z309" s="20"/>
    </row>
    <row r="310" spans="1:26" ht="17.25" customHeight="1">
      <c r="A310" s="15"/>
      <c r="B310" s="15"/>
      <c r="C310" s="15"/>
      <c r="D310" s="15"/>
      <c r="E310" s="15"/>
      <c r="F310" s="15"/>
      <c r="G310" s="15"/>
      <c r="H310" s="15"/>
      <c r="I310" s="45"/>
      <c r="J310" s="47"/>
      <c r="K310" s="20"/>
      <c r="L310" s="20"/>
      <c r="M310" s="20"/>
      <c r="N310" s="20"/>
      <c r="O310" s="20"/>
      <c r="P310" s="20"/>
      <c r="Q310" s="20"/>
      <c r="R310" s="20"/>
      <c r="S310" s="20"/>
      <c r="T310" s="20"/>
      <c r="U310" s="20"/>
      <c r="V310" s="20"/>
      <c r="W310" s="20"/>
      <c r="X310" s="20"/>
      <c r="Y310" s="20"/>
      <c r="Z310" s="20"/>
    </row>
    <row r="311" spans="1:26" ht="17.25" customHeight="1">
      <c r="A311" s="15"/>
      <c r="B311" s="15"/>
      <c r="C311" s="15"/>
      <c r="D311" s="15"/>
      <c r="E311" s="15"/>
      <c r="F311" s="15"/>
      <c r="G311" s="15"/>
      <c r="H311" s="15"/>
      <c r="I311" s="45"/>
      <c r="J311" s="47"/>
      <c r="K311" s="20"/>
      <c r="L311" s="20"/>
      <c r="M311" s="20"/>
      <c r="N311" s="20"/>
      <c r="O311" s="20"/>
      <c r="P311" s="20"/>
      <c r="Q311" s="20"/>
      <c r="R311" s="20"/>
      <c r="S311" s="20"/>
      <c r="T311" s="20"/>
      <c r="U311" s="20"/>
      <c r="V311" s="20"/>
      <c r="W311" s="20"/>
      <c r="X311" s="20"/>
      <c r="Y311" s="20"/>
      <c r="Z311" s="20"/>
    </row>
    <row r="312" spans="1:26" ht="17.25" customHeight="1">
      <c r="A312" s="15"/>
      <c r="B312" s="15"/>
      <c r="C312" s="15"/>
      <c r="D312" s="15"/>
      <c r="E312" s="15"/>
      <c r="F312" s="15"/>
      <c r="G312" s="15"/>
      <c r="H312" s="15"/>
      <c r="I312" s="45"/>
      <c r="J312" s="47"/>
      <c r="K312" s="20"/>
      <c r="L312" s="20"/>
      <c r="M312" s="20"/>
      <c r="N312" s="20"/>
      <c r="O312" s="20"/>
      <c r="P312" s="20"/>
      <c r="Q312" s="20"/>
      <c r="R312" s="20"/>
      <c r="S312" s="20"/>
      <c r="T312" s="20"/>
      <c r="U312" s="20"/>
      <c r="V312" s="20"/>
      <c r="W312" s="20"/>
      <c r="X312" s="20"/>
      <c r="Y312" s="20"/>
      <c r="Z312" s="20"/>
    </row>
    <row r="313" spans="1:26" ht="17.25" customHeight="1">
      <c r="A313" s="15"/>
      <c r="B313" s="15"/>
      <c r="C313" s="15"/>
      <c r="D313" s="15"/>
      <c r="E313" s="15"/>
      <c r="F313" s="15"/>
      <c r="G313" s="15"/>
      <c r="H313" s="15"/>
      <c r="I313" s="45"/>
      <c r="J313" s="47"/>
      <c r="K313" s="20"/>
      <c r="L313" s="20"/>
      <c r="M313" s="20"/>
      <c r="N313" s="20"/>
      <c r="O313" s="20"/>
      <c r="P313" s="20"/>
      <c r="Q313" s="20"/>
      <c r="R313" s="20"/>
      <c r="S313" s="20"/>
      <c r="T313" s="20"/>
      <c r="U313" s="20"/>
      <c r="V313" s="20"/>
      <c r="W313" s="20"/>
      <c r="X313" s="20"/>
      <c r="Y313" s="20"/>
      <c r="Z313" s="20"/>
    </row>
    <row r="314" spans="1:26" ht="17.25" customHeight="1">
      <c r="A314" s="15"/>
      <c r="B314" s="15"/>
      <c r="C314" s="15"/>
      <c r="D314" s="15"/>
      <c r="E314" s="15"/>
      <c r="F314" s="15"/>
      <c r="G314" s="15"/>
      <c r="H314" s="15"/>
      <c r="I314" s="45"/>
      <c r="J314" s="47"/>
      <c r="K314" s="20"/>
      <c r="L314" s="20"/>
      <c r="M314" s="20"/>
      <c r="N314" s="20"/>
      <c r="O314" s="20"/>
      <c r="P314" s="20"/>
      <c r="Q314" s="20"/>
      <c r="R314" s="20"/>
      <c r="S314" s="20"/>
      <c r="T314" s="20"/>
      <c r="U314" s="20"/>
      <c r="V314" s="20"/>
      <c r="W314" s="20"/>
      <c r="X314" s="20"/>
      <c r="Y314" s="20"/>
      <c r="Z314" s="20"/>
    </row>
    <row r="315" spans="1:26" ht="17.25" customHeight="1">
      <c r="A315" s="15"/>
      <c r="B315" s="15"/>
      <c r="C315" s="15"/>
      <c r="D315" s="15"/>
      <c r="E315" s="15"/>
      <c r="F315" s="15"/>
      <c r="G315" s="15"/>
      <c r="H315" s="15"/>
      <c r="I315" s="45"/>
      <c r="J315" s="47"/>
      <c r="K315" s="20"/>
      <c r="L315" s="20"/>
      <c r="M315" s="20"/>
      <c r="N315" s="20"/>
      <c r="O315" s="20"/>
      <c r="P315" s="20"/>
      <c r="Q315" s="20"/>
      <c r="R315" s="20"/>
      <c r="S315" s="20"/>
      <c r="T315" s="20"/>
      <c r="U315" s="20"/>
      <c r="V315" s="20"/>
      <c r="W315" s="20"/>
      <c r="X315" s="20"/>
      <c r="Y315" s="20"/>
      <c r="Z315" s="20"/>
    </row>
    <row r="316" spans="1:26" ht="17.25" customHeight="1">
      <c r="A316" s="15"/>
      <c r="B316" s="15"/>
      <c r="C316" s="15"/>
      <c r="D316" s="15"/>
      <c r="E316" s="15"/>
      <c r="F316" s="15"/>
      <c r="G316" s="15"/>
      <c r="H316" s="15"/>
      <c r="I316" s="45"/>
      <c r="J316" s="47"/>
      <c r="K316" s="20"/>
      <c r="L316" s="20"/>
      <c r="M316" s="20"/>
      <c r="N316" s="20"/>
      <c r="O316" s="20"/>
      <c r="P316" s="20"/>
      <c r="Q316" s="20"/>
      <c r="R316" s="20"/>
      <c r="S316" s="20"/>
      <c r="T316" s="20"/>
      <c r="U316" s="20"/>
      <c r="V316" s="20"/>
      <c r="W316" s="20"/>
      <c r="X316" s="20"/>
      <c r="Y316" s="20"/>
      <c r="Z316" s="20"/>
    </row>
    <row r="317" spans="1:26" ht="17.25" customHeight="1">
      <c r="A317" s="15"/>
      <c r="B317" s="15"/>
      <c r="C317" s="15"/>
      <c r="D317" s="15"/>
      <c r="E317" s="15"/>
      <c r="F317" s="15"/>
      <c r="G317" s="15"/>
      <c r="H317" s="15"/>
      <c r="I317" s="45"/>
      <c r="J317" s="47"/>
      <c r="K317" s="20"/>
      <c r="L317" s="20"/>
      <c r="M317" s="20"/>
      <c r="N317" s="20"/>
      <c r="O317" s="20"/>
      <c r="P317" s="20"/>
      <c r="Q317" s="20"/>
      <c r="R317" s="20"/>
      <c r="S317" s="20"/>
      <c r="T317" s="20"/>
      <c r="U317" s="20"/>
      <c r="V317" s="20"/>
      <c r="W317" s="20"/>
      <c r="X317" s="20"/>
      <c r="Y317" s="20"/>
      <c r="Z317" s="20"/>
    </row>
    <row r="318" spans="1:26" ht="17.25" customHeight="1">
      <c r="A318" s="15"/>
      <c r="B318" s="15"/>
      <c r="C318" s="15"/>
      <c r="D318" s="15"/>
      <c r="E318" s="15"/>
      <c r="F318" s="15"/>
      <c r="G318" s="15"/>
      <c r="H318" s="15"/>
      <c r="I318" s="45"/>
      <c r="J318" s="47"/>
      <c r="K318" s="20"/>
      <c r="L318" s="20"/>
      <c r="M318" s="20"/>
      <c r="N318" s="20"/>
      <c r="O318" s="20"/>
      <c r="P318" s="20"/>
      <c r="Q318" s="20"/>
      <c r="R318" s="20"/>
      <c r="S318" s="20"/>
      <c r="T318" s="20"/>
      <c r="U318" s="20"/>
      <c r="V318" s="20"/>
      <c r="W318" s="20"/>
      <c r="X318" s="20"/>
      <c r="Y318" s="20"/>
      <c r="Z318" s="20"/>
    </row>
    <row r="319" spans="1:26" ht="17.25" customHeight="1">
      <c r="A319" s="15"/>
      <c r="B319" s="15"/>
      <c r="C319" s="15"/>
      <c r="D319" s="15"/>
      <c r="E319" s="15"/>
      <c r="F319" s="15"/>
      <c r="G319" s="15"/>
      <c r="H319" s="15"/>
      <c r="I319" s="45"/>
      <c r="J319" s="47"/>
      <c r="K319" s="20"/>
      <c r="L319" s="20"/>
      <c r="M319" s="20"/>
      <c r="N319" s="20"/>
      <c r="O319" s="20"/>
      <c r="P319" s="20"/>
      <c r="Q319" s="20"/>
      <c r="R319" s="20"/>
      <c r="S319" s="20"/>
      <c r="T319" s="20"/>
      <c r="U319" s="20"/>
      <c r="V319" s="20"/>
      <c r="W319" s="20"/>
      <c r="X319" s="20"/>
      <c r="Y319" s="20"/>
      <c r="Z319" s="20"/>
    </row>
    <row r="320" spans="1:26" ht="17.25" customHeight="1">
      <c r="A320" s="15"/>
      <c r="B320" s="15"/>
      <c r="C320" s="15"/>
      <c r="D320" s="15"/>
      <c r="E320" s="15"/>
      <c r="F320" s="15"/>
      <c r="G320" s="15"/>
      <c r="H320" s="15"/>
      <c r="I320" s="45"/>
      <c r="J320" s="47"/>
      <c r="K320" s="20"/>
      <c r="L320" s="20"/>
      <c r="M320" s="20"/>
      <c r="N320" s="20"/>
      <c r="O320" s="20"/>
      <c r="P320" s="20"/>
      <c r="Q320" s="20"/>
      <c r="R320" s="20"/>
      <c r="S320" s="20"/>
      <c r="T320" s="20"/>
      <c r="U320" s="20"/>
      <c r="V320" s="20"/>
      <c r="W320" s="20"/>
      <c r="X320" s="20"/>
      <c r="Y320" s="20"/>
      <c r="Z320" s="20"/>
    </row>
    <row r="321" spans="1:26" ht="17.25" customHeight="1">
      <c r="A321" s="15"/>
      <c r="B321" s="15"/>
      <c r="C321" s="15"/>
      <c r="D321" s="15"/>
      <c r="E321" s="15"/>
      <c r="F321" s="15"/>
      <c r="G321" s="15"/>
      <c r="H321" s="15"/>
      <c r="I321" s="45"/>
      <c r="J321" s="47"/>
      <c r="K321" s="20"/>
      <c r="L321" s="20"/>
      <c r="M321" s="20"/>
      <c r="N321" s="20"/>
      <c r="O321" s="20"/>
      <c r="P321" s="20"/>
      <c r="Q321" s="20"/>
      <c r="R321" s="20"/>
      <c r="S321" s="20"/>
      <c r="T321" s="20"/>
      <c r="U321" s="20"/>
      <c r="V321" s="20"/>
      <c r="W321" s="20"/>
      <c r="X321" s="20"/>
      <c r="Y321" s="20"/>
      <c r="Z321" s="20"/>
    </row>
    <row r="322" spans="1:26" ht="17.25" customHeight="1">
      <c r="A322" s="15"/>
      <c r="B322" s="15"/>
      <c r="C322" s="15"/>
      <c r="D322" s="15"/>
      <c r="E322" s="15"/>
      <c r="F322" s="15"/>
      <c r="G322" s="15"/>
      <c r="H322" s="15"/>
      <c r="I322" s="45"/>
      <c r="J322" s="47"/>
      <c r="K322" s="20"/>
      <c r="L322" s="20"/>
      <c r="M322" s="20"/>
      <c r="N322" s="20"/>
      <c r="O322" s="20"/>
      <c r="P322" s="20"/>
      <c r="Q322" s="20"/>
      <c r="R322" s="20"/>
      <c r="S322" s="20"/>
      <c r="T322" s="20"/>
      <c r="U322" s="20"/>
      <c r="V322" s="20"/>
      <c r="W322" s="20"/>
      <c r="X322" s="20"/>
      <c r="Y322" s="20"/>
      <c r="Z322" s="20"/>
    </row>
    <row r="323" spans="1:26" ht="17.25" customHeight="1">
      <c r="A323" s="15"/>
      <c r="B323" s="15"/>
      <c r="C323" s="15"/>
      <c r="D323" s="15"/>
      <c r="E323" s="15"/>
      <c r="F323" s="15"/>
      <c r="G323" s="15"/>
      <c r="H323" s="15"/>
      <c r="I323" s="45"/>
      <c r="J323" s="47"/>
      <c r="K323" s="20"/>
      <c r="L323" s="20"/>
      <c r="M323" s="20"/>
      <c r="N323" s="20"/>
      <c r="O323" s="20"/>
      <c r="P323" s="20"/>
      <c r="Q323" s="20"/>
      <c r="R323" s="20"/>
      <c r="S323" s="20"/>
      <c r="T323" s="20"/>
      <c r="U323" s="20"/>
      <c r="V323" s="20"/>
      <c r="W323" s="20"/>
      <c r="X323" s="20"/>
      <c r="Y323" s="20"/>
      <c r="Z323" s="20"/>
    </row>
    <row r="324" spans="1:26" ht="17.25" customHeight="1">
      <c r="A324" s="15"/>
      <c r="B324" s="15"/>
      <c r="C324" s="15"/>
      <c r="D324" s="15"/>
      <c r="E324" s="15"/>
      <c r="F324" s="15"/>
      <c r="G324" s="15"/>
      <c r="H324" s="15"/>
      <c r="I324" s="45"/>
      <c r="J324" s="47"/>
      <c r="K324" s="20"/>
      <c r="L324" s="20"/>
      <c r="M324" s="20"/>
      <c r="N324" s="20"/>
      <c r="O324" s="20"/>
      <c r="P324" s="20"/>
      <c r="Q324" s="20"/>
      <c r="R324" s="20"/>
      <c r="S324" s="20"/>
      <c r="T324" s="20"/>
      <c r="U324" s="20"/>
      <c r="V324" s="20"/>
      <c r="W324" s="20"/>
      <c r="X324" s="20"/>
      <c r="Y324" s="20"/>
      <c r="Z324" s="20"/>
    </row>
    <row r="325" spans="1:26" ht="17.25" customHeight="1">
      <c r="A325" s="15"/>
      <c r="B325" s="15"/>
      <c r="C325" s="15"/>
      <c r="D325" s="15"/>
      <c r="E325" s="15"/>
      <c r="F325" s="15"/>
      <c r="G325" s="15"/>
      <c r="H325" s="15"/>
      <c r="I325" s="45"/>
      <c r="J325" s="47"/>
      <c r="K325" s="20"/>
      <c r="L325" s="20"/>
      <c r="M325" s="20"/>
      <c r="N325" s="20"/>
      <c r="O325" s="20"/>
      <c r="P325" s="20"/>
      <c r="Q325" s="20"/>
      <c r="R325" s="20"/>
      <c r="S325" s="20"/>
      <c r="T325" s="20"/>
      <c r="U325" s="20"/>
      <c r="V325" s="20"/>
      <c r="W325" s="20"/>
      <c r="X325" s="20"/>
      <c r="Y325" s="20"/>
      <c r="Z325" s="20"/>
    </row>
    <row r="326" spans="1:26" ht="17.25" customHeight="1">
      <c r="A326" s="15"/>
      <c r="B326" s="15"/>
      <c r="C326" s="15"/>
      <c r="D326" s="15"/>
      <c r="E326" s="15"/>
      <c r="F326" s="15"/>
      <c r="G326" s="15"/>
      <c r="H326" s="15"/>
      <c r="I326" s="45"/>
      <c r="J326" s="47"/>
      <c r="K326" s="20"/>
      <c r="L326" s="20"/>
      <c r="M326" s="20"/>
      <c r="N326" s="20"/>
      <c r="O326" s="20"/>
      <c r="P326" s="20"/>
      <c r="Q326" s="20"/>
      <c r="R326" s="20"/>
      <c r="S326" s="20"/>
      <c r="T326" s="20"/>
      <c r="U326" s="20"/>
      <c r="V326" s="20"/>
      <c r="W326" s="20"/>
      <c r="X326" s="20"/>
      <c r="Y326" s="20"/>
      <c r="Z326" s="20"/>
    </row>
    <row r="327" spans="1:26" ht="17.25" customHeight="1">
      <c r="A327" s="15"/>
      <c r="B327" s="15"/>
      <c r="C327" s="15"/>
      <c r="D327" s="15"/>
      <c r="E327" s="15"/>
      <c r="F327" s="15"/>
      <c r="G327" s="15"/>
      <c r="H327" s="15"/>
      <c r="I327" s="45"/>
      <c r="J327" s="47"/>
      <c r="K327" s="20"/>
      <c r="L327" s="20"/>
      <c r="M327" s="20"/>
      <c r="N327" s="20"/>
      <c r="O327" s="20"/>
      <c r="P327" s="20"/>
      <c r="Q327" s="20"/>
      <c r="R327" s="20"/>
      <c r="S327" s="20"/>
      <c r="T327" s="20"/>
      <c r="U327" s="20"/>
      <c r="V327" s="20"/>
      <c r="W327" s="20"/>
      <c r="X327" s="20"/>
      <c r="Y327" s="20"/>
      <c r="Z327" s="20"/>
    </row>
    <row r="328" spans="1:26" ht="17.25" customHeight="1">
      <c r="A328" s="15"/>
      <c r="B328" s="15"/>
      <c r="C328" s="15"/>
      <c r="D328" s="15"/>
      <c r="E328" s="15"/>
      <c r="F328" s="15"/>
      <c r="G328" s="15"/>
      <c r="H328" s="15"/>
      <c r="I328" s="45"/>
      <c r="J328" s="47"/>
      <c r="K328" s="20"/>
      <c r="L328" s="20"/>
      <c r="M328" s="20"/>
      <c r="N328" s="20"/>
      <c r="O328" s="20"/>
      <c r="P328" s="20"/>
      <c r="Q328" s="20"/>
      <c r="R328" s="20"/>
      <c r="S328" s="20"/>
      <c r="T328" s="20"/>
      <c r="U328" s="20"/>
      <c r="V328" s="20"/>
      <c r="W328" s="20"/>
      <c r="X328" s="20"/>
      <c r="Y328" s="20"/>
      <c r="Z328" s="20"/>
    </row>
    <row r="329" spans="1:26" ht="17.25" customHeight="1">
      <c r="A329" s="15"/>
      <c r="B329" s="15"/>
      <c r="C329" s="15"/>
      <c r="D329" s="15"/>
      <c r="E329" s="15"/>
      <c r="F329" s="15"/>
      <c r="G329" s="15"/>
      <c r="H329" s="15"/>
      <c r="I329" s="45"/>
      <c r="J329" s="47"/>
      <c r="K329" s="20"/>
      <c r="L329" s="20"/>
      <c r="M329" s="20"/>
      <c r="N329" s="20"/>
      <c r="O329" s="20"/>
      <c r="P329" s="20"/>
      <c r="Q329" s="20"/>
      <c r="R329" s="20"/>
      <c r="S329" s="20"/>
      <c r="T329" s="20"/>
      <c r="U329" s="20"/>
      <c r="V329" s="20"/>
      <c r="W329" s="20"/>
      <c r="X329" s="20"/>
      <c r="Y329" s="20"/>
      <c r="Z329" s="20"/>
    </row>
    <row r="330" spans="1:26" ht="17.25" customHeight="1">
      <c r="A330" s="15"/>
      <c r="B330" s="15"/>
      <c r="C330" s="15"/>
      <c r="D330" s="15"/>
      <c r="E330" s="15"/>
      <c r="F330" s="15"/>
      <c r="G330" s="15"/>
      <c r="H330" s="15"/>
      <c r="I330" s="45"/>
      <c r="J330" s="47"/>
      <c r="K330" s="20"/>
      <c r="L330" s="20"/>
      <c r="M330" s="20"/>
      <c r="N330" s="20"/>
      <c r="O330" s="20"/>
      <c r="P330" s="20"/>
      <c r="Q330" s="20"/>
      <c r="R330" s="20"/>
      <c r="S330" s="20"/>
      <c r="T330" s="20"/>
      <c r="U330" s="20"/>
      <c r="V330" s="20"/>
      <c r="W330" s="20"/>
      <c r="X330" s="20"/>
      <c r="Y330" s="20"/>
      <c r="Z330" s="20"/>
    </row>
    <row r="331" spans="1:26" ht="17.25" customHeight="1">
      <c r="A331" s="15"/>
      <c r="B331" s="15"/>
      <c r="C331" s="15"/>
      <c r="D331" s="15"/>
      <c r="E331" s="15"/>
      <c r="F331" s="15"/>
      <c r="G331" s="15"/>
      <c r="H331" s="15"/>
      <c r="I331" s="45"/>
      <c r="J331" s="47"/>
      <c r="K331" s="20"/>
      <c r="L331" s="20"/>
      <c r="M331" s="20"/>
      <c r="N331" s="20"/>
      <c r="O331" s="20"/>
      <c r="P331" s="20"/>
      <c r="Q331" s="20"/>
      <c r="R331" s="20"/>
      <c r="S331" s="20"/>
      <c r="T331" s="20"/>
      <c r="U331" s="20"/>
      <c r="V331" s="20"/>
      <c r="W331" s="20"/>
      <c r="X331" s="20"/>
      <c r="Y331" s="20"/>
      <c r="Z331" s="20"/>
    </row>
    <row r="332" spans="1:26" ht="17.25" customHeight="1">
      <c r="A332" s="15"/>
      <c r="B332" s="15"/>
      <c r="C332" s="15"/>
      <c r="D332" s="15"/>
      <c r="E332" s="15"/>
      <c r="F332" s="15"/>
      <c r="G332" s="15"/>
      <c r="H332" s="15"/>
      <c r="I332" s="45"/>
      <c r="J332" s="47"/>
      <c r="K332" s="20"/>
      <c r="L332" s="20"/>
      <c r="M332" s="20"/>
      <c r="N332" s="20"/>
      <c r="O332" s="20"/>
      <c r="P332" s="20"/>
      <c r="Q332" s="20"/>
      <c r="R332" s="20"/>
      <c r="S332" s="20"/>
      <c r="T332" s="20"/>
      <c r="U332" s="20"/>
      <c r="V332" s="20"/>
      <c r="W332" s="20"/>
      <c r="X332" s="20"/>
      <c r="Y332" s="20"/>
      <c r="Z332" s="20"/>
    </row>
    <row r="333" spans="1:26" ht="17.25" customHeight="1">
      <c r="A333" s="15"/>
      <c r="B333" s="15"/>
      <c r="C333" s="15"/>
      <c r="D333" s="15"/>
      <c r="E333" s="15"/>
      <c r="F333" s="15"/>
      <c r="G333" s="15"/>
      <c r="H333" s="15"/>
      <c r="I333" s="45"/>
      <c r="J333" s="47"/>
      <c r="K333" s="20"/>
      <c r="L333" s="20"/>
      <c r="M333" s="20"/>
      <c r="N333" s="20"/>
      <c r="O333" s="20"/>
      <c r="P333" s="20"/>
      <c r="Q333" s="20"/>
      <c r="R333" s="20"/>
      <c r="S333" s="20"/>
      <c r="T333" s="20"/>
      <c r="U333" s="20"/>
      <c r="V333" s="20"/>
      <c r="W333" s="20"/>
      <c r="X333" s="20"/>
      <c r="Y333" s="20"/>
      <c r="Z333" s="20"/>
    </row>
    <row r="334" spans="1:26" ht="17.25" customHeight="1">
      <c r="A334" s="15"/>
      <c r="B334" s="15"/>
      <c r="C334" s="15"/>
      <c r="D334" s="15"/>
      <c r="E334" s="15"/>
      <c r="F334" s="15"/>
      <c r="G334" s="15"/>
      <c r="H334" s="15"/>
      <c r="I334" s="45"/>
      <c r="J334" s="47"/>
      <c r="K334" s="20"/>
      <c r="L334" s="20"/>
      <c r="M334" s="20"/>
      <c r="N334" s="20"/>
      <c r="O334" s="20"/>
      <c r="P334" s="20"/>
      <c r="Q334" s="20"/>
      <c r="R334" s="20"/>
      <c r="S334" s="20"/>
      <c r="T334" s="20"/>
      <c r="U334" s="20"/>
      <c r="V334" s="20"/>
      <c r="W334" s="20"/>
      <c r="X334" s="20"/>
      <c r="Y334" s="20"/>
      <c r="Z334" s="20"/>
    </row>
    <row r="335" spans="1:26" ht="17.25" customHeight="1">
      <c r="A335" s="15"/>
      <c r="B335" s="15"/>
      <c r="C335" s="15"/>
      <c r="D335" s="15"/>
      <c r="E335" s="15"/>
      <c r="F335" s="15"/>
      <c r="G335" s="15"/>
      <c r="H335" s="15"/>
      <c r="I335" s="45"/>
      <c r="J335" s="47"/>
      <c r="K335" s="20"/>
      <c r="L335" s="20"/>
      <c r="M335" s="20"/>
      <c r="N335" s="20"/>
      <c r="O335" s="20"/>
      <c r="P335" s="20"/>
      <c r="Q335" s="20"/>
      <c r="R335" s="20"/>
      <c r="S335" s="20"/>
      <c r="T335" s="20"/>
      <c r="U335" s="20"/>
      <c r="V335" s="20"/>
      <c r="W335" s="20"/>
      <c r="X335" s="20"/>
      <c r="Y335" s="20"/>
      <c r="Z335" s="20"/>
    </row>
    <row r="336" spans="1:26" ht="17.25" customHeight="1">
      <c r="A336" s="15"/>
      <c r="B336" s="15"/>
      <c r="C336" s="15"/>
      <c r="D336" s="15"/>
      <c r="E336" s="15"/>
      <c r="F336" s="15"/>
      <c r="G336" s="15"/>
      <c r="H336" s="15"/>
      <c r="I336" s="45"/>
      <c r="J336" s="47"/>
      <c r="K336" s="20"/>
      <c r="L336" s="20"/>
      <c r="M336" s="20"/>
      <c r="N336" s="20"/>
      <c r="O336" s="20"/>
      <c r="P336" s="20"/>
      <c r="Q336" s="20"/>
      <c r="R336" s="20"/>
      <c r="S336" s="20"/>
      <c r="T336" s="20"/>
      <c r="U336" s="20"/>
      <c r="V336" s="20"/>
      <c r="W336" s="20"/>
      <c r="X336" s="20"/>
      <c r="Y336" s="20"/>
      <c r="Z336" s="20"/>
    </row>
    <row r="337" spans="1:26" ht="17.25" customHeight="1">
      <c r="A337" s="15"/>
      <c r="B337" s="15"/>
      <c r="C337" s="15"/>
      <c r="D337" s="15"/>
      <c r="E337" s="15"/>
      <c r="F337" s="15"/>
      <c r="G337" s="15"/>
      <c r="H337" s="15"/>
      <c r="I337" s="45"/>
      <c r="J337" s="47"/>
      <c r="K337" s="20"/>
      <c r="L337" s="20"/>
      <c r="M337" s="20"/>
      <c r="N337" s="20"/>
      <c r="O337" s="20"/>
      <c r="P337" s="20"/>
      <c r="Q337" s="20"/>
      <c r="R337" s="20"/>
      <c r="S337" s="20"/>
      <c r="T337" s="20"/>
      <c r="U337" s="20"/>
      <c r="V337" s="20"/>
      <c r="W337" s="20"/>
      <c r="X337" s="20"/>
      <c r="Y337" s="20"/>
      <c r="Z337" s="20"/>
    </row>
    <row r="338" spans="1:26" ht="17.25" customHeight="1">
      <c r="A338" s="15"/>
      <c r="B338" s="15"/>
      <c r="C338" s="15"/>
      <c r="D338" s="15"/>
      <c r="E338" s="15"/>
      <c r="F338" s="15"/>
      <c r="G338" s="15"/>
      <c r="H338" s="15"/>
      <c r="I338" s="45"/>
      <c r="J338" s="47"/>
      <c r="K338" s="20"/>
      <c r="L338" s="20"/>
      <c r="M338" s="20"/>
      <c r="N338" s="20"/>
      <c r="O338" s="20"/>
      <c r="P338" s="20"/>
      <c r="Q338" s="20"/>
      <c r="R338" s="20"/>
      <c r="S338" s="20"/>
      <c r="T338" s="20"/>
      <c r="U338" s="20"/>
      <c r="V338" s="20"/>
      <c r="W338" s="20"/>
      <c r="X338" s="20"/>
      <c r="Y338" s="20"/>
      <c r="Z338" s="20"/>
    </row>
    <row r="339" spans="1:26" ht="17.25" customHeight="1">
      <c r="A339" s="15"/>
      <c r="B339" s="15"/>
      <c r="C339" s="15"/>
      <c r="D339" s="15"/>
      <c r="E339" s="15"/>
      <c r="F339" s="15"/>
      <c r="G339" s="15"/>
      <c r="H339" s="15"/>
      <c r="I339" s="45"/>
      <c r="J339" s="47"/>
      <c r="K339" s="20"/>
      <c r="L339" s="20"/>
      <c r="M339" s="20"/>
      <c r="N339" s="20"/>
      <c r="O339" s="20"/>
      <c r="P339" s="20"/>
      <c r="Q339" s="20"/>
      <c r="R339" s="20"/>
      <c r="S339" s="20"/>
      <c r="T339" s="20"/>
      <c r="U339" s="20"/>
      <c r="V339" s="20"/>
      <c r="W339" s="20"/>
      <c r="X339" s="20"/>
      <c r="Y339" s="20"/>
      <c r="Z339" s="20"/>
    </row>
    <row r="340" spans="1:26" ht="17.25" customHeight="1">
      <c r="A340" s="15"/>
      <c r="B340" s="15"/>
      <c r="C340" s="15"/>
      <c r="D340" s="15"/>
      <c r="E340" s="15"/>
      <c r="F340" s="15"/>
      <c r="G340" s="15"/>
      <c r="H340" s="15"/>
      <c r="I340" s="45"/>
      <c r="J340" s="47"/>
      <c r="K340" s="20"/>
      <c r="L340" s="20"/>
      <c r="M340" s="20"/>
      <c r="N340" s="20"/>
      <c r="O340" s="20"/>
      <c r="P340" s="20"/>
      <c r="Q340" s="20"/>
      <c r="R340" s="20"/>
      <c r="S340" s="20"/>
      <c r="T340" s="20"/>
      <c r="U340" s="20"/>
      <c r="V340" s="20"/>
      <c r="W340" s="20"/>
      <c r="X340" s="20"/>
      <c r="Y340" s="20"/>
      <c r="Z340" s="20"/>
    </row>
    <row r="341" spans="1:26" ht="17.25" customHeight="1">
      <c r="A341" s="15"/>
      <c r="B341" s="15"/>
      <c r="C341" s="15"/>
      <c r="D341" s="15"/>
      <c r="E341" s="15"/>
      <c r="F341" s="15"/>
      <c r="G341" s="15"/>
      <c r="H341" s="15"/>
      <c r="I341" s="45"/>
      <c r="J341" s="47"/>
      <c r="K341" s="20"/>
      <c r="L341" s="20"/>
      <c r="M341" s="20"/>
      <c r="N341" s="20"/>
      <c r="O341" s="20"/>
      <c r="P341" s="20"/>
      <c r="Q341" s="20"/>
      <c r="R341" s="20"/>
      <c r="S341" s="20"/>
      <c r="T341" s="20"/>
      <c r="U341" s="20"/>
      <c r="V341" s="20"/>
      <c r="W341" s="20"/>
      <c r="X341" s="20"/>
      <c r="Y341" s="20"/>
      <c r="Z341" s="20"/>
    </row>
    <row r="342" spans="1:26" ht="17.25" customHeight="1">
      <c r="A342" s="15"/>
      <c r="B342" s="15"/>
      <c r="C342" s="15"/>
      <c r="D342" s="15"/>
      <c r="E342" s="15"/>
      <c r="F342" s="15"/>
      <c r="G342" s="15"/>
      <c r="H342" s="15"/>
      <c r="I342" s="45"/>
      <c r="J342" s="47"/>
      <c r="K342" s="20"/>
      <c r="L342" s="20"/>
      <c r="M342" s="20"/>
      <c r="N342" s="20"/>
      <c r="O342" s="20"/>
      <c r="P342" s="20"/>
      <c r="Q342" s="20"/>
      <c r="R342" s="20"/>
      <c r="S342" s="20"/>
      <c r="T342" s="20"/>
      <c r="U342" s="20"/>
      <c r="V342" s="20"/>
      <c r="W342" s="20"/>
      <c r="X342" s="20"/>
      <c r="Y342" s="20"/>
      <c r="Z342" s="20"/>
    </row>
    <row r="343" spans="1:26" ht="17.25" customHeight="1">
      <c r="A343" s="15"/>
      <c r="B343" s="15"/>
      <c r="C343" s="15"/>
      <c r="D343" s="15"/>
      <c r="E343" s="15"/>
      <c r="F343" s="15"/>
      <c r="G343" s="15"/>
      <c r="H343" s="15"/>
      <c r="I343" s="45"/>
      <c r="J343" s="47"/>
      <c r="K343" s="20"/>
      <c r="L343" s="20"/>
      <c r="M343" s="20"/>
      <c r="N343" s="20"/>
      <c r="O343" s="20"/>
      <c r="P343" s="20"/>
      <c r="Q343" s="20"/>
      <c r="R343" s="20"/>
      <c r="S343" s="20"/>
      <c r="T343" s="20"/>
      <c r="U343" s="20"/>
      <c r="V343" s="20"/>
      <c r="W343" s="20"/>
      <c r="X343" s="20"/>
      <c r="Y343" s="20"/>
      <c r="Z343" s="20"/>
    </row>
    <row r="344" spans="1:26" ht="17.25" customHeight="1">
      <c r="A344" s="15"/>
      <c r="B344" s="15"/>
      <c r="C344" s="15"/>
      <c r="D344" s="15"/>
      <c r="E344" s="15"/>
      <c r="F344" s="15"/>
      <c r="G344" s="15"/>
      <c r="H344" s="15"/>
      <c r="I344" s="45"/>
      <c r="J344" s="47"/>
      <c r="K344" s="20"/>
      <c r="L344" s="20"/>
      <c r="M344" s="20"/>
      <c r="N344" s="20"/>
      <c r="O344" s="20"/>
      <c r="P344" s="20"/>
      <c r="Q344" s="20"/>
      <c r="R344" s="20"/>
      <c r="S344" s="20"/>
      <c r="T344" s="20"/>
      <c r="U344" s="20"/>
      <c r="V344" s="20"/>
      <c r="W344" s="20"/>
      <c r="X344" s="20"/>
      <c r="Y344" s="20"/>
      <c r="Z344" s="20"/>
    </row>
    <row r="345" spans="1:26" ht="17.25" customHeight="1">
      <c r="A345" s="15"/>
      <c r="B345" s="15"/>
      <c r="C345" s="15"/>
      <c r="D345" s="15"/>
      <c r="E345" s="15"/>
      <c r="F345" s="15"/>
      <c r="G345" s="15"/>
      <c r="H345" s="15"/>
      <c r="I345" s="45"/>
      <c r="J345" s="47"/>
      <c r="K345" s="20"/>
      <c r="L345" s="20"/>
      <c r="M345" s="20"/>
      <c r="N345" s="20"/>
      <c r="O345" s="20"/>
      <c r="P345" s="20"/>
      <c r="Q345" s="20"/>
      <c r="R345" s="20"/>
      <c r="S345" s="20"/>
      <c r="T345" s="20"/>
      <c r="U345" s="20"/>
      <c r="V345" s="20"/>
      <c r="W345" s="20"/>
      <c r="X345" s="20"/>
      <c r="Y345" s="20"/>
      <c r="Z345" s="20"/>
    </row>
    <row r="346" spans="1:26" ht="17.25" customHeight="1">
      <c r="A346" s="15"/>
      <c r="B346" s="15"/>
      <c r="C346" s="15"/>
      <c r="D346" s="15"/>
      <c r="E346" s="15"/>
      <c r="F346" s="15"/>
      <c r="G346" s="15"/>
      <c r="H346" s="15"/>
      <c r="I346" s="45"/>
      <c r="J346" s="47"/>
      <c r="K346" s="20"/>
      <c r="L346" s="20"/>
      <c r="M346" s="20"/>
      <c r="N346" s="20"/>
      <c r="O346" s="20"/>
      <c r="P346" s="20"/>
      <c r="Q346" s="20"/>
      <c r="R346" s="20"/>
      <c r="S346" s="20"/>
      <c r="T346" s="20"/>
      <c r="U346" s="20"/>
      <c r="V346" s="20"/>
      <c r="W346" s="20"/>
      <c r="X346" s="20"/>
      <c r="Y346" s="20"/>
      <c r="Z346" s="20"/>
    </row>
    <row r="347" spans="1:26" ht="17.25" customHeight="1">
      <c r="A347" s="15"/>
      <c r="B347" s="15"/>
      <c r="C347" s="15"/>
      <c r="D347" s="15"/>
      <c r="E347" s="15"/>
      <c r="F347" s="15"/>
      <c r="G347" s="15"/>
      <c r="H347" s="15"/>
      <c r="I347" s="45"/>
      <c r="J347" s="47"/>
      <c r="K347" s="20"/>
      <c r="L347" s="20"/>
      <c r="M347" s="20"/>
      <c r="N347" s="20"/>
      <c r="O347" s="20"/>
      <c r="P347" s="20"/>
      <c r="Q347" s="20"/>
      <c r="R347" s="20"/>
      <c r="S347" s="20"/>
      <c r="T347" s="20"/>
      <c r="U347" s="20"/>
      <c r="V347" s="20"/>
      <c r="W347" s="20"/>
      <c r="X347" s="20"/>
      <c r="Y347" s="20"/>
      <c r="Z347" s="20"/>
    </row>
    <row r="348" spans="1:26" ht="17.25" customHeight="1">
      <c r="A348" s="15"/>
      <c r="B348" s="15"/>
      <c r="C348" s="15"/>
      <c r="D348" s="15"/>
      <c r="E348" s="15"/>
      <c r="F348" s="15"/>
      <c r="G348" s="15"/>
      <c r="H348" s="15"/>
      <c r="I348" s="45"/>
      <c r="J348" s="47"/>
      <c r="K348" s="20"/>
      <c r="L348" s="20"/>
      <c r="M348" s="20"/>
      <c r="N348" s="20"/>
      <c r="O348" s="20"/>
      <c r="P348" s="20"/>
      <c r="Q348" s="20"/>
      <c r="R348" s="20"/>
      <c r="S348" s="20"/>
      <c r="T348" s="20"/>
      <c r="U348" s="20"/>
      <c r="V348" s="20"/>
      <c r="W348" s="20"/>
      <c r="X348" s="20"/>
      <c r="Y348" s="20"/>
      <c r="Z348" s="20"/>
    </row>
    <row r="349" spans="1:26" ht="17.25" customHeight="1">
      <c r="A349" s="15"/>
      <c r="B349" s="15"/>
      <c r="C349" s="15"/>
      <c r="D349" s="15"/>
      <c r="E349" s="15"/>
      <c r="F349" s="15"/>
      <c r="G349" s="15"/>
      <c r="H349" s="15"/>
      <c r="I349" s="45"/>
      <c r="J349" s="47"/>
      <c r="K349" s="20"/>
      <c r="L349" s="20"/>
      <c r="M349" s="20"/>
      <c r="N349" s="20"/>
      <c r="O349" s="20"/>
      <c r="P349" s="20"/>
      <c r="Q349" s="20"/>
      <c r="R349" s="20"/>
      <c r="S349" s="20"/>
      <c r="T349" s="20"/>
      <c r="U349" s="20"/>
      <c r="V349" s="20"/>
      <c r="W349" s="20"/>
      <c r="X349" s="20"/>
      <c r="Y349" s="20"/>
      <c r="Z349" s="20"/>
    </row>
    <row r="350" spans="1:26" ht="17.25" customHeight="1">
      <c r="A350" s="15"/>
      <c r="B350" s="15"/>
      <c r="C350" s="15"/>
      <c r="D350" s="15"/>
      <c r="E350" s="15"/>
      <c r="F350" s="15"/>
      <c r="G350" s="15"/>
      <c r="H350" s="15"/>
      <c r="I350" s="45"/>
      <c r="J350" s="47"/>
      <c r="K350" s="20"/>
      <c r="L350" s="20"/>
      <c r="M350" s="20"/>
      <c r="N350" s="20"/>
      <c r="O350" s="20"/>
      <c r="P350" s="20"/>
      <c r="Q350" s="20"/>
      <c r="R350" s="20"/>
      <c r="S350" s="20"/>
      <c r="T350" s="20"/>
      <c r="U350" s="20"/>
      <c r="V350" s="20"/>
      <c r="W350" s="20"/>
      <c r="X350" s="20"/>
      <c r="Y350" s="20"/>
      <c r="Z350" s="20"/>
    </row>
    <row r="351" spans="1:26" ht="17.25" customHeight="1">
      <c r="A351" s="15"/>
      <c r="B351" s="15"/>
      <c r="C351" s="15"/>
      <c r="D351" s="15"/>
      <c r="E351" s="15"/>
      <c r="F351" s="15"/>
      <c r="G351" s="15"/>
      <c r="H351" s="15"/>
      <c r="I351" s="45"/>
      <c r="J351" s="47"/>
      <c r="K351" s="20"/>
      <c r="L351" s="20"/>
      <c r="M351" s="20"/>
      <c r="N351" s="20"/>
      <c r="O351" s="20"/>
      <c r="P351" s="20"/>
      <c r="Q351" s="20"/>
      <c r="R351" s="20"/>
      <c r="S351" s="20"/>
      <c r="T351" s="20"/>
      <c r="U351" s="20"/>
      <c r="V351" s="20"/>
      <c r="W351" s="20"/>
      <c r="X351" s="20"/>
      <c r="Y351" s="20"/>
      <c r="Z351" s="20"/>
    </row>
    <row r="352" spans="1:26" ht="17.25" customHeight="1">
      <c r="A352" s="15"/>
      <c r="B352" s="15"/>
      <c r="C352" s="15"/>
      <c r="D352" s="15"/>
      <c r="E352" s="15"/>
      <c r="F352" s="15"/>
      <c r="G352" s="15"/>
      <c r="H352" s="15"/>
      <c r="I352" s="45"/>
      <c r="J352" s="47"/>
      <c r="K352" s="20"/>
      <c r="L352" s="20"/>
      <c r="M352" s="20"/>
      <c r="N352" s="20"/>
      <c r="O352" s="20"/>
      <c r="P352" s="20"/>
      <c r="Q352" s="20"/>
      <c r="R352" s="20"/>
      <c r="S352" s="20"/>
      <c r="T352" s="20"/>
      <c r="U352" s="20"/>
      <c r="V352" s="20"/>
      <c r="W352" s="20"/>
      <c r="X352" s="20"/>
      <c r="Y352" s="20"/>
      <c r="Z352" s="20"/>
    </row>
    <row r="353" spans="1:26" ht="17.25" customHeight="1">
      <c r="A353" s="15"/>
      <c r="B353" s="15"/>
      <c r="C353" s="15"/>
      <c r="D353" s="15"/>
      <c r="E353" s="15"/>
      <c r="F353" s="15"/>
      <c r="G353" s="15"/>
      <c r="H353" s="15"/>
      <c r="I353" s="45"/>
      <c r="J353" s="47"/>
      <c r="K353" s="20"/>
      <c r="L353" s="20"/>
      <c r="M353" s="20"/>
      <c r="N353" s="20"/>
      <c r="O353" s="20"/>
      <c r="P353" s="20"/>
      <c r="Q353" s="20"/>
      <c r="R353" s="20"/>
      <c r="S353" s="20"/>
      <c r="T353" s="20"/>
      <c r="U353" s="20"/>
      <c r="V353" s="20"/>
      <c r="W353" s="20"/>
      <c r="X353" s="20"/>
      <c r="Y353" s="20"/>
      <c r="Z353" s="20"/>
    </row>
    <row r="354" spans="1:26" ht="17.25" customHeight="1">
      <c r="A354" s="15"/>
      <c r="B354" s="15"/>
      <c r="C354" s="15"/>
      <c r="D354" s="15"/>
      <c r="E354" s="15"/>
      <c r="F354" s="15"/>
      <c r="G354" s="15"/>
      <c r="H354" s="15"/>
      <c r="I354" s="45"/>
      <c r="J354" s="47"/>
      <c r="K354" s="20"/>
      <c r="L354" s="20"/>
      <c r="M354" s="20"/>
      <c r="N354" s="20"/>
      <c r="O354" s="20"/>
      <c r="P354" s="20"/>
      <c r="Q354" s="20"/>
      <c r="R354" s="20"/>
      <c r="S354" s="20"/>
      <c r="T354" s="20"/>
      <c r="U354" s="20"/>
      <c r="V354" s="20"/>
      <c r="W354" s="20"/>
      <c r="X354" s="20"/>
      <c r="Y354" s="20"/>
      <c r="Z354" s="20"/>
    </row>
    <row r="355" spans="1:26" ht="17.25" customHeight="1">
      <c r="A355" s="15"/>
      <c r="B355" s="15"/>
      <c r="C355" s="15"/>
      <c r="D355" s="15"/>
      <c r="E355" s="15"/>
      <c r="F355" s="15"/>
      <c r="G355" s="15"/>
      <c r="H355" s="15"/>
      <c r="I355" s="45"/>
      <c r="J355" s="47"/>
      <c r="K355" s="20"/>
      <c r="L355" s="20"/>
      <c r="M355" s="20"/>
      <c r="N355" s="20"/>
      <c r="O355" s="20"/>
      <c r="P355" s="20"/>
      <c r="Q355" s="20"/>
      <c r="R355" s="20"/>
      <c r="S355" s="20"/>
      <c r="T355" s="20"/>
      <c r="U355" s="20"/>
      <c r="V355" s="20"/>
      <c r="W355" s="20"/>
      <c r="X355" s="20"/>
      <c r="Y355" s="20"/>
      <c r="Z355" s="20"/>
    </row>
    <row r="356" spans="1:26" ht="17.25" customHeight="1">
      <c r="A356" s="15"/>
      <c r="B356" s="15"/>
      <c r="C356" s="15"/>
      <c r="D356" s="15"/>
      <c r="E356" s="15"/>
      <c r="F356" s="15"/>
      <c r="G356" s="15"/>
      <c r="H356" s="15"/>
      <c r="I356" s="45"/>
      <c r="J356" s="47"/>
      <c r="K356" s="20"/>
      <c r="L356" s="20"/>
      <c r="M356" s="20"/>
      <c r="N356" s="20"/>
      <c r="O356" s="20"/>
      <c r="P356" s="20"/>
      <c r="Q356" s="20"/>
      <c r="R356" s="20"/>
      <c r="S356" s="20"/>
      <c r="T356" s="20"/>
      <c r="U356" s="20"/>
      <c r="V356" s="20"/>
      <c r="W356" s="20"/>
      <c r="X356" s="20"/>
      <c r="Y356" s="20"/>
      <c r="Z356" s="20"/>
    </row>
    <row r="357" spans="1:26" ht="17.25" customHeight="1">
      <c r="A357" s="15"/>
      <c r="B357" s="15"/>
      <c r="C357" s="15"/>
      <c r="D357" s="15"/>
      <c r="E357" s="15"/>
      <c r="F357" s="15"/>
      <c r="G357" s="15"/>
      <c r="H357" s="15"/>
      <c r="I357" s="45"/>
      <c r="J357" s="47"/>
      <c r="K357" s="20"/>
      <c r="L357" s="20"/>
      <c r="M357" s="20"/>
      <c r="N357" s="20"/>
      <c r="O357" s="20"/>
      <c r="P357" s="20"/>
      <c r="Q357" s="20"/>
      <c r="R357" s="20"/>
      <c r="S357" s="20"/>
      <c r="T357" s="20"/>
      <c r="U357" s="20"/>
      <c r="V357" s="20"/>
      <c r="W357" s="20"/>
      <c r="X357" s="20"/>
      <c r="Y357" s="20"/>
      <c r="Z357" s="20"/>
    </row>
    <row r="358" spans="1:26" ht="17.25" customHeight="1">
      <c r="A358" s="15"/>
      <c r="B358" s="15"/>
      <c r="C358" s="15"/>
      <c r="D358" s="15"/>
      <c r="E358" s="15"/>
      <c r="F358" s="15"/>
      <c r="G358" s="15"/>
      <c r="H358" s="15"/>
      <c r="I358" s="45"/>
      <c r="J358" s="47"/>
      <c r="K358" s="20"/>
      <c r="L358" s="20"/>
      <c r="M358" s="20"/>
      <c r="N358" s="20"/>
      <c r="O358" s="20"/>
      <c r="P358" s="20"/>
      <c r="Q358" s="20"/>
      <c r="R358" s="20"/>
      <c r="S358" s="20"/>
      <c r="T358" s="20"/>
      <c r="U358" s="20"/>
      <c r="V358" s="20"/>
      <c r="W358" s="20"/>
      <c r="X358" s="20"/>
      <c r="Y358" s="20"/>
      <c r="Z358" s="20"/>
    </row>
    <row r="359" spans="1:26" ht="17.25" customHeight="1">
      <c r="A359" s="15"/>
      <c r="B359" s="15"/>
      <c r="C359" s="15"/>
      <c r="D359" s="15"/>
      <c r="E359" s="15"/>
      <c r="F359" s="15"/>
      <c r="G359" s="15"/>
      <c r="H359" s="15"/>
      <c r="I359" s="45"/>
      <c r="J359" s="47"/>
      <c r="K359" s="20"/>
      <c r="L359" s="20"/>
      <c r="M359" s="20"/>
      <c r="N359" s="20"/>
      <c r="O359" s="20"/>
      <c r="P359" s="20"/>
      <c r="Q359" s="20"/>
      <c r="R359" s="20"/>
      <c r="S359" s="20"/>
      <c r="T359" s="20"/>
      <c r="U359" s="20"/>
      <c r="V359" s="20"/>
      <c r="W359" s="20"/>
      <c r="X359" s="20"/>
      <c r="Y359" s="20"/>
      <c r="Z359" s="20"/>
    </row>
    <row r="360" spans="1:26" ht="17.25" customHeight="1">
      <c r="A360" s="15"/>
      <c r="B360" s="15"/>
      <c r="C360" s="15"/>
      <c r="D360" s="15"/>
      <c r="E360" s="15"/>
      <c r="F360" s="15"/>
      <c r="G360" s="15"/>
      <c r="H360" s="15"/>
      <c r="I360" s="45"/>
      <c r="J360" s="47"/>
      <c r="K360" s="20"/>
      <c r="L360" s="20"/>
      <c r="M360" s="20"/>
      <c r="N360" s="20"/>
      <c r="O360" s="20"/>
      <c r="P360" s="20"/>
      <c r="Q360" s="20"/>
      <c r="R360" s="20"/>
      <c r="S360" s="20"/>
      <c r="T360" s="20"/>
      <c r="U360" s="20"/>
      <c r="V360" s="20"/>
      <c r="W360" s="20"/>
      <c r="X360" s="20"/>
      <c r="Y360" s="20"/>
      <c r="Z360" s="20"/>
    </row>
    <row r="361" spans="1:26" ht="17.25" customHeight="1">
      <c r="A361" s="15"/>
      <c r="B361" s="15"/>
      <c r="C361" s="15"/>
      <c r="D361" s="15"/>
      <c r="E361" s="15"/>
      <c r="F361" s="15"/>
      <c r="G361" s="15"/>
      <c r="H361" s="15"/>
      <c r="I361" s="45"/>
      <c r="J361" s="47"/>
      <c r="K361" s="20"/>
      <c r="L361" s="20"/>
      <c r="M361" s="20"/>
      <c r="N361" s="20"/>
      <c r="O361" s="20"/>
      <c r="P361" s="20"/>
      <c r="Q361" s="20"/>
      <c r="R361" s="20"/>
      <c r="S361" s="20"/>
      <c r="T361" s="20"/>
      <c r="U361" s="20"/>
      <c r="V361" s="20"/>
      <c r="W361" s="20"/>
      <c r="X361" s="20"/>
      <c r="Y361" s="20"/>
      <c r="Z361" s="20"/>
    </row>
    <row r="362" spans="1:26" ht="17.25" customHeight="1">
      <c r="A362" s="15"/>
      <c r="B362" s="15"/>
      <c r="C362" s="15"/>
      <c r="D362" s="15"/>
      <c r="E362" s="15"/>
      <c r="F362" s="15"/>
      <c r="G362" s="15"/>
      <c r="H362" s="15"/>
      <c r="I362" s="45"/>
      <c r="J362" s="47"/>
      <c r="K362" s="20"/>
      <c r="L362" s="20"/>
      <c r="M362" s="20"/>
      <c r="N362" s="20"/>
      <c r="O362" s="20"/>
      <c r="P362" s="20"/>
      <c r="Q362" s="20"/>
      <c r="R362" s="20"/>
      <c r="S362" s="20"/>
      <c r="T362" s="20"/>
      <c r="U362" s="20"/>
      <c r="V362" s="20"/>
      <c r="W362" s="20"/>
      <c r="X362" s="20"/>
      <c r="Y362" s="20"/>
      <c r="Z362" s="20"/>
    </row>
    <row r="363" spans="1:26" ht="17.25" customHeight="1">
      <c r="A363" s="15"/>
      <c r="B363" s="15"/>
      <c r="C363" s="15"/>
      <c r="D363" s="15"/>
      <c r="E363" s="15"/>
      <c r="F363" s="15"/>
      <c r="G363" s="15"/>
      <c r="H363" s="15"/>
      <c r="I363" s="45"/>
      <c r="J363" s="47"/>
      <c r="K363" s="20"/>
      <c r="L363" s="20"/>
      <c r="M363" s="20"/>
      <c r="N363" s="20"/>
      <c r="O363" s="20"/>
      <c r="P363" s="20"/>
      <c r="Q363" s="20"/>
      <c r="R363" s="20"/>
      <c r="S363" s="20"/>
      <c r="T363" s="20"/>
      <c r="U363" s="20"/>
      <c r="V363" s="20"/>
      <c r="W363" s="20"/>
      <c r="X363" s="20"/>
      <c r="Y363" s="20"/>
      <c r="Z363" s="20"/>
    </row>
    <row r="364" spans="1:26" ht="17.25" customHeight="1">
      <c r="A364" s="15"/>
      <c r="B364" s="15"/>
      <c r="C364" s="15"/>
      <c r="D364" s="15"/>
      <c r="E364" s="15"/>
      <c r="F364" s="15"/>
      <c r="G364" s="15"/>
      <c r="H364" s="15"/>
      <c r="I364" s="45"/>
      <c r="J364" s="47"/>
      <c r="K364" s="20"/>
      <c r="L364" s="20"/>
      <c r="M364" s="20"/>
      <c r="N364" s="20"/>
      <c r="O364" s="20"/>
      <c r="P364" s="20"/>
      <c r="Q364" s="20"/>
      <c r="R364" s="20"/>
      <c r="S364" s="20"/>
      <c r="T364" s="20"/>
      <c r="U364" s="20"/>
      <c r="V364" s="20"/>
      <c r="W364" s="20"/>
      <c r="X364" s="20"/>
      <c r="Y364" s="20"/>
      <c r="Z364" s="20"/>
    </row>
    <row r="365" spans="1:26" ht="17.25" customHeight="1">
      <c r="A365" s="15"/>
      <c r="B365" s="15"/>
      <c r="C365" s="15"/>
      <c r="D365" s="15"/>
      <c r="E365" s="15"/>
      <c r="F365" s="15"/>
      <c r="G365" s="15"/>
      <c r="H365" s="15"/>
      <c r="I365" s="45"/>
      <c r="J365" s="47"/>
      <c r="K365" s="20"/>
      <c r="L365" s="20"/>
      <c r="M365" s="20"/>
      <c r="N365" s="20"/>
      <c r="O365" s="20"/>
      <c r="P365" s="20"/>
      <c r="Q365" s="20"/>
      <c r="R365" s="20"/>
      <c r="S365" s="20"/>
      <c r="T365" s="20"/>
      <c r="U365" s="20"/>
      <c r="V365" s="20"/>
      <c r="W365" s="20"/>
      <c r="X365" s="20"/>
      <c r="Y365" s="20"/>
      <c r="Z365" s="20"/>
    </row>
    <row r="366" spans="1:26" ht="17.25" customHeight="1">
      <c r="A366" s="15"/>
      <c r="B366" s="15"/>
      <c r="C366" s="15"/>
      <c r="D366" s="15"/>
      <c r="E366" s="15"/>
      <c r="F366" s="15"/>
      <c r="G366" s="15"/>
      <c r="H366" s="15"/>
      <c r="I366" s="45"/>
      <c r="J366" s="47"/>
      <c r="K366" s="20"/>
      <c r="L366" s="20"/>
      <c r="M366" s="20"/>
      <c r="N366" s="20"/>
      <c r="O366" s="20"/>
      <c r="P366" s="20"/>
      <c r="Q366" s="20"/>
      <c r="R366" s="20"/>
      <c r="S366" s="20"/>
      <c r="T366" s="20"/>
      <c r="U366" s="20"/>
      <c r="V366" s="20"/>
      <c r="W366" s="20"/>
      <c r="X366" s="20"/>
      <c r="Y366" s="20"/>
      <c r="Z366" s="20"/>
    </row>
    <row r="367" spans="1:26" ht="17.25" customHeight="1">
      <c r="A367" s="15"/>
      <c r="B367" s="15"/>
      <c r="C367" s="15"/>
      <c r="D367" s="15"/>
      <c r="E367" s="15"/>
      <c r="F367" s="15"/>
      <c r="G367" s="15"/>
      <c r="H367" s="15"/>
      <c r="I367" s="45"/>
      <c r="J367" s="47"/>
      <c r="K367" s="20"/>
      <c r="L367" s="20"/>
      <c r="M367" s="20"/>
      <c r="N367" s="20"/>
      <c r="O367" s="20"/>
      <c r="P367" s="20"/>
      <c r="Q367" s="20"/>
      <c r="R367" s="20"/>
      <c r="S367" s="20"/>
      <c r="T367" s="20"/>
      <c r="U367" s="20"/>
      <c r="V367" s="20"/>
      <c r="W367" s="20"/>
      <c r="X367" s="20"/>
      <c r="Y367" s="20"/>
      <c r="Z367" s="20"/>
    </row>
    <row r="368" spans="1:26" ht="17.25" customHeight="1">
      <c r="A368" s="15"/>
      <c r="B368" s="15"/>
      <c r="C368" s="15"/>
      <c r="D368" s="15"/>
      <c r="E368" s="15"/>
      <c r="F368" s="15"/>
      <c r="G368" s="15"/>
      <c r="H368" s="15"/>
      <c r="I368" s="45"/>
      <c r="J368" s="47"/>
      <c r="K368" s="20"/>
      <c r="L368" s="20"/>
      <c r="M368" s="20"/>
      <c r="N368" s="20"/>
      <c r="O368" s="20"/>
      <c r="P368" s="20"/>
      <c r="Q368" s="20"/>
      <c r="R368" s="20"/>
      <c r="S368" s="20"/>
      <c r="T368" s="20"/>
      <c r="U368" s="20"/>
      <c r="V368" s="20"/>
      <c r="W368" s="20"/>
      <c r="X368" s="20"/>
      <c r="Y368" s="20"/>
      <c r="Z368" s="20"/>
    </row>
    <row r="369" spans="1:26" ht="17.25" customHeight="1">
      <c r="A369" s="15"/>
      <c r="B369" s="15"/>
      <c r="C369" s="15"/>
      <c r="D369" s="15"/>
      <c r="E369" s="15"/>
      <c r="F369" s="15"/>
      <c r="G369" s="15"/>
      <c r="H369" s="15"/>
      <c r="I369" s="45"/>
      <c r="J369" s="47"/>
      <c r="K369" s="20"/>
      <c r="L369" s="20"/>
      <c r="M369" s="20"/>
      <c r="N369" s="20"/>
      <c r="O369" s="20"/>
      <c r="P369" s="20"/>
      <c r="Q369" s="20"/>
      <c r="R369" s="20"/>
      <c r="S369" s="20"/>
      <c r="T369" s="20"/>
      <c r="U369" s="20"/>
      <c r="V369" s="20"/>
      <c r="W369" s="20"/>
      <c r="X369" s="20"/>
      <c r="Y369" s="20"/>
      <c r="Z369" s="20"/>
    </row>
    <row r="370" spans="1:26" ht="17.25" customHeight="1">
      <c r="A370" s="15"/>
      <c r="B370" s="15"/>
      <c r="C370" s="15"/>
      <c r="D370" s="15"/>
      <c r="E370" s="15"/>
      <c r="F370" s="15"/>
      <c r="G370" s="15"/>
      <c r="H370" s="15"/>
      <c r="I370" s="45"/>
      <c r="J370" s="47"/>
      <c r="K370" s="20"/>
      <c r="L370" s="20"/>
      <c r="M370" s="20"/>
      <c r="N370" s="20"/>
      <c r="O370" s="20"/>
      <c r="P370" s="20"/>
      <c r="Q370" s="20"/>
      <c r="R370" s="20"/>
      <c r="S370" s="20"/>
      <c r="T370" s="20"/>
      <c r="U370" s="20"/>
      <c r="V370" s="20"/>
      <c r="W370" s="20"/>
      <c r="X370" s="20"/>
      <c r="Y370" s="20"/>
      <c r="Z370" s="20"/>
    </row>
    <row r="371" spans="1:26" ht="17.25" customHeight="1">
      <c r="A371" s="15"/>
      <c r="B371" s="15"/>
      <c r="C371" s="15"/>
      <c r="D371" s="15"/>
      <c r="E371" s="15"/>
      <c r="F371" s="15"/>
      <c r="G371" s="15"/>
      <c r="H371" s="15"/>
      <c r="I371" s="45"/>
      <c r="J371" s="47"/>
      <c r="K371" s="20"/>
      <c r="L371" s="20"/>
      <c r="M371" s="20"/>
      <c r="N371" s="20"/>
      <c r="O371" s="20"/>
      <c r="P371" s="20"/>
      <c r="Q371" s="20"/>
      <c r="R371" s="20"/>
      <c r="S371" s="20"/>
      <c r="T371" s="20"/>
      <c r="U371" s="20"/>
      <c r="V371" s="20"/>
      <c r="W371" s="20"/>
      <c r="X371" s="20"/>
      <c r="Y371" s="20"/>
      <c r="Z371" s="20"/>
    </row>
    <row r="372" spans="1:26" ht="17.25" customHeight="1">
      <c r="A372" s="15"/>
      <c r="B372" s="15"/>
      <c r="C372" s="15"/>
      <c r="D372" s="15"/>
      <c r="E372" s="15"/>
      <c r="F372" s="15"/>
      <c r="G372" s="15"/>
      <c r="H372" s="15"/>
      <c r="I372" s="45"/>
      <c r="J372" s="47"/>
      <c r="K372" s="20"/>
      <c r="L372" s="20"/>
      <c r="M372" s="20"/>
      <c r="N372" s="20"/>
      <c r="O372" s="20"/>
      <c r="P372" s="20"/>
      <c r="Q372" s="20"/>
      <c r="R372" s="20"/>
      <c r="S372" s="20"/>
      <c r="T372" s="20"/>
      <c r="U372" s="20"/>
      <c r="V372" s="20"/>
      <c r="W372" s="20"/>
      <c r="X372" s="20"/>
      <c r="Y372" s="20"/>
      <c r="Z372" s="20"/>
    </row>
    <row r="373" spans="1:26" ht="17.25" customHeight="1">
      <c r="A373" s="15"/>
      <c r="B373" s="15"/>
      <c r="C373" s="15"/>
      <c r="D373" s="15"/>
      <c r="E373" s="15"/>
      <c r="F373" s="15"/>
      <c r="G373" s="15"/>
      <c r="H373" s="15"/>
      <c r="I373" s="45"/>
      <c r="J373" s="47"/>
      <c r="K373" s="20"/>
      <c r="L373" s="20"/>
      <c r="M373" s="20"/>
      <c r="N373" s="20"/>
      <c r="O373" s="20"/>
      <c r="P373" s="20"/>
      <c r="Q373" s="20"/>
      <c r="R373" s="20"/>
      <c r="S373" s="20"/>
      <c r="T373" s="20"/>
      <c r="U373" s="20"/>
      <c r="V373" s="20"/>
      <c r="W373" s="20"/>
      <c r="X373" s="20"/>
      <c r="Y373" s="20"/>
      <c r="Z373" s="20"/>
    </row>
    <row r="374" spans="1:26" ht="17.25" customHeight="1">
      <c r="A374" s="15"/>
      <c r="B374" s="15"/>
      <c r="C374" s="15"/>
      <c r="D374" s="15"/>
      <c r="E374" s="15"/>
      <c r="F374" s="15"/>
      <c r="G374" s="15"/>
      <c r="H374" s="15"/>
      <c r="I374" s="45"/>
      <c r="J374" s="47"/>
      <c r="K374" s="20"/>
      <c r="L374" s="20"/>
      <c r="M374" s="20"/>
      <c r="N374" s="20"/>
      <c r="O374" s="20"/>
      <c r="P374" s="20"/>
      <c r="Q374" s="20"/>
      <c r="R374" s="20"/>
      <c r="S374" s="20"/>
      <c r="T374" s="20"/>
      <c r="U374" s="20"/>
      <c r="V374" s="20"/>
      <c r="W374" s="20"/>
      <c r="X374" s="20"/>
      <c r="Y374" s="20"/>
      <c r="Z374" s="20"/>
    </row>
    <row r="375" spans="1:26" ht="17.25" customHeight="1">
      <c r="A375" s="15"/>
      <c r="B375" s="15"/>
      <c r="C375" s="15"/>
      <c r="D375" s="15"/>
      <c r="E375" s="15"/>
      <c r="F375" s="15"/>
      <c r="G375" s="15"/>
      <c r="H375" s="15"/>
      <c r="I375" s="45"/>
      <c r="J375" s="47"/>
      <c r="K375" s="20"/>
      <c r="L375" s="20"/>
      <c r="M375" s="20"/>
      <c r="N375" s="20"/>
      <c r="O375" s="20"/>
      <c r="P375" s="20"/>
      <c r="Q375" s="20"/>
      <c r="R375" s="20"/>
      <c r="S375" s="20"/>
      <c r="T375" s="20"/>
      <c r="U375" s="20"/>
      <c r="V375" s="20"/>
      <c r="W375" s="20"/>
      <c r="X375" s="20"/>
      <c r="Y375" s="20"/>
      <c r="Z375" s="20"/>
    </row>
    <row r="376" spans="1:26" ht="17.25" customHeight="1">
      <c r="A376" s="15"/>
      <c r="B376" s="15"/>
      <c r="C376" s="15"/>
      <c r="D376" s="15"/>
      <c r="E376" s="15"/>
      <c r="F376" s="15"/>
      <c r="G376" s="15"/>
      <c r="H376" s="15"/>
      <c r="I376" s="45"/>
      <c r="J376" s="47"/>
      <c r="K376" s="20"/>
      <c r="L376" s="20"/>
      <c r="M376" s="20"/>
      <c r="N376" s="20"/>
      <c r="O376" s="20"/>
      <c r="P376" s="20"/>
      <c r="Q376" s="20"/>
      <c r="R376" s="20"/>
      <c r="S376" s="20"/>
      <c r="T376" s="20"/>
      <c r="U376" s="20"/>
      <c r="V376" s="20"/>
      <c r="W376" s="20"/>
      <c r="X376" s="20"/>
      <c r="Y376" s="20"/>
      <c r="Z376" s="20"/>
    </row>
    <row r="377" spans="1:26" ht="17.25" customHeight="1">
      <c r="A377" s="15"/>
      <c r="B377" s="15"/>
      <c r="C377" s="15"/>
      <c r="D377" s="15"/>
      <c r="E377" s="15"/>
      <c r="F377" s="15"/>
      <c r="G377" s="15"/>
      <c r="H377" s="15"/>
      <c r="I377" s="45"/>
      <c r="J377" s="47"/>
      <c r="K377" s="20"/>
      <c r="L377" s="20"/>
      <c r="M377" s="20"/>
      <c r="N377" s="20"/>
      <c r="O377" s="20"/>
      <c r="P377" s="20"/>
      <c r="Q377" s="20"/>
      <c r="R377" s="20"/>
      <c r="S377" s="20"/>
      <c r="T377" s="20"/>
      <c r="U377" s="20"/>
      <c r="V377" s="20"/>
      <c r="W377" s="20"/>
      <c r="X377" s="20"/>
      <c r="Y377" s="20"/>
      <c r="Z377" s="20"/>
    </row>
    <row r="378" spans="1:26" ht="17.25" customHeight="1">
      <c r="A378" s="15"/>
      <c r="B378" s="15"/>
      <c r="C378" s="15"/>
      <c r="D378" s="15"/>
      <c r="E378" s="15"/>
      <c r="F378" s="15"/>
      <c r="G378" s="15"/>
      <c r="H378" s="15"/>
      <c r="I378" s="45"/>
      <c r="J378" s="47"/>
      <c r="K378" s="20"/>
      <c r="L378" s="20"/>
      <c r="M378" s="20"/>
      <c r="N378" s="20"/>
      <c r="O378" s="20"/>
      <c r="P378" s="20"/>
      <c r="Q378" s="20"/>
      <c r="R378" s="20"/>
      <c r="S378" s="20"/>
      <c r="T378" s="20"/>
      <c r="U378" s="20"/>
      <c r="V378" s="20"/>
      <c r="W378" s="20"/>
      <c r="X378" s="20"/>
      <c r="Y378" s="20"/>
      <c r="Z378" s="20"/>
    </row>
    <row r="379" spans="1:26" ht="17.25" customHeight="1">
      <c r="A379" s="15"/>
      <c r="B379" s="15"/>
      <c r="C379" s="15"/>
      <c r="D379" s="15"/>
      <c r="E379" s="15"/>
      <c r="F379" s="15"/>
      <c r="G379" s="15"/>
      <c r="H379" s="15"/>
      <c r="I379" s="45"/>
      <c r="J379" s="47"/>
      <c r="K379" s="20"/>
      <c r="L379" s="20"/>
      <c r="M379" s="20"/>
      <c r="N379" s="20"/>
      <c r="O379" s="20"/>
      <c r="P379" s="20"/>
      <c r="Q379" s="20"/>
      <c r="R379" s="20"/>
      <c r="S379" s="20"/>
      <c r="T379" s="20"/>
      <c r="U379" s="20"/>
      <c r="V379" s="20"/>
      <c r="W379" s="20"/>
      <c r="X379" s="20"/>
      <c r="Y379" s="20"/>
      <c r="Z379" s="20"/>
    </row>
    <row r="380" spans="1:26" ht="17.25" customHeight="1">
      <c r="A380" s="15"/>
      <c r="B380" s="15"/>
      <c r="C380" s="15"/>
      <c r="D380" s="15"/>
      <c r="E380" s="15"/>
      <c r="F380" s="15"/>
      <c r="G380" s="15"/>
      <c r="H380" s="15"/>
      <c r="I380" s="45"/>
      <c r="J380" s="47"/>
      <c r="K380" s="20"/>
      <c r="L380" s="20"/>
      <c r="M380" s="20"/>
      <c r="N380" s="20"/>
      <c r="O380" s="20"/>
      <c r="P380" s="20"/>
      <c r="Q380" s="20"/>
      <c r="R380" s="20"/>
      <c r="S380" s="20"/>
      <c r="T380" s="20"/>
      <c r="U380" s="20"/>
      <c r="V380" s="20"/>
      <c r="W380" s="20"/>
      <c r="X380" s="20"/>
      <c r="Y380" s="20"/>
      <c r="Z380" s="20"/>
    </row>
    <row r="381" spans="1:26" ht="17.25" customHeight="1">
      <c r="A381" s="15"/>
      <c r="B381" s="15"/>
      <c r="C381" s="15"/>
      <c r="D381" s="15"/>
      <c r="E381" s="15"/>
      <c r="F381" s="15"/>
      <c r="G381" s="15"/>
      <c r="H381" s="15"/>
      <c r="I381" s="45"/>
      <c r="J381" s="47"/>
      <c r="K381" s="20"/>
      <c r="L381" s="20"/>
      <c r="M381" s="20"/>
      <c r="N381" s="20"/>
      <c r="O381" s="20"/>
      <c r="P381" s="20"/>
      <c r="Q381" s="20"/>
      <c r="R381" s="20"/>
      <c r="S381" s="20"/>
      <c r="T381" s="20"/>
      <c r="U381" s="20"/>
      <c r="V381" s="20"/>
      <c r="W381" s="20"/>
      <c r="X381" s="20"/>
      <c r="Y381" s="20"/>
      <c r="Z381" s="20"/>
    </row>
    <row r="382" spans="1:26" ht="17.25" customHeight="1">
      <c r="A382" s="15"/>
      <c r="B382" s="15"/>
      <c r="C382" s="15"/>
      <c r="D382" s="15"/>
      <c r="E382" s="15"/>
      <c r="F382" s="15"/>
      <c r="G382" s="15"/>
      <c r="H382" s="15"/>
      <c r="I382" s="45"/>
      <c r="J382" s="47"/>
      <c r="K382" s="20"/>
      <c r="L382" s="20"/>
      <c r="M382" s="20"/>
      <c r="N382" s="20"/>
      <c r="O382" s="20"/>
      <c r="P382" s="20"/>
      <c r="Q382" s="20"/>
      <c r="R382" s="20"/>
      <c r="S382" s="20"/>
      <c r="T382" s="20"/>
      <c r="U382" s="20"/>
      <c r="V382" s="20"/>
      <c r="W382" s="20"/>
      <c r="X382" s="20"/>
      <c r="Y382" s="20"/>
      <c r="Z382" s="20"/>
    </row>
    <row r="383" spans="1:26" ht="17.25" customHeight="1">
      <c r="A383" s="15"/>
      <c r="B383" s="15"/>
      <c r="C383" s="15"/>
      <c r="D383" s="15"/>
      <c r="E383" s="15"/>
      <c r="F383" s="15"/>
      <c r="G383" s="15"/>
      <c r="H383" s="15"/>
      <c r="I383" s="45"/>
      <c r="J383" s="47"/>
      <c r="K383" s="20"/>
      <c r="L383" s="20"/>
      <c r="M383" s="20"/>
      <c r="N383" s="20"/>
      <c r="O383" s="20"/>
      <c r="P383" s="20"/>
      <c r="Q383" s="20"/>
      <c r="R383" s="20"/>
      <c r="S383" s="20"/>
      <c r="T383" s="20"/>
      <c r="U383" s="20"/>
      <c r="V383" s="20"/>
      <c r="W383" s="20"/>
      <c r="X383" s="20"/>
      <c r="Y383" s="20"/>
      <c r="Z383" s="20"/>
    </row>
    <row r="384" spans="1:26" ht="17.25" customHeight="1">
      <c r="A384" s="15"/>
      <c r="B384" s="15"/>
      <c r="C384" s="15"/>
      <c r="D384" s="15"/>
      <c r="E384" s="15"/>
      <c r="F384" s="15"/>
      <c r="G384" s="15"/>
      <c r="H384" s="15"/>
      <c r="I384" s="45"/>
      <c r="J384" s="47"/>
      <c r="K384" s="20"/>
      <c r="L384" s="20"/>
      <c r="M384" s="20"/>
      <c r="N384" s="20"/>
      <c r="O384" s="20"/>
      <c r="P384" s="20"/>
      <c r="Q384" s="20"/>
      <c r="R384" s="20"/>
      <c r="S384" s="20"/>
      <c r="T384" s="20"/>
      <c r="U384" s="20"/>
      <c r="V384" s="20"/>
      <c r="W384" s="20"/>
      <c r="X384" s="20"/>
      <c r="Y384" s="20"/>
      <c r="Z384" s="20"/>
    </row>
    <row r="385" spans="1:26" ht="17.25" customHeight="1">
      <c r="A385" s="15"/>
      <c r="B385" s="15"/>
      <c r="C385" s="15"/>
      <c r="D385" s="15"/>
      <c r="E385" s="15"/>
      <c r="F385" s="15"/>
      <c r="G385" s="15"/>
      <c r="H385" s="15"/>
      <c r="I385" s="45"/>
      <c r="J385" s="47"/>
      <c r="K385" s="20"/>
      <c r="L385" s="20"/>
      <c r="M385" s="20"/>
      <c r="N385" s="20"/>
      <c r="O385" s="20"/>
      <c r="P385" s="20"/>
      <c r="Q385" s="20"/>
      <c r="R385" s="20"/>
      <c r="S385" s="20"/>
      <c r="T385" s="20"/>
      <c r="U385" s="20"/>
      <c r="V385" s="20"/>
      <c r="W385" s="20"/>
      <c r="X385" s="20"/>
      <c r="Y385" s="20"/>
      <c r="Z385" s="20"/>
    </row>
    <row r="386" spans="1:26" ht="17.25" customHeight="1">
      <c r="A386" s="15"/>
      <c r="B386" s="15"/>
      <c r="C386" s="15"/>
      <c r="D386" s="15"/>
      <c r="E386" s="15"/>
      <c r="F386" s="15"/>
      <c r="G386" s="15"/>
      <c r="H386" s="15"/>
      <c r="I386" s="45"/>
      <c r="J386" s="47"/>
      <c r="K386" s="20"/>
      <c r="L386" s="20"/>
      <c r="M386" s="20"/>
      <c r="N386" s="20"/>
      <c r="O386" s="20"/>
      <c r="P386" s="20"/>
      <c r="Q386" s="20"/>
      <c r="R386" s="20"/>
      <c r="S386" s="20"/>
      <c r="T386" s="20"/>
      <c r="U386" s="20"/>
      <c r="V386" s="20"/>
      <c r="W386" s="20"/>
      <c r="X386" s="20"/>
      <c r="Y386" s="20"/>
      <c r="Z386" s="20"/>
    </row>
    <row r="387" spans="1:26" ht="17.25" customHeight="1">
      <c r="A387" s="15"/>
      <c r="B387" s="15"/>
      <c r="C387" s="15"/>
      <c r="D387" s="15"/>
      <c r="E387" s="15"/>
      <c r="F387" s="15"/>
      <c r="G387" s="15"/>
      <c r="H387" s="15"/>
      <c r="I387" s="45"/>
      <c r="J387" s="47"/>
      <c r="K387" s="20"/>
      <c r="L387" s="20"/>
      <c r="M387" s="20"/>
      <c r="N387" s="20"/>
      <c r="O387" s="20"/>
      <c r="P387" s="20"/>
      <c r="Q387" s="20"/>
      <c r="R387" s="20"/>
      <c r="S387" s="20"/>
      <c r="T387" s="20"/>
      <c r="U387" s="20"/>
      <c r="V387" s="20"/>
      <c r="W387" s="20"/>
      <c r="X387" s="20"/>
      <c r="Y387" s="20"/>
      <c r="Z387" s="20"/>
    </row>
    <row r="388" spans="1:26" ht="17.25" customHeight="1">
      <c r="A388" s="15"/>
      <c r="B388" s="15"/>
      <c r="C388" s="15"/>
      <c r="D388" s="15"/>
      <c r="E388" s="15"/>
      <c r="F388" s="15"/>
      <c r="G388" s="15"/>
      <c r="H388" s="15"/>
      <c r="I388" s="45"/>
      <c r="J388" s="47"/>
      <c r="K388" s="20"/>
      <c r="L388" s="20"/>
      <c r="M388" s="20"/>
      <c r="N388" s="20"/>
      <c r="O388" s="20"/>
      <c r="P388" s="20"/>
      <c r="Q388" s="20"/>
      <c r="R388" s="20"/>
      <c r="S388" s="20"/>
      <c r="T388" s="20"/>
      <c r="U388" s="20"/>
      <c r="V388" s="20"/>
      <c r="W388" s="20"/>
      <c r="X388" s="20"/>
      <c r="Y388" s="20"/>
      <c r="Z388" s="20"/>
    </row>
    <row r="389" spans="1:26" ht="17.25" customHeight="1">
      <c r="A389" s="15"/>
      <c r="B389" s="15"/>
      <c r="C389" s="15"/>
      <c r="D389" s="15"/>
      <c r="E389" s="15"/>
      <c r="F389" s="15"/>
      <c r="G389" s="15"/>
      <c r="H389" s="15"/>
      <c r="I389" s="45"/>
      <c r="J389" s="47"/>
      <c r="K389" s="20"/>
      <c r="L389" s="20"/>
      <c r="M389" s="20"/>
      <c r="N389" s="20"/>
      <c r="O389" s="20"/>
      <c r="P389" s="20"/>
      <c r="Q389" s="20"/>
      <c r="R389" s="20"/>
      <c r="S389" s="20"/>
      <c r="T389" s="20"/>
      <c r="U389" s="20"/>
      <c r="V389" s="20"/>
      <c r="W389" s="20"/>
      <c r="X389" s="20"/>
      <c r="Y389" s="20"/>
      <c r="Z389" s="20"/>
    </row>
    <row r="390" spans="1:26" ht="17.25" customHeight="1">
      <c r="A390" s="15"/>
      <c r="B390" s="15"/>
      <c r="C390" s="15"/>
      <c r="D390" s="15"/>
      <c r="E390" s="15"/>
      <c r="F390" s="15"/>
      <c r="G390" s="15"/>
      <c r="H390" s="15"/>
      <c r="I390" s="45"/>
      <c r="J390" s="47"/>
      <c r="K390" s="20"/>
      <c r="L390" s="20"/>
      <c r="M390" s="20"/>
      <c r="N390" s="20"/>
      <c r="O390" s="20"/>
      <c r="P390" s="20"/>
      <c r="Q390" s="20"/>
      <c r="R390" s="20"/>
      <c r="S390" s="20"/>
      <c r="T390" s="20"/>
      <c r="U390" s="20"/>
      <c r="V390" s="20"/>
      <c r="W390" s="20"/>
      <c r="X390" s="20"/>
      <c r="Y390" s="20"/>
      <c r="Z390" s="20"/>
    </row>
    <row r="391" spans="1:26" ht="17.25" customHeight="1">
      <c r="A391" s="15"/>
      <c r="B391" s="15"/>
      <c r="C391" s="15"/>
      <c r="D391" s="15"/>
      <c r="E391" s="15"/>
      <c r="F391" s="15"/>
      <c r="G391" s="15"/>
      <c r="H391" s="15"/>
      <c r="I391" s="45"/>
      <c r="J391" s="47"/>
      <c r="K391" s="20"/>
      <c r="L391" s="20"/>
      <c r="M391" s="20"/>
      <c r="N391" s="20"/>
      <c r="O391" s="20"/>
      <c r="P391" s="20"/>
      <c r="Q391" s="20"/>
      <c r="R391" s="20"/>
      <c r="S391" s="20"/>
      <c r="T391" s="20"/>
      <c r="U391" s="20"/>
      <c r="V391" s="20"/>
      <c r="W391" s="20"/>
      <c r="X391" s="20"/>
      <c r="Y391" s="20"/>
      <c r="Z391" s="20"/>
    </row>
    <row r="392" spans="1:26" ht="17.25" customHeight="1">
      <c r="A392" s="15"/>
      <c r="B392" s="15"/>
      <c r="C392" s="15"/>
      <c r="D392" s="15"/>
      <c r="E392" s="15"/>
      <c r="F392" s="15"/>
      <c r="G392" s="15"/>
      <c r="H392" s="15"/>
      <c r="I392" s="45"/>
      <c r="J392" s="47"/>
      <c r="K392" s="20"/>
      <c r="L392" s="20"/>
      <c r="M392" s="20"/>
      <c r="N392" s="20"/>
      <c r="O392" s="20"/>
      <c r="P392" s="20"/>
      <c r="Q392" s="20"/>
      <c r="R392" s="20"/>
      <c r="S392" s="20"/>
      <c r="T392" s="20"/>
      <c r="U392" s="20"/>
      <c r="V392" s="20"/>
      <c r="W392" s="20"/>
      <c r="X392" s="20"/>
      <c r="Y392" s="20"/>
      <c r="Z392" s="20"/>
    </row>
    <row r="393" spans="1:26" ht="17.25" customHeight="1">
      <c r="A393" s="15"/>
      <c r="B393" s="15"/>
      <c r="C393" s="15"/>
      <c r="D393" s="15"/>
      <c r="E393" s="15"/>
      <c r="F393" s="15"/>
      <c r="G393" s="15"/>
      <c r="H393" s="15"/>
      <c r="I393" s="45"/>
      <c r="J393" s="47"/>
      <c r="K393" s="20"/>
      <c r="L393" s="20"/>
      <c r="M393" s="20"/>
      <c r="N393" s="20"/>
      <c r="O393" s="20"/>
      <c r="P393" s="20"/>
      <c r="Q393" s="20"/>
      <c r="R393" s="20"/>
      <c r="S393" s="20"/>
      <c r="T393" s="20"/>
      <c r="U393" s="20"/>
      <c r="V393" s="20"/>
      <c r="W393" s="20"/>
      <c r="X393" s="20"/>
      <c r="Y393" s="20"/>
      <c r="Z393" s="20"/>
    </row>
    <row r="394" spans="1:26" ht="17.25" customHeight="1">
      <c r="A394" s="15"/>
      <c r="B394" s="15"/>
      <c r="C394" s="15"/>
      <c r="D394" s="15"/>
      <c r="E394" s="15"/>
      <c r="F394" s="15"/>
      <c r="G394" s="15"/>
      <c r="H394" s="15"/>
      <c r="I394" s="45"/>
      <c r="J394" s="47"/>
      <c r="K394" s="20"/>
      <c r="L394" s="20"/>
      <c r="M394" s="20"/>
      <c r="N394" s="20"/>
      <c r="O394" s="20"/>
      <c r="P394" s="20"/>
      <c r="Q394" s="20"/>
      <c r="R394" s="20"/>
      <c r="S394" s="20"/>
      <c r="T394" s="20"/>
      <c r="U394" s="20"/>
      <c r="V394" s="20"/>
      <c r="W394" s="20"/>
      <c r="X394" s="20"/>
      <c r="Y394" s="20"/>
      <c r="Z394" s="20"/>
    </row>
    <row r="395" spans="1:26" ht="17.25" customHeight="1">
      <c r="A395" s="15"/>
      <c r="B395" s="15"/>
      <c r="C395" s="15"/>
      <c r="D395" s="15"/>
      <c r="E395" s="15"/>
      <c r="F395" s="15"/>
      <c r="G395" s="15"/>
      <c r="H395" s="15"/>
      <c r="I395" s="45"/>
      <c r="J395" s="47"/>
      <c r="K395" s="20"/>
      <c r="L395" s="20"/>
      <c r="M395" s="20"/>
      <c r="N395" s="20"/>
      <c r="O395" s="20"/>
      <c r="P395" s="20"/>
      <c r="Q395" s="20"/>
      <c r="R395" s="20"/>
      <c r="S395" s="20"/>
      <c r="T395" s="20"/>
      <c r="U395" s="20"/>
      <c r="V395" s="20"/>
      <c r="W395" s="20"/>
      <c r="X395" s="20"/>
      <c r="Y395" s="20"/>
      <c r="Z395" s="20"/>
    </row>
    <row r="396" spans="1:26" ht="17.25" customHeight="1">
      <c r="A396" s="15"/>
      <c r="B396" s="15"/>
      <c r="C396" s="15"/>
      <c r="D396" s="15"/>
      <c r="E396" s="15"/>
      <c r="F396" s="15"/>
      <c r="G396" s="15"/>
      <c r="H396" s="15"/>
      <c r="I396" s="45"/>
      <c r="J396" s="47"/>
      <c r="K396" s="20"/>
      <c r="L396" s="20"/>
      <c r="M396" s="20"/>
      <c r="N396" s="20"/>
      <c r="O396" s="20"/>
      <c r="P396" s="20"/>
      <c r="Q396" s="20"/>
      <c r="R396" s="20"/>
      <c r="S396" s="20"/>
      <c r="T396" s="20"/>
      <c r="U396" s="20"/>
      <c r="V396" s="20"/>
      <c r="W396" s="20"/>
      <c r="X396" s="20"/>
      <c r="Y396" s="20"/>
      <c r="Z396" s="20"/>
    </row>
    <row r="397" spans="1:26" ht="17.25" customHeight="1">
      <c r="A397" s="15"/>
      <c r="B397" s="15"/>
      <c r="C397" s="15"/>
      <c r="D397" s="15"/>
      <c r="E397" s="15"/>
      <c r="F397" s="15"/>
      <c r="G397" s="15"/>
      <c r="H397" s="15"/>
      <c r="I397" s="45"/>
      <c r="J397" s="47"/>
      <c r="K397" s="20"/>
      <c r="L397" s="20"/>
      <c r="M397" s="20"/>
      <c r="N397" s="20"/>
      <c r="O397" s="20"/>
      <c r="P397" s="20"/>
      <c r="Q397" s="20"/>
      <c r="R397" s="20"/>
      <c r="S397" s="20"/>
      <c r="T397" s="20"/>
      <c r="U397" s="20"/>
      <c r="V397" s="20"/>
      <c r="W397" s="20"/>
      <c r="X397" s="20"/>
      <c r="Y397" s="20"/>
      <c r="Z397" s="20"/>
    </row>
    <row r="398" spans="1:26" ht="17.25" customHeight="1">
      <c r="A398" s="15"/>
      <c r="B398" s="15"/>
      <c r="C398" s="15"/>
      <c r="D398" s="15"/>
      <c r="E398" s="15"/>
      <c r="F398" s="15"/>
      <c r="G398" s="15"/>
      <c r="H398" s="15"/>
      <c r="I398" s="45"/>
      <c r="J398" s="47"/>
      <c r="K398" s="20"/>
      <c r="L398" s="20"/>
      <c r="M398" s="20"/>
      <c r="N398" s="20"/>
      <c r="O398" s="20"/>
      <c r="P398" s="20"/>
      <c r="Q398" s="20"/>
      <c r="R398" s="20"/>
      <c r="S398" s="20"/>
      <c r="T398" s="20"/>
      <c r="U398" s="20"/>
      <c r="V398" s="20"/>
      <c r="W398" s="20"/>
      <c r="X398" s="20"/>
      <c r="Y398" s="20"/>
      <c r="Z398" s="20"/>
    </row>
    <row r="399" spans="1:26" ht="17.25" customHeight="1">
      <c r="A399" s="15"/>
      <c r="B399" s="15"/>
      <c r="C399" s="15"/>
      <c r="D399" s="15"/>
      <c r="E399" s="15"/>
      <c r="F399" s="15"/>
      <c r="G399" s="15"/>
      <c r="H399" s="15"/>
      <c r="I399" s="45"/>
      <c r="J399" s="47"/>
      <c r="K399" s="20"/>
      <c r="L399" s="20"/>
      <c r="M399" s="20"/>
      <c r="N399" s="20"/>
      <c r="O399" s="20"/>
      <c r="P399" s="20"/>
      <c r="Q399" s="20"/>
      <c r="R399" s="20"/>
      <c r="S399" s="20"/>
      <c r="T399" s="20"/>
      <c r="U399" s="20"/>
      <c r="V399" s="20"/>
      <c r="W399" s="20"/>
      <c r="X399" s="20"/>
      <c r="Y399" s="20"/>
      <c r="Z399" s="20"/>
    </row>
    <row r="400" spans="1:26" ht="17.25" customHeight="1">
      <c r="A400" s="15"/>
      <c r="B400" s="15"/>
      <c r="C400" s="15"/>
      <c r="D400" s="15"/>
      <c r="E400" s="15"/>
      <c r="F400" s="15"/>
      <c r="G400" s="15"/>
      <c r="H400" s="15"/>
      <c r="I400" s="45"/>
      <c r="J400" s="47"/>
      <c r="K400" s="20"/>
      <c r="L400" s="20"/>
      <c r="M400" s="20"/>
      <c r="N400" s="20"/>
      <c r="O400" s="20"/>
      <c r="P400" s="20"/>
      <c r="Q400" s="20"/>
      <c r="R400" s="20"/>
      <c r="S400" s="20"/>
      <c r="T400" s="20"/>
      <c r="U400" s="20"/>
      <c r="V400" s="20"/>
      <c r="W400" s="20"/>
      <c r="X400" s="20"/>
      <c r="Y400" s="20"/>
      <c r="Z400" s="20"/>
    </row>
    <row r="401" spans="1:26" ht="17.25" customHeight="1">
      <c r="A401" s="15"/>
      <c r="B401" s="15"/>
      <c r="C401" s="15"/>
      <c r="D401" s="15"/>
      <c r="E401" s="15"/>
      <c r="F401" s="15"/>
      <c r="G401" s="15"/>
      <c r="H401" s="15"/>
      <c r="I401" s="45"/>
      <c r="J401" s="47"/>
      <c r="K401" s="20"/>
      <c r="L401" s="20"/>
      <c r="M401" s="20"/>
      <c r="N401" s="20"/>
      <c r="O401" s="20"/>
      <c r="P401" s="20"/>
      <c r="Q401" s="20"/>
      <c r="R401" s="20"/>
      <c r="S401" s="20"/>
      <c r="T401" s="20"/>
      <c r="U401" s="20"/>
      <c r="V401" s="20"/>
      <c r="W401" s="20"/>
      <c r="X401" s="20"/>
      <c r="Y401" s="20"/>
      <c r="Z401" s="20"/>
    </row>
    <row r="402" spans="1:26" ht="17.25" customHeight="1">
      <c r="A402" s="15"/>
      <c r="B402" s="15"/>
      <c r="C402" s="15"/>
      <c r="D402" s="15"/>
      <c r="E402" s="15"/>
      <c r="F402" s="15"/>
      <c r="G402" s="15"/>
      <c r="H402" s="15"/>
      <c r="I402" s="45"/>
      <c r="J402" s="47"/>
      <c r="K402" s="20"/>
      <c r="L402" s="20"/>
      <c r="M402" s="20"/>
      <c r="N402" s="20"/>
      <c r="O402" s="20"/>
      <c r="P402" s="20"/>
      <c r="Q402" s="20"/>
      <c r="R402" s="20"/>
      <c r="S402" s="20"/>
      <c r="T402" s="20"/>
      <c r="U402" s="20"/>
      <c r="V402" s="20"/>
      <c r="W402" s="20"/>
      <c r="X402" s="20"/>
      <c r="Y402" s="20"/>
      <c r="Z402" s="20"/>
    </row>
    <row r="403" spans="1:26" ht="17.25" customHeight="1">
      <c r="A403" s="15"/>
      <c r="B403" s="15"/>
      <c r="C403" s="15"/>
      <c r="D403" s="15"/>
      <c r="E403" s="15"/>
      <c r="F403" s="15"/>
      <c r="G403" s="15"/>
      <c r="H403" s="15"/>
      <c r="I403" s="45"/>
      <c r="J403" s="47"/>
      <c r="K403" s="20"/>
      <c r="L403" s="20"/>
      <c r="M403" s="20"/>
      <c r="N403" s="20"/>
      <c r="O403" s="20"/>
      <c r="P403" s="20"/>
      <c r="Q403" s="20"/>
      <c r="R403" s="20"/>
      <c r="S403" s="20"/>
      <c r="T403" s="20"/>
      <c r="U403" s="20"/>
      <c r="V403" s="20"/>
      <c r="W403" s="20"/>
      <c r="X403" s="20"/>
      <c r="Y403" s="20"/>
      <c r="Z403" s="20"/>
    </row>
    <row r="404" spans="1:26" ht="17.25" customHeight="1">
      <c r="A404" s="15"/>
      <c r="B404" s="15"/>
      <c r="C404" s="15"/>
      <c r="D404" s="15"/>
      <c r="E404" s="15"/>
      <c r="F404" s="15"/>
      <c r="G404" s="15"/>
      <c r="H404" s="15"/>
      <c r="I404" s="45"/>
      <c r="J404" s="47"/>
      <c r="K404" s="20"/>
      <c r="L404" s="20"/>
      <c r="M404" s="20"/>
      <c r="N404" s="20"/>
      <c r="O404" s="20"/>
      <c r="P404" s="20"/>
      <c r="Q404" s="20"/>
      <c r="R404" s="20"/>
      <c r="S404" s="20"/>
      <c r="T404" s="20"/>
      <c r="U404" s="20"/>
      <c r="V404" s="20"/>
      <c r="W404" s="20"/>
      <c r="X404" s="20"/>
      <c r="Y404" s="20"/>
      <c r="Z404" s="20"/>
    </row>
    <row r="405" spans="1:26" ht="17.25" customHeight="1">
      <c r="A405" s="15"/>
      <c r="B405" s="15"/>
      <c r="C405" s="15"/>
      <c r="D405" s="15"/>
      <c r="E405" s="15"/>
      <c r="F405" s="15"/>
      <c r="G405" s="15"/>
      <c r="H405" s="15"/>
      <c r="I405" s="45"/>
      <c r="J405" s="47"/>
      <c r="K405" s="20"/>
      <c r="L405" s="20"/>
      <c r="M405" s="20"/>
      <c r="N405" s="20"/>
      <c r="O405" s="20"/>
      <c r="P405" s="20"/>
      <c r="Q405" s="20"/>
      <c r="R405" s="20"/>
      <c r="S405" s="20"/>
      <c r="T405" s="20"/>
      <c r="U405" s="20"/>
      <c r="V405" s="20"/>
      <c r="W405" s="20"/>
      <c r="X405" s="20"/>
      <c r="Y405" s="20"/>
      <c r="Z405" s="20"/>
    </row>
    <row r="406" spans="1:26" ht="17.25" customHeight="1">
      <c r="A406" s="15"/>
      <c r="B406" s="15"/>
      <c r="C406" s="15"/>
      <c r="D406" s="15"/>
      <c r="E406" s="15"/>
      <c r="F406" s="15"/>
      <c r="G406" s="15"/>
      <c r="H406" s="15"/>
      <c r="I406" s="45"/>
      <c r="J406" s="47"/>
      <c r="K406" s="20"/>
      <c r="L406" s="20"/>
      <c r="M406" s="20"/>
      <c r="N406" s="20"/>
      <c r="O406" s="20"/>
      <c r="P406" s="20"/>
      <c r="Q406" s="20"/>
      <c r="R406" s="20"/>
      <c r="S406" s="20"/>
      <c r="T406" s="20"/>
      <c r="U406" s="20"/>
      <c r="V406" s="20"/>
      <c r="W406" s="20"/>
      <c r="X406" s="20"/>
      <c r="Y406" s="20"/>
      <c r="Z406" s="20"/>
    </row>
    <row r="407" spans="1:26" ht="17.25" customHeight="1">
      <c r="A407" s="15"/>
      <c r="B407" s="15"/>
      <c r="C407" s="15"/>
      <c r="D407" s="15"/>
      <c r="E407" s="15"/>
      <c r="F407" s="15"/>
      <c r="G407" s="15"/>
      <c r="H407" s="15"/>
      <c r="I407" s="45"/>
      <c r="J407" s="47"/>
      <c r="K407" s="20"/>
      <c r="L407" s="20"/>
      <c r="M407" s="20"/>
      <c r="N407" s="20"/>
      <c r="O407" s="20"/>
      <c r="P407" s="20"/>
      <c r="Q407" s="20"/>
      <c r="R407" s="20"/>
      <c r="S407" s="20"/>
      <c r="T407" s="20"/>
      <c r="U407" s="20"/>
      <c r="V407" s="20"/>
      <c r="W407" s="20"/>
      <c r="X407" s="20"/>
      <c r="Y407" s="20"/>
      <c r="Z407" s="20"/>
    </row>
    <row r="408" spans="1:26" ht="17.25" customHeight="1">
      <c r="A408" s="15"/>
      <c r="B408" s="15"/>
      <c r="C408" s="15"/>
      <c r="D408" s="15"/>
      <c r="E408" s="15"/>
      <c r="F408" s="15"/>
      <c r="G408" s="15"/>
      <c r="H408" s="15"/>
      <c r="I408" s="45"/>
      <c r="J408" s="47"/>
      <c r="K408" s="20"/>
      <c r="L408" s="20"/>
      <c r="M408" s="20"/>
      <c r="N408" s="20"/>
      <c r="O408" s="20"/>
      <c r="P408" s="20"/>
      <c r="Q408" s="20"/>
      <c r="R408" s="20"/>
      <c r="S408" s="20"/>
      <c r="T408" s="20"/>
      <c r="U408" s="20"/>
      <c r="V408" s="20"/>
      <c r="W408" s="20"/>
      <c r="X408" s="20"/>
      <c r="Y408" s="20"/>
      <c r="Z408" s="20"/>
    </row>
    <row r="409" spans="1:26" ht="17.25" customHeight="1">
      <c r="A409" s="15"/>
      <c r="B409" s="15"/>
      <c r="C409" s="15"/>
      <c r="D409" s="15"/>
      <c r="E409" s="15"/>
      <c r="F409" s="15"/>
      <c r="G409" s="15"/>
      <c r="H409" s="15"/>
      <c r="I409" s="45"/>
      <c r="J409" s="47"/>
      <c r="K409" s="20"/>
      <c r="L409" s="20"/>
      <c r="M409" s="20"/>
      <c r="N409" s="20"/>
      <c r="O409" s="20"/>
      <c r="P409" s="20"/>
      <c r="Q409" s="20"/>
      <c r="R409" s="20"/>
      <c r="S409" s="20"/>
      <c r="T409" s="20"/>
      <c r="U409" s="20"/>
      <c r="V409" s="20"/>
      <c r="W409" s="20"/>
      <c r="X409" s="20"/>
      <c r="Y409" s="20"/>
      <c r="Z409" s="20"/>
    </row>
    <row r="410" spans="1:26" ht="17.25" customHeight="1">
      <c r="A410" s="15"/>
      <c r="B410" s="15"/>
      <c r="C410" s="15"/>
      <c r="D410" s="15"/>
      <c r="E410" s="15"/>
      <c r="F410" s="15"/>
      <c r="G410" s="15"/>
      <c r="H410" s="15"/>
      <c r="I410" s="45"/>
      <c r="J410" s="47"/>
      <c r="K410" s="20"/>
      <c r="L410" s="20"/>
      <c r="M410" s="20"/>
      <c r="N410" s="20"/>
      <c r="O410" s="20"/>
      <c r="P410" s="20"/>
      <c r="Q410" s="20"/>
      <c r="R410" s="20"/>
      <c r="S410" s="20"/>
      <c r="T410" s="20"/>
      <c r="U410" s="20"/>
      <c r="V410" s="20"/>
      <c r="W410" s="20"/>
      <c r="X410" s="20"/>
      <c r="Y410" s="20"/>
      <c r="Z410" s="20"/>
    </row>
    <row r="411" spans="1:26" ht="17.25" customHeight="1">
      <c r="A411" s="15"/>
      <c r="B411" s="15"/>
      <c r="C411" s="15"/>
      <c r="D411" s="15"/>
      <c r="E411" s="15"/>
      <c r="F411" s="15"/>
      <c r="G411" s="15"/>
      <c r="H411" s="15"/>
      <c r="I411" s="45"/>
      <c r="J411" s="47"/>
      <c r="K411" s="20"/>
      <c r="L411" s="20"/>
      <c r="M411" s="20"/>
      <c r="N411" s="20"/>
      <c r="O411" s="20"/>
      <c r="P411" s="20"/>
      <c r="Q411" s="20"/>
      <c r="R411" s="20"/>
      <c r="S411" s="20"/>
      <c r="T411" s="20"/>
      <c r="U411" s="20"/>
      <c r="V411" s="20"/>
      <c r="W411" s="20"/>
      <c r="X411" s="20"/>
      <c r="Y411" s="20"/>
      <c r="Z411" s="20"/>
    </row>
    <row r="412" spans="1:26" ht="17.25" customHeight="1">
      <c r="A412" s="15"/>
      <c r="B412" s="15"/>
      <c r="C412" s="15"/>
      <c r="D412" s="15"/>
      <c r="E412" s="15"/>
      <c r="F412" s="15"/>
      <c r="G412" s="15"/>
      <c r="H412" s="15"/>
      <c r="I412" s="45"/>
      <c r="J412" s="47"/>
      <c r="K412" s="20"/>
      <c r="L412" s="20"/>
      <c r="M412" s="20"/>
      <c r="N412" s="20"/>
      <c r="O412" s="20"/>
      <c r="P412" s="20"/>
      <c r="Q412" s="20"/>
      <c r="R412" s="20"/>
      <c r="S412" s="20"/>
      <c r="T412" s="20"/>
      <c r="U412" s="20"/>
      <c r="V412" s="20"/>
      <c r="W412" s="20"/>
      <c r="X412" s="20"/>
      <c r="Y412" s="20"/>
      <c r="Z412" s="20"/>
    </row>
    <row r="413" spans="1:26" ht="17.25" customHeight="1">
      <c r="A413" s="15"/>
      <c r="B413" s="15"/>
      <c r="C413" s="15"/>
      <c r="D413" s="15"/>
      <c r="E413" s="15"/>
      <c r="F413" s="15"/>
      <c r="G413" s="15"/>
      <c r="H413" s="15"/>
      <c r="I413" s="45"/>
      <c r="J413" s="47"/>
      <c r="K413" s="20"/>
      <c r="L413" s="20"/>
      <c r="M413" s="20"/>
      <c r="N413" s="20"/>
      <c r="O413" s="20"/>
      <c r="P413" s="20"/>
      <c r="Q413" s="20"/>
      <c r="R413" s="20"/>
      <c r="S413" s="20"/>
      <c r="T413" s="20"/>
      <c r="U413" s="20"/>
      <c r="V413" s="20"/>
      <c r="W413" s="20"/>
      <c r="X413" s="20"/>
      <c r="Y413" s="20"/>
      <c r="Z413" s="20"/>
    </row>
    <row r="414" spans="1:26" ht="17.25" customHeight="1">
      <c r="A414" s="15"/>
      <c r="B414" s="15"/>
      <c r="C414" s="15"/>
      <c r="D414" s="15"/>
      <c r="E414" s="15"/>
      <c r="F414" s="15"/>
      <c r="G414" s="15"/>
      <c r="H414" s="15"/>
      <c r="I414" s="45"/>
      <c r="J414" s="47"/>
      <c r="K414" s="20"/>
      <c r="L414" s="20"/>
      <c r="M414" s="20"/>
      <c r="N414" s="20"/>
      <c r="O414" s="20"/>
      <c r="P414" s="20"/>
      <c r="Q414" s="20"/>
      <c r="R414" s="20"/>
      <c r="S414" s="20"/>
      <c r="T414" s="20"/>
      <c r="U414" s="20"/>
      <c r="V414" s="20"/>
      <c r="W414" s="20"/>
      <c r="X414" s="20"/>
      <c r="Y414" s="20"/>
      <c r="Z414" s="20"/>
    </row>
    <row r="415" spans="1:26" ht="17.25" customHeight="1">
      <c r="A415" s="15"/>
      <c r="B415" s="15"/>
      <c r="C415" s="15"/>
      <c r="D415" s="15"/>
      <c r="E415" s="15"/>
      <c r="F415" s="15"/>
      <c r="G415" s="15"/>
      <c r="H415" s="15"/>
      <c r="I415" s="45"/>
      <c r="J415" s="47"/>
      <c r="K415" s="20"/>
      <c r="L415" s="20"/>
      <c r="M415" s="20"/>
      <c r="N415" s="20"/>
      <c r="O415" s="20"/>
      <c r="P415" s="20"/>
      <c r="Q415" s="20"/>
      <c r="R415" s="20"/>
      <c r="S415" s="20"/>
      <c r="T415" s="20"/>
      <c r="U415" s="20"/>
      <c r="V415" s="20"/>
      <c r="W415" s="20"/>
      <c r="X415" s="20"/>
      <c r="Y415" s="20"/>
      <c r="Z415" s="20"/>
    </row>
    <row r="416" spans="1:26" ht="17.25" customHeight="1">
      <c r="A416" s="15"/>
      <c r="B416" s="15"/>
      <c r="C416" s="15"/>
      <c r="D416" s="15"/>
      <c r="E416" s="15"/>
      <c r="F416" s="15"/>
      <c r="G416" s="15"/>
      <c r="H416" s="15"/>
      <c r="I416" s="45"/>
      <c r="J416" s="47"/>
      <c r="K416" s="20"/>
      <c r="L416" s="20"/>
      <c r="M416" s="20"/>
      <c r="N416" s="20"/>
      <c r="O416" s="20"/>
      <c r="P416" s="20"/>
      <c r="Q416" s="20"/>
      <c r="R416" s="20"/>
      <c r="S416" s="20"/>
      <c r="T416" s="20"/>
      <c r="U416" s="20"/>
      <c r="V416" s="20"/>
      <c r="W416" s="20"/>
      <c r="X416" s="20"/>
      <c r="Y416" s="20"/>
      <c r="Z416" s="20"/>
    </row>
    <row r="417" spans="1:26" ht="17.25" customHeight="1">
      <c r="A417" s="15"/>
      <c r="B417" s="15"/>
      <c r="C417" s="15"/>
      <c r="D417" s="15"/>
      <c r="E417" s="15"/>
      <c r="F417" s="15"/>
      <c r="G417" s="15"/>
      <c r="H417" s="15"/>
      <c r="I417" s="45"/>
      <c r="J417" s="47"/>
      <c r="K417" s="20"/>
      <c r="L417" s="20"/>
      <c r="M417" s="20"/>
      <c r="N417" s="20"/>
      <c r="O417" s="20"/>
      <c r="P417" s="20"/>
      <c r="Q417" s="20"/>
      <c r="R417" s="20"/>
      <c r="S417" s="20"/>
      <c r="T417" s="20"/>
      <c r="U417" s="20"/>
      <c r="V417" s="20"/>
      <c r="W417" s="20"/>
      <c r="X417" s="20"/>
      <c r="Y417" s="20"/>
      <c r="Z417" s="20"/>
    </row>
    <row r="418" spans="1:26" ht="17.25" customHeight="1">
      <c r="A418" s="15"/>
      <c r="B418" s="15"/>
      <c r="C418" s="15"/>
      <c r="D418" s="15"/>
      <c r="E418" s="15"/>
      <c r="F418" s="15"/>
      <c r="G418" s="15"/>
      <c r="H418" s="15"/>
      <c r="I418" s="45"/>
      <c r="J418" s="47"/>
      <c r="K418" s="20"/>
      <c r="L418" s="20"/>
      <c r="M418" s="20"/>
      <c r="N418" s="20"/>
      <c r="O418" s="20"/>
      <c r="P418" s="20"/>
      <c r="Q418" s="20"/>
      <c r="R418" s="20"/>
      <c r="S418" s="20"/>
      <c r="T418" s="20"/>
      <c r="U418" s="20"/>
      <c r="V418" s="20"/>
      <c r="W418" s="20"/>
      <c r="X418" s="20"/>
      <c r="Y418" s="20"/>
      <c r="Z418" s="20"/>
    </row>
    <row r="419" spans="1:26" ht="17.25" customHeight="1">
      <c r="A419" s="15"/>
      <c r="B419" s="15"/>
      <c r="C419" s="15"/>
      <c r="D419" s="15"/>
      <c r="E419" s="15"/>
      <c r="F419" s="15"/>
      <c r="G419" s="15"/>
      <c r="H419" s="15"/>
      <c r="I419" s="45"/>
      <c r="J419" s="47"/>
      <c r="K419" s="20"/>
      <c r="L419" s="20"/>
      <c r="M419" s="20"/>
      <c r="N419" s="20"/>
      <c r="O419" s="20"/>
      <c r="P419" s="20"/>
      <c r="Q419" s="20"/>
      <c r="R419" s="20"/>
      <c r="S419" s="20"/>
      <c r="T419" s="20"/>
      <c r="U419" s="20"/>
      <c r="V419" s="20"/>
      <c r="W419" s="20"/>
      <c r="X419" s="20"/>
      <c r="Y419" s="20"/>
      <c r="Z419" s="20"/>
    </row>
    <row r="420" spans="1:26" ht="17.25" customHeight="1">
      <c r="A420" s="15"/>
      <c r="B420" s="15"/>
      <c r="C420" s="15"/>
      <c r="D420" s="15"/>
      <c r="E420" s="15"/>
      <c r="F420" s="15"/>
      <c r="G420" s="15"/>
      <c r="H420" s="15"/>
      <c r="I420" s="45"/>
      <c r="J420" s="47"/>
      <c r="K420" s="20"/>
      <c r="L420" s="20"/>
      <c r="M420" s="20"/>
      <c r="N420" s="20"/>
      <c r="O420" s="20"/>
      <c r="P420" s="20"/>
      <c r="Q420" s="20"/>
      <c r="R420" s="20"/>
      <c r="S420" s="20"/>
      <c r="T420" s="20"/>
      <c r="U420" s="20"/>
      <c r="V420" s="20"/>
      <c r="W420" s="20"/>
      <c r="X420" s="20"/>
      <c r="Y420" s="20"/>
      <c r="Z420" s="20"/>
    </row>
    <row r="421" spans="1:26" ht="17.25" customHeight="1">
      <c r="A421" s="15"/>
      <c r="B421" s="15"/>
      <c r="C421" s="15"/>
      <c r="D421" s="15"/>
      <c r="E421" s="15"/>
      <c r="F421" s="15"/>
      <c r="G421" s="15"/>
      <c r="H421" s="15"/>
      <c r="I421" s="45"/>
      <c r="J421" s="47"/>
      <c r="K421" s="20"/>
      <c r="L421" s="20"/>
      <c r="M421" s="20"/>
      <c r="N421" s="20"/>
      <c r="O421" s="20"/>
      <c r="P421" s="20"/>
      <c r="Q421" s="20"/>
      <c r="R421" s="20"/>
      <c r="S421" s="20"/>
      <c r="T421" s="20"/>
      <c r="U421" s="20"/>
      <c r="V421" s="20"/>
      <c r="W421" s="20"/>
      <c r="X421" s="20"/>
      <c r="Y421" s="20"/>
      <c r="Z421" s="20"/>
    </row>
    <row r="422" spans="1:26" ht="17.25" customHeight="1">
      <c r="A422" s="15"/>
      <c r="B422" s="15"/>
      <c r="C422" s="15"/>
      <c r="D422" s="15"/>
      <c r="E422" s="15"/>
      <c r="F422" s="15"/>
      <c r="G422" s="15"/>
      <c r="H422" s="15"/>
      <c r="I422" s="45"/>
      <c r="J422" s="47"/>
      <c r="K422" s="20"/>
      <c r="L422" s="20"/>
      <c r="M422" s="20"/>
      <c r="N422" s="20"/>
      <c r="O422" s="20"/>
      <c r="P422" s="20"/>
      <c r="Q422" s="20"/>
      <c r="R422" s="20"/>
      <c r="S422" s="20"/>
      <c r="T422" s="20"/>
      <c r="U422" s="20"/>
      <c r="V422" s="20"/>
      <c r="W422" s="20"/>
      <c r="X422" s="20"/>
      <c r="Y422" s="20"/>
      <c r="Z422" s="20"/>
    </row>
    <row r="423" spans="1:26" ht="17.25" customHeight="1">
      <c r="A423" s="15"/>
      <c r="B423" s="15"/>
      <c r="C423" s="15"/>
      <c r="D423" s="15"/>
      <c r="E423" s="15"/>
      <c r="F423" s="15"/>
      <c r="G423" s="15"/>
      <c r="H423" s="15"/>
      <c r="I423" s="45"/>
      <c r="J423" s="47"/>
      <c r="K423" s="20"/>
      <c r="L423" s="20"/>
      <c r="M423" s="20"/>
      <c r="N423" s="20"/>
      <c r="O423" s="20"/>
      <c r="P423" s="20"/>
      <c r="Q423" s="20"/>
      <c r="R423" s="20"/>
      <c r="S423" s="20"/>
      <c r="T423" s="20"/>
      <c r="U423" s="20"/>
      <c r="V423" s="20"/>
      <c r="W423" s="20"/>
      <c r="X423" s="20"/>
      <c r="Y423" s="20"/>
      <c r="Z423" s="20"/>
    </row>
    <row r="424" spans="1:26" ht="17.25" customHeight="1">
      <c r="A424" s="15"/>
      <c r="B424" s="15"/>
      <c r="C424" s="15"/>
      <c r="D424" s="15"/>
      <c r="E424" s="15"/>
      <c r="F424" s="15"/>
      <c r="G424" s="15"/>
      <c r="H424" s="15"/>
      <c r="I424" s="45"/>
      <c r="J424" s="47"/>
      <c r="K424" s="20"/>
      <c r="L424" s="20"/>
      <c r="M424" s="20"/>
      <c r="N424" s="20"/>
      <c r="O424" s="20"/>
      <c r="P424" s="20"/>
      <c r="Q424" s="20"/>
      <c r="R424" s="20"/>
      <c r="S424" s="20"/>
      <c r="T424" s="20"/>
      <c r="U424" s="20"/>
      <c r="V424" s="20"/>
      <c r="W424" s="20"/>
      <c r="X424" s="20"/>
      <c r="Y424" s="20"/>
      <c r="Z424" s="20"/>
    </row>
    <row r="425" spans="1:26" ht="17.25" customHeight="1">
      <c r="A425" s="15"/>
      <c r="B425" s="15"/>
      <c r="C425" s="15"/>
      <c r="D425" s="15"/>
      <c r="E425" s="15"/>
      <c r="F425" s="15"/>
      <c r="G425" s="15"/>
      <c r="H425" s="15"/>
      <c r="I425" s="45"/>
      <c r="J425" s="47"/>
      <c r="K425" s="20"/>
      <c r="L425" s="20"/>
      <c r="M425" s="20"/>
      <c r="N425" s="20"/>
      <c r="O425" s="20"/>
      <c r="P425" s="20"/>
      <c r="Q425" s="20"/>
      <c r="R425" s="20"/>
      <c r="S425" s="20"/>
      <c r="T425" s="20"/>
      <c r="U425" s="20"/>
      <c r="V425" s="20"/>
      <c r="W425" s="20"/>
      <c r="X425" s="20"/>
      <c r="Y425" s="20"/>
      <c r="Z425" s="20"/>
    </row>
    <row r="426" spans="1:26" ht="17.25" customHeight="1">
      <c r="A426" s="15"/>
      <c r="B426" s="15"/>
      <c r="C426" s="15"/>
      <c r="D426" s="15"/>
      <c r="E426" s="15"/>
      <c r="F426" s="15"/>
      <c r="G426" s="15"/>
      <c r="H426" s="15"/>
      <c r="I426" s="45"/>
      <c r="J426" s="47"/>
      <c r="K426" s="20"/>
      <c r="L426" s="20"/>
      <c r="M426" s="20"/>
      <c r="N426" s="20"/>
      <c r="O426" s="20"/>
      <c r="P426" s="20"/>
      <c r="Q426" s="20"/>
      <c r="R426" s="20"/>
      <c r="S426" s="20"/>
      <c r="T426" s="20"/>
      <c r="U426" s="20"/>
      <c r="V426" s="20"/>
      <c r="W426" s="20"/>
      <c r="X426" s="20"/>
      <c r="Y426" s="20"/>
      <c r="Z426" s="20"/>
    </row>
    <row r="427" spans="1:26" ht="17.25" customHeight="1">
      <c r="A427" s="15"/>
      <c r="B427" s="15"/>
      <c r="C427" s="15"/>
      <c r="D427" s="15"/>
      <c r="E427" s="15"/>
      <c r="F427" s="15"/>
      <c r="G427" s="15"/>
      <c r="H427" s="15"/>
      <c r="I427" s="45"/>
      <c r="J427" s="47"/>
      <c r="K427" s="20"/>
      <c r="L427" s="20"/>
      <c r="M427" s="20"/>
      <c r="N427" s="20"/>
      <c r="O427" s="20"/>
      <c r="P427" s="20"/>
      <c r="Q427" s="20"/>
      <c r="R427" s="20"/>
      <c r="S427" s="20"/>
      <c r="T427" s="20"/>
      <c r="U427" s="20"/>
      <c r="V427" s="20"/>
      <c r="W427" s="20"/>
      <c r="X427" s="20"/>
      <c r="Y427" s="20"/>
      <c r="Z427" s="20"/>
    </row>
    <row r="428" spans="1:26" ht="17.25" customHeight="1">
      <c r="A428" s="15"/>
      <c r="B428" s="15"/>
      <c r="C428" s="15"/>
      <c r="D428" s="15"/>
      <c r="E428" s="15"/>
      <c r="F428" s="15"/>
      <c r="G428" s="15"/>
      <c r="H428" s="15"/>
      <c r="I428" s="45"/>
      <c r="J428" s="47"/>
      <c r="K428" s="20"/>
      <c r="L428" s="20"/>
      <c r="M428" s="20"/>
      <c r="N428" s="20"/>
      <c r="O428" s="20"/>
      <c r="P428" s="20"/>
      <c r="Q428" s="20"/>
      <c r="R428" s="20"/>
      <c r="S428" s="20"/>
      <c r="T428" s="20"/>
      <c r="U428" s="20"/>
      <c r="V428" s="20"/>
      <c r="W428" s="20"/>
      <c r="X428" s="20"/>
      <c r="Y428" s="20"/>
      <c r="Z428" s="20"/>
    </row>
    <row r="429" spans="1:26" ht="17.25" customHeight="1">
      <c r="A429" s="15"/>
      <c r="B429" s="15"/>
      <c r="C429" s="15"/>
      <c r="D429" s="15"/>
      <c r="E429" s="15"/>
      <c r="F429" s="15"/>
      <c r="G429" s="15"/>
      <c r="H429" s="15"/>
      <c r="I429" s="45"/>
      <c r="J429" s="47"/>
      <c r="K429" s="20"/>
      <c r="L429" s="20"/>
      <c r="M429" s="20"/>
      <c r="N429" s="20"/>
      <c r="O429" s="20"/>
      <c r="P429" s="20"/>
      <c r="Q429" s="20"/>
      <c r="R429" s="20"/>
      <c r="S429" s="20"/>
      <c r="T429" s="20"/>
      <c r="U429" s="20"/>
      <c r="V429" s="20"/>
      <c r="W429" s="20"/>
      <c r="X429" s="20"/>
      <c r="Y429" s="20"/>
      <c r="Z429" s="20"/>
    </row>
    <row r="430" spans="1:26" ht="17.25" customHeight="1">
      <c r="A430" s="15"/>
      <c r="B430" s="15"/>
      <c r="C430" s="15"/>
      <c r="D430" s="15"/>
      <c r="E430" s="15"/>
      <c r="F430" s="15"/>
      <c r="G430" s="15"/>
      <c r="H430" s="15"/>
      <c r="I430" s="45"/>
      <c r="J430" s="47"/>
      <c r="K430" s="20"/>
      <c r="L430" s="20"/>
      <c r="M430" s="20"/>
      <c r="N430" s="20"/>
      <c r="O430" s="20"/>
      <c r="P430" s="20"/>
      <c r="Q430" s="20"/>
      <c r="R430" s="20"/>
      <c r="S430" s="20"/>
      <c r="T430" s="20"/>
      <c r="U430" s="20"/>
      <c r="V430" s="20"/>
      <c r="W430" s="20"/>
      <c r="X430" s="20"/>
      <c r="Y430" s="20"/>
      <c r="Z430" s="20"/>
    </row>
    <row r="431" spans="1:26" ht="17.25" customHeight="1">
      <c r="A431" s="15"/>
      <c r="B431" s="15"/>
      <c r="C431" s="15"/>
      <c r="D431" s="15"/>
      <c r="E431" s="15"/>
      <c r="F431" s="15"/>
      <c r="G431" s="15"/>
      <c r="H431" s="15"/>
      <c r="I431" s="45"/>
      <c r="J431" s="47"/>
      <c r="K431" s="20"/>
      <c r="L431" s="20"/>
      <c r="M431" s="20"/>
      <c r="N431" s="20"/>
      <c r="O431" s="20"/>
      <c r="P431" s="20"/>
      <c r="Q431" s="20"/>
      <c r="R431" s="20"/>
      <c r="S431" s="20"/>
      <c r="T431" s="20"/>
      <c r="U431" s="20"/>
      <c r="V431" s="20"/>
      <c r="W431" s="20"/>
      <c r="X431" s="20"/>
      <c r="Y431" s="20"/>
      <c r="Z431" s="20"/>
    </row>
    <row r="432" spans="1:26" ht="17.25" customHeight="1">
      <c r="A432" s="15"/>
      <c r="B432" s="15"/>
      <c r="C432" s="15"/>
      <c r="D432" s="15"/>
      <c r="E432" s="15"/>
      <c r="F432" s="15"/>
      <c r="G432" s="15"/>
      <c r="H432" s="15"/>
      <c r="I432" s="45"/>
      <c r="J432" s="47"/>
      <c r="K432" s="20"/>
      <c r="L432" s="20"/>
      <c r="M432" s="20"/>
      <c r="N432" s="20"/>
      <c r="O432" s="20"/>
      <c r="P432" s="20"/>
      <c r="Q432" s="20"/>
      <c r="R432" s="20"/>
      <c r="S432" s="20"/>
      <c r="T432" s="20"/>
      <c r="U432" s="20"/>
      <c r="V432" s="20"/>
      <c r="W432" s="20"/>
      <c r="X432" s="20"/>
      <c r="Y432" s="20"/>
      <c r="Z432" s="20"/>
    </row>
    <row r="433" spans="1:26" ht="17.25" customHeight="1">
      <c r="A433" s="15"/>
      <c r="B433" s="15"/>
      <c r="C433" s="15"/>
      <c r="D433" s="15"/>
      <c r="E433" s="15"/>
      <c r="F433" s="15"/>
      <c r="G433" s="15"/>
      <c r="H433" s="15"/>
      <c r="I433" s="45"/>
      <c r="J433" s="47"/>
      <c r="K433" s="20"/>
      <c r="L433" s="20"/>
      <c r="M433" s="20"/>
      <c r="N433" s="20"/>
      <c r="O433" s="20"/>
      <c r="P433" s="20"/>
      <c r="Q433" s="20"/>
      <c r="R433" s="20"/>
      <c r="S433" s="20"/>
      <c r="T433" s="20"/>
      <c r="U433" s="20"/>
      <c r="V433" s="20"/>
      <c r="W433" s="20"/>
      <c r="X433" s="20"/>
      <c r="Y433" s="20"/>
      <c r="Z433" s="20"/>
    </row>
    <row r="434" spans="1:26" ht="17.25" customHeight="1">
      <c r="A434" s="15"/>
      <c r="B434" s="15"/>
      <c r="C434" s="15"/>
      <c r="D434" s="15"/>
      <c r="E434" s="15"/>
      <c r="F434" s="15"/>
      <c r="G434" s="15"/>
      <c r="H434" s="15"/>
      <c r="I434" s="45"/>
      <c r="J434" s="47"/>
      <c r="K434" s="20"/>
      <c r="L434" s="20"/>
      <c r="M434" s="20"/>
      <c r="N434" s="20"/>
      <c r="O434" s="20"/>
      <c r="P434" s="20"/>
      <c r="Q434" s="20"/>
      <c r="R434" s="20"/>
      <c r="S434" s="20"/>
      <c r="T434" s="20"/>
      <c r="U434" s="20"/>
      <c r="V434" s="20"/>
      <c r="W434" s="20"/>
      <c r="X434" s="20"/>
      <c r="Y434" s="20"/>
      <c r="Z434" s="20"/>
    </row>
    <row r="435" spans="1:26" ht="17.25" customHeight="1">
      <c r="A435" s="15"/>
      <c r="B435" s="15"/>
      <c r="C435" s="15"/>
      <c r="D435" s="15"/>
      <c r="E435" s="15"/>
      <c r="F435" s="15"/>
      <c r="G435" s="15"/>
      <c r="H435" s="15"/>
      <c r="I435" s="45"/>
      <c r="J435" s="47"/>
      <c r="K435" s="20"/>
      <c r="L435" s="20"/>
      <c r="M435" s="20"/>
      <c r="N435" s="20"/>
      <c r="O435" s="20"/>
      <c r="P435" s="20"/>
      <c r="Q435" s="20"/>
      <c r="R435" s="20"/>
      <c r="S435" s="20"/>
      <c r="T435" s="20"/>
      <c r="U435" s="20"/>
      <c r="V435" s="20"/>
      <c r="W435" s="20"/>
      <c r="X435" s="20"/>
      <c r="Y435" s="20"/>
      <c r="Z435" s="20"/>
    </row>
    <row r="436" spans="1:26" ht="17.25" customHeight="1">
      <c r="A436" s="15"/>
      <c r="B436" s="15"/>
      <c r="C436" s="15"/>
      <c r="D436" s="15"/>
      <c r="E436" s="15"/>
      <c r="F436" s="15"/>
      <c r="G436" s="15"/>
      <c r="H436" s="15"/>
      <c r="I436" s="45"/>
      <c r="J436" s="47"/>
      <c r="K436" s="20"/>
      <c r="L436" s="20"/>
      <c r="M436" s="20"/>
      <c r="N436" s="20"/>
      <c r="O436" s="20"/>
      <c r="P436" s="20"/>
      <c r="Q436" s="20"/>
      <c r="R436" s="20"/>
      <c r="S436" s="20"/>
      <c r="T436" s="20"/>
      <c r="U436" s="20"/>
      <c r="V436" s="20"/>
      <c r="W436" s="20"/>
      <c r="X436" s="20"/>
      <c r="Y436" s="20"/>
      <c r="Z436" s="20"/>
    </row>
    <row r="437" spans="1:26" ht="17.25" customHeight="1">
      <c r="A437" s="15"/>
      <c r="B437" s="15"/>
      <c r="C437" s="15"/>
      <c r="D437" s="15"/>
      <c r="E437" s="15"/>
      <c r="F437" s="15"/>
      <c r="G437" s="15"/>
      <c r="H437" s="15"/>
      <c r="I437" s="45"/>
      <c r="J437" s="47"/>
      <c r="K437" s="20"/>
      <c r="L437" s="20"/>
      <c r="M437" s="20"/>
      <c r="N437" s="20"/>
      <c r="O437" s="20"/>
      <c r="P437" s="20"/>
      <c r="Q437" s="20"/>
      <c r="R437" s="20"/>
      <c r="S437" s="20"/>
      <c r="T437" s="20"/>
      <c r="U437" s="20"/>
      <c r="V437" s="20"/>
      <c r="W437" s="20"/>
      <c r="X437" s="20"/>
      <c r="Y437" s="20"/>
      <c r="Z437" s="20"/>
    </row>
    <row r="438" spans="1:26" ht="17.25" customHeight="1">
      <c r="A438" s="15"/>
      <c r="B438" s="15"/>
      <c r="C438" s="15"/>
      <c r="D438" s="15"/>
      <c r="E438" s="15"/>
      <c r="F438" s="15"/>
      <c r="G438" s="15"/>
      <c r="H438" s="15"/>
      <c r="I438" s="45"/>
      <c r="J438" s="47"/>
      <c r="K438" s="20"/>
      <c r="L438" s="20"/>
      <c r="M438" s="20"/>
      <c r="N438" s="20"/>
      <c r="O438" s="20"/>
      <c r="P438" s="20"/>
      <c r="Q438" s="20"/>
      <c r="R438" s="20"/>
      <c r="S438" s="20"/>
      <c r="T438" s="20"/>
      <c r="U438" s="20"/>
      <c r="V438" s="20"/>
      <c r="W438" s="20"/>
      <c r="X438" s="20"/>
      <c r="Y438" s="20"/>
      <c r="Z438" s="20"/>
    </row>
    <row r="439" spans="1:26" ht="17.25" customHeight="1">
      <c r="A439" s="15"/>
      <c r="B439" s="15"/>
      <c r="C439" s="15"/>
      <c r="D439" s="15"/>
      <c r="E439" s="15"/>
      <c r="F439" s="15"/>
      <c r="G439" s="15"/>
      <c r="H439" s="15"/>
      <c r="I439" s="45"/>
      <c r="J439" s="47"/>
      <c r="K439" s="20"/>
      <c r="L439" s="20"/>
      <c r="M439" s="20"/>
      <c r="N439" s="20"/>
      <c r="O439" s="20"/>
      <c r="P439" s="20"/>
      <c r="Q439" s="20"/>
      <c r="R439" s="20"/>
      <c r="S439" s="20"/>
      <c r="T439" s="20"/>
      <c r="U439" s="20"/>
      <c r="V439" s="20"/>
      <c r="W439" s="20"/>
      <c r="X439" s="20"/>
      <c r="Y439" s="20"/>
      <c r="Z439" s="20"/>
    </row>
    <row r="440" spans="1:26" ht="17.25" customHeight="1">
      <c r="A440" s="15"/>
      <c r="B440" s="15"/>
      <c r="C440" s="15"/>
      <c r="D440" s="15"/>
      <c r="E440" s="15"/>
      <c r="F440" s="15"/>
      <c r="G440" s="15"/>
      <c r="H440" s="15"/>
      <c r="I440" s="45"/>
      <c r="J440" s="47"/>
      <c r="K440" s="20"/>
      <c r="L440" s="20"/>
      <c r="M440" s="20"/>
      <c r="N440" s="20"/>
      <c r="O440" s="20"/>
      <c r="P440" s="20"/>
      <c r="Q440" s="20"/>
      <c r="R440" s="20"/>
      <c r="S440" s="20"/>
      <c r="T440" s="20"/>
      <c r="U440" s="20"/>
      <c r="V440" s="20"/>
      <c r="W440" s="20"/>
      <c r="X440" s="20"/>
      <c r="Y440" s="20"/>
      <c r="Z440" s="20"/>
    </row>
    <row r="441" spans="1:26" ht="17.25" customHeight="1">
      <c r="A441" s="15"/>
      <c r="B441" s="15"/>
      <c r="C441" s="15"/>
      <c r="D441" s="15"/>
      <c r="E441" s="15"/>
      <c r="F441" s="15"/>
      <c r="G441" s="15"/>
      <c r="H441" s="15"/>
      <c r="I441" s="45"/>
      <c r="J441" s="47"/>
      <c r="K441" s="20"/>
      <c r="L441" s="20"/>
      <c r="M441" s="20"/>
      <c r="N441" s="20"/>
      <c r="O441" s="20"/>
      <c r="P441" s="20"/>
      <c r="Q441" s="20"/>
      <c r="R441" s="20"/>
      <c r="S441" s="20"/>
      <c r="T441" s="20"/>
      <c r="U441" s="20"/>
      <c r="V441" s="20"/>
      <c r="W441" s="20"/>
      <c r="X441" s="20"/>
      <c r="Y441" s="20"/>
      <c r="Z441" s="20"/>
    </row>
    <row r="442" spans="1:26" ht="17.25" customHeight="1">
      <c r="A442" s="15"/>
      <c r="B442" s="15"/>
      <c r="C442" s="15"/>
      <c r="D442" s="15"/>
      <c r="E442" s="15"/>
      <c r="F442" s="15"/>
      <c r="G442" s="15"/>
      <c r="H442" s="15"/>
      <c r="I442" s="45"/>
      <c r="J442" s="47"/>
      <c r="K442" s="20"/>
      <c r="L442" s="20"/>
      <c r="M442" s="20"/>
      <c r="N442" s="20"/>
      <c r="O442" s="20"/>
      <c r="P442" s="20"/>
      <c r="Q442" s="20"/>
      <c r="R442" s="20"/>
      <c r="S442" s="20"/>
      <c r="T442" s="20"/>
      <c r="U442" s="20"/>
      <c r="V442" s="20"/>
      <c r="W442" s="20"/>
      <c r="X442" s="20"/>
      <c r="Y442" s="20"/>
      <c r="Z442" s="20"/>
    </row>
    <row r="443" spans="1:26" ht="17.25" customHeight="1">
      <c r="A443" s="15"/>
      <c r="B443" s="15"/>
      <c r="C443" s="15"/>
      <c r="D443" s="15"/>
      <c r="E443" s="15"/>
      <c r="F443" s="15"/>
      <c r="G443" s="15"/>
      <c r="H443" s="15"/>
      <c r="I443" s="45"/>
      <c r="J443" s="47"/>
      <c r="K443" s="20"/>
      <c r="L443" s="20"/>
      <c r="M443" s="20"/>
      <c r="N443" s="20"/>
      <c r="O443" s="20"/>
      <c r="P443" s="20"/>
      <c r="Q443" s="20"/>
      <c r="R443" s="20"/>
      <c r="S443" s="20"/>
      <c r="T443" s="20"/>
      <c r="U443" s="20"/>
      <c r="V443" s="20"/>
      <c r="W443" s="20"/>
      <c r="X443" s="20"/>
      <c r="Y443" s="20"/>
      <c r="Z443" s="20"/>
    </row>
    <row r="444" spans="1:26" ht="17.25" customHeight="1">
      <c r="A444" s="15"/>
      <c r="B444" s="15"/>
      <c r="C444" s="15"/>
      <c r="D444" s="15"/>
      <c r="E444" s="15"/>
      <c r="F444" s="15"/>
      <c r="G444" s="15"/>
      <c r="H444" s="15"/>
      <c r="I444" s="45"/>
      <c r="J444" s="47"/>
      <c r="K444" s="20"/>
      <c r="L444" s="20"/>
      <c r="M444" s="20"/>
      <c r="N444" s="20"/>
      <c r="O444" s="20"/>
      <c r="P444" s="20"/>
      <c r="Q444" s="20"/>
      <c r="R444" s="20"/>
      <c r="S444" s="20"/>
      <c r="T444" s="20"/>
      <c r="U444" s="20"/>
      <c r="V444" s="20"/>
      <c r="W444" s="20"/>
      <c r="X444" s="20"/>
      <c r="Y444" s="20"/>
      <c r="Z444" s="20"/>
    </row>
    <row r="445" spans="1:26" ht="17.25" customHeight="1">
      <c r="A445" s="15"/>
      <c r="B445" s="15"/>
      <c r="C445" s="15"/>
      <c r="D445" s="15"/>
      <c r="E445" s="15"/>
      <c r="F445" s="15"/>
      <c r="G445" s="15"/>
      <c r="H445" s="15"/>
      <c r="I445" s="45"/>
      <c r="J445" s="47"/>
      <c r="K445" s="20"/>
      <c r="L445" s="20"/>
      <c r="M445" s="20"/>
      <c r="N445" s="20"/>
      <c r="O445" s="20"/>
      <c r="P445" s="20"/>
      <c r="Q445" s="20"/>
      <c r="R445" s="20"/>
      <c r="S445" s="20"/>
      <c r="T445" s="20"/>
      <c r="U445" s="20"/>
      <c r="V445" s="20"/>
      <c r="W445" s="20"/>
      <c r="X445" s="20"/>
      <c r="Y445" s="20"/>
      <c r="Z445" s="20"/>
    </row>
    <row r="446" spans="1:26" ht="17.25" customHeight="1">
      <c r="A446" s="15"/>
      <c r="B446" s="15"/>
      <c r="C446" s="15"/>
      <c r="D446" s="15"/>
      <c r="E446" s="15"/>
      <c r="F446" s="15"/>
      <c r="G446" s="15"/>
      <c r="H446" s="15"/>
      <c r="I446" s="45"/>
      <c r="J446" s="47"/>
      <c r="K446" s="20"/>
      <c r="L446" s="20"/>
      <c r="M446" s="20"/>
      <c r="N446" s="20"/>
      <c r="O446" s="20"/>
      <c r="P446" s="20"/>
      <c r="Q446" s="20"/>
      <c r="R446" s="20"/>
      <c r="S446" s="20"/>
      <c r="T446" s="20"/>
      <c r="U446" s="20"/>
      <c r="V446" s="20"/>
      <c r="W446" s="20"/>
      <c r="X446" s="20"/>
      <c r="Y446" s="20"/>
      <c r="Z446" s="20"/>
    </row>
    <row r="447" spans="1:26" ht="17.25" customHeight="1">
      <c r="A447" s="15"/>
      <c r="B447" s="15"/>
      <c r="C447" s="15"/>
      <c r="D447" s="15"/>
      <c r="E447" s="15"/>
      <c r="F447" s="15"/>
      <c r="G447" s="15"/>
      <c r="H447" s="15"/>
      <c r="I447" s="45"/>
      <c r="J447" s="47"/>
      <c r="K447" s="20"/>
      <c r="L447" s="20"/>
      <c r="M447" s="20"/>
      <c r="N447" s="20"/>
      <c r="O447" s="20"/>
      <c r="P447" s="20"/>
      <c r="Q447" s="20"/>
      <c r="R447" s="20"/>
      <c r="S447" s="20"/>
      <c r="T447" s="20"/>
      <c r="U447" s="20"/>
      <c r="V447" s="20"/>
      <c r="W447" s="20"/>
      <c r="X447" s="20"/>
      <c r="Y447" s="20"/>
      <c r="Z447" s="20"/>
    </row>
    <row r="448" spans="1:26" ht="17.25" customHeight="1">
      <c r="A448" s="15"/>
      <c r="B448" s="15"/>
      <c r="C448" s="15"/>
      <c r="D448" s="15"/>
      <c r="E448" s="15"/>
      <c r="F448" s="15"/>
      <c r="G448" s="15"/>
      <c r="H448" s="15"/>
      <c r="I448" s="45"/>
      <c r="J448" s="47"/>
      <c r="K448" s="20"/>
      <c r="L448" s="20"/>
      <c r="M448" s="20"/>
      <c r="N448" s="20"/>
      <c r="O448" s="20"/>
      <c r="P448" s="20"/>
      <c r="Q448" s="20"/>
      <c r="R448" s="20"/>
      <c r="S448" s="20"/>
      <c r="T448" s="20"/>
      <c r="U448" s="20"/>
      <c r="V448" s="20"/>
      <c r="W448" s="20"/>
      <c r="X448" s="20"/>
      <c r="Y448" s="20"/>
      <c r="Z448" s="20"/>
    </row>
    <row r="449" spans="1:26" ht="17.25" customHeight="1">
      <c r="A449" s="15"/>
      <c r="B449" s="15"/>
      <c r="C449" s="15"/>
      <c r="D449" s="15"/>
      <c r="E449" s="15"/>
      <c r="F449" s="15"/>
      <c r="G449" s="15"/>
      <c r="H449" s="15"/>
      <c r="I449" s="45"/>
      <c r="J449" s="47"/>
      <c r="K449" s="20"/>
      <c r="L449" s="20"/>
      <c r="M449" s="20"/>
      <c r="N449" s="20"/>
      <c r="O449" s="20"/>
      <c r="P449" s="20"/>
      <c r="Q449" s="20"/>
      <c r="R449" s="20"/>
      <c r="S449" s="20"/>
      <c r="T449" s="20"/>
      <c r="U449" s="20"/>
      <c r="V449" s="20"/>
      <c r="W449" s="20"/>
      <c r="X449" s="20"/>
      <c r="Y449" s="20"/>
      <c r="Z449" s="20"/>
    </row>
    <row r="450" spans="1:26" ht="17.25" customHeight="1">
      <c r="A450" s="15"/>
      <c r="B450" s="15"/>
      <c r="C450" s="15"/>
      <c r="D450" s="15"/>
      <c r="E450" s="15"/>
      <c r="F450" s="15"/>
      <c r="G450" s="15"/>
      <c r="H450" s="15"/>
      <c r="I450" s="45"/>
      <c r="J450" s="47"/>
      <c r="K450" s="20"/>
      <c r="L450" s="20"/>
      <c r="M450" s="20"/>
      <c r="N450" s="20"/>
      <c r="O450" s="20"/>
      <c r="P450" s="20"/>
      <c r="Q450" s="20"/>
      <c r="R450" s="20"/>
      <c r="S450" s="20"/>
      <c r="T450" s="20"/>
      <c r="U450" s="20"/>
      <c r="V450" s="20"/>
      <c r="W450" s="20"/>
      <c r="X450" s="20"/>
      <c r="Y450" s="20"/>
      <c r="Z450" s="20"/>
    </row>
    <row r="451" spans="1:26" ht="17.25" customHeight="1">
      <c r="A451" s="15"/>
      <c r="B451" s="15"/>
      <c r="C451" s="15"/>
      <c r="D451" s="15"/>
      <c r="E451" s="15"/>
      <c r="F451" s="15"/>
      <c r="G451" s="15"/>
      <c r="H451" s="15"/>
      <c r="I451" s="45"/>
      <c r="J451" s="47"/>
      <c r="K451" s="20"/>
      <c r="L451" s="20"/>
      <c r="M451" s="20"/>
      <c r="N451" s="20"/>
      <c r="O451" s="20"/>
      <c r="P451" s="20"/>
      <c r="Q451" s="20"/>
      <c r="R451" s="20"/>
      <c r="S451" s="20"/>
      <c r="T451" s="20"/>
      <c r="U451" s="20"/>
      <c r="V451" s="20"/>
      <c r="W451" s="20"/>
      <c r="X451" s="20"/>
      <c r="Y451" s="20"/>
      <c r="Z451" s="20"/>
    </row>
    <row r="452" spans="1:26" ht="17.25" customHeight="1">
      <c r="A452" s="15"/>
      <c r="B452" s="15"/>
      <c r="C452" s="15"/>
      <c r="D452" s="15"/>
      <c r="E452" s="15"/>
      <c r="F452" s="15"/>
      <c r="G452" s="15"/>
      <c r="H452" s="15"/>
      <c r="I452" s="45"/>
      <c r="J452" s="47"/>
      <c r="K452" s="20"/>
      <c r="L452" s="20"/>
      <c r="M452" s="20"/>
      <c r="N452" s="20"/>
      <c r="O452" s="20"/>
      <c r="P452" s="20"/>
      <c r="Q452" s="20"/>
      <c r="R452" s="20"/>
      <c r="S452" s="20"/>
      <c r="T452" s="20"/>
      <c r="U452" s="20"/>
      <c r="V452" s="20"/>
      <c r="W452" s="20"/>
      <c r="X452" s="20"/>
      <c r="Y452" s="20"/>
      <c r="Z452" s="20"/>
    </row>
    <row r="453" spans="1:26" ht="17.25" customHeight="1">
      <c r="A453" s="15"/>
      <c r="B453" s="15"/>
      <c r="C453" s="15"/>
      <c r="D453" s="15"/>
      <c r="E453" s="15"/>
      <c r="F453" s="15"/>
      <c r="G453" s="15"/>
      <c r="H453" s="15"/>
      <c r="I453" s="45"/>
      <c r="J453" s="47"/>
      <c r="K453" s="20"/>
      <c r="L453" s="20"/>
      <c r="M453" s="20"/>
      <c r="N453" s="20"/>
      <c r="O453" s="20"/>
      <c r="P453" s="20"/>
      <c r="Q453" s="20"/>
      <c r="R453" s="20"/>
      <c r="S453" s="20"/>
      <c r="T453" s="20"/>
      <c r="U453" s="20"/>
      <c r="V453" s="20"/>
      <c r="W453" s="20"/>
      <c r="X453" s="20"/>
      <c r="Y453" s="20"/>
      <c r="Z453" s="20"/>
    </row>
    <row r="454" spans="1:26" ht="17.25" customHeight="1">
      <c r="A454" s="15"/>
      <c r="B454" s="15"/>
      <c r="C454" s="15"/>
      <c r="D454" s="15"/>
      <c r="E454" s="15"/>
      <c r="F454" s="15"/>
      <c r="G454" s="15"/>
      <c r="H454" s="15"/>
      <c r="I454" s="45"/>
      <c r="J454" s="47"/>
      <c r="K454" s="20"/>
      <c r="L454" s="20"/>
      <c r="M454" s="20"/>
      <c r="N454" s="20"/>
      <c r="O454" s="20"/>
      <c r="P454" s="20"/>
      <c r="Q454" s="20"/>
      <c r="R454" s="20"/>
      <c r="S454" s="20"/>
      <c r="T454" s="20"/>
      <c r="U454" s="20"/>
      <c r="V454" s="20"/>
      <c r="W454" s="20"/>
      <c r="X454" s="20"/>
      <c r="Y454" s="20"/>
      <c r="Z454" s="20"/>
    </row>
    <row r="455" spans="1:26" ht="17.25" customHeight="1">
      <c r="A455" s="15"/>
      <c r="B455" s="15"/>
      <c r="C455" s="15"/>
      <c r="D455" s="15"/>
      <c r="E455" s="15"/>
      <c r="F455" s="15"/>
      <c r="G455" s="15"/>
      <c r="H455" s="15"/>
      <c r="I455" s="45"/>
      <c r="J455" s="47"/>
      <c r="K455" s="20"/>
      <c r="L455" s="20"/>
      <c r="M455" s="20"/>
      <c r="N455" s="20"/>
      <c r="O455" s="20"/>
      <c r="P455" s="20"/>
      <c r="Q455" s="20"/>
      <c r="R455" s="20"/>
      <c r="S455" s="20"/>
      <c r="T455" s="20"/>
      <c r="U455" s="20"/>
      <c r="V455" s="20"/>
      <c r="W455" s="20"/>
      <c r="X455" s="20"/>
      <c r="Y455" s="20"/>
      <c r="Z455" s="20"/>
    </row>
    <row r="456" spans="1:26" ht="17.25" customHeight="1">
      <c r="A456" s="15"/>
      <c r="B456" s="15"/>
      <c r="C456" s="15"/>
      <c r="D456" s="15"/>
      <c r="E456" s="15"/>
      <c r="F456" s="15"/>
      <c r="G456" s="15"/>
      <c r="H456" s="15"/>
      <c r="I456" s="45"/>
      <c r="J456" s="47"/>
      <c r="K456" s="20"/>
      <c r="L456" s="20"/>
      <c r="M456" s="20"/>
      <c r="N456" s="20"/>
      <c r="O456" s="20"/>
      <c r="P456" s="20"/>
      <c r="Q456" s="20"/>
      <c r="R456" s="20"/>
      <c r="S456" s="20"/>
      <c r="T456" s="20"/>
      <c r="U456" s="20"/>
      <c r="V456" s="20"/>
      <c r="W456" s="20"/>
      <c r="X456" s="20"/>
      <c r="Y456" s="20"/>
      <c r="Z456" s="20"/>
    </row>
    <row r="457" spans="1:26" ht="17.25" customHeight="1">
      <c r="A457" s="15"/>
      <c r="B457" s="15"/>
      <c r="C457" s="15"/>
      <c r="D457" s="15"/>
      <c r="E457" s="15"/>
      <c r="F457" s="15"/>
      <c r="G457" s="15"/>
      <c r="H457" s="15"/>
      <c r="I457" s="45"/>
      <c r="J457" s="47"/>
      <c r="K457" s="20"/>
      <c r="L457" s="20"/>
      <c r="M457" s="20"/>
      <c r="N457" s="20"/>
      <c r="O457" s="20"/>
      <c r="P457" s="20"/>
      <c r="Q457" s="20"/>
      <c r="R457" s="20"/>
      <c r="S457" s="20"/>
      <c r="T457" s="20"/>
      <c r="U457" s="20"/>
      <c r="V457" s="20"/>
      <c r="W457" s="20"/>
      <c r="X457" s="20"/>
      <c r="Y457" s="20"/>
      <c r="Z457" s="20"/>
    </row>
    <row r="458" spans="1:26" ht="17.25" customHeight="1">
      <c r="A458" s="15"/>
      <c r="B458" s="15"/>
      <c r="C458" s="15"/>
      <c r="D458" s="15"/>
      <c r="E458" s="15"/>
      <c r="F458" s="15"/>
      <c r="G458" s="15"/>
      <c r="H458" s="15"/>
      <c r="I458" s="45"/>
      <c r="J458" s="47"/>
      <c r="K458" s="20"/>
      <c r="L458" s="20"/>
      <c r="M458" s="20"/>
      <c r="N458" s="20"/>
      <c r="O458" s="20"/>
      <c r="P458" s="20"/>
      <c r="Q458" s="20"/>
      <c r="R458" s="20"/>
      <c r="S458" s="20"/>
      <c r="T458" s="20"/>
      <c r="U458" s="20"/>
      <c r="V458" s="20"/>
      <c r="W458" s="20"/>
      <c r="X458" s="20"/>
      <c r="Y458" s="20"/>
      <c r="Z458" s="20"/>
    </row>
    <row r="459" spans="1:26" ht="17.25" customHeight="1">
      <c r="A459" s="15"/>
      <c r="B459" s="15"/>
      <c r="C459" s="15"/>
      <c r="D459" s="15"/>
      <c r="E459" s="15"/>
      <c r="F459" s="15"/>
      <c r="G459" s="15"/>
      <c r="H459" s="15"/>
      <c r="I459" s="45"/>
      <c r="J459" s="47"/>
      <c r="K459" s="20"/>
      <c r="L459" s="20"/>
      <c r="M459" s="20"/>
      <c r="N459" s="20"/>
      <c r="O459" s="20"/>
      <c r="P459" s="20"/>
      <c r="Q459" s="20"/>
      <c r="R459" s="20"/>
      <c r="S459" s="20"/>
      <c r="T459" s="20"/>
      <c r="U459" s="20"/>
      <c r="V459" s="20"/>
      <c r="W459" s="20"/>
      <c r="X459" s="20"/>
      <c r="Y459" s="20"/>
      <c r="Z459" s="20"/>
    </row>
    <row r="460" spans="1:26" ht="17.25" customHeight="1">
      <c r="A460" s="15"/>
      <c r="B460" s="15"/>
      <c r="C460" s="15"/>
      <c r="D460" s="15"/>
      <c r="E460" s="15"/>
      <c r="F460" s="15"/>
      <c r="G460" s="15"/>
      <c r="H460" s="15"/>
      <c r="I460" s="45"/>
      <c r="J460" s="47"/>
      <c r="K460" s="20"/>
      <c r="L460" s="20"/>
      <c r="M460" s="20"/>
      <c r="N460" s="20"/>
      <c r="O460" s="20"/>
      <c r="P460" s="20"/>
      <c r="Q460" s="20"/>
      <c r="R460" s="20"/>
      <c r="S460" s="20"/>
      <c r="T460" s="20"/>
      <c r="U460" s="20"/>
      <c r="V460" s="20"/>
      <c r="W460" s="20"/>
      <c r="X460" s="20"/>
      <c r="Y460" s="20"/>
      <c r="Z460" s="20"/>
    </row>
    <row r="461" spans="1:26" ht="17.25" customHeight="1">
      <c r="A461" s="15"/>
      <c r="B461" s="15"/>
      <c r="C461" s="15"/>
      <c r="D461" s="15"/>
      <c r="E461" s="15"/>
      <c r="F461" s="15"/>
      <c r="G461" s="15"/>
      <c r="H461" s="15"/>
      <c r="I461" s="45"/>
      <c r="J461" s="47"/>
      <c r="K461" s="20"/>
      <c r="L461" s="20"/>
      <c r="M461" s="20"/>
      <c r="N461" s="20"/>
      <c r="O461" s="20"/>
      <c r="P461" s="20"/>
      <c r="Q461" s="20"/>
      <c r="R461" s="20"/>
      <c r="S461" s="20"/>
      <c r="T461" s="20"/>
      <c r="U461" s="20"/>
      <c r="V461" s="20"/>
      <c r="W461" s="20"/>
      <c r="X461" s="20"/>
      <c r="Y461" s="20"/>
      <c r="Z461" s="20"/>
    </row>
    <row r="462" spans="1:26" ht="17.25" customHeight="1">
      <c r="A462" s="15"/>
      <c r="B462" s="15"/>
      <c r="C462" s="15"/>
      <c r="D462" s="15"/>
      <c r="E462" s="15"/>
      <c r="F462" s="15"/>
      <c r="G462" s="15"/>
      <c r="H462" s="15"/>
      <c r="I462" s="45"/>
      <c r="J462" s="47"/>
      <c r="K462" s="20"/>
      <c r="L462" s="20"/>
      <c r="M462" s="20"/>
      <c r="N462" s="20"/>
      <c r="O462" s="20"/>
      <c r="P462" s="20"/>
      <c r="Q462" s="20"/>
      <c r="R462" s="20"/>
      <c r="S462" s="20"/>
      <c r="T462" s="20"/>
      <c r="U462" s="20"/>
      <c r="V462" s="20"/>
      <c r="W462" s="20"/>
      <c r="X462" s="20"/>
      <c r="Y462" s="20"/>
      <c r="Z462" s="20"/>
    </row>
    <row r="463" spans="1:26" ht="17.25" customHeight="1">
      <c r="A463" s="15"/>
      <c r="B463" s="15"/>
      <c r="C463" s="15"/>
      <c r="D463" s="15"/>
      <c r="E463" s="15"/>
      <c r="F463" s="15"/>
      <c r="G463" s="15"/>
      <c r="H463" s="15"/>
      <c r="I463" s="45"/>
      <c r="J463" s="47"/>
      <c r="K463" s="20"/>
      <c r="L463" s="20"/>
      <c r="M463" s="20"/>
      <c r="N463" s="20"/>
      <c r="O463" s="20"/>
      <c r="P463" s="20"/>
      <c r="Q463" s="20"/>
      <c r="R463" s="20"/>
      <c r="S463" s="20"/>
      <c r="T463" s="20"/>
      <c r="U463" s="20"/>
      <c r="V463" s="20"/>
      <c r="W463" s="20"/>
      <c r="X463" s="20"/>
      <c r="Y463" s="20"/>
      <c r="Z463" s="20"/>
    </row>
    <row r="464" spans="1:26" ht="17.25" customHeight="1">
      <c r="A464" s="15"/>
      <c r="B464" s="15"/>
      <c r="C464" s="15"/>
      <c r="D464" s="15"/>
      <c r="E464" s="15"/>
      <c r="F464" s="15"/>
      <c r="G464" s="15"/>
      <c r="H464" s="15"/>
      <c r="I464" s="45"/>
      <c r="J464" s="47"/>
      <c r="K464" s="20"/>
      <c r="L464" s="20"/>
      <c r="M464" s="20"/>
      <c r="N464" s="20"/>
      <c r="O464" s="20"/>
      <c r="P464" s="20"/>
      <c r="Q464" s="20"/>
      <c r="R464" s="20"/>
      <c r="S464" s="20"/>
      <c r="T464" s="20"/>
      <c r="U464" s="20"/>
      <c r="V464" s="20"/>
      <c r="W464" s="20"/>
      <c r="X464" s="20"/>
      <c r="Y464" s="20"/>
      <c r="Z464" s="20"/>
    </row>
    <row r="465" spans="1:26" ht="17.25" customHeight="1">
      <c r="A465" s="15"/>
      <c r="B465" s="15"/>
      <c r="C465" s="15"/>
      <c r="D465" s="15"/>
      <c r="E465" s="15"/>
      <c r="F465" s="15"/>
      <c r="G465" s="15"/>
      <c r="H465" s="15"/>
      <c r="I465" s="45"/>
      <c r="J465" s="47"/>
      <c r="K465" s="20"/>
      <c r="L465" s="20"/>
      <c r="M465" s="20"/>
      <c r="N465" s="20"/>
      <c r="O465" s="20"/>
      <c r="P465" s="20"/>
      <c r="Q465" s="20"/>
      <c r="R465" s="20"/>
      <c r="S465" s="20"/>
      <c r="T465" s="20"/>
      <c r="U465" s="20"/>
      <c r="V465" s="20"/>
      <c r="W465" s="20"/>
      <c r="X465" s="20"/>
      <c r="Y465" s="20"/>
      <c r="Z465" s="20"/>
    </row>
    <row r="466" spans="1:26" ht="17.25" customHeight="1">
      <c r="A466" s="15"/>
      <c r="B466" s="15"/>
      <c r="C466" s="15"/>
      <c r="D466" s="15"/>
      <c r="E466" s="15"/>
      <c r="F466" s="15"/>
      <c r="G466" s="15"/>
      <c r="H466" s="15"/>
      <c r="I466" s="45"/>
      <c r="J466" s="47"/>
      <c r="K466" s="20"/>
      <c r="L466" s="20"/>
      <c r="M466" s="20"/>
      <c r="N466" s="20"/>
      <c r="O466" s="20"/>
      <c r="P466" s="20"/>
      <c r="Q466" s="20"/>
      <c r="R466" s="20"/>
      <c r="S466" s="20"/>
      <c r="T466" s="20"/>
      <c r="U466" s="20"/>
      <c r="V466" s="20"/>
      <c r="W466" s="20"/>
      <c r="X466" s="20"/>
      <c r="Y466" s="20"/>
      <c r="Z466" s="20"/>
    </row>
    <row r="467" spans="1:26" ht="17.25" customHeight="1">
      <c r="A467" s="15"/>
      <c r="B467" s="15"/>
      <c r="C467" s="15"/>
      <c r="D467" s="15"/>
      <c r="E467" s="15"/>
      <c r="F467" s="15"/>
      <c r="G467" s="15"/>
      <c r="H467" s="15"/>
      <c r="I467" s="45"/>
      <c r="J467" s="47"/>
      <c r="K467" s="20"/>
      <c r="L467" s="20"/>
      <c r="M467" s="20"/>
      <c r="N467" s="20"/>
      <c r="O467" s="20"/>
      <c r="P467" s="20"/>
      <c r="Q467" s="20"/>
      <c r="R467" s="20"/>
      <c r="S467" s="20"/>
      <c r="T467" s="20"/>
      <c r="U467" s="20"/>
      <c r="V467" s="20"/>
      <c r="W467" s="20"/>
      <c r="X467" s="20"/>
      <c r="Y467" s="20"/>
      <c r="Z467" s="20"/>
    </row>
    <row r="468" spans="1:26" ht="17.25" customHeight="1">
      <c r="A468" s="15"/>
      <c r="B468" s="15"/>
      <c r="C468" s="15"/>
      <c r="D468" s="15"/>
      <c r="E468" s="15"/>
      <c r="F468" s="15"/>
      <c r="G468" s="15"/>
      <c r="H468" s="15"/>
      <c r="I468" s="45"/>
      <c r="J468" s="47"/>
      <c r="K468" s="20"/>
      <c r="L468" s="20"/>
      <c r="M468" s="20"/>
      <c r="N468" s="20"/>
      <c r="O468" s="20"/>
      <c r="P468" s="20"/>
      <c r="Q468" s="20"/>
      <c r="R468" s="20"/>
      <c r="S468" s="20"/>
      <c r="T468" s="20"/>
      <c r="U468" s="20"/>
      <c r="V468" s="20"/>
      <c r="W468" s="20"/>
      <c r="X468" s="20"/>
      <c r="Y468" s="20"/>
      <c r="Z468" s="20"/>
    </row>
    <row r="469" spans="1:26" ht="17.25" customHeight="1">
      <c r="A469" s="15"/>
      <c r="B469" s="15"/>
      <c r="C469" s="15"/>
      <c r="D469" s="15"/>
      <c r="E469" s="15"/>
      <c r="F469" s="15"/>
      <c r="G469" s="15"/>
      <c r="H469" s="15"/>
      <c r="I469" s="45"/>
      <c r="J469" s="47"/>
      <c r="K469" s="20"/>
      <c r="L469" s="20"/>
      <c r="M469" s="20"/>
      <c r="N469" s="20"/>
      <c r="O469" s="20"/>
      <c r="P469" s="20"/>
      <c r="Q469" s="20"/>
      <c r="R469" s="20"/>
      <c r="S469" s="20"/>
      <c r="T469" s="20"/>
      <c r="U469" s="20"/>
      <c r="V469" s="20"/>
      <c r="W469" s="20"/>
      <c r="X469" s="20"/>
      <c r="Y469" s="20"/>
      <c r="Z469" s="20"/>
    </row>
    <row r="470" spans="1:26" ht="17.25" customHeight="1">
      <c r="A470" s="15"/>
      <c r="B470" s="15"/>
      <c r="C470" s="15"/>
      <c r="D470" s="15"/>
      <c r="E470" s="15"/>
      <c r="F470" s="15"/>
      <c r="G470" s="15"/>
      <c r="H470" s="15"/>
      <c r="I470" s="45"/>
      <c r="J470" s="47"/>
      <c r="K470" s="20"/>
      <c r="L470" s="20"/>
      <c r="M470" s="20"/>
      <c r="N470" s="20"/>
      <c r="O470" s="20"/>
      <c r="P470" s="20"/>
      <c r="Q470" s="20"/>
      <c r="R470" s="20"/>
      <c r="S470" s="20"/>
      <c r="T470" s="20"/>
      <c r="U470" s="20"/>
      <c r="V470" s="20"/>
      <c r="W470" s="20"/>
      <c r="X470" s="20"/>
      <c r="Y470" s="20"/>
      <c r="Z470" s="20"/>
    </row>
    <row r="471" spans="1:26" ht="17.25" customHeight="1">
      <c r="A471" s="15"/>
      <c r="B471" s="15"/>
      <c r="C471" s="15"/>
      <c r="D471" s="15"/>
      <c r="E471" s="15"/>
      <c r="F471" s="15"/>
      <c r="G471" s="15"/>
      <c r="H471" s="15"/>
      <c r="I471" s="45"/>
      <c r="J471" s="47"/>
      <c r="K471" s="20"/>
      <c r="L471" s="20"/>
      <c r="M471" s="20"/>
      <c r="N471" s="20"/>
      <c r="O471" s="20"/>
      <c r="P471" s="20"/>
      <c r="Q471" s="20"/>
      <c r="R471" s="20"/>
      <c r="S471" s="20"/>
      <c r="T471" s="20"/>
      <c r="U471" s="20"/>
      <c r="V471" s="20"/>
      <c r="W471" s="20"/>
      <c r="X471" s="20"/>
      <c r="Y471" s="20"/>
      <c r="Z471" s="20"/>
    </row>
    <row r="472" spans="1:26" ht="17.25" customHeight="1">
      <c r="A472" s="15"/>
      <c r="B472" s="15"/>
      <c r="C472" s="15"/>
      <c r="D472" s="15"/>
      <c r="E472" s="15"/>
      <c r="F472" s="15"/>
      <c r="G472" s="15"/>
      <c r="H472" s="15"/>
      <c r="I472" s="45"/>
      <c r="J472" s="47"/>
      <c r="K472" s="20"/>
      <c r="L472" s="20"/>
      <c r="M472" s="20"/>
      <c r="N472" s="20"/>
      <c r="O472" s="20"/>
      <c r="P472" s="20"/>
      <c r="Q472" s="20"/>
      <c r="R472" s="20"/>
      <c r="S472" s="20"/>
      <c r="T472" s="20"/>
      <c r="U472" s="20"/>
      <c r="V472" s="20"/>
      <c r="W472" s="20"/>
      <c r="X472" s="20"/>
      <c r="Y472" s="20"/>
      <c r="Z472" s="20"/>
    </row>
    <row r="473" spans="1:26" ht="17.25" customHeight="1">
      <c r="A473" s="15"/>
      <c r="B473" s="15"/>
      <c r="C473" s="15"/>
      <c r="D473" s="15"/>
      <c r="E473" s="15"/>
      <c r="F473" s="15"/>
      <c r="G473" s="15"/>
      <c r="H473" s="15"/>
      <c r="I473" s="45"/>
      <c r="J473" s="47"/>
      <c r="K473" s="20"/>
      <c r="L473" s="20"/>
      <c r="M473" s="20"/>
      <c r="N473" s="20"/>
      <c r="O473" s="20"/>
      <c r="P473" s="20"/>
      <c r="Q473" s="20"/>
      <c r="R473" s="20"/>
      <c r="S473" s="20"/>
      <c r="T473" s="20"/>
      <c r="U473" s="20"/>
      <c r="V473" s="20"/>
      <c r="W473" s="20"/>
      <c r="X473" s="20"/>
      <c r="Y473" s="20"/>
      <c r="Z473" s="20"/>
    </row>
    <row r="474" spans="1:26" ht="17.25" customHeight="1">
      <c r="A474" s="15"/>
      <c r="B474" s="15"/>
      <c r="C474" s="15"/>
      <c r="D474" s="15"/>
      <c r="E474" s="15"/>
      <c r="F474" s="15"/>
      <c r="G474" s="15"/>
      <c r="H474" s="15"/>
      <c r="I474" s="45"/>
      <c r="J474" s="47"/>
      <c r="K474" s="20"/>
      <c r="L474" s="20"/>
      <c r="M474" s="20"/>
      <c r="N474" s="20"/>
      <c r="O474" s="20"/>
      <c r="P474" s="20"/>
      <c r="Q474" s="20"/>
      <c r="R474" s="20"/>
      <c r="S474" s="20"/>
      <c r="T474" s="20"/>
      <c r="U474" s="20"/>
      <c r="V474" s="20"/>
      <c r="W474" s="20"/>
      <c r="X474" s="20"/>
      <c r="Y474" s="20"/>
      <c r="Z474" s="20"/>
    </row>
    <row r="475" spans="1:26" ht="17.25" customHeight="1">
      <c r="A475" s="15"/>
      <c r="B475" s="15"/>
      <c r="C475" s="15"/>
      <c r="D475" s="15"/>
      <c r="E475" s="15"/>
      <c r="F475" s="15"/>
      <c r="G475" s="15"/>
      <c r="H475" s="15"/>
      <c r="I475" s="45"/>
      <c r="J475" s="47"/>
      <c r="K475" s="20"/>
      <c r="L475" s="20"/>
      <c r="M475" s="20"/>
      <c r="N475" s="20"/>
      <c r="O475" s="20"/>
      <c r="P475" s="20"/>
      <c r="Q475" s="20"/>
      <c r="R475" s="20"/>
      <c r="S475" s="20"/>
      <c r="T475" s="20"/>
      <c r="U475" s="20"/>
      <c r="V475" s="20"/>
      <c r="W475" s="20"/>
      <c r="X475" s="20"/>
      <c r="Y475" s="20"/>
      <c r="Z475" s="20"/>
    </row>
    <row r="476" spans="1:26" ht="17.25" customHeight="1">
      <c r="A476" s="15"/>
      <c r="B476" s="15"/>
      <c r="C476" s="15"/>
      <c r="D476" s="15"/>
      <c r="E476" s="15"/>
      <c r="F476" s="15"/>
      <c r="G476" s="15"/>
      <c r="H476" s="15"/>
      <c r="I476" s="45"/>
      <c r="J476" s="47"/>
      <c r="K476" s="20"/>
      <c r="L476" s="20"/>
      <c r="M476" s="20"/>
      <c r="N476" s="20"/>
      <c r="O476" s="20"/>
      <c r="P476" s="20"/>
      <c r="Q476" s="20"/>
      <c r="R476" s="20"/>
      <c r="S476" s="20"/>
      <c r="T476" s="20"/>
      <c r="U476" s="20"/>
      <c r="V476" s="20"/>
      <c r="W476" s="20"/>
      <c r="X476" s="20"/>
      <c r="Y476" s="20"/>
      <c r="Z476" s="20"/>
    </row>
    <row r="477" spans="1:26" ht="17.25" customHeight="1">
      <c r="A477" s="15"/>
      <c r="B477" s="15"/>
      <c r="C477" s="15"/>
      <c r="D477" s="15"/>
      <c r="E477" s="15"/>
      <c r="F477" s="15"/>
      <c r="G477" s="15"/>
      <c r="H477" s="15"/>
      <c r="I477" s="45"/>
      <c r="J477" s="47"/>
      <c r="K477" s="20"/>
      <c r="L477" s="20"/>
      <c r="M477" s="20"/>
      <c r="N477" s="20"/>
      <c r="O477" s="20"/>
      <c r="P477" s="20"/>
      <c r="Q477" s="20"/>
      <c r="R477" s="20"/>
      <c r="S477" s="20"/>
      <c r="T477" s="20"/>
      <c r="U477" s="20"/>
      <c r="V477" s="20"/>
      <c r="W477" s="20"/>
      <c r="X477" s="20"/>
      <c r="Y477" s="20"/>
      <c r="Z477" s="20"/>
    </row>
    <row r="478" spans="1:26" ht="17.25" customHeight="1">
      <c r="A478" s="15"/>
      <c r="B478" s="15"/>
      <c r="C478" s="15"/>
      <c r="D478" s="15"/>
      <c r="E478" s="15"/>
      <c r="F478" s="15"/>
      <c r="G478" s="15"/>
      <c r="H478" s="15"/>
      <c r="I478" s="45"/>
      <c r="J478" s="47"/>
      <c r="K478" s="20"/>
      <c r="L478" s="20"/>
      <c r="M478" s="20"/>
      <c r="N478" s="20"/>
      <c r="O478" s="20"/>
      <c r="P478" s="20"/>
      <c r="Q478" s="20"/>
      <c r="R478" s="20"/>
      <c r="S478" s="20"/>
      <c r="T478" s="20"/>
      <c r="U478" s="20"/>
      <c r="V478" s="20"/>
      <c r="W478" s="20"/>
      <c r="X478" s="20"/>
      <c r="Y478" s="20"/>
      <c r="Z478" s="20"/>
    </row>
    <row r="479" spans="1:26" ht="17.25" customHeight="1">
      <c r="A479" s="15"/>
      <c r="B479" s="15"/>
      <c r="C479" s="15"/>
      <c r="D479" s="15"/>
      <c r="E479" s="15"/>
      <c r="F479" s="15"/>
      <c r="G479" s="15"/>
      <c r="H479" s="15"/>
      <c r="I479" s="45"/>
      <c r="J479" s="47"/>
      <c r="K479" s="20"/>
      <c r="L479" s="20"/>
      <c r="M479" s="20"/>
      <c r="N479" s="20"/>
      <c r="O479" s="20"/>
      <c r="P479" s="20"/>
      <c r="Q479" s="20"/>
      <c r="R479" s="20"/>
      <c r="S479" s="20"/>
      <c r="T479" s="20"/>
      <c r="U479" s="20"/>
      <c r="V479" s="20"/>
      <c r="W479" s="20"/>
      <c r="X479" s="20"/>
      <c r="Y479" s="20"/>
      <c r="Z479" s="20"/>
    </row>
    <row r="480" spans="1:26" ht="17.25" customHeight="1">
      <c r="A480" s="15"/>
      <c r="B480" s="15"/>
      <c r="C480" s="15"/>
      <c r="D480" s="15"/>
      <c r="E480" s="15"/>
      <c r="F480" s="15"/>
      <c r="G480" s="15"/>
      <c r="H480" s="15"/>
      <c r="I480" s="45"/>
      <c r="J480" s="47"/>
      <c r="K480" s="20"/>
      <c r="L480" s="20"/>
      <c r="M480" s="20"/>
      <c r="N480" s="20"/>
      <c r="O480" s="20"/>
      <c r="P480" s="20"/>
      <c r="Q480" s="20"/>
      <c r="R480" s="20"/>
      <c r="S480" s="20"/>
      <c r="T480" s="20"/>
      <c r="U480" s="20"/>
      <c r="V480" s="20"/>
      <c r="W480" s="20"/>
      <c r="X480" s="20"/>
      <c r="Y480" s="20"/>
      <c r="Z480" s="20"/>
    </row>
    <row r="481" spans="1:26" ht="17.25" customHeight="1">
      <c r="A481" s="15"/>
      <c r="B481" s="15"/>
      <c r="C481" s="15"/>
      <c r="D481" s="15"/>
      <c r="E481" s="15"/>
      <c r="F481" s="15"/>
      <c r="G481" s="15"/>
      <c r="H481" s="15"/>
      <c r="I481" s="45"/>
      <c r="J481" s="47"/>
      <c r="K481" s="20"/>
      <c r="L481" s="20"/>
      <c r="M481" s="20"/>
      <c r="N481" s="20"/>
      <c r="O481" s="20"/>
      <c r="P481" s="20"/>
      <c r="Q481" s="20"/>
      <c r="R481" s="20"/>
      <c r="S481" s="20"/>
      <c r="T481" s="20"/>
      <c r="U481" s="20"/>
      <c r="V481" s="20"/>
      <c r="W481" s="20"/>
      <c r="X481" s="20"/>
      <c r="Y481" s="20"/>
      <c r="Z481" s="20"/>
    </row>
    <row r="482" spans="1:26" ht="17.25" customHeight="1">
      <c r="A482" s="15"/>
      <c r="B482" s="15"/>
      <c r="C482" s="15"/>
      <c r="D482" s="15"/>
      <c r="E482" s="15"/>
      <c r="F482" s="15"/>
      <c r="G482" s="15"/>
      <c r="H482" s="15"/>
      <c r="I482" s="45"/>
      <c r="J482" s="47"/>
      <c r="K482" s="20"/>
      <c r="L482" s="20"/>
      <c r="M482" s="20"/>
      <c r="N482" s="20"/>
      <c r="O482" s="20"/>
      <c r="P482" s="20"/>
      <c r="Q482" s="20"/>
      <c r="R482" s="20"/>
      <c r="S482" s="20"/>
      <c r="T482" s="20"/>
      <c r="U482" s="20"/>
      <c r="V482" s="20"/>
      <c r="W482" s="20"/>
      <c r="X482" s="20"/>
      <c r="Y482" s="20"/>
      <c r="Z482" s="20"/>
    </row>
    <row r="483" spans="1:26" ht="17.25" customHeight="1">
      <c r="A483" s="15"/>
      <c r="B483" s="15"/>
      <c r="C483" s="15"/>
      <c r="D483" s="15"/>
      <c r="E483" s="15"/>
      <c r="F483" s="15"/>
      <c r="G483" s="15"/>
      <c r="H483" s="15"/>
      <c r="I483" s="45"/>
      <c r="J483" s="47"/>
      <c r="K483" s="20"/>
      <c r="L483" s="20"/>
      <c r="M483" s="20"/>
      <c r="N483" s="20"/>
      <c r="O483" s="20"/>
      <c r="P483" s="20"/>
      <c r="Q483" s="20"/>
      <c r="R483" s="20"/>
      <c r="S483" s="20"/>
      <c r="T483" s="20"/>
      <c r="U483" s="20"/>
      <c r="V483" s="20"/>
      <c r="W483" s="20"/>
      <c r="X483" s="20"/>
      <c r="Y483" s="20"/>
      <c r="Z483" s="20"/>
    </row>
    <row r="484" spans="1:26" ht="17.25" customHeight="1">
      <c r="A484" s="15"/>
      <c r="B484" s="15"/>
      <c r="C484" s="15"/>
      <c r="D484" s="15"/>
      <c r="E484" s="15"/>
      <c r="F484" s="15"/>
      <c r="G484" s="15"/>
      <c r="H484" s="15"/>
      <c r="I484" s="45"/>
      <c r="J484" s="47"/>
      <c r="K484" s="20"/>
      <c r="L484" s="20"/>
      <c r="M484" s="20"/>
      <c r="N484" s="20"/>
      <c r="O484" s="20"/>
      <c r="P484" s="20"/>
      <c r="Q484" s="20"/>
      <c r="R484" s="20"/>
      <c r="S484" s="20"/>
      <c r="T484" s="20"/>
      <c r="U484" s="20"/>
      <c r="V484" s="20"/>
      <c r="W484" s="20"/>
      <c r="X484" s="20"/>
      <c r="Y484" s="20"/>
      <c r="Z484" s="20"/>
    </row>
    <row r="485" spans="1:26" ht="17.25" customHeight="1">
      <c r="A485" s="15"/>
      <c r="B485" s="15"/>
      <c r="C485" s="15"/>
      <c r="D485" s="15"/>
      <c r="E485" s="15"/>
      <c r="F485" s="15"/>
      <c r="G485" s="15"/>
      <c r="H485" s="15"/>
      <c r="I485" s="45"/>
      <c r="J485" s="47"/>
      <c r="K485" s="20"/>
      <c r="L485" s="20"/>
      <c r="M485" s="20"/>
      <c r="N485" s="20"/>
      <c r="O485" s="20"/>
      <c r="P485" s="20"/>
      <c r="Q485" s="20"/>
      <c r="R485" s="20"/>
      <c r="S485" s="20"/>
      <c r="T485" s="20"/>
      <c r="U485" s="20"/>
      <c r="V485" s="20"/>
      <c r="W485" s="20"/>
      <c r="X485" s="20"/>
      <c r="Y485" s="20"/>
      <c r="Z485" s="20"/>
    </row>
    <row r="486" spans="1:26" ht="17.25" customHeight="1">
      <c r="A486" s="15"/>
      <c r="B486" s="15"/>
      <c r="C486" s="15"/>
      <c r="D486" s="15"/>
      <c r="E486" s="15"/>
      <c r="F486" s="15"/>
      <c r="G486" s="15"/>
      <c r="H486" s="15"/>
      <c r="I486" s="45"/>
      <c r="J486" s="47"/>
      <c r="K486" s="20"/>
      <c r="L486" s="20"/>
      <c r="M486" s="20"/>
      <c r="N486" s="20"/>
      <c r="O486" s="20"/>
      <c r="P486" s="20"/>
      <c r="Q486" s="20"/>
      <c r="R486" s="20"/>
      <c r="S486" s="20"/>
      <c r="T486" s="20"/>
      <c r="U486" s="20"/>
      <c r="V486" s="20"/>
      <c r="W486" s="20"/>
      <c r="X486" s="20"/>
      <c r="Y486" s="20"/>
      <c r="Z486" s="20"/>
    </row>
    <row r="487" spans="1:26" ht="17.25" customHeight="1">
      <c r="A487" s="15"/>
      <c r="B487" s="15"/>
      <c r="C487" s="15"/>
      <c r="D487" s="15"/>
      <c r="E487" s="15"/>
      <c r="F487" s="15"/>
      <c r="G487" s="15"/>
      <c r="H487" s="15"/>
      <c r="I487" s="45"/>
      <c r="J487" s="47"/>
      <c r="K487" s="20"/>
      <c r="L487" s="20"/>
      <c r="M487" s="20"/>
      <c r="N487" s="20"/>
      <c r="O487" s="20"/>
      <c r="P487" s="20"/>
      <c r="Q487" s="20"/>
      <c r="R487" s="20"/>
      <c r="S487" s="20"/>
      <c r="T487" s="20"/>
      <c r="U487" s="20"/>
      <c r="V487" s="20"/>
      <c r="W487" s="20"/>
      <c r="X487" s="20"/>
      <c r="Y487" s="20"/>
      <c r="Z487" s="20"/>
    </row>
    <row r="488" spans="1:26" ht="17.25" customHeight="1">
      <c r="A488" s="15"/>
      <c r="B488" s="15"/>
      <c r="C488" s="15"/>
      <c r="D488" s="15"/>
      <c r="E488" s="15"/>
      <c r="F488" s="15"/>
      <c r="G488" s="15"/>
      <c r="H488" s="15"/>
      <c r="I488" s="45"/>
      <c r="J488" s="47"/>
      <c r="K488" s="20"/>
      <c r="L488" s="20"/>
      <c r="M488" s="20"/>
      <c r="N488" s="20"/>
      <c r="O488" s="20"/>
      <c r="P488" s="20"/>
      <c r="Q488" s="20"/>
      <c r="R488" s="20"/>
      <c r="S488" s="20"/>
      <c r="T488" s="20"/>
      <c r="U488" s="20"/>
      <c r="V488" s="20"/>
      <c r="W488" s="20"/>
      <c r="X488" s="20"/>
      <c r="Y488" s="20"/>
      <c r="Z488" s="20"/>
    </row>
    <row r="489" spans="1:26" ht="17.25" customHeight="1">
      <c r="A489" s="15"/>
      <c r="B489" s="15"/>
      <c r="C489" s="15"/>
      <c r="D489" s="15"/>
      <c r="E489" s="15"/>
      <c r="F489" s="15"/>
      <c r="G489" s="15"/>
      <c r="H489" s="15"/>
      <c r="I489" s="45"/>
      <c r="J489" s="47"/>
      <c r="K489" s="20"/>
      <c r="L489" s="20"/>
      <c r="M489" s="20"/>
      <c r="N489" s="20"/>
      <c r="O489" s="20"/>
      <c r="P489" s="20"/>
      <c r="Q489" s="20"/>
      <c r="R489" s="20"/>
      <c r="S489" s="20"/>
      <c r="T489" s="20"/>
      <c r="U489" s="20"/>
      <c r="V489" s="20"/>
      <c r="W489" s="20"/>
      <c r="X489" s="20"/>
      <c r="Y489" s="20"/>
      <c r="Z489" s="20"/>
    </row>
    <row r="490" spans="1:26" ht="17.25" customHeight="1">
      <c r="A490" s="15"/>
      <c r="B490" s="15"/>
      <c r="C490" s="15"/>
      <c r="D490" s="15"/>
      <c r="E490" s="15"/>
      <c r="F490" s="15"/>
      <c r="G490" s="15"/>
      <c r="H490" s="15"/>
      <c r="I490" s="45"/>
      <c r="J490" s="47"/>
      <c r="K490" s="20"/>
      <c r="L490" s="20"/>
      <c r="M490" s="20"/>
      <c r="N490" s="20"/>
      <c r="O490" s="20"/>
      <c r="P490" s="20"/>
      <c r="Q490" s="20"/>
      <c r="R490" s="20"/>
      <c r="S490" s="20"/>
      <c r="T490" s="20"/>
      <c r="U490" s="20"/>
      <c r="V490" s="20"/>
      <c r="W490" s="20"/>
      <c r="X490" s="20"/>
      <c r="Y490" s="20"/>
      <c r="Z490" s="20"/>
    </row>
    <row r="491" spans="1:26" ht="17.25" customHeight="1">
      <c r="A491" s="15"/>
      <c r="B491" s="15"/>
      <c r="C491" s="15"/>
      <c r="D491" s="15"/>
      <c r="E491" s="15"/>
      <c r="F491" s="15"/>
      <c r="G491" s="15"/>
      <c r="H491" s="15"/>
      <c r="I491" s="45"/>
      <c r="J491" s="47"/>
      <c r="K491" s="20"/>
      <c r="L491" s="20"/>
      <c r="M491" s="20"/>
      <c r="N491" s="20"/>
      <c r="O491" s="20"/>
      <c r="P491" s="20"/>
      <c r="Q491" s="20"/>
      <c r="R491" s="20"/>
      <c r="S491" s="20"/>
      <c r="T491" s="20"/>
      <c r="U491" s="20"/>
      <c r="V491" s="20"/>
      <c r="W491" s="20"/>
      <c r="X491" s="20"/>
      <c r="Y491" s="20"/>
      <c r="Z491" s="20"/>
    </row>
    <row r="492" spans="1:26" ht="17.25" customHeight="1">
      <c r="A492" s="15"/>
      <c r="B492" s="15"/>
      <c r="C492" s="15"/>
      <c r="D492" s="15"/>
      <c r="E492" s="15"/>
      <c r="F492" s="15"/>
      <c r="G492" s="15"/>
      <c r="H492" s="15"/>
      <c r="I492" s="45"/>
      <c r="J492" s="47"/>
      <c r="K492" s="20"/>
      <c r="L492" s="20"/>
      <c r="M492" s="20"/>
      <c r="N492" s="20"/>
      <c r="O492" s="20"/>
      <c r="P492" s="20"/>
      <c r="Q492" s="20"/>
      <c r="R492" s="20"/>
      <c r="S492" s="20"/>
      <c r="T492" s="20"/>
      <c r="U492" s="20"/>
      <c r="V492" s="20"/>
      <c r="W492" s="20"/>
      <c r="X492" s="20"/>
      <c r="Y492" s="20"/>
      <c r="Z492" s="20"/>
    </row>
    <row r="493" spans="1:26" ht="17.25" customHeight="1">
      <c r="A493" s="15"/>
      <c r="B493" s="15"/>
      <c r="C493" s="15"/>
      <c r="D493" s="15"/>
      <c r="E493" s="15"/>
      <c r="F493" s="15"/>
      <c r="G493" s="15"/>
      <c r="H493" s="15"/>
      <c r="I493" s="45"/>
      <c r="J493" s="47"/>
      <c r="K493" s="20"/>
      <c r="L493" s="20"/>
      <c r="M493" s="20"/>
      <c r="N493" s="20"/>
      <c r="O493" s="20"/>
      <c r="P493" s="20"/>
      <c r="Q493" s="20"/>
      <c r="R493" s="20"/>
      <c r="S493" s="20"/>
      <c r="T493" s="20"/>
      <c r="U493" s="20"/>
      <c r="V493" s="20"/>
      <c r="W493" s="20"/>
      <c r="X493" s="20"/>
      <c r="Y493" s="20"/>
      <c r="Z493" s="20"/>
    </row>
    <row r="494" spans="1:26" ht="17.25" customHeight="1">
      <c r="A494" s="15"/>
      <c r="B494" s="15"/>
      <c r="C494" s="15"/>
      <c r="D494" s="15"/>
      <c r="E494" s="15"/>
      <c r="F494" s="15"/>
      <c r="G494" s="15"/>
      <c r="H494" s="15"/>
      <c r="I494" s="45"/>
      <c r="J494" s="47"/>
      <c r="K494" s="20"/>
      <c r="L494" s="20"/>
      <c r="M494" s="20"/>
      <c r="N494" s="20"/>
      <c r="O494" s="20"/>
      <c r="P494" s="20"/>
      <c r="Q494" s="20"/>
      <c r="R494" s="20"/>
      <c r="S494" s="20"/>
      <c r="T494" s="20"/>
      <c r="U494" s="20"/>
      <c r="V494" s="20"/>
      <c r="W494" s="20"/>
      <c r="X494" s="20"/>
      <c r="Y494" s="20"/>
      <c r="Z494" s="20"/>
    </row>
    <row r="495" spans="1:26" ht="17.25" customHeight="1">
      <c r="A495" s="15"/>
      <c r="B495" s="15"/>
      <c r="C495" s="15"/>
      <c r="D495" s="15"/>
      <c r="E495" s="15"/>
      <c r="F495" s="15"/>
      <c r="G495" s="15"/>
      <c r="H495" s="15"/>
      <c r="I495" s="45"/>
      <c r="J495" s="47"/>
      <c r="K495" s="20"/>
      <c r="L495" s="20"/>
      <c r="M495" s="20"/>
      <c r="N495" s="20"/>
      <c r="O495" s="20"/>
      <c r="P495" s="20"/>
      <c r="Q495" s="20"/>
      <c r="R495" s="20"/>
      <c r="S495" s="20"/>
      <c r="T495" s="20"/>
      <c r="U495" s="20"/>
      <c r="V495" s="20"/>
      <c r="W495" s="20"/>
      <c r="X495" s="20"/>
      <c r="Y495" s="20"/>
      <c r="Z495" s="20"/>
    </row>
    <row r="496" spans="1:26" ht="17.25" customHeight="1">
      <c r="A496" s="15"/>
      <c r="B496" s="15"/>
      <c r="C496" s="15"/>
      <c r="D496" s="15"/>
      <c r="E496" s="15"/>
      <c r="F496" s="15"/>
      <c r="G496" s="15"/>
      <c r="H496" s="15"/>
      <c r="I496" s="45"/>
      <c r="J496" s="47"/>
      <c r="K496" s="20"/>
      <c r="L496" s="20"/>
      <c r="M496" s="20"/>
      <c r="N496" s="20"/>
      <c r="O496" s="20"/>
      <c r="P496" s="20"/>
      <c r="Q496" s="20"/>
      <c r="R496" s="20"/>
      <c r="S496" s="20"/>
      <c r="T496" s="20"/>
      <c r="U496" s="20"/>
      <c r="V496" s="20"/>
      <c r="W496" s="20"/>
      <c r="X496" s="20"/>
      <c r="Y496" s="20"/>
      <c r="Z496" s="20"/>
    </row>
    <row r="497" spans="1:26" ht="17.25" customHeight="1">
      <c r="A497" s="15"/>
      <c r="B497" s="15"/>
      <c r="C497" s="15"/>
      <c r="D497" s="15"/>
      <c r="E497" s="15"/>
      <c r="F497" s="15"/>
      <c r="G497" s="15"/>
      <c r="H497" s="15"/>
      <c r="I497" s="45"/>
      <c r="J497" s="47"/>
      <c r="K497" s="20"/>
      <c r="L497" s="20"/>
      <c r="M497" s="20"/>
      <c r="N497" s="20"/>
      <c r="O497" s="20"/>
      <c r="P497" s="20"/>
      <c r="Q497" s="20"/>
      <c r="R497" s="20"/>
      <c r="S497" s="20"/>
      <c r="T497" s="20"/>
      <c r="U497" s="20"/>
      <c r="V497" s="20"/>
      <c r="W497" s="20"/>
      <c r="X497" s="20"/>
      <c r="Y497" s="20"/>
      <c r="Z497" s="20"/>
    </row>
    <row r="498" spans="1:26" ht="17.25" customHeight="1">
      <c r="A498" s="15"/>
      <c r="B498" s="15"/>
      <c r="C498" s="15"/>
      <c r="D498" s="15"/>
      <c r="E498" s="15"/>
      <c r="F498" s="15"/>
      <c r="G498" s="15"/>
      <c r="H498" s="15"/>
      <c r="I498" s="45"/>
      <c r="J498" s="47"/>
      <c r="K498" s="20"/>
      <c r="L498" s="20"/>
      <c r="M498" s="20"/>
      <c r="N498" s="20"/>
      <c r="O498" s="20"/>
      <c r="P498" s="20"/>
      <c r="Q498" s="20"/>
      <c r="R498" s="20"/>
      <c r="S498" s="20"/>
      <c r="T498" s="20"/>
      <c r="U498" s="20"/>
      <c r="V498" s="20"/>
      <c r="W498" s="20"/>
      <c r="X498" s="20"/>
      <c r="Y498" s="20"/>
      <c r="Z498" s="20"/>
    </row>
    <row r="499" spans="1:26" ht="17.25" customHeight="1">
      <c r="A499" s="15"/>
      <c r="B499" s="15"/>
      <c r="C499" s="15"/>
      <c r="D499" s="15"/>
      <c r="E499" s="15"/>
      <c r="F499" s="15"/>
      <c r="G499" s="15"/>
      <c r="H499" s="15"/>
      <c r="I499" s="45"/>
      <c r="J499" s="47"/>
      <c r="K499" s="20"/>
      <c r="L499" s="20"/>
      <c r="M499" s="20"/>
      <c r="N499" s="20"/>
      <c r="O499" s="20"/>
      <c r="P499" s="20"/>
      <c r="Q499" s="20"/>
      <c r="R499" s="20"/>
      <c r="S499" s="20"/>
      <c r="T499" s="20"/>
      <c r="U499" s="20"/>
      <c r="V499" s="20"/>
      <c r="W499" s="20"/>
      <c r="X499" s="20"/>
      <c r="Y499" s="20"/>
      <c r="Z499" s="20"/>
    </row>
    <row r="500" spans="1:26" ht="17.25" customHeight="1">
      <c r="A500" s="15"/>
      <c r="B500" s="15"/>
      <c r="C500" s="15"/>
      <c r="D500" s="15"/>
      <c r="E500" s="15"/>
      <c r="F500" s="15"/>
      <c r="G500" s="15"/>
      <c r="H500" s="15"/>
      <c r="I500" s="45"/>
      <c r="J500" s="47"/>
      <c r="K500" s="20"/>
      <c r="L500" s="20"/>
      <c r="M500" s="20"/>
      <c r="N500" s="20"/>
      <c r="O500" s="20"/>
      <c r="P500" s="20"/>
      <c r="Q500" s="20"/>
      <c r="R500" s="20"/>
      <c r="S500" s="20"/>
      <c r="T500" s="20"/>
      <c r="U500" s="20"/>
      <c r="V500" s="20"/>
      <c r="W500" s="20"/>
      <c r="X500" s="20"/>
      <c r="Y500" s="20"/>
      <c r="Z500" s="20"/>
    </row>
    <row r="501" spans="1:26" ht="17.25" customHeight="1">
      <c r="A501" s="15"/>
      <c r="B501" s="15"/>
      <c r="C501" s="15"/>
      <c r="D501" s="15"/>
      <c r="E501" s="15"/>
      <c r="F501" s="15"/>
      <c r="G501" s="15"/>
      <c r="H501" s="15"/>
      <c r="I501" s="45"/>
      <c r="J501" s="47"/>
      <c r="K501" s="20"/>
      <c r="L501" s="20"/>
      <c r="M501" s="20"/>
      <c r="N501" s="20"/>
      <c r="O501" s="20"/>
      <c r="P501" s="20"/>
      <c r="Q501" s="20"/>
      <c r="R501" s="20"/>
      <c r="S501" s="20"/>
      <c r="T501" s="20"/>
      <c r="U501" s="20"/>
      <c r="V501" s="20"/>
      <c r="W501" s="20"/>
      <c r="X501" s="20"/>
      <c r="Y501" s="20"/>
      <c r="Z501" s="20"/>
    </row>
    <row r="502" spans="1:26" ht="17.25" customHeight="1">
      <c r="A502" s="15"/>
      <c r="B502" s="15"/>
      <c r="C502" s="15"/>
      <c r="D502" s="15"/>
      <c r="E502" s="15"/>
      <c r="F502" s="15"/>
      <c r="G502" s="15"/>
      <c r="H502" s="15"/>
      <c r="I502" s="45"/>
      <c r="J502" s="47"/>
      <c r="K502" s="20"/>
      <c r="L502" s="20"/>
      <c r="M502" s="20"/>
      <c r="N502" s="20"/>
      <c r="O502" s="20"/>
      <c r="P502" s="20"/>
      <c r="Q502" s="20"/>
      <c r="R502" s="20"/>
      <c r="S502" s="20"/>
      <c r="T502" s="20"/>
      <c r="U502" s="20"/>
      <c r="V502" s="20"/>
      <c r="W502" s="20"/>
      <c r="X502" s="20"/>
      <c r="Y502" s="20"/>
      <c r="Z502" s="20"/>
    </row>
    <row r="503" spans="1:26" ht="17.25" customHeight="1">
      <c r="A503" s="15"/>
      <c r="B503" s="15"/>
      <c r="C503" s="15"/>
      <c r="D503" s="15"/>
      <c r="E503" s="15"/>
      <c r="F503" s="15"/>
      <c r="G503" s="15"/>
      <c r="H503" s="15"/>
      <c r="I503" s="45"/>
      <c r="J503" s="47"/>
      <c r="K503" s="20"/>
      <c r="L503" s="20"/>
      <c r="M503" s="20"/>
      <c r="N503" s="20"/>
      <c r="O503" s="20"/>
      <c r="P503" s="20"/>
      <c r="Q503" s="20"/>
      <c r="R503" s="20"/>
      <c r="S503" s="20"/>
      <c r="T503" s="20"/>
      <c r="U503" s="20"/>
      <c r="V503" s="20"/>
      <c r="W503" s="20"/>
      <c r="X503" s="20"/>
      <c r="Y503" s="20"/>
      <c r="Z503" s="20"/>
    </row>
    <row r="504" spans="1:26" ht="17.25" customHeight="1">
      <c r="A504" s="15"/>
      <c r="B504" s="15"/>
      <c r="C504" s="15"/>
      <c r="D504" s="15"/>
      <c r="E504" s="15"/>
      <c r="F504" s="15"/>
      <c r="G504" s="15"/>
      <c r="H504" s="15"/>
      <c r="I504" s="45"/>
      <c r="J504" s="47"/>
      <c r="K504" s="20"/>
      <c r="L504" s="20"/>
      <c r="M504" s="20"/>
      <c r="N504" s="20"/>
      <c r="O504" s="20"/>
      <c r="P504" s="20"/>
      <c r="Q504" s="20"/>
      <c r="R504" s="20"/>
      <c r="S504" s="20"/>
      <c r="T504" s="20"/>
      <c r="U504" s="20"/>
      <c r="V504" s="20"/>
      <c r="W504" s="20"/>
      <c r="X504" s="20"/>
      <c r="Y504" s="20"/>
      <c r="Z504" s="20"/>
    </row>
    <row r="505" spans="1:26" ht="17.25" customHeight="1">
      <c r="A505" s="15"/>
      <c r="B505" s="15"/>
      <c r="C505" s="15"/>
      <c r="D505" s="15"/>
      <c r="E505" s="15"/>
      <c r="F505" s="15"/>
      <c r="G505" s="15"/>
      <c r="H505" s="15"/>
      <c r="I505" s="45"/>
      <c r="J505" s="47"/>
      <c r="K505" s="20"/>
      <c r="L505" s="20"/>
      <c r="M505" s="20"/>
      <c r="N505" s="20"/>
      <c r="O505" s="20"/>
      <c r="P505" s="20"/>
      <c r="Q505" s="20"/>
      <c r="R505" s="20"/>
      <c r="S505" s="20"/>
      <c r="T505" s="20"/>
      <c r="U505" s="20"/>
      <c r="V505" s="20"/>
      <c r="W505" s="20"/>
      <c r="X505" s="20"/>
      <c r="Y505" s="20"/>
      <c r="Z505" s="20"/>
    </row>
    <row r="506" spans="1:26" ht="17.25" customHeight="1">
      <c r="A506" s="15"/>
      <c r="B506" s="15"/>
      <c r="C506" s="15"/>
      <c r="D506" s="15"/>
      <c r="E506" s="15"/>
      <c r="F506" s="15"/>
      <c r="G506" s="15"/>
      <c r="H506" s="15"/>
      <c r="I506" s="45"/>
      <c r="J506" s="47"/>
      <c r="K506" s="20"/>
      <c r="L506" s="20"/>
      <c r="M506" s="20"/>
      <c r="N506" s="20"/>
      <c r="O506" s="20"/>
      <c r="P506" s="20"/>
      <c r="Q506" s="20"/>
      <c r="R506" s="20"/>
      <c r="S506" s="20"/>
      <c r="T506" s="20"/>
      <c r="U506" s="20"/>
      <c r="V506" s="20"/>
      <c r="W506" s="20"/>
      <c r="X506" s="20"/>
      <c r="Y506" s="20"/>
      <c r="Z506" s="20"/>
    </row>
    <row r="507" spans="1:26" ht="17.25" customHeight="1">
      <c r="A507" s="15"/>
      <c r="B507" s="15"/>
      <c r="C507" s="15"/>
      <c r="D507" s="15"/>
      <c r="E507" s="15"/>
      <c r="F507" s="15"/>
      <c r="G507" s="15"/>
      <c r="H507" s="15"/>
      <c r="I507" s="45"/>
      <c r="J507" s="47"/>
      <c r="K507" s="20"/>
      <c r="L507" s="20"/>
      <c r="M507" s="20"/>
      <c r="N507" s="20"/>
      <c r="O507" s="20"/>
      <c r="P507" s="20"/>
      <c r="Q507" s="20"/>
      <c r="R507" s="20"/>
      <c r="S507" s="20"/>
      <c r="T507" s="20"/>
      <c r="U507" s="20"/>
      <c r="V507" s="20"/>
      <c r="W507" s="20"/>
      <c r="X507" s="20"/>
      <c r="Y507" s="20"/>
      <c r="Z507" s="20"/>
    </row>
    <row r="508" spans="1:26" ht="17.25" customHeight="1">
      <c r="A508" s="15"/>
      <c r="B508" s="15"/>
      <c r="C508" s="15"/>
      <c r="D508" s="15"/>
      <c r="E508" s="15"/>
      <c r="F508" s="15"/>
      <c r="G508" s="15"/>
      <c r="H508" s="15"/>
      <c r="I508" s="45"/>
      <c r="J508" s="47"/>
      <c r="K508" s="20"/>
      <c r="L508" s="20"/>
      <c r="M508" s="20"/>
      <c r="N508" s="20"/>
      <c r="O508" s="20"/>
      <c r="P508" s="20"/>
      <c r="Q508" s="20"/>
      <c r="R508" s="20"/>
      <c r="S508" s="20"/>
      <c r="T508" s="20"/>
      <c r="U508" s="20"/>
      <c r="V508" s="20"/>
      <c r="W508" s="20"/>
      <c r="X508" s="20"/>
      <c r="Y508" s="20"/>
      <c r="Z508" s="20"/>
    </row>
    <row r="509" spans="1:26" ht="17.25" customHeight="1">
      <c r="A509" s="15"/>
      <c r="B509" s="15"/>
      <c r="C509" s="15"/>
      <c r="D509" s="15"/>
      <c r="E509" s="15"/>
      <c r="F509" s="15"/>
      <c r="G509" s="15"/>
      <c r="H509" s="15"/>
      <c r="I509" s="45"/>
      <c r="J509" s="47"/>
      <c r="K509" s="20"/>
      <c r="L509" s="20"/>
      <c r="M509" s="20"/>
      <c r="N509" s="20"/>
      <c r="O509" s="20"/>
      <c r="P509" s="20"/>
      <c r="Q509" s="20"/>
      <c r="R509" s="20"/>
      <c r="S509" s="20"/>
      <c r="T509" s="20"/>
      <c r="U509" s="20"/>
      <c r="V509" s="20"/>
      <c r="W509" s="20"/>
      <c r="X509" s="20"/>
      <c r="Y509" s="20"/>
      <c r="Z509" s="20"/>
    </row>
    <row r="510" spans="1:26" ht="17.25" customHeight="1">
      <c r="A510" s="15"/>
      <c r="B510" s="15"/>
      <c r="C510" s="15"/>
      <c r="D510" s="15"/>
      <c r="E510" s="15"/>
      <c r="F510" s="15"/>
      <c r="G510" s="15"/>
      <c r="H510" s="15"/>
      <c r="I510" s="45"/>
      <c r="J510" s="47"/>
      <c r="K510" s="20"/>
      <c r="L510" s="20"/>
      <c r="M510" s="20"/>
      <c r="N510" s="20"/>
      <c r="O510" s="20"/>
      <c r="P510" s="20"/>
      <c r="Q510" s="20"/>
      <c r="R510" s="20"/>
      <c r="S510" s="20"/>
      <c r="T510" s="20"/>
      <c r="U510" s="20"/>
      <c r="V510" s="20"/>
      <c r="W510" s="20"/>
      <c r="X510" s="20"/>
      <c r="Y510" s="20"/>
      <c r="Z510" s="20"/>
    </row>
    <row r="511" spans="1:26" ht="17.25" customHeight="1">
      <c r="A511" s="15"/>
      <c r="B511" s="15"/>
      <c r="C511" s="15"/>
      <c r="D511" s="15"/>
      <c r="E511" s="15"/>
      <c r="F511" s="15"/>
      <c r="G511" s="15"/>
      <c r="H511" s="15"/>
      <c r="I511" s="45"/>
      <c r="J511" s="47"/>
      <c r="K511" s="20"/>
      <c r="L511" s="20"/>
      <c r="M511" s="20"/>
      <c r="N511" s="20"/>
      <c r="O511" s="20"/>
      <c r="P511" s="20"/>
      <c r="Q511" s="20"/>
      <c r="R511" s="20"/>
      <c r="S511" s="20"/>
      <c r="T511" s="20"/>
      <c r="U511" s="20"/>
      <c r="V511" s="20"/>
      <c r="W511" s="20"/>
      <c r="X511" s="20"/>
      <c r="Y511" s="20"/>
      <c r="Z511" s="20"/>
    </row>
    <row r="512" spans="1:26" ht="17.25" customHeight="1">
      <c r="A512" s="15"/>
      <c r="B512" s="15"/>
      <c r="C512" s="15"/>
      <c r="D512" s="15"/>
      <c r="E512" s="15"/>
      <c r="F512" s="15"/>
      <c r="G512" s="15"/>
      <c r="H512" s="15"/>
      <c r="I512" s="45"/>
      <c r="J512" s="47"/>
      <c r="K512" s="20"/>
      <c r="L512" s="20"/>
      <c r="M512" s="20"/>
      <c r="N512" s="20"/>
      <c r="O512" s="20"/>
      <c r="P512" s="20"/>
      <c r="Q512" s="20"/>
      <c r="R512" s="20"/>
      <c r="S512" s="20"/>
      <c r="T512" s="20"/>
      <c r="U512" s="20"/>
      <c r="V512" s="20"/>
      <c r="W512" s="20"/>
      <c r="X512" s="20"/>
      <c r="Y512" s="20"/>
      <c r="Z512" s="20"/>
    </row>
    <row r="513" spans="1:26" ht="17.25" customHeight="1">
      <c r="A513" s="15"/>
      <c r="B513" s="15"/>
      <c r="C513" s="15"/>
      <c r="D513" s="15"/>
      <c r="E513" s="15"/>
      <c r="F513" s="15"/>
      <c r="G513" s="15"/>
      <c r="H513" s="15"/>
      <c r="I513" s="45"/>
      <c r="J513" s="47"/>
      <c r="K513" s="20"/>
      <c r="L513" s="20"/>
      <c r="M513" s="20"/>
      <c r="N513" s="20"/>
      <c r="O513" s="20"/>
      <c r="P513" s="20"/>
      <c r="Q513" s="20"/>
      <c r="R513" s="20"/>
      <c r="S513" s="20"/>
      <c r="T513" s="20"/>
      <c r="U513" s="20"/>
      <c r="V513" s="20"/>
      <c r="W513" s="20"/>
      <c r="X513" s="20"/>
      <c r="Y513" s="20"/>
      <c r="Z513" s="20"/>
    </row>
    <row r="514" spans="1:26" ht="17.25" customHeight="1">
      <c r="A514" s="15"/>
      <c r="B514" s="15"/>
      <c r="C514" s="15"/>
      <c r="D514" s="15"/>
      <c r="E514" s="15"/>
      <c r="F514" s="15"/>
      <c r="G514" s="15"/>
      <c r="H514" s="15"/>
      <c r="I514" s="45"/>
      <c r="J514" s="47"/>
      <c r="K514" s="20"/>
      <c r="L514" s="20"/>
      <c r="M514" s="20"/>
      <c r="N514" s="20"/>
      <c r="O514" s="20"/>
      <c r="P514" s="20"/>
      <c r="Q514" s="20"/>
      <c r="R514" s="20"/>
      <c r="S514" s="20"/>
      <c r="T514" s="20"/>
      <c r="U514" s="20"/>
      <c r="V514" s="20"/>
      <c r="W514" s="20"/>
      <c r="X514" s="20"/>
      <c r="Y514" s="20"/>
      <c r="Z514" s="20"/>
    </row>
    <row r="515" spans="1:26" ht="17.25" customHeight="1">
      <c r="A515" s="15"/>
      <c r="B515" s="15"/>
      <c r="C515" s="15"/>
      <c r="D515" s="15"/>
      <c r="E515" s="15"/>
      <c r="F515" s="15"/>
      <c r="G515" s="15"/>
      <c r="H515" s="15"/>
      <c r="I515" s="45"/>
      <c r="J515" s="47"/>
      <c r="K515" s="20"/>
      <c r="L515" s="20"/>
      <c r="M515" s="20"/>
      <c r="N515" s="20"/>
      <c r="O515" s="20"/>
      <c r="P515" s="20"/>
      <c r="Q515" s="20"/>
      <c r="R515" s="20"/>
      <c r="S515" s="20"/>
      <c r="T515" s="20"/>
      <c r="U515" s="20"/>
      <c r="V515" s="20"/>
      <c r="W515" s="20"/>
      <c r="X515" s="20"/>
      <c r="Y515" s="20"/>
      <c r="Z515" s="20"/>
    </row>
    <row r="516" spans="1:26" ht="17.25" customHeight="1">
      <c r="A516" s="15"/>
      <c r="B516" s="15"/>
      <c r="C516" s="15"/>
      <c r="D516" s="15"/>
      <c r="E516" s="15"/>
      <c r="F516" s="15"/>
      <c r="G516" s="15"/>
      <c r="H516" s="15"/>
      <c r="I516" s="45"/>
      <c r="J516" s="47"/>
      <c r="K516" s="20"/>
      <c r="L516" s="20"/>
      <c r="M516" s="20"/>
      <c r="N516" s="20"/>
      <c r="O516" s="20"/>
      <c r="P516" s="20"/>
      <c r="Q516" s="20"/>
      <c r="R516" s="20"/>
      <c r="S516" s="20"/>
      <c r="T516" s="20"/>
      <c r="U516" s="20"/>
      <c r="V516" s="20"/>
      <c r="W516" s="20"/>
      <c r="X516" s="20"/>
      <c r="Y516" s="20"/>
      <c r="Z516" s="20"/>
    </row>
    <row r="517" spans="1:26" ht="17.25" customHeight="1">
      <c r="A517" s="15"/>
      <c r="B517" s="15"/>
      <c r="C517" s="15"/>
      <c r="D517" s="15"/>
      <c r="E517" s="15"/>
      <c r="F517" s="15"/>
      <c r="G517" s="15"/>
      <c r="H517" s="15"/>
      <c r="I517" s="45"/>
      <c r="J517" s="47"/>
      <c r="K517" s="20"/>
      <c r="L517" s="20"/>
      <c r="M517" s="20"/>
      <c r="N517" s="20"/>
      <c r="O517" s="20"/>
      <c r="P517" s="20"/>
      <c r="Q517" s="20"/>
      <c r="R517" s="20"/>
      <c r="S517" s="20"/>
      <c r="T517" s="20"/>
      <c r="U517" s="20"/>
      <c r="V517" s="20"/>
      <c r="W517" s="20"/>
      <c r="X517" s="20"/>
      <c r="Y517" s="20"/>
      <c r="Z517" s="20"/>
    </row>
    <row r="518" spans="1:26" ht="17.25" customHeight="1">
      <c r="A518" s="15"/>
      <c r="B518" s="15"/>
      <c r="C518" s="15"/>
      <c r="D518" s="15"/>
      <c r="E518" s="15"/>
      <c r="F518" s="15"/>
      <c r="G518" s="15"/>
      <c r="H518" s="15"/>
      <c r="I518" s="45"/>
      <c r="J518" s="47"/>
      <c r="K518" s="20"/>
      <c r="L518" s="20"/>
      <c r="M518" s="20"/>
      <c r="N518" s="20"/>
      <c r="O518" s="20"/>
      <c r="P518" s="20"/>
      <c r="Q518" s="20"/>
      <c r="R518" s="20"/>
      <c r="S518" s="20"/>
      <c r="T518" s="20"/>
      <c r="U518" s="20"/>
      <c r="V518" s="20"/>
      <c r="W518" s="20"/>
      <c r="X518" s="20"/>
      <c r="Y518" s="20"/>
      <c r="Z518" s="20"/>
    </row>
    <row r="519" spans="1:26" ht="17.25" customHeight="1">
      <c r="A519" s="15"/>
      <c r="B519" s="15"/>
      <c r="C519" s="15"/>
      <c r="D519" s="15"/>
      <c r="E519" s="15"/>
      <c r="F519" s="15"/>
      <c r="G519" s="15"/>
      <c r="H519" s="15"/>
      <c r="I519" s="45"/>
      <c r="J519" s="47"/>
      <c r="K519" s="20"/>
      <c r="L519" s="20"/>
      <c r="M519" s="20"/>
      <c r="N519" s="20"/>
      <c r="O519" s="20"/>
      <c r="P519" s="20"/>
      <c r="Q519" s="20"/>
      <c r="R519" s="20"/>
      <c r="S519" s="20"/>
      <c r="T519" s="20"/>
      <c r="U519" s="20"/>
      <c r="V519" s="20"/>
      <c r="W519" s="20"/>
      <c r="X519" s="20"/>
      <c r="Y519" s="20"/>
      <c r="Z519" s="20"/>
    </row>
    <row r="520" spans="1:26" ht="17.25" customHeight="1">
      <c r="A520" s="15"/>
      <c r="B520" s="15"/>
      <c r="C520" s="15"/>
      <c r="D520" s="15"/>
      <c r="E520" s="15"/>
      <c r="F520" s="15"/>
      <c r="G520" s="15"/>
      <c r="H520" s="15"/>
      <c r="I520" s="45"/>
      <c r="J520" s="47"/>
      <c r="K520" s="20"/>
      <c r="L520" s="20"/>
      <c r="M520" s="20"/>
      <c r="N520" s="20"/>
      <c r="O520" s="20"/>
      <c r="P520" s="20"/>
      <c r="Q520" s="20"/>
      <c r="R520" s="20"/>
      <c r="S520" s="20"/>
      <c r="T520" s="20"/>
      <c r="U520" s="20"/>
      <c r="V520" s="20"/>
      <c r="W520" s="20"/>
      <c r="X520" s="20"/>
      <c r="Y520" s="20"/>
      <c r="Z520" s="20"/>
    </row>
    <row r="521" spans="1:26" ht="17.25" customHeight="1">
      <c r="A521" s="15"/>
      <c r="B521" s="15"/>
      <c r="C521" s="15"/>
      <c r="D521" s="15"/>
      <c r="E521" s="15"/>
      <c r="F521" s="15"/>
      <c r="G521" s="15"/>
      <c r="H521" s="15"/>
      <c r="I521" s="45"/>
      <c r="J521" s="47"/>
      <c r="K521" s="20"/>
      <c r="L521" s="20"/>
      <c r="M521" s="20"/>
      <c r="N521" s="20"/>
      <c r="O521" s="20"/>
      <c r="P521" s="20"/>
      <c r="Q521" s="20"/>
      <c r="R521" s="20"/>
      <c r="S521" s="20"/>
      <c r="T521" s="20"/>
      <c r="U521" s="20"/>
      <c r="V521" s="20"/>
      <c r="W521" s="20"/>
      <c r="X521" s="20"/>
      <c r="Y521" s="20"/>
      <c r="Z521" s="20"/>
    </row>
    <row r="522" spans="1:26" ht="17.25" customHeight="1">
      <c r="A522" s="15"/>
      <c r="B522" s="15"/>
      <c r="C522" s="15"/>
      <c r="D522" s="15"/>
      <c r="E522" s="15"/>
      <c r="F522" s="15"/>
      <c r="G522" s="15"/>
      <c r="H522" s="15"/>
      <c r="I522" s="45"/>
      <c r="J522" s="47"/>
      <c r="K522" s="20"/>
      <c r="L522" s="20"/>
      <c r="M522" s="20"/>
      <c r="N522" s="20"/>
      <c r="O522" s="20"/>
      <c r="P522" s="20"/>
      <c r="Q522" s="20"/>
      <c r="R522" s="20"/>
      <c r="S522" s="20"/>
      <c r="T522" s="20"/>
      <c r="U522" s="20"/>
      <c r="V522" s="20"/>
      <c r="W522" s="20"/>
      <c r="X522" s="20"/>
      <c r="Y522" s="20"/>
      <c r="Z522" s="20"/>
    </row>
    <row r="523" spans="1:26" ht="17.25" customHeight="1">
      <c r="A523" s="15"/>
      <c r="B523" s="15"/>
      <c r="C523" s="15"/>
      <c r="D523" s="15"/>
      <c r="E523" s="15"/>
      <c r="F523" s="15"/>
      <c r="G523" s="15"/>
      <c r="H523" s="15"/>
      <c r="I523" s="45"/>
      <c r="J523" s="47"/>
      <c r="K523" s="20"/>
      <c r="L523" s="20"/>
      <c r="M523" s="20"/>
      <c r="N523" s="20"/>
      <c r="O523" s="20"/>
      <c r="P523" s="20"/>
      <c r="Q523" s="20"/>
      <c r="R523" s="20"/>
      <c r="S523" s="20"/>
      <c r="T523" s="20"/>
      <c r="U523" s="20"/>
      <c r="V523" s="20"/>
      <c r="W523" s="20"/>
      <c r="X523" s="20"/>
      <c r="Y523" s="20"/>
      <c r="Z523" s="20"/>
    </row>
    <row r="524" spans="1:26" ht="17.25" customHeight="1">
      <c r="A524" s="15"/>
      <c r="B524" s="15"/>
      <c r="C524" s="15"/>
      <c r="D524" s="15"/>
      <c r="E524" s="15"/>
      <c r="F524" s="15"/>
      <c r="G524" s="15"/>
      <c r="H524" s="15"/>
      <c r="I524" s="45"/>
      <c r="J524" s="47"/>
      <c r="K524" s="20"/>
      <c r="L524" s="20"/>
      <c r="M524" s="20"/>
      <c r="N524" s="20"/>
      <c r="O524" s="20"/>
      <c r="P524" s="20"/>
      <c r="Q524" s="20"/>
      <c r="R524" s="20"/>
      <c r="S524" s="20"/>
      <c r="T524" s="20"/>
      <c r="U524" s="20"/>
      <c r="V524" s="20"/>
      <c r="W524" s="20"/>
      <c r="X524" s="20"/>
      <c r="Y524" s="20"/>
      <c r="Z524" s="20"/>
    </row>
    <row r="525" spans="1:26" ht="17.25" customHeight="1">
      <c r="A525" s="15"/>
      <c r="B525" s="15"/>
      <c r="C525" s="15"/>
      <c r="D525" s="15"/>
      <c r="E525" s="15"/>
      <c r="F525" s="15"/>
      <c r="G525" s="15"/>
      <c r="H525" s="15"/>
      <c r="I525" s="45"/>
      <c r="J525" s="47"/>
      <c r="K525" s="20"/>
      <c r="L525" s="20"/>
      <c r="M525" s="20"/>
      <c r="N525" s="20"/>
      <c r="O525" s="20"/>
      <c r="P525" s="20"/>
      <c r="Q525" s="20"/>
      <c r="R525" s="20"/>
      <c r="S525" s="20"/>
      <c r="T525" s="20"/>
      <c r="U525" s="20"/>
      <c r="V525" s="20"/>
      <c r="W525" s="20"/>
      <c r="X525" s="20"/>
      <c r="Y525" s="20"/>
      <c r="Z525" s="20"/>
    </row>
    <row r="526" spans="1:26" ht="17.25" customHeight="1">
      <c r="A526" s="15"/>
      <c r="B526" s="15"/>
      <c r="C526" s="15"/>
      <c r="D526" s="15"/>
      <c r="E526" s="15"/>
      <c r="F526" s="15"/>
      <c r="G526" s="15"/>
      <c r="H526" s="15"/>
      <c r="I526" s="45"/>
      <c r="J526" s="47"/>
      <c r="K526" s="20"/>
      <c r="L526" s="20"/>
      <c r="M526" s="20"/>
      <c r="N526" s="20"/>
      <c r="O526" s="20"/>
      <c r="P526" s="20"/>
      <c r="Q526" s="20"/>
      <c r="R526" s="20"/>
      <c r="S526" s="20"/>
      <c r="T526" s="20"/>
      <c r="U526" s="20"/>
      <c r="V526" s="20"/>
      <c r="W526" s="20"/>
      <c r="X526" s="20"/>
      <c r="Y526" s="20"/>
      <c r="Z526" s="20"/>
    </row>
    <row r="527" spans="1:26" ht="17.25" customHeight="1">
      <c r="A527" s="15"/>
      <c r="B527" s="15"/>
      <c r="C527" s="15"/>
      <c r="D527" s="15"/>
      <c r="E527" s="15"/>
      <c r="F527" s="15"/>
      <c r="G527" s="15"/>
      <c r="H527" s="15"/>
      <c r="I527" s="45"/>
      <c r="J527" s="47"/>
      <c r="K527" s="20"/>
      <c r="L527" s="20"/>
      <c r="M527" s="20"/>
      <c r="N527" s="20"/>
      <c r="O527" s="20"/>
      <c r="P527" s="20"/>
      <c r="Q527" s="20"/>
      <c r="R527" s="20"/>
      <c r="S527" s="20"/>
      <c r="T527" s="20"/>
      <c r="U527" s="20"/>
      <c r="V527" s="20"/>
      <c r="W527" s="20"/>
      <c r="X527" s="20"/>
      <c r="Y527" s="20"/>
      <c r="Z527" s="20"/>
    </row>
    <row r="528" spans="1:26" ht="17.25" customHeight="1">
      <c r="A528" s="15"/>
      <c r="B528" s="15"/>
      <c r="C528" s="15"/>
      <c r="D528" s="15"/>
      <c r="E528" s="15"/>
      <c r="F528" s="15"/>
      <c r="G528" s="15"/>
      <c r="H528" s="15"/>
      <c r="I528" s="45"/>
      <c r="J528" s="47"/>
      <c r="K528" s="20"/>
      <c r="L528" s="20"/>
      <c r="M528" s="20"/>
      <c r="N528" s="20"/>
      <c r="O528" s="20"/>
      <c r="P528" s="20"/>
      <c r="Q528" s="20"/>
      <c r="R528" s="20"/>
      <c r="S528" s="20"/>
      <c r="T528" s="20"/>
      <c r="U528" s="20"/>
      <c r="V528" s="20"/>
      <c r="W528" s="20"/>
      <c r="X528" s="20"/>
      <c r="Y528" s="20"/>
      <c r="Z528" s="20"/>
    </row>
    <row r="529" spans="1:26" ht="17.25" customHeight="1">
      <c r="A529" s="15"/>
      <c r="B529" s="15"/>
      <c r="C529" s="15"/>
      <c r="D529" s="15"/>
      <c r="E529" s="15"/>
      <c r="F529" s="15"/>
      <c r="G529" s="15"/>
      <c r="H529" s="15"/>
      <c r="I529" s="45"/>
      <c r="J529" s="47"/>
      <c r="K529" s="20"/>
      <c r="L529" s="20"/>
      <c r="M529" s="20"/>
      <c r="N529" s="20"/>
      <c r="O529" s="20"/>
      <c r="P529" s="20"/>
      <c r="Q529" s="20"/>
      <c r="R529" s="20"/>
      <c r="S529" s="20"/>
      <c r="T529" s="20"/>
      <c r="U529" s="20"/>
      <c r="V529" s="20"/>
      <c r="W529" s="20"/>
      <c r="X529" s="20"/>
      <c r="Y529" s="20"/>
      <c r="Z529" s="20"/>
    </row>
    <row r="530" spans="1:26" ht="17.25" customHeight="1">
      <c r="A530" s="15"/>
      <c r="B530" s="15"/>
      <c r="C530" s="15"/>
      <c r="D530" s="15"/>
      <c r="E530" s="15"/>
      <c r="F530" s="15"/>
      <c r="G530" s="15"/>
      <c r="H530" s="15"/>
      <c r="I530" s="45"/>
      <c r="J530" s="47"/>
      <c r="K530" s="20"/>
      <c r="L530" s="20"/>
      <c r="M530" s="20"/>
      <c r="N530" s="20"/>
      <c r="O530" s="20"/>
      <c r="P530" s="20"/>
      <c r="Q530" s="20"/>
      <c r="R530" s="20"/>
      <c r="S530" s="20"/>
      <c r="T530" s="20"/>
      <c r="U530" s="20"/>
      <c r="V530" s="20"/>
      <c r="W530" s="20"/>
      <c r="X530" s="20"/>
      <c r="Y530" s="20"/>
      <c r="Z530" s="20"/>
    </row>
    <row r="531" spans="1:26" ht="17.25" customHeight="1">
      <c r="A531" s="15"/>
      <c r="B531" s="15"/>
      <c r="C531" s="15"/>
      <c r="D531" s="15"/>
      <c r="E531" s="15"/>
      <c r="F531" s="15"/>
      <c r="G531" s="15"/>
      <c r="H531" s="15"/>
      <c r="I531" s="45"/>
      <c r="J531" s="47"/>
      <c r="K531" s="20"/>
      <c r="L531" s="20"/>
      <c r="M531" s="20"/>
      <c r="N531" s="20"/>
      <c r="O531" s="20"/>
      <c r="P531" s="20"/>
      <c r="Q531" s="20"/>
      <c r="R531" s="20"/>
      <c r="S531" s="20"/>
      <c r="T531" s="20"/>
      <c r="U531" s="20"/>
      <c r="V531" s="20"/>
      <c r="W531" s="20"/>
      <c r="X531" s="20"/>
      <c r="Y531" s="20"/>
      <c r="Z531" s="20"/>
    </row>
    <row r="532" spans="1:26" ht="17.25" customHeight="1">
      <c r="A532" s="15"/>
      <c r="B532" s="15"/>
      <c r="C532" s="15"/>
      <c r="D532" s="15"/>
      <c r="E532" s="15"/>
      <c r="F532" s="15"/>
      <c r="G532" s="15"/>
      <c r="H532" s="15"/>
      <c r="I532" s="45"/>
      <c r="J532" s="47"/>
      <c r="K532" s="20"/>
      <c r="L532" s="20"/>
      <c r="M532" s="20"/>
      <c r="N532" s="20"/>
      <c r="O532" s="20"/>
      <c r="P532" s="20"/>
      <c r="Q532" s="20"/>
      <c r="R532" s="20"/>
      <c r="S532" s="20"/>
      <c r="T532" s="20"/>
      <c r="U532" s="20"/>
      <c r="V532" s="20"/>
      <c r="W532" s="20"/>
      <c r="X532" s="20"/>
      <c r="Y532" s="20"/>
      <c r="Z532" s="20"/>
    </row>
    <row r="533" spans="1:26" ht="17.25" customHeight="1">
      <c r="A533" s="15"/>
      <c r="B533" s="15"/>
      <c r="C533" s="15"/>
      <c r="D533" s="15"/>
      <c r="E533" s="15"/>
      <c r="F533" s="15"/>
      <c r="G533" s="15"/>
      <c r="H533" s="15"/>
      <c r="I533" s="45"/>
      <c r="J533" s="47"/>
      <c r="K533" s="20"/>
      <c r="L533" s="20"/>
      <c r="M533" s="20"/>
      <c r="N533" s="20"/>
      <c r="O533" s="20"/>
      <c r="P533" s="20"/>
      <c r="Q533" s="20"/>
      <c r="R533" s="20"/>
      <c r="S533" s="20"/>
      <c r="T533" s="20"/>
      <c r="U533" s="20"/>
      <c r="V533" s="20"/>
      <c r="W533" s="20"/>
      <c r="X533" s="20"/>
      <c r="Y533" s="20"/>
      <c r="Z533" s="20"/>
    </row>
    <row r="534" spans="1:26" ht="17.25" customHeight="1">
      <c r="A534" s="15"/>
      <c r="B534" s="15"/>
      <c r="C534" s="15"/>
      <c r="D534" s="15"/>
      <c r="E534" s="15"/>
      <c r="F534" s="15"/>
      <c r="G534" s="15"/>
      <c r="H534" s="15"/>
      <c r="I534" s="45"/>
      <c r="J534" s="47"/>
      <c r="K534" s="20"/>
      <c r="L534" s="20"/>
      <c r="M534" s="20"/>
      <c r="N534" s="20"/>
      <c r="O534" s="20"/>
      <c r="P534" s="20"/>
      <c r="Q534" s="20"/>
      <c r="R534" s="20"/>
      <c r="S534" s="20"/>
      <c r="T534" s="20"/>
      <c r="U534" s="20"/>
      <c r="V534" s="20"/>
      <c r="W534" s="20"/>
      <c r="X534" s="20"/>
      <c r="Y534" s="20"/>
      <c r="Z534" s="20"/>
    </row>
    <row r="535" spans="1:26" ht="17.25" customHeight="1">
      <c r="A535" s="15"/>
      <c r="B535" s="15"/>
      <c r="C535" s="15"/>
      <c r="D535" s="15"/>
      <c r="E535" s="15"/>
      <c r="F535" s="15"/>
      <c r="G535" s="15"/>
      <c r="H535" s="15"/>
      <c r="I535" s="45"/>
      <c r="J535" s="47"/>
      <c r="K535" s="20"/>
      <c r="L535" s="20"/>
      <c r="M535" s="20"/>
      <c r="N535" s="20"/>
      <c r="O535" s="20"/>
      <c r="P535" s="20"/>
      <c r="Q535" s="20"/>
      <c r="R535" s="20"/>
      <c r="S535" s="20"/>
      <c r="T535" s="20"/>
      <c r="U535" s="20"/>
      <c r="V535" s="20"/>
      <c r="W535" s="20"/>
      <c r="X535" s="20"/>
      <c r="Y535" s="20"/>
      <c r="Z535" s="20"/>
    </row>
    <row r="536" spans="1:26" ht="17.25" customHeight="1">
      <c r="A536" s="15"/>
      <c r="B536" s="15"/>
      <c r="C536" s="15"/>
      <c r="D536" s="15"/>
      <c r="E536" s="15"/>
      <c r="F536" s="15"/>
      <c r="G536" s="15"/>
      <c r="H536" s="15"/>
      <c r="I536" s="45"/>
      <c r="J536" s="47"/>
      <c r="K536" s="20"/>
      <c r="L536" s="20"/>
      <c r="M536" s="20"/>
      <c r="N536" s="20"/>
      <c r="O536" s="20"/>
      <c r="P536" s="20"/>
      <c r="Q536" s="20"/>
      <c r="R536" s="20"/>
      <c r="S536" s="20"/>
      <c r="T536" s="20"/>
      <c r="U536" s="20"/>
      <c r="V536" s="20"/>
      <c r="W536" s="20"/>
      <c r="X536" s="20"/>
      <c r="Y536" s="20"/>
      <c r="Z536" s="20"/>
    </row>
    <row r="537" spans="1:26" ht="17.25" customHeight="1">
      <c r="A537" s="15"/>
      <c r="B537" s="15"/>
      <c r="C537" s="15"/>
      <c r="D537" s="15"/>
      <c r="E537" s="15"/>
      <c r="F537" s="15"/>
      <c r="G537" s="15"/>
      <c r="H537" s="15"/>
      <c r="I537" s="45"/>
      <c r="J537" s="47"/>
      <c r="K537" s="20"/>
      <c r="L537" s="20"/>
      <c r="M537" s="20"/>
      <c r="N537" s="20"/>
      <c r="O537" s="20"/>
      <c r="P537" s="20"/>
      <c r="Q537" s="20"/>
      <c r="R537" s="20"/>
      <c r="S537" s="20"/>
      <c r="T537" s="20"/>
      <c r="U537" s="20"/>
      <c r="V537" s="20"/>
      <c r="W537" s="20"/>
      <c r="X537" s="20"/>
      <c r="Y537" s="20"/>
      <c r="Z537" s="20"/>
    </row>
    <row r="538" spans="1:26" ht="17.25" customHeight="1">
      <c r="A538" s="15"/>
      <c r="B538" s="15"/>
      <c r="C538" s="15"/>
      <c r="D538" s="15"/>
      <c r="E538" s="15"/>
      <c r="F538" s="15"/>
      <c r="G538" s="15"/>
      <c r="H538" s="15"/>
      <c r="I538" s="45"/>
      <c r="J538" s="47"/>
      <c r="K538" s="20"/>
      <c r="L538" s="20"/>
      <c r="M538" s="20"/>
      <c r="N538" s="20"/>
      <c r="O538" s="20"/>
      <c r="P538" s="20"/>
      <c r="Q538" s="20"/>
      <c r="R538" s="20"/>
      <c r="S538" s="20"/>
      <c r="T538" s="20"/>
      <c r="U538" s="20"/>
      <c r="V538" s="20"/>
      <c r="W538" s="20"/>
      <c r="X538" s="20"/>
      <c r="Y538" s="20"/>
      <c r="Z538" s="20"/>
    </row>
    <row r="539" spans="1:26" ht="17.25" customHeight="1">
      <c r="A539" s="15"/>
      <c r="B539" s="15"/>
      <c r="C539" s="15"/>
      <c r="D539" s="15"/>
      <c r="E539" s="15"/>
      <c r="F539" s="15"/>
      <c r="G539" s="15"/>
      <c r="H539" s="15"/>
      <c r="I539" s="45"/>
      <c r="J539" s="47"/>
      <c r="K539" s="20"/>
      <c r="L539" s="20"/>
      <c r="M539" s="20"/>
      <c r="N539" s="20"/>
      <c r="O539" s="20"/>
      <c r="P539" s="20"/>
      <c r="Q539" s="20"/>
      <c r="R539" s="20"/>
      <c r="S539" s="20"/>
      <c r="T539" s="20"/>
      <c r="U539" s="20"/>
      <c r="V539" s="20"/>
      <c r="W539" s="20"/>
      <c r="X539" s="20"/>
      <c r="Y539" s="20"/>
      <c r="Z539" s="20"/>
    </row>
    <row r="540" spans="1:26" ht="17.25" customHeight="1">
      <c r="A540" s="15"/>
      <c r="B540" s="15"/>
      <c r="C540" s="15"/>
      <c r="D540" s="15"/>
      <c r="E540" s="15"/>
      <c r="F540" s="15"/>
      <c r="G540" s="15"/>
      <c r="H540" s="15"/>
      <c r="I540" s="45"/>
      <c r="J540" s="47"/>
      <c r="K540" s="20"/>
      <c r="L540" s="20"/>
      <c r="M540" s="20"/>
      <c r="N540" s="20"/>
      <c r="O540" s="20"/>
      <c r="P540" s="20"/>
      <c r="Q540" s="20"/>
      <c r="R540" s="20"/>
      <c r="S540" s="20"/>
      <c r="T540" s="20"/>
      <c r="U540" s="20"/>
      <c r="V540" s="20"/>
      <c r="W540" s="20"/>
      <c r="X540" s="20"/>
      <c r="Y540" s="20"/>
      <c r="Z540" s="20"/>
    </row>
    <row r="541" spans="1:26" ht="17.25" customHeight="1">
      <c r="A541" s="15"/>
      <c r="B541" s="15"/>
      <c r="C541" s="15"/>
      <c r="D541" s="15"/>
      <c r="E541" s="15"/>
      <c r="F541" s="15"/>
      <c r="G541" s="15"/>
      <c r="H541" s="15"/>
      <c r="I541" s="45"/>
      <c r="J541" s="47"/>
      <c r="K541" s="20"/>
      <c r="L541" s="20"/>
      <c r="M541" s="20"/>
      <c r="N541" s="20"/>
      <c r="O541" s="20"/>
      <c r="P541" s="20"/>
      <c r="Q541" s="20"/>
      <c r="R541" s="20"/>
      <c r="S541" s="20"/>
      <c r="T541" s="20"/>
      <c r="U541" s="20"/>
      <c r="V541" s="20"/>
      <c r="W541" s="20"/>
      <c r="X541" s="20"/>
      <c r="Y541" s="20"/>
      <c r="Z541" s="20"/>
    </row>
    <row r="542" spans="1:26" ht="17.25" customHeight="1">
      <c r="A542" s="15"/>
      <c r="B542" s="15"/>
      <c r="C542" s="15"/>
      <c r="D542" s="15"/>
      <c r="E542" s="15"/>
      <c r="F542" s="15"/>
      <c r="G542" s="15"/>
      <c r="H542" s="15"/>
      <c r="I542" s="45"/>
      <c r="J542" s="47"/>
      <c r="K542" s="20"/>
      <c r="L542" s="20"/>
      <c r="M542" s="20"/>
      <c r="N542" s="20"/>
      <c r="O542" s="20"/>
      <c r="P542" s="20"/>
      <c r="Q542" s="20"/>
      <c r="R542" s="20"/>
      <c r="S542" s="20"/>
      <c r="T542" s="20"/>
      <c r="U542" s="20"/>
      <c r="V542" s="20"/>
      <c r="W542" s="20"/>
      <c r="X542" s="20"/>
      <c r="Y542" s="20"/>
      <c r="Z542" s="20"/>
    </row>
    <row r="543" spans="1:26" ht="17.25" customHeight="1">
      <c r="A543" s="15"/>
      <c r="B543" s="15"/>
      <c r="C543" s="15"/>
      <c r="D543" s="15"/>
      <c r="E543" s="15"/>
      <c r="F543" s="15"/>
      <c r="G543" s="15"/>
      <c r="H543" s="15"/>
      <c r="I543" s="45"/>
      <c r="J543" s="47"/>
      <c r="K543" s="20"/>
      <c r="L543" s="20"/>
      <c r="M543" s="20"/>
      <c r="N543" s="20"/>
      <c r="O543" s="20"/>
      <c r="P543" s="20"/>
      <c r="Q543" s="20"/>
      <c r="R543" s="20"/>
      <c r="S543" s="20"/>
      <c r="T543" s="20"/>
      <c r="U543" s="20"/>
      <c r="V543" s="20"/>
      <c r="W543" s="20"/>
      <c r="X543" s="20"/>
      <c r="Y543" s="20"/>
      <c r="Z543" s="20"/>
    </row>
    <row r="544" spans="1:26" ht="17.25" customHeight="1">
      <c r="A544" s="15"/>
      <c r="B544" s="15"/>
      <c r="C544" s="15"/>
      <c r="D544" s="15"/>
      <c r="E544" s="15"/>
      <c r="F544" s="15"/>
      <c r="G544" s="15"/>
      <c r="H544" s="15"/>
      <c r="I544" s="45"/>
      <c r="J544" s="47"/>
      <c r="K544" s="20"/>
      <c r="L544" s="20"/>
      <c r="M544" s="20"/>
      <c r="N544" s="20"/>
      <c r="O544" s="20"/>
      <c r="P544" s="20"/>
      <c r="Q544" s="20"/>
      <c r="R544" s="20"/>
      <c r="S544" s="20"/>
      <c r="T544" s="20"/>
      <c r="U544" s="20"/>
      <c r="V544" s="20"/>
      <c r="W544" s="20"/>
      <c r="X544" s="20"/>
      <c r="Y544" s="20"/>
      <c r="Z544" s="20"/>
    </row>
    <row r="545" spans="1:26" ht="17.25" customHeight="1">
      <c r="A545" s="15"/>
      <c r="B545" s="15"/>
      <c r="C545" s="15"/>
      <c r="D545" s="15"/>
      <c r="E545" s="15"/>
      <c r="F545" s="15"/>
      <c r="G545" s="15"/>
      <c r="H545" s="15"/>
      <c r="I545" s="45"/>
      <c r="J545" s="47"/>
      <c r="K545" s="20"/>
      <c r="L545" s="20"/>
      <c r="M545" s="20"/>
      <c r="N545" s="20"/>
      <c r="O545" s="20"/>
      <c r="P545" s="20"/>
      <c r="Q545" s="20"/>
      <c r="R545" s="20"/>
      <c r="S545" s="20"/>
      <c r="T545" s="20"/>
      <c r="U545" s="20"/>
      <c r="V545" s="20"/>
      <c r="W545" s="20"/>
      <c r="X545" s="20"/>
      <c r="Y545" s="20"/>
      <c r="Z545" s="20"/>
    </row>
    <row r="546" spans="1:26" ht="17.25" customHeight="1">
      <c r="A546" s="15"/>
      <c r="B546" s="15"/>
      <c r="C546" s="15"/>
      <c r="D546" s="15"/>
      <c r="E546" s="15"/>
      <c r="F546" s="15"/>
      <c r="G546" s="15"/>
      <c r="H546" s="15"/>
      <c r="I546" s="45"/>
      <c r="J546" s="47"/>
      <c r="K546" s="20"/>
      <c r="L546" s="20"/>
      <c r="M546" s="20"/>
      <c r="N546" s="20"/>
      <c r="O546" s="20"/>
      <c r="P546" s="20"/>
      <c r="Q546" s="20"/>
      <c r="R546" s="20"/>
      <c r="S546" s="20"/>
      <c r="T546" s="20"/>
      <c r="U546" s="20"/>
      <c r="V546" s="20"/>
      <c r="W546" s="20"/>
      <c r="X546" s="20"/>
      <c r="Y546" s="20"/>
      <c r="Z546" s="20"/>
    </row>
    <row r="547" spans="1:26" ht="17.25" customHeight="1">
      <c r="A547" s="15"/>
      <c r="B547" s="15"/>
      <c r="C547" s="15"/>
      <c r="D547" s="15"/>
      <c r="E547" s="15"/>
      <c r="F547" s="15"/>
      <c r="G547" s="15"/>
      <c r="H547" s="15"/>
      <c r="I547" s="45"/>
      <c r="J547" s="47"/>
      <c r="K547" s="20"/>
      <c r="L547" s="20"/>
      <c r="M547" s="20"/>
      <c r="N547" s="20"/>
      <c r="O547" s="20"/>
      <c r="P547" s="20"/>
      <c r="Q547" s="20"/>
      <c r="R547" s="20"/>
      <c r="S547" s="20"/>
      <c r="T547" s="20"/>
      <c r="U547" s="20"/>
      <c r="V547" s="20"/>
      <c r="W547" s="20"/>
      <c r="X547" s="20"/>
      <c r="Y547" s="20"/>
      <c r="Z547" s="20"/>
    </row>
    <row r="548" spans="1:26" ht="17.25" customHeight="1">
      <c r="A548" s="15"/>
      <c r="B548" s="15"/>
      <c r="C548" s="15"/>
      <c r="D548" s="15"/>
      <c r="E548" s="15"/>
      <c r="F548" s="15"/>
      <c r="G548" s="15"/>
      <c r="H548" s="15"/>
      <c r="I548" s="45"/>
      <c r="J548" s="47"/>
      <c r="K548" s="20"/>
      <c r="L548" s="20"/>
      <c r="M548" s="20"/>
      <c r="N548" s="20"/>
      <c r="O548" s="20"/>
      <c r="P548" s="20"/>
      <c r="Q548" s="20"/>
      <c r="R548" s="20"/>
      <c r="S548" s="20"/>
      <c r="T548" s="20"/>
      <c r="U548" s="20"/>
      <c r="V548" s="20"/>
      <c r="W548" s="20"/>
      <c r="X548" s="20"/>
      <c r="Y548" s="20"/>
      <c r="Z548" s="20"/>
    </row>
    <row r="549" spans="1:26" ht="17.25" customHeight="1">
      <c r="A549" s="15"/>
      <c r="B549" s="15"/>
      <c r="C549" s="15"/>
      <c r="D549" s="15"/>
      <c r="E549" s="15"/>
      <c r="F549" s="15"/>
      <c r="G549" s="15"/>
      <c r="H549" s="15"/>
      <c r="I549" s="45"/>
      <c r="J549" s="47"/>
      <c r="K549" s="20"/>
      <c r="L549" s="20"/>
      <c r="M549" s="20"/>
      <c r="N549" s="20"/>
      <c r="O549" s="20"/>
      <c r="P549" s="20"/>
      <c r="Q549" s="20"/>
      <c r="R549" s="20"/>
      <c r="S549" s="20"/>
      <c r="T549" s="20"/>
      <c r="U549" s="20"/>
      <c r="V549" s="20"/>
      <c r="W549" s="20"/>
      <c r="X549" s="20"/>
      <c r="Y549" s="20"/>
      <c r="Z549" s="20"/>
    </row>
    <row r="550" spans="1:26" ht="17.25" customHeight="1">
      <c r="A550" s="15"/>
      <c r="B550" s="15"/>
      <c r="C550" s="15"/>
      <c r="D550" s="15"/>
      <c r="E550" s="15"/>
      <c r="F550" s="15"/>
      <c r="G550" s="15"/>
      <c r="H550" s="15"/>
      <c r="I550" s="45"/>
      <c r="J550" s="47"/>
      <c r="K550" s="20"/>
      <c r="L550" s="20"/>
      <c r="M550" s="20"/>
      <c r="N550" s="20"/>
      <c r="O550" s="20"/>
      <c r="P550" s="20"/>
      <c r="Q550" s="20"/>
      <c r="R550" s="20"/>
      <c r="S550" s="20"/>
      <c r="T550" s="20"/>
      <c r="U550" s="20"/>
      <c r="V550" s="20"/>
      <c r="W550" s="20"/>
      <c r="X550" s="20"/>
      <c r="Y550" s="20"/>
      <c r="Z550" s="20"/>
    </row>
    <row r="551" spans="1:26" ht="17.25" customHeight="1">
      <c r="A551" s="15"/>
      <c r="B551" s="15"/>
      <c r="C551" s="15"/>
      <c r="D551" s="15"/>
      <c r="E551" s="15"/>
      <c r="F551" s="15"/>
      <c r="G551" s="15"/>
      <c r="H551" s="15"/>
      <c r="I551" s="45"/>
      <c r="J551" s="47"/>
      <c r="K551" s="20"/>
      <c r="L551" s="20"/>
      <c r="M551" s="20"/>
      <c r="N551" s="20"/>
      <c r="O551" s="20"/>
      <c r="P551" s="20"/>
      <c r="Q551" s="20"/>
      <c r="R551" s="20"/>
      <c r="S551" s="20"/>
      <c r="T551" s="20"/>
      <c r="U551" s="20"/>
      <c r="V551" s="20"/>
      <c r="W551" s="20"/>
      <c r="X551" s="20"/>
      <c r="Y551" s="20"/>
      <c r="Z551" s="20"/>
    </row>
    <row r="552" spans="1:26" ht="17.25" customHeight="1">
      <c r="A552" s="15"/>
      <c r="B552" s="15"/>
      <c r="C552" s="15"/>
      <c r="D552" s="15"/>
      <c r="E552" s="15"/>
      <c r="F552" s="15"/>
      <c r="G552" s="15"/>
      <c r="H552" s="15"/>
      <c r="I552" s="45"/>
      <c r="J552" s="47"/>
      <c r="K552" s="20"/>
      <c r="L552" s="20"/>
      <c r="M552" s="20"/>
      <c r="N552" s="20"/>
      <c r="O552" s="20"/>
      <c r="P552" s="20"/>
      <c r="Q552" s="20"/>
      <c r="R552" s="20"/>
      <c r="S552" s="20"/>
      <c r="T552" s="20"/>
      <c r="U552" s="20"/>
      <c r="V552" s="20"/>
      <c r="W552" s="20"/>
      <c r="X552" s="20"/>
      <c r="Y552" s="20"/>
      <c r="Z552" s="20"/>
    </row>
    <row r="553" spans="1:26" ht="17.25" customHeight="1">
      <c r="A553" s="15"/>
      <c r="B553" s="15"/>
      <c r="C553" s="15"/>
      <c r="D553" s="15"/>
      <c r="E553" s="15"/>
      <c r="F553" s="15"/>
      <c r="G553" s="15"/>
      <c r="H553" s="15"/>
      <c r="I553" s="45"/>
      <c r="J553" s="47"/>
      <c r="K553" s="20"/>
      <c r="L553" s="20"/>
      <c r="M553" s="20"/>
      <c r="N553" s="20"/>
      <c r="O553" s="20"/>
      <c r="P553" s="20"/>
      <c r="Q553" s="20"/>
      <c r="R553" s="20"/>
      <c r="S553" s="20"/>
      <c r="T553" s="20"/>
      <c r="U553" s="20"/>
      <c r="V553" s="20"/>
      <c r="W553" s="20"/>
      <c r="X553" s="20"/>
      <c r="Y553" s="20"/>
      <c r="Z553" s="20"/>
    </row>
    <row r="554" spans="1:26" ht="17.25" customHeight="1">
      <c r="A554" s="15"/>
      <c r="B554" s="15"/>
      <c r="C554" s="15"/>
      <c r="D554" s="15"/>
      <c r="E554" s="15"/>
      <c r="F554" s="15"/>
      <c r="G554" s="15"/>
      <c r="H554" s="15"/>
      <c r="I554" s="45"/>
      <c r="J554" s="47"/>
      <c r="K554" s="20"/>
      <c r="L554" s="20"/>
      <c r="M554" s="20"/>
      <c r="N554" s="20"/>
      <c r="O554" s="20"/>
      <c r="P554" s="20"/>
      <c r="Q554" s="20"/>
      <c r="R554" s="20"/>
      <c r="S554" s="20"/>
      <c r="T554" s="20"/>
      <c r="U554" s="20"/>
      <c r="V554" s="20"/>
      <c r="W554" s="20"/>
      <c r="X554" s="20"/>
      <c r="Y554" s="20"/>
      <c r="Z554" s="20"/>
    </row>
    <row r="555" spans="1:26" ht="17.25" customHeight="1">
      <c r="A555" s="15"/>
      <c r="B555" s="15"/>
      <c r="C555" s="15"/>
      <c r="D555" s="15"/>
      <c r="E555" s="15"/>
      <c r="F555" s="15"/>
      <c r="G555" s="15"/>
      <c r="H555" s="15"/>
      <c r="I555" s="45"/>
      <c r="J555" s="47"/>
      <c r="K555" s="20"/>
      <c r="L555" s="20"/>
      <c r="M555" s="20"/>
      <c r="N555" s="20"/>
      <c r="O555" s="20"/>
      <c r="P555" s="20"/>
      <c r="Q555" s="20"/>
      <c r="R555" s="20"/>
      <c r="S555" s="20"/>
      <c r="T555" s="20"/>
      <c r="U555" s="20"/>
      <c r="V555" s="20"/>
      <c r="W555" s="20"/>
      <c r="X555" s="20"/>
      <c r="Y555" s="20"/>
      <c r="Z555" s="20"/>
    </row>
    <row r="556" spans="1:26" ht="17.25" customHeight="1">
      <c r="A556" s="15"/>
      <c r="B556" s="15"/>
      <c r="C556" s="15"/>
      <c r="D556" s="15"/>
      <c r="E556" s="15"/>
      <c r="F556" s="15"/>
      <c r="G556" s="15"/>
      <c r="H556" s="15"/>
      <c r="I556" s="45"/>
      <c r="J556" s="47"/>
      <c r="K556" s="20"/>
      <c r="L556" s="20"/>
      <c r="M556" s="20"/>
      <c r="N556" s="20"/>
      <c r="O556" s="20"/>
      <c r="P556" s="20"/>
      <c r="Q556" s="20"/>
      <c r="R556" s="20"/>
      <c r="S556" s="20"/>
      <c r="T556" s="20"/>
      <c r="U556" s="20"/>
      <c r="V556" s="20"/>
      <c r="W556" s="20"/>
      <c r="X556" s="20"/>
      <c r="Y556" s="20"/>
      <c r="Z556" s="20"/>
    </row>
    <row r="557" spans="1:26" ht="17.25" customHeight="1">
      <c r="A557" s="15"/>
      <c r="B557" s="15"/>
      <c r="C557" s="15"/>
      <c r="D557" s="15"/>
      <c r="E557" s="15"/>
      <c r="F557" s="15"/>
      <c r="G557" s="15"/>
      <c r="H557" s="15"/>
      <c r="I557" s="45"/>
      <c r="J557" s="47"/>
      <c r="K557" s="20"/>
      <c r="L557" s="20"/>
      <c r="M557" s="20"/>
      <c r="N557" s="20"/>
      <c r="O557" s="20"/>
      <c r="P557" s="20"/>
      <c r="Q557" s="20"/>
      <c r="R557" s="20"/>
      <c r="S557" s="20"/>
      <c r="T557" s="20"/>
      <c r="U557" s="20"/>
      <c r="V557" s="20"/>
      <c r="W557" s="20"/>
      <c r="X557" s="20"/>
      <c r="Y557" s="20"/>
      <c r="Z557" s="20"/>
    </row>
    <row r="558" spans="1:26" ht="17.25" customHeight="1">
      <c r="A558" s="15"/>
      <c r="B558" s="15"/>
      <c r="C558" s="15"/>
      <c r="D558" s="15"/>
      <c r="E558" s="15"/>
      <c r="F558" s="15"/>
      <c r="G558" s="15"/>
      <c r="H558" s="15"/>
      <c r="I558" s="45"/>
      <c r="J558" s="47"/>
      <c r="K558" s="20"/>
      <c r="L558" s="20"/>
      <c r="M558" s="20"/>
      <c r="N558" s="20"/>
      <c r="O558" s="20"/>
      <c r="P558" s="20"/>
      <c r="Q558" s="20"/>
      <c r="R558" s="20"/>
      <c r="S558" s="20"/>
      <c r="T558" s="20"/>
      <c r="U558" s="20"/>
      <c r="V558" s="20"/>
      <c r="W558" s="20"/>
      <c r="X558" s="20"/>
      <c r="Y558" s="20"/>
      <c r="Z558" s="20"/>
    </row>
    <row r="559" spans="1:26" ht="17.25" customHeight="1">
      <c r="A559" s="15"/>
      <c r="B559" s="15"/>
      <c r="C559" s="15"/>
      <c r="D559" s="15"/>
      <c r="E559" s="15"/>
      <c r="F559" s="15"/>
      <c r="G559" s="15"/>
      <c r="H559" s="15"/>
      <c r="I559" s="45"/>
      <c r="J559" s="47"/>
      <c r="K559" s="20"/>
      <c r="L559" s="20"/>
      <c r="M559" s="20"/>
      <c r="N559" s="20"/>
      <c r="O559" s="20"/>
      <c r="P559" s="20"/>
      <c r="Q559" s="20"/>
      <c r="R559" s="20"/>
      <c r="S559" s="20"/>
      <c r="T559" s="20"/>
      <c r="U559" s="20"/>
      <c r="V559" s="20"/>
      <c r="W559" s="20"/>
      <c r="X559" s="20"/>
      <c r="Y559" s="20"/>
      <c r="Z559" s="20"/>
    </row>
    <row r="560" spans="1:26" ht="17.25" customHeight="1">
      <c r="A560" s="15"/>
      <c r="B560" s="15"/>
      <c r="C560" s="15"/>
      <c r="D560" s="15"/>
      <c r="E560" s="15"/>
      <c r="F560" s="15"/>
      <c r="G560" s="15"/>
      <c r="H560" s="15"/>
      <c r="I560" s="45"/>
      <c r="J560" s="47"/>
      <c r="K560" s="20"/>
      <c r="L560" s="20"/>
      <c r="M560" s="20"/>
      <c r="N560" s="20"/>
      <c r="O560" s="20"/>
      <c r="P560" s="20"/>
      <c r="Q560" s="20"/>
      <c r="R560" s="20"/>
      <c r="S560" s="20"/>
      <c r="T560" s="20"/>
      <c r="U560" s="20"/>
      <c r="V560" s="20"/>
      <c r="W560" s="20"/>
      <c r="X560" s="20"/>
      <c r="Y560" s="20"/>
      <c r="Z560" s="20"/>
    </row>
    <row r="561" spans="1:26" ht="17.25" customHeight="1">
      <c r="A561" s="15"/>
      <c r="B561" s="15"/>
      <c r="C561" s="15"/>
      <c r="D561" s="15"/>
      <c r="E561" s="15"/>
      <c r="F561" s="15"/>
      <c r="G561" s="15"/>
      <c r="H561" s="15"/>
      <c r="I561" s="45"/>
      <c r="J561" s="47"/>
      <c r="K561" s="20"/>
      <c r="L561" s="20"/>
      <c r="M561" s="20"/>
      <c r="N561" s="20"/>
      <c r="O561" s="20"/>
      <c r="P561" s="20"/>
      <c r="Q561" s="20"/>
      <c r="R561" s="20"/>
      <c r="S561" s="20"/>
      <c r="T561" s="20"/>
      <c r="U561" s="20"/>
      <c r="V561" s="20"/>
      <c r="W561" s="20"/>
      <c r="X561" s="20"/>
      <c r="Y561" s="20"/>
      <c r="Z561" s="20"/>
    </row>
    <row r="562" spans="1:26" ht="17.25" customHeight="1">
      <c r="A562" s="15"/>
      <c r="B562" s="15"/>
      <c r="C562" s="15"/>
      <c r="D562" s="15"/>
      <c r="E562" s="15"/>
      <c r="F562" s="15"/>
      <c r="G562" s="15"/>
      <c r="H562" s="15"/>
      <c r="I562" s="45"/>
      <c r="J562" s="47"/>
      <c r="K562" s="20"/>
      <c r="L562" s="20"/>
      <c r="M562" s="20"/>
      <c r="N562" s="20"/>
      <c r="O562" s="20"/>
      <c r="P562" s="20"/>
      <c r="Q562" s="20"/>
      <c r="R562" s="20"/>
      <c r="S562" s="20"/>
      <c r="T562" s="20"/>
      <c r="U562" s="20"/>
      <c r="V562" s="20"/>
      <c r="W562" s="20"/>
      <c r="X562" s="20"/>
      <c r="Y562" s="20"/>
      <c r="Z562" s="20"/>
    </row>
    <row r="563" spans="1:26" ht="17.25" customHeight="1">
      <c r="A563" s="15"/>
      <c r="B563" s="15"/>
      <c r="C563" s="15"/>
      <c r="D563" s="15"/>
      <c r="E563" s="15"/>
      <c r="F563" s="15"/>
      <c r="G563" s="15"/>
      <c r="H563" s="15"/>
      <c r="I563" s="45"/>
      <c r="J563" s="47"/>
      <c r="K563" s="20"/>
      <c r="L563" s="20"/>
      <c r="M563" s="20"/>
      <c r="N563" s="20"/>
      <c r="O563" s="20"/>
      <c r="P563" s="20"/>
      <c r="Q563" s="20"/>
      <c r="R563" s="20"/>
      <c r="S563" s="20"/>
      <c r="T563" s="20"/>
      <c r="U563" s="20"/>
      <c r="V563" s="20"/>
      <c r="W563" s="20"/>
      <c r="X563" s="20"/>
      <c r="Y563" s="20"/>
      <c r="Z563" s="20"/>
    </row>
    <row r="564" spans="1:26" ht="17.25" customHeight="1">
      <c r="A564" s="15"/>
      <c r="B564" s="15"/>
      <c r="C564" s="15"/>
      <c r="D564" s="15"/>
      <c r="E564" s="15"/>
      <c r="F564" s="15"/>
      <c r="G564" s="15"/>
      <c r="H564" s="15"/>
      <c r="I564" s="45"/>
      <c r="J564" s="47"/>
      <c r="K564" s="20"/>
      <c r="L564" s="20"/>
      <c r="M564" s="20"/>
      <c r="N564" s="20"/>
      <c r="O564" s="20"/>
      <c r="P564" s="20"/>
      <c r="Q564" s="20"/>
      <c r="R564" s="20"/>
      <c r="S564" s="20"/>
      <c r="T564" s="20"/>
      <c r="U564" s="20"/>
      <c r="V564" s="20"/>
      <c r="W564" s="20"/>
      <c r="X564" s="20"/>
      <c r="Y564" s="20"/>
      <c r="Z564" s="20"/>
    </row>
    <row r="565" spans="1:26" ht="17.25" customHeight="1">
      <c r="A565" s="15"/>
      <c r="B565" s="15"/>
      <c r="C565" s="15"/>
      <c r="D565" s="15"/>
      <c r="E565" s="15"/>
      <c r="F565" s="15"/>
      <c r="G565" s="15"/>
      <c r="H565" s="15"/>
      <c r="I565" s="45"/>
      <c r="J565" s="47"/>
      <c r="K565" s="20"/>
      <c r="L565" s="20"/>
      <c r="M565" s="20"/>
      <c r="N565" s="20"/>
      <c r="O565" s="20"/>
      <c r="P565" s="20"/>
      <c r="Q565" s="20"/>
      <c r="R565" s="20"/>
      <c r="S565" s="20"/>
      <c r="T565" s="20"/>
      <c r="U565" s="20"/>
      <c r="V565" s="20"/>
      <c r="W565" s="20"/>
      <c r="X565" s="20"/>
      <c r="Y565" s="20"/>
      <c r="Z565" s="20"/>
    </row>
    <row r="566" spans="1:26" ht="17.25" customHeight="1">
      <c r="A566" s="15"/>
      <c r="B566" s="15"/>
      <c r="C566" s="15"/>
      <c r="D566" s="15"/>
      <c r="E566" s="15"/>
      <c r="F566" s="15"/>
      <c r="G566" s="15"/>
      <c r="H566" s="15"/>
      <c r="I566" s="45"/>
      <c r="J566" s="47"/>
      <c r="K566" s="20"/>
      <c r="L566" s="20"/>
      <c r="M566" s="20"/>
      <c r="N566" s="20"/>
      <c r="O566" s="20"/>
      <c r="P566" s="20"/>
      <c r="Q566" s="20"/>
      <c r="R566" s="20"/>
      <c r="S566" s="20"/>
      <c r="T566" s="20"/>
      <c r="U566" s="20"/>
      <c r="V566" s="20"/>
      <c r="W566" s="20"/>
      <c r="X566" s="20"/>
      <c r="Y566" s="20"/>
      <c r="Z566" s="20"/>
    </row>
    <row r="567" spans="1:26" ht="17.25" customHeight="1">
      <c r="A567" s="15"/>
      <c r="B567" s="15"/>
      <c r="C567" s="15"/>
      <c r="D567" s="15"/>
      <c r="E567" s="15"/>
      <c r="F567" s="15"/>
      <c r="G567" s="15"/>
      <c r="H567" s="15"/>
      <c r="I567" s="45"/>
      <c r="J567" s="47"/>
      <c r="K567" s="20"/>
      <c r="L567" s="20"/>
      <c r="M567" s="20"/>
      <c r="N567" s="20"/>
      <c r="O567" s="20"/>
      <c r="P567" s="20"/>
      <c r="Q567" s="20"/>
      <c r="R567" s="20"/>
      <c r="S567" s="20"/>
      <c r="T567" s="20"/>
      <c r="U567" s="20"/>
      <c r="V567" s="20"/>
      <c r="W567" s="20"/>
      <c r="X567" s="20"/>
      <c r="Y567" s="20"/>
      <c r="Z567" s="20"/>
    </row>
    <row r="568" spans="1:26" ht="17.25" customHeight="1">
      <c r="A568" s="15"/>
      <c r="B568" s="15"/>
      <c r="C568" s="15"/>
      <c r="D568" s="15"/>
      <c r="E568" s="15"/>
      <c r="F568" s="15"/>
      <c r="G568" s="15"/>
      <c r="H568" s="15"/>
      <c r="I568" s="45"/>
      <c r="J568" s="47"/>
      <c r="K568" s="20"/>
      <c r="L568" s="20"/>
      <c r="M568" s="20"/>
      <c r="N568" s="20"/>
      <c r="O568" s="20"/>
      <c r="P568" s="20"/>
      <c r="Q568" s="20"/>
      <c r="R568" s="20"/>
      <c r="S568" s="20"/>
      <c r="T568" s="20"/>
      <c r="U568" s="20"/>
      <c r="V568" s="20"/>
      <c r="W568" s="20"/>
      <c r="X568" s="20"/>
      <c r="Y568" s="20"/>
      <c r="Z568" s="20"/>
    </row>
    <row r="569" spans="1:26" ht="17.25" customHeight="1">
      <c r="A569" s="15"/>
      <c r="B569" s="15"/>
      <c r="C569" s="15"/>
      <c r="D569" s="15"/>
      <c r="E569" s="15"/>
      <c r="F569" s="15"/>
      <c r="G569" s="15"/>
      <c r="H569" s="15"/>
      <c r="I569" s="45"/>
      <c r="J569" s="47"/>
      <c r="K569" s="20"/>
      <c r="L569" s="20"/>
      <c r="M569" s="20"/>
      <c r="N569" s="20"/>
      <c r="O569" s="20"/>
      <c r="P569" s="20"/>
      <c r="Q569" s="20"/>
      <c r="R569" s="20"/>
      <c r="S569" s="20"/>
      <c r="T569" s="20"/>
      <c r="U569" s="20"/>
      <c r="V569" s="20"/>
      <c r="W569" s="20"/>
      <c r="X569" s="20"/>
      <c r="Y569" s="20"/>
      <c r="Z569" s="20"/>
    </row>
    <row r="570" spans="1:26" ht="17.25" customHeight="1">
      <c r="A570" s="15"/>
      <c r="B570" s="15"/>
      <c r="C570" s="15"/>
      <c r="D570" s="15"/>
      <c r="E570" s="15"/>
      <c r="F570" s="15"/>
      <c r="G570" s="15"/>
      <c r="H570" s="15"/>
      <c r="I570" s="45"/>
      <c r="J570" s="47"/>
      <c r="K570" s="20"/>
      <c r="L570" s="20"/>
      <c r="M570" s="20"/>
      <c r="N570" s="20"/>
      <c r="O570" s="20"/>
      <c r="P570" s="20"/>
      <c r="Q570" s="20"/>
      <c r="R570" s="20"/>
      <c r="S570" s="20"/>
      <c r="T570" s="20"/>
      <c r="U570" s="20"/>
      <c r="V570" s="20"/>
      <c r="W570" s="20"/>
      <c r="X570" s="20"/>
      <c r="Y570" s="20"/>
      <c r="Z570" s="20"/>
    </row>
    <row r="571" spans="1:26" ht="17.25" customHeight="1">
      <c r="A571" s="15"/>
      <c r="B571" s="15"/>
      <c r="C571" s="15"/>
      <c r="D571" s="15"/>
      <c r="E571" s="15"/>
      <c r="F571" s="15"/>
      <c r="G571" s="15"/>
      <c r="H571" s="15"/>
      <c r="I571" s="45"/>
      <c r="J571" s="47"/>
      <c r="K571" s="20"/>
      <c r="L571" s="20"/>
      <c r="M571" s="20"/>
      <c r="N571" s="20"/>
      <c r="O571" s="20"/>
      <c r="P571" s="20"/>
      <c r="Q571" s="20"/>
      <c r="R571" s="20"/>
      <c r="S571" s="20"/>
      <c r="T571" s="20"/>
      <c r="U571" s="20"/>
      <c r="V571" s="20"/>
      <c r="W571" s="20"/>
      <c r="X571" s="20"/>
      <c r="Y571" s="20"/>
      <c r="Z571" s="20"/>
    </row>
    <row r="572" spans="1:26" ht="17.25" customHeight="1">
      <c r="A572" s="15"/>
      <c r="B572" s="15"/>
      <c r="C572" s="15"/>
      <c r="D572" s="15"/>
      <c r="E572" s="15"/>
      <c r="F572" s="15"/>
      <c r="G572" s="15"/>
      <c r="H572" s="15"/>
      <c r="I572" s="45"/>
      <c r="J572" s="47"/>
      <c r="K572" s="20"/>
      <c r="L572" s="20"/>
      <c r="M572" s="20"/>
      <c r="N572" s="20"/>
      <c r="O572" s="20"/>
      <c r="P572" s="20"/>
      <c r="Q572" s="20"/>
      <c r="R572" s="20"/>
      <c r="S572" s="20"/>
      <c r="T572" s="20"/>
      <c r="U572" s="20"/>
      <c r="V572" s="20"/>
      <c r="W572" s="20"/>
      <c r="X572" s="20"/>
      <c r="Y572" s="20"/>
      <c r="Z572" s="20"/>
    </row>
    <row r="573" spans="1:26" ht="17.25" customHeight="1">
      <c r="A573" s="15"/>
      <c r="B573" s="15"/>
      <c r="C573" s="15"/>
      <c r="D573" s="15"/>
      <c r="E573" s="15"/>
      <c r="F573" s="15"/>
      <c r="G573" s="15"/>
      <c r="H573" s="15"/>
      <c r="I573" s="45"/>
      <c r="J573" s="47"/>
      <c r="K573" s="20"/>
      <c r="L573" s="20"/>
      <c r="M573" s="20"/>
      <c r="N573" s="20"/>
      <c r="O573" s="20"/>
      <c r="P573" s="20"/>
      <c r="Q573" s="20"/>
      <c r="R573" s="20"/>
      <c r="S573" s="20"/>
      <c r="T573" s="20"/>
      <c r="U573" s="20"/>
      <c r="V573" s="20"/>
      <c r="W573" s="20"/>
      <c r="X573" s="20"/>
      <c r="Y573" s="20"/>
      <c r="Z573" s="20"/>
    </row>
    <row r="574" spans="1:26" ht="17.25" customHeight="1">
      <c r="A574" s="15"/>
      <c r="B574" s="15"/>
      <c r="C574" s="15"/>
      <c r="D574" s="15"/>
      <c r="E574" s="15"/>
      <c r="F574" s="15"/>
      <c r="G574" s="15"/>
      <c r="H574" s="15"/>
      <c r="I574" s="45"/>
      <c r="J574" s="47"/>
      <c r="K574" s="20"/>
      <c r="L574" s="20"/>
      <c r="M574" s="20"/>
      <c r="N574" s="20"/>
      <c r="O574" s="20"/>
      <c r="P574" s="20"/>
      <c r="Q574" s="20"/>
      <c r="R574" s="20"/>
      <c r="S574" s="20"/>
      <c r="T574" s="20"/>
      <c r="U574" s="20"/>
      <c r="V574" s="20"/>
      <c r="W574" s="20"/>
      <c r="X574" s="20"/>
      <c r="Y574" s="20"/>
      <c r="Z574" s="20"/>
    </row>
    <row r="575" spans="1:26" ht="17.25" customHeight="1">
      <c r="A575" s="15"/>
      <c r="B575" s="15"/>
      <c r="C575" s="15"/>
      <c r="D575" s="15"/>
      <c r="E575" s="15"/>
      <c r="F575" s="15"/>
      <c r="G575" s="15"/>
      <c r="H575" s="15"/>
      <c r="I575" s="45"/>
      <c r="J575" s="47"/>
      <c r="K575" s="20"/>
      <c r="L575" s="20"/>
      <c r="M575" s="20"/>
      <c r="N575" s="20"/>
      <c r="O575" s="20"/>
      <c r="P575" s="20"/>
      <c r="Q575" s="20"/>
      <c r="R575" s="20"/>
      <c r="S575" s="20"/>
      <c r="T575" s="20"/>
      <c r="U575" s="20"/>
      <c r="V575" s="20"/>
      <c r="W575" s="20"/>
      <c r="X575" s="20"/>
      <c r="Y575" s="20"/>
      <c r="Z575" s="20"/>
    </row>
    <row r="576" spans="1:26" ht="17.25" customHeight="1">
      <c r="A576" s="15"/>
      <c r="B576" s="15"/>
      <c r="C576" s="15"/>
      <c r="D576" s="15"/>
      <c r="E576" s="15"/>
      <c r="F576" s="15"/>
      <c r="G576" s="15"/>
      <c r="H576" s="15"/>
      <c r="I576" s="45"/>
      <c r="J576" s="47"/>
      <c r="K576" s="20"/>
      <c r="L576" s="20"/>
      <c r="M576" s="20"/>
      <c r="N576" s="20"/>
      <c r="O576" s="20"/>
      <c r="P576" s="20"/>
      <c r="Q576" s="20"/>
      <c r="R576" s="20"/>
      <c r="S576" s="20"/>
      <c r="T576" s="20"/>
      <c r="U576" s="20"/>
      <c r="V576" s="20"/>
      <c r="W576" s="20"/>
      <c r="X576" s="20"/>
      <c r="Y576" s="20"/>
      <c r="Z576" s="20"/>
    </row>
    <row r="577" spans="1:26" ht="17.25" customHeight="1">
      <c r="A577" s="15"/>
      <c r="B577" s="15"/>
      <c r="C577" s="15"/>
      <c r="D577" s="15"/>
      <c r="E577" s="15"/>
      <c r="F577" s="15"/>
      <c r="G577" s="15"/>
      <c r="H577" s="15"/>
      <c r="I577" s="45"/>
      <c r="J577" s="47"/>
      <c r="K577" s="20"/>
      <c r="L577" s="20"/>
      <c r="M577" s="20"/>
      <c r="N577" s="20"/>
      <c r="O577" s="20"/>
      <c r="P577" s="20"/>
      <c r="Q577" s="20"/>
      <c r="R577" s="20"/>
      <c r="S577" s="20"/>
      <c r="T577" s="20"/>
      <c r="U577" s="20"/>
      <c r="V577" s="20"/>
      <c r="W577" s="20"/>
      <c r="X577" s="20"/>
      <c r="Y577" s="20"/>
      <c r="Z577" s="20"/>
    </row>
    <row r="578" spans="1:26" ht="17.25" customHeight="1">
      <c r="A578" s="15"/>
      <c r="B578" s="15"/>
      <c r="C578" s="15"/>
      <c r="D578" s="15"/>
      <c r="E578" s="15"/>
      <c r="F578" s="15"/>
      <c r="G578" s="15"/>
      <c r="H578" s="15"/>
      <c r="I578" s="45"/>
      <c r="J578" s="47"/>
      <c r="K578" s="20"/>
      <c r="L578" s="20"/>
      <c r="M578" s="20"/>
      <c r="N578" s="20"/>
      <c r="O578" s="20"/>
      <c r="P578" s="20"/>
      <c r="Q578" s="20"/>
      <c r="R578" s="20"/>
      <c r="S578" s="20"/>
      <c r="T578" s="20"/>
      <c r="U578" s="20"/>
      <c r="V578" s="20"/>
      <c r="W578" s="20"/>
      <c r="X578" s="20"/>
      <c r="Y578" s="20"/>
      <c r="Z578" s="20"/>
    </row>
    <row r="579" spans="1:26" ht="17.25" customHeight="1">
      <c r="A579" s="15"/>
      <c r="B579" s="15"/>
      <c r="C579" s="15"/>
      <c r="D579" s="15"/>
      <c r="E579" s="15"/>
      <c r="F579" s="15"/>
      <c r="G579" s="15"/>
      <c r="H579" s="15"/>
      <c r="I579" s="45"/>
      <c r="J579" s="47"/>
      <c r="K579" s="20"/>
      <c r="L579" s="20"/>
      <c r="M579" s="20"/>
      <c r="N579" s="20"/>
      <c r="O579" s="20"/>
      <c r="P579" s="20"/>
      <c r="Q579" s="20"/>
      <c r="R579" s="20"/>
      <c r="S579" s="20"/>
      <c r="T579" s="20"/>
      <c r="U579" s="20"/>
      <c r="V579" s="20"/>
      <c r="W579" s="20"/>
      <c r="X579" s="20"/>
      <c r="Y579" s="20"/>
      <c r="Z579" s="20"/>
    </row>
    <row r="580" spans="1:26" ht="17.25" customHeight="1">
      <c r="A580" s="15"/>
      <c r="B580" s="15"/>
      <c r="C580" s="15"/>
      <c r="D580" s="15"/>
      <c r="E580" s="15"/>
      <c r="F580" s="15"/>
      <c r="G580" s="15"/>
      <c r="H580" s="15"/>
      <c r="I580" s="45"/>
      <c r="J580" s="47"/>
      <c r="K580" s="20"/>
      <c r="L580" s="20"/>
      <c r="M580" s="20"/>
      <c r="N580" s="20"/>
      <c r="O580" s="20"/>
      <c r="P580" s="20"/>
      <c r="Q580" s="20"/>
      <c r="R580" s="20"/>
      <c r="S580" s="20"/>
      <c r="T580" s="20"/>
      <c r="U580" s="20"/>
      <c r="V580" s="20"/>
      <c r="W580" s="20"/>
      <c r="X580" s="20"/>
      <c r="Y580" s="20"/>
      <c r="Z580" s="20"/>
    </row>
    <row r="581" spans="1:26" ht="17.25" customHeight="1">
      <c r="A581" s="15"/>
      <c r="B581" s="15"/>
      <c r="C581" s="15"/>
      <c r="D581" s="15"/>
      <c r="E581" s="15"/>
      <c r="F581" s="15"/>
      <c r="G581" s="15"/>
      <c r="H581" s="15"/>
      <c r="I581" s="45"/>
      <c r="J581" s="47"/>
      <c r="K581" s="20"/>
      <c r="L581" s="20"/>
      <c r="M581" s="20"/>
      <c r="N581" s="20"/>
      <c r="O581" s="20"/>
      <c r="P581" s="20"/>
      <c r="Q581" s="20"/>
      <c r="R581" s="20"/>
      <c r="S581" s="20"/>
      <c r="T581" s="20"/>
      <c r="U581" s="20"/>
      <c r="V581" s="20"/>
      <c r="W581" s="20"/>
      <c r="X581" s="20"/>
      <c r="Y581" s="20"/>
      <c r="Z581" s="20"/>
    </row>
    <row r="582" spans="1:26" ht="17.25" customHeight="1">
      <c r="A582" s="15"/>
      <c r="B582" s="15"/>
      <c r="C582" s="15"/>
      <c r="D582" s="15"/>
      <c r="E582" s="15"/>
      <c r="F582" s="15"/>
      <c r="G582" s="15"/>
      <c r="H582" s="15"/>
      <c r="I582" s="45"/>
      <c r="J582" s="47"/>
      <c r="K582" s="20"/>
      <c r="L582" s="20"/>
      <c r="M582" s="20"/>
      <c r="N582" s="20"/>
      <c r="O582" s="20"/>
      <c r="P582" s="20"/>
      <c r="Q582" s="20"/>
      <c r="R582" s="20"/>
      <c r="S582" s="20"/>
      <c r="T582" s="20"/>
      <c r="U582" s="20"/>
      <c r="V582" s="20"/>
      <c r="W582" s="20"/>
      <c r="X582" s="20"/>
      <c r="Y582" s="20"/>
      <c r="Z582" s="20"/>
    </row>
    <row r="583" spans="1:26" ht="17.25" customHeight="1">
      <c r="A583" s="15"/>
      <c r="B583" s="15"/>
      <c r="C583" s="15"/>
      <c r="D583" s="15"/>
      <c r="E583" s="15"/>
      <c r="F583" s="15"/>
      <c r="G583" s="15"/>
      <c r="H583" s="15"/>
      <c r="I583" s="45"/>
      <c r="J583" s="47"/>
      <c r="K583" s="20"/>
      <c r="L583" s="20"/>
      <c r="M583" s="20"/>
      <c r="N583" s="20"/>
      <c r="O583" s="20"/>
      <c r="P583" s="20"/>
      <c r="Q583" s="20"/>
      <c r="R583" s="20"/>
      <c r="S583" s="20"/>
      <c r="T583" s="20"/>
      <c r="U583" s="20"/>
      <c r="V583" s="20"/>
      <c r="W583" s="20"/>
      <c r="X583" s="20"/>
      <c r="Y583" s="20"/>
      <c r="Z583" s="20"/>
    </row>
    <row r="584" spans="1:26" ht="17.25" customHeight="1">
      <c r="A584" s="15"/>
      <c r="B584" s="15"/>
      <c r="C584" s="15"/>
      <c r="D584" s="15"/>
      <c r="E584" s="15"/>
      <c r="F584" s="15"/>
      <c r="G584" s="15"/>
      <c r="H584" s="15"/>
      <c r="I584" s="45"/>
      <c r="J584" s="47"/>
      <c r="K584" s="20"/>
      <c r="L584" s="20"/>
      <c r="M584" s="20"/>
      <c r="N584" s="20"/>
      <c r="O584" s="20"/>
      <c r="P584" s="20"/>
      <c r="Q584" s="20"/>
      <c r="R584" s="20"/>
      <c r="S584" s="20"/>
      <c r="T584" s="20"/>
      <c r="U584" s="20"/>
      <c r="V584" s="20"/>
      <c r="W584" s="20"/>
      <c r="X584" s="20"/>
      <c r="Y584" s="20"/>
      <c r="Z584" s="20"/>
    </row>
    <row r="585" spans="1:26" ht="17.25" customHeight="1">
      <c r="A585" s="15"/>
      <c r="B585" s="15"/>
      <c r="C585" s="15"/>
      <c r="D585" s="15"/>
      <c r="E585" s="15"/>
      <c r="F585" s="15"/>
      <c r="G585" s="15"/>
      <c r="H585" s="15"/>
      <c r="I585" s="45"/>
      <c r="J585" s="47"/>
      <c r="K585" s="20"/>
      <c r="L585" s="20"/>
      <c r="M585" s="20"/>
      <c r="N585" s="20"/>
      <c r="O585" s="20"/>
      <c r="P585" s="20"/>
      <c r="Q585" s="20"/>
      <c r="R585" s="20"/>
      <c r="S585" s="20"/>
      <c r="T585" s="20"/>
      <c r="U585" s="20"/>
      <c r="V585" s="20"/>
      <c r="W585" s="20"/>
      <c r="X585" s="20"/>
      <c r="Y585" s="20"/>
      <c r="Z585" s="20"/>
    </row>
    <row r="586" spans="1:26" ht="17.25" customHeight="1">
      <c r="A586" s="15"/>
      <c r="B586" s="15"/>
      <c r="C586" s="15"/>
      <c r="D586" s="15"/>
      <c r="E586" s="15"/>
      <c r="F586" s="15"/>
      <c r="G586" s="15"/>
      <c r="H586" s="15"/>
      <c r="I586" s="45"/>
      <c r="J586" s="47"/>
      <c r="K586" s="20"/>
      <c r="L586" s="20"/>
      <c r="M586" s="20"/>
      <c r="N586" s="20"/>
      <c r="O586" s="20"/>
      <c r="P586" s="20"/>
      <c r="Q586" s="20"/>
      <c r="R586" s="20"/>
      <c r="S586" s="20"/>
      <c r="T586" s="20"/>
      <c r="U586" s="20"/>
      <c r="V586" s="20"/>
      <c r="W586" s="20"/>
      <c r="X586" s="20"/>
      <c r="Y586" s="20"/>
      <c r="Z586" s="20"/>
    </row>
    <row r="587" spans="1:26" ht="17.25" customHeight="1">
      <c r="A587" s="15"/>
      <c r="B587" s="15"/>
      <c r="C587" s="15"/>
      <c r="D587" s="15"/>
      <c r="E587" s="15"/>
      <c r="F587" s="15"/>
      <c r="G587" s="15"/>
      <c r="H587" s="15"/>
      <c r="I587" s="45"/>
      <c r="J587" s="47"/>
      <c r="K587" s="20"/>
      <c r="L587" s="20"/>
      <c r="M587" s="20"/>
      <c r="N587" s="20"/>
      <c r="O587" s="20"/>
      <c r="P587" s="20"/>
      <c r="Q587" s="20"/>
      <c r="R587" s="20"/>
      <c r="S587" s="20"/>
      <c r="T587" s="20"/>
      <c r="U587" s="20"/>
      <c r="V587" s="20"/>
      <c r="W587" s="20"/>
      <c r="X587" s="20"/>
      <c r="Y587" s="20"/>
      <c r="Z587" s="20"/>
    </row>
    <row r="588" spans="1:26" ht="17.25" customHeight="1">
      <c r="A588" s="15"/>
      <c r="B588" s="15"/>
      <c r="C588" s="15"/>
      <c r="D588" s="15"/>
      <c r="E588" s="15"/>
      <c r="F588" s="15"/>
      <c r="G588" s="15"/>
      <c r="H588" s="15"/>
      <c r="I588" s="45"/>
      <c r="J588" s="47"/>
      <c r="K588" s="20"/>
      <c r="L588" s="20"/>
      <c r="M588" s="20"/>
      <c r="N588" s="20"/>
      <c r="O588" s="20"/>
      <c r="P588" s="20"/>
      <c r="Q588" s="20"/>
      <c r="R588" s="20"/>
      <c r="S588" s="20"/>
      <c r="T588" s="20"/>
      <c r="U588" s="20"/>
      <c r="V588" s="20"/>
      <c r="W588" s="20"/>
      <c r="X588" s="20"/>
      <c r="Y588" s="20"/>
      <c r="Z588" s="20"/>
    </row>
    <row r="589" spans="1:26" ht="17.25" customHeight="1">
      <c r="A589" s="15"/>
      <c r="B589" s="15"/>
      <c r="C589" s="15"/>
      <c r="D589" s="15"/>
      <c r="E589" s="15"/>
      <c r="F589" s="15"/>
      <c r="G589" s="15"/>
      <c r="H589" s="15"/>
      <c r="I589" s="45"/>
      <c r="J589" s="47"/>
      <c r="K589" s="20"/>
      <c r="L589" s="20"/>
      <c r="M589" s="20"/>
      <c r="N589" s="20"/>
      <c r="O589" s="20"/>
      <c r="P589" s="20"/>
      <c r="Q589" s="20"/>
      <c r="R589" s="20"/>
      <c r="S589" s="20"/>
      <c r="T589" s="20"/>
      <c r="U589" s="20"/>
      <c r="V589" s="20"/>
      <c r="W589" s="20"/>
      <c r="X589" s="20"/>
      <c r="Y589" s="20"/>
      <c r="Z589" s="20"/>
    </row>
    <row r="590" spans="1:26" ht="17.25" customHeight="1">
      <c r="A590" s="15"/>
      <c r="B590" s="15"/>
      <c r="C590" s="15"/>
      <c r="D590" s="15"/>
      <c r="E590" s="15"/>
      <c r="F590" s="15"/>
      <c r="G590" s="15"/>
      <c r="H590" s="15"/>
      <c r="I590" s="45"/>
      <c r="J590" s="47"/>
      <c r="K590" s="20"/>
      <c r="L590" s="20"/>
      <c r="M590" s="20"/>
      <c r="N590" s="20"/>
      <c r="O590" s="20"/>
      <c r="P590" s="20"/>
      <c r="Q590" s="20"/>
      <c r="R590" s="20"/>
      <c r="S590" s="20"/>
      <c r="T590" s="20"/>
      <c r="U590" s="20"/>
      <c r="V590" s="20"/>
      <c r="W590" s="20"/>
      <c r="X590" s="20"/>
      <c r="Y590" s="20"/>
      <c r="Z590" s="20"/>
    </row>
    <row r="591" spans="1:26" ht="17.25" customHeight="1">
      <c r="A591" s="15"/>
      <c r="B591" s="15"/>
      <c r="C591" s="15"/>
      <c r="D591" s="15"/>
      <c r="E591" s="15"/>
      <c r="F591" s="15"/>
      <c r="G591" s="15"/>
      <c r="H591" s="15"/>
      <c r="I591" s="45"/>
      <c r="J591" s="47"/>
      <c r="K591" s="20"/>
      <c r="L591" s="20"/>
      <c r="M591" s="20"/>
      <c r="N591" s="20"/>
      <c r="O591" s="20"/>
      <c r="P591" s="20"/>
      <c r="Q591" s="20"/>
      <c r="R591" s="20"/>
      <c r="S591" s="20"/>
      <c r="T591" s="20"/>
      <c r="U591" s="20"/>
      <c r="V591" s="20"/>
      <c r="W591" s="20"/>
      <c r="X591" s="20"/>
      <c r="Y591" s="20"/>
      <c r="Z591" s="20"/>
    </row>
    <row r="592" spans="1:26" ht="17.25" customHeight="1">
      <c r="A592" s="15"/>
      <c r="B592" s="15"/>
      <c r="C592" s="15"/>
      <c r="D592" s="15"/>
      <c r="E592" s="15"/>
      <c r="F592" s="15"/>
      <c r="G592" s="15"/>
      <c r="H592" s="15"/>
      <c r="I592" s="45"/>
      <c r="J592" s="47"/>
      <c r="K592" s="20"/>
      <c r="L592" s="20"/>
      <c r="M592" s="20"/>
      <c r="N592" s="20"/>
      <c r="O592" s="20"/>
      <c r="P592" s="20"/>
      <c r="Q592" s="20"/>
      <c r="R592" s="20"/>
      <c r="S592" s="20"/>
      <c r="T592" s="20"/>
      <c r="U592" s="20"/>
      <c r="V592" s="20"/>
      <c r="W592" s="20"/>
      <c r="X592" s="20"/>
      <c r="Y592" s="20"/>
      <c r="Z592" s="20"/>
    </row>
    <row r="593" spans="1:26" ht="17.25" customHeight="1">
      <c r="A593" s="15"/>
      <c r="B593" s="15"/>
      <c r="C593" s="15"/>
      <c r="D593" s="15"/>
      <c r="E593" s="15"/>
      <c r="F593" s="15"/>
      <c r="G593" s="15"/>
      <c r="H593" s="15"/>
      <c r="I593" s="45"/>
      <c r="J593" s="47"/>
      <c r="K593" s="20"/>
      <c r="L593" s="20"/>
      <c r="M593" s="20"/>
      <c r="N593" s="20"/>
      <c r="O593" s="20"/>
      <c r="P593" s="20"/>
      <c r="Q593" s="20"/>
      <c r="R593" s="20"/>
      <c r="S593" s="20"/>
      <c r="T593" s="20"/>
      <c r="U593" s="20"/>
      <c r="V593" s="20"/>
      <c r="W593" s="20"/>
      <c r="X593" s="20"/>
      <c r="Y593" s="20"/>
      <c r="Z593" s="20"/>
    </row>
    <row r="594" spans="1:26" ht="17.25" customHeight="1">
      <c r="A594" s="15"/>
      <c r="B594" s="15"/>
      <c r="C594" s="15"/>
      <c r="D594" s="15"/>
      <c r="E594" s="15"/>
      <c r="F594" s="15"/>
      <c r="G594" s="15"/>
      <c r="H594" s="15"/>
      <c r="I594" s="45"/>
      <c r="J594" s="47"/>
      <c r="K594" s="20"/>
      <c r="L594" s="20"/>
      <c r="M594" s="20"/>
      <c r="N594" s="20"/>
      <c r="O594" s="20"/>
      <c r="P594" s="20"/>
      <c r="Q594" s="20"/>
      <c r="R594" s="20"/>
      <c r="S594" s="20"/>
      <c r="T594" s="20"/>
      <c r="U594" s="20"/>
      <c r="V594" s="20"/>
      <c r="W594" s="20"/>
      <c r="X594" s="20"/>
      <c r="Y594" s="20"/>
      <c r="Z594" s="20"/>
    </row>
    <row r="595" spans="1:26" ht="17.25" customHeight="1">
      <c r="A595" s="15"/>
      <c r="B595" s="15"/>
      <c r="C595" s="15"/>
      <c r="D595" s="15"/>
      <c r="E595" s="15"/>
      <c r="F595" s="15"/>
      <c r="G595" s="15"/>
      <c r="H595" s="15"/>
      <c r="I595" s="45"/>
      <c r="J595" s="47"/>
      <c r="K595" s="20"/>
      <c r="L595" s="20"/>
      <c r="M595" s="20"/>
      <c r="N595" s="20"/>
      <c r="O595" s="20"/>
      <c r="P595" s="20"/>
      <c r="Q595" s="20"/>
      <c r="R595" s="20"/>
      <c r="S595" s="20"/>
      <c r="T595" s="20"/>
      <c r="U595" s="20"/>
      <c r="V595" s="20"/>
      <c r="W595" s="20"/>
      <c r="X595" s="20"/>
      <c r="Y595" s="20"/>
      <c r="Z595" s="20"/>
    </row>
    <row r="596" spans="1:26" ht="17.25" customHeight="1">
      <c r="A596" s="15"/>
      <c r="B596" s="15"/>
      <c r="C596" s="15"/>
      <c r="D596" s="15"/>
      <c r="E596" s="15"/>
      <c r="F596" s="15"/>
      <c r="G596" s="15"/>
      <c r="H596" s="15"/>
      <c r="I596" s="45"/>
      <c r="J596" s="47"/>
      <c r="K596" s="20"/>
      <c r="L596" s="20"/>
      <c r="M596" s="20"/>
      <c r="N596" s="20"/>
      <c r="O596" s="20"/>
      <c r="P596" s="20"/>
      <c r="Q596" s="20"/>
      <c r="R596" s="20"/>
      <c r="S596" s="20"/>
      <c r="T596" s="20"/>
      <c r="U596" s="20"/>
      <c r="V596" s="20"/>
      <c r="W596" s="20"/>
      <c r="X596" s="20"/>
      <c r="Y596" s="20"/>
      <c r="Z596" s="20"/>
    </row>
    <row r="597" spans="1:26" ht="17.25" customHeight="1">
      <c r="A597" s="15"/>
      <c r="B597" s="15"/>
      <c r="C597" s="15"/>
      <c r="D597" s="15"/>
      <c r="E597" s="15"/>
      <c r="F597" s="15"/>
      <c r="G597" s="15"/>
      <c r="H597" s="15"/>
      <c r="I597" s="45"/>
      <c r="J597" s="47"/>
      <c r="K597" s="20"/>
      <c r="L597" s="20"/>
      <c r="M597" s="20"/>
      <c r="N597" s="20"/>
      <c r="O597" s="20"/>
      <c r="P597" s="20"/>
      <c r="Q597" s="20"/>
      <c r="R597" s="20"/>
      <c r="S597" s="20"/>
      <c r="T597" s="20"/>
      <c r="U597" s="20"/>
      <c r="V597" s="20"/>
      <c r="W597" s="20"/>
      <c r="X597" s="20"/>
      <c r="Y597" s="20"/>
      <c r="Z597" s="20"/>
    </row>
    <row r="598" spans="1:26" ht="17.25" customHeight="1">
      <c r="A598" s="15"/>
      <c r="B598" s="15"/>
      <c r="C598" s="15"/>
      <c r="D598" s="15"/>
      <c r="E598" s="15"/>
      <c r="F598" s="15"/>
      <c r="G598" s="15"/>
      <c r="H598" s="15"/>
      <c r="I598" s="45"/>
      <c r="J598" s="47"/>
      <c r="K598" s="20"/>
      <c r="L598" s="20"/>
      <c r="M598" s="20"/>
      <c r="N598" s="20"/>
      <c r="O598" s="20"/>
      <c r="P598" s="20"/>
      <c r="Q598" s="20"/>
      <c r="R598" s="20"/>
      <c r="S598" s="20"/>
      <c r="T598" s="20"/>
      <c r="U598" s="20"/>
      <c r="V598" s="20"/>
      <c r="W598" s="20"/>
      <c r="X598" s="20"/>
      <c r="Y598" s="20"/>
      <c r="Z598" s="20"/>
    </row>
    <row r="599" spans="1:26" ht="17.25" customHeight="1">
      <c r="A599" s="15"/>
      <c r="B599" s="15"/>
      <c r="C599" s="15"/>
      <c r="D599" s="15"/>
      <c r="E599" s="15"/>
      <c r="F599" s="15"/>
      <c r="G599" s="15"/>
      <c r="H599" s="15"/>
      <c r="I599" s="45"/>
      <c r="J599" s="47"/>
      <c r="K599" s="20"/>
      <c r="L599" s="20"/>
      <c r="M599" s="20"/>
      <c r="N599" s="20"/>
      <c r="O599" s="20"/>
      <c r="P599" s="20"/>
      <c r="Q599" s="20"/>
      <c r="R599" s="20"/>
      <c r="S599" s="20"/>
      <c r="T599" s="20"/>
      <c r="U599" s="20"/>
      <c r="V599" s="20"/>
      <c r="W599" s="20"/>
      <c r="X599" s="20"/>
      <c r="Y599" s="20"/>
      <c r="Z599" s="20"/>
    </row>
    <row r="600" spans="1:26" ht="17.25" customHeight="1">
      <c r="A600" s="15"/>
      <c r="B600" s="15"/>
      <c r="C600" s="15"/>
      <c r="D600" s="15"/>
      <c r="E600" s="15"/>
      <c r="F600" s="15"/>
      <c r="G600" s="15"/>
      <c r="H600" s="15"/>
      <c r="I600" s="45"/>
      <c r="J600" s="47"/>
      <c r="K600" s="20"/>
      <c r="L600" s="20"/>
      <c r="M600" s="20"/>
      <c r="N600" s="20"/>
      <c r="O600" s="20"/>
      <c r="P600" s="20"/>
      <c r="Q600" s="20"/>
      <c r="R600" s="20"/>
      <c r="S600" s="20"/>
      <c r="T600" s="20"/>
      <c r="U600" s="20"/>
      <c r="V600" s="20"/>
      <c r="W600" s="20"/>
      <c r="X600" s="20"/>
      <c r="Y600" s="20"/>
      <c r="Z600" s="20"/>
    </row>
    <row r="601" spans="1:26" ht="17.25" customHeight="1">
      <c r="A601" s="15"/>
      <c r="B601" s="15"/>
      <c r="C601" s="15"/>
      <c r="D601" s="15"/>
      <c r="E601" s="15"/>
      <c r="F601" s="15"/>
      <c r="G601" s="15"/>
      <c r="H601" s="15"/>
      <c r="I601" s="45"/>
      <c r="J601" s="47"/>
      <c r="K601" s="20"/>
      <c r="L601" s="20"/>
      <c r="M601" s="20"/>
      <c r="N601" s="20"/>
      <c r="O601" s="20"/>
      <c r="P601" s="20"/>
      <c r="Q601" s="20"/>
      <c r="R601" s="20"/>
      <c r="S601" s="20"/>
      <c r="T601" s="20"/>
      <c r="U601" s="20"/>
      <c r="V601" s="20"/>
      <c r="W601" s="20"/>
      <c r="X601" s="20"/>
      <c r="Y601" s="20"/>
      <c r="Z601" s="20"/>
    </row>
    <row r="602" spans="1:26" ht="17.25" customHeight="1">
      <c r="A602" s="15"/>
      <c r="B602" s="15"/>
      <c r="C602" s="15"/>
      <c r="D602" s="15"/>
      <c r="E602" s="15"/>
      <c r="F602" s="15"/>
      <c r="G602" s="15"/>
      <c r="H602" s="15"/>
      <c r="I602" s="45"/>
      <c r="J602" s="47"/>
      <c r="K602" s="20"/>
      <c r="L602" s="20"/>
      <c r="M602" s="20"/>
      <c r="N602" s="20"/>
      <c r="O602" s="20"/>
      <c r="P602" s="20"/>
      <c r="Q602" s="20"/>
      <c r="R602" s="20"/>
      <c r="S602" s="20"/>
      <c r="T602" s="20"/>
      <c r="U602" s="20"/>
      <c r="V602" s="20"/>
      <c r="W602" s="20"/>
      <c r="X602" s="20"/>
      <c r="Y602" s="20"/>
      <c r="Z602" s="20"/>
    </row>
    <row r="603" spans="1:26" ht="17.25" customHeight="1">
      <c r="A603" s="15"/>
      <c r="B603" s="15"/>
      <c r="C603" s="15"/>
      <c r="D603" s="15"/>
      <c r="E603" s="15"/>
      <c r="F603" s="15"/>
      <c r="G603" s="15"/>
      <c r="H603" s="15"/>
      <c r="I603" s="45"/>
      <c r="J603" s="47"/>
      <c r="K603" s="20"/>
      <c r="L603" s="20"/>
      <c r="M603" s="20"/>
      <c r="N603" s="20"/>
      <c r="O603" s="20"/>
      <c r="P603" s="20"/>
      <c r="Q603" s="20"/>
      <c r="R603" s="20"/>
      <c r="S603" s="20"/>
      <c r="T603" s="20"/>
      <c r="U603" s="20"/>
      <c r="V603" s="20"/>
      <c r="W603" s="20"/>
      <c r="X603" s="20"/>
      <c r="Y603" s="20"/>
      <c r="Z603" s="20"/>
    </row>
    <row r="604" spans="1:26" ht="17.25" customHeight="1">
      <c r="A604" s="15"/>
      <c r="B604" s="15"/>
      <c r="C604" s="15"/>
      <c r="D604" s="15"/>
      <c r="E604" s="15"/>
      <c r="F604" s="15"/>
      <c r="G604" s="15"/>
      <c r="H604" s="15"/>
      <c r="I604" s="45"/>
      <c r="J604" s="47"/>
      <c r="K604" s="20"/>
      <c r="L604" s="20"/>
      <c r="M604" s="20"/>
      <c r="N604" s="20"/>
      <c r="O604" s="20"/>
      <c r="P604" s="20"/>
      <c r="Q604" s="20"/>
      <c r="R604" s="20"/>
      <c r="S604" s="20"/>
      <c r="T604" s="20"/>
      <c r="U604" s="20"/>
      <c r="V604" s="20"/>
      <c r="W604" s="20"/>
      <c r="X604" s="20"/>
      <c r="Y604" s="20"/>
      <c r="Z604" s="20"/>
    </row>
    <row r="605" spans="1:26" ht="17.25" customHeight="1">
      <c r="A605" s="15"/>
      <c r="B605" s="15"/>
      <c r="C605" s="15"/>
      <c r="D605" s="15"/>
      <c r="E605" s="15"/>
      <c r="F605" s="15"/>
      <c r="G605" s="15"/>
      <c r="H605" s="15"/>
      <c r="I605" s="45"/>
      <c r="J605" s="47"/>
      <c r="K605" s="20"/>
      <c r="L605" s="20"/>
      <c r="M605" s="20"/>
      <c r="N605" s="20"/>
      <c r="O605" s="20"/>
      <c r="P605" s="20"/>
      <c r="Q605" s="20"/>
      <c r="R605" s="20"/>
      <c r="S605" s="20"/>
      <c r="T605" s="20"/>
      <c r="U605" s="20"/>
      <c r="V605" s="20"/>
      <c r="W605" s="20"/>
      <c r="X605" s="20"/>
      <c r="Y605" s="20"/>
      <c r="Z605" s="20"/>
    </row>
    <row r="606" spans="1:26" ht="17.25" customHeight="1">
      <c r="A606" s="15"/>
      <c r="B606" s="15"/>
      <c r="C606" s="15"/>
      <c r="D606" s="15"/>
      <c r="E606" s="15"/>
      <c r="F606" s="15"/>
      <c r="G606" s="15"/>
      <c r="H606" s="15"/>
      <c r="I606" s="45"/>
      <c r="J606" s="47"/>
      <c r="K606" s="20"/>
      <c r="L606" s="20"/>
      <c r="M606" s="20"/>
      <c r="N606" s="20"/>
      <c r="O606" s="20"/>
      <c r="P606" s="20"/>
      <c r="Q606" s="20"/>
      <c r="R606" s="20"/>
      <c r="S606" s="20"/>
      <c r="T606" s="20"/>
      <c r="U606" s="20"/>
      <c r="V606" s="20"/>
      <c r="W606" s="20"/>
      <c r="X606" s="20"/>
      <c r="Y606" s="20"/>
      <c r="Z606" s="20"/>
    </row>
    <row r="607" spans="1:26" ht="17.25" customHeight="1">
      <c r="A607" s="15"/>
      <c r="B607" s="15"/>
      <c r="C607" s="15"/>
      <c r="D607" s="15"/>
      <c r="E607" s="15"/>
      <c r="F607" s="15"/>
      <c r="G607" s="15"/>
      <c r="H607" s="15"/>
      <c r="I607" s="45"/>
      <c r="J607" s="47"/>
      <c r="K607" s="20"/>
      <c r="L607" s="20"/>
      <c r="M607" s="20"/>
      <c r="N607" s="20"/>
      <c r="O607" s="20"/>
      <c r="P607" s="20"/>
      <c r="Q607" s="20"/>
      <c r="R607" s="20"/>
      <c r="S607" s="20"/>
      <c r="T607" s="20"/>
      <c r="U607" s="20"/>
      <c r="V607" s="20"/>
      <c r="W607" s="20"/>
      <c r="X607" s="20"/>
      <c r="Y607" s="20"/>
      <c r="Z607" s="20"/>
    </row>
    <row r="608" spans="1:26" ht="17.25" customHeight="1">
      <c r="A608" s="15"/>
      <c r="B608" s="15"/>
      <c r="C608" s="15"/>
      <c r="D608" s="15"/>
      <c r="E608" s="15"/>
      <c r="F608" s="15"/>
      <c r="G608" s="15"/>
      <c r="H608" s="15"/>
      <c r="I608" s="45"/>
      <c r="J608" s="47"/>
      <c r="K608" s="20"/>
      <c r="L608" s="20"/>
      <c r="M608" s="20"/>
      <c r="N608" s="20"/>
      <c r="O608" s="20"/>
      <c r="P608" s="20"/>
      <c r="Q608" s="20"/>
      <c r="R608" s="20"/>
      <c r="S608" s="20"/>
      <c r="T608" s="20"/>
      <c r="U608" s="20"/>
      <c r="V608" s="20"/>
      <c r="W608" s="20"/>
      <c r="X608" s="20"/>
      <c r="Y608" s="20"/>
      <c r="Z608" s="20"/>
    </row>
    <row r="609" spans="1:26" ht="17.25" customHeight="1">
      <c r="A609" s="15"/>
      <c r="B609" s="15"/>
      <c r="C609" s="15"/>
      <c r="D609" s="15"/>
      <c r="E609" s="15"/>
      <c r="F609" s="15"/>
      <c r="G609" s="15"/>
      <c r="H609" s="15"/>
      <c r="I609" s="45"/>
      <c r="J609" s="47"/>
      <c r="K609" s="20"/>
      <c r="L609" s="20"/>
      <c r="M609" s="20"/>
      <c r="N609" s="20"/>
      <c r="O609" s="20"/>
      <c r="P609" s="20"/>
      <c r="Q609" s="20"/>
      <c r="R609" s="20"/>
      <c r="S609" s="20"/>
      <c r="T609" s="20"/>
      <c r="U609" s="20"/>
      <c r="V609" s="20"/>
      <c r="W609" s="20"/>
      <c r="X609" s="20"/>
      <c r="Y609" s="20"/>
      <c r="Z609" s="20"/>
    </row>
    <row r="610" spans="1:26" ht="17.25" customHeight="1">
      <c r="A610" s="15"/>
      <c r="B610" s="15"/>
      <c r="C610" s="15"/>
      <c r="D610" s="15"/>
      <c r="E610" s="15"/>
      <c r="F610" s="15"/>
      <c r="G610" s="15"/>
      <c r="H610" s="15"/>
      <c r="I610" s="45"/>
      <c r="J610" s="47"/>
      <c r="K610" s="20"/>
      <c r="L610" s="20"/>
      <c r="M610" s="20"/>
      <c r="N610" s="20"/>
      <c r="O610" s="20"/>
      <c r="P610" s="20"/>
      <c r="Q610" s="20"/>
      <c r="R610" s="20"/>
      <c r="S610" s="20"/>
      <c r="T610" s="20"/>
      <c r="U610" s="20"/>
      <c r="V610" s="20"/>
      <c r="W610" s="20"/>
      <c r="X610" s="20"/>
      <c r="Y610" s="20"/>
      <c r="Z610" s="20"/>
    </row>
    <row r="611" spans="1:26" ht="17.25" customHeight="1">
      <c r="A611" s="15"/>
      <c r="B611" s="15"/>
      <c r="C611" s="15"/>
      <c r="D611" s="15"/>
      <c r="E611" s="15"/>
      <c r="F611" s="15"/>
      <c r="G611" s="15"/>
      <c r="H611" s="15"/>
      <c r="I611" s="45"/>
      <c r="J611" s="47"/>
      <c r="K611" s="20"/>
      <c r="L611" s="20"/>
      <c r="M611" s="20"/>
      <c r="N611" s="20"/>
      <c r="O611" s="20"/>
      <c r="P611" s="20"/>
      <c r="Q611" s="20"/>
      <c r="R611" s="20"/>
      <c r="S611" s="20"/>
      <c r="T611" s="20"/>
      <c r="U611" s="20"/>
      <c r="V611" s="20"/>
      <c r="W611" s="20"/>
      <c r="X611" s="20"/>
      <c r="Y611" s="20"/>
      <c r="Z611" s="20"/>
    </row>
    <row r="612" spans="1:26" ht="17.25" customHeight="1">
      <c r="A612" s="15"/>
      <c r="B612" s="15"/>
      <c r="C612" s="15"/>
      <c r="D612" s="15"/>
      <c r="E612" s="15"/>
      <c r="F612" s="15"/>
      <c r="G612" s="15"/>
      <c r="H612" s="15"/>
      <c r="I612" s="45"/>
      <c r="J612" s="47"/>
      <c r="K612" s="20"/>
      <c r="L612" s="20"/>
      <c r="M612" s="20"/>
      <c r="N612" s="20"/>
      <c r="O612" s="20"/>
      <c r="P612" s="20"/>
      <c r="Q612" s="20"/>
      <c r="R612" s="20"/>
      <c r="S612" s="20"/>
      <c r="T612" s="20"/>
      <c r="U612" s="20"/>
      <c r="V612" s="20"/>
      <c r="W612" s="20"/>
      <c r="X612" s="20"/>
      <c r="Y612" s="20"/>
      <c r="Z612" s="20"/>
    </row>
    <row r="613" spans="1:26" ht="17.25" customHeight="1">
      <c r="A613" s="15"/>
      <c r="B613" s="15"/>
      <c r="C613" s="15"/>
      <c r="D613" s="15"/>
      <c r="E613" s="15"/>
      <c r="F613" s="15"/>
      <c r="G613" s="15"/>
      <c r="H613" s="15"/>
      <c r="I613" s="45"/>
      <c r="J613" s="47"/>
      <c r="K613" s="20"/>
      <c r="L613" s="20"/>
      <c r="M613" s="20"/>
      <c r="N613" s="20"/>
      <c r="O613" s="20"/>
      <c r="P613" s="20"/>
      <c r="Q613" s="20"/>
      <c r="R613" s="20"/>
      <c r="S613" s="20"/>
      <c r="T613" s="20"/>
      <c r="U613" s="20"/>
      <c r="V613" s="20"/>
      <c r="W613" s="20"/>
      <c r="X613" s="20"/>
      <c r="Y613" s="20"/>
      <c r="Z613" s="20"/>
    </row>
    <row r="614" spans="1:26" ht="17.25" customHeight="1">
      <c r="A614" s="15"/>
      <c r="B614" s="15"/>
      <c r="C614" s="15"/>
      <c r="D614" s="15"/>
      <c r="E614" s="15"/>
      <c r="F614" s="15"/>
      <c r="G614" s="15"/>
      <c r="H614" s="15"/>
      <c r="I614" s="45"/>
      <c r="J614" s="47"/>
      <c r="K614" s="20"/>
      <c r="L614" s="20"/>
      <c r="M614" s="20"/>
      <c r="N614" s="20"/>
      <c r="O614" s="20"/>
      <c r="P614" s="20"/>
      <c r="Q614" s="20"/>
      <c r="R614" s="20"/>
      <c r="S614" s="20"/>
      <c r="T614" s="20"/>
      <c r="U614" s="20"/>
      <c r="V614" s="20"/>
      <c r="W614" s="20"/>
      <c r="X614" s="20"/>
      <c r="Y614" s="20"/>
      <c r="Z614" s="20"/>
    </row>
    <row r="615" spans="1:26" ht="17.25" customHeight="1">
      <c r="A615" s="15"/>
      <c r="B615" s="15"/>
      <c r="C615" s="15"/>
      <c r="D615" s="15"/>
      <c r="E615" s="15"/>
      <c r="F615" s="15"/>
      <c r="G615" s="15"/>
      <c r="H615" s="15"/>
      <c r="I615" s="45"/>
      <c r="J615" s="47"/>
      <c r="K615" s="20"/>
      <c r="L615" s="20"/>
      <c r="M615" s="20"/>
      <c r="N615" s="20"/>
      <c r="O615" s="20"/>
      <c r="P615" s="20"/>
      <c r="Q615" s="20"/>
      <c r="R615" s="20"/>
      <c r="S615" s="20"/>
      <c r="T615" s="20"/>
      <c r="U615" s="20"/>
      <c r="V615" s="20"/>
      <c r="W615" s="20"/>
      <c r="X615" s="20"/>
      <c r="Y615" s="20"/>
      <c r="Z615" s="20"/>
    </row>
    <row r="616" spans="1:26" ht="17.25" customHeight="1">
      <c r="A616" s="15"/>
      <c r="B616" s="15"/>
      <c r="C616" s="15"/>
      <c r="D616" s="15"/>
      <c r="E616" s="15"/>
      <c r="F616" s="15"/>
      <c r="G616" s="15"/>
      <c r="H616" s="15"/>
      <c r="I616" s="45"/>
      <c r="J616" s="47"/>
      <c r="K616" s="20"/>
      <c r="L616" s="20"/>
      <c r="M616" s="20"/>
      <c r="N616" s="20"/>
      <c r="O616" s="20"/>
      <c r="P616" s="20"/>
      <c r="Q616" s="20"/>
      <c r="R616" s="20"/>
      <c r="S616" s="20"/>
      <c r="T616" s="20"/>
      <c r="U616" s="20"/>
      <c r="V616" s="20"/>
      <c r="W616" s="20"/>
      <c r="X616" s="20"/>
      <c r="Y616" s="20"/>
      <c r="Z616" s="20"/>
    </row>
    <row r="617" spans="1:26" ht="17.25" customHeight="1">
      <c r="A617" s="15"/>
      <c r="B617" s="15"/>
      <c r="C617" s="15"/>
      <c r="D617" s="15"/>
      <c r="E617" s="15"/>
      <c r="F617" s="15"/>
      <c r="G617" s="15"/>
      <c r="H617" s="15"/>
      <c r="I617" s="45"/>
      <c r="J617" s="47"/>
      <c r="K617" s="20"/>
      <c r="L617" s="20"/>
      <c r="M617" s="20"/>
      <c r="N617" s="20"/>
      <c r="O617" s="20"/>
      <c r="P617" s="20"/>
      <c r="Q617" s="20"/>
      <c r="R617" s="20"/>
      <c r="S617" s="20"/>
      <c r="T617" s="20"/>
      <c r="U617" s="20"/>
      <c r="V617" s="20"/>
      <c r="W617" s="20"/>
      <c r="X617" s="20"/>
      <c r="Y617" s="20"/>
      <c r="Z617" s="20"/>
    </row>
    <row r="618" spans="1:26" ht="17.25" customHeight="1">
      <c r="A618" s="15"/>
      <c r="B618" s="15"/>
      <c r="C618" s="15"/>
      <c r="D618" s="15"/>
      <c r="E618" s="15"/>
      <c r="F618" s="15"/>
      <c r="G618" s="15"/>
      <c r="H618" s="15"/>
      <c r="I618" s="45"/>
      <c r="J618" s="47"/>
      <c r="K618" s="20"/>
      <c r="L618" s="20"/>
      <c r="M618" s="20"/>
      <c r="N618" s="20"/>
      <c r="O618" s="20"/>
      <c r="P618" s="20"/>
      <c r="Q618" s="20"/>
      <c r="R618" s="20"/>
      <c r="S618" s="20"/>
      <c r="T618" s="20"/>
      <c r="U618" s="20"/>
      <c r="V618" s="20"/>
      <c r="W618" s="20"/>
      <c r="X618" s="20"/>
      <c r="Y618" s="20"/>
      <c r="Z618" s="20"/>
    </row>
    <row r="619" spans="1:26" ht="17.25" customHeight="1">
      <c r="A619" s="15"/>
      <c r="B619" s="15"/>
      <c r="C619" s="15"/>
      <c r="D619" s="15"/>
      <c r="E619" s="15"/>
      <c r="F619" s="15"/>
      <c r="G619" s="15"/>
      <c r="H619" s="15"/>
      <c r="I619" s="45"/>
      <c r="J619" s="47"/>
      <c r="K619" s="20"/>
      <c r="L619" s="20"/>
      <c r="M619" s="20"/>
      <c r="N619" s="20"/>
      <c r="O619" s="20"/>
      <c r="P619" s="20"/>
      <c r="Q619" s="20"/>
      <c r="R619" s="20"/>
      <c r="S619" s="20"/>
      <c r="T619" s="20"/>
      <c r="U619" s="20"/>
      <c r="V619" s="20"/>
      <c r="W619" s="20"/>
      <c r="X619" s="20"/>
      <c r="Y619" s="20"/>
      <c r="Z619" s="20"/>
    </row>
    <row r="620" spans="1:26" ht="17.25" customHeight="1">
      <c r="A620" s="15"/>
      <c r="B620" s="15"/>
      <c r="C620" s="15"/>
      <c r="D620" s="15"/>
      <c r="E620" s="15"/>
      <c r="F620" s="15"/>
      <c r="G620" s="15"/>
      <c r="H620" s="15"/>
      <c r="I620" s="45"/>
      <c r="J620" s="47"/>
      <c r="K620" s="20"/>
      <c r="L620" s="20"/>
      <c r="M620" s="20"/>
      <c r="N620" s="20"/>
      <c r="O620" s="20"/>
      <c r="P620" s="20"/>
      <c r="Q620" s="20"/>
      <c r="R620" s="20"/>
      <c r="S620" s="20"/>
      <c r="T620" s="20"/>
      <c r="U620" s="20"/>
      <c r="V620" s="20"/>
      <c r="W620" s="20"/>
      <c r="X620" s="20"/>
      <c r="Y620" s="20"/>
      <c r="Z620" s="20"/>
    </row>
    <row r="621" spans="1:26" ht="17.25" customHeight="1">
      <c r="A621" s="15"/>
      <c r="B621" s="15"/>
      <c r="C621" s="15"/>
      <c r="D621" s="15"/>
      <c r="E621" s="15"/>
      <c r="F621" s="15"/>
      <c r="G621" s="15"/>
      <c r="H621" s="15"/>
      <c r="I621" s="45"/>
      <c r="J621" s="47"/>
      <c r="K621" s="20"/>
      <c r="L621" s="20"/>
      <c r="M621" s="20"/>
      <c r="N621" s="20"/>
      <c r="O621" s="20"/>
      <c r="P621" s="20"/>
      <c r="Q621" s="20"/>
      <c r="R621" s="20"/>
      <c r="S621" s="20"/>
      <c r="T621" s="20"/>
      <c r="U621" s="20"/>
      <c r="V621" s="20"/>
      <c r="W621" s="20"/>
      <c r="X621" s="20"/>
      <c r="Y621" s="20"/>
      <c r="Z621" s="20"/>
    </row>
    <row r="622" spans="1:26" ht="17.25" customHeight="1">
      <c r="A622" s="15"/>
      <c r="B622" s="15"/>
      <c r="C622" s="15"/>
      <c r="D622" s="15"/>
      <c r="E622" s="15"/>
      <c r="F622" s="15"/>
      <c r="G622" s="15"/>
      <c r="H622" s="15"/>
      <c r="I622" s="45"/>
      <c r="J622" s="47"/>
      <c r="K622" s="20"/>
      <c r="L622" s="20"/>
      <c r="M622" s="20"/>
      <c r="N622" s="20"/>
      <c r="O622" s="20"/>
      <c r="P622" s="20"/>
      <c r="Q622" s="20"/>
      <c r="R622" s="20"/>
      <c r="S622" s="20"/>
      <c r="T622" s="20"/>
      <c r="U622" s="20"/>
      <c r="V622" s="20"/>
      <c r="W622" s="20"/>
      <c r="X622" s="20"/>
      <c r="Y622" s="20"/>
      <c r="Z622" s="20"/>
    </row>
    <row r="623" spans="1:26" ht="17.25" customHeight="1">
      <c r="A623" s="15"/>
      <c r="B623" s="15"/>
      <c r="C623" s="15"/>
      <c r="D623" s="15"/>
      <c r="E623" s="15"/>
      <c r="F623" s="15"/>
      <c r="G623" s="15"/>
      <c r="H623" s="15"/>
      <c r="I623" s="45"/>
      <c r="J623" s="47"/>
      <c r="K623" s="20"/>
      <c r="L623" s="20"/>
      <c r="M623" s="20"/>
      <c r="N623" s="20"/>
      <c r="O623" s="20"/>
      <c r="P623" s="20"/>
      <c r="Q623" s="20"/>
      <c r="R623" s="20"/>
      <c r="S623" s="20"/>
      <c r="T623" s="20"/>
      <c r="U623" s="20"/>
      <c r="V623" s="20"/>
      <c r="W623" s="20"/>
      <c r="X623" s="20"/>
      <c r="Y623" s="20"/>
      <c r="Z623" s="20"/>
    </row>
    <row r="624" spans="1:26" ht="17.25" customHeight="1">
      <c r="A624" s="15"/>
      <c r="B624" s="15"/>
      <c r="C624" s="15"/>
      <c r="D624" s="15"/>
      <c r="E624" s="15"/>
      <c r="F624" s="15"/>
      <c r="G624" s="15"/>
      <c r="H624" s="15"/>
      <c r="I624" s="45"/>
      <c r="J624" s="47"/>
      <c r="K624" s="20"/>
      <c r="L624" s="20"/>
      <c r="M624" s="20"/>
      <c r="N624" s="20"/>
      <c r="O624" s="20"/>
      <c r="P624" s="20"/>
      <c r="Q624" s="20"/>
      <c r="R624" s="20"/>
      <c r="S624" s="20"/>
      <c r="T624" s="20"/>
      <c r="U624" s="20"/>
      <c r="V624" s="20"/>
      <c r="W624" s="20"/>
      <c r="X624" s="20"/>
      <c r="Y624" s="20"/>
      <c r="Z624" s="20"/>
    </row>
    <row r="625" spans="1:26" ht="17.25" customHeight="1">
      <c r="A625" s="15"/>
      <c r="B625" s="15"/>
      <c r="C625" s="15"/>
      <c r="D625" s="15"/>
      <c r="E625" s="15"/>
      <c r="F625" s="15"/>
      <c r="G625" s="15"/>
      <c r="H625" s="15"/>
      <c r="I625" s="45"/>
      <c r="J625" s="47"/>
      <c r="K625" s="20"/>
      <c r="L625" s="20"/>
      <c r="M625" s="20"/>
      <c r="N625" s="20"/>
      <c r="O625" s="20"/>
      <c r="P625" s="20"/>
      <c r="Q625" s="20"/>
      <c r="R625" s="20"/>
      <c r="S625" s="20"/>
      <c r="T625" s="20"/>
      <c r="U625" s="20"/>
      <c r="V625" s="20"/>
      <c r="W625" s="20"/>
      <c r="X625" s="20"/>
      <c r="Y625" s="20"/>
      <c r="Z625" s="20"/>
    </row>
    <row r="626" spans="1:26" ht="17.25" customHeight="1">
      <c r="A626" s="15"/>
      <c r="B626" s="15"/>
      <c r="C626" s="15"/>
      <c r="D626" s="15"/>
      <c r="E626" s="15"/>
      <c r="F626" s="15"/>
      <c r="G626" s="15"/>
      <c r="H626" s="15"/>
      <c r="I626" s="45"/>
      <c r="J626" s="47"/>
      <c r="K626" s="20"/>
      <c r="L626" s="20"/>
      <c r="M626" s="20"/>
      <c r="N626" s="20"/>
      <c r="O626" s="20"/>
      <c r="P626" s="20"/>
      <c r="Q626" s="20"/>
      <c r="R626" s="20"/>
      <c r="S626" s="20"/>
      <c r="T626" s="20"/>
      <c r="U626" s="20"/>
      <c r="V626" s="20"/>
      <c r="W626" s="20"/>
      <c r="X626" s="20"/>
      <c r="Y626" s="20"/>
      <c r="Z626" s="20"/>
    </row>
    <row r="627" spans="1:26" ht="17.25" customHeight="1">
      <c r="A627" s="15"/>
      <c r="B627" s="15"/>
      <c r="C627" s="15"/>
      <c r="D627" s="15"/>
      <c r="E627" s="15"/>
      <c r="F627" s="15"/>
      <c r="G627" s="15"/>
      <c r="H627" s="15"/>
      <c r="I627" s="45"/>
      <c r="J627" s="47"/>
      <c r="K627" s="20"/>
      <c r="L627" s="20"/>
      <c r="M627" s="20"/>
      <c r="N627" s="20"/>
      <c r="O627" s="20"/>
      <c r="P627" s="20"/>
      <c r="Q627" s="20"/>
      <c r="R627" s="20"/>
      <c r="S627" s="20"/>
      <c r="T627" s="20"/>
      <c r="U627" s="20"/>
      <c r="V627" s="20"/>
      <c r="W627" s="20"/>
      <c r="X627" s="20"/>
      <c r="Y627" s="20"/>
      <c r="Z627" s="20"/>
    </row>
    <row r="628" spans="1:26" ht="17.25" customHeight="1">
      <c r="A628" s="15"/>
      <c r="B628" s="15"/>
      <c r="C628" s="15"/>
      <c r="D628" s="15"/>
      <c r="E628" s="15"/>
      <c r="F628" s="15"/>
      <c r="G628" s="15"/>
      <c r="H628" s="15"/>
      <c r="I628" s="45"/>
      <c r="J628" s="47"/>
      <c r="K628" s="20"/>
      <c r="L628" s="20"/>
      <c r="M628" s="20"/>
      <c r="N628" s="20"/>
      <c r="O628" s="20"/>
      <c r="P628" s="20"/>
      <c r="Q628" s="20"/>
      <c r="R628" s="20"/>
      <c r="S628" s="20"/>
      <c r="T628" s="20"/>
      <c r="U628" s="20"/>
      <c r="V628" s="20"/>
      <c r="W628" s="20"/>
      <c r="X628" s="20"/>
      <c r="Y628" s="20"/>
      <c r="Z628" s="20"/>
    </row>
    <row r="629" spans="1:26" ht="17.25" customHeight="1">
      <c r="A629" s="15"/>
      <c r="B629" s="15"/>
      <c r="C629" s="15"/>
      <c r="D629" s="15"/>
      <c r="E629" s="15"/>
      <c r="F629" s="15"/>
      <c r="G629" s="15"/>
      <c r="H629" s="15"/>
      <c r="I629" s="45"/>
      <c r="J629" s="47"/>
      <c r="K629" s="20"/>
      <c r="L629" s="20"/>
      <c r="M629" s="20"/>
      <c r="N629" s="20"/>
      <c r="O629" s="20"/>
      <c r="P629" s="20"/>
      <c r="Q629" s="20"/>
      <c r="R629" s="20"/>
      <c r="S629" s="20"/>
      <c r="T629" s="20"/>
      <c r="U629" s="20"/>
      <c r="V629" s="20"/>
      <c r="W629" s="20"/>
      <c r="X629" s="20"/>
      <c r="Y629" s="20"/>
      <c r="Z629" s="20"/>
    </row>
    <row r="630" spans="1:26" ht="17.25" customHeight="1">
      <c r="A630" s="15"/>
      <c r="B630" s="15"/>
      <c r="C630" s="15"/>
      <c r="D630" s="15"/>
      <c r="E630" s="15"/>
      <c r="F630" s="15"/>
      <c r="G630" s="15"/>
      <c r="H630" s="15"/>
      <c r="I630" s="45"/>
      <c r="J630" s="47"/>
      <c r="K630" s="20"/>
      <c r="L630" s="20"/>
      <c r="M630" s="20"/>
      <c r="N630" s="20"/>
      <c r="O630" s="20"/>
      <c r="P630" s="20"/>
      <c r="Q630" s="20"/>
      <c r="R630" s="20"/>
      <c r="S630" s="20"/>
      <c r="T630" s="20"/>
      <c r="U630" s="20"/>
      <c r="V630" s="20"/>
      <c r="W630" s="20"/>
      <c r="X630" s="20"/>
      <c r="Y630" s="20"/>
      <c r="Z630" s="20"/>
    </row>
    <row r="631" spans="1:26" ht="17.25" customHeight="1">
      <c r="A631" s="15"/>
      <c r="B631" s="15"/>
      <c r="C631" s="15"/>
      <c r="D631" s="15"/>
      <c r="E631" s="15"/>
      <c r="F631" s="15"/>
      <c r="G631" s="15"/>
      <c r="H631" s="15"/>
      <c r="I631" s="45"/>
      <c r="J631" s="47"/>
      <c r="K631" s="20"/>
      <c r="L631" s="20"/>
      <c r="M631" s="20"/>
      <c r="N631" s="20"/>
      <c r="O631" s="20"/>
      <c r="P631" s="20"/>
      <c r="Q631" s="20"/>
      <c r="R631" s="20"/>
      <c r="S631" s="20"/>
      <c r="T631" s="20"/>
      <c r="U631" s="20"/>
      <c r="V631" s="20"/>
      <c r="W631" s="20"/>
      <c r="X631" s="20"/>
      <c r="Y631" s="20"/>
      <c r="Z631" s="20"/>
    </row>
    <row r="632" spans="1:26" ht="17.25" customHeight="1">
      <c r="A632" s="15"/>
      <c r="B632" s="15"/>
      <c r="C632" s="15"/>
      <c r="D632" s="15"/>
      <c r="E632" s="15"/>
      <c r="F632" s="15"/>
      <c r="G632" s="15"/>
      <c r="H632" s="15"/>
      <c r="I632" s="45"/>
      <c r="J632" s="47"/>
      <c r="K632" s="20"/>
      <c r="L632" s="20"/>
      <c r="M632" s="20"/>
      <c r="N632" s="20"/>
      <c r="O632" s="20"/>
      <c r="P632" s="20"/>
      <c r="Q632" s="20"/>
      <c r="R632" s="20"/>
      <c r="S632" s="20"/>
      <c r="T632" s="20"/>
      <c r="U632" s="20"/>
      <c r="V632" s="20"/>
      <c r="W632" s="20"/>
      <c r="X632" s="20"/>
      <c r="Y632" s="20"/>
      <c r="Z632" s="20"/>
    </row>
    <row r="633" spans="1:26" ht="17.25" customHeight="1">
      <c r="A633" s="15"/>
      <c r="B633" s="15"/>
      <c r="C633" s="15"/>
      <c r="D633" s="15"/>
      <c r="E633" s="15"/>
      <c r="F633" s="15"/>
      <c r="G633" s="15"/>
      <c r="H633" s="15"/>
      <c r="I633" s="45"/>
      <c r="J633" s="47"/>
      <c r="K633" s="20"/>
      <c r="L633" s="20"/>
      <c r="M633" s="20"/>
      <c r="N633" s="20"/>
      <c r="O633" s="20"/>
      <c r="P633" s="20"/>
      <c r="Q633" s="20"/>
      <c r="R633" s="20"/>
      <c r="S633" s="20"/>
      <c r="T633" s="20"/>
      <c r="U633" s="20"/>
      <c r="V633" s="20"/>
      <c r="W633" s="20"/>
      <c r="X633" s="20"/>
      <c r="Y633" s="20"/>
      <c r="Z633" s="20"/>
    </row>
    <row r="634" spans="1:26" ht="17.25" customHeight="1">
      <c r="A634" s="15"/>
      <c r="B634" s="15"/>
      <c r="C634" s="15"/>
      <c r="D634" s="15"/>
      <c r="E634" s="15"/>
      <c r="F634" s="15"/>
      <c r="G634" s="15"/>
      <c r="H634" s="15"/>
      <c r="I634" s="45"/>
      <c r="J634" s="47"/>
      <c r="K634" s="20"/>
      <c r="L634" s="20"/>
      <c r="M634" s="20"/>
      <c r="N634" s="20"/>
      <c r="O634" s="20"/>
      <c r="P634" s="20"/>
      <c r="Q634" s="20"/>
      <c r="R634" s="20"/>
      <c r="S634" s="20"/>
      <c r="T634" s="20"/>
      <c r="U634" s="20"/>
      <c r="V634" s="20"/>
      <c r="W634" s="20"/>
      <c r="X634" s="20"/>
      <c r="Y634" s="20"/>
      <c r="Z634" s="20"/>
    </row>
    <row r="635" spans="1:26" ht="17.25" customHeight="1">
      <c r="A635" s="15"/>
      <c r="B635" s="15"/>
      <c r="C635" s="15"/>
      <c r="D635" s="15"/>
      <c r="E635" s="15"/>
      <c r="F635" s="15"/>
      <c r="G635" s="15"/>
      <c r="H635" s="15"/>
      <c r="I635" s="45"/>
      <c r="J635" s="47"/>
      <c r="K635" s="20"/>
      <c r="L635" s="20"/>
      <c r="M635" s="20"/>
      <c r="N635" s="20"/>
      <c r="O635" s="20"/>
      <c r="P635" s="20"/>
      <c r="Q635" s="20"/>
      <c r="R635" s="20"/>
      <c r="S635" s="20"/>
      <c r="T635" s="20"/>
      <c r="U635" s="20"/>
      <c r="V635" s="20"/>
      <c r="W635" s="20"/>
      <c r="X635" s="20"/>
      <c r="Y635" s="20"/>
      <c r="Z635" s="20"/>
    </row>
    <row r="636" spans="1:26" ht="17.25" customHeight="1">
      <c r="A636" s="15"/>
      <c r="B636" s="15"/>
      <c r="C636" s="15"/>
      <c r="D636" s="15"/>
      <c r="E636" s="15"/>
      <c r="F636" s="15"/>
      <c r="G636" s="15"/>
      <c r="H636" s="15"/>
      <c r="I636" s="45"/>
      <c r="J636" s="47"/>
      <c r="K636" s="20"/>
      <c r="L636" s="20"/>
      <c r="M636" s="20"/>
      <c r="N636" s="20"/>
      <c r="O636" s="20"/>
      <c r="P636" s="20"/>
      <c r="Q636" s="20"/>
      <c r="R636" s="20"/>
      <c r="S636" s="20"/>
      <c r="T636" s="20"/>
      <c r="U636" s="20"/>
      <c r="V636" s="20"/>
      <c r="W636" s="20"/>
      <c r="X636" s="20"/>
      <c r="Y636" s="20"/>
      <c r="Z636" s="20"/>
    </row>
    <row r="637" spans="1:26" ht="17.25" customHeight="1">
      <c r="A637" s="15"/>
      <c r="B637" s="15"/>
      <c r="C637" s="15"/>
      <c r="D637" s="15"/>
      <c r="E637" s="15"/>
      <c r="F637" s="15"/>
      <c r="G637" s="15"/>
      <c r="H637" s="15"/>
      <c r="I637" s="45"/>
      <c r="J637" s="47"/>
      <c r="K637" s="20"/>
      <c r="L637" s="20"/>
      <c r="M637" s="20"/>
      <c r="N637" s="20"/>
      <c r="O637" s="20"/>
      <c r="P637" s="20"/>
      <c r="Q637" s="20"/>
      <c r="R637" s="20"/>
      <c r="S637" s="20"/>
      <c r="T637" s="20"/>
      <c r="U637" s="20"/>
      <c r="V637" s="20"/>
      <c r="W637" s="20"/>
      <c r="X637" s="20"/>
      <c r="Y637" s="20"/>
      <c r="Z637" s="20"/>
    </row>
    <row r="638" spans="1:26" ht="17.25" customHeight="1">
      <c r="A638" s="15"/>
      <c r="B638" s="15"/>
      <c r="C638" s="15"/>
      <c r="D638" s="15"/>
      <c r="E638" s="15"/>
      <c r="F638" s="15"/>
      <c r="G638" s="15"/>
      <c r="H638" s="15"/>
      <c r="I638" s="45"/>
      <c r="J638" s="47"/>
      <c r="K638" s="20"/>
      <c r="L638" s="20"/>
      <c r="M638" s="20"/>
      <c r="N638" s="20"/>
      <c r="O638" s="20"/>
      <c r="P638" s="20"/>
      <c r="Q638" s="20"/>
      <c r="R638" s="20"/>
      <c r="S638" s="20"/>
      <c r="T638" s="20"/>
      <c r="U638" s="20"/>
      <c r="V638" s="20"/>
      <c r="W638" s="20"/>
      <c r="X638" s="20"/>
      <c r="Y638" s="20"/>
      <c r="Z638" s="20"/>
    </row>
    <row r="639" spans="1:26" ht="17.25" customHeight="1">
      <c r="A639" s="15"/>
      <c r="B639" s="15"/>
      <c r="C639" s="15"/>
      <c r="D639" s="15"/>
      <c r="E639" s="15"/>
      <c r="F639" s="15"/>
      <c r="G639" s="15"/>
      <c r="H639" s="15"/>
      <c r="I639" s="45"/>
      <c r="J639" s="47"/>
      <c r="K639" s="20"/>
      <c r="L639" s="20"/>
      <c r="M639" s="20"/>
      <c r="N639" s="20"/>
      <c r="O639" s="20"/>
      <c r="P639" s="20"/>
      <c r="Q639" s="20"/>
      <c r="R639" s="20"/>
      <c r="S639" s="20"/>
      <c r="T639" s="20"/>
      <c r="U639" s="20"/>
      <c r="V639" s="20"/>
      <c r="W639" s="20"/>
      <c r="X639" s="20"/>
      <c r="Y639" s="20"/>
      <c r="Z639" s="20"/>
    </row>
    <row r="640" spans="1:26" ht="17.25" customHeight="1">
      <c r="A640" s="15"/>
      <c r="B640" s="15"/>
      <c r="C640" s="15"/>
      <c r="D640" s="15"/>
      <c r="E640" s="15"/>
      <c r="F640" s="15"/>
      <c r="G640" s="15"/>
      <c r="H640" s="15"/>
      <c r="I640" s="45"/>
      <c r="J640" s="47"/>
      <c r="K640" s="20"/>
      <c r="L640" s="20"/>
      <c r="M640" s="20"/>
      <c r="N640" s="20"/>
      <c r="O640" s="20"/>
      <c r="P640" s="20"/>
      <c r="Q640" s="20"/>
      <c r="R640" s="20"/>
      <c r="S640" s="20"/>
      <c r="T640" s="20"/>
      <c r="U640" s="20"/>
      <c r="V640" s="20"/>
      <c r="W640" s="20"/>
      <c r="X640" s="20"/>
      <c r="Y640" s="20"/>
      <c r="Z640" s="20"/>
    </row>
    <row r="641" spans="1:26" ht="17.25" customHeight="1">
      <c r="A641" s="15"/>
      <c r="B641" s="15"/>
      <c r="C641" s="15"/>
      <c r="D641" s="15"/>
      <c r="E641" s="15"/>
      <c r="F641" s="15"/>
      <c r="G641" s="15"/>
      <c r="H641" s="15"/>
      <c r="I641" s="45"/>
      <c r="J641" s="47"/>
      <c r="K641" s="20"/>
      <c r="L641" s="20"/>
      <c r="M641" s="20"/>
      <c r="N641" s="20"/>
      <c r="O641" s="20"/>
      <c r="P641" s="20"/>
      <c r="Q641" s="20"/>
      <c r="R641" s="20"/>
      <c r="S641" s="20"/>
      <c r="T641" s="20"/>
      <c r="U641" s="20"/>
      <c r="V641" s="20"/>
      <c r="W641" s="20"/>
      <c r="X641" s="20"/>
      <c r="Y641" s="20"/>
      <c r="Z641" s="20"/>
    </row>
    <row r="642" spans="1:26" ht="17.25" customHeight="1">
      <c r="A642" s="15"/>
      <c r="B642" s="15"/>
      <c r="C642" s="15"/>
      <c r="D642" s="15"/>
      <c r="E642" s="15"/>
      <c r="F642" s="15"/>
      <c r="G642" s="15"/>
      <c r="H642" s="15"/>
      <c r="I642" s="45"/>
      <c r="J642" s="47"/>
      <c r="K642" s="20"/>
      <c r="L642" s="20"/>
      <c r="M642" s="20"/>
      <c r="N642" s="20"/>
      <c r="O642" s="20"/>
      <c r="P642" s="20"/>
      <c r="Q642" s="20"/>
      <c r="R642" s="20"/>
      <c r="S642" s="20"/>
      <c r="T642" s="20"/>
      <c r="U642" s="20"/>
      <c r="V642" s="20"/>
      <c r="W642" s="20"/>
      <c r="X642" s="20"/>
      <c r="Y642" s="20"/>
      <c r="Z642" s="20"/>
    </row>
    <row r="643" spans="1:26" ht="17.25" customHeight="1">
      <c r="A643" s="15"/>
      <c r="B643" s="15"/>
      <c r="C643" s="15"/>
      <c r="D643" s="15"/>
      <c r="E643" s="15"/>
      <c r="F643" s="15"/>
      <c r="G643" s="15"/>
      <c r="H643" s="15"/>
      <c r="I643" s="45"/>
      <c r="J643" s="47"/>
      <c r="K643" s="20"/>
      <c r="L643" s="20"/>
      <c r="M643" s="20"/>
      <c r="N643" s="20"/>
      <c r="O643" s="20"/>
      <c r="P643" s="20"/>
      <c r="Q643" s="20"/>
      <c r="R643" s="20"/>
      <c r="S643" s="20"/>
      <c r="T643" s="20"/>
      <c r="U643" s="20"/>
      <c r="V643" s="20"/>
      <c r="W643" s="20"/>
      <c r="X643" s="20"/>
      <c r="Y643" s="20"/>
      <c r="Z643" s="20"/>
    </row>
    <row r="644" spans="1:26" ht="17.25" customHeight="1">
      <c r="A644" s="15"/>
      <c r="B644" s="15"/>
      <c r="C644" s="15"/>
      <c r="D644" s="15"/>
      <c r="E644" s="15"/>
      <c r="F644" s="15"/>
      <c r="G644" s="15"/>
      <c r="H644" s="15"/>
      <c r="I644" s="45"/>
      <c r="J644" s="47"/>
      <c r="K644" s="20"/>
      <c r="L644" s="20"/>
      <c r="M644" s="20"/>
      <c r="N644" s="20"/>
      <c r="O644" s="20"/>
      <c r="P644" s="20"/>
      <c r="Q644" s="20"/>
      <c r="R644" s="20"/>
      <c r="S644" s="20"/>
      <c r="T644" s="20"/>
      <c r="U644" s="20"/>
      <c r="V644" s="20"/>
      <c r="W644" s="20"/>
      <c r="X644" s="20"/>
      <c r="Y644" s="20"/>
      <c r="Z644" s="20"/>
    </row>
    <row r="645" spans="1:26" ht="17.25" customHeight="1">
      <c r="A645" s="15"/>
      <c r="B645" s="15"/>
      <c r="C645" s="15"/>
      <c r="D645" s="15"/>
      <c r="E645" s="15"/>
      <c r="F645" s="15"/>
      <c r="G645" s="15"/>
      <c r="H645" s="15"/>
      <c r="I645" s="45"/>
      <c r="J645" s="47"/>
      <c r="K645" s="20"/>
      <c r="L645" s="20"/>
      <c r="M645" s="20"/>
      <c r="N645" s="20"/>
      <c r="O645" s="20"/>
      <c r="P645" s="20"/>
      <c r="Q645" s="20"/>
      <c r="R645" s="20"/>
      <c r="S645" s="20"/>
      <c r="T645" s="20"/>
      <c r="U645" s="20"/>
      <c r="V645" s="20"/>
      <c r="W645" s="20"/>
      <c r="X645" s="20"/>
      <c r="Y645" s="20"/>
      <c r="Z645" s="20"/>
    </row>
    <row r="646" spans="1:26" ht="17.25" customHeight="1">
      <c r="A646" s="15"/>
      <c r="B646" s="15"/>
      <c r="C646" s="15"/>
      <c r="D646" s="15"/>
      <c r="E646" s="15"/>
      <c r="F646" s="15"/>
      <c r="G646" s="15"/>
      <c r="H646" s="15"/>
      <c r="I646" s="45"/>
      <c r="J646" s="47"/>
      <c r="K646" s="20"/>
      <c r="L646" s="20"/>
      <c r="M646" s="20"/>
      <c r="N646" s="20"/>
      <c r="O646" s="20"/>
      <c r="P646" s="20"/>
      <c r="Q646" s="20"/>
      <c r="R646" s="20"/>
      <c r="S646" s="20"/>
      <c r="T646" s="20"/>
      <c r="U646" s="20"/>
      <c r="V646" s="20"/>
      <c r="W646" s="20"/>
      <c r="X646" s="20"/>
      <c r="Y646" s="20"/>
      <c r="Z646" s="20"/>
    </row>
    <row r="647" spans="1:26" ht="17.25" customHeight="1">
      <c r="A647" s="15"/>
      <c r="B647" s="15"/>
      <c r="C647" s="15"/>
      <c r="D647" s="15"/>
      <c r="E647" s="15"/>
      <c r="F647" s="15"/>
      <c r="G647" s="15"/>
      <c r="H647" s="15"/>
      <c r="I647" s="45"/>
      <c r="J647" s="47"/>
      <c r="K647" s="20"/>
      <c r="L647" s="20"/>
      <c r="M647" s="20"/>
      <c r="N647" s="20"/>
      <c r="O647" s="20"/>
      <c r="P647" s="20"/>
      <c r="Q647" s="20"/>
      <c r="R647" s="20"/>
      <c r="S647" s="20"/>
      <c r="T647" s="20"/>
      <c r="U647" s="20"/>
      <c r="V647" s="20"/>
      <c r="W647" s="20"/>
      <c r="X647" s="20"/>
      <c r="Y647" s="20"/>
      <c r="Z647" s="20"/>
    </row>
    <row r="648" spans="1:26" ht="17.25" customHeight="1">
      <c r="A648" s="15"/>
      <c r="B648" s="15"/>
      <c r="C648" s="15"/>
      <c r="D648" s="15"/>
      <c r="E648" s="15"/>
      <c r="F648" s="15"/>
      <c r="G648" s="15"/>
      <c r="H648" s="15"/>
      <c r="I648" s="45"/>
      <c r="J648" s="47"/>
      <c r="K648" s="20"/>
      <c r="L648" s="20"/>
      <c r="M648" s="20"/>
      <c r="N648" s="20"/>
      <c r="O648" s="20"/>
      <c r="P648" s="20"/>
      <c r="Q648" s="20"/>
      <c r="R648" s="20"/>
      <c r="S648" s="20"/>
      <c r="T648" s="20"/>
      <c r="U648" s="20"/>
      <c r="V648" s="20"/>
      <c r="W648" s="20"/>
      <c r="X648" s="20"/>
      <c r="Y648" s="20"/>
      <c r="Z648" s="20"/>
    </row>
    <row r="649" spans="1:26" ht="17.25" customHeight="1">
      <c r="A649" s="15"/>
      <c r="B649" s="15"/>
      <c r="C649" s="15"/>
      <c r="D649" s="15"/>
      <c r="E649" s="15"/>
      <c r="F649" s="15"/>
      <c r="G649" s="15"/>
      <c r="H649" s="15"/>
      <c r="I649" s="45"/>
      <c r="J649" s="47"/>
      <c r="K649" s="20"/>
      <c r="L649" s="20"/>
      <c r="M649" s="20"/>
      <c r="N649" s="20"/>
      <c r="O649" s="20"/>
      <c r="P649" s="20"/>
      <c r="Q649" s="20"/>
      <c r="R649" s="20"/>
      <c r="S649" s="20"/>
      <c r="T649" s="20"/>
      <c r="U649" s="20"/>
      <c r="V649" s="20"/>
      <c r="W649" s="20"/>
      <c r="X649" s="20"/>
      <c r="Y649" s="20"/>
      <c r="Z649" s="20"/>
    </row>
    <row r="650" spans="1:26" ht="17.25" customHeight="1">
      <c r="A650" s="15"/>
      <c r="B650" s="15"/>
      <c r="C650" s="15"/>
      <c r="D650" s="15"/>
      <c r="E650" s="15"/>
      <c r="F650" s="15"/>
      <c r="G650" s="15"/>
      <c r="H650" s="15"/>
      <c r="I650" s="45"/>
      <c r="J650" s="47"/>
      <c r="K650" s="20"/>
      <c r="L650" s="20"/>
      <c r="M650" s="20"/>
      <c r="N650" s="20"/>
      <c r="O650" s="20"/>
      <c r="P650" s="20"/>
      <c r="Q650" s="20"/>
      <c r="R650" s="20"/>
      <c r="S650" s="20"/>
      <c r="T650" s="20"/>
      <c r="U650" s="20"/>
      <c r="V650" s="20"/>
      <c r="W650" s="20"/>
      <c r="X650" s="20"/>
      <c r="Y650" s="20"/>
      <c r="Z650" s="20"/>
    </row>
    <row r="651" spans="1:26" ht="17.25" customHeight="1">
      <c r="A651" s="15"/>
      <c r="B651" s="15"/>
      <c r="C651" s="15"/>
      <c r="D651" s="15"/>
      <c r="E651" s="15"/>
      <c r="F651" s="15"/>
      <c r="G651" s="15"/>
      <c r="H651" s="15"/>
      <c r="I651" s="45"/>
      <c r="J651" s="47"/>
      <c r="K651" s="20"/>
      <c r="L651" s="20"/>
      <c r="M651" s="20"/>
      <c r="N651" s="20"/>
      <c r="O651" s="20"/>
      <c r="P651" s="20"/>
      <c r="Q651" s="20"/>
      <c r="R651" s="20"/>
      <c r="S651" s="20"/>
      <c r="T651" s="20"/>
      <c r="U651" s="20"/>
      <c r="V651" s="20"/>
      <c r="W651" s="20"/>
      <c r="X651" s="20"/>
      <c r="Y651" s="20"/>
      <c r="Z651" s="20"/>
    </row>
    <row r="652" spans="1:26" ht="17.25" customHeight="1">
      <c r="A652" s="15"/>
      <c r="B652" s="15"/>
      <c r="C652" s="15"/>
      <c r="D652" s="15"/>
      <c r="E652" s="15"/>
      <c r="F652" s="15"/>
      <c r="G652" s="15"/>
      <c r="H652" s="15"/>
      <c r="I652" s="45"/>
      <c r="J652" s="47"/>
      <c r="K652" s="20"/>
      <c r="L652" s="20"/>
      <c r="M652" s="20"/>
      <c r="N652" s="20"/>
      <c r="O652" s="20"/>
      <c r="P652" s="20"/>
      <c r="Q652" s="20"/>
      <c r="R652" s="20"/>
      <c r="S652" s="20"/>
      <c r="T652" s="20"/>
      <c r="U652" s="20"/>
      <c r="V652" s="20"/>
      <c r="W652" s="20"/>
      <c r="X652" s="20"/>
      <c r="Y652" s="20"/>
      <c r="Z652" s="20"/>
    </row>
    <row r="653" spans="1:26" ht="17.25" customHeight="1">
      <c r="A653" s="15"/>
      <c r="B653" s="15"/>
      <c r="C653" s="15"/>
      <c r="D653" s="15"/>
      <c r="E653" s="15"/>
      <c r="F653" s="15"/>
      <c r="G653" s="15"/>
      <c r="H653" s="15"/>
      <c r="I653" s="45"/>
      <c r="J653" s="47"/>
      <c r="K653" s="20"/>
      <c r="L653" s="20"/>
      <c r="M653" s="20"/>
      <c r="N653" s="20"/>
      <c r="O653" s="20"/>
      <c r="P653" s="20"/>
      <c r="Q653" s="20"/>
      <c r="R653" s="20"/>
      <c r="S653" s="20"/>
      <c r="T653" s="20"/>
      <c r="U653" s="20"/>
      <c r="V653" s="20"/>
      <c r="W653" s="20"/>
      <c r="X653" s="20"/>
      <c r="Y653" s="20"/>
      <c r="Z653" s="20"/>
    </row>
    <row r="654" spans="1:26" ht="17.25" customHeight="1">
      <c r="A654" s="15"/>
      <c r="B654" s="15"/>
      <c r="C654" s="15"/>
      <c r="D654" s="15"/>
      <c r="E654" s="15"/>
      <c r="F654" s="15"/>
      <c r="G654" s="15"/>
      <c r="H654" s="15"/>
      <c r="I654" s="45"/>
      <c r="J654" s="47"/>
      <c r="K654" s="20"/>
      <c r="L654" s="20"/>
      <c r="M654" s="20"/>
      <c r="N654" s="20"/>
      <c r="O654" s="20"/>
      <c r="P654" s="20"/>
      <c r="Q654" s="20"/>
      <c r="R654" s="20"/>
      <c r="S654" s="20"/>
      <c r="T654" s="20"/>
      <c r="U654" s="20"/>
      <c r="V654" s="20"/>
      <c r="W654" s="20"/>
      <c r="X654" s="20"/>
      <c r="Y654" s="20"/>
      <c r="Z654" s="20"/>
    </row>
    <row r="655" spans="1:26" ht="17.25" customHeight="1">
      <c r="A655" s="15"/>
      <c r="B655" s="15"/>
      <c r="C655" s="15"/>
      <c r="D655" s="15"/>
      <c r="E655" s="15"/>
      <c r="F655" s="15"/>
      <c r="G655" s="15"/>
      <c r="H655" s="15"/>
      <c r="I655" s="45"/>
      <c r="J655" s="47"/>
      <c r="K655" s="20"/>
      <c r="L655" s="20"/>
      <c r="M655" s="20"/>
      <c r="N655" s="20"/>
      <c r="O655" s="20"/>
      <c r="P655" s="20"/>
      <c r="Q655" s="20"/>
      <c r="R655" s="20"/>
      <c r="S655" s="20"/>
      <c r="T655" s="20"/>
      <c r="U655" s="20"/>
      <c r="V655" s="20"/>
      <c r="W655" s="20"/>
      <c r="X655" s="20"/>
      <c r="Y655" s="20"/>
      <c r="Z655" s="20"/>
    </row>
    <row r="656" spans="1:26" ht="17.25" customHeight="1">
      <c r="A656" s="15"/>
      <c r="B656" s="15"/>
      <c r="C656" s="15"/>
      <c r="D656" s="15"/>
      <c r="E656" s="15"/>
      <c r="F656" s="15"/>
      <c r="G656" s="15"/>
      <c r="H656" s="15"/>
      <c r="I656" s="45"/>
      <c r="J656" s="47"/>
      <c r="K656" s="20"/>
      <c r="L656" s="20"/>
      <c r="M656" s="20"/>
      <c r="N656" s="20"/>
      <c r="O656" s="20"/>
      <c r="P656" s="20"/>
      <c r="Q656" s="20"/>
      <c r="R656" s="20"/>
      <c r="S656" s="20"/>
      <c r="T656" s="20"/>
      <c r="U656" s="20"/>
      <c r="V656" s="20"/>
      <c r="W656" s="20"/>
      <c r="X656" s="20"/>
      <c r="Y656" s="20"/>
      <c r="Z656" s="20"/>
    </row>
    <row r="657" spans="1:26" ht="17.25" customHeight="1">
      <c r="A657" s="15"/>
      <c r="B657" s="15"/>
      <c r="C657" s="15"/>
      <c r="D657" s="15"/>
      <c r="E657" s="15"/>
      <c r="F657" s="15"/>
      <c r="G657" s="15"/>
      <c r="H657" s="15"/>
      <c r="I657" s="45"/>
      <c r="J657" s="47"/>
      <c r="K657" s="20"/>
      <c r="L657" s="20"/>
      <c r="M657" s="20"/>
      <c r="N657" s="20"/>
      <c r="O657" s="20"/>
      <c r="P657" s="20"/>
      <c r="Q657" s="20"/>
      <c r="R657" s="20"/>
      <c r="S657" s="20"/>
      <c r="T657" s="20"/>
      <c r="U657" s="20"/>
      <c r="V657" s="20"/>
      <c r="W657" s="20"/>
      <c r="X657" s="20"/>
      <c r="Y657" s="20"/>
      <c r="Z657" s="20"/>
    </row>
    <row r="658" spans="1:26" ht="17.25" customHeight="1">
      <c r="A658" s="15"/>
      <c r="B658" s="15"/>
      <c r="C658" s="15"/>
      <c r="D658" s="15"/>
      <c r="E658" s="15"/>
      <c r="F658" s="15"/>
      <c r="G658" s="15"/>
      <c r="H658" s="15"/>
      <c r="I658" s="45"/>
      <c r="J658" s="47"/>
      <c r="K658" s="20"/>
      <c r="L658" s="20"/>
      <c r="M658" s="20"/>
      <c r="N658" s="20"/>
      <c r="O658" s="20"/>
      <c r="P658" s="20"/>
      <c r="Q658" s="20"/>
      <c r="R658" s="20"/>
      <c r="S658" s="20"/>
      <c r="T658" s="20"/>
      <c r="U658" s="20"/>
      <c r="V658" s="20"/>
      <c r="W658" s="20"/>
      <c r="X658" s="20"/>
      <c r="Y658" s="20"/>
      <c r="Z658" s="20"/>
    </row>
    <row r="659" spans="1:26" ht="17.25" customHeight="1">
      <c r="A659" s="15"/>
      <c r="B659" s="15"/>
      <c r="C659" s="15"/>
      <c r="D659" s="15"/>
      <c r="E659" s="15"/>
      <c r="F659" s="15"/>
      <c r="G659" s="15"/>
      <c r="H659" s="15"/>
      <c r="I659" s="45"/>
      <c r="J659" s="47"/>
      <c r="K659" s="20"/>
      <c r="L659" s="20"/>
      <c r="M659" s="20"/>
      <c r="N659" s="20"/>
      <c r="O659" s="20"/>
      <c r="P659" s="20"/>
      <c r="Q659" s="20"/>
      <c r="R659" s="20"/>
      <c r="S659" s="20"/>
      <c r="T659" s="20"/>
      <c r="U659" s="20"/>
      <c r="V659" s="20"/>
      <c r="W659" s="20"/>
      <c r="X659" s="20"/>
      <c r="Y659" s="20"/>
      <c r="Z659" s="20"/>
    </row>
    <row r="660" spans="1:26" ht="17.25" customHeight="1">
      <c r="A660" s="15"/>
      <c r="B660" s="15"/>
      <c r="C660" s="15"/>
      <c r="D660" s="15"/>
      <c r="E660" s="15"/>
      <c r="F660" s="15"/>
      <c r="G660" s="15"/>
      <c r="H660" s="15"/>
      <c r="I660" s="45"/>
      <c r="J660" s="47"/>
      <c r="K660" s="20"/>
      <c r="L660" s="20"/>
      <c r="M660" s="20"/>
      <c r="N660" s="20"/>
      <c r="O660" s="20"/>
      <c r="P660" s="20"/>
      <c r="Q660" s="20"/>
      <c r="R660" s="20"/>
      <c r="S660" s="20"/>
      <c r="T660" s="20"/>
      <c r="U660" s="20"/>
      <c r="V660" s="20"/>
      <c r="W660" s="20"/>
      <c r="X660" s="20"/>
      <c r="Y660" s="20"/>
      <c r="Z660" s="20"/>
    </row>
    <row r="661" spans="1:26" ht="17.25" customHeight="1">
      <c r="A661" s="15"/>
      <c r="B661" s="15"/>
      <c r="C661" s="15"/>
      <c r="D661" s="15"/>
      <c r="E661" s="15"/>
      <c r="F661" s="15"/>
      <c r="G661" s="15"/>
      <c r="H661" s="15"/>
      <c r="I661" s="45"/>
      <c r="J661" s="47"/>
      <c r="K661" s="20"/>
      <c r="L661" s="20"/>
      <c r="M661" s="20"/>
      <c r="N661" s="20"/>
      <c r="O661" s="20"/>
      <c r="P661" s="20"/>
      <c r="Q661" s="20"/>
      <c r="R661" s="20"/>
      <c r="S661" s="20"/>
      <c r="T661" s="20"/>
      <c r="U661" s="20"/>
      <c r="V661" s="20"/>
      <c r="W661" s="20"/>
      <c r="X661" s="20"/>
      <c r="Y661" s="20"/>
      <c r="Z661" s="20"/>
    </row>
    <row r="662" spans="1:26" ht="17.25" customHeight="1">
      <c r="A662" s="15"/>
      <c r="B662" s="15"/>
      <c r="C662" s="15"/>
      <c r="D662" s="15"/>
      <c r="E662" s="15"/>
      <c r="F662" s="15"/>
      <c r="G662" s="15"/>
      <c r="H662" s="15"/>
      <c r="I662" s="45"/>
      <c r="J662" s="47"/>
      <c r="K662" s="20"/>
      <c r="L662" s="20"/>
      <c r="M662" s="20"/>
      <c r="N662" s="20"/>
      <c r="O662" s="20"/>
      <c r="P662" s="20"/>
      <c r="Q662" s="20"/>
      <c r="R662" s="20"/>
      <c r="S662" s="20"/>
      <c r="T662" s="20"/>
      <c r="U662" s="20"/>
      <c r="V662" s="20"/>
      <c r="W662" s="20"/>
      <c r="X662" s="20"/>
      <c r="Y662" s="20"/>
      <c r="Z662" s="20"/>
    </row>
    <row r="663" spans="1:26" ht="17.25" customHeight="1">
      <c r="A663" s="15"/>
      <c r="B663" s="15"/>
      <c r="C663" s="15"/>
      <c r="D663" s="15"/>
      <c r="E663" s="15"/>
      <c r="F663" s="15"/>
      <c r="G663" s="15"/>
      <c r="H663" s="15"/>
      <c r="I663" s="45"/>
      <c r="J663" s="47"/>
      <c r="K663" s="20"/>
      <c r="L663" s="20"/>
      <c r="M663" s="20"/>
      <c r="N663" s="20"/>
      <c r="O663" s="20"/>
      <c r="P663" s="20"/>
      <c r="Q663" s="20"/>
      <c r="R663" s="20"/>
      <c r="S663" s="20"/>
      <c r="T663" s="20"/>
      <c r="U663" s="20"/>
      <c r="V663" s="20"/>
      <c r="W663" s="20"/>
      <c r="X663" s="20"/>
      <c r="Y663" s="20"/>
      <c r="Z663" s="20"/>
    </row>
    <row r="664" spans="1:26" ht="17.25" customHeight="1">
      <c r="A664" s="15"/>
      <c r="B664" s="15"/>
      <c r="C664" s="15"/>
      <c r="D664" s="15"/>
      <c r="E664" s="15"/>
      <c r="F664" s="15"/>
      <c r="G664" s="15"/>
      <c r="H664" s="15"/>
      <c r="I664" s="45"/>
      <c r="J664" s="47"/>
      <c r="K664" s="20"/>
      <c r="L664" s="20"/>
      <c r="M664" s="20"/>
      <c r="N664" s="20"/>
      <c r="O664" s="20"/>
      <c r="P664" s="20"/>
      <c r="Q664" s="20"/>
      <c r="R664" s="20"/>
      <c r="S664" s="20"/>
      <c r="T664" s="20"/>
      <c r="U664" s="20"/>
      <c r="V664" s="20"/>
      <c r="W664" s="20"/>
      <c r="X664" s="20"/>
      <c r="Y664" s="20"/>
      <c r="Z664" s="20"/>
    </row>
    <row r="665" spans="1:26" ht="17.25" customHeight="1">
      <c r="A665" s="15"/>
      <c r="B665" s="15"/>
      <c r="C665" s="15"/>
      <c r="D665" s="15"/>
      <c r="E665" s="15"/>
      <c r="F665" s="15"/>
      <c r="G665" s="15"/>
      <c r="H665" s="15"/>
      <c r="I665" s="45"/>
      <c r="J665" s="47"/>
      <c r="K665" s="20"/>
      <c r="L665" s="20"/>
      <c r="M665" s="20"/>
      <c r="N665" s="20"/>
      <c r="O665" s="20"/>
      <c r="P665" s="20"/>
      <c r="Q665" s="20"/>
      <c r="R665" s="20"/>
      <c r="S665" s="20"/>
      <c r="T665" s="20"/>
      <c r="U665" s="20"/>
      <c r="V665" s="20"/>
      <c r="W665" s="20"/>
      <c r="X665" s="20"/>
      <c r="Y665" s="20"/>
      <c r="Z665" s="20"/>
    </row>
    <row r="666" spans="1:26" ht="17.25" customHeight="1">
      <c r="A666" s="15"/>
      <c r="B666" s="15"/>
      <c r="C666" s="15"/>
      <c r="D666" s="15"/>
      <c r="E666" s="15"/>
      <c r="F666" s="15"/>
      <c r="G666" s="15"/>
      <c r="H666" s="15"/>
      <c r="I666" s="45"/>
      <c r="J666" s="47"/>
      <c r="K666" s="20"/>
      <c r="L666" s="20"/>
      <c r="M666" s="20"/>
      <c r="N666" s="20"/>
      <c r="O666" s="20"/>
      <c r="P666" s="20"/>
      <c r="Q666" s="20"/>
      <c r="R666" s="20"/>
      <c r="S666" s="20"/>
      <c r="T666" s="20"/>
      <c r="U666" s="20"/>
      <c r="V666" s="20"/>
      <c r="W666" s="20"/>
      <c r="X666" s="20"/>
      <c r="Y666" s="20"/>
      <c r="Z666" s="20"/>
    </row>
    <row r="667" spans="1:26" ht="17.25" customHeight="1">
      <c r="A667" s="15"/>
      <c r="B667" s="15"/>
      <c r="C667" s="15"/>
      <c r="D667" s="15"/>
      <c r="E667" s="15"/>
      <c r="F667" s="15"/>
      <c r="G667" s="15"/>
      <c r="H667" s="15"/>
      <c r="I667" s="45"/>
      <c r="J667" s="47"/>
      <c r="K667" s="20"/>
      <c r="L667" s="20"/>
      <c r="M667" s="20"/>
      <c r="N667" s="20"/>
      <c r="O667" s="20"/>
      <c r="P667" s="20"/>
      <c r="Q667" s="20"/>
      <c r="R667" s="20"/>
      <c r="S667" s="20"/>
      <c r="T667" s="20"/>
      <c r="U667" s="20"/>
      <c r="V667" s="20"/>
      <c r="W667" s="20"/>
      <c r="X667" s="20"/>
      <c r="Y667" s="20"/>
      <c r="Z667" s="20"/>
    </row>
    <row r="668" spans="1:26" ht="17.25" customHeight="1">
      <c r="A668" s="15"/>
      <c r="B668" s="15"/>
      <c r="C668" s="15"/>
      <c r="D668" s="15"/>
      <c r="E668" s="15"/>
      <c r="F668" s="15"/>
      <c r="G668" s="15"/>
      <c r="H668" s="15"/>
      <c r="I668" s="45"/>
      <c r="J668" s="47"/>
      <c r="K668" s="20"/>
      <c r="L668" s="20"/>
      <c r="M668" s="20"/>
      <c r="N668" s="20"/>
      <c r="O668" s="20"/>
      <c r="P668" s="20"/>
      <c r="Q668" s="20"/>
      <c r="R668" s="20"/>
      <c r="S668" s="20"/>
      <c r="T668" s="20"/>
      <c r="U668" s="20"/>
      <c r="V668" s="20"/>
      <c r="W668" s="20"/>
      <c r="X668" s="20"/>
      <c r="Y668" s="20"/>
      <c r="Z668" s="20"/>
    </row>
    <row r="669" spans="1:26" ht="17.25" customHeight="1">
      <c r="A669" s="15"/>
      <c r="B669" s="15"/>
      <c r="C669" s="15"/>
      <c r="D669" s="15"/>
      <c r="E669" s="15"/>
      <c r="F669" s="15"/>
      <c r="G669" s="15"/>
      <c r="H669" s="15"/>
      <c r="I669" s="45"/>
      <c r="J669" s="47"/>
      <c r="K669" s="20"/>
      <c r="L669" s="20"/>
      <c r="M669" s="20"/>
      <c r="N669" s="20"/>
      <c r="O669" s="20"/>
      <c r="P669" s="20"/>
      <c r="Q669" s="20"/>
      <c r="R669" s="20"/>
      <c r="S669" s="20"/>
      <c r="T669" s="20"/>
      <c r="U669" s="20"/>
      <c r="V669" s="20"/>
      <c r="W669" s="20"/>
      <c r="X669" s="20"/>
      <c r="Y669" s="20"/>
      <c r="Z669" s="20"/>
    </row>
    <row r="670" spans="1:26" ht="17.25" customHeight="1">
      <c r="A670" s="15"/>
      <c r="B670" s="15"/>
      <c r="C670" s="15"/>
      <c r="D670" s="15"/>
      <c r="E670" s="15"/>
      <c r="F670" s="15"/>
      <c r="G670" s="15"/>
      <c r="H670" s="15"/>
      <c r="I670" s="45"/>
      <c r="J670" s="47"/>
      <c r="K670" s="20"/>
      <c r="L670" s="20"/>
      <c r="M670" s="20"/>
      <c r="N670" s="20"/>
      <c r="O670" s="20"/>
      <c r="P670" s="20"/>
      <c r="Q670" s="20"/>
      <c r="R670" s="20"/>
      <c r="S670" s="20"/>
      <c r="T670" s="20"/>
      <c r="U670" s="20"/>
      <c r="V670" s="20"/>
      <c r="W670" s="20"/>
      <c r="X670" s="20"/>
      <c r="Y670" s="20"/>
      <c r="Z670" s="20"/>
    </row>
    <row r="671" spans="1:26" ht="17.25" customHeight="1">
      <c r="A671" s="15"/>
      <c r="B671" s="15"/>
      <c r="C671" s="15"/>
      <c r="D671" s="15"/>
      <c r="E671" s="15"/>
      <c r="F671" s="15"/>
      <c r="G671" s="15"/>
      <c r="H671" s="15"/>
      <c r="I671" s="45"/>
      <c r="J671" s="47"/>
      <c r="K671" s="20"/>
      <c r="L671" s="20"/>
      <c r="M671" s="20"/>
      <c r="N671" s="20"/>
      <c r="O671" s="20"/>
      <c r="P671" s="20"/>
      <c r="Q671" s="20"/>
      <c r="R671" s="20"/>
      <c r="S671" s="20"/>
      <c r="T671" s="20"/>
      <c r="U671" s="20"/>
      <c r="V671" s="20"/>
      <c r="W671" s="20"/>
      <c r="X671" s="20"/>
      <c r="Y671" s="20"/>
      <c r="Z671" s="20"/>
    </row>
    <row r="672" spans="1:26" ht="17.25" customHeight="1">
      <c r="A672" s="15"/>
      <c r="B672" s="15"/>
      <c r="C672" s="15"/>
      <c r="D672" s="15"/>
      <c r="E672" s="15"/>
      <c r="F672" s="15"/>
      <c r="G672" s="15"/>
      <c r="H672" s="15"/>
      <c r="I672" s="45"/>
      <c r="J672" s="47"/>
      <c r="K672" s="20"/>
      <c r="L672" s="20"/>
      <c r="M672" s="20"/>
      <c r="N672" s="20"/>
      <c r="O672" s="20"/>
      <c r="P672" s="20"/>
      <c r="Q672" s="20"/>
      <c r="R672" s="20"/>
      <c r="S672" s="20"/>
      <c r="T672" s="20"/>
      <c r="U672" s="20"/>
      <c r="V672" s="20"/>
      <c r="W672" s="20"/>
      <c r="X672" s="20"/>
      <c r="Y672" s="20"/>
      <c r="Z672" s="20"/>
    </row>
    <row r="673" spans="1:26" ht="17.25" customHeight="1">
      <c r="A673" s="15"/>
      <c r="B673" s="15"/>
      <c r="C673" s="15"/>
      <c r="D673" s="15"/>
      <c r="E673" s="15"/>
      <c r="F673" s="15"/>
      <c r="G673" s="15"/>
      <c r="H673" s="15"/>
      <c r="I673" s="45"/>
      <c r="J673" s="47"/>
      <c r="K673" s="20"/>
      <c r="L673" s="20"/>
      <c r="M673" s="20"/>
      <c r="N673" s="20"/>
      <c r="O673" s="20"/>
      <c r="P673" s="20"/>
      <c r="Q673" s="20"/>
      <c r="R673" s="20"/>
      <c r="S673" s="20"/>
      <c r="T673" s="20"/>
      <c r="U673" s="20"/>
      <c r="V673" s="20"/>
      <c r="W673" s="20"/>
      <c r="X673" s="20"/>
      <c r="Y673" s="20"/>
      <c r="Z673" s="20"/>
    </row>
    <row r="674" spans="1:26" ht="17.25" customHeight="1">
      <c r="A674" s="15"/>
      <c r="B674" s="15"/>
      <c r="C674" s="15"/>
      <c r="D674" s="15"/>
      <c r="E674" s="15"/>
      <c r="F674" s="15"/>
      <c r="G674" s="15"/>
      <c r="H674" s="15"/>
      <c r="I674" s="45"/>
      <c r="J674" s="47"/>
      <c r="K674" s="20"/>
      <c r="L674" s="20"/>
      <c r="M674" s="20"/>
      <c r="N674" s="20"/>
      <c r="O674" s="20"/>
      <c r="P674" s="20"/>
      <c r="Q674" s="20"/>
      <c r="R674" s="20"/>
      <c r="S674" s="20"/>
      <c r="T674" s="20"/>
      <c r="U674" s="20"/>
      <c r="V674" s="20"/>
      <c r="W674" s="20"/>
      <c r="X674" s="20"/>
      <c r="Y674" s="20"/>
      <c r="Z674" s="20"/>
    </row>
    <row r="675" spans="1:26" ht="17.25" customHeight="1">
      <c r="A675" s="15"/>
      <c r="B675" s="15"/>
      <c r="C675" s="15"/>
      <c r="D675" s="15"/>
      <c r="E675" s="15"/>
      <c r="F675" s="15"/>
      <c r="G675" s="15"/>
      <c r="H675" s="15"/>
      <c r="I675" s="45"/>
      <c r="J675" s="47"/>
      <c r="K675" s="20"/>
      <c r="L675" s="20"/>
      <c r="M675" s="20"/>
      <c r="N675" s="20"/>
      <c r="O675" s="20"/>
      <c r="P675" s="20"/>
      <c r="Q675" s="20"/>
      <c r="R675" s="20"/>
      <c r="S675" s="20"/>
      <c r="T675" s="20"/>
      <c r="U675" s="20"/>
      <c r="V675" s="20"/>
      <c r="W675" s="20"/>
      <c r="X675" s="20"/>
      <c r="Y675" s="20"/>
      <c r="Z675" s="20"/>
    </row>
    <row r="676" spans="1:26" ht="17.25" customHeight="1">
      <c r="A676" s="15"/>
      <c r="B676" s="15"/>
      <c r="C676" s="15"/>
      <c r="D676" s="15"/>
      <c r="E676" s="15"/>
      <c r="F676" s="15"/>
      <c r="G676" s="15"/>
      <c r="H676" s="15"/>
      <c r="I676" s="45"/>
      <c r="J676" s="47"/>
      <c r="K676" s="20"/>
      <c r="L676" s="20"/>
      <c r="M676" s="20"/>
      <c r="N676" s="20"/>
      <c r="O676" s="20"/>
      <c r="P676" s="20"/>
      <c r="Q676" s="20"/>
      <c r="R676" s="20"/>
      <c r="S676" s="20"/>
      <c r="T676" s="20"/>
      <c r="U676" s="20"/>
      <c r="V676" s="20"/>
      <c r="W676" s="20"/>
      <c r="X676" s="20"/>
      <c r="Y676" s="20"/>
      <c r="Z676" s="20"/>
    </row>
    <row r="677" spans="1:26" ht="17.25" customHeight="1">
      <c r="A677" s="15"/>
      <c r="B677" s="15"/>
      <c r="C677" s="15"/>
      <c r="D677" s="15"/>
      <c r="E677" s="15"/>
      <c r="F677" s="15"/>
      <c r="G677" s="15"/>
      <c r="H677" s="15"/>
      <c r="I677" s="45"/>
      <c r="J677" s="47"/>
      <c r="K677" s="20"/>
      <c r="L677" s="20"/>
      <c r="M677" s="20"/>
      <c r="N677" s="20"/>
      <c r="O677" s="20"/>
      <c r="P677" s="20"/>
      <c r="Q677" s="20"/>
      <c r="R677" s="20"/>
      <c r="S677" s="20"/>
      <c r="T677" s="20"/>
      <c r="U677" s="20"/>
      <c r="V677" s="20"/>
      <c r="W677" s="20"/>
      <c r="X677" s="20"/>
      <c r="Y677" s="20"/>
      <c r="Z677" s="20"/>
    </row>
    <row r="678" spans="1:26" ht="17.25" customHeight="1">
      <c r="A678" s="15"/>
      <c r="B678" s="15"/>
      <c r="C678" s="15"/>
      <c r="D678" s="15"/>
      <c r="E678" s="15"/>
      <c r="F678" s="15"/>
      <c r="G678" s="15"/>
      <c r="H678" s="15"/>
      <c r="I678" s="45"/>
      <c r="J678" s="47"/>
      <c r="K678" s="20"/>
      <c r="L678" s="20"/>
      <c r="M678" s="20"/>
      <c r="N678" s="20"/>
      <c r="O678" s="20"/>
      <c r="P678" s="20"/>
      <c r="Q678" s="20"/>
      <c r="R678" s="20"/>
      <c r="S678" s="20"/>
      <c r="T678" s="20"/>
      <c r="U678" s="20"/>
      <c r="V678" s="20"/>
      <c r="W678" s="20"/>
      <c r="X678" s="20"/>
      <c r="Y678" s="20"/>
      <c r="Z678" s="20"/>
    </row>
    <row r="679" spans="1:26" ht="17.25" customHeight="1">
      <c r="A679" s="15"/>
      <c r="B679" s="15"/>
      <c r="C679" s="15"/>
      <c r="D679" s="15"/>
      <c r="E679" s="15"/>
      <c r="F679" s="15"/>
      <c r="G679" s="15"/>
      <c r="H679" s="15"/>
      <c r="I679" s="45"/>
      <c r="J679" s="47"/>
      <c r="K679" s="20"/>
      <c r="L679" s="20"/>
      <c r="M679" s="20"/>
      <c r="N679" s="20"/>
      <c r="O679" s="20"/>
      <c r="P679" s="20"/>
      <c r="Q679" s="20"/>
      <c r="R679" s="20"/>
      <c r="S679" s="20"/>
      <c r="T679" s="20"/>
      <c r="U679" s="20"/>
      <c r="V679" s="20"/>
      <c r="W679" s="20"/>
      <c r="X679" s="20"/>
      <c r="Y679" s="20"/>
      <c r="Z679" s="20"/>
    </row>
    <row r="680" spans="1:26" ht="17.25" customHeight="1">
      <c r="A680" s="15"/>
      <c r="B680" s="15"/>
      <c r="C680" s="15"/>
      <c r="D680" s="15"/>
      <c r="E680" s="15"/>
      <c r="F680" s="15"/>
      <c r="G680" s="15"/>
      <c r="H680" s="15"/>
      <c r="I680" s="45"/>
      <c r="J680" s="47"/>
      <c r="K680" s="20"/>
      <c r="L680" s="20"/>
      <c r="M680" s="20"/>
      <c r="N680" s="20"/>
      <c r="O680" s="20"/>
      <c r="P680" s="20"/>
      <c r="Q680" s="20"/>
      <c r="R680" s="20"/>
      <c r="S680" s="20"/>
      <c r="T680" s="20"/>
      <c r="U680" s="20"/>
      <c r="V680" s="20"/>
      <c r="W680" s="20"/>
      <c r="X680" s="20"/>
      <c r="Y680" s="20"/>
      <c r="Z680" s="20"/>
    </row>
    <row r="681" spans="1:26" ht="17.25" customHeight="1">
      <c r="A681" s="15"/>
      <c r="B681" s="15"/>
      <c r="C681" s="15"/>
      <c r="D681" s="15"/>
      <c r="E681" s="15"/>
      <c r="F681" s="15"/>
      <c r="G681" s="15"/>
      <c r="H681" s="15"/>
      <c r="I681" s="45"/>
      <c r="J681" s="47"/>
      <c r="K681" s="20"/>
      <c r="L681" s="20"/>
      <c r="M681" s="20"/>
      <c r="N681" s="20"/>
      <c r="O681" s="20"/>
      <c r="P681" s="20"/>
      <c r="Q681" s="20"/>
      <c r="R681" s="20"/>
      <c r="S681" s="20"/>
      <c r="T681" s="20"/>
      <c r="U681" s="20"/>
      <c r="V681" s="20"/>
      <c r="W681" s="20"/>
      <c r="X681" s="20"/>
      <c r="Y681" s="20"/>
      <c r="Z681" s="20"/>
    </row>
    <row r="682" spans="1:26" ht="17.25" customHeight="1">
      <c r="A682" s="15"/>
      <c r="B682" s="15"/>
      <c r="C682" s="15"/>
      <c r="D682" s="15"/>
      <c r="E682" s="15"/>
      <c r="F682" s="15"/>
      <c r="G682" s="15"/>
      <c r="H682" s="15"/>
      <c r="I682" s="45"/>
      <c r="J682" s="47"/>
      <c r="K682" s="20"/>
      <c r="L682" s="20"/>
      <c r="M682" s="20"/>
      <c r="N682" s="20"/>
      <c r="O682" s="20"/>
      <c r="P682" s="20"/>
      <c r="Q682" s="20"/>
      <c r="R682" s="20"/>
      <c r="S682" s="20"/>
      <c r="T682" s="20"/>
      <c r="U682" s="20"/>
      <c r="V682" s="20"/>
      <c r="W682" s="20"/>
      <c r="X682" s="20"/>
      <c r="Y682" s="20"/>
      <c r="Z682" s="20"/>
    </row>
    <row r="683" spans="1:26" ht="17.25" customHeight="1">
      <c r="A683" s="15"/>
      <c r="B683" s="15"/>
      <c r="C683" s="15"/>
      <c r="D683" s="15"/>
      <c r="E683" s="15"/>
      <c r="F683" s="15"/>
      <c r="G683" s="15"/>
      <c r="H683" s="15"/>
      <c r="I683" s="45"/>
      <c r="J683" s="47"/>
      <c r="K683" s="20"/>
      <c r="L683" s="20"/>
      <c r="M683" s="20"/>
      <c r="N683" s="20"/>
      <c r="O683" s="20"/>
      <c r="P683" s="20"/>
      <c r="Q683" s="20"/>
      <c r="R683" s="20"/>
      <c r="S683" s="20"/>
      <c r="T683" s="20"/>
      <c r="U683" s="20"/>
      <c r="V683" s="20"/>
      <c r="W683" s="20"/>
      <c r="X683" s="20"/>
      <c r="Y683" s="20"/>
      <c r="Z683" s="20"/>
    </row>
    <row r="684" spans="1:26" ht="17.25" customHeight="1">
      <c r="A684" s="15"/>
      <c r="B684" s="15"/>
      <c r="C684" s="15"/>
      <c r="D684" s="15"/>
      <c r="E684" s="15"/>
      <c r="F684" s="15"/>
      <c r="G684" s="15"/>
      <c r="H684" s="15"/>
      <c r="I684" s="45"/>
      <c r="J684" s="47"/>
      <c r="K684" s="20"/>
      <c r="L684" s="20"/>
      <c r="M684" s="20"/>
      <c r="N684" s="20"/>
      <c r="O684" s="20"/>
      <c r="P684" s="20"/>
      <c r="Q684" s="20"/>
      <c r="R684" s="20"/>
      <c r="S684" s="20"/>
      <c r="T684" s="20"/>
      <c r="U684" s="20"/>
      <c r="V684" s="20"/>
      <c r="W684" s="20"/>
      <c r="X684" s="20"/>
      <c r="Y684" s="20"/>
      <c r="Z684" s="20"/>
    </row>
    <row r="685" spans="1:26" ht="17.25" customHeight="1">
      <c r="A685" s="15"/>
      <c r="B685" s="15"/>
      <c r="C685" s="15"/>
      <c r="D685" s="15"/>
      <c r="E685" s="15"/>
      <c r="F685" s="15"/>
      <c r="G685" s="15"/>
      <c r="H685" s="15"/>
      <c r="I685" s="45"/>
      <c r="J685" s="47"/>
      <c r="K685" s="20"/>
      <c r="L685" s="20"/>
      <c r="M685" s="20"/>
      <c r="N685" s="20"/>
      <c r="O685" s="20"/>
      <c r="P685" s="20"/>
      <c r="Q685" s="20"/>
      <c r="R685" s="20"/>
      <c r="S685" s="20"/>
      <c r="T685" s="20"/>
      <c r="U685" s="20"/>
      <c r="V685" s="20"/>
      <c r="W685" s="20"/>
      <c r="X685" s="20"/>
      <c r="Y685" s="20"/>
      <c r="Z685" s="20"/>
    </row>
    <row r="686" spans="1:26" ht="17.25" customHeight="1">
      <c r="A686" s="15"/>
      <c r="B686" s="15"/>
      <c r="C686" s="15"/>
      <c r="D686" s="15"/>
      <c r="E686" s="15"/>
      <c r="F686" s="15"/>
      <c r="G686" s="15"/>
      <c r="H686" s="15"/>
      <c r="I686" s="45"/>
      <c r="J686" s="47"/>
      <c r="K686" s="20"/>
      <c r="L686" s="20"/>
      <c r="M686" s="20"/>
      <c r="N686" s="20"/>
      <c r="O686" s="20"/>
      <c r="P686" s="20"/>
      <c r="Q686" s="20"/>
      <c r="R686" s="20"/>
      <c r="S686" s="20"/>
      <c r="T686" s="20"/>
      <c r="U686" s="20"/>
      <c r="V686" s="20"/>
      <c r="W686" s="20"/>
      <c r="X686" s="20"/>
      <c r="Y686" s="20"/>
      <c r="Z686" s="20"/>
    </row>
    <row r="687" spans="1:26" ht="17.25" customHeight="1">
      <c r="A687" s="15"/>
      <c r="B687" s="15"/>
      <c r="C687" s="15"/>
      <c r="D687" s="15"/>
      <c r="E687" s="15"/>
      <c r="F687" s="15"/>
      <c r="G687" s="15"/>
      <c r="H687" s="15"/>
      <c r="I687" s="45"/>
      <c r="J687" s="47"/>
      <c r="K687" s="20"/>
      <c r="L687" s="20"/>
      <c r="M687" s="20"/>
      <c r="N687" s="20"/>
      <c r="O687" s="20"/>
      <c r="P687" s="20"/>
      <c r="Q687" s="20"/>
      <c r="R687" s="20"/>
      <c r="S687" s="20"/>
      <c r="T687" s="20"/>
      <c r="U687" s="20"/>
      <c r="V687" s="20"/>
      <c r="W687" s="20"/>
      <c r="X687" s="20"/>
      <c r="Y687" s="20"/>
      <c r="Z687" s="20"/>
    </row>
    <row r="688" spans="1:26" ht="17.25" customHeight="1">
      <c r="A688" s="15"/>
      <c r="B688" s="15"/>
      <c r="C688" s="15"/>
      <c r="D688" s="15"/>
      <c r="E688" s="15"/>
      <c r="F688" s="15"/>
      <c r="G688" s="15"/>
      <c r="H688" s="15"/>
      <c r="I688" s="45"/>
      <c r="J688" s="47"/>
      <c r="K688" s="20"/>
      <c r="L688" s="20"/>
      <c r="M688" s="20"/>
      <c r="N688" s="20"/>
      <c r="O688" s="20"/>
      <c r="P688" s="20"/>
      <c r="Q688" s="20"/>
      <c r="R688" s="20"/>
      <c r="S688" s="20"/>
      <c r="T688" s="20"/>
      <c r="U688" s="20"/>
      <c r="V688" s="20"/>
      <c r="W688" s="20"/>
      <c r="X688" s="20"/>
      <c r="Y688" s="20"/>
      <c r="Z688" s="20"/>
    </row>
    <row r="689" spans="1:26" ht="17.25" customHeight="1">
      <c r="A689" s="15"/>
      <c r="B689" s="15"/>
      <c r="C689" s="15"/>
      <c r="D689" s="15"/>
      <c r="E689" s="15"/>
      <c r="F689" s="15"/>
      <c r="G689" s="15"/>
      <c r="H689" s="15"/>
      <c r="I689" s="45"/>
      <c r="J689" s="47"/>
      <c r="K689" s="20"/>
      <c r="L689" s="20"/>
      <c r="M689" s="20"/>
      <c r="N689" s="20"/>
      <c r="O689" s="20"/>
      <c r="P689" s="20"/>
      <c r="Q689" s="20"/>
      <c r="R689" s="20"/>
      <c r="S689" s="20"/>
      <c r="T689" s="20"/>
      <c r="U689" s="20"/>
      <c r="V689" s="20"/>
      <c r="W689" s="20"/>
      <c r="X689" s="20"/>
      <c r="Y689" s="20"/>
      <c r="Z689" s="20"/>
    </row>
    <row r="690" spans="1:26" ht="17.25" customHeight="1">
      <c r="A690" s="15"/>
      <c r="B690" s="15"/>
      <c r="C690" s="15"/>
      <c r="D690" s="15"/>
      <c r="E690" s="15"/>
      <c r="F690" s="15"/>
      <c r="G690" s="15"/>
      <c r="H690" s="15"/>
      <c r="I690" s="45"/>
      <c r="J690" s="47"/>
      <c r="K690" s="20"/>
      <c r="L690" s="20"/>
      <c r="M690" s="20"/>
      <c r="N690" s="20"/>
      <c r="O690" s="20"/>
      <c r="P690" s="20"/>
      <c r="Q690" s="20"/>
      <c r="R690" s="20"/>
      <c r="S690" s="20"/>
      <c r="T690" s="20"/>
      <c r="U690" s="20"/>
      <c r="V690" s="20"/>
      <c r="W690" s="20"/>
      <c r="X690" s="20"/>
      <c r="Y690" s="20"/>
      <c r="Z690" s="20"/>
    </row>
    <row r="691" spans="1:26" ht="17.25" customHeight="1">
      <c r="A691" s="15"/>
      <c r="B691" s="15"/>
      <c r="C691" s="15"/>
      <c r="D691" s="15"/>
      <c r="E691" s="15"/>
      <c r="F691" s="15"/>
      <c r="G691" s="15"/>
      <c r="H691" s="15"/>
      <c r="I691" s="45"/>
      <c r="J691" s="47"/>
      <c r="K691" s="20"/>
      <c r="L691" s="20"/>
      <c r="M691" s="20"/>
      <c r="N691" s="20"/>
      <c r="O691" s="20"/>
      <c r="P691" s="20"/>
      <c r="Q691" s="20"/>
      <c r="R691" s="20"/>
      <c r="S691" s="20"/>
      <c r="T691" s="20"/>
      <c r="U691" s="20"/>
      <c r="V691" s="20"/>
      <c r="W691" s="20"/>
      <c r="X691" s="20"/>
      <c r="Y691" s="20"/>
      <c r="Z691" s="20"/>
    </row>
    <row r="692" spans="1:26" ht="17.25" customHeight="1">
      <c r="A692" s="15"/>
      <c r="B692" s="15"/>
      <c r="C692" s="15"/>
      <c r="D692" s="15"/>
      <c r="E692" s="15"/>
      <c r="F692" s="15"/>
      <c r="G692" s="15"/>
      <c r="H692" s="15"/>
      <c r="I692" s="45"/>
      <c r="J692" s="47"/>
      <c r="K692" s="20"/>
      <c r="L692" s="20"/>
      <c r="M692" s="20"/>
      <c r="N692" s="20"/>
      <c r="O692" s="20"/>
      <c r="P692" s="20"/>
      <c r="Q692" s="20"/>
      <c r="R692" s="20"/>
      <c r="S692" s="20"/>
      <c r="T692" s="20"/>
      <c r="U692" s="20"/>
      <c r="V692" s="20"/>
      <c r="W692" s="20"/>
      <c r="X692" s="20"/>
      <c r="Y692" s="20"/>
      <c r="Z692" s="20"/>
    </row>
    <row r="693" spans="1:26" ht="17.25" customHeight="1">
      <c r="A693" s="15"/>
      <c r="B693" s="15"/>
      <c r="C693" s="15"/>
      <c r="D693" s="15"/>
      <c r="E693" s="15"/>
      <c r="F693" s="15"/>
      <c r="G693" s="15"/>
      <c r="H693" s="15"/>
      <c r="I693" s="45"/>
      <c r="J693" s="47"/>
      <c r="K693" s="20"/>
      <c r="L693" s="20"/>
      <c r="M693" s="20"/>
      <c r="N693" s="20"/>
      <c r="O693" s="20"/>
      <c r="P693" s="20"/>
      <c r="Q693" s="20"/>
      <c r="R693" s="20"/>
      <c r="S693" s="20"/>
      <c r="T693" s="20"/>
      <c r="U693" s="20"/>
      <c r="V693" s="20"/>
      <c r="W693" s="20"/>
      <c r="X693" s="20"/>
      <c r="Y693" s="20"/>
      <c r="Z693" s="20"/>
    </row>
    <row r="694" spans="1:26" ht="17.25" customHeight="1">
      <c r="A694" s="15"/>
      <c r="B694" s="15"/>
      <c r="C694" s="15"/>
      <c r="D694" s="15"/>
      <c r="E694" s="15"/>
      <c r="F694" s="15"/>
      <c r="G694" s="15"/>
      <c r="H694" s="15"/>
      <c r="I694" s="45"/>
      <c r="J694" s="47"/>
      <c r="K694" s="20"/>
      <c r="L694" s="20"/>
      <c r="M694" s="20"/>
      <c r="N694" s="20"/>
      <c r="O694" s="20"/>
      <c r="P694" s="20"/>
      <c r="Q694" s="20"/>
      <c r="R694" s="20"/>
      <c r="S694" s="20"/>
      <c r="T694" s="20"/>
      <c r="U694" s="20"/>
      <c r="V694" s="20"/>
      <c r="W694" s="20"/>
      <c r="X694" s="20"/>
      <c r="Y694" s="20"/>
      <c r="Z694" s="20"/>
    </row>
    <row r="695" spans="1:26" ht="17.25" customHeight="1">
      <c r="A695" s="15"/>
      <c r="B695" s="15"/>
      <c r="C695" s="15"/>
      <c r="D695" s="15"/>
      <c r="E695" s="15"/>
      <c r="F695" s="15"/>
      <c r="G695" s="15"/>
      <c r="H695" s="15"/>
      <c r="I695" s="45"/>
      <c r="J695" s="47"/>
      <c r="K695" s="20"/>
      <c r="L695" s="20"/>
      <c r="M695" s="20"/>
      <c r="N695" s="20"/>
      <c r="O695" s="20"/>
      <c r="P695" s="20"/>
      <c r="Q695" s="20"/>
      <c r="R695" s="20"/>
      <c r="S695" s="20"/>
      <c r="T695" s="20"/>
      <c r="U695" s="20"/>
      <c r="V695" s="20"/>
      <c r="W695" s="20"/>
      <c r="X695" s="20"/>
      <c r="Y695" s="20"/>
      <c r="Z695" s="20"/>
    </row>
    <row r="696" spans="1:26" ht="17.25" customHeight="1">
      <c r="A696" s="15"/>
      <c r="B696" s="15"/>
      <c r="C696" s="15"/>
      <c r="D696" s="15"/>
      <c r="E696" s="15"/>
      <c r="F696" s="15"/>
      <c r="G696" s="15"/>
      <c r="H696" s="15"/>
      <c r="I696" s="45"/>
      <c r="J696" s="47"/>
      <c r="K696" s="20"/>
      <c r="L696" s="20"/>
      <c r="M696" s="20"/>
      <c r="N696" s="20"/>
      <c r="O696" s="20"/>
      <c r="P696" s="20"/>
      <c r="Q696" s="20"/>
      <c r="R696" s="20"/>
      <c r="S696" s="20"/>
      <c r="T696" s="20"/>
      <c r="U696" s="20"/>
      <c r="V696" s="20"/>
      <c r="W696" s="20"/>
      <c r="X696" s="20"/>
      <c r="Y696" s="20"/>
      <c r="Z696" s="20"/>
    </row>
    <row r="697" spans="1:26" ht="17.25" customHeight="1">
      <c r="A697" s="15"/>
      <c r="B697" s="15"/>
      <c r="C697" s="15"/>
      <c r="D697" s="15"/>
      <c r="E697" s="15"/>
      <c r="F697" s="15"/>
      <c r="G697" s="15"/>
      <c r="H697" s="15"/>
      <c r="I697" s="45"/>
      <c r="J697" s="47"/>
      <c r="K697" s="20"/>
      <c r="L697" s="20"/>
      <c r="M697" s="20"/>
      <c r="N697" s="20"/>
      <c r="O697" s="20"/>
      <c r="P697" s="20"/>
      <c r="Q697" s="20"/>
      <c r="R697" s="20"/>
      <c r="S697" s="20"/>
      <c r="T697" s="20"/>
      <c r="U697" s="20"/>
      <c r="V697" s="20"/>
      <c r="W697" s="20"/>
      <c r="X697" s="20"/>
      <c r="Y697" s="20"/>
      <c r="Z697" s="20"/>
    </row>
    <row r="698" spans="1:26" ht="17.25" customHeight="1">
      <c r="A698" s="15"/>
      <c r="B698" s="15"/>
      <c r="C698" s="15"/>
      <c r="D698" s="15"/>
      <c r="E698" s="15"/>
      <c r="F698" s="15"/>
      <c r="G698" s="15"/>
      <c r="H698" s="15"/>
      <c r="I698" s="45"/>
      <c r="J698" s="47"/>
      <c r="K698" s="20"/>
      <c r="L698" s="20"/>
      <c r="M698" s="20"/>
      <c r="N698" s="20"/>
      <c r="O698" s="20"/>
      <c r="P698" s="20"/>
      <c r="Q698" s="20"/>
      <c r="R698" s="20"/>
      <c r="S698" s="20"/>
      <c r="T698" s="20"/>
      <c r="U698" s="20"/>
      <c r="V698" s="20"/>
      <c r="W698" s="20"/>
      <c r="X698" s="20"/>
      <c r="Y698" s="20"/>
      <c r="Z698" s="20"/>
    </row>
    <row r="699" spans="1:26" ht="17.25" customHeight="1">
      <c r="A699" s="15"/>
      <c r="B699" s="15"/>
      <c r="C699" s="15"/>
      <c r="D699" s="15"/>
      <c r="E699" s="15"/>
      <c r="F699" s="15"/>
      <c r="G699" s="15"/>
      <c r="H699" s="15"/>
      <c r="I699" s="45"/>
      <c r="J699" s="47"/>
      <c r="K699" s="20"/>
      <c r="L699" s="20"/>
      <c r="M699" s="20"/>
      <c r="N699" s="20"/>
      <c r="O699" s="20"/>
      <c r="P699" s="20"/>
      <c r="Q699" s="20"/>
      <c r="R699" s="20"/>
      <c r="S699" s="20"/>
      <c r="T699" s="20"/>
      <c r="U699" s="20"/>
      <c r="V699" s="20"/>
      <c r="W699" s="20"/>
      <c r="X699" s="20"/>
      <c r="Y699" s="20"/>
      <c r="Z699" s="20"/>
    </row>
    <row r="700" spans="1:26" ht="17.25" customHeight="1">
      <c r="A700" s="15"/>
      <c r="B700" s="15"/>
      <c r="C700" s="15"/>
      <c r="D700" s="15"/>
      <c r="E700" s="15"/>
      <c r="F700" s="15"/>
      <c r="G700" s="15"/>
      <c r="H700" s="15"/>
      <c r="I700" s="45"/>
      <c r="J700" s="47"/>
      <c r="K700" s="20"/>
      <c r="L700" s="20"/>
      <c r="M700" s="20"/>
      <c r="N700" s="20"/>
      <c r="O700" s="20"/>
      <c r="P700" s="20"/>
      <c r="Q700" s="20"/>
      <c r="R700" s="20"/>
      <c r="S700" s="20"/>
      <c r="T700" s="20"/>
      <c r="U700" s="20"/>
      <c r="V700" s="20"/>
      <c r="W700" s="20"/>
      <c r="X700" s="20"/>
      <c r="Y700" s="20"/>
      <c r="Z700" s="20"/>
    </row>
    <row r="701" spans="1:26" ht="17.25" customHeight="1">
      <c r="A701" s="15"/>
      <c r="B701" s="15"/>
      <c r="C701" s="15"/>
      <c r="D701" s="15"/>
      <c r="E701" s="15"/>
      <c r="F701" s="15"/>
      <c r="G701" s="15"/>
      <c r="H701" s="15"/>
      <c r="I701" s="45"/>
      <c r="J701" s="47"/>
      <c r="K701" s="20"/>
      <c r="L701" s="20"/>
      <c r="M701" s="20"/>
      <c r="N701" s="20"/>
      <c r="O701" s="20"/>
      <c r="P701" s="20"/>
      <c r="Q701" s="20"/>
      <c r="R701" s="20"/>
      <c r="S701" s="20"/>
      <c r="T701" s="20"/>
      <c r="U701" s="20"/>
      <c r="V701" s="20"/>
      <c r="W701" s="20"/>
      <c r="X701" s="20"/>
      <c r="Y701" s="20"/>
      <c r="Z701" s="20"/>
    </row>
    <row r="702" spans="1:26" ht="17.25" customHeight="1">
      <c r="A702" s="15"/>
      <c r="B702" s="15"/>
      <c r="C702" s="15"/>
      <c r="D702" s="15"/>
      <c r="E702" s="15"/>
      <c r="F702" s="15"/>
      <c r="G702" s="15"/>
      <c r="H702" s="15"/>
      <c r="I702" s="45"/>
      <c r="J702" s="47"/>
      <c r="K702" s="20"/>
      <c r="L702" s="20"/>
      <c r="M702" s="20"/>
      <c r="N702" s="20"/>
      <c r="O702" s="20"/>
      <c r="P702" s="20"/>
      <c r="Q702" s="20"/>
      <c r="R702" s="20"/>
      <c r="S702" s="20"/>
      <c r="T702" s="20"/>
      <c r="U702" s="20"/>
      <c r="V702" s="20"/>
      <c r="W702" s="20"/>
      <c r="X702" s="20"/>
      <c r="Y702" s="20"/>
      <c r="Z702" s="20"/>
    </row>
    <row r="703" spans="1:26" ht="17.25" customHeight="1">
      <c r="A703" s="15"/>
      <c r="B703" s="15"/>
      <c r="C703" s="15"/>
      <c r="D703" s="15"/>
      <c r="E703" s="15"/>
      <c r="F703" s="15"/>
      <c r="G703" s="15"/>
      <c r="H703" s="15"/>
      <c r="I703" s="45"/>
      <c r="J703" s="47"/>
      <c r="K703" s="20"/>
      <c r="L703" s="20"/>
      <c r="M703" s="20"/>
      <c r="N703" s="20"/>
      <c r="O703" s="20"/>
      <c r="P703" s="20"/>
      <c r="Q703" s="20"/>
      <c r="R703" s="20"/>
      <c r="S703" s="20"/>
      <c r="T703" s="20"/>
      <c r="U703" s="20"/>
      <c r="V703" s="20"/>
      <c r="W703" s="20"/>
      <c r="X703" s="20"/>
      <c r="Y703" s="20"/>
      <c r="Z703" s="20"/>
    </row>
    <row r="704" spans="1:26" ht="17.25" customHeight="1">
      <c r="A704" s="15"/>
      <c r="B704" s="15"/>
      <c r="C704" s="15"/>
      <c r="D704" s="15"/>
      <c r="E704" s="15"/>
      <c r="F704" s="15"/>
      <c r="G704" s="15"/>
      <c r="H704" s="15"/>
      <c r="I704" s="45"/>
      <c r="J704" s="47"/>
      <c r="K704" s="20"/>
      <c r="L704" s="20"/>
      <c r="M704" s="20"/>
      <c r="N704" s="20"/>
      <c r="O704" s="20"/>
      <c r="P704" s="20"/>
      <c r="Q704" s="20"/>
      <c r="R704" s="20"/>
      <c r="S704" s="20"/>
      <c r="T704" s="20"/>
      <c r="U704" s="20"/>
      <c r="V704" s="20"/>
      <c r="W704" s="20"/>
      <c r="X704" s="20"/>
      <c r="Y704" s="20"/>
      <c r="Z704" s="20"/>
    </row>
    <row r="705" spans="1:26" ht="17.25" customHeight="1">
      <c r="A705" s="15"/>
      <c r="B705" s="15"/>
      <c r="C705" s="15"/>
      <c r="D705" s="15"/>
      <c r="E705" s="15"/>
      <c r="F705" s="15"/>
      <c r="G705" s="15"/>
      <c r="H705" s="15"/>
      <c r="I705" s="45"/>
      <c r="J705" s="47"/>
      <c r="K705" s="20"/>
      <c r="L705" s="20"/>
      <c r="M705" s="20"/>
      <c r="N705" s="20"/>
      <c r="O705" s="20"/>
      <c r="P705" s="20"/>
      <c r="Q705" s="20"/>
      <c r="R705" s="20"/>
      <c r="S705" s="20"/>
      <c r="T705" s="20"/>
      <c r="U705" s="20"/>
      <c r="V705" s="20"/>
      <c r="W705" s="20"/>
      <c r="X705" s="20"/>
      <c r="Y705" s="20"/>
      <c r="Z705" s="20"/>
    </row>
    <row r="706" spans="1:26" ht="17.25" customHeight="1">
      <c r="A706" s="15"/>
      <c r="B706" s="15"/>
      <c r="C706" s="15"/>
      <c r="D706" s="15"/>
      <c r="E706" s="15"/>
      <c r="F706" s="15"/>
      <c r="G706" s="15"/>
      <c r="H706" s="15"/>
      <c r="I706" s="45"/>
      <c r="J706" s="47"/>
      <c r="K706" s="20"/>
      <c r="L706" s="20"/>
      <c r="M706" s="20"/>
      <c r="N706" s="20"/>
      <c r="O706" s="20"/>
      <c r="P706" s="20"/>
      <c r="Q706" s="20"/>
      <c r="R706" s="20"/>
      <c r="S706" s="20"/>
      <c r="T706" s="20"/>
      <c r="U706" s="20"/>
      <c r="V706" s="20"/>
      <c r="W706" s="20"/>
      <c r="X706" s="20"/>
      <c r="Y706" s="20"/>
      <c r="Z706" s="20"/>
    </row>
    <row r="707" spans="1:26" ht="17.25" customHeight="1">
      <c r="A707" s="15"/>
      <c r="B707" s="15"/>
      <c r="C707" s="15"/>
      <c r="D707" s="15"/>
      <c r="E707" s="15"/>
      <c r="F707" s="15"/>
      <c r="G707" s="15"/>
      <c r="H707" s="15"/>
      <c r="I707" s="45"/>
      <c r="J707" s="47"/>
      <c r="K707" s="20"/>
      <c r="L707" s="20"/>
      <c r="M707" s="20"/>
      <c r="N707" s="20"/>
      <c r="O707" s="20"/>
      <c r="P707" s="20"/>
      <c r="Q707" s="20"/>
      <c r="R707" s="20"/>
      <c r="S707" s="20"/>
      <c r="T707" s="20"/>
      <c r="U707" s="20"/>
      <c r="V707" s="20"/>
      <c r="W707" s="20"/>
      <c r="X707" s="20"/>
      <c r="Y707" s="20"/>
      <c r="Z707" s="20"/>
    </row>
    <row r="708" spans="1:26" ht="17.25" customHeight="1">
      <c r="A708" s="15"/>
      <c r="B708" s="15"/>
      <c r="C708" s="15"/>
      <c r="D708" s="15"/>
      <c r="E708" s="15"/>
      <c r="F708" s="15"/>
      <c r="G708" s="15"/>
      <c r="H708" s="15"/>
      <c r="I708" s="45"/>
      <c r="J708" s="47"/>
      <c r="K708" s="20"/>
      <c r="L708" s="20"/>
      <c r="M708" s="20"/>
      <c r="N708" s="20"/>
      <c r="O708" s="20"/>
      <c r="P708" s="20"/>
      <c r="Q708" s="20"/>
      <c r="R708" s="20"/>
      <c r="S708" s="20"/>
      <c r="T708" s="20"/>
      <c r="U708" s="20"/>
      <c r="V708" s="20"/>
      <c r="W708" s="20"/>
      <c r="X708" s="20"/>
      <c r="Y708" s="20"/>
      <c r="Z708" s="20"/>
    </row>
    <row r="709" spans="1:26" ht="17.25" customHeight="1">
      <c r="A709" s="15"/>
      <c r="B709" s="15"/>
      <c r="C709" s="15"/>
      <c r="D709" s="15"/>
      <c r="E709" s="15"/>
      <c r="F709" s="15"/>
      <c r="G709" s="15"/>
      <c r="H709" s="15"/>
      <c r="I709" s="45"/>
      <c r="J709" s="47"/>
      <c r="K709" s="20"/>
      <c r="L709" s="20"/>
      <c r="M709" s="20"/>
      <c r="N709" s="20"/>
      <c r="O709" s="20"/>
      <c r="P709" s="20"/>
      <c r="Q709" s="20"/>
      <c r="R709" s="20"/>
      <c r="S709" s="20"/>
      <c r="T709" s="20"/>
      <c r="U709" s="20"/>
      <c r="V709" s="20"/>
      <c r="W709" s="20"/>
      <c r="X709" s="20"/>
      <c r="Y709" s="20"/>
      <c r="Z709" s="20"/>
    </row>
    <row r="710" spans="1:26" ht="17.25" customHeight="1">
      <c r="A710" s="15"/>
      <c r="B710" s="15"/>
      <c r="C710" s="15"/>
      <c r="D710" s="15"/>
      <c r="E710" s="15"/>
      <c r="F710" s="15"/>
      <c r="G710" s="15"/>
      <c r="H710" s="15"/>
      <c r="I710" s="45"/>
      <c r="J710" s="47"/>
      <c r="K710" s="20"/>
      <c r="L710" s="20"/>
      <c r="M710" s="20"/>
      <c r="N710" s="20"/>
      <c r="O710" s="20"/>
      <c r="P710" s="20"/>
      <c r="Q710" s="20"/>
      <c r="R710" s="20"/>
      <c r="S710" s="20"/>
      <c r="T710" s="20"/>
      <c r="U710" s="20"/>
      <c r="V710" s="20"/>
      <c r="W710" s="20"/>
      <c r="X710" s="20"/>
      <c r="Y710" s="20"/>
      <c r="Z710" s="20"/>
    </row>
    <row r="711" spans="1:26" ht="17.25" customHeight="1">
      <c r="A711" s="15"/>
      <c r="B711" s="15"/>
      <c r="C711" s="15"/>
      <c r="D711" s="15"/>
      <c r="E711" s="15"/>
      <c r="F711" s="15"/>
      <c r="G711" s="15"/>
      <c r="H711" s="15"/>
      <c r="I711" s="45"/>
      <c r="J711" s="47"/>
      <c r="K711" s="20"/>
      <c r="L711" s="20"/>
      <c r="M711" s="20"/>
      <c r="N711" s="20"/>
      <c r="O711" s="20"/>
      <c r="P711" s="20"/>
      <c r="Q711" s="20"/>
      <c r="R711" s="20"/>
      <c r="S711" s="20"/>
      <c r="T711" s="20"/>
      <c r="U711" s="20"/>
      <c r="V711" s="20"/>
      <c r="W711" s="20"/>
      <c r="X711" s="20"/>
      <c r="Y711" s="20"/>
      <c r="Z711" s="20"/>
    </row>
    <row r="712" spans="1:26" ht="17.25" customHeight="1">
      <c r="A712" s="15"/>
      <c r="B712" s="15"/>
      <c r="C712" s="15"/>
      <c r="D712" s="15"/>
      <c r="E712" s="15"/>
      <c r="F712" s="15"/>
      <c r="G712" s="15"/>
      <c r="H712" s="15"/>
      <c r="I712" s="45"/>
      <c r="J712" s="47"/>
      <c r="K712" s="20"/>
      <c r="L712" s="20"/>
      <c r="M712" s="20"/>
      <c r="N712" s="20"/>
      <c r="O712" s="20"/>
      <c r="P712" s="20"/>
      <c r="Q712" s="20"/>
      <c r="R712" s="20"/>
      <c r="S712" s="20"/>
      <c r="T712" s="20"/>
      <c r="U712" s="20"/>
      <c r="V712" s="20"/>
      <c r="W712" s="20"/>
      <c r="X712" s="20"/>
      <c r="Y712" s="20"/>
      <c r="Z712" s="20"/>
    </row>
    <row r="713" spans="1:26" ht="17.25" customHeight="1">
      <c r="A713" s="15"/>
      <c r="B713" s="15"/>
      <c r="C713" s="15"/>
      <c r="D713" s="15"/>
      <c r="E713" s="15"/>
      <c r="F713" s="15"/>
      <c r="G713" s="15"/>
      <c r="H713" s="15"/>
      <c r="I713" s="45"/>
      <c r="J713" s="47"/>
      <c r="K713" s="20"/>
      <c r="L713" s="20"/>
      <c r="M713" s="20"/>
      <c r="N713" s="20"/>
      <c r="O713" s="20"/>
      <c r="P713" s="20"/>
      <c r="Q713" s="20"/>
      <c r="R713" s="20"/>
      <c r="S713" s="20"/>
      <c r="T713" s="20"/>
      <c r="U713" s="20"/>
      <c r="V713" s="20"/>
      <c r="W713" s="20"/>
      <c r="X713" s="20"/>
      <c r="Y713" s="20"/>
      <c r="Z713" s="20"/>
    </row>
    <row r="714" spans="1:26" ht="17.25" customHeight="1">
      <c r="A714" s="15"/>
      <c r="B714" s="15"/>
      <c r="C714" s="15"/>
      <c r="D714" s="15"/>
      <c r="E714" s="15"/>
      <c r="F714" s="15"/>
      <c r="G714" s="15"/>
      <c r="H714" s="15"/>
      <c r="I714" s="45"/>
      <c r="J714" s="47"/>
      <c r="K714" s="20"/>
      <c r="L714" s="20"/>
      <c r="M714" s="20"/>
      <c r="N714" s="20"/>
      <c r="O714" s="20"/>
      <c r="P714" s="20"/>
      <c r="Q714" s="20"/>
      <c r="R714" s="20"/>
      <c r="S714" s="20"/>
      <c r="T714" s="20"/>
      <c r="U714" s="20"/>
      <c r="V714" s="20"/>
      <c r="W714" s="20"/>
      <c r="X714" s="20"/>
      <c r="Y714" s="20"/>
      <c r="Z714" s="20"/>
    </row>
    <row r="715" spans="1:26" ht="17.25" customHeight="1">
      <c r="A715" s="15"/>
      <c r="B715" s="15"/>
      <c r="C715" s="15"/>
      <c r="D715" s="15"/>
      <c r="E715" s="15"/>
      <c r="F715" s="15"/>
      <c r="G715" s="15"/>
      <c r="H715" s="15"/>
      <c r="I715" s="45"/>
      <c r="J715" s="47"/>
      <c r="K715" s="20"/>
      <c r="L715" s="20"/>
      <c r="M715" s="20"/>
      <c r="N715" s="20"/>
      <c r="O715" s="20"/>
      <c r="P715" s="20"/>
      <c r="Q715" s="20"/>
      <c r="R715" s="20"/>
      <c r="S715" s="20"/>
      <c r="T715" s="20"/>
      <c r="U715" s="20"/>
      <c r="V715" s="20"/>
      <c r="W715" s="20"/>
      <c r="X715" s="20"/>
      <c r="Y715" s="20"/>
      <c r="Z715" s="20"/>
    </row>
    <row r="716" spans="1:26" ht="17.25" customHeight="1">
      <c r="A716" s="15"/>
      <c r="B716" s="15"/>
      <c r="C716" s="15"/>
      <c r="D716" s="15"/>
      <c r="E716" s="15"/>
      <c r="F716" s="15"/>
      <c r="G716" s="15"/>
      <c r="H716" s="15"/>
      <c r="I716" s="45"/>
      <c r="J716" s="47"/>
      <c r="K716" s="20"/>
      <c r="L716" s="20"/>
      <c r="M716" s="20"/>
      <c r="N716" s="20"/>
      <c r="O716" s="20"/>
      <c r="P716" s="20"/>
      <c r="Q716" s="20"/>
      <c r="R716" s="20"/>
      <c r="S716" s="20"/>
      <c r="T716" s="20"/>
      <c r="U716" s="20"/>
      <c r="V716" s="20"/>
      <c r="W716" s="20"/>
      <c r="X716" s="20"/>
      <c r="Y716" s="20"/>
      <c r="Z716" s="20"/>
    </row>
    <row r="717" spans="1:26" ht="17.25" customHeight="1">
      <c r="A717" s="15"/>
      <c r="B717" s="15"/>
      <c r="C717" s="15"/>
      <c r="D717" s="15"/>
      <c r="E717" s="15"/>
      <c r="F717" s="15"/>
      <c r="G717" s="15"/>
      <c r="H717" s="15"/>
      <c r="I717" s="45"/>
      <c r="J717" s="47"/>
      <c r="K717" s="20"/>
      <c r="L717" s="20"/>
      <c r="M717" s="20"/>
      <c r="N717" s="20"/>
      <c r="O717" s="20"/>
      <c r="P717" s="20"/>
      <c r="Q717" s="20"/>
      <c r="R717" s="20"/>
      <c r="S717" s="20"/>
      <c r="T717" s="20"/>
      <c r="U717" s="20"/>
      <c r="V717" s="20"/>
      <c r="W717" s="20"/>
      <c r="X717" s="20"/>
      <c r="Y717" s="20"/>
      <c r="Z717" s="20"/>
    </row>
    <row r="718" spans="1:26" ht="17.25" customHeight="1">
      <c r="A718" s="15"/>
      <c r="B718" s="15"/>
      <c r="C718" s="15"/>
      <c r="D718" s="15"/>
      <c r="E718" s="15"/>
      <c r="F718" s="15"/>
      <c r="G718" s="15"/>
      <c r="H718" s="15"/>
      <c r="I718" s="45"/>
      <c r="J718" s="47"/>
      <c r="K718" s="20"/>
      <c r="L718" s="20"/>
      <c r="M718" s="20"/>
      <c r="N718" s="20"/>
      <c r="O718" s="20"/>
      <c r="P718" s="20"/>
      <c r="Q718" s="20"/>
      <c r="R718" s="20"/>
      <c r="S718" s="20"/>
      <c r="T718" s="20"/>
      <c r="U718" s="20"/>
      <c r="V718" s="20"/>
      <c r="W718" s="20"/>
      <c r="X718" s="20"/>
      <c r="Y718" s="20"/>
      <c r="Z718" s="20"/>
    </row>
    <row r="719" spans="1:26" ht="17.25" customHeight="1">
      <c r="A719" s="15"/>
      <c r="B719" s="15"/>
      <c r="C719" s="15"/>
      <c r="D719" s="15"/>
      <c r="E719" s="15"/>
      <c r="F719" s="15"/>
      <c r="G719" s="15"/>
      <c r="H719" s="15"/>
      <c r="I719" s="45"/>
      <c r="J719" s="47"/>
      <c r="K719" s="20"/>
      <c r="L719" s="20"/>
      <c r="M719" s="20"/>
      <c r="N719" s="20"/>
      <c r="O719" s="20"/>
      <c r="P719" s="20"/>
      <c r="Q719" s="20"/>
      <c r="R719" s="20"/>
      <c r="S719" s="20"/>
      <c r="T719" s="20"/>
      <c r="U719" s="20"/>
      <c r="V719" s="20"/>
      <c r="W719" s="20"/>
      <c r="X719" s="20"/>
      <c r="Y719" s="20"/>
      <c r="Z719" s="20"/>
    </row>
    <row r="720" spans="1:26" ht="17.25" customHeight="1">
      <c r="A720" s="15"/>
      <c r="B720" s="15"/>
      <c r="C720" s="15"/>
      <c r="D720" s="15"/>
      <c r="E720" s="15"/>
      <c r="F720" s="15"/>
      <c r="G720" s="15"/>
      <c r="H720" s="15"/>
      <c r="I720" s="45"/>
      <c r="J720" s="47"/>
      <c r="K720" s="20"/>
      <c r="L720" s="20"/>
      <c r="M720" s="20"/>
      <c r="N720" s="20"/>
      <c r="O720" s="20"/>
      <c r="P720" s="20"/>
      <c r="Q720" s="20"/>
      <c r="R720" s="20"/>
      <c r="S720" s="20"/>
      <c r="T720" s="20"/>
      <c r="U720" s="20"/>
      <c r="V720" s="20"/>
      <c r="W720" s="20"/>
      <c r="X720" s="20"/>
      <c r="Y720" s="20"/>
      <c r="Z720" s="20"/>
    </row>
    <row r="721" spans="1:26" ht="17.25" customHeight="1">
      <c r="A721" s="15"/>
      <c r="B721" s="15"/>
      <c r="C721" s="15"/>
      <c r="D721" s="15"/>
      <c r="E721" s="15"/>
      <c r="F721" s="15"/>
      <c r="G721" s="15"/>
      <c r="H721" s="15"/>
      <c r="I721" s="45"/>
      <c r="J721" s="47"/>
      <c r="K721" s="20"/>
      <c r="L721" s="20"/>
      <c r="M721" s="20"/>
      <c r="N721" s="20"/>
      <c r="O721" s="20"/>
      <c r="P721" s="20"/>
      <c r="Q721" s="20"/>
      <c r="R721" s="20"/>
      <c r="S721" s="20"/>
      <c r="T721" s="20"/>
      <c r="U721" s="20"/>
      <c r="V721" s="20"/>
      <c r="W721" s="20"/>
      <c r="X721" s="20"/>
      <c r="Y721" s="20"/>
      <c r="Z721" s="20"/>
    </row>
    <row r="722" spans="1:26" ht="17.25" customHeight="1">
      <c r="A722" s="15"/>
      <c r="B722" s="15"/>
      <c r="C722" s="15"/>
      <c r="D722" s="15"/>
      <c r="E722" s="15"/>
      <c r="F722" s="15"/>
      <c r="G722" s="15"/>
      <c r="H722" s="15"/>
      <c r="I722" s="45"/>
      <c r="J722" s="47"/>
      <c r="K722" s="20"/>
      <c r="L722" s="20"/>
      <c r="M722" s="20"/>
      <c r="N722" s="20"/>
      <c r="O722" s="20"/>
      <c r="P722" s="20"/>
      <c r="Q722" s="20"/>
      <c r="R722" s="20"/>
      <c r="S722" s="20"/>
      <c r="T722" s="20"/>
      <c r="U722" s="20"/>
      <c r="V722" s="20"/>
      <c r="W722" s="20"/>
      <c r="X722" s="20"/>
      <c r="Y722" s="20"/>
      <c r="Z722" s="20"/>
    </row>
    <row r="723" spans="1:26" ht="17.25" customHeight="1">
      <c r="A723" s="15"/>
      <c r="B723" s="15"/>
      <c r="C723" s="15"/>
      <c r="D723" s="15"/>
      <c r="E723" s="15"/>
      <c r="F723" s="15"/>
      <c r="G723" s="15"/>
      <c r="H723" s="15"/>
      <c r="I723" s="45"/>
      <c r="J723" s="47"/>
      <c r="K723" s="20"/>
      <c r="L723" s="20"/>
      <c r="M723" s="20"/>
      <c r="N723" s="20"/>
      <c r="O723" s="20"/>
      <c r="P723" s="20"/>
      <c r="Q723" s="20"/>
      <c r="R723" s="20"/>
      <c r="S723" s="20"/>
      <c r="T723" s="20"/>
      <c r="U723" s="20"/>
      <c r="V723" s="20"/>
      <c r="W723" s="20"/>
      <c r="X723" s="20"/>
      <c r="Y723" s="20"/>
      <c r="Z723" s="20"/>
    </row>
    <row r="724" spans="1:26" ht="17.25" customHeight="1">
      <c r="A724" s="15"/>
      <c r="B724" s="15"/>
      <c r="C724" s="15"/>
      <c r="D724" s="15"/>
      <c r="E724" s="15"/>
      <c r="F724" s="15"/>
      <c r="G724" s="15"/>
      <c r="H724" s="15"/>
      <c r="I724" s="45"/>
      <c r="J724" s="47"/>
      <c r="K724" s="20"/>
      <c r="L724" s="20"/>
      <c r="M724" s="20"/>
      <c r="N724" s="20"/>
      <c r="O724" s="20"/>
      <c r="P724" s="20"/>
      <c r="Q724" s="20"/>
      <c r="R724" s="20"/>
      <c r="S724" s="20"/>
      <c r="T724" s="20"/>
      <c r="U724" s="20"/>
      <c r="V724" s="20"/>
      <c r="W724" s="20"/>
      <c r="X724" s="20"/>
      <c r="Y724" s="20"/>
      <c r="Z724" s="20"/>
    </row>
    <row r="725" spans="1:26" ht="17.25" customHeight="1">
      <c r="A725" s="15"/>
      <c r="B725" s="15"/>
      <c r="C725" s="15"/>
      <c r="D725" s="15"/>
      <c r="E725" s="15"/>
      <c r="F725" s="15"/>
      <c r="G725" s="15"/>
      <c r="H725" s="15"/>
      <c r="I725" s="45"/>
      <c r="J725" s="47"/>
      <c r="K725" s="20"/>
      <c r="L725" s="20"/>
      <c r="M725" s="20"/>
      <c r="N725" s="20"/>
      <c r="O725" s="20"/>
      <c r="P725" s="20"/>
      <c r="Q725" s="20"/>
      <c r="R725" s="20"/>
      <c r="S725" s="20"/>
      <c r="T725" s="20"/>
      <c r="U725" s="20"/>
      <c r="V725" s="20"/>
      <c r="W725" s="20"/>
      <c r="X725" s="20"/>
      <c r="Y725" s="20"/>
      <c r="Z725" s="20"/>
    </row>
    <row r="726" spans="1:26" ht="17.25" customHeight="1">
      <c r="A726" s="15"/>
      <c r="B726" s="15"/>
      <c r="C726" s="15"/>
      <c r="D726" s="15"/>
      <c r="E726" s="15"/>
      <c r="F726" s="15"/>
      <c r="G726" s="15"/>
      <c r="H726" s="15"/>
      <c r="I726" s="45"/>
      <c r="J726" s="47"/>
      <c r="K726" s="20"/>
      <c r="L726" s="20"/>
      <c r="M726" s="20"/>
      <c r="N726" s="20"/>
      <c r="O726" s="20"/>
      <c r="P726" s="20"/>
      <c r="Q726" s="20"/>
      <c r="R726" s="20"/>
      <c r="S726" s="20"/>
      <c r="T726" s="20"/>
      <c r="U726" s="20"/>
      <c r="V726" s="20"/>
      <c r="W726" s="20"/>
      <c r="X726" s="20"/>
      <c r="Y726" s="20"/>
      <c r="Z726" s="20"/>
    </row>
    <row r="727" spans="1:26" ht="17.25" customHeight="1">
      <c r="A727" s="15"/>
      <c r="B727" s="15"/>
      <c r="C727" s="15"/>
      <c r="D727" s="15"/>
      <c r="E727" s="15"/>
      <c r="F727" s="15"/>
      <c r="G727" s="15"/>
      <c r="H727" s="15"/>
      <c r="I727" s="45"/>
      <c r="J727" s="47"/>
      <c r="K727" s="20"/>
      <c r="L727" s="20"/>
      <c r="M727" s="20"/>
      <c r="N727" s="20"/>
      <c r="O727" s="20"/>
      <c r="P727" s="20"/>
      <c r="Q727" s="20"/>
      <c r="R727" s="20"/>
      <c r="S727" s="20"/>
      <c r="T727" s="20"/>
      <c r="U727" s="20"/>
      <c r="V727" s="20"/>
      <c r="W727" s="20"/>
      <c r="X727" s="20"/>
      <c r="Y727" s="20"/>
      <c r="Z727" s="20"/>
    </row>
    <row r="728" spans="1:26" ht="17.25" customHeight="1">
      <c r="A728" s="15"/>
      <c r="B728" s="15"/>
      <c r="C728" s="15"/>
      <c r="D728" s="15"/>
      <c r="E728" s="15"/>
      <c r="F728" s="15"/>
      <c r="G728" s="15"/>
      <c r="H728" s="15"/>
      <c r="I728" s="45"/>
      <c r="J728" s="47"/>
      <c r="K728" s="20"/>
      <c r="L728" s="20"/>
      <c r="M728" s="20"/>
      <c r="N728" s="20"/>
      <c r="O728" s="20"/>
      <c r="P728" s="20"/>
      <c r="Q728" s="20"/>
      <c r="R728" s="20"/>
      <c r="S728" s="20"/>
      <c r="T728" s="20"/>
      <c r="U728" s="20"/>
      <c r="V728" s="20"/>
      <c r="W728" s="20"/>
      <c r="X728" s="20"/>
      <c r="Y728" s="20"/>
      <c r="Z728" s="20"/>
    </row>
    <row r="729" spans="1:26" ht="17.25" customHeight="1">
      <c r="A729" s="15"/>
      <c r="B729" s="15"/>
      <c r="C729" s="15"/>
      <c r="D729" s="15"/>
      <c r="E729" s="15"/>
      <c r="F729" s="15"/>
      <c r="G729" s="15"/>
      <c r="H729" s="15"/>
      <c r="I729" s="45"/>
      <c r="J729" s="47"/>
      <c r="K729" s="20"/>
      <c r="L729" s="20"/>
      <c r="M729" s="20"/>
      <c r="N729" s="20"/>
      <c r="O729" s="20"/>
      <c r="P729" s="20"/>
      <c r="Q729" s="20"/>
      <c r="R729" s="20"/>
      <c r="S729" s="20"/>
      <c r="T729" s="20"/>
      <c r="U729" s="20"/>
      <c r="V729" s="20"/>
      <c r="W729" s="20"/>
      <c r="X729" s="20"/>
      <c r="Y729" s="20"/>
      <c r="Z729" s="20"/>
    </row>
    <row r="730" spans="1:26" ht="17.25" customHeight="1">
      <c r="A730" s="15"/>
      <c r="B730" s="15"/>
      <c r="C730" s="15"/>
      <c r="D730" s="15"/>
      <c r="E730" s="15"/>
      <c r="F730" s="15"/>
      <c r="G730" s="15"/>
      <c r="H730" s="15"/>
      <c r="I730" s="45"/>
      <c r="J730" s="47"/>
      <c r="K730" s="20"/>
      <c r="L730" s="20"/>
      <c r="M730" s="20"/>
      <c r="N730" s="20"/>
      <c r="O730" s="20"/>
      <c r="P730" s="20"/>
      <c r="Q730" s="20"/>
      <c r="R730" s="20"/>
      <c r="S730" s="20"/>
      <c r="T730" s="20"/>
      <c r="U730" s="20"/>
      <c r="V730" s="20"/>
      <c r="W730" s="20"/>
      <c r="X730" s="20"/>
      <c r="Y730" s="20"/>
      <c r="Z730" s="20"/>
    </row>
    <row r="731" spans="1:26" ht="17.25" customHeight="1">
      <c r="A731" s="15"/>
      <c r="B731" s="15"/>
      <c r="C731" s="15"/>
      <c r="D731" s="15"/>
      <c r="E731" s="15"/>
      <c r="F731" s="15"/>
      <c r="G731" s="15"/>
      <c r="H731" s="15"/>
      <c r="I731" s="45"/>
      <c r="J731" s="47"/>
      <c r="K731" s="20"/>
      <c r="L731" s="20"/>
      <c r="M731" s="20"/>
      <c r="N731" s="20"/>
      <c r="O731" s="20"/>
      <c r="P731" s="20"/>
      <c r="Q731" s="20"/>
      <c r="R731" s="20"/>
      <c r="S731" s="20"/>
      <c r="T731" s="20"/>
      <c r="U731" s="20"/>
      <c r="V731" s="20"/>
      <c r="W731" s="20"/>
      <c r="X731" s="20"/>
      <c r="Y731" s="20"/>
      <c r="Z731" s="20"/>
    </row>
    <row r="732" spans="1:26" ht="17.25" customHeight="1">
      <c r="A732" s="15"/>
      <c r="B732" s="15"/>
      <c r="C732" s="15"/>
      <c r="D732" s="15"/>
      <c r="E732" s="15"/>
      <c r="F732" s="15"/>
      <c r="G732" s="15"/>
      <c r="H732" s="15"/>
      <c r="I732" s="45"/>
      <c r="J732" s="47"/>
      <c r="K732" s="20"/>
      <c r="L732" s="20"/>
      <c r="M732" s="20"/>
      <c r="N732" s="20"/>
      <c r="O732" s="20"/>
      <c r="P732" s="20"/>
      <c r="Q732" s="20"/>
      <c r="R732" s="20"/>
      <c r="S732" s="20"/>
      <c r="T732" s="20"/>
      <c r="U732" s="20"/>
      <c r="V732" s="20"/>
      <c r="W732" s="20"/>
      <c r="X732" s="20"/>
      <c r="Y732" s="20"/>
      <c r="Z732" s="20"/>
    </row>
    <row r="733" spans="1:26" ht="17.25" customHeight="1">
      <c r="A733" s="15"/>
      <c r="B733" s="15"/>
      <c r="C733" s="15"/>
      <c r="D733" s="15"/>
      <c r="E733" s="15"/>
      <c r="F733" s="15"/>
      <c r="G733" s="15"/>
      <c r="H733" s="15"/>
      <c r="I733" s="45"/>
      <c r="J733" s="47"/>
      <c r="K733" s="20"/>
      <c r="L733" s="20"/>
      <c r="M733" s="20"/>
      <c r="N733" s="20"/>
      <c r="O733" s="20"/>
      <c r="P733" s="20"/>
      <c r="Q733" s="20"/>
      <c r="R733" s="20"/>
      <c r="S733" s="20"/>
      <c r="T733" s="20"/>
      <c r="U733" s="20"/>
      <c r="V733" s="20"/>
      <c r="W733" s="20"/>
      <c r="X733" s="20"/>
      <c r="Y733" s="20"/>
      <c r="Z733" s="20"/>
    </row>
    <row r="734" spans="1:26" ht="17.25" customHeight="1">
      <c r="A734" s="15"/>
      <c r="B734" s="15"/>
      <c r="C734" s="15"/>
      <c r="D734" s="15"/>
      <c r="E734" s="15"/>
      <c r="F734" s="15"/>
      <c r="G734" s="15"/>
      <c r="H734" s="15"/>
      <c r="I734" s="45"/>
      <c r="J734" s="47"/>
      <c r="K734" s="20"/>
      <c r="L734" s="20"/>
      <c r="M734" s="20"/>
      <c r="N734" s="20"/>
      <c r="O734" s="20"/>
      <c r="P734" s="20"/>
      <c r="Q734" s="20"/>
      <c r="R734" s="20"/>
      <c r="S734" s="20"/>
      <c r="T734" s="20"/>
      <c r="U734" s="20"/>
      <c r="V734" s="20"/>
      <c r="W734" s="20"/>
      <c r="X734" s="20"/>
      <c r="Y734" s="20"/>
      <c r="Z734" s="20"/>
    </row>
    <row r="735" spans="1:26" ht="17.25" customHeight="1">
      <c r="A735" s="15"/>
      <c r="B735" s="15"/>
      <c r="C735" s="15"/>
      <c r="D735" s="15"/>
      <c r="E735" s="15"/>
      <c r="F735" s="15"/>
      <c r="G735" s="15"/>
      <c r="H735" s="15"/>
      <c r="I735" s="45"/>
      <c r="J735" s="47"/>
      <c r="K735" s="20"/>
      <c r="L735" s="20"/>
      <c r="M735" s="20"/>
      <c r="N735" s="20"/>
      <c r="O735" s="20"/>
      <c r="P735" s="20"/>
      <c r="Q735" s="20"/>
      <c r="R735" s="20"/>
      <c r="S735" s="20"/>
      <c r="T735" s="20"/>
      <c r="U735" s="20"/>
      <c r="V735" s="20"/>
      <c r="W735" s="20"/>
      <c r="X735" s="20"/>
      <c r="Y735" s="20"/>
      <c r="Z735" s="20"/>
    </row>
    <row r="736" spans="1:26" ht="17.25" customHeight="1">
      <c r="A736" s="15"/>
      <c r="B736" s="15"/>
      <c r="C736" s="15"/>
      <c r="D736" s="15"/>
      <c r="E736" s="15"/>
      <c r="F736" s="15"/>
      <c r="G736" s="15"/>
      <c r="H736" s="15"/>
      <c r="I736" s="45"/>
      <c r="J736" s="47"/>
      <c r="K736" s="20"/>
      <c r="L736" s="20"/>
      <c r="M736" s="20"/>
      <c r="N736" s="20"/>
      <c r="O736" s="20"/>
      <c r="P736" s="20"/>
      <c r="Q736" s="20"/>
      <c r="R736" s="20"/>
      <c r="S736" s="20"/>
      <c r="T736" s="20"/>
      <c r="U736" s="20"/>
      <c r="V736" s="20"/>
      <c r="W736" s="20"/>
      <c r="X736" s="20"/>
      <c r="Y736" s="20"/>
      <c r="Z736" s="20"/>
    </row>
    <row r="737" spans="1:26" ht="17.25" customHeight="1">
      <c r="A737" s="15"/>
      <c r="B737" s="15"/>
      <c r="C737" s="15"/>
      <c r="D737" s="15"/>
      <c r="E737" s="15"/>
      <c r="F737" s="15"/>
      <c r="G737" s="15"/>
      <c r="H737" s="15"/>
      <c r="I737" s="45"/>
      <c r="J737" s="47"/>
      <c r="K737" s="20"/>
      <c r="L737" s="20"/>
      <c r="M737" s="20"/>
      <c r="N737" s="20"/>
      <c r="O737" s="20"/>
      <c r="P737" s="20"/>
      <c r="Q737" s="20"/>
      <c r="R737" s="20"/>
      <c r="S737" s="20"/>
      <c r="T737" s="20"/>
      <c r="U737" s="20"/>
      <c r="V737" s="20"/>
      <c r="W737" s="20"/>
      <c r="X737" s="20"/>
      <c r="Y737" s="20"/>
      <c r="Z737" s="20"/>
    </row>
    <row r="738" spans="1:26" ht="17.25" customHeight="1">
      <c r="A738" s="15"/>
      <c r="B738" s="15"/>
      <c r="C738" s="15"/>
      <c r="D738" s="15"/>
      <c r="E738" s="15"/>
      <c r="F738" s="15"/>
      <c r="G738" s="15"/>
      <c r="H738" s="15"/>
      <c r="I738" s="45"/>
      <c r="J738" s="47"/>
      <c r="K738" s="20"/>
      <c r="L738" s="20"/>
      <c r="M738" s="20"/>
      <c r="N738" s="20"/>
      <c r="O738" s="20"/>
      <c r="P738" s="20"/>
      <c r="Q738" s="20"/>
      <c r="R738" s="20"/>
      <c r="S738" s="20"/>
      <c r="T738" s="20"/>
      <c r="U738" s="20"/>
      <c r="V738" s="20"/>
      <c r="W738" s="20"/>
      <c r="X738" s="20"/>
      <c r="Y738" s="20"/>
      <c r="Z738" s="20"/>
    </row>
    <row r="739" spans="1:26" ht="17.25" customHeight="1">
      <c r="A739" s="15"/>
      <c r="B739" s="15"/>
      <c r="C739" s="15"/>
      <c r="D739" s="15"/>
      <c r="E739" s="15"/>
      <c r="F739" s="15"/>
      <c r="G739" s="15"/>
      <c r="H739" s="15"/>
      <c r="I739" s="45"/>
      <c r="J739" s="47"/>
      <c r="K739" s="20"/>
      <c r="L739" s="20"/>
      <c r="M739" s="20"/>
      <c r="N739" s="20"/>
      <c r="O739" s="20"/>
      <c r="P739" s="20"/>
      <c r="Q739" s="20"/>
      <c r="R739" s="20"/>
      <c r="S739" s="20"/>
      <c r="T739" s="20"/>
      <c r="U739" s="20"/>
      <c r="V739" s="20"/>
      <c r="W739" s="20"/>
      <c r="X739" s="20"/>
      <c r="Y739" s="20"/>
      <c r="Z739" s="20"/>
    </row>
    <row r="740" spans="1:26" ht="17.25" customHeight="1">
      <c r="A740" s="15"/>
      <c r="B740" s="15"/>
      <c r="C740" s="15"/>
      <c r="D740" s="15"/>
      <c r="E740" s="15"/>
      <c r="F740" s="15"/>
      <c r="G740" s="15"/>
      <c r="H740" s="15"/>
      <c r="I740" s="45"/>
      <c r="J740" s="47"/>
      <c r="K740" s="20"/>
      <c r="L740" s="20"/>
      <c r="M740" s="20"/>
      <c r="N740" s="20"/>
      <c r="O740" s="20"/>
      <c r="P740" s="20"/>
      <c r="Q740" s="20"/>
      <c r="R740" s="20"/>
      <c r="S740" s="20"/>
      <c r="T740" s="20"/>
      <c r="U740" s="20"/>
      <c r="V740" s="20"/>
      <c r="W740" s="20"/>
      <c r="X740" s="20"/>
      <c r="Y740" s="20"/>
      <c r="Z740" s="20"/>
    </row>
    <row r="741" spans="1:26" ht="17.25" customHeight="1">
      <c r="A741" s="15"/>
      <c r="B741" s="15"/>
      <c r="C741" s="15"/>
      <c r="D741" s="15"/>
      <c r="E741" s="15"/>
      <c r="F741" s="15"/>
      <c r="G741" s="15"/>
      <c r="H741" s="15"/>
      <c r="I741" s="45"/>
      <c r="J741" s="47"/>
      <c r="K741" s="20"/>
      <c r="L741" s="20"/>
      <c r="M741" s="20"/>
      <c r="N741" s="20"/>
      <c r="O741" s="20"/>
      <c r="P741" s="20"/>
      <c r="Q741" s="20"/>
      <c r="R741" s="20"/>
      <c r="S741" s="20"/>
      <c r="T741" s="20"/>
      <c r="U741" s="20"/>
      <c r="V741" s="20"/>
      <c r="W741" s="20"/>
      <c r="X741" s="20"/>
      <c r="Y741" s="20"/>
      <c r="Z741" s="20"/>
    </row>
    <row r="742" spans="1:26" ht="17.25" customHeight="1">
      <c r="A742" s="15"/>
      <c r="B742" s="15"/>
      <c r="C742" s="15"/>
      <c r="D742" s="15"/>
      <c r="E742" s="15"/>
      <c r="F742" s="15"/>
      <c r="G742" s="15"/>
      <c r="H742" s="15"/>
      <c r="I742" s="45"/>
      <c r="J742" s="47"/>
      <c r="K742" s="20"/>
      <c r="L742" s="20"/>
      <c r="M742" s="20"/>
      <c r="N742" s="20"/>
      <c r="O742" s="20"/>
      <c r="P742" s="20"/>
      <c r="Q742" s="20"/>
      <c r="R742" s="20"/>
      <c r="S742" s="20"/>
      <c r="T742" s="20"/>
      <c r="U742" s="20"/>
      <c r="V742" s="20"/>
      <c r="W742" s="20"/>
      <c r="X742" s="20"/>
      <c r="Y742" s="20"/>
      <c r="Z742" s="20"/>
    </row>
    <row r="743" spans="1:26" ht="17.25" customHeight="1">
      <c r="A743" s="15"/>
      <c r="B743" s="15"/>
      <c r="C743" s="15"/>
      <c r="D743" s="15"/>
      <c r="E743" s="15"/>
      <c r="F743" s="15"/>
      <c r="G743" s="15"/>
      <c r="H743" s="15"/>
      <c r="I743" s="45"/>
      <c r="J743" s="47"/>
      <c r="K743" s="20"/>
      <c r="L743" s="20"/>
      <c r="M743" s="20"/>
      <c r="N743" s="20"/>
      <c r="O743" s="20"/>
      <c r="P743" s="20"/>
      <c r="Q743" s="20"/>
      <c r="R743" s="20"/>
      <c r="S743" s="20"/>
      <c r="T743" s="20"/>
      <c r="U743" s="20"/>
      <c r="V743" s="20"/>
      <c r="W743" s="20"/>
      <c r="X743" s="20"/>
      <c r="Y743" s="20"/>
      <c r="Z743" s="20"/>
    </row>
    <row r="744" spans="1:26" ht="17.25" customHeight="1">
      <c r="A744" s="15"/>
      <c r="B744" s="15"/>
      <c r="C744" s="15"/>
      <c r="D744" s="15"/>
      <c r="E744" s="15"/>
      <c r="F744" s="15"/>
      <c r="G744" s="15"/>
      <c r="H744" s="15"/>
      <c r="I744" s="45"/>
      <c r="J744" s="47"/>
      <c r="K744" s="20"/>
      <c r="L744" s="20"/>
      <c r="M744" s="20"/>
      <c r="N744" s="20"/>
      <c r="O744" s="20"/>
      <c r="P744" s="20"/>
      <c r="Q744" s="20"/>
      <c r="R744" s="20"/>
      <c r="S744" s="20"/>
      <c r="T744" s="20"/>
      <c r="U744" s="20"/>
      <c r="V744" s="20"/>
      <c r="W744" s="20"/>
      <c r="X744" s="20"/>
      <c r="Y744" s="20"/>
      <c r="Z744" s="20"/>
    </row>
    <row r="745" spans="1:26" ht="17.25" customHeight="1">
      <c r="A745" s="15"/>
      <c r="B745" s="15"/>
      <c r="C745" s="15"/>
      <c r="D745" s="15"/>
      <c r="E745" s="15"/>
      <c r="F745" s="15"/>
      <c r="G745" s="15"/>
      <c r="H745" s="15"/>
      <c r="I745" s="45"/>
      <c r="J745" s="47"/>
      <c r="K745" s="20"/>
      <c r="L745" s="20"/>
      <c r="M745" s="20"/>
      <c r="N745" s="20"/>
      <c r="O745" s="20"/>
      <c r="P745" s="20"/>
      <c r="Q745" s="20"/>
      <c r="R745" s="20"/>
      <c r="S745" s="20"/>
      <c r="T745" s="20"/>
      <c r="U745" s="20"/>
      <c r="V745" s="20"/>
      <c r="W745" s="20"/>
      <c r="X745" s="20"/>
      <c r="Y745" s="20"/>
      <c r="Z745" s="20"/>
    </row>
    <row r="746" spans="1:26" ht="17.25" customHeight="1">
      <c r="A746" s="15"/>
      <c r="B746" s="15"/>
      <c r="C746" s="15"/>
      <c r="D746" s="15"/>
      <c r="E746" s="15"/>
      <c r="F746" s="15"/>
      <c r="G746" s="15"/>
      <c r="H746" s="15"/>
      <c r="I746" s="45"/>
      <c r="J746" s="47"/>
      <c r="K746" s="20"/>
      <c r="L746" s="20"/>
      <c r="M746" s="20"/>
      <c r="N746" s="20"/>
      <c r="O746" s="20"/>
      <c r="P746" s="20"/>
      <c r="Q746" s="20"/>
      <c r="R746" s="20"/>
      <c r="S746" s="20"/>
      <c r="T746" s="20"/>
      <c r="U746" s="20"/>
      <c r="V746" s="20"/>
      <c r="W746" s="20"/>
      <c r="X746" s="20"/>
      <c r="Y746" s="20"/>
      <c r="Z746" s="20"/>
    </row>
    <row r="747" spans="1:26" ht="17.25" customHeight="1">
      <c r="A747" s="15"/>
      <c r="B747" s="15"/>
      <c r="C747" s="15"/>
      <c r="D747" s="15"/>
      <c r="E747" s="15"/>
      <c r="F747" s="15"/>
      <c r="G747" s="15"/>
      <c r="H747" s="15"/>
      <c r="I747" s="45"/>
      <c r="J747" s="47"/>
      <c r="K747" s="20"/>
      <c r="L747" s="20"/>
      <c r="M747" s="20"/>
      <c r="N747" s="20"/>
      <c r="O747" s="20"/>
      <c r="P747" s="20"/>
      <c r="Q747" s="20"/>
      <c r="R747" s="20"/>
      <c r="S747" s="20"/>
      <c r="T747" s="20"/>
      <c r="U747" s="20"/>
      <c r="V747" s="20"/>
      <c r="W747" s="20"/>
      <c r="X747" s="20"/>
      <c r="Y747" s="20"/>
      <c r="Z747" s="20"/>
    </row>
    <row r="748" spans="1:26" ht="17.25" customHeight="1">
      <c r="A748" s="15"/>
      <c r="B748" s="15"/>
      <c r="C748" s="15"/>
      <c r="D748" s="15"/>
      <c r="E748" s="15"/>
      <c r="F748" s="15"/>
      <c r="G748" s="15"/>
      <c r="H748" s="15"/>
      <c r="I748" s="45"/>
      <c r="J748" s="47"/>
      <c r="K748" s="20"/>
      <c r="L748" s="20"/>
      <c r="M748" s="20"/>
      <c r="N748" s="20"/>
      <c r="O748" s="20"/>
      <c r="P748" s="20"/>
      <c r="Q748" s="20"/>
      <c r="R748" s="20"/>
      <c r="S748" s="20"/>
      <c r="T748" s="20"/>
      <c r="U748" s="20"/>
      <c r="V748" s="20"/>
      <c r="W748" s="20"/>
      <c r="X748" s="20"/>
      <c r="Y748" s="20"/>
      <c r="Z748" s="20"/>
    </row>
    <row r="749" spans="1:26" ht="17.25" customHeight="1">
      <c r="A749" s="15"/>
      <c r="B749" s="15"/>
      <c r="C749" s="15"/>
      <c r="D749" s="15"/>
      <c r="E749" s="15"/>
      <c r="F749" s="15"/>
      <c r="G749" s="15"/>
      <c r="H749" s="15"/>
      <c r="I749" s="45"/>
      <c r="J749" s="47"/>
      <c r="K749" s="20"/>
      <c r="L749" s="20"/>
      <c r="M749" s="20"/>
      <c r="N749" s="20"/>
      <c r="O749" s="20"/>
      <c r="P749" s="20"/>
      <c r="Q749" s="20"/>
      <c r="R749" s="20"/>
      <c r="S749" s="20"/>
      <c r="T749" s="20"/>
      <c r="U749" s="20"/>
      <c r="V749" s="20"/>
      <c r="W749" s="20"/>
      <c r="X749" s="20"/>
      <c r="Y749" s="20"/>
      <c r="Z749" s="20"/>
    </row>
    <row r="750" spans="1:26" ht="17.25" customHeight="1">
      <c r="A750" s="15"/>
      <c r="B750" s="15"/>
      <c r="C750" s="15"/>
      <c r="D750" s="15"/>
      <c r="E750" s="15"/>
      <c r="F750" s="15"/>
      <c r="G750" s="15"/>
      <c r="H750" s="15"/>
      <c r="I750" s="45"/>
      <c r="J750" s="47"/>
      <c r="K750" s="20"/>
      <c r="L750" s="20"/>
      <c r="M750" s="20"/>
      <c r="N750" s="20"/>
      <c r="O750" s="20"/>
      <c r="P750" s="20"/>
      <c r="Q750" s="20"/>
      <c r="R750" s="20"/>
      <c r="S750" s="20"/>
      <c r="T750" s="20"/>
      <c r="U750" s="20"/>
      <c r="V750" s="20"/>
      <c r="W750" s="20"/>
      <c r="X750" s="20"/>
      <c r="Y750" s="20"/>
      <c r="Z750" s="20"/>
    </row>
    <row r="751" spans="1:26" ht="17.25" customHeight="1">
      <c r="A751" s="15"/>
      <c r="B751" s="15"/>
      <c r="C751" s="15"/>
      <c r="D751" s="15"/>
      <c r="E751" s="15"/>
      <c r="F751" s="15"/>
      <c r="G751" s="15"/>
      <c r="H751" s="15"/>
      <c r="I751" s="45"/>
      <c r="J751" s="47"/>
      <c r="K751" s="20"/>
      <c r="L751" s="20"/>
      <c r="M751" s="20"/>
      <c r="N751" s="20"/>
      <c r="O751" s="20"/>
      <c r="P751" s="20"/>
      <c r="Q751" s="20"/>
      <c r="R751" s="20"/>
      <c r="S751" s="20"/>
      <c r="T751" s="20"/>
      <c r="U751" s="20"/>
      <c r="V751" s="20"/>
      <c r="W751" s="20"/>
      <c r="X751" s="20"/>
      <c r="Y751" s="20"/>
      <c r="Z751" s="20"/>
    </row>
    <row r="752" spans="1:26" ht="17.25" customHeight="1">
      <c r="A752" s="15"/>
      <c r="B752" s="15"/>
      <c r="C752" s="15"/>
      <c r="D752" s="15"/>
      <c r="E752" s="15"/>
      <c r="F752" s="15"/>
      <c r="G752" s="15"/>
      <c r="H752" s="15"/>
      <c r="I752" s="45"/>
      <c r="J752" s="47"/>
      <c r="K752" s="20"/>
      <c r="L752" s="20"/>
      <c r="M752" s="20"/>
      <c r="N752" s="20"/>
      <c r="O752" s="20"/>
      <c r="P752" s="20"/>
      <c r="Q752" s="20"/>
      <c r="R752" s="20"/>
      <c r="S752" s="20"/>
      <c r="T752" s="20"/>
      <c r="U752" s="20"/>
      <c r="V752" s="20"/>
      <c r="W752" s="20"/>
      <c r="X752" s="20"/>
      <c r="Y752" s="20"/>
      <c r="Z752" s="20"/>
    </row>
    <row r="753" spans="1:26" ht="17.25" customHeight="1">
      <c r="A753" s="15"/>
      <c r="B753" s="15"/>
      <c r="C753" s="15"/>
      <c r="D753" s="15"/>
      <c r="E753" s="15"/>
      <c r="F753" s="15"/>
      <c r="G753" s="15"/>
      <c r="H753" s="15"/>
      <c r="I753" s="45"/>
      <c r="J753" s="47"/>
      <c r="K753" s="20"/>
      <c r="L753" s="20"/>
      <c r="M753" s="20"/>
      <c r="N753" s="20"/>
      <c r="O753" s="20"/>
      <c r="P753" s="20"/>
      <c r="Q753" s="20"/>
      <c r="R753" s="20"/>
      <c r="S753" s="20"/>
      <c r="T753" s="20"/>
      <c r="U753" s="20"/>
      <c r="V753" s="20"/>
      <c r="W753" s="20"/>
      <c r="X753" s="20"/>
      <c r="Y753" s="20"/>
      <c r="Z753" s="20"/>
    </row>
    <row r="754" spans="1:26" ht="17.25" customHeight="1">
      <c r="A754" s="15"/>
      <c r="B754" s="15"/>
      <c r="C754" s="15"/>
      <c r="D754" s="15"/>
      <c r="E754" s="15"/>
      <c r="F754" s="15"/>
      <c r="G754" s="15"/>
      <c r="H754" s="15"/>
      <c r="I754" s="45"/>
      <c r="J754" s="47"/>
      <c r="K754" s="20"/>
      <c r="L754" s="20"/>
      <c r="M754" s="20"/>
      <c r="N754" s="20"/>
      <c r="O754" s="20"/>
      <c r="P754" s="20"/>
      <c r="Q754" s="20"/>
      <c r="R754" s="20"/>
      <c r="S754" s="20"/>
      <c r="T754" s="20"/>
      <c r="U754" s="20"/>
      <c r="V754" s="20"/>
      <c r="W754" s="20"/>
      <c r="X754" s="20"/>
      <c r="Y754" s="20"/>
      <c r="Z754" s="20"/>
    </row>
    <row r="755" spans="1:26" ht="17.25" customHeight="1">
      <c r="A755" s="15"/>
      <c r="B755" s="15"/>
      <c r="C755" s="15"/>
      <c r="D755" s="15"/>
      <c r="E755" s="15"/>
      <c r="F755" s="15"/>
      <c r="G755" s="15"/>
      <c r="H755" s="15"/>
      <c r="I755" s="45"/>
      <c r="J755" s="47"/>
      <c r="K755" s="20"/>
      <c r="L755" s="20"/>
      <c r="M755" s="20"/>
      <c r="N755" s="20"/>
      <c r="O755" s="20"/>
      <c r="P755" s="20"/>
      <c r="Q755" s="20"/>
      <c r="R755" s="20"/>
      <c r="S755" s="20"/>
      <c r="T755" s="20"/>
      <c r="U755" s="20"/>
      <c r="V755" s="20"/>
      <c r="W755" s="20"/>
      <c r="X755" s="20"/>
      <c r="Y755" s="20"/>
      <c r="Z755" s="20"/>
    </row>
    <row r="756" spans="1:26" ht="17.25" customHeight="1">
      <c r="A756" s="15"/>
      <c r="B756" s="15"/>
      <c r="C756" s="15"/>
      <c r="D756" s="15"/>
      <c r="E756" s="15"/>
      <c r="F756" s="15"/>
      <c r="G756" s="15"/>
      <c r="H756" s="15"/>
      <c r="I756" s="45"/>
      <c r="J756" s="47"/>
      <c r="K756" s="20"/>
      <c r="L756" s="20"/>
      <c r="M756" s="20"/>
      <c r="N756" s="20"/>
      <c r="O756" s="20"/>
      <c r="P756" s="20"/>
      <c r="Q756" s="20"/>
      <c r="R756" s="20"/>
      <c r="S756" s="20"/>
      <c r="T756" s="20"/>
      <c r="U756" s="20"/>
      <c r="V756" s="20"/>
      <c r="W756" s="20"/>
      <c r="X756" s="20"/>
      <c r="Y756" s="20"/>
      <c r="Z756" s="20"/>
    </row>
    <row r="757" spans="1:26" ht="17.25" customHeight="1">
      <c r="A757" s="15"/>
      <c r="B757" s="15"/>
      <c r="C757" s="15"/>
      <c r="D757" s="15"/>
      <c r="E757" s="15"/>
      <c r="F757" s="15"/>
      <c r="G757" s="15"/>
      <c r="H757" s="15"/>
      <c r="I757" s="45"/>
      <c r="J757" s="47"/>
      <c r="K757" s="20"/>
      <c r="L757" s="20"/>
      <c r="M757" s="20"/>
      <c r="N757" s="20"/>
      <c r="O757" s="20"/>
      <c r="P757" s="20"/>
      <c r="Q757" s="20"/>
      <c r="R757" s="20"/>
      <c r="S757" s="20"/>
      <c r="T757" s="20"/>
      <c r="U757" s="20"/>
      <c r="V757" s="20"/>
      <c r="W757" s="20"/>
      <c r="X757" s="20"/>
      <c r="Y757" s="20"/>
      <c r="Z757" s="20"/>
    </row>
    <row r="758" spans="1:26" ht="17.25" customHeight="1">
      <c r="A758" s="15"/>
      <c r="B758" s="15"/>
      <c r="C758" s="15"/>
      <c r="D758" s="15"/>
      <c r="E758" s="15"/>
      <c r="F758" s="15"/>
      <c r="G758" s="15"/>
      <c r="H758" s="15"/>
      <c r="I758" s="45"/>
      <c r="J758" s="47"/>
      <c r="K758" s="20"/>
      <c r="L758" s="20"/>
      <c r="M758" s="20"/>
      <c r="N758" s="20"/>
      <c r="O758" s="20"/>
      <c r="P758" s="20"/>
      <c r="Q758" s="20"/>
      <c r="R758" s="20"/>
      <c r="S758" s="20"/>
      <c r="T758" s="20"/>
      <c r="U758" s="20"/>
      <c r="V758" s="20"/>
      <c r="W758" s="20"/>
      <c r="X758" s="20"/>
      <c r="Y758" s="20"/>
      <c r="Z758" s="20"/>
    </row>
    <row r="759" spans="1:26" ht="17.25" customHeight="1">
      <c r="A759" s="15"/>
      <c r="B759" s="15"/>
      <c r="C759" s="15"/>
      <c r="D759" s="15"/>
      <c r="E759" s="15"/>
      <c r="F759" s="15"/>
      <c r="G759" s="15"/>
      <c r="H759" s="15"/>
      <c r="I759" s="45"/>
      <c r="J759" s="47"/>
      <c r="K759" s="20"/>
      <c r="L759" s="20"/>
      <c r="M759" s="20"/>
      <c r="N759" s="20"/>
      <c r="O759" s="20"/>
      <c r="P759" s="20"/>
      <c r="Q759" s="20"/>
      <c r="R759" s="20"/>
      <c r="S759" s="20"/>
      <c r="T759" s="20"/>
      <c r="U759" s="20"/>
      <c r="V759" s="20"/>
      <c r="W759" s="20"/>
      <c r="X759" s="20"/>
      <c r="Y759" s="20"/>
      <c r="Z759" s="20"/>
    </row>
    <row r="760" spans="1:26" ht="17.25" customHeight="1">
      <c r="A760" s="15"/>
      <c r="B760" s="15"/>
      <c r="C760" s="15"/>
      <c r="D760" s="15"/>
      <c r="E760" s="15"/>
      <c r="F760" s="15"/>
      <c r="G760" s="15"/>
      <c r="H760" s="15"/>
      <c r="I760" s="45"/>
      <c r="J760" s="47"/>
      <c r="K760" s="20"/>
      <c r="L760" s="20"/>
      <c r="M760" s="20"/>
      <c r="N760" s="20"/>
      <c r="O760" s="20"/>
      <c r="P760" s="20"/>
      <c r="Q760" s="20"/>
      <c r="R760" s="20"/>
      <c r="S760" s="20"/>
      <c r="T760" s="20"/>
      <c r="U760" s="20"/>
      <c r="V760" s="20"/>
      <c r="W760" s="20"/>
      <c r="X760" s="20"/>
      <c r="Y760" s="20"/>
      <c r="Z760" s="20"/>
    </row>
    <row r="761" spans="1:26" ht="17.25" customHeight="1">
      <c r="A761" s="15"/>
      <c r="B761" s="15"/>
      <c r="C761" s="15"/>
      <c r="D761" s="15"/>
      <c r="E761" s="15"/>
      <c r="F761" s="15"/>
      <c r="G761" s="15"/>
      <c r="H761" s="15"/>
      <c r="I761" s="45"/>
      <c r="J761" s="47"/>
      <c r="K761" s="20"/>
      <c r="L761" s="20"/>
      <c r="M761" s="20"/>
      <c r="N761" s="20"/>
      <c r="O761" s="20"/>
      <c r="P761" s="20"/>
      <c r="Q761" s="20"/>
      <c r="R761" s="20"/>
      <c r="S761" s="20"/>
      <c r="T761" s="20"/>
      <c r="U761" s="20"/>
      <c r="V761" s="20"/>
      <c r="W761" s="20"/>
      <c r="X761" s="20"/>
      <c r="Y761" s="20"/>
      <c r="Z761" s="20"/>
    </row>
    <row r="762" spans="1:26" ht="17.25" customHeight="1">
      <c r="A762" s="15"/>
      <c r="B762" s="15"/>
      <c r="C762" s="15"/>
      <c r="D762" s="15"/>
      <c r="E762" s="15"/>
      <c r="F762" s="15"/>
      <c r="G762" s="15"/>
      <c r="H762" s="15"/>
      <c r="I762" s="45"/>
      <c r="J762" s="47"/>
      <c r="K762" s="20"/>
      <c r="L762" s="20"/>
      <c r="M762" s="20"/>
      <c r="N762" s="20"/>
      <c r="O762" s="20"/>
      <c r="P762" s="20"/>
      <c r="Q762" s="20"/>
      <c r="R762" s="20"/>
      <c r="S762" s="20"/>
      <c r="T762" s="20"/>
      <c r="U762" s="20"/>
      <c r="V762" s="20"/>
      <c r="W762" s="20"/>
      <c r="X762" s="20"/>
      <c r="Y762" s="20"/>
      <c r="Z762" s="20"/>
    </row>
    <row r="763" spans="1:26" ht="17.25" customHeight="1">
      <c r="A763" s="15"/>
      <c r="B763" s="15"/>
      <c r="C763" s="15"/>
      <c r="D763" s="15"/>
      <c r="E763" s="15"/>
      <c r="F763" s="15"/>
      <c r="G763" s="15"/>
      <c r="H763" s="15"/>
      <c r="I763" s="45"/>
      <c r="J763" s="47"/>
      <c r="K763" s="20"/>
      <c r="L763" s="20"/>
      <c r="M763" s="20"/>
      <c r="N763" s="20"/>
      <c r="O763" s="20"/>
      <c r="P763" s="20"/>
      <c r="Q763" s="20"/>
      <c r="R763" s="20"/>
      <c r="S763" s="20"/>
      <c r="T763" s="20"/>
      <c r="U763" s="20"/>
      <c r="V763" s="20"/>
      <c r="W763" s="20"/>
      <c r="X763" s="20"/>
      <c r="Y763" s="20"/>
      <c r="Z763" s="20"/>
    </row>
    <row r="764" spans="1:26" ht="17.25" customHeight="1">
      <c r="A764" s="15"/>
      <c r="B764" s="15"/>
      <c r="C764" s="15"/>
      <c r="D764" s="15"/>
      <c r="E764" s="15"/>
      <c r="F764" s="15"/>
      <c r="G764" s="15"/>
      <c r="H764" s="15"/>
      <c r="I764" s="45"/>
      <c r="J764" s="47"/>
      <c r="K764" s="20"/>
      <c r="L764" s="20"/>
      <c r="M764" s="20"/>
      <c r="N764" s="20"/>
      <c r="O764" s="20"/>
      <c r="P764" s="20"/>
      <c r="Q764" s="20"/>
      <c r="R764" s="20"/>
      <c r="S764" s="20"/>
      <c r="T764" s="20"/>
      <c r="U764" s="20"/>
      <c r="V764" s="20"/>
      <c r="W764" s="20"/>
      <c r="X764" s="20"/>
      <c r="Y764" s="20"/>
      <c r="Z764" s="20"/>
    </row>
    <row r="765" spans="1:26" ht="17.25" customHeight="1">
      <c r="A765" s="15"/>
      <c r="B765" s="15"/>
      <c r="C765" s="15"/>
      <c r="D765" s="15"/>
      <c r="E765" s="15"/>
      <c r="F765" s="15"/>
      <c r="G765" s="15"/>
      <c r="H765" s="15"/>
      <c r="I765" s="45"/>
      <c r="J765" s="47"/>
      <c r="K765" s="20"/>
      <c r="L765" s="20"/>
      <c r="M765" s="20"/>
      <c r="N765" s="20"/>
      <c r="O765" s="20"/>
      <c r="P765" s="20"/>
      <c r="Q765" s="20"/>
      <c r="R765" s="20"/>
      <c r="S765" s="20"/>
      <c r="T765" s="20"/>
      <c r="U765" s="20"/>
      <c r="V765" s="20"/>
      <c r="W765" s="20"/>
      <c r="X765" s="20"/>
      <c r="Y765" s="20"/>
      <c r="Z765" s="20"/>
    </row>
    <row r="766" spans="1:26" ht="17.25" customHeight="1">
      <c r="A766" s="15"/>
      <c r="B766" s="15"/>
      <c r="C766" s="15"/>
      <c r="D766" s="15"/>
      <c r="E766" s="15"/>
      <c r="F766" s="15"/>
      <c r="G766" s="15"/>
      <c r="H766" s="15"/>
      <c r="I766" s="45"/>
      <c r="J766" s="47"/>
      <c r="K766" s="20"/>
      <c r="L766" s="20"/>
      <c r="M766" s="20"/>
      <c r="N766" s="20"/>
      <c r="O766" s="20"/>
      <c r="P766" s="20"/>
      <c r="Q766" s="20"/>
      <c r="R766" s="20"/>
      <c r="S766" s="20"/>
      <c r="T766" s="20"/>
      <c r="U766" s="20"/>
      <c r="V766" s="20"/>
      <c r="W766" s="20"/>
      <c r="X766" s="20"/>
      <c r="Y766" s="20"/>
      <c r="Z766" s="20"/>
    </row>
    <row r="767" spans="1:26" ht="17.25" customHeight="1">
      <c r="A767" s="15"/>
      <c r="B767" s="15"/>
      <c r="C767" s="15"/>
      <c r="D767" s="15"/>
      <c r="E767" s="15"/>
      <c r="F767" s="15"/>
      <c r="G767" s="15"/>
      <c r="H767" s="15"/>
      <c r="I767" s="45"/>
      <c r="J767" s="47"/>
      <c r="K767" s="20"/>
      <c r="L767" s="20"/>
      <c r="M767" s="20"/>
      <c r="N767" s="20"/>
      <c r="O767" s="20"/>
      <c r="P767" s="20"/>
      <c r="Q767" s="20"/>
      <c r="R767" s="20"/>
      <c r="S767" s="20"/>
      <c r="T767" s="20"/>
      <c r="U767" s="20"/>
      <c r="V767" s="20"/>
      <c r="W767" s="20"/>
      <c r="X767" s="20"/>
      <c r="Y767" s="20"/>
      <c r="Z767" s="20"/>
    </row>
    <row r="768" spans="1:26" ht="17.25" customHeight="1">
      <c r="A768" s="15"/>
      <c r="B768" s="15"/>
      <c r="C768" s="15"/>
      <c r="D768" s="15"/>
      <c r="E768" s="15"/>
      <c r="F768" s="15"/>
      <c r="G768" s="15"/>
      <c r="H768" s="15"/>
      <c r="I768" s="45"/>
      <c r="J768" s="47"/>
      <c r="K768" s="20"/>
      <c r="L768" s="20"/>
      <c r="M768" s="20"/>
      <c r="N768" s="20"/>
      <c r="O768" s="20"/>
      <c r="P768" s="20"/>
      <c r="Q768" s="20"/>
      <c r="R768" s="20"/>
      <c r="S768" s="20"/>
      <c r="T768" s="20"/>
      <c r="U768" s="20"/>
      <c r="V768" s="20"/>
      <c r="W768" s="20"/>
      <c r="X768" s="20"/>
      <c r="Y768" s="20"/>
      <c r="Z768" s="20"/>
    </row>
    <row r="769" spans="1:26" ht="17.25" customHeight="1">
      <c r="A769" s="15"/>
      <c r="B769" s="15"/>
      <c r="C769" s="15"/>
      <c r="D769" s="15"/>
      <c r="E769" s="15"/>
      <c r="F769" s="15"/>
      <c r="G769" s="15"/>
      <c r="H769" s="15"/>
      <c r="I769" s="45"/>
      <c r="J769" s="47"/>
      <c r="K769" s="20"/>
      <c r="L769" s="20"/>
      <c r="M769" s="20"/>
      <c r="N769" s="20"/>
      <c r="O769" s="20"/>
      <c r="P769" s="20"/>
      <c r="Q769" s="20"/>
      <c r="R769" s="20"/>
      <c r="S769" s="20"/>
      <c r="T769" s="20"/>
      <c r="U769" s="20"/>
      <c r="V769" s="20"/>
      <c r="W769" s="20"/>
      <c r="X769" s="20"/>
      <c r="Y769" s="20"/>
      <c r="Z769" s="20"/>
    </row>
    <row r="770" spans="1:26" ht="17.25" customHeight="1">
      <c r="A770" s="15"/>
      <c r="B770" s="15"/>
      <c r="C770" s="15"/>
      <c r="D770" s="15"/>
      <c r="E770" s="15"/>
      <c r="F770" s="15"/>
      <c r="G770" s="15"/>
      <c r="H770" s="15"/>
      <c r="I770" s="45"/>
      <c r="J770" s="47"/>
      <c r="K770" s="20"/>
      <c r="L770" s="20"/>
      <c r="M770" s="20"/>
      <c r="N770" s="20"/>
      <c r="O770" s="20"/>
      <c r="P770" s="20"/>
      <c r="Q770" s="20"/>
      <c r="R770" s="20"/>
      <c r="S770" s="20"/>
      <c r="T770" s="20"/>
      <c r="U770" s="20"/>
      <c r="V770" s="20"/>
      <c r="W770" s="20"/>
      <c r="X770" s="20"/>
      <c r="Y770" s="20"/>
      <c r="Z770" s="20"/>
    </row>
    <row r="771" spans="1:26" ht="17.25" customHeight="1">
      <c r="A771" s="15"/>
      <c r="B771" s="15"/>
      <c r="C771" s="15"/>
      <c r="D771" s="15"/>
      <c r="E771" s="15"/>
      <c r="F771" s="15"/>
      <c r="G771" s="15"/>
      <c r="H771" s="15"/>
      <c r="I771" s="45"/>
      <c r="J771" s="47"/>
      <c r="K771" s="20"/>
      <c r="L771" s="20"/>
      <c r="M771" s="20"/>
      <c r="N771" s="20"/>
      <c r="O771" s="20"/>
      <c r="P771" s="20"/>
      <c r="Q771" s="20"/>
      <c r="R771" s="20"/>
      <c r="S771" s="20"/>
      <c r="T771" s="20"/>
      <c r="U771" s="20"/>
      <c r="V771" s="20"/>
      <c r="W771" s="20"/>
      <c r="X771" s="20"/>
      <c r="Y771" s="20"/>
      <c r="Z771" s="20"/>
    </row>
    <row r="772" spans="1:26" ht="17.25" customHeight="1">
      <c r="A772" s="15"/>
      <c r="B772" s="15"/>
      <c r="C772" s="15"/>
      <c r="D772" s="15"/>
      <c r="E772" s="15"/>
      <c r="F772" s="15"/>
      <c r="G772" s="15"/>
      <c r="H772" s="15"/>
      <c r="I772" s="45"/>
      <c r="J772" s="47"/>
      <c r="K772" s="20"/>
      <c r="L772" s="20"/>
      <c r="M772" s="20"/>
      <c r="N772" s="20"/>
      <c r="O772" s="20"/>
      <c r="P772" s="20"/>
      <c r="Q772" s="20"/>
      <c r="R772" s="20"/>
      <c r="S772" s="20"/>
      <c r="T772" s="20"/>
      <c r="U772" s="20"/>
      <c r="V772" s="20"/>
      <c r="W772" s="20"/>
      <c r="X772" s="20"/>
      <c r="Y772" s="20"/>
      <c r="Z772" s="20"/>
    </row>
    <row r="773" spans="1:26" ht="17.25" customHeight="1">
      <c r="A773" s="15"/>
      <c r="B773" s="15"/>
      <c r="C773" s="15"/>
      <c r="D773" s="15"/>
      <c r="E773" s="15"/>
      <c r="F773" s="15"/>
      <c r="G773" s="15"/>
      <c r="H773" s="15"/>
      <c r="I773" s="45"/>
      <c r="J773" s="47"/>
      <c r="K773" s="20"/>
      <c r="L773" s="20"/>
      <c r="M773" s="20"/>
      <c r="N773" s="20"/>
      <c r="O773" s="20"/>
      <c r="P773" s="20"/>
      <c r="Q773" s="20"/>
      <c r="R773" s="20"/>
      <c r="S773" s="20"/>
      <c r="T773" s="20"/>
      <c r="U773" s="20"/>
      <c r="V773" s="20"/>
      <c r="W773" s="20"/>
      <c r="X773" s="20"/>
      <c r="Y773" s="20"/>
      <c r="Z773" s="20"/>
    </row>
    <row r="774" spans="1:26" ht="17.25" customHeight="1">
      <c r="A774" s="15"/>
      <c r="B774" s="15"/>
      <c r="C774" s="15"/>
      <c r="D774" s="15"/>
      <c r="E774" s="15"/>
      <c r="F774" s="15"/>
      <c r="G774" s="15"/>
      <c r="H774" s="15"/>
      <c r="I774" s="45"/>
      <c r="J774" s="47"/>
      <c r="K774" s="20"/>
      <c r="L774" s="20"/>
      <c r="M774" s="20"/>
      <c r="N774" s="20"/>
      <c r="O774" s="20"/>
      <c r="P774" s="20"/>
      <c r="Q774" s="20"/>
      <c r="R774" s="20"/>
      <c r="S774" s="20"/>
      <c r="T774" s="20"/>
      <c r="U774" s="20"/>
      <c r="V774" s="20"/>
      <c r="W774" s="20"/>
      <c r="X774" s="20"/>
      <c r="Y774" s="20"/>
      <c r="Z774" s="20"/>
    </row>
    <row r="775" spans="1:26" ht="17.25" customHeight="1">
      <c r="A775" s="15"/>
      <c r="B775" s="15"/>
      <c r="C775" s="15"/>
      <c r="D775" s="15"/>
      <c r="E775" s="15"/>
      <c r="F775" s="15"/>
      <c r="G775" s="15"/>
      <c r="H775" s="15"/>
      <c r="I775" s="45"/>
      <c r="J775" s="47"/>
      <c r="K775" s="20"/>
      <c r="L775" s="20"/>
      <c r="M775" s="20"/>
      <c r="N775" s="20"/>
      <c r="O775" s="20"/>
      <c r="P775" s="20"/>
      <c r="Q775" s="20"/>
      <c r="R775" s="20"/>
      <c r="S775" s="20"/>
      <c r="T775" s="20"/>
      <c r="U775" s="20"/>
      <c r="V775" s="20"/>
      <c r="W775" s="20"/>
      <c r="X775" s="20"/>
      <c r="Y775" s="20"/>
      <c r="Z775" s="20"/>
    </row>
    <row r="776" spans="1:26" ht="17.25" customHeight="1">
      <c r="A776" s="15"/>
      <c r="B776" s="15"/>
      <c r="C776" s="15"/>
      <c r="D776" s="15"/>
      <c r="E776" s="15"/>
      <c r="F776" s="15"/>
      <c r="G776" s="15"/>
      <c r="H776" s="15"/>
      <c r="I776" s="45"/>
      <c r="J776" s="47"/>
      <c r="K776" s="20"/>
      <c r="L776" s="20"/>
      <c r="M776" s="20"/>
      <c r="N776" s="20"/>
      <c r="O776" s="20"/>
      <c r="P776" s="20"/>
      <c r="Q776" s="20"/>
      <c r="R776" s="20"/>
      <c r="S776" s="20"/>
      <c r="T776" s="20"/>
      <c r="U776" s="20"/>
      <c r="V776" s="20"/>
      <c r="W776" s="20"/>
      <c r="X776" s="20"/>
      <c r="Y776" s="20"/>
      <c r="Z776" s="20"/>
    </row>
    <row r="777" spans="1:26" ht="17.25" customHeight="1">
      <c r="A777" s="15"/>
      <c r="B777" s="15"/>
      <c r="C777" s="15"/>
      <c r="D777" s="15"/>
      <c r="E777" s="15"/>
      <c r="F777" s="15"/>
      <c r="G777" s="15"/>
      <c r="H777" s="15"/>
      <c r="I777" s="45"/>
      <c r="J777" s="47"/>
      <c r="K777" s="20"/>
      <c r="L777" s="20"/>
      <c r="M777" s="20"/>
      <c r="N777" s="20"/>
      <c r="O777" s="20"/>
      <c r="P777" s="20"/>
      <c r="Q777" s="20"/>
      <c r="R777" s="20"/>
      <c r="S777" s="20"/>
      <c r="T777" s="20"/>
      <c r="U777" s="20"/>
      <c r="V777" s="20"/>
      <c r="W777" s="20"/>
      <c r="X777" s="20"/>
      <c r="Y777" s="20"/>
      <c r="Z777" s="20"/>
    </row>
    <row r="778" spans="1:26" ht="17.25" customHeight="1">
      <c r="A778" s="15"/>
      <c r="B778" s="15"/>
      <c r="C778" s="15"/>
      <c r="D778" s="15"/>
      <c r="E778" s="15"/>
      <c r="F778" s="15"/>
      <c r="G778" s="15"/>
      <c r="H778" s="15"/>
      <c r="I778" s="45"/>
      <c r="J778" s="47"/>
      <c r="K778" s="20"/>
      <c r="L778" s="20"/>
      <c r="M778" s="20"/>
      <c r="N778" s="20"/>
      <c r="O778" s="20"/>
      <c r="P778" s="20"/>
      <c r="Q778" s="20"/>
      <c r="R778" s="20"/>
      <c r="S778" s="20"/>
      <c r="T778" s="20"/>
      <c r="U778" s="20"/>
      <c r="V778" s="20"/>
      <c r="W778" s="20"/>
      <c r="X778" s="20"/>
      <c r="Y778" s="20"/>
      <c r="Z778" s="20"/>
    </row>
    <row r="779" spans="1:26" ht="17.25" customHeight="1">
      <c r="A779" s="15"/>
      <c r="B779" s="15"/>
      <c r="C779" s="15"/>
      <c r="D779" s="15"/>
      <c r="E779" s="15"/>
      <c r="F779" s="15"/>
      <c r="G779" s="15"/>
      <c r="H779" s="15"/>
      <c r="I779" s="45"/>
      <c r="J779" s="47"/>
      <c r="K779" s="20"/>
      <c r="L779" s="20"/>
      <c r="M779" s="20"/>
      <c r="N779" s="20"/>
      <c r="O779" s="20"/>
      <c r="P779" s="20"/>
      <c r="Q779" s="20"/>
      <c r="R779" s="20"/>
      <c r="S779" s="20"/>
      <c r="T779" s="20"/>
      <c r="U779" s="20"/>
      <c r="V779" s="20"/>
      <c r="W779" s="20"/>
      <c r="X779" s="20"/>
      <c r="Y779" s="20"/>
      <c r="Z779" s="20"/>
    </row>
    <row r="780" spans="1:26" ht="17.25" customHeight="1">
      <c r="A780" s="15"/>
      <c r="B780" s="15"/>
      <c r="C780" s="15"/>
      <c r="D780" s="15"/>
      <c r="E780" s="15"/>
      <c r="F780" s="15"/>
      <c r="G780" s="15"/>
      <c r="H780" s="15"/>
      <c r="I780" s="45"/>
      <c r="J780" s="47"/>
      <c r="K780" s="20"/>
      <c r="L780" s="20"/>
      <c r="M780" s="20"/>
      <c r="N780" s="20"/>
      <c r="O780" s="20"/>
      <c r="P780" s="20"/>
      <c r="Q780" s="20"/>
      <c r="R780" s="20"/>
      <c r="S780" s="20"/>
      <c r="T780" s="20"/>
      <c r="U780" s="20"/>
      <c r="V780" s="20"/>
      <c r="W780" s="20"/>
      <c r="X780" s="20"/>
      <c r="Y780" s="20"/>
      <c r="Z780" s="20"/>
    </row>
    <row r="781" spans="1:26" ht="17.25" customHeight="1">
      <c r="A781" s="15"/>
      <c r="B781" s="15"/>
      <c r="C781" s="15"/>
      <c r="D781" s="15"/>
      <c r="E781" s="15"/>
      <c r="F781" s="15"/>
      <c r="G781" s="15"/>
      <c r="H781" s="15"/>
      <c r="I781" s="45"/>
      <c r="J781" s="47"/>
      <c r="K781" s="20"/>
      <c r="L781" s="20"/>
      <c r="M781" s="20"/>
      <c r="N781" s="20"/>
      <c r="O781" s="20"/>
      <c r="P781" s="20"/>
      <c r="Q781" s="20"/>
      <c r="R781" s="20"/>
      <c r="S781" s="20"/>
      <c r="T781" s="20"/>
      <c r="U781" s="20"/>
      <c r="V781" s="20"/>
      <c r="W781" s="20"/>
      <c r="X781" s="20"/>
      <c r="Y781" s="20"/>
      <c r="Z781" s="20"/>
    </row>
    <row r="782" spans="1:26" ht="17.25" customHeight="1">
      <c r="A782" s="15"/>
      <c r="B782" s="15"/>
      <c r="C782" s="15"/>
      <c r="D782" s="15"/>
      <c r="E782" s="15"/>
      <c r="F782" s="15"/>
      <c r="G782" s="15"/>
      <c r="H782" s="15"/>
      <c r="I782" s="45"/>
      <c r="J782" s="47"/>
      <c r="K782" s="20"/>
      <c r="L782" s="20"/>
      <c r="M782" s="20"/>
      <c r="N782" s="20"/>
      <c r="O782" s="20"/>
      <c r="P782" s="20"/>
      <c r="Q782" s="20"/>
      <c r="R782" s="20"/>
      <c r="S782" s="20"/>
      <c r="T782" s="20"/>
      <c r="U782" s="20"/>
      <c r="V782" s="20"/>
      <c r="W782" s="20"/>
      <c r="X782" s="20"/>
      <c r="Y782" s="20"/>
      <c r="Z782" s="20"/>
    </row>
    <row r="783" spans="1:26" ht="17.25" customHeight="1">
      <c r="A783" s="15"/>
      <c r="B783" s="15"/>
      <c r="C783" s="15"/>
      <c r="D783" s="15"/>
      <c r="E783" s="15"/>
      <c r="F783" s="15"/>
      <c r="G783" s="15"/>
      <c r="H783" s="15"/>
      <c r="I783" s="45"/>
      <c r="J783" s="47"/>
      <c r="K783" s="20"/>
      <c r="L783" s="20"/>
      <c r="M783" s="20"/>
      <c r="N783" s="20"/>
      <c r="O783" s="20"/>
      <c r="P783" s="20"/>
      <c r="Q783" s="20"/>
      <c r="R783" s="20"/>
      <c r="S783" s="20"/>
      <c r="T783" s="20"/>
      <c r="U783" s="20"/>
      <c r="V783" s="20"/>
      <c r="W783" s="20"/>
      <c r="X783" s="20"/>
      <c r="Y783" s="20"/>
      <c r="Z783" s="20"/>
    </row>
    <row r="784" spans="1:26" ht="17.25" customHeight="1">
      <c r="A784" s="15"/>
      <c r="B784" s="15"/>
      <c r="C784" s="15"/>
      <c r="D784" s="15"/>
      <c r="E784" s="15"/>
      <c r="F784" s="15"/>
      <c r="G784" s="15"/>
      <c r="H784" s="15"/>
      <c r="I784" s="45"/>
      <c r="J784" s="47"/>
      <c r="K784" s="20"/>
      <c r="L784" s="20"/>
      <c r="M784" s="20"/>
      <c r="N784" s="20"/>
      <c r="O784" s="20"/>
      <c r="P784" s="20"/>
      <c r="Q784" s="20"/>
      <c r="R784" s="20"/>
      <c r="S784" s="20"/>
      <c r="T784" s="20"/>
      <c r="U784" s="20"/>
      <c r="V784" s="20"/>
      <c r="W784" s="20"/>
      <c r="X784" s="20"/>
      <c r="Y784" s="20"/>
      <c r="Z784" s="20"/>
    </row>
    <row r="785" spans="1:26" ht="17.25" customHeight="1">
      <c r="A785" s="15"/>
      <c r="B785" s="15"/>
      <c r="C785" s="15"/>
      <c r="D785" s="15"/>
      <c r="E785" s="15"/>
      <c r="F785" s="15"/>
      <c r="G785" s="15"/>
      <c r="H785" s="15"/>
      <c r="I785" s="45"/>
      <c r="J785" s="47"/>
      <c r="K785" s="20"/>
      <c r="L785" s="20"/>
      <c r="M785" s="20"/>
      <c r="N785" s="20"/>
      <c r="O785" s="20"/>
      <c r="P785" s="20"/>
      <c r="Q785" s="20"/>
      <c r="R785" s="20"/>
      <c r="S785" s="20"/>
      <c r="T785" s="20"/>
      <c r="U785" s="20"/>
      <c r="V785" s="20"/>
      <c r="W785" s="20"/>
      <c r="X785" s="20"/>
      <c r="Y785" s="20"/>
      <c r="Z785" s="20"/>
    </row>
    <row r="786" spans="1:26" ht="17.25" customHeight="1">
      <c r="A786" s="15"/>
      <c r="B786" s="15"/>
      <c r="C786" s="15"/>
      <c r="D786" s="15"/>
      <c r="E786" s="15"/>
      <c r="F786" s="15"/>
      <c r="G786" s="15"/>
      <c r="H786" s="15"/>
      <c r="I786" s="45"/>
      <c r="J786" s="47"/>
      <c r="K786" s="20"/>
      <c r="L786" s="20"/>
      <c r="M786" s="20"/>
      <c r="N786" s="20"/>
      <c r="O786" s="20"/>
      <c r="P786" s="20"/>
      <c r="Q786" s="20"/>
      <c r="R786" s="20"/>
      <c r="S786" s="20"/>
      <c r="T786" s="20"/>
      <c r="U786" s="20"/>
      <c r="V786" s="20"/>
      <c r="W786" s="20"/>
      <c r="X786" s="20"/>
      <c r="Y786" s="20"/>
      <c r="Z786" s="20"/>
    </row>
    <row r="787" spans="1:26" ht="17.25" customHeight="1">
      <c r="A787" s="15"/>
      <c r="B787" s="15"/>
      <c r="C787" s="15"/>
      <c r="D787" s="15"/>
      <c r="E787" s="15"/>
      <c r="F787" s="15"/>
      <c r="G787" s="15"/>
      <c r="H787" s="15"/>
      <c r="I787" s="45"/>
      <c r="J787" s="47"/>
      <c r="K787" s="20"/>
      <c r="L787" s="20"/>
      <c r="M787" s="20"/>
      <c r="N787" s="20"/>
      <c r="O787" s="20"/>
      <c r="P787" s="20"/>
      <c r="Q787" s="20"/>
      <c r="R787" s="20"/>
      <c r="S787" s="20"/>
      <c r="T787" s="20"/>
      <c r="U787" s="20"/>
      <c r="V787" s="20"/>
      <c r="W787" s="20"/>
      <c r="X787" s="20"/>
      <c r="Y787" s="20"/>
      <c r="Z787" s="20"/>
    </row>
    <row r="788" spans="1:26" ht="17.25" customHeight="1">
      <c r="A788" s="15"/>
      <c r="B788" s="15"/>
      <c r="C788" s="15"/>
      <c r="D788" s="15"/>
      <c r="E788" s="15"/>
      <c r="F788" s="15"/>
      <c r="G788" s="15"/>
      <c r="H788" s="15"/>
      <c r="I788" s="45"/>
      <c r="J788" s="47"/>
      <c r="K788" s="20"/>
      <c r="L788" s="20"/>
      <c r="M788" s="20"/>
      <c r="N788" s="20"/>
      <c r="O788" s="20"/>
      <c r="P788" s="20"/>
      <c r="Q788" s="20"/>
      <c r="R788" s="20"/>
      <c r="S788" s="20"/>
      <c r="T788" s="20"/>
      <c r="U788" s="20"/>
      <c r="V788" s="20"/>
      <c r="W788" s="20"/>
      <c r="X788" s="20"/>
      <c r="Y788" s="20"/>
      <c r="Z788" s="20"/>
    </row>
    <row r="789" spans="1:26" ht="17.25" customHeight="1">
      <c r="A789" s="15"/>
      <c r="B789" s="15"/>
      <c r="C789" s="15"/>
      <c r="D789" s="15"/>
      <c r="E789" s="15"/>
      <c r="F789" s="15"/>
      <c r="G789" s="15"/>
      <c r="H789" s="15"/>
      <c r="I789" s="45"/>
      <c r="J789" s="47"/>
      <c r="K789" s="20"/>
      <c r="L789" s="20"/>
      <c r="M789" s="20"/>
      <c r="N789" s="20"/>
      <c r="O789" s="20"/>
      <c r="P789" s="20"/>
      <c r="Q789" s="20"/>
      <c r="R789" s="20"/>
      <c r="S789" s="20"/>
      <c r="T789" s="20"/>
      <c r="U789" s="20"/>
      <c r="V789" s="20"/>
      <c r="W789" s="20"/>
      <c r="X789" s="20"/>
      <c r="Y789" s="20"/>
      <c r="Z789" s="20"/>
    </row>
    <row r="790" spans="1:26" ht="17.25" customHeight="1">
      <c r="A790" s="15"/>
      <c r="B790" s="15"/>
      <c r="C790" s="15"/>
      <c r="D790" s="15"/>
      <c r="E790" s="15"/>
      <c r="F790" s="15"/>
      <c r="G790" s="15"/>
      <c r="H790" s="15"/>
      <c r="I790" s="45"/>
      <c r="J790" s="47"/>
      <c r="K790" s="20"/>
      <c r="L790" s="20"/>
      <c r="M790" s="20"/>
      <c r="N790" s="20"/>
      <c r="O790" s="20"/>
      <c r="P790" s="20"/>
      <c r="Q790" s="20"/>
      <c r="R790" s="20"/>
      <c r="S790" s="20"/>
      <c r="T790" s="20"/>
      <c r="U790" s="20"/>
      <c r="V790" s="20"/>
      <c r="W790" s="20"/>
      <c r="X790" s="20"/>
      <c r="Y790" s="20"/>
      <c r="Z790" s="20"/>
    </row>
    <row r="791" spans="1:26" ht="17.25" customHeight="1">
      <c r="A791" s="15"/>
      <c r="B791" s="15"/>
      <c r="C791" s="15"/>
      <c r="D791" s="15"/>
      <c r="E791" s="15"/>
      <c r="F791" s="15"/>
      <c r="G791" s="15"/>
      <c r="H791" s="15"/>
      <c r="I791" s="45"/>
      <c r="J791" s="47"/>
      <c r="K791" s="20"/>
      <c r="L791" s="20"/>
      <c r="M791" s="20"/>
      <c r="N791" s="20"/>
      <c r="O791" s="20"/>
      <c r="P791" s="20"/>
      <c r="Q791" s="20"/>
      <c r="R791" s="20"/>
      <c r="S791" s="20"/>
      <c r="T791" s="20"/>
      <c r="U791" s="20"/>
      <c r="V791" s="20"/>
      <c r="W791" s="20"/>
      <c r="X791" s="20"/>
      <c r="Y791" s="20"/>
      <c r="Z791" s="20"/>
    </row>
    <row r="792" spans="1:26" ht="17.25" customHeight="1">
      <c r="A792" s="15"/>
      <c r="B792" s="15"/>
      <c r="C792" s="15"/>
      <c r="D792" s="15"/>
      <c r="E792" s="15"/>
      <c r="F792" s="15"/>
      <c r="G792" s="15"/>
      <c r="H792" s="15"/>
      <c r="I792" s="45"/>
      <c r="J792" s="47"/>
      <c r="K792" s="20"/>
      <c r="L792" s="20"/>
      <c r="M792" s="20"/>
      <c r="N792" s="20"/>
      <c r="O792" s="20"/>
      <c r="P792" s="20"/>
      <c r="Q792" s="20"/>
      <c r="R792" s="20"/>
      <c r="S792" s="20"/>
      <c r="T792" s="20"/>
      <c r="U792" s="20"/>
      <c r="V792" s="20"/>
      <c r="W792" s="20"/>
      <c r="X792" s="20"/>
      <c r="Y792" s="20"/>
      <c r="Z792" s="20"/>
    </row>
    <row r="793" spans="1:26" ht="17.25" customHeight="1">
      <c r="A793" s="15"/>
      <c r="B793" s="15"/>
      <c r="C793" s="15"/>
      <c r="D793" s="15"/>
      <c r="E793" s="15"/>
      <c r="F793" s="15"/>
      <c r="G793" s="15"/>
      <c r="H793" s="15"/>
      <c r="I793" s="45"/>
      <c r="J793" s="47"/>
      <c r="K793" s="20"/>
      <c r="L793" s="20"/>
      <c r="M793" s="20"/>
      <c r="N793" s="20"/>
      <c r="O793" s="20"/>
      <c r="P793" s="20"/>
      <c r="Q793" s="20"/>
      <c r="R793" s="20"/>
      <c r="S793" s="20"/>
      <c r="T793" s="20"/>
      <c r="U793" s="20"/>
      <c r="V793" s="20"/>
      <c r="W793" s="20"/>
      <c r="X793" s="20"/>
      <c r="Y793" s="20"/>
      <c r="Z793" s="20"/>
    </row>
    <row r="794" spans="1:26" ht="17.25" customHeight="1">
      <c r="A794" s="15"/>
      <c r="B794" s="15"/>
      <c r="C794" s="15"/>
      <c r="D794" s="15"/>
      <c r="E794" s="15"/>
      <c r="F794" s="15"/>
      <c r="G794" s="15"/>
      <c r="H794" s="15"/>
      <c r="I794" s="45"/>
      <c r="J794" s="47"/>
      <c r="K794" s="20"/>
      <c r="L794" s="20"/>
      <c r="M794" s="20"/>
      <c r="N794" s="20"/>
      <c r="O794" s="20"/>
      <c r="P794" s="20"/>
      <c r="Q794" s="20"/>
      <c r="R794" s="20"/>
      <c r="S794" s="20"/>
      <c r="T794" s="20"/>
      <c r="U794" s="20"/>
      <c r="V794" s="20"/>
      <c r="W794" s="20"/>
      <c r="X794" s="20"/>
      <c r="Y794" s="20"/>
      <c r="Z794" s="20"/>
    </row>
    <row r="795" spans="1:26" ht="17.25" customHeight="1">
      <c r="A795" s="15"/>
      <c r="B795" s="15"/>
      <c r="C795" s="15"/>
      <c r="D795" s="15"/>
      <c r="E795" s="15"/>
      <c r="F795" s="15"/>
      <c r="G795" s="15"/>
      <c r="H795" s="15"/>
      <c r="I795" s="45"/>
      <c r="J795" s="47"/>
      <c r="K795" s="20"/>
      <c r="L795" s="20"/>
      <c r="M795" s="20"/>
      <c r="N795" s="20"/>
      <c r="O795" s="20"/>
      <c r="P795" s="20"/>
      <c r="Q795" s="20"/>
      <c r="R795" s="20"/>
      <c r="S795" s="20"/>
      <c r="T795" s="20"/>
      <c r="U795" s="20"/>
      <c r="V795" s="20"/>
      <c r="W795" s="20"/>
      <c r="X795" s="20"/>
      <c r="Y795" s="20"/>
      <c r="Z795" s="20"/>
    </row>
    <row r="796" spans="1:26" ht="17.25" customHeight="1">
      <c r="A796" s="15"/>
      <c r="B796" s="15"/>
      <c r="C796" s="15"/>
      <c r="D796" s="15"/>
      <c r="E796" s="15"/>
      <c r="F796" s="15"/>
      <c r="G796" s="15"/>
      <c r="H796" s="15"/>
      <c r="I796" s="45"/>
      <c r="J796" s="47"/>
      <c r="K796" s="20"/>
      <c r="L796" s="20"/>
      <c r="M796" s="20"/>
      <c r="N796" s="20"/>
      <c r="O796" s="20"/>
      <c r="P796" s="20"/>
      <c r="Q796" s="20"/>
      <c r="R796" s="20"/>
      <c r="S796" s="20"/>
      <c r="T796" s="20"/>
      <c r="U796" s="20"/>
      <c r="V796" s="20"/>
      <c r="W796" s="20"/>
      <c r="X796" s="20"/>
      <c r="Y796" s="20"/>
      <c r="Z796" s="20"/>
    </row>
    <row r="797" spans="1:26" ht="17.25" customHeight="1">
      <c r="A797" s="15"/>
      <c r="B797" s="15"/>
      <c r="C797" s="15"/>
      <c r="D797" s="15"/>
      <c r="E797" s="15"/>
      <c r="F797" s="15"/>
      <c r="G797" s="15"/>
      <c r="H797" s="15"/>
      <c r="I797" s="45"/>
      <c r="J797" s="47"/>
      <c r="K797" s="20"/>
      <c r="L797" s="20"/>
      <c r="M797" s="20"/>
      <c r="N797" s="20"/>
      <c r="O797" s="20"/>
      <c r="P797" s="20"/>
      <c r="Q797" s="20"/>
      <c r="R797" s="20"/>
      <c r="S797" s="20"/>
      <c r="T797" s="20"/>
      <c r="U797" s="20"/>
      <c r="V797" s="20"/>
      <c r="W797" s="20"/>
      <c r="X797" s="20"/>
      <c r="Y797" s="20"/>
      <c r="Z797" s="20"/>
    </row>
    <row r="798" spans="1:26" ht="17.25" customHeight="1">
      <c r="A798" s="15"/>
      <c r="B798" s="15"/>
      <c r="C798" s="15"/>
      <c r="D798" s="15"/>
      <c r="E798" s="15"/>
      <c r="F798" s="15"/>
      <c r="G798" s="15"/>
      <c r="H798" s="15"/>
      <c r="I798" s="45"/>
      <c r="J798" s="47"/>
      <c r="K798" s="20"/>
      <c r="L798" s="20"/>
      <c r="M798" s="20"/>
      <c r="N798" s="20"/>
      <c r="O798" s="20"/>
      <c r="P798" s="20"/>
      <c r="Q798" s="20"/>
      <c r="R798" s="20"/>
      <c r="S798" s="20"/>
      <c r="T798" s="20"/>
      <c r="U798" s="20"/>
      <c r="V798" s="20"/>
      <c r="W798" s="20"/>
      <c r="X798" s="20"/>
      <c r="Y798" s="20"/>
      <c r="Z798" s="20"/>
    </row>
    <row r="799" spans="1:26" ht="17.25" customHeight="1">
      <c r="A799" s="15"/>
      <c r="B799" s="15"/>
      <c r="C799" s="15"/>
      <c r="D799" s="15"/>
      <c r="E799" s="15"/>
      <c r="F799" s="15"/>
      <c r="G799" s="15"/>
      <c r="H799" s="15"/>
      <c r="I799" s="45"/>
      <c r="J799" s="47"/>
      <c r="K799" s="20"/>
      <c r="L799" s="20"/>
      <c r="M799" s="20"/>
      <c r="N799" s="20"/>
      <c r="O799" s="20"/>
      <c r="P799" s="20"/>
      <c r="Q799" s="20"/>
      <c r="R799" s="20"/>
      <c r="S799" s="20"/>
      <c r="T799" s="20"/>
      <c r="U799" s="20"/>
      <c r="V799" s="20"/>
      <c r="W799" s="20"/>
      <c r="X799" s="20"/>
      <c r="Y799" s="20"/>
      <c r="Z799" s="20"/>
    </row>
    <row r="800" spans="1:26" ht="17.25" customHeight="1">
      <c r="A800" s="15"/>
      <c r="B800" s="15"/>
      <c r="C800" s="15"/>
      <c r="D800" s="15"/>
      <c r="E800" s="15"/>
      <c r="F800" s="15"/>
      <c r="G800" s="15"/>
      <c r="H800" s="15"/>
      <c r="I800" s="45"/>
      <c r="J800" s="47"/>
      <c r="K800" s="20"/>
      <c r="L800" s="20"/>
      <c r="M800" s="20"/>
      <c r="N800" s="20"/>
      <c r="O800" s="20"/>
      <c r="P800" s="20"/>
      <c r="Q800" s="20"/>
      <c r="R800" s="20"/>
      <c r="S800" s="20"/>
      <c r="T800" s="20"/>
      <c r="U800" s="20"/>
      <c r="V800" s="20"/>
      <c r="W800" s="20"/>
      <c r="X800" s="20"/>
      <c r="Y800" s="20"/>
      <c r="Z800" s="20"/>
    </row>
    <row r="801" spans="1:26" ht="17.25" customHeight="1">
      <c r="A801" s="15"/>
      <c r="B801" s="15"/>
      <c r="C801" s="15"/>
      <c r="D801" s="15"/>
      <c r="E801" s="15"/>
      <c r="F801" s="15"/>
      <c r="G801" s="15"/>
      <c r="H801" s="15"/>
      <c r="I801" s="45"/>
      <c r="J801" s="47"/>
      <c r="K801" s="20"/>
      <c r="L801" s="20"/>
      <c r="M801" s="20"/>
      <c r="N801" s="20"/>
      <c r="O801" s="20"/>
      <c r="P801" s="20"/>
      <c r="Q801" s="20"/>
      <c r="R801" s="20"/>
      <c r="S801" s="20"/>
      <c r="T801" s="20"/>
      <c r="U801" s="20"/>
      <c r="V801" s="20"/>
      <c r="W801" s="20"/>
      <c r="X801" s="20"/>
      <c r="Y801" s="20"/>
      <c r="Z801" s="20"/>
    </row>
    <row r="802" spans="1:26" ht="17.25" customHeight="1">
      <c r="A802" s="15"/>
      <c r="B802" s="15"/>
      <c r="C802" s="15"/>
      <c r="D802" s="15"/>
      <c r="E802" s="15"/>
      <c r="F802" s="15"/>
      <c r="G802" s="15"/>
      <c r="H802" s="15"/>
      <c r="I802" s="45"/>
      <c r="J802" s="47"/>
      <c r="K802" s="20"/>
      <c r="L802" s="20"/>
      <c r="M802" s="20"/>
      <c r="N802" s="20"/>
      <c r="O802" s="20"/>
      <c r="P802" s="20"/>
      <c r="Q802" s="20"/>
      <c r="R802" s="20"/>
      <c r="S802" s="20"/>
      <c r="T802" s="20"/>
      <c r="U802" s="20"/>
      <c r="V802" s="20"/>
      <c r="W802" s="20"/>
      <c r="X802" s="20"/>
      <c r="Y802" s="20"/>
      <c r="Z802" s="20"/>
    </row>
    <row r="803" spans="1:26" ht="17.25" customHeight="1">
      <c r="A803" s="15"/>
      <c r="B803" s="15"/>
      <c r="C803" s="15"/>
      <c r="D803" s="15"/>
      <c r="E803" s="15"/>
      <c r="F803" s="15"/>
      <c r="G803" s="15"/>
      <c r="H803" s="15"/>
      <c r="I803" s="45"/>
      <c r="J803" s="47"/>
      <c r="K803" s="20"/>
      <c r="L803" s="20"/>
      <c r="M803" s="20"/>
      <c r="N803" s="20"/>
      <c r="O803" s="20"/>
      <c r="P803" s="20"/>
      <c r="Q803" s="20"/>
      <c r="R803" s="20"/>
      <c r="S803" s="20"/>
      <c r="T803" s="20"/>
      <c r="U803" s="20"/>
      <c r="V803" s="20"/>
      <c r="W803" s="20"/>
      <c r="X803" s="20"/>
      <c r="Y803" s="20"/>
      <c r="Z803" s="20"/>
    </row>
    <row r="804" spans="1:26" ht="17.25" customHeight="1">
      <c r="A804" s="15"/>
      <c r="B804" s="15"/>
      <c r="C804" s="15"/>
      <c r="D804" s="15"/>
      <c r="E804" s="15"/>
      <c r="F804" s="15"/>
      <c r="G804" s="15"/>
      <c r="H804" s="15"/>
      <c r="I804" s="45"/>
      <c r="J804" s="47"/>
      <c r="K804" s="20"/>
      <c r="L804" s="20"/>
      <c r="M804" s="20"/>
      <c r="N804" s="20"/>
      <c r="O804" s="20"/>
      <c r="P804" s="20"/>
      <c r="Q804" s="20"/>
      <c r="R804" s="20"/>
      <c r="S804" s="20"/>
      <c r="T804" s="20"/>
      <c r="U804" s="20"/>
      <c r="V804" s="20"/>
      <c r="W804" s="20"/>
      <c r="X804" s="20"/>
      <c r="Y804" s="20"/>
      <c r="Z804" s="20"/>
    </row>
    <row r="805" spans="1:26" ht="17.25" customHeight="1">
      <c r="A805" s="15"/>
      <c r="B805" s="15"/>
      <c r="C805" s="15"/>
      <c r="D805" s="15"/>
      <c r="E805" s="15"/>
      <c r="F805" s="15"/>
      <c r="G805" s="15"/>
      <c r="H805" s="15"/>
      <c r="I805" s="45"/>
      <c r="J805" s="47"/>
      <c r="K805" s="20"/>
      <c r="L805" s="20"/>
      <c r="M805" s="20"/>
      <c r="N805" s="20"/>
      <c r="O805" s="20"/>
      <c r="P805" s="20"/>
      <c r="Q805" s="20"/>
      <c r="R805" s="20"/>
      <c r="S805" s="20"/>
      <c r="T805" s="20"/>
      <c r="U805" s="20"/>
      <c r="V805" s="20"/>
      <c r="W805" s="20"/>
      <c r="X805" s="20"/>
      <c r="Y805" s="20"/>
      <c r="Z805" s="20"/>
    </row>
    <row r="806" spans="1:26" ht="17.25" customHeight="1">
      <c r="A806" s="15"/>
      <c r="B806" s="15"/>
      <c r="C806" s="15"/>
      <c r="D806" s="15"/>
      <c r="E806" s="15"/>
      <c r="F806" s="15"/>
      <c r="G806" s="15"/>
      <c r="H806" s="15"/>
      <c r="I806" s="45"/>
      <c r="J806" s="47"/>
      <c r="K806" s="20"/>
      <c r="L806" s="20"/>
      <c r="M806" s="20"/>
      <c r="N806" s="20"/>
      <c r="O806" s="20"/>
      <c r="P806" s="20"/>
      <c r="Q806" s="20"/>
      <c r="R806" s="20"/>
      <c r="S806" s="20"/>
      <c r="T806" s="20"/>
      <c r="U806" s="20"/>
      <c r="V806" s="20"/>
      <c r="W806" s="20"/>
      <c r="X806" s="20"/>
      <c r="Y806" s="20"/>
      <c r="Z806" s="20"/>
    </row>
    <row r="807" spans="1:26" ht="17.25" customHeight="1">
      <c r="A807" s="15"/>
      <c r="B807" s="15"/>
      <c r="C807" s="15"/>
      <c r="D807" s="15"/>
      <c r="E807" s="15"/>
      <c r="F807" s="15"/>
      <c r="G807" s="15"/>
      <c r="H807" s="15"/>
      <c r="I807" s="45"/>
      <c r="J807" s="47"/>
      <c r="K807" s="20"/>
      <c r="L807" s="20"/>
      <c r="M807" s="20"/>
      <c r="N807" s="20"/>
      <c r="O807" s="20"/>
      <c r="P807" s="20"/>
      <c r="Q807" s="20"/>
      <c r="R807" s="20"/>
      <c r="S807" s="20"/>
      <c r="T807" s="20"/>
      <c r="U807" s="20"/>
      <c r="V807" s="20"/>
      <c r="W807" s="20"/>
      <c r="X807" s="20"/>
      <c r="Y807" s="20"/>
      <c r="Z807" s="20"/>
    </row>
    <row r="808" spans="1:26" ht="17.25" customHeight="1">
      <c r="A808" s="15"/>
      <c r="B808" s="15"/>
      <c r="C808" s="15"/>
      <c r="D808" s="15"/>
      <c r="E808" s="15"/>
      <c r="F808" s="15"/>
      <c r="G808" s="15"/>
      <c r="H808" s="15"/>
      <c r="I808" s="45"/>
      <c r="J808" s="47"/>
      <c r="K808" s="20"/>
      <c r="L808" s="20"/>
      <c r="M808" s="20"/>
      <c r="N808" s="20"/>
      <c r="O808" s="20"/>
      <c r="P808" s="20"/>
      <c r="Q808" s="20"/>
      <c r="R808" s="20"/>
      <c r="S808" s="20"/>
      <c r="T808" s="20"/>
      <c r="U808" s="20"/>
      <c r="V808" s="20"/>
      <c r="W808" s="20"/>
      <c r="X808" s="20"/>
      <c r="Y808" s="20"/>
      <c r="Z808" s="20"/>
    </row>
    <row r="809" spans="1:26" ht="17.25" customHeight="1">
      <c r="A809" s="15"/>
      <c r="B809" s="15"/>
      <c r="C809" s="15"/>
      <c r="D809" s="15"/>
      <c r="E809" s="15"/>
      <c r="F809" s="15"/>
      <c r="G809" s="15"/>
      <c r="H809" s="15"/>
      <c r="I809" s="45"/>
      <c r="J809" s="47"/>
      <c r="K809" s="20"/>
      <c r="L809" s="20"/>
      <c r="M809" s="20"/>
      <c r="N809" s="20"/>
      <c r="O809" s="20"/>
      <c r="P809" s="20"/>
      <c r="Q809" s="20"/>
      <c r="R809" s="20"/>
      <c r="S809" s="20"/>
      <c r="T809" s="20"/>
      <c r="U809" s="20"/>
      <c r="V809" s="20"/>
      <c r="W809" s="20"/>
      <c r="X809" s="20"/>
      <c r="Y809" s="20"/>
      <c r="Z809" s="20"/>
    </row>
    <row r="810" spans="1:26" ht="17.25" customHeight="1">
      <c r="A810" s="15"/>
      <c r="B810" s="15"/>
      <c r="C810" s="15"/>
      <c r="D810" s="15"/>
      <c r="E810" s="15"/>
      <c r="F810" s="15"/>
      <c r="G810" s="15"/>
      <c r="H810" s="15"/>
      <c r="I810" s="45"/>
      <c r="J810" s="47"/>
      <c r="K810" s="20"/>
      <c r="L810" s="20"/>
      <c r="M810" s="20"/>
      <c r="N810" s="20"/>
      <c r="O810" s="20"/>
      <c r="P810" s="20"/>
      <c r="Q810" s="20"/>
      <c r="R810" s="20"/>
      <c r="S810" s="20"/>
      <c r="T810" s="20"/>
      <c r="U810" s="20"/>
      <c r="V810" s="20"/>
      <c r="W810" s="20"/>
      <c r="X810" s="20"/>
      <c r="Y810" s="20"/>
      <c r="Z810" s="20"/>
    </row>
    <row r="811" spans="1:26" ht="17.25" customHeight="1">
      <c r="A811" s="15"/>
      <c r="B811" s="15"/>
      <c r="C811" s="15"/>
      <c r="D811" s="15"/>
      <c r="E811" s="15"/>
      <c r="F811" s="15"/>
      <c r="G811" s="15"/>
      <c r="H811" s="15"/>
      <c r="I811" s="45"/>
      <c r="J811" s="47"/>
      <c r="K811" s="20"/>
      <c r="L811" s="20"/>
      <c r="M811" s="20"/>
      <c r="N811" s="20"/>
      <c r="O811" s="20"/>
      <c r="P811" s="20"/>
      <c r="Q811" s="20"/>
      <c r="R811" s="20"/>
      <c r="S811" s="20"/>
      <c r="T811" s="20"/>
      <c r="U811" s="20"/>
      <c r="V811" s="20"/>
      <c r="W811" s="20"/>
      <c r="X811" s="20"/>
      <c r="Y811" s="20"/>
      <c r="Z811" s="20"/>
    </row>
    <row r="812" spans="1:26" ht="17.25" customHeight="1">
      <c r="A812" s="15"/>
      <c r="B812" s="15"/>
      <c r="C812" s="15"/>
      <c r="D812" s="15"/>
      <c r="E812" s="15"/>
      <c r="F812" s="15"/>
      <c r="G812" s="15"/>
      <c r="H812" s="15"/>
      <c r="I812" s="45"/>
      <c r="J812" s="47"/>
      <c r="K812" s="20"/>
      <c r="L812" s="20"/>
      <c r="M812" s="20"/>
      <c r="N812" s="20"/>
      <c r="O812" s="20"/>
      <c r="P812" s="20"/>
      <c r="Q812" s="20"/>
      <c r="R812" s="20"/>
      <c r="S812" s="20"/>
      <c r="T812" s="20"/>
      <c r="U812" s="20"/>
      <c r="V812" s="20"/>
      <c r="W812" s="20"/>
      <c r="X812" s="20"/>
      <c r="Y812" s="20"/>
      <c r="Z812" s="20"/>
    </row>
    <row r="813" spans="1:26" ht="17.25" customHeight="1">
      <c r="A813" s="15"/>
      <c r="B813" s="15"/>
      <c r="C813" s="15"/>
      <c r="D813" s="15"/>
      <c r="E813" s="15"/>
      <c r="F813" s="15"/>
      <c r="G813" s="15"/>
      <c r="H813" s="15"/>
      <c r="I813" s="45"/>
      <c r="J813" s="47"/>
      <c r="K813" s="20"/>
      <c r="L813" s="20"/>
      <c r="M813" s="20"/>
      <c r="N813" s="20"/>
      <c r="O813" s="20"/>
      <c r="P813" s="20"/>
      <c r="Q813" s="20"/>
      <c r="R813" s="20"/>
      <c r="S813" s="20"/>
      <c r="T813" s="20"/>
      <c r="U813" s="20"/>
      <c r="V813" s="20"/>
      <c r="W813" s="20"/>
      <c r="X813" s="20"/>
      <c r="Y813" s="20"/>
      <c r="Z813" s="20"/>
    </row>
    <row r="814" spans="1:26" ht="17.25" customHeight="1">
      <c r="A814" s="15"/>
      <c r="B814" s="15"/>
      <c r="C814" s="15"/>
      <c r="D814" s="15"/>
      <c r="E814" s="15"/>
      <c r="F814" s="15"/>
      <c r="G814" s="15"/>
      <c r="H814" s="15"/>
      <c r="I814" s="45"/>
      <c r="J814" s="47"/>
      <c r="K814" s="20"/>
      <c r="L814" s="20"/>
      <c r="M814" s="20"/>
      <c r="N814" s="20"/>
      <c r="O814" s="20"/>
      <c r="P814" s="20"/>
      <c r="Q814" s="20"/>
      <c r="R814" s="20"/>
      <c r="S814" s="20"/>
      <c r="T814" s="20"/>
      <c r="U814" s="20"/>
      <c r="V814" s="20"/>
      <c r="W814" s="20"/>
      <c r="X814" s="20"/>
      <c r="Y814" s="20"/>
      <c r="Z814" s="20"/>
    </row>
    <row r="815" spans="1:26" ht="17.25" customHeight="1">
      <c r="A815" s="15"/>
      <c r="B815" s="15"/>
      <c r="C815" s="15"/>
      <c r="D815" s="15"/>
      <c r="E815" s="15"/>
      <c r="F815" s="15"/>
      <c r="G815" s="15"/>
      <c r="H815" s="15"/>
      <c r="I815" s="45"/>
      <c r="J815" s="47"/>
      <c r="K815" s="20"/>
      <c r="L815" s="20"/>
      <c r="M815" s="20"/>
      <c r="N815" s="20"/>
      <c r="O815" s="20"/>
      <c r="P815" s="20"/>
      <c r="Q815" s="20"/>
      <c r="R815" s="20"/>
      <c r="S815" s="20"/>
      <c r="T815" s="20"/>
      <c r="U815" s="20"/>
      <c r="V815" s="20"/>
      <c r="W815" s="20"/>
      <c r="X815" s="20"/>
      <c r="Y815" s="20"/>
      <c r="Z815" s="20"/>
    </row>
    <row r="816" spans="1:26" ht="17.25" customHeight="1">
      <c r="A816" s="15"/>
      <c r="B816" s="15"/>
      <c r="C816" s="15"/>
      <c r="D816" s="15"/>
      <c r="E816" s="15"/>
      <c r="F816" s="15"/>
      <c r="G816" s="15"/>
      <c r="H816" s="15"/>
      <c r="I816" s="45"/>
      <c r="J816" s="47"/>
      <c r="K816" s="20"/>
      <c r="L816" s="20"/>
      <c r="M816" s="20"/>
      <c r="N816" s="20"/>
      <c r="O816" s="20"/>
      <c r="P816" s="20"/>
      <c r="Q816" s="20"/>
      <c r="R816" s="20"/>
      <c r="S816" s="20"/>
      <c r="T816" s="20"/>
      <c r="U816" s="20"/>
      <c r="V816" s="20"/>
      <c r="W816" s="20"/>
      <c r="X816" s="20"/>
      <c r="Y816" s="20"/>
      <c r="Z816" s="20"/>
    </row>
    <row r="817" spans="1:26" ht="17.25" customHeight="1">
      <c r="A817" s="15"/>
      <c r="B817" s="15"/>
      <c r="C817" s="15"/>
      <c r="D817" s="15"/>
      <c r="E817" s="15"/>
      <c r="F817" s="15"/>
      <c r="G817" s="15"/>
      <c r="H817" s="15"/>
      <c r="I817" s="45"/>
      <c r="J817" s="47"/>
      <c r="K817" s="20"/>
      <c r="L817" s="20"/>
      <c r="M817" s="20"/>
      <c r="N817" s="20"/>
      <c r="O817" s="20"/>
      <c r="P817" s="20"/>
      <c r="Q817" s="20"/>
      <c r="R817" s="20"/>
      <c r="S817" s="20"/>
      <c r="T817" s="20"/>
      <c r="U817" s="20"/>
      <c r="V817" s="20"/>
      <c r="W817" s="20"/>
      <c r="X817" s="20"/>
      <c r="Y817" s="20"/>
      <c r="Z817" s="20"/>
    </row>
    <row r="818" spans="1:26" ht="17.25" customHeight="1">
      <c r="A818" s="15"/>
      <c r="B818" s="15"/>
      <c r="C818" s="15"/>
      <c r="D818" s="15"/>
      <c r="E818" s="15"/>
      <c r="F818" s="15"/>
      <c r="G818" s="15"/>
      <c r="H818" s="15"/>
      <c r="I818" s="45"/>
      <c r="J818" s="47"/>
      <c r="K818" s="20"/>
      <c r="L818" s="20"/>
      <c r="M818" s="20"/>
      <c r="N818" s="20"/>
      <c r="O818" s="20"/>
      <c r="P818" s="20"/>
      <c r="Q818" s="20"/>
      <c r="R818" s="20"/>
      <c r="S818" s="20"/>
      <c r="T818" s="20"/>
      <c r="U818" s="20"/>
      <c r="V818" s="20"/>
      <c r="W818" s="20"/>
      <c r="X818" s="20"/>
      <c r="Y818" s="20"/>
      <c r="Z818" s="20"/>
    </row>
    <row r="819" spans="1:26" ht="17.25" customHeight="1">
      <c r="A819" s="15"/>
      <c r="B819" s="15"/>
      <c r="C819" s="15"/>
      <c r="D819" s="15"/>
      <c r="E819" s="15"/>
      <c r="F819" s="15"/>
      <c r="G819" s="15"/>
      <c r="H819" s="15"/>
      <c r="I819" s="45"/>
      <c r="J819" s="47"/>
      <c r="K819" s="20"/>
      <c r="L819" s="20"/>
      <c r="M819" s="20"/>
      <c r="N819" s="20"/>
      <c r="O819" s="20"/>
      <c r="P819" s="20"/>
      <c r="Q819" s="20"/>
      <c r="R819" s="20"/>
      <c r="S819" s="20"/>
      <c r="T819" s="20"/>
      <c r="U819" s="20"/>
      <c r="V819" s="20"/>
      <c r="W819" s="20"/>
      <c r="X819" s="20"/>
      <c r="Y819" s="20"/>
      <c r="Z819" s="20"/>
    </row>
    <row r="820" spans="1:26" ht="17.25" customHeight="1">
      <c r="A820" s="15"/>
      <c r="B820" s="15"/>
      <c r="C820" s="15"/>
      <c r="D820" s="15"/>
      <c r="E820" s="15"/>
      <c r="F820" s="15"/>
      <c r="G820" s="15"/>
      <c r="H820" s="15"/>
      <c r="I820" s="45"/>
      <c r="J820" s="47"/>
      <c r="K820" s="20"/>
      <c r="L820" s="20"/>
      <c r="M820" s="20"/>
      <c r="N820" s="20"/>
      <c r="O820" s="20"/>
      <c r="P820" s="20"/>
      <c r="Q820" s="20"/>
      <c r="R820" s="20"/>
      <c r="S820" s="20"/>
      <c r="T820" s="20"/>
      <c r="U820" s="20"/>
      <c r="V820" s="20"/>
      <c r="W820" s="20"/>
      <c r="X820" s="20"/>
      <c r="Y820" s="20"/>
      <c r="Z820" s="20"/>
    </row>
    <row r="821" spans="1:26" ht="17.25" customHeight="1">
      <c r="A821" s="15"/>
      <c r="B821" s="15"/>
      <c r="C821" s="15"/>
      <c r="D821" s="15"/>
      <c r="E821" s="15"/>
      <c r="F821" s="15"/>
      <c r="G821" s="15"/>
      <c r="H821" s="15"/>
      <c r="I821" s="45"/>
      <c r="J821" s="47"/>
      <c r="K821" s="20"/>
      <c r="L821" s="20"/>
      <c r="M821" s="20"/>
      <c r="N821" s="20"/>
      <c r="O821" s="20"/>
      <c r="P821" s="20"/>
      <c r="Q821" s="20"/>
      <c r="R821" s="20"/>
      <c r="S821" s="20"/>
      <c r="T821" s="20"/>
      <c r="U821" s="20"/>
      <c r="V821" s="20"/>
      <c r="W821" s="20"/>
      <c r="X821" s="20"/>
      <c r="Y821" s="20"/>
      <c r="Z821" s="20"/>
    </row>
    <row r="822" spans="1:26" ht="17.25" customHeight="1">
      <c r="A822" s="15"/>
      <c r="B822" s="15"/>
      <c r="C822" s="15"/>
      <c r="D822" s="15"/>
      <c r="E822" s="15"/>
      <c r="F822" s="15"/>
      <c r="G822" s="15"/>
      <c r="H822" s="15"/>
      <c r="I822" s="45"/>
      <c r="J822" s="47"/>
      <c r="K822" s="20"/>
      <c r="L822" s="20"/>
      <c r="M822" s="20"/>
      <c r="N822" s="20"/>
      <c r="O822" s="20"/>
      <c r="P822" s="20"/>
      <c r="Q822" s="20"/>
      <c r="R822" s="20"/>
      <c r="S822" s="20"/>
      <c r="T822" s="20"/>
      <c r="U822" s="20"/>
      <c r="V822" s="20"/>
      <c r="W822" s="20"/>
      <c r="X822" s="20"/>
      <c r="Y822" s="20"/>
      <c r="Z822" s="20"/>
    </row>
    <row r="823" spans="1:26" ht="17.25" customHeight="1">
      <c r="A823" s="15"/>
      <c r="B823" s="15"/>
      <c r="C823" s="15"/>
      <c r="D823" s="15"/>
      <c r="E823" s="15"/>
      <c r="F823" s="15"/>
      <c r="G823" s="15"/>
      <c r="H823" s="15"/>
      <c r="I823" s="45"/>
      <c r="J823" s="47"/>
      <c r="K823" s="20"/>
      <c r="L823" s="20"/>
      <c r="M823" s="20"/>
      <c r="N823" s="20"/>
      <c r="O823" s="20"/>
      <c r="P823" s="20"/>
      <c r="Q823" s="20"/>
      <c r="R823" s="20"/>
      <c r="S823" s="20"/>
      <c r="T823" s="20"/>
      <c r="U823" s="20"/>
      <c r="V823" s="20"/>
      <c r="W823" s="20"/>
      <c r="X823" s="20"/>
      <c r="Y823" s="20"/>
      <c r="Z823" s="20"/>
    </row>
    <row r="824" spans="1:26" ht="17.25" customHeight="1">
      <c r="A824" s="15"/>
      <c r="B824" s="15"/>
      <c r="C824" s="15"/>
      <c r="D824" s="15"/>
      <c r="E824" s="15"/>
      <c r="F824" s="15"/>
      <c r="G824" s="15"/>
      <c r="H824" s="15"/>
      <c r="I824" s="45"/>
      <c r="J824" s="47"/>
      <c r="K824" s="20"/>
      <c r="L824" s="20"/>
      <c r="M824" s="20"/>
      <c r="N824" s="20"/>
      <c r="O824" s="20"/>
      <c r="P824" s="20"/>
      <c r="Q824" s="20"/>
      <c r="R824" s="20"/>
      <c r="S824" s="20"/>
      <c r="T824" s="20"/>
      <c r="U824" s="20"/>
      <c r="V824" s="20"/>
      <c r="W824" s="20"/>
      <c r="X824" s="20"/>
      <c r="Y824" s="20"/>
      <c r="Z824" s="20"/>
    </row>
    <row r="825" spans="1:26" ht="17.25" customHeight="1">
      <c r="A825" s="15"/>
      <c r="B825" s="15"/>
      <c r="C825" s="15"/>
      <c r="D825" s="15"/>
      <c r="E825" s="15"/>
      <c r="F825" s="15"/>
      <c r="G825" s="15"/>
      <c r="H825" s="15"/>
      <c r="I825" s="45"/>
      <c r="J825" s="47"/>
      <c r="K825" s="20"/>
      <c r="L825" s="20"/>
      <c r="M825" s="20"/>
      <c r="N825" s="20"/>
      <c r="O825" s="20"/>
      <c r="P825" s="20"/>
      <c r="Q825" s="20"/>
      <c r="R825" s="20"/>
      <c r="S825" s="20"/>
      <c r="T825" s="20"/>
      <c r="U825" s="20"/>
      <c r="V825" s="20"/>
      <c r="W825" s="20"/>
      <c r="X825" s="20"/>
      <c r="Y825" s="20"/>
      <c r="Z825" s="20"/>
    </row>
    <row r="826" spans="1:26" ht="17.25" customHeight="1">
      <c r="A826" s="15"/>
      <c r="B826" s="15"/>
      <c r="C826" s="15"/>
      <c r="D826" s="15"/>
      <c r="E826" s="15"/>
      <c r="F826" s="15"/>
      <c r="G826" s="15"/>
      <c r="H826" s="15"/>
      <c r="I826" s="45"/>
      <c r="J826" s="47"/>
      <c r="K826" s="20"/>
      <c r="L826" s="20"/>
      <c r="M826" s="20"/>
      <c r="N826" s="20"/>
      <c r="O826" s="20"/>
      <c r="P826" s="20"/>
      <c r="Q826" s="20"/>
      <c r="R826" s="20"/>
      <c r="S826" s="20"/>
      <c r="T826" s="20"/>
      <c r="U826" s="20"/>
      <c r="V826" s="20"/>
      <c r="W826" s="20"/>
      <c r="X826" s="20"/>
      <c r="Y826" s="20"/>
      <c r="Z826" s="20"/>
    </row>
    <row r="827" spans="1:26" ht="17.25" customHeight="1">
      <c r="A827" s="15"/>
      <c r="B827" s="15"/>
      <c r="C827" s="15"/>
      <c r="D827" s="15"/>
      <c r="E827" s="15"/>
      <c r="F827" s="15"/>
      <c r="G827" s="15"/>
      <c r="H827" s="15"/>
      <c r="I827" s="45"/>
      <c r="J827" s="47"/>
      <c r="K827" s="20"/>
      <c r="L827" s="20"/>
      <c r="M827" s="20"/>
      <c r="N827" s="20"/>
      <c r="O827" s="20"/>
      <c r="P827" s="20"/>
      <c r="Q827" s="20"/>
      <c r="R827" s="20"/>
      <c r="S827" s="20"/>
      <c r="T827" s="20"/>
      <c r="U827" s="20"/>
      <c r="V827" s="20"/>
      <c r="W827" s="20"/>
      <c r="X827" s="20"/>
      <c r="Y827" s="20"/>
      <c r="Z827" s="20"/>
    </row>
    <row r="828" spans="1:26" ht="17.25" customHeight="1">
      <c r="A828" s="15"/>
      <c r="B828" s="15"/>
      <c r="C828" s="15"/>
      <c r="D828" s="15"/>
      <c r="E828" s="15"/>
      <c r="F828" s="15"/>
      <c r="G828" s="15"/>
      <c r="H828" s="15"/>
      <c r="I828" s="45"/>
      <c r="J828" s="47"/>
      <c r="K828" s="20"/>
      <c r="L828" s="20"/>
      <c r="M828" s="20"/>
      <c r="N828" s="20"/>
      <c r="O828" s="20"/>
      <c r="P828" s="20"/>
      <c r="Q828" s="20"/>
      <c r="R828" s="20"/>
      <c r="S828" s="20"/>
      <c r="T828" s="20"/>
      <c r="U828" s="20"/>
      <c r="V828" s="20"/>
      <c r="W828" s="20"/>
      <c r="X828" s="20"/>
      <c r="Y828" s="20"/>
      <c r="Z828" s="20"/>
    </row>
    <row r="829" spans="1:26" ht="17.25" customHeight="1">
      <c r="A829" s="15"/>
      <c r="B829" s="15"/>
      <c r="C829" s="15"/>
      <c r="D829" s="15"/>
      <c r="E829" s="15"/>
      <c r="F829" s="15"/>
      <c r="G829" s="15"/>
      <c r="H829" s="15"/>
      <c r="I829" s="45"/>
      <c r="J829" s="47"/>
      <c r="K829" s="20"/>
      <c r="L829" s="20"/>
      <c r="M829" s="20"/>
      <c r="N829" s="20"/>
      <c r="O829" s="20"/>
      <c r="P829" s="20"/>
      <c r="Q829" s="20"/>
      <c r="R829" s="20"/>
      <c r="S829" s="20"/>
      <c r="T829" s="20"/>
      <c r="U829" s="20"/>
      <c r="V829" s="20"/>
      <c r="W829" s="20"/>
      <c r="X829" s="20"/>
      <c r="Y829" s="20"/>
      <c r="Z829" s="20"/>
    </row>
    <row r="830" spans="1:26" ht="17.25" customHeight="1">
      <c r="A830" s="15"/>
      <c r="B830" s="15"/>
      <c r="C830" s="15"/>
      <c r="D830" s="15"/>
      <c r="E830" s="15"/>
      <c r="F830" s="15"/>
      <c r="G830" s="15"/>
      <c r="H830" s="15"/>
      <c r="I830" s="45"/>
      <c r="J830" s="47"/>
      <c r="K830" s="20"/>
      <c r="L830" s="20"/>
      <c r="M830" s="20"/>
      <c r="N830" s="20"/>
      <c r="O830" s="20"/>
      <c r="P830" s="20"/>
      <c r="Q830" s="20"/>
      <c r="R830" s="20"/>
      <c r="S830" s="20"/>
      <c r="T830" s="20"/>
      <c r="U830" s="20"/>
      <c r="V830" s="20"/>
      <c r="W830" s="20"/>
      <c r="X830" s="20"/>
      <c r="Y830" s="20"/>
      <c r="Z830" s="20"/>
    </row>
    <row r="831" spans="1:26" ht="17.25" customHeight="1">
      <c r="A831" s="15"/>
      <c r="B831" s="15"/>
      <c r="C831" s="15"/>
      <c r="D831" s="15"/>
      <c r="E831" s="15"/>
      <c r="F831" s="15"/>
      <c r="G831" s="15"/>
      <c r="H831" s="15"/>
      <c r="I831" s="45"/>
      <c r="J831" s="47"/>
      <c r="K831" s="20"/>
      <c r="L831" s="20"/>
      <c r="M831" s="20"/>
      <c r="N831" s="20"/>
      <c r="O831" s="20"/>
      <c r="P831" s="20"/>
      <c r="Q831" s="20"/>
      <c r="R831" s="20"/>
      <c r="S831" s="20"/>
      <c r="T831" s="20"/>
      <c r="U831" s="20"/>
      <c r="V831" s="20"/>
      <c r="W831" s="20"/>
      <c r="X831" s="20"/>
      <c r="Y831" s="20"/>
      <c r="Z831" s="20"/>
    </row>
    <row r="832" spans="1:26" ht="17.25" customHeight="1">
      <c r="A832" s="15"/>
      <c r="B832" s="15"/>
      <c r="C832" s="15"/>
      <c r="D832" s="15"/>
      <c r="E832" s="15"/>
      <c r="F832" s="15"/>
      <c r="G832" s="15"/>
      <c r="H832" s="15"/>
      <c r="I832" s="45"/>
      <c r="J832" s="47"/>
      <c r="K832" s="20"/>
      <c r="L832" s="20"/>
      <c r="M832" s="20"/>
      <c r="N832" s="20"/>
      <c r="O832" s="20"/>
      <c r="P832" s="20"/>
      <c r="Q832" s="20"/>
      <c r="R832" s="20"/>
      <c r="S832" s="20"/>
      <c r="T832" s="20"/>
      <c r="U832" s="20"/>
      <c r="V832" s="20"/>
      <c r="W832" s="20"/>
      <c r="X832" s="20"/>
      <c r="Y832" s="20"/>
      <c r="Z832" s="20"/>
    </row>
    <row r="833" spans="1:26" ht="17.25" customHeight="1">
      <c r="A833" s="15"/>
      <c r="B833" s="15"/>
      <c r="C833" s="15"/>
      <c r="D833" s="15"/>
      <c r="E833" s="15"/>
      <c r="F833" s="15"/>
      <c r="G833" s="15"/>
      <c r="H833" s="15"/>
      <c r="I833" s="45"/>
      <c r="J833" s="47"/>
      <c r="K833" s="20"/>
      <c r="L833" s="20"/>
      <c r="M833" s="20"/>
      <c r="N833" s="20"/>
      <c r="O833" s="20"/>
      <c r="P833" s="20"/>
      <c r="Q833" s="20"/>
      <c r="R833" s="20"/>
      <c r="S833" s="20"/>
      <c r="T833" s="20"/>
      <c r="U833" s="20"/>
      <c r="V833" s="20"/>
      <c r="W833" s="20"/>
      <c r="X833" s="20"/>
      <c r="Y833" s="20"/>
      <c r="Z833" s="20"/>
    </row>
    <row r="834" spans="1:26" ht="17.25" customHeight="1">
      <c r="A834" s="15"/>
      <c r="B834" s="15"/>
      <c r="C834" s="15"/>
      <c r="D834" s="15"/>
      <c r="E834" s="15"/>
      <c r="F834" s="15"/>
      <c r="G834" s="15"/>
      <c r="H834" s="15"/>
      <c r="I834" s="45"/>
      <c r="J834" s="47"/>
      <c r="K834" s="20"/>
      <c r="L834" s="20"/>
      <c r="M834" s="20"/>
      <c r="N834" s="20"/>
      <c r="O834" s="20"/>
      <c r="P834" s="20"/>
      <c r="Q834" s="20"/>
      <c r="R834" s="20"/>
      <c r="S834" s="20"/>
      <c r="T834" s="20"/>
      <c r="U834" s="20"/>
      <c r="V834" s="20"/>
      <c r="W834" s="20"/>
      <c r="X834" s="20"/>
      <c r="Y834" s="20"/>
      <c r="Z834" s="20"/>
    </row>
    <row r="835" spans="1:26" ht="17.25" customHeight="1">
      <c r="A835" s="15"/>
      <c r="B835" s="15"/>
      <c r="C835" s="15"/>
      <c r="D835" s="15"/>
      <c r="E835" s="15"/>
      <c r="F835" s="15"/>
      <c r="G835" s="15"/>
      <c r="H835" s="15"/>
      <c r="I835" s="45"/>
      <c r="J835" s="47"/>
      <c r="K835" s="20"/>
      <c r="L835" s="20"/>
      <c r="M835" s="20"/>
      <c r="N835" s="20"/>
      <c r="O835" s="20"/>
      <c r="P835" s="20"/>
      <c r="Q835" s="20"/>
      <c r="R835" s="20"/>
      <c r="S835" s="20"/>
      <c r="T835" s="20"/>
      <c r="U835" s="20"/>
      <c r="V835" s="20"/>
      <c r="W835" s="20"/>
      <c r="X835" s="20"/>
      <c r="Y835" s="20"/>
      <c r="Z835" s="20"/>
    </row>
    <row r="836" spans="1:26" ht="17.25" customHeight="1">
      <c r="A836" s="15"/>
      <c r="B836" s="15"/>
      <c r="C836" s="15"/>
      <c r="D836" s="15"/>
      <c r="E836" s="15"/>
      <c r="F836" s="15"/>
      <c r="G836" s="15"/>
      <c r="H836" s="15"/>
      <c r="I836" s="45"/>
      <c r="J836" s="47"/>
      <c r="K836" s="20"/>
      <c r="L836" s="20"/>
      <c r="M836" s="20"/>
      <c r="N836" s="20"/>
      <c r="O836" s="20"/>
      <c r="P836" s="20"/>
      <c r="Q836" s="20"/>
      <c r="R836" s="20"/>
      <c r="S836" s="20"/>
      <c r="T836" s="20"/>
      <c r="U836" s="20"/>
      <c r="V836" s="20"/>
      <c r="W836" s="20"/>
      <c r="X836" s="20"/>
      <c r="Y836" s="20"/>
      <c r="Z836" s="20"/>
    </row>
    <row r="837" spans="1:26" ht="17.25" customHeight="1">
      <c r="A837" s="15"/>
      <c r="B837" s="15"/>
      <c r="C837" s="15"/>
      <c r="D837" s="15"/>
      <c r="E837" s="15"/>
      <c r="F837" s="15"/>
      <c r="G837" s="15"/>
      <c r="H837" s="15"/>
      <c r="I837" s="45"/>
      <c r="J837" s="47"/>
      <c r="K837" s="20"/>
      <c r="L837" s="20"/>
      <c r="M837" s="20"/>
      <c r="N837" s="20"/>
      <c r="O837" s="20"/>
      <c r="P837" s="20"/>
      <c r="Q837" s="20"/>
      <c r="R837" s="20"/>
      <c r="S837" s="20"/>
      <c r="T837" s="20"/>
      <c r="U837" s="20"/>
      <c r="V837" s="20"/>
      <c r="W837" s="20"/>
      <c r="X837" s="20"/>
      <c r="Y837" s="20"/>
      <c r="Z837" s="20"/>
    </row>
    <row r="838" spans="1:26" ht="17.25" customHeight="1">
      <c r="A838" s="15"/>
      <c r="B838" s="15"/>
      <c r="C838" s="15"/>
      <c r="D838" s="15"/>
      <c r="E838" s="15"/>
      <c r="F838" s="15"/>
      <c r="G838" s="15"/>
      <c r="H838" s="15"/>
      <c r="I838" s="45"/>
      <c r="J838" s="47"/>
      <c r="K838" s="20"/>
      <c r="L838" s="20"/>
      <c r="M838" s="20"/>
      <c r="N838" s="20"/>
      <c r="O838" s="20"/>
      <c r="P838" s="20"/>
      <c r="Q838" s="20"/>
      <c r="R838" s="20"/>
      <c r="S838" s="20"/>
      <c r="T838" s="20"/>
      <c r="U838" s="20"/>
      <c r="V838" s="20"/>
      <c r="W838" s="20"/>
      <c r="X838" s="20"/>
      <c r="Y838" s="20"/>
      <c r="Z838" s="20"/>
    </row>
    <row r="839" spans="1:26" ht="17.25" customHeight="1">
      <c r="A839" s="15"/>
      <c r="B839" s="15"/>
      <c r="C839" s="15"/>
      <c r="D839" s="15"/>
      <c r="E839" s="15"/>
      <c r="F839" s="15"/>
      <c r="G839" s="15"/>
      <c r="H839" s="15"/>
      <c r="I839" s="45"/>
      <c r="J839" s="47"/>
      <c r="K839" s="20"/>
      <c r="L839" s="20"/>
      <c r="M839" s="20"/>
      <c r="N839" s="20"/>
      <c r="O839" s="20"/>
      <c r="P839" s="20"/>
      <c r="Q839" s="20"/>
      <c r="R839" s="20"/>
      <c r="S839" s="20"/>
      <c r="T839" s="20"/>
      <c r="U839" s="20"/>
      <c r="V839" s="20"/>
      <c r="W839" s="20"/>
      <c r="X839" s="20"/>
      <c r="Y839" s="20"/>
      <c r="Z839" s="20"/>
    </row>
    <row r="840" spans="1:26" ht="17.25" customHeight="1">
      <c r="A840" s="15"/>
      <c r="B840" s="15"/>
      <c r="C840" s="15"/>
      <c r="D840" s="15"/>
      <c r="E840" s="15"/>
      <c r="F840" s="15"/>
      <c r="G840" s="15"/>
      <c r="H840" s="15"/>
      <c r="I840" s="45"/>
      <c r="J840" s="47"/>
      <c r="K840" s="20"/>
      <c r="L840" s="20"/>
      <c r="M840" s="20"/>
      <c r="N840" s="20"/>
      <c r="O840" s="20"/>
      <c r="P840" s="20"/>
      <c r="Q840" s="20"/>
      <c r="R840" s="20"/>
      <c r="S840" s="20"/>
      <c r="T840" s="20"/>
      <c r="U840" s="20"/>
      <c r="V840" s="20"/>
      <c r="W840" s="20"/>
      <c r="X840" s="20"/>
      <c r="Y840" s="20"/>
      <c r="Z840" s="20"/>
    </row>
    <row r="841" spans="1:26" ht="17.25" customHeight="1">
      <c r="A841" s="15"/>
      <c r="B841" s="15"/>
      <c r="C841" s="15"/>
      <c r="D841" s="15"/>
      <c r="E841" s="15"/>
      <c r="F841" s="15"/>
      <c r="G841" s="15"/>
      <c r="H841" s="15"/>
      <c r="I841" s="45"/>
      <c r="J841" s="47"/>
      <c r="K841" s="20"/>
      <c r="L841" s="20"/>
      <c r="M841" s="20"/>
      <c r="N841" s="20"/>
      <c r="O841" s="20"/>
      <c r="P841" s="20"/>
      <c r="Q841" s="20"/>
      <c r="R841" s="20"/>
      <c r="S841" s="20"/>
      <c r="T841" s="20"/>
      <c r="U841" s="20"/>
      <c r="V841" s="20"/>
      <c r="W841" s="20"/>
      <c r="X841" s="20"/>
      <c r="Y841" s="20"/>
      <c r="Z841" s="20"/>
    </row>
    <row r="842" spans="1:26" ht="17.25" customHeight="1">
      <c r="A842" s="15"/>
      <c r="B842" s="15"/>
      <c r="C842" s="15"/>
      <c r="D842" s="15"/>
      <c r="E842" s="15"/>
      <c r="F842" s="15"/>
      <c r="G842" s="15"/>
      <c r="H842" s="15"/>
      <c r="I842" s="45"/>
      <c r="J842" s="47"/>
      <c r="K842" s="20"/>
      <c r="L842" s="20"/>
      <c r="M842" s="20"/>
      <c r="N842" s="20"/>
      <c r="O842" s="20"/>
      <c r="P842" s="20"/>
      <c r="Q842" s="20"/>
      <c r="R842" s="20"/>
      <c r="S842" s="20"/>
      <c r="T842" s="20"/>
      <c r="U842" s="20"/>
      <c r="V842" s="20"/>
      <c r="W842" s="20"/>
      <c r="X842" s="20"/>
      <c r="Y842" s="20"/>
      <c r="Z842" s="20"/>
    </row>
    <row r="843" spans="1:26" ht="17.25" customHeight="1">
      <c r="A843" s="15"/>
      <c r="B843" s="15"/>
      <c r="C843" s="15"/>
      <c r="D843" s="15"/>
      <c r="E843" s="15"/>
      <c r="F843" s="15"/>
      <c r="G843" s="15"/>
      <c r="H843" s="15"/>
      <c r="I843" s="45"/>
      <c r="J843" s="47"/>
      <c r="K843" s="20"/>
      <c r="L843" s="20"/>
      <c r="M843" s="20"/>
      <c r="N843" s="20"/>
      <c r="O843" s="20"/>
      <c r="P843" s="20"/>
      <c r="Q843" s="20"/>
      <c r="R843" s="20"/>
      <c r="S843" s="20"/>
      <c r="T843" s="20"/>
      <c r="U843" s="20"/>
      <c r="V843" s="20"/>
      <c r="W843" s="20"/>
      <c r="X843" s="20"/>
      <c r="Y843" s="20"/>
      <c r="Z843" s="20"/>
    </row>
    <row r="844" spans="1:26" ht="17.25" customHeight="1">
      <c r="A844" s="15"/>
      <c r="B844" s="15"/>
      <c r="C844" s="15"/>
      <c r="D844" s="15"/>
      <c r="E844" s="15"/>
      <c r="F844" s="15"/>
      <c r="G844" s="15"/>
      <c r="H844" s="15"/>
      <c r="I844" s="45"/>
      <c r="J844" s="47"/>
      <c r="K844" s="20"/>
      <c r="L844" s="20"/>
      <c r="M844" s="20"/>
      <c r="N844" s="20"/>
      <c r="O844" s="20"/>
      <c r="P844" s="20"/>
      <c r="Q844" s="20"/>
      <c r="R844" s="20"/>
      <c r="S844" s="20"/>
      <c r="T844" s="20"/>
      <c r="U844" s="20"/>
      <c r="V844" s="20"/>
      <c r="W844" s="20"/>
      <c r="X844" s="20"/>
      <c r="Y844" s="20"/>
      <c r="Z844" s="20"/>
    </row>
    <row r="845" spans="1:26" ht="17.25" customHeight="1">
      <c r="A845" s="15"/>
      <c r="B845" s="15"/>
      <c r="C845" s="15"/>
      <c r="D845" s="15"/>
      <c r="E845" s="15"/>
      <c r="F845" s="15"/>
      <c r="G845" s="15"/>
      <c r="H845" s="15"/>
      <c r="I845" s="45"/>
      <c r="J845" s="47"/>
      <c r="K845" s="20"/>
      <c r="L845" s="20"/>
      <c r="M845" s="20"/>
      <c r="N845" s="20"/>
      <c r="O845" s="20"/>
      <c r="P845" s="20"/>
      <c r="Q845" s="20"/>
      <c r="R845" s="20"/>
      <c r="S845" s="20"/>
      <c r="T845" s="20"/>
      <c r="U845" s="20"/>
      <c r="V845" s="20"/>
      <c r="W845" s="20"/>
      <c r="X845" s="20"/>
      <c r="Y845" s="20"/>
      <c r="Z845" s="20"/>
    </row>
    <row r="846" spans="1:26" ht="17.25" customHeight="1">
      <c r="A846" s="15"/>
      <c r="B846" s="15"/>
      <c r="C846" s="15"/>
      <c r="D846" s="15"/>
      <c r="E846" s="15"/>
      <c r="F846" s="15"/>
      <c r="G846" s="15"/>
      <c r="H846" s="15"/>
      <c r="I846" s="45"/>
      <c r="J846" s="47"/>
      <c r="K846" s="20"/>
      <c r="L846" s="20"/>
      <c r="M846" s="20"/>
      <c r="N846" s="20"/>
      <c r="O846" s="20"/>
      <c r="P846" s="20"/>
      <c r="Q846" s="20"/>
      <c r="R846" s="20"/>
      <c r="S846" s="20"/>
      <c r="T846" s="20"/>
      <c r="U846" s="20"/>
      <c r="V846" s="20"/>
      <c r="W846" s="20"/>
      <c r="X846" s="20"/>
      <c r="Y846" s="20"/>
      <c r="Z846" s="20"/>
    </row>
    <row r="847" spans="1:26" ht="17.25" customHeight="1">
      <c r="A847" s="15"/>
      <c r="B847" s="15"/>
      <c r="C847" s="15"/>
      <c r="D847" s="15"/>
      <c r="E847" s="15"/>
      <c r="F847" s="15"/>
      <c r="G847" s="15"/>
      <c r="H847" s="15"/>
      <c r="I847" s="45"/>
      <c r="J847" s="47"/>
      <c r="K847" s="20"/>
      <c r="L847" s="20"/>
      <c r="M847" s="20"/>
      <c r="N847" s="20"/>
      <c r="O847" s="20"/>
      <c r="P847" s="20"/>
      <c r="Q847" s="20"/>
      <c r="R847" s="20"/>
      <c r="S847" s="20"/>
      <c r="T847" s="20"/>
      <c r="U847" s="20"/>
      <c r="V847" s="20"/>
      <c r="W847" s="20"/>
      <c r="X847" s="20"/>
      <c r="Y847" s="20"/>
      <c r="Z847" s="20"/>
    </row>
    <row r="848" spans="1:26" ht="17.25" customHeight="1">
      <c r="A848" s="15"/>
      <c r="B848" s="15"/>
      <c r="C848" s="15"/>
      <c r="D848" s="15"/>
      <c r="E848" s="15"/>
      <c r="F848" s="15"/>
      <c r="G848" s="15"/>
      <c r="H848" s="15"/>
      <c r="I848" s="45"/>
      <c r="J848" s="47"/>
      <c r="K848" s="20"/>
      <c r="L848" s="20"/>
      <c r="M848" s="20"/>
      <c r="N848" s="20"/>
      <c r="O848" s="20"/>
      <c r="P848" s="20"/>
      <c r="Q848" s="20"/>
      <c r="R848" s="20"/>
      <c r="S848" s="20"/>
      <c r="T848" s="20"/>
      <c r="U848" s="20"/>
      <c r="V848" s="20"/>
      <c r="W848" s="20"/>
      <c r="X848" s="20"/>
      <c r="Y848" s="20"/>
      <c r="Z848" s="20"/>
    </row>
    <row r="849" spans="1:26" ht="17.25" customHeight="1">
      <c r="A849" s="15"/>
      <c r="B849" s="15"/>
      <c r="C849" s="15"/>
      <c r="D849" s="15"/>
      <c r="E849" s="15"/>
      <c r="F849" s="15"/>
      <c r="G849" s="15"/>
      <c r="H849" s="15"/>
      <c r="I849" s="45"/>
      <c r="J849" s="47"/>
      <c r="K849" s="20"/>
      <c r="L849" s="20"/>
      <c r="M849" s="20"/>
      <c r="N849" s="20"/>
      <c r="O849" s="20"/>
      <c r="P849" s="20"/>
      <c r="Q849" s="20"/>
      <c r="R849" s="20"/>
      <c r="S849" s="20"/>
      <c r="T849" s="20"/>
      <c r="U849" s="20"/>
      <c r="V849" s="20"/>
      <c r="W849" s="20"/>
      <c r="X849" s="20"/>
      <c r="Y849" s="20"/>
      <c r="Z849" s="20"/>
    </row>
    <row r="850" spans="1:26" ht="17.25" customHeight="1">
      <c r="A850" s="15"/>
      <c r="B850" s="15"/>
      <c r="C850" s="15"/>
      <c r="D850" s="15"/>
      <c r="E850" s="15"/>
      <c r="F850" s="15"/>
      <c r="G850" s="15"/>
      <c r="H850" s="15"/>
      <c r="I850" s="45"/>
      <c r="J850" s="47"/>
      <c r="K850" s="20"/>
      <c r="L850" s="20"/>
      <c r="M850" s="20"/>
      <c r="N850" s="20"/>
      <c r="O850" s="20"/>
      <c r="P850" s="20"/>
      <c r="Q850" s="20"/>
      <c r="R850" s="20"/>
      <c r="S850" s="20"/>
      <c r="T850" s="20"/>
      <c r="U850" s="20"/>
      <c r="V850" s="20"/>
      <c r="W850" s="20"/>
      <c r="X850" s="20"/>
      <c r="Y850" s="20"/>
      <c r="Z850" s="20"/>
    </row>
    <row r="851" spans="1:26" ht="17.25" customHeight="1">
      <c r="A851" s="15"/>
      <c r="B851" s="15"/>
      <c r="C851" s="15"/>
      <c r="D851" s="15"/>
      <c r="E851" s="15"/>
      <c r="F851" s="15"/>
      <c r="G851" s="15"/>
      <c r="H851" s="15"/>
      <c r="I851" s="45"/>
      <c r="J851" s="47"/>
      <c r="K851" s="20"/>
      <c r="L851" s="20"/>
      <c r="M851" s="20"/>
      <c r="N851" s="20"/>
      <c r="O851" s="20"/>
      <c r="P851" s="20"/>
      <c r="Q851" s="20"/>
      <c r="R851" s="20"/>
      <c r="S851" s="20"/>
      <c r="T851" s="20"/>
      <c r="U851" s="20"/>
      <c r="V851" s="20"/>
      <c r="W851" s="20"/>
      <c r="X851" s="20"/>
      <c r="Y851" s="20"/>
      <c r="Z851" s="20"/>
    </row>
    <row r="852" spans="1:26" ht="17.25" customHeight="1">
      <c r="A852" s="15"/>
      <c r="B852" s="15"/>
      <c r="C852" s="15"/>
      <c r="D852" s="15"/>
      <c r="E852" s="15"/>
      <c r="F852" s="15"/>
      <c r="G852" s="15"/>
      <c r="H852" s="15"/>
      <c r="I852" s="45"/>
      <c r="J852" s="47"/>
      <c r="K852" s="20"/>
      <c r="L852" s="20"/>
      <c r="M852" s="20"/>
      <c r="N852" s="20"/>
      <c r="O852" s="20"/>
      <c r="P852" s="20"/>
      <c r="Q852" s="20"/>
      <c r="R852" s="20"/>
      <c r="S852" s="20"/>
      <c r="T852" s="20"/>
      <c r="U852" s="20"/>
      <c r="V852" s="20"/>
      <c r="W852" s="20"/>
      <c r="X852" s="20"/>
      <c r="Y852" s="20"/>
      <c r="Z852" s="20"/>
    </row>
    <row r="853" spans="1:26" ht="17.25" customHeight="1">
      <c r="A853" s="15"/>
      <c r="B853" s="15"/>
      <c r="C853" s="15"/>
      <c r="D853" s="15"/>
      <c r="E853" s="15"/>
      <c r="F853" s="15"/>
      <c r="G853" s="15"/>
      <c r="H853" s="15"/>
      <c r="I853" s="45"/>
      <c r="J853" s="47"/>
      <c r="K853" s="20"/>
      <c r="L853" s="20"/>
      <c r="M853" s="20"/>
      <c r="N853" s="20"/>
      <c r="O853" s="20"/>
      <c r="P853" s="20"/>
      <c r="Q853" s="20"/>
      <c r="R853" s="20"/>
      <c r="S853" s="20"/>
      <c r="T853" s="20"/>
      <c r="U853" s="20"/>
      <c r="V853" s="20"/>
      <c r="W853" s="20"/>
      <c r="X853" s="20"/>
      <c r="Y853" s="20"/>
      <c r="Z853" s="20"/>
    </row>
    <row r="854" spans="1:26" ht="17.25" customHeight="1">
      <c r="A854" s="15"/>
      <c r="B854" s="15"/>
      <c r="C854" s="15"/>
      <c r="D854" s="15"/>
      <c r="E854" s="15"/>
      <c r="F854" s="15"/>
      <c r="G854" s="15"/>
      <c r="H854" s="15"/>
      <c r="I854" s="45"/>
      <c r="J854" s="47"/>
      <c r="K854" s="20"/>
      <c r="L854" s="20"/>
      <c r="M854" s="20"/>
      <c r="N854" s="20"/>
      <c r="O854" s="20"/>
      <c r="P854" s="20"/>
      <c r="Q854" s="20"/>
      <c r="R854" s="20"/>
      <c r="S854" s="20"/>
      <c r="T854" s="20"/>
      <c r="U854" s="20"/>
      <c r="V854" s="20"/>
      <c r="W854" s="20"/>
      <c r="X854" s="20"/>
      <c r="Y854" s="20"/>
      <c r="Z854" s="20"/>
    </row>
    <row r="855" spans="1:26" ht="17.25" customHeight="1">
      <c r="A855" s="15"/>
      <c r="B855" s="15"/>
      <c r="C855" s="15"/>
      <c r="D855" s="15"/>
      <c r="E855" s="15"/>
      <c r="F855" s="15"/>
      <c r="G855" s="15"/>
      <c r="H855" s="15"/>
      <c r="I855" s="45"/>
      <c r="J855" s="47"/>
      <c r="K855" s="20"/>
      <c r="L855" s="20"/>
      <c r="M855" s="20"/>
      <c r="N855" s="20"/>
      <c r="O855" s="20"/>
      <c r="P855" s="20"/>
      <c r="Q855" s="20"/>
      <c r="R855" s="20"/>
      <c r="S855" s="20"/>
      <c r="T855" s="20"/>
      <c r="U855" s="20"/>
      <c r="V855" s="20"/>
      <c r="W855" s="20"/>
      <c r="X855" s="20"/>
      <c r="Y855" s="20"/>
      <c r="Z855" s="20"/>
    </row>
    <row r="856" spans="1:26" ht="17.25" customHeight="1">
      <c r="A856" s="15"/>
      <c r="B856" s="15"/>
      <c r="C856" s="15"/>
      <c r="D856" s="15"/>
      <c r="E856" s="15"/>
      <c r="F856" s="15"/>
      <c r="G856" s="15"/>
      <c r="H856" s="15"/>
      <c r="I856" s="45"/>
      <c r="J856" s="47"/>
      <c r="K856" s="20"/>
      <c r="L856" s="20"/>
      <c r="M856" s="20"/>
      <c r="N856" s="20"/>
      <c r="O856" s="20"/>
      <c r="P856" s="20"/>
      <c r="Q856" s="20"/>
      <c r="R856" s="20"/>
      <c r="S856" s="20"/>
      <c r="T856" s="20"/>
      <c r="U856" s="20"/>
      <c r="V856" s="20"/>
      <c r="W856" s="20"/>
      <c r="X856" s="20"/>
      <c r="Y856" s="20"/>
      <c r="Z856" s="20"/>
    </row>
    <row r="857" spans="1:26" ht="17.25" customHeight="1">
      <c r="A857" s="15"/>
      <c r="B857" s="15"/>
      <c r="C857" s="15"/>
      <c r="D857" s="15"/>
      <c r="E857" s="15"/>
      <c r="F857" s="15"/>
      <c r="G857" s="15"/>
      <c r="H857" s="15"/>
      <c r="I857" s="45"/>
      <c r="J857" s="47"/>
      <c r="K857" s="20"/>
      <c r="L857" s="20"/>
      <c r="M857" s="20"/>
      <c r="N857" s="20"/>
      <c r="O857" s="20"/>
      <c r="P857" s="20"/>
      <c r="Q857" s="20"/>
      <c r="R857" s="20"/>
      <c r="S857" s="20"/>
      <c r="T857" s="20"/>
      <c r="U857" s="20"/>
      <c r="V857" s="20"/>
      <c r="W857" s="20"/>
      <c r="X857" s="20"/>
      <c r="Y857" s="20"/>
      <c r="Z857" s="20"/>
    </row>
    <row r="858" spans="1:26" ht="17.25" customHeight="1">
      <c r="A858" s="15"/>
      <c r="B858" s="15"/>
      <c r="C858" s="15"/>
      <c r="D858" s="15"/>
      <c r="E858" s="15"/>
      <c r="F858" s="15"/>
      <c r="G858" s="15"/>
      <c r="H858" s="15"/>
      <c r="I858" s="45"/>
      <c r="J858" s="47"/>
      <c r="K858" s="20"/>
      <c r="L858" s="20"/>
      <c r="M858" s="20"/>
      <c r="N858" s="20"/>
      <c r="O858" s="20"/>
      <c r="P858" s="20"/>
      <c r="Q858" s="20"/>
      <c r="R858" s="20"/>
      <c r="S858" s="20"/>
      <c r="T858" s="20"/>
      <c r="U858" s="20"/>
      <c r="V858" s="20"/>
      <c r="W858" s="20"/>
      <c r="X858" s="20"/>
      <c r="Y858" s="20"/>
      <c r="Z858" s="20"/>
    </row>
    <row r="859" spans="1:26" ht="17.25" customHeight="1">
      <c r="A859" s="15"/>
      <c r="B859" s="15"/>
      <c r="C859" s="15"/>
      <c r="D859" s="15"/>
      <c r="E859" s="15"/>
      <c r="F859" s="15"/>
      <c r="G859" s="15"/>
      <c r="H859" s="15"/>
      <c r="I859" s="45"/>
      <c r="J859" s="47"/>
      <c r="K859" s="20"/>
      <c r="L859" s="20"/>
      <c r="M859" s="20"/>
      <c r="N859" s="20"/>
      <c r="O859" s="20"/>
      <c r="P859" s="20"/>
      <c r="Q859" s="20"/>
      <c r="R859" s="20"/>
      <c r="S859" s="20"/>
      <c r="T859" s="20"/>
      <c r="U859" s="20"/>
      <c r="V859" s="20"/>
      <c r="W859" s="20"/>
      <c r="X859" s="20"/>
      <c r="Y859" s="20"/>
      <c r="Z859" s="20"/>
    </row>
    <row r="860" spans="1:26" ht="17.25" customHeight="1">
      <c r="A860" s="15"/>
      <c r="B860" s="15"/>
      <c r="C860" s="15"/>
      <c r="D860" s="15"/>
      <c r="E860" s="15"/>
      <c r="F860" s="15"/>
      <c r="G860" s="15"/>
      <c r="H860" s="15"/>
      <c r="I860" s="45"/>
      <c r="J860" s="47"/>
      <c r="K860" s="20"/>
      <c r="L860" s="20"/>
      <c r="M860" s="20"/>
      <c r="N860" s="20"/>
      <c r="O860" s="20"/>
      <c r="P860" s="20"/>
      <c r="Q860" s="20"/>
      <c r="R860" s="20"/>
      <c r="S860" s="20"/>
      <c r="T860" s="20"/>
      <c r="U860" s="20"/>
      <c r="V860" s="20"/>
      <c r="W860" s="20"/>
      <c r="X860" s="20"/>
      <c r="Y860" s="20"/>
      <c r="Z860" s="20"/>
    </row>
    <row r="861" spans="1:26" ht="17.25" customHeight="1">
      <c r="A861" s="15"/>
      <c r="B861" s="15"/>
      <c r="C861" s="15"/>
      <c r="D861" s="15"/>
      <c r="E861" s="15"/>
      <c r="F861" s="15"/>
      <c r="G861" s="15"/>
      <c r="H861" s="15"/>
      <c r="I861" s="45"/>
      <c r="J861" s="47"/>
      <c r="K861" s="20"/>
      <c r="L861" s="20"/>
      <c r="M861" s="20"/>
      <c r="N861" s="20"/>
      <c r="O861" s="20"/>
      <c r="P861" s="20"/>
      <c r="Q861" s="20"/>
      <c r="R861" s="20"/>
      <c r="S861" s="20"/>
      <c r="T861" s="20"/>
      <c r="U861" s="20"/>
      <c r="V861" s="20"/>
      <c r="W861" s="20"/>
      <c r="X861" s="20"/>
      <c r="Y861" s="20"/>
      <c r="Z861" s="20"/>
    </row>
    <row r="862" spans="1:26" ht="17.25" customHeight="1">
      <c r="A862" s="15"/>
      <c r="B862" s="15"/>
      <c r="C862" s="15"/>
      <c r="D862" s="15"/>
      <c r="E862" s="15"/>
      <c r="F862" s="15"/>
      <c r="G862" s="15"/>
      <c r="H862" s="15"/>
      <c r="I862" s="45"/>
      <c r="J862" s="47"/>
      <c r="K862" s="20"/>
      <c r="L862" s="20"/>
      <c r="M862" s="20"/>
      <c r="N862" s="20"/>
      <c r="O862" s="20"/>
      <c r="P862" s="20"/>
      <c r="Q862" s="20"/>
      <c r="R862" s="20"/>
      <c r="S862" s="20"/>
      <c r="T862" s="20"/>
      <c r="U862" s="20"/>
      <c r="V862" s="20"/>
      <c r="W862" s="20"/>
      <c r="X862" s="20"/>
      <c r="Y862" s="20"/>
      <c r="Z862" s="20"/>
    </row>
    <row r="863" spans="1:26" ht="17.25" customHeight="1">
      <c r="A863" s="15"/>
      <c r="B863" s="15"/>
      <c r="C863" s="15"/>
      <c r="D863" s="15"/>
      <c r="E863" s="15"/>
      <c r="F863" s="15"/>
      <c r="G863" s="15"/>
      <c r="H863" s="15"/>
      <c r="I863" s="45"/>
      <c r="J863" s="47"/>
      <c r="K863" s="20"/>
      <c r="L863" s="20"/>
      <c r="M863" s="20"/>
      <c r="N863" s="20"/>
      <c r="O863" s="20"/>
      <c r="P863" s="20"/>
      <c r="Q863" s="20"/>
      <c r="R863" s="20"/>
      <c r="S863" s="20"/>
      <c r="T863" s="20"/>
      <c r="U863" s="20"/>
      <c r="V863" s="20"/>
      <c r="W863" s="20"/>
      <c r="X863" s="20"/>
      <c r="Y863" s="20"/>
      <c r="Z863" s="20"/>
    </row>
    <row r="864" spans="1:26" ht="17.25" customHeight="1">
      <c r="A864" s="15"/>
      <c r="B864" s="15"/>
      <c r="C864" s="15"/>
      <c r="D864" s="15"/>
      <c r="E864" s="15"/>
      <c r="F864" s="15"/>
      <c r="G864" s="15"/>
      <c r="H864" s="15"/>
      <c r="I864" s="45"/>
      <c r="J864" s="47"/>
      <c r="K864" s="20"/>
      <c r="L864" s="20"/>
      <c r="M864" s="20"/>
      <c r="N864" s="20"/>
      <c r="O864" s="20"/>
      <c r="P864" s="20"/>
      <c r="Q864" s="20"/>
      <c r="R864" s="20"/>
      <c r="S864" s="20"/>
      <c r="T864" s="20"/>
      <c r="U864" s="20"/>
      <c r="V864" s="20"/>
      <c r="W864" s="20"/>
      <c r="X864" s="20"/>
      <c r="Y864" s="20"/>
      <c r="Z864" s="20"/>
    </row>
    <row r="865" spans="1:26" ht="17.25" customHeight="1">
      <c r="A865" s="15"/>
      <c r="B865" s="15"/>
      <c r="C865" s="15"/>
      <c r="D865" s="15"/>
      <c r="E865" s="15"/>
      <c r="F865" s="15"/>
      <c r="G865" s="15"/>
      <c r="H865" s="15"/>
      <c r="I865" s="45"/>
      <c r="J865" s="47"/>
      <c r="K865" s="20"/>
      <c r="L865" s="20"/>
      <c r="M865" s="20"/>
      <c r="N865" s="20"/>
      <c r="O865" s="20"/>
      <c r="P865" s="20"/>
      <c r="Q865" s="20"/>
      <c r="R865" s="20"/>
      <c r="S865" s="20"/>
      <c r="T865" s="20"/>
      <c r="U865" s="20"/>
      <c r="V865" s="20"/>
      <c r="W865" s="20"/>
      <c r="X865" s="20"/>
      <c r="Y865" s="20"/>
      <c r="Z865" s="20"/>
    </row>
    <row r="866" spans="1:26" ht="17.25" customHeight="1">
      <c r="A866" s="15"/>
      <c r="B866" s="15"/>
      <c r="C866" s="15"/>
      <c r="D866" s="15"/>
      <c r="E866" s="15"/>
      <c r="F866" s="15"/>
      <c r="G866" s="15"/>
      <c r="H866" s="15"/>
      <c r="I866" s="45"/>
      <c r="J866" s="47"/>
      <c r="K866" s="20"/>
      <c r="L866" s="20"/>
      <c r="M866" s="20"/>
      <c r="N866" s="20"/>
      <c r="O866" s="20"/>
      <c r="P866" s="20"/>
      <c r="Q866" s="20"/>
      <c r="R866" s="20"/>
      <c r="S866" s="20"/>
      <c r="T866" s="20"/>
      <c r="U866" s="20"/>
      <c r="V866" s="20"/>
      <c r="W866" s="20"/>
      <c r="X866" s="20"/>
      <c r="Y866" s="20"/>
      <c r="Z866" s="20"/>
    </row>
    <row r="867" spans="1:26" ht="17.25" customHeight="1">
      <c r="A867" s="15"/>
      <c r="B867" s="15"/>
      <c r="C867" s="15"/>
      <c r="D867" s="15"/>
      <c r="E867" s="15"/>
      <c r="F867" s="15"/>
      <c r="G867" s="15"/>
      <c r="H867" s="15"/>
      <c r="I867" s="45"/>
      <c r="J867" s="47"/>
      <c r="K867" s="20"/>
      <c r="L867" s="20"/>
      <c r="M867" s="20"/>
      <c r="N867" s="20"/>
      <c r="O867" s="20"/>
      <c r="P867" s="20"/>
      <c r="Q867" s="20"/>
      <c r="R867" s="20"/>
      <c r="S867" s="20"/>
      <c r="T867" s="20"/>
      <c r="U867" s="20"/>
      <c r="V867" s="20"/>
      <c r="W867" s="20"/>
      <c r="X867" s="20"/>
      <c r="Y867" s="20"/>
      <c r="Z867" s="20"/>
    </row>
    <row r="868" spans="1:26" ht="17.25" customHeight="1">
      <c r="A868" s="15"/>
      <c r="B868" s="15"/>
      <c r="C868" s="15"/>
      <c r="D868" s="15"/>
      <c r="E868" s="15"/>
      <c r="F868" s="15"/>
      <c r="G868" s="15"/>
      <c r="H868" s="15"/>
      <c r="I868" s="45"/>
      <c r="J868" s="47"/>
      <c r="K868" s="20"/>
      <c r="L868" s="20"/>
      <c r="M868" s="20"/>
      <c r="N868" s="20"/>
      <c r="O868" s="20"/>
      <c r="P868" s="20"/>
      <c r="Q868" s="20"/>
      <c r="R868" s="20"/>
      <c r="S868" s="20"/>
      <c r="T868" s="20"/>
      <c r="U868" s="20"/>
      <c r="V868" s="20"/>
      <c r="W868" s="20"/>
      <c r="X868" s="20"/>
      <c r="Y868" s="20"/>
      <c r="Z868" s="20"/>
    </row>
    <row r="869" spans="1:26" ht="17.25" customHeight="1">
      <c r="A869" s="15"/>
      <c r="B869" s="15"/>
      <c r="C869" s="15"/>
      <c r="D869" s="15"/>
      <c r="E869" s="15"/>
      <c r="F869" s="15"/>
      <c r="G869" s="15"/>
      <c r="H869" s="15"/>
      <c r="I869" s="45"/>
      <c r="J869" s="47"/>
      <c r="K869" s="20"/>
      <c r="L869" s="20"/>
      <c r="M869" s="20"/>
      <c r="N869" s="20"/>
      <c r="O869" s="20"/>
      <c r="P869" s="20"/>
      <c r="Q869" s="20"/>
      <c r="R869" s="20"/>
      <c r="S869" s="20"/>
      <c r="T869" s="20"/>
      <c r="U869" s="20"/>
      <c r="V869" s="20"/>
      <c r="W869" s="20"/>
      <c r="X869" s="20"/>
      <c r="Y869" s="20"/>
      <c r="Z869" s="20"/>
    </row>
    <row r="870" spans="1:26" ht="17.25" customHeight="1">
      <c r="A870" s="15"/>
      <c r="B870" s="15"/>
      <c r="C870" s="15"/>
      <c r="D870" s="15"/>
      <c r="E870" s="15"/>
      <c r="F870" s="15"/>
      <c r="G870" s="15"/>
      <c r="H870" s="15"/>
      <c r="I870" s="45"/>
      <c r="J870" s="47"/>
      <c r="K870" s="20"/>
      <c r="L870" s="20"/>
      <c r="M870" s="20"/>
      <c r="N870" s="20"/>
      <c r="O870" s="20"/>
      <c r="P870" s="20"/>
      <c r="Q870" s="20"/>
      <c r="R870" s="20"/>
      <c r="S870" s="20"/>
      <c r="T870" s="20"/>
      <c r="U870" s="20"/>
      <c r="V870" s="20"/>
      <c r="W870" s="20"/>
      <c r="X870" s="20"/>
      <c r="Y870" s="20"/>
      <c r="Z870" s="20"/>
    </row>
    <row r="871" spans="1:26" ht="17.25" customHeight="1">
      <c r="A871" s="15"/>
      <c r="B871" s="15"/>
      <c r="C871" s="15"/>
      <c r="D871" s="15"/>
      <c r="E871" s="15"/>
      <c r="F871" s="15"/>
      <c r="G871" s="15"/>
      <c r="H871" s="15"/>
      <c r="I871" s="45"/>
      <c r="J871" s="47"/>
      <c r="K871" s="20"/>
      <c r="L871" s="20"/>
      <c r="M871" s="20"/>
      <c r="N871" s="20"/>
      <c r="O871" s="20"/>
      <c r="P871" s="20"/>
      <c r="Q871" s="20"/>
      <c r="R871" s="20"/>
      <c r="S871" s="20"/>
      <c r="T871" s="20"/>
      <c r="U871" s="20"/>
      <c r="V871" s="20"/>
      <c r="W871" s="20"/>
      <c r="X871" s="20"/>
      <c r="Y871" s="20"/>
      <c r="Z871" s="20"/>
    </row>
    <row r="872" spans="1:26" ht="17.25" customHeight="1">
      <c r="A872" s="15"/>
      <c r="B872" s="15"/>
      <c r="C872" s="15"/>
      <c r="D872" s="15"/>
      <c r="E872" s="15"/>
      <c r="F872" s="15"/>
      <c r="G872" s="15"/>
      <c r="H872" s="15"/>
      <c r="I872" s="45"/>
      <c r="J872" s="47"/>
      <c r="K872" s="20"/>
      <c r="L872" s="20"/>
      <c r="M872" s="20"/>
      <c r="N872" s="20"/>
      <c r="O872" s="20"/>
      <c r="P872" s="20"/>
      <c r="Q872" s="20"/>
      <c r="R872" s="20"/>
      <c r="S872" s="20"/>
      <c r="T872" s="20"/>
      <c r="U872" s="20"/>
      <c r="V872" s="20"/>
      <c r="W872" s="20"/>
      <c r="X872" s="20"/>
      <c r="Y872" s="20"/>
      <c r="Z872" s="20"/>
    </row>
    <row r="873" spans="1:26" ht="17.25" customHeight="1">
      <c r="A873" s="15"/>
      <c r="B873" s="15"/>
      <c r="C873" s="15"/>
      <c r="D873" s="15"/>
      <c r="E873" s="15"/>
      <c r="F873" s="15"/>
      <c r="G873" s="15"/>
      <c r="H873" s="15"/>
      <c r="I873" s="45"/>
      <c r="J873" s="47"/>
      <c r="K873" s="20"/>
      <c r="L873" s="20"/>
      <c r="M873" s="20"/>
      <c r="N873" s="20"/>
      <c r="O873" s="20"/>
      <c r="P873" s="20"/>
      <c r="Q873" s="20"/>
      <c r="R873" s="20"/>
      <c r="S873" s="20"/>
      <c r="T873" s="20"/>
      <c r="U873" s="20"/>
      <c r="V873" s="20"/>
      <c r="W873" s="20"/>
      <c r="X873" s="20"/>
      <c r="Y873" s="20"/>
      <c r="Z873" s="20"/>
    </row>
    <row r="874" spans="1:26" ht="17.25" customHeight="1">
      <c r="A874" s="15"/>
      <c r="B874" s="15"/>
      <c r="C874" s="15"/>
      <c r="D874" s="15"/>
      <c r="E874" s="15"/>
      <c r="F874" s="15"/>
      <c r="G874" s="15"/>
      <c r="H874" s="15"/>
      <c r="I874" s="45"/>
      <c r="J874" s="47"/>
      <c r="K874" s="20"/>
      <c r="L874" s="20"/>
      <c r="M874" s="20"/>
      <c r="N874" s="20"/>
      <c r="O874" s="20"/>
      <c r="P874" s="20"/>
      <c r="Q874" s="20"/>
      <c r="R874" s="20"/>
      <c r="S874" s="20"/>
      <c r="T874" s="20"/>
      <c r="U874" s="20"/>
      <c r="V874" s="20"/>
      <c r="W874" s="20"/>
      <c r="X874" s="20"/>
      <c r="Y874" s="20"/>
      <c r="Z874" s="20"/>
    </row>
    <row r="875" spans="1:26" ht="17.25" customHeight="1">
      <c r="A875" s="15"/>
      <c r="B875" s="15"/>
      <c r="C875" s="15"/>
      <c r="D875" s="15"/>
      <c r="E875" s="15"/>
      <c r="F875" s="15"/>
      <c r="G875" s="15"/>
      <c r="H875" s="15"/>
      <c r="I875" s="45"/>
      <c r="J875" s="47"/>
      <c r="K875" s="20"/>
      <c r="L875" s="20"/>
      <c r="M875" s="20"/>
      <c r="N875" s="20"/>
      <c r="O875" s="20"/>
      <c r="P875" s="20"/>
      <c r="Q875" s="20"/>
      <c r="R875" s="20"/>
      <c r="S875" s="20"/>
      <c r="T875" s="20"/>
      <c r="U875" s="20"/>
      <c r="V875" s="20"/>
      <c r="W875" s="20"/>
      <c r="X875" s="20"/>
      <c r="Y875" s="20"/>
      <c r="Z875" s="20"/>
    </row>
    <row r="876" spans="1:26" ht="17.25" customHeight="1">
      <c r="A876" s="15"/>
      <c r="B876" s="15"/>
      <c r="C876" s="15"/>
      <c r="D876" s="15"/>
      <c r="E876" s="15"/>
      <c r="F876" s="15"/>
      <c r="G876" s="15"/>
      <c r="H876" s="15"/>
      <c r="I876" s="45"/>
      <c r="J876" s="47"/>
      <c r="K876" s="20"/>
      <c r="L876" s="20"/>
      <c r="M876" s="20"/>
      <c r="N876" s="20"/>
      <c r="O876" s="20"/>
      <c r="P876" s="20"/>
      <c r="Q876" s="20"/>
      <c r="R876" s="20"/>
      <c r="S876" s="20"/>
      <c r="T876" s="20"/>
      <c r="U876" s="20"/>
      <c r="V876" s="20"/>
      <c r="W876" s="20"/>
      <c r="X876" s="20"/>
      <c r="Y876" s="20"/>
      <c r="Z876" s="20"/>
    </row>
    <row r="877" spans="1:26" ht="17.25" customHeight="1">
      <c r="A877" s="15"/>
      <c r="B877" s="15"/>
      <c r="C877" s="15"/>
      <c r="D877" s="15"/>
      <c r="E877" s="15"/>
      <c r="F877" s="15"/>
      <c r="G877" s="15"/>
      <c r="H877" s="15"/>
      <c r="I877" s="45"/>
      <c r="J877" s="47"/>
      <c r="K877" s="20"/>
      <c r="L877" s="20"/>
      <c r="M877" s="20"/>
      <c r="N877" s="20"/>
      <c r="O877" s="20"/>
      <c r="P877" s="20"/>
      <c r="Q877" s="20"/>
      <c r="R877" s="20"/>
      <c r="S877" s="20"/>
      <c r="T877" s="20"/>
      <c r="U877" s="20"/>
      <c r="V877" s="20"/>
      <c r="W877" s="20"/>
      <c r="X877" s="20"/>
      <c r="Y877" s="20"/>
      <c r="Z877" s="20"/>
    </row>
    <row r="878" spans="1:26" ht="17.25" customHeight="1">
      <c r="A878" s="15"/>
      <c r="B878" s="15"/>
      <c r="C878" s="15"/>
      <c r="D878" s="15"/>
      <c r="E878" s="15"/>
      <c r="F878" s="15"/>
      <c r="G878" s="15"/>
      <c r="H878" s="15"/>
      <c r="I878" s="45"/>
      <c r="J878" s="47"/>
      <c r="K878" s="20"/>
      <c r="L878" s="20"/>
      <c r="M878" s="20"/>
      <c r="N878" s="20"/>
      <c r="O878" s="20"/>
      <c r="P878" s="20"/>
      <c r="Q878" s="20"/>
      <c r="R878" s="20"/>
      <c r="S878" s="20"/>
      <c r="T878" s="20"/>
      <c r="U878" s="20"/>
      <c r="V878" s="20"/>
      <c r="W878" s="20"/>
      <c r="X878" s="20"/>
      <c r="Y878" s="20"/>
      <c r="Z878" s="20"/>
    </row>
    <row r="879" spans="1:26" ht="17.25" customHeight="1">
      <c r="A879" s="15"/>
      <c r="B879" s="15"/>
      <c r="C879" s="15"/>
      <c r="D879" s="15"/>
      <c r="E879" s="15"/>
      <c r="F879" s="15"/>
      <c r="G879" s="15"/>
      <c r="H879" s="15"/>
      <c r="I879" s="45"/>
      <c r="J879" s="47"/>
      <c r="K879" s="20"/>
      <c r="L879" s="20"/>
      <c r="M879" s="20"/>
      <c r="N879" s="20"/>
      <c r="O879" s="20"/>
      <c r="P879" s="20"/>
      <c r="Q879" s="20"/>
      <c r="R879" s="20"/>
      <c r="S879" s="20"/>
      <c r="T879" s="20"/>
      <c r="U879" s="20"/>
      <c r="V879" s="20"/>
      <c r="W879" s="20"/>
      <c r="X879" s="20"/>
      <c r="Y879" s="20"/>
      <c r="Z879" s="20"/>
    </row>
    <row r="880" spans="1:26" ht="17.25" customHeight="1">
      <c r="A880" s="15"/>
      <c r="B880" s="15"/>
      <c r="C880" s="15"/>
      <c r="D880" s="15"/>
      <c r="E880" s="15"/>
      <c r="F880" s="15"/>
      <c r="G880" s="15"/>
      <c r="H880" s="15"/>
      <c r="I880" s="45"/>
      <c r="J880" s="47"/>
      <c r="K880" s="20"/>
      <c r="L880" s="20"/>
      <c r="M880" s="20"/>
      <c r="N880" s="20"/>
      <c r="O880" s="20"/>
      <c r="P880" s="20"/>
      <c r="Q880" s="20"/>
      <c r="R880" s="20"/>
      <c r="S880" s="20"/>
      <c r="T880" s="20"/>
      <c r="U880" s="20"/>
      <c r="V880" s="20"/>
      <c r="W880" s="20"/>
      <c r="X880" s="20"/>
      <c r="Y880" s="20"/>
      <c r="Z880" s="20"/>
    </row>
    <row r="881" spans="1:26" ht="17.25" customHeight="1">
      <c r="A881" s="15"/>
      <c r="B881" s="15"/>
      <c r="C881" s="15"/>
      <c r="D881" s="15"/>
      <c r="E881" s="15"/>
      <c r="F881" s="15"/>
      <c r="G881" s="15"/>
      <c r="H881" s="15"/>
      <c r="I881" s="45"/>
      <c r="J881" s="47"/>
      <c r="K881" s="20"/>
      <c r="L881" s="20"/>
      <c r="M881" s="20"/>
      <c r="N881" s="20"/>
      <c r="O881" s="20"/>
      <c r="P881" s="20"/>
      <c r="Q881" s="20"/>
      <c r="R881" s="20"/>
      <c r="S881" s="20"/>
      <c r="T881" s="20"/>
      <c r="U881" s="20"/>
      <c r="V881" s="20"/>
      <c r="W881" s="20"/>
      <c r="X881" s="20"/>
      <c r="Y881" s="20"/>
      <c r="Z881" s="20"/>
    </row>
    <row r="882" spans="1:26" ht="17.25" customHeight="1">
      <c r="A882" s="15"/>
      <c r="B882" s="15"/>
      <c r="C882" s="15"/>
      <c r="D882" s="15"/>
      <c r="E882" s="15"/>
      <c r="F882" s="15"/>
      <c r="G882" s="15"/>
      <c r="H882" s="15"/>
      <c r="I882" s="45"/>
      <c r="J882" s="47"/>
      <c r="K882" s="20"/>
      <c r="L882" s="20"/>
      <c r="M882" s="20"/>
      <c r="N882" s="20"/>
      <c r="O882" s="20"/>
      <c r="P882" s="20"/>
      <c r="Q882" s="20"/>
      <c r="R882" s="20"/>
      <c r="S882" s="20"/>
      <c r="T882" s="20"/>
      <c r="U882" s="20"/>
      <c r="V882" s="20"/>
      <c r="W882" s="20"/>
      <c r="X882" s="20"/>
      <c r="Y882" s="20"/>
      <c r="Z882" s="20"/>
    </row>
    <row r="883" spans="1:26" ht="17.25" customHeight="1">
      <c r="A883" s="15"/>
      <c r="B883" s="15"/>
      <c r="C883" s="15"/>
      <c r="D883" s="15"/>
      <c r="E883" s="15"/>
      <c r="F883" s="15"/>
      <c r="G883" s="15"/>
      <c r="H883" s="15"/>
      <c r="I883" s="45"/>
      <c r="J883" s="47"/>
      <c r="K883" s="20"/>
      <c r="L883" s="20"/>
      <c r="M883" s="20"/>
      <c r="N883" s="20"/>
      <c r="O883" s="20"/>
      <c r="P883" s="20"/>
      <c r="Q883" s="20"/>
      <c r="R883" s="20"/>
      <c r="S883" s="20"/>
      <c r="T883" s="20"/>
      <c r="U883" s="20"/>
      <c r="V883" s="20"/>
      <c r="W883" s="20"/>
      <c r="X883" s="20"/>
      <c r="Y883" s="20"/>
      <c r="Z883" s="20"/>
    </row>
    <row r="884" spans="1:26" ht="17.25" customHeight="1">
      <c r="A884" s="15"/>
      <c r="B884" s="15"/>
      <c r="C884" s="15"/>
      <c r="D884" s="15"/>
      <c r="E884" s="15"/>
      <c r="F884" s="15"/>
      <c r="G884" s="15"/>
      <c r="H884" s="15"/>
      <c r="I884" s="45"/>
      <c r="J884" s="47"/>
      <c r="K884" s="20"/>
      <c r="L884" s="20"/>
      <c r="M884" s="20"/>
      <c r="N884" s="20"/>
      <c r="O884" s="20"/>
      <c r="P884" s="20"/>
      <c r="Q884" s="20"/>
      <c r="R884" s="20"/>
      <c r="S884" s="20"/>
      <c r="T884" s="20"/>
      <c r="U884" s="20"/>
      <c r="V884" s="20"/>
      <c r="W884" s="20"/>
      <c r="X884" s="20"/>
      <c r="Y884" s="20"/>
      <c r="Z884" s="20"/>
    </row>
    <row r="885" spans="1:26" ht="17.25" customHeight="1">
      <c r="A885" s="15"/>
      <c r="B885" s="15"/>
      <c r="C885" s="15"/>
      <c r="D885" s="15"/>
      <c r="E885" s="15"/>
      <c r="F885" s="15"/>
      <c r="G885" s="15"/>
      <c r="H885" s="15"/>
      <c r="I885" s="45"/>
      <c r="J885" s="47"/>
      <c r="K885" s="20"/>
      <c r="L885" s="20"/>
      <c r="M885" s="20"/>
      <c r="N885" s="20"/>
      <c r="O885" s="20"/>
      <c r="P885" s="20"/>
      <c r="Q885" s="20"/>
      <c r="R885" s="20"/>
      <c r="S885" s="20"/>
      <c r="T885" s="20"/>
      <c r="U885" s="20"/>
      <c r="V885" s="20"/>
      <c r="W885" s="20"/>
      <c r="X885" s="20"/>
      <c r="Y885" s="20"/>
      <c r="Z885" s="20"/>
    </row>
    <row r="886" spans="1:26" ht="17.25" customHeight="1">
      <c r="A886" s="15"/>
      <c r="B886" s="15"/>
      <c r="C886" s="15"/>
      <c r="D886" s="15"/>
      <c r="E886" s="15"/>
      <c r="F886" s="15"/>
      <c r="G886" s="15"/>
      <c r="H886" s="15"/>
      <c r="I886" s="45"/>
      <c r="J886" s="47"/>
      <c r="K886" s="20"/>
      <c r="L886" s="20"/>
      <c r="M886" s="20"/>
      <c r="N886" s="20"/>
      <c r="O886" s="20"/>
      <c r="P886" s="20"/>
      <c r="Q886" s="20"/>
      <c r="R886" s="20"/>
      <c r="S886" s="20"/>
      <c r="T886" s="20"/>
      <c r="U886" s="20"/>
      <c r="V886" s="20"/>
      <c r="W886" s="20"/>
      <c r="X886" s="20"/>
      <c r="Y886" s="20"/>
      <c r="Z886" s="20"/>
    </row>
    <row r="887" spans="1:26" ht="17.25" customHeight="1">
      <c r="A887" s="15"/>
      <c r="B887" s="15"/>
      <c r="C887" s="15"/>
      <c r="D887" s="15"/>
      <c r="E887" s="15"/>
      <c r="F887" s="15"/>
      <c r="G887" s="15"/>
      <c r="H887" s="15"/>
      <c r="I887" s="45"/>
      <c r="J887" s="47"/>
      <c r="K887" s="20"/>
      <c r="L887" s="20"/>
      <c r="M887" s="20"/>
      <c r="N887" s="20"/>
      <c r="O887" s="20"/>
      <c r="P887" s="20"/>
      <c r="Q887" s="20"/>
      <c r="R887" s="20"/>
      <c r="S887" s="20"/>
      <c r="T887" s="20"/>
      <c r="U887" s="20"/>
      <c r="V887" s="20"/>
      <c r="W887" s="20"/>
      <c r="X887" s="20"/>
      <c r="Y887" s="20"/>
      <c r="Z887" s="20"/>
    </row>
    <row r="888" spans="1:26" ht="17.25" customHeight="1">
      <c r="A888" s="15"/>
      <c r="B888" s="15"/>
      <c r="C888" s="15"/>
      <c r="D888" s="15"/>
      <c r="E888" s="15"/>
      <c r="F888" s="15"/>
      <c r="G888" s="15"/>
      <c r="H888" s="15"/>
      <c r="I888" s="45"/>
      <c r="J888" s="47"/>
      <c r="K888" s="20"/>
      <c r="L888" s="20"/>
      <c r="M888" s="20"/>
      <c r="N888" s="20"/>
      <c r="O888" s="20"/>
      <c r="P888" s="20"/>
      <c r="Q888" s="20"/>
      <c r="R888" s="20"/>
      <c r="S888" s="20"/>
      <c r="T888" s="20"/>
      <c r="U888" s="20"/>
      <c r="V888" s="20"/>
      <c r="W888" s="20"/>
      <c r="X888" s="20"/>
      <c r="Y888" s="20"/>
      <c r="Z888" s="20"/>
    </row>
    <row r="889" spans="1:26" ht="17.25" customHeight="1">
      <c r="A889" s="15"/>
      <c r="B889" s="15"/>
      <c r="C889" s="15"/>
      <c r="D889" s="15"/>
      <c r="E889" s="15"/>
      <c r="F889" s="15"/>
      <c r="G889" s="15"/>
      <c r="H889" s="15"/>
      <c r="I889" s="45"/>
      <c r="J889" s="47"/>
      <c r="K889" s="20"/>
      <c r="L889" s="20"/>
      <c r="M889" s="20"/>
      <c r="N889" s="20"/>
      <c r="O889" s="20"/>
      <c r="P889" s="20"/>
      <c r="Q889" s="20"/>
      <c r="R889" s="20"/>
      <c r="S889" s="20"/>
      <c r="T889" s="20"/>
      <c r="U889" s="20"/>
      <c r="V889" s="20"/>
      <c r="W889" s="20"/>
      <c r="X889" s="20"/>
      <c r="Y889" s="20"/>
      <c r="Z889" s="20"/>
    </row>
    <row r="890" spans="1:26" ht="17.25" customHeight="1">
      <c r="A890" s="15"/>
      <c r="B890" s="15"/>
      <c r="C890" s="15"/>
      <c r="D890" s="15"/>
      <c r="E890" s="15"/>
      <c r="F890" s="15"/>
      <c r="G890" s="15"/>
      <c r="H890" s="15"/>
      <c r="I890" s="45"/>
      <c r="J890" s="47"/>
      <c r="K890" s="20"/>
      <c r="L890" s="20"/>
      <c r="M890" s="20"/>
      <c r="N890" s="20"/>
      <c r="O890" s="20"/>
      <c r="P890" s="20"/>
      <c r="Q890" s="20"/>
      <c r="R890" s="20"/>
      <c r="S890" s="20"/>
      <c r="T890" s="20"/>
      <c r="U890" s="20"/>
      <c r="V890" s="20"/>
      <c r="W890" s="20"/>
      <c r="X890" s="20"/>
      <c r="Y890" s="20"/>
      <c r="Z890" s="20"/>
    </row>
    <row r="891" spans="1:26" ht="17.25" customHeight="1">
      <c r="A891" s="15"/>
      <c r="B891" s="15"/>
      <c r="C891" s="15"/>
      <c r="D891" s="15"/>
      <c r="E891" s="15"/>
      <c r="F891" s="15"/>
      <c r="G891" s="15"/>
      <c r="H891" s="15"/>
      <c r="I891" s="45"/>
      <c r="J891" s="47"/>
      <c r="K891" s="20"/>
      <c r="L891" s="20"/>
      <c r="M891" s="20"/>
      <c r="N891" s="20"/>
      <c r="O891" s="20"/>
      <c r="P891" s="20"/>
      <c r="Q891" s="20"/>
      <c r="R891" s="20"/>
      <c r="S891" s="20"/>
      <c r="T891" s="20"/>
      <c r="U891" s="20"/>
      <c r="V891" s="20"/>
      <c r="W891" s="20"/>
      <c r="X891" s="20"/>
      <c r="Y891" s="20"/>
      <c r="Z891" s="20"/>
    </row>
    <row r="892" spans="1:26" ht="17.25" customHeight="1">
      <c r="A892" s="15"/>
      <c r="B892" s="15"/>
      <c r="C892" s="15"/>
      <c r="D892" s="15"/>
      <c r="E892" s="15"/>
      <c r="F892" s="15"/>
      <c r="G892" s="15"/>
      <c r="H892" s="15"/>
      <c r="I892" s="45"/>
      <c r="J892" s="47"/>
      <c r="K892" s="20"/>
      <c r="L892" s="20"/>
      <c r="M892" s="20"/>
      <c r="N892" s="20"/>
      <c r="O892" s="20"/>
      <c r="P892" s="20"/>
      <c r="Q892" s="20"/>
      <c r="R892" s="20"/>
      <c r="S892" s="20"/>
      <c r="T892" s="20"/>
      <c r="U892" s="20"/>
      <c r="V892" s="20"/>
      <c r="W892" s="20"/>
      <c r="X892" s="20"/>
      <c r="Y892" s="20"/>
      <c r="Z892" s="20"/>
    </row>
    <row r="893" spans="1:26" ht="17.25" customHeight="1">
      <c r="A893" s="15"/>
      <c r="B893" s="15"/>
      <c r="C893" s="15"/>
      <c r="D893" s="15"/>
      <c r="E893" s="15"/>
      <c r="F893" s="15"/>
      <c r="G893" s="15"/>
      <c r="H893" s="15"/>
      <c r="I893" s="45"/>
      <c r="J893" s="47"/>
      <c r="K893" s="20"/>
      <c r="L893" s="20"/>
      <c r="M893" s="20"/>
      <c r="N893" s="20"/>
      <c r="O893" s="20"/>
      <c r="P893" s="20"/>
      <c r="Q893" s="20"/>
      <c r="R893" s="20"/>
      <c r="S893" s="20"/>
      <c r="T893" s="20"/>
      <c r="U893" s="20"/>
      <c r="V893" s="20"/>
      <c r="W893" s="20"/>
      <c r="X893" s="20"/>
      <c r="Y893" s="20"/>
      <c r="Z893" s="20"/>
    </row>
    <row r="894" spans="1:26" ht="17.25" customHeight="1">
      <c r="A894" s="15"/>
      <c r="B894" s="15"/>
      <c r="C894" s="15"/>
      <c r="D894" s="15"/>
      <c r="E894" s="15"/>
      <c r="F894" s="15"/>
      <c r="G894" s="15"/>
      <c r="H894" s="15"/>
      <c r="I894" s="45"/>
      <c r="J894" s="47"/>
      <c r="K894" s="20"/>
      <c r="L894" s="20"/>
      <c r="M894" s="20"/>
      <c r="N894" s="20"/>
      <c r="O894" s="20"/>
      <c r="P894" s="20"/>
      <c r="Q894" s="20"/>
      <c r="R894" s="20"/>
      <c r="S894" s="20"/>
      <c r="T894" s="20"/>
      <c r="U894" s="20"/>
      <c r="V894" s="20"/>
      <c r="W894" s="20"/>
      <c r="X894" s="20"/>
      <c r="Y894" s="20"/>
      <c r="Z894" s="20"/>
    </row>
    <row r="895" spans="1:26" ht="17.25" customHeight="1">
      <c r="A895" s="15"/>
      <c r="B895" s="15"/>
      <c r="C895" s="15"/>
      <c r="D895" s="15"/>
      <c r="E895" s="15"/>
      <c r="F895" s="15"/>
      <c r="G895" s="15"/>
      <c r="H895" s="15"/>
      <c r="I895" s="45"/>
      <c r="J895" s="47"/>
      <c r="K895" s="20"/>
      <c r="L895" s="20"/>
      <c r="M895" s="20"/>
      <c r="N895" s="20"/>
      <c r="O895" s="20"/>
      <c r="P895" s="20"/>
      <c r="Q895" s="20"/>
      <c r="R895" s="20"/>
      <c r="S895" s="20"/>
      <c r="T895" s="20"/>
      <c r="U895" s="20"/>
      <c r="V895" s="20"/>
      <c r="W895" s="20"/>
      <c r="X895" s="20"/>
      <c r="Y895" s="20"/>
      <c r="Z895" s="20"/>
    </row>
    <row r="896" spans="1:26" ht="17.25" customHeight="1">
      <c r="A896" s="15"/>
      <c r="B896" s="15"/>
      <c r="C896" s="15"/>
      <c r="D896" s="15"/>
      <c r="E896" s="15"/>
      <c r="F896" s="15"/>
      <c r="G896" s="15"/>
      <c r="H896" s="15"/>
      <c r="I896" s="45"/>
      <c r="J896" s="47"/>
      <c r="K896" s="20"/>
      <c r="L896" s="20"/>
      <c r="M896" s="20"/>
      <c r="N896" s="20"/>
      <c r="O896" s="20"/>
      <c r="P896" s="20"/>
      <c r="Q896" s="20"/>
      <c r="R896" s="20"/>
      <c r="S896" s="20"/>
      <c r="T896" s="20"/>
      <c r="U896" s="20"/>
      <c r="V896" s="20"/>
      <c r="W896" s="20"/>
      <c r="X896" s="20"/>
      <c r="Y896" s="20"/>
      <c r="Z896" s="20"/>
    </row>
    <row r="897" spans="1:26" ht="17.25" customHeight="1">
      <c r="A897" s="15"/>
      <c r="B897" s="15"/>
      <c r="C897" s="15"/>
      <c r="D897" s="15"/>
      <c r="E897" s="15"/>
      <c r="F897" s="15"/>
      <c r="G897" s="15"/>
      <c r="H897" s="15"/>
      <c r="I897" s="45"/>
      <c r="J897" s="47"/>
      <c r="K897" s="20"/>
      <c r="L897" s="20"/>
      <c r="M897" s="20"/>
      <c r="N897" s="20"/>
      <c r="O897" s="20"/>
      <c r="P897" s="20"/>
      <c r="Q897" s="20"/>
      <c r="R897" s="20"/>
      <c r="S897" s="20"/>
      <c r="T897" s="20"/>
      <c r="U897" s="20"/>
      <c r="V897" s="20"/>
      <c r="W897" s="20"/>
      <c r="X897" s="20"/>
      <c r="Y897" s="20"/>
      <c r="Z897" s="20"/>
    </row>
    <row r="898" spans="1:26" ht="17.25" customHeight="1">
      <c r="A898" s="15"/>
      <c r="B898" s="15"/>
      <c r="C898" s="15"/>
      <c r="D898" s="15"/>
      <c r="E898" s="15"/>
      <c r="F898" s="15"/>
      <c r="G898" s="15"/>
      <c r="H898" s="15"/>
      <c r="I898" s="45"/>
      <c r="J898" s="47"/>
      <c r="K898" s="20"/>
      <c r="L898" s="20"/>
      <c r="M898" s="20"/>
      <c r="N898" s="20"/>
      <c r="O898" s="20"/>
      <c r="P898" s="20"/>
      <c r="Q898" s="20"/>
      <c r="R898" s="20"/>
      <c r="S898" s="20"/>
      <c r="T898" s="20"/>
      <c r="U898" s="20"/>
      <c r="V898" s="20"/>
      <c r="W898" s="20"/>
      <c r="X898" s="20"/>
      <c r="Y898" s="20"/>
      <c r="Z898" s="20"/>
    </row>
    <row r="899" spans="1:26" ht="17.25" customHeight="1">
      <c r="A899" s="15"/>
      <c r="B899" s="15"/>
      <c r="C899" s="15"/>
      <c r="D899" s="15"/>
      <c r="E899" s="15"/>
      <c r="F899" s="15"/>
      <c r="G899" s="15"/>
      <c r="H899" s="15"/>
      <c r="I899" s="45"/>
      <c r="J899" s="47"/>
      <c r="K899" s="20"/>
      <c r="L899" s="20"/>
      <c r="M899" s="20"/>
      <c r="N899" s="20"/>
      <c r="O899" s="20"/>
      <c r="P899" s="20"/>
      <c r="Q899" s="20"/>
      <c r="R899" s="20"/>
      <c r="S899" s="20"/>
      <c r="T899" s="20"/>
      <c r="U899" s="20"/>
      <c r="V899" s="20"/>
      <c r="W899" s="20"/>
      <c r="X899" s="20"/>
      <c r="Y899" s="20"/>
      <c r="Z899" s="20"/>
    </row>
    <row r="900" spans="1:26" ht="17.25" customHeight="1">
      <c r="A900" s="15"/>
      <c r="B900" s="15"/>
      <c r="C900" s="15"/>
      <c r="D900" s="15"/>
      <c r="E900" s="15"/>
      <c r="F900" s="15"/>
      <c r="G900" s="15"/>
      <c r="H900" s="15"/>
      <c r="I900" s="45"/>
      <c r="J900" s="47"/>
      <c r="K900" s="20"/>
      <c r="L900" s="20"/>
      <c r="M900" s="20"/>
      <c r="N900" s="20"/>
      <c r="O900" s="20"/>
      <c r="P900" s="20"/>
      <c r="Q900" s="20"/>
      <c r="R900" s="20"/>
      <c r="S900" s="20"/>
      <c r="T900" s="20"/>
      <c r="U900" s="20"/>
      <c r="V900" s="20"/>
      <c r="W900" s="20"/>
      <c r="X900" s="20"/>
      <c r="Y900" s="20"/>
      <c r="Z900" s="20"/>
    </row>
    <row r="901" spans="1:26" ht="17.25" customHeight="1">
      <c r="A901" s="15"/>
      <c r="B901" s="15"/>
      <c r="C901" s="15"/>
      <c r="D901" s="15"/>
      <c r="E901" s="15"/>
      <c r="F901" s="15"/>
      <c r="G901" s="15"/>
      <c r="H901" s="15"/>
      <c r="I901" s="45"/>
      <c r="J901" s="47"/>
      <c r="K901" s="20"/>
      <c r="L901" s="20"/>
      <c r="M901" s="20"/>
      <c r="N901" s="20"/>
      <c r="O901" s="20"/>
      <c r="P901" s="20"/>
      <c r="Q901" s="20"/>
      <c r="R901" s="20"/>
      <c r="S901" s="20"/>
      <c r="T901" s="20"/>
      <c r="U901" s="20"/>
      <c r="V901" s="20"/>
      <c r="W901" s="20"/>
      <c r="X901" s="20"/>
      <c r="Y901" s="20"/>
      <c r="Z901" s="20"/>
    </row>
    <row r="902" spans="1:26" ht="17.25" customHeight="1">
      <c r="A902" s="15"/>
      <c r="B902" s="15"/>
      <c r="C902" s="15"/>
      <c r="D902" s="15"/>
      <c r="E902" s="15"/>
      <c r="F902" s="15"/>
      <c r="G902" s="15"/>
      <c r="H902" s="15"/>
      <c r="I902" s="45"/>
      <c r="J902" s="47"/>
      <c r="K902" s="20"/>
      <c r="L902" s="20"/>
      <c r="M902" s="20"/>
      <c r="N902" s="20"/>
      <c r="O902" s="20"/>
      <c r="P902" s="20"/>
      <c r="Q902" s="20"/>
      <c r="R902" s="20"/>
      <c r="S902" s="20"/>
      <c r="T902" s="20"/>
      <c r="U902" s="20"/>
      <c r="V902" s="20"/>
      <c r="W902" s="20"/>
      <c r="X902" s="20"/>
      <c r="Y902" s="20"/>
      <c r="Z902" s="20"/>
    </row>
    <row r="903" spans="1:26" ht="17.25" customHeight="1">
      <c r="A903" s="15"/>
      <c r="B903" s="15"/>
      <c r="C903" s="15"/>
      <c r="D903" s="15"/>
      <c r="E903" s="15"/>
      <c r="F903" s="15"/>
      <c r="G903" s="15"/>
      <c r="H903" s="15"/>
      <c r="I903" s="45"/>
      <c r="J903" s="47"/>
      <c r="K903" s="20"/>
      <c r="L903" s="20"/>
      <c r="M903" s="20"/>
      <c r="N903" s="20"/>
      <c r="O903" s="20"/>
      <c r="P903" s="20"/>
      <c r="Q903" s="20"/>
      <c r="R903" s="20"/>
      <c r="S903" s="20"/>
      <c r="T903" s="20"/>
      <c r="U903" s="20"/>
      <c r="V903" s="20"/>
      <c r="W903" s="20"/>
      <c r="X903" s="20"/>
      <c r="Y903" s="20"/>
      <c r="Z903" s="20"/>
    </row>
    <row r="904" spans="1:26" ht="17.25" customHeight="1">
      <c r="A904" s="15"/>
      <c r="B904" s="15"/>
      <c r="C904" s="15"/>
      <c r="D904" s="15"/>
      <c r="E904" s="15"/>
      <c r="F904" s="15"/>
      <c r="G904" s="15"/>
      <c r="H904" s="15"/>
      <c r="I904" s="45"/>
      <c r="J904" s="47"/>
      <c r="K904" s="20"/>
      <c r="L904" s="20"/>
      <c r="M904" s="20"/>
      <c r="N904" s="20"/>
      <c r="O904" s="20"/>
      <c r="P904" s="20"/>
      <c r="Q904" s="20"/>
      <c r="R904" s="20"/>
      <c r="S904" s="20"/>
      <c r="T904" s="20"/>
      <c r="U904" s="20"/>
      <c r="V904" s="20"/>
      <c r="W904" s="20"/>
      <c r="X904" s="20"/>
      <c r="Y904" s="20"/>
      <c r="Z904" s="20"/>
    </row>
    <row r="905" spans="1:26" ht="17.25" customHeight="1">
      <c r="A905" s="15"/>
      <c r="B905" s="15"/>
      <c r="C905" s="15"/>
      <c r="D905" s="15"/>
      <c r="E905" s="15"/>
      <c r="F905" s="15"/>
      <c r="G905" s="15"/>
      <c r="H905" s="15"/>
      <c r="I905" s="45"/>
      <c r="J905" s="47"/>
      <c r="K905" s="20"/>
      <c r="L905" s="20"/>
      <c r="M905" s="20"/>
      <c r="N905" s="20"/>
      <c r="O905" s="20"/>
      <c r="P905" s="20"/>
      <c r="Q905" s="20"/>
      <c r="R905" s="20"/>
      <c r="S905" s="20"/>
      <c r="T905" s="20"/>
      <c r="U905" s="20"/>
      <c r="V905" s="20"/>
      <c r="W905" s="20"/>
      <c r="X905" s="20"/>
      <c r="Y905" s="20"/>
      <c r="Z905" s="20"/>
    </row>
    <row r="906" spans="1:26" ht="17.25" customHeight="1">
      <c r="A906" s="15"/>
      <c r="B906" s="15"/>
      <c r="C906" s="15"/>
      <c r="D906" s="15"/>
      <c r="E906" s="15"/>
      <c r="F906" s="15"/>
      <c r="G906" s="15"/>
      <c r="H906" s="15"/>
      <c r="I906" s="45"/>
      <c r="J906" s="47"/>
      <c r="K906" s="20"/>
      <c r="L906" s="20"/>
      <c r="M906" s="20"/>
      <c r="N906" s="20"/>
      <c r="O906" s="20"/>
      <c r="P906" s="20"/>
      <c r="Q906" s="20"/>
      <c r="R906" s="20"/>
      <c r="S906" s="20"/>
      <c r="T906" s="20"/>
      <c r="U906" s="20"/>
      <c r="V906" s="20"/>
      <c r="W906" s="20"/>
      <c r="X906" s="20"/>
      <c r="Y906" s="20"/>
      <c r="Z906" s="20"/>
    </row>
    <row r="907" spans="1:26" ht="17.25" customHeight="1">
      <c r="A907" s="15"/>
      <c r="B907" s="15"/>
      <c r="C907" s="15"/>
      <c r="D907" s="15"/>
      <c r="E907" s="15"/>
      <c r="F907" s="15"/>
      <c r="G907" s="15"/>
      <c r="H907" s="15"/>
      <c r="I907" s="45"/>
      <c r="J907" s="47"/>
      <c r="K907" s="20"/>
      <c r="L907" s="20"/>
      <c r="M907" s="20"/>
      <c r="N907" s="20"/>
      <c r="O907" s="20"/>
      <c r="P907" s="20"/>
      <c r="Q907" s="20"/>
      <c r="R907" s="20"/>
      <c r="S907" s="20"/>
      <c r="T907" s="20"/>
      <c r="U907" s="20"/>
      <c r="V907" s="20"/>
      <c r="W907" s="20"/>
      <c r="X907" s="20"/>
      <c r="Y907" s="20"/>
      <c r="Z907" s="20"/>
    </row>
    <row r="908" spans="1:26" ht="17.25" customHeight="1">
      <c r="A908" s="15"/>
      <c r="B908" s="15"/>
      <c r="C908" s="15"/>
      <c r="D908" s="15"/>
      <c r="E908" s="15"/>
      <c r="F908" s="15"/>
      <c r="G908" s="15"/>
      <c r="H908" s="15"/>
      <c r="I908" s="45"/>
      <c r="J908" s="47"/>
      <c r="K908" s="20"/>
      <c r="L908" s="20"/>
      <c r="M908" s="20"/>
      <c r="N908" s="20"/>
      <c r="O908" s="20"/>
      <c r="P908" s="20"/>
      <c r="Q908" s="20"/>
      <c r="R908" s="20"/>
      <c r="S908" s="20"/>
      <c r="T908" s="20"/>
      <c r="U908" s="20"/>
      <c r="V908" s="20"/>
      <c r="W908" s="20"/>
      <c r="X908" s="20"/>
      <c r="Y908" s="20"/>
      <c r="Z908" s="20"/>
    </row>
    <row r="909" spans="1:26" ht="17.25" customHeight="1">
      <c r="A909" s="15"/>
      <c r="B909" s="15"/>
      <c r="C909" s="15"/>
      <c r="D909" s="15"/>
      <c r="E909" s="15"/>
      <c r="F909" s="15"/>
      <c r="G909" s="15"/>
      <c r="H909" s="15"/>
      <c r="I909" s="45"/>
      <c r="J909" s="47"/>
      <c r="K909" s="20"/>
      <c r="L909" s="20"/>
      <c r="M909" s="20"/>
      <c r="N909" s="20"/>
      <c r="O909" s="20"/>
      <c r="P909" s="20"/>
      <c r="Q909" s="20"/>
      <c r="R909" s="20"/>
      <c r="S909" s="20"/>
      <c r="T909" s="20"/>
      <c r="U909" s="20"/>
      <c r="V909" s="20"/>
      <c r="W909" s="20"/>
      <c r="X909" s="20"/>
      <c r="Y909" s="20"/>
      <c r="Z909" s="20"/>
    </row>
    <row r="910" spans="1:26" ht="17.25" customHeight="1">
      <c r="A910" s="15"/>
      <c r="B910" s="15"/>
      <c r="C910" s="15"/>
      <c r="D910" s="15"/>
      <c r="E910" s="15"/>
      <c r="F910" s="15"/>
      <c r="G910" s="15"/>
      <c r="H910" s="15"/>
      <c r="I910" s="45"/>
      <c r="J910" s="47"/>
      <c r="K910" s="20"/>
      <c r="L910" s="20"/>
      <c r="M910" s="20"/>
      <c r="N910" s="20"/>
      <c r="O910" s="20"/>
      <c r="P910" s="20"/>
      <c r="Q910" s="20"/>
      <c r="R910" s="20"/>
      <c r="S910" s="20"/>
      <c r="T910" s="20"/>
      <c r="U910" s="20"/>
      <c r="V910" s="20"/>
      <c r="W910" s="20"/>
      <c r="X910" s="20"/>
      <c r="Y910" s="20"/>
      <c r="Z910" s="20"/>
    </row>
    <row r="911" spans="1:26" ht="17.25" customHeight="1">
      <c r="A911" s="15"/>
      <c r="B911" s="15"/>
      <c r="C911" s="15"/>
      <c r="D911" s="15"/>
      <c r="E911" s="15"/>
      <c r="F911" s="15"/>
      <c r="G911" s="15"/>
      <c r="H911" s="15"/>
      <c r="I911" s="45"/>
      <c r="J911" s="47"/>
      <c r="K911" s="20"/>
      <c r="L911" s="20"/>
      <c r="M911" s="20"/>
      <c r="N911" s="20"/>
      <c r="O911" s="20"/>
      <c r="P911" s="20"/>
      <c r="Q911" s="20"/>
      <c r="R911" s="20"/>
      <c r="S911" s="20"/>
      <c r="T911" s="20"/>
      <c r="U911" s="20"/>
      <c r="V911" s="20"/>
      <c r="W911" s="20"/>
      <c r="X911" s="20"/>
      <c r="Y911" s="20"/>
      <c r="Z911" s="20"/>
    </row>
    <row r="912" spans="1:26" ht="17.25" customHeight="1">
      <c r="A912" s="15"/>
      <c r="B912" s="15"/>
      <c r="C912" s="15"/>
      <c r="D912" s="15"/>
      <c r="E912" s="15"/>
      <c r="F912" s="15"/>
      <c r="G912" s="15"/>
      <c r="H912" s="15"/>
      <c r="I912" s="45"/>
      <c r="J912" s="47"/>
      <c r="K912" s="20"/>
      <c r="L912" s="20"/>
      <c r="M912" s="20"/>
      <c r="N912" s="20"/>
      <c r="O912" s="20"/>
      <c r="P912" s="20"/>
      <c r="Q912" s="20"/>
      <c r="R912" s="20"/>
      <c r="S912" s="20"/>
      <c r="T912" s="20"/>
      <c r="U912" s="20"/>
      <c r="V912" s="20"/>
      <c r="W912" s="20"/>
      <c r="X912" s="20"/>
      <c r="Y912" s="20"/>
      <c r="Z912" s="20"/>
    </row>
    <row r="913" spans="1:26" ht="17.25" customHeight="1">
      <c r="A913" s="15"/>
      <c r="B913" s="15"/>
      <c r="C913" s="15"/>
      <c r="D913" s="15"/>
      <c r="E913" s="15"/>
      <c r="F913" s="15"/>
      <c r="G913" s="15"/>
      <c r="H913" s="15"/>
      <c r="I913" s="45"/>
      <c r="J913" s="47"/>
      <c r="K913" s="20"/>
      <c r="L913" s="20"/>
      <c r="M913" s="20"/>
      <c r="N913" s="20"/>
      <c r="O913" s="20"/>
      <c r="P913" s="20"/>
      <c r="Q913" s="20"/>
      <c r="R913" s="20"/>
      <c r="S913" s="20"/>
      <c r="T913" s="20"/>
      <c r="U913" s="20"/>
      <c r="V913" s="20"/>
      <c r="W913" s="20"/>
      <c r="X913" s="20"/>
      <c r="Y913" s="20"/>
      <c r="Z913" s="20"/>
    </row>
    <row r="914" spans="1:26" ht="17.25" customHeight="1">
      <c r="A914" s="15"/>
      <c r="B914" s="15"/>
      <c r="C914" s="15"/>
      <c r="D914" s="15"/>
      <c r="E914" s="15"/>
      <c r="F914" s="15"/>
      <c r="G914" s="15"/>
      <c r="H914" s="15"/>
      <c r="I914" s="45"/>
      <c r="J914" s="47"/>
      <c r="K914" s="20"/>
      <c r="L914" s="20"/>
      <c r="M914" s="20"/>
      <c r="N914" s="20"/>
      <c r="O914" s="20"/>
      <c r="P914" s="20"/>
      <c r="Q914" s="20"/>
      <c r="R914" s="20"/>
      <c r="S914" s="20"/>
      <c r="T914" s="20"/>
      <c r="U914" s="20"/>
      <c r="V914" s="20"/>
      <c r="W914" s="20"/>
      <c r="X914" s="20"/>
      <c r="Y914" s="20"/>
      <c r="Z914" s="20"/>
    </row>
    <row r="915" spans="1:26" ht="17.25" customHeight="1">
      <c r="A915" s="15"/>
      <c r="B915" s="15"/>
      <c r="C915" s="15"/>
      <c r="D915" s="15"/>
      <c r="E915" s="15"/>
      <c r="F915" s="15"/>
      <c r="G915" s="15"/>
      <c r="H915" s="15"/>
      <c r="I915" s="45"/>
      <c r="J915" s="47"/>
      <c r="K915" s="20"/>
      <c r="L915" s="20"/>
      <c r="M915" s="20"/>
      <c r="N915" s="20"/>
      <c r="O915" s="20"/>
      <c r="P915" s="20"/>
      <c r="Q915" s="20"/>
      <c r="R915" s="20"/>
      <c r="S915" s="20"/>
      <c r="T915" s="20"/>
      <c r="U915" s="20"/>
      <c r="V915" s="20"/>
      <c r="W915" s="20"/>
      <c r="X915" s="20"/>
      <c r="Y915" s="20"/>
      <c r="Z915" s="20"/>
    </row>
    <row r="916" spans="1:26" ht="17.25" customHeight="1">
      <c r="A916" s="15"/>
      <c r="B916" s="15"/>
      <c r="C916" s="15"/>
      <c r="D916" s="15"/>
      <c r="E916" s="15"/>
      <c r="F916" s="15"/>
      <c r="G916" s="15"/>
      <c r="H916" s="15"/>
      <c r="I916" s="45"/>
      <c r="J916" s="47"/>
      <c r="K916" s="20"/>
      <c r="L916" s="20"/>
      <c r="M916" s="20"/>
      <c r="N916" s="20"/>
      <c r="O916" s="20"/>
      <c r="P916" s="20"/>
      <c r="Q916" s="20"/>
      <c r="R916" s="20"/>
      <c r="S916" s="20"/>
      <c r="T916" s="20"/>
      <c r="U916" s="20"/>
      <c r="V916" s="20"/>
      <c r="W916" s="20"/>
      <c r="X916" s="20"/>
      <c r="Y916" s="20"/>
      <c r="Z916" s="20"/>
    </row>
    <row r="917" spans="1:26" ht="17.25" customHeight="1">
      <c r="A917" s="15"/>
      <c r="B917" s="15"/>
      <c r="C917" s="15"/>
      <c r="D917" s="15"/>
      <c r="E917" s="15"/>
      <c r="F917" s="15"/>
      <c r="G917" s="15"/>
      <c r="H917" s="15"/>
      <c r="I917" s="45"/>
      <c r="J917" s="47"/>
      <c r="K917" s="20"/>
      <c r="L917" s="20"/>
      <c r="M917" s="20"/>
      <c r="N917" s="20"/>
      <c r="O917" s="20"/>
      <c r="P917" s="20"/>
      <c r="Q917" s="20"/>
      <c r="R917" s="20"/>
      <c r="S917" s="20"/>
      <c r="T917" s="20"/>
      <c r="U917" s="20"/>
      <c r="V917" s="20"/>
      <c r="W917" s="20"/>
      <c r="X917" s="20"/>
      <c r="Y917" s="20"/>
      <c r="Z917" s="20"/>
    </row>
    <row r="918" spans="1:26" ht="17.25" customHeight="1">
      <c r="A918" s="15"/>
      <c r="B918" s="15"/>
      <c r="C918" s="15"/>
      <c r="D918" s="15"/>
      <c r="E918" s="15"/>
      <c r="F918" s="15"/>
      <c r="G918" s="15"/>
      <c r="H918" s="15"/>
      <c r="I918" s="45"/>
      <c r="J918" s="47"/>
      <c r="K918" s="20"/>
      <c r="L918" s="20"/>
      <c r="M918" s="20"/>
      <c r="N918" s="20"/>
      <c r="O918" s="20"/>
      <c r="P918" s="20"/>
      <c r="Q918" s="20"/>
      <c r="R918" s="20"/>
      <c r="S918" s="20"/>
      <c r="T918" s="20"/>
      <c r="U918" s="20"/>
      <c r="V918" s="20"/>
      <c r="W918" s="20"/>
      <c r="X918" s="20"/>
      <c r="Y918" s="20"/>
      <c r="Z918" s="20"/>
    </row>
    <row r="919" spans="1:26" ht="17.25" customHeight="1">
      <c r="A919" s="15"/>
      <c r="B919" s="15"/>
      <c r="C919" s="15"/>
      <c r="D919" s="15"/>
      <c r="E919" s="15"/>
      <c r="F919" s="15"/>
      <c r="G919" s="15"/>
      <c r="H919" s="15"/>
      <c r="I919" s="45"/>
      <c r="J919" s="47"/>
      <c r="K919" s="20"/>
      <c r="L919" s="20"/>
      <c r="M919" s="20"/>
      <c r="N919" s="20"/>
      <c r="O919" s="20"/>
      <c r="P919" s="20"/>
      <c r="Q919" s="20"/>
      <c r="R919" s="20"/>
      <c r="S919" s="20"/>
      <c r="T919" s="20"/>
      <c r="U919" s="20"/>
      <c r="V919" s="20"/>
      <c r="W919" s="20"/>
      <c r="X919" s="20"/>
      <c r="Y919" s="20"/>
      <c r="Z919" s="20"/>
    </row>
    <row r="920" spans="1:26" ht="17.25" customHeight="1">
      <c r="A920" s="15"/>
      <c r="B920" s="15"/>
      <c r="C920" s="15"/>
      <c r="D920" s="15"/>
      <c r="E920" s="15"/>
      <c r="F920" s="15"/>
      <c r="G920" s="15"/>
      <c r="H920" s="15"/>
      <c r="I920" s="45"/>
      <c r="J920" s="47"/>
      <c r="K920" s="20"/>
      <c r="L920" s="20"/>
      <c r="M920" s="20"/>
      <c r="N920" s="20"/>
      <c r="O920" s="20"/>
      <c r="P920" s="20"/>
      <c r="Q920" s="20"/>
      <c r="R920" s="20"/>
      <c r="S920" s="20"/>
      <c r="T920" s="20"/>
      <c r="U920" s="20"/>
      <c r="V920" s="20"/>
      <c r="W920" s="20"/>
      <c r="X920" s="20"/>
      <c r="Y920" s="20"/>
      <c r="Z920" s="20"/>
    </row>
    <row r="921" spans="1:26" ht="17.25" customHeight="1">
      <c r="A921" s="15"/>
      <c r="B921" s="15"/>
      <c r="C921" s="15"/>
      <c r="D921" s="15"/>
      <c r="E921" s="15"/>
      <c r="F921" s="15"/>
      <c r="G921" s="15"/>
      <c r="H921" s="15"/>
      <c r="I921" s="45"/>
      <c r="J921" s="47"/>
      <c r="K921" s="20"/>
      <c r="L921" s="20"/>
      <c r="M921" s="20"/>
      <c r="N921" s="20"/>
      <c r="O921" s="20"/>
      <c r="P921" s="20"/>
      <c r="Q921" s="20"/>
      <c r="R921" s="20"/>
      <c r="S921" s="20"/>
      <c r="T921" s="20"/>
      <c r="U921" s="20"/>
      <c r="V921" s="20"/>
      <c r="W921" s="20"/>
      <c r="X921" s="20"/>
      <c r="Y921" s="20"/>
      <c r="Z921" s="20"/>
    </row>
    <row r="922" spans="1:26" ht="17.25" customHeight="1">
      <c r="A922" s="15"/>
      <c r="B922" s="15"/>
      <c r="C922" s="15"/>
      <c r="D922" s="15"/>
      <c r="E922" s="15"/>
      <c r="F922" s="15"/>
      <c r="G922" s="15"/>
      <c r="H922" s="15"/>
      <c r="I922" s="45"/>
      <c r="J922" s="47"/>
      <c r="K922" s="20"/>
      <c r="L922" s="20"/>
      <c r="M922" s="20"/>
      <c r="N922" s="20"/>
      <c r="O922" s="20"/>
      <c r="P922" s="20"/>
      <c r="Q922" s="20"/>
      <c r="R922" s="20"/>
      <c r="S922" s="20"/>
      <c r="T922" s="20"/>
      <c r="U922" s="20"/>
      <c r="V922" s="20"/>
      <c r="W922" s="20"/>
      <c r="X922" s="20"/>
      <c r="Y922" s="20"/>
      <c r="Z922" s="20"/>
    </row>
    <row r="923" spans="1:26" ht="17.25" customHeight="1">
      <c r="A923" s="15"/>
      <c r="B923" s="15"/>
      <c r="C923" s="15"/>
      <c r="D923" s="15"/>
      <c r="E923" s="15"/>
      <c r="F923" s="15"/>
      <c r="G923" s="15"/>
      <c r="H923" s="15"/>
      <c r="I923" s="45"/>
      <c r="J923" s="47"/>
      <c r="K923" s="20"/>
      <c r="L923" s="20"/>
      <c r="M923" s="20"/>
      <c r="N923" s="20"/>
      <c r="O923" s="20"/>
      <c r="P923" s="20"/>
      <c r="Q923" s="20"/>
      <c r="R923" s="20"/>
      <c r="S923" s="20"/>
      <c r="T923" s="20"/>
      <c r="U923" s="20"/>
      <c r="V923" s="20"/>
      <c r="W923" s="20"/>
      <c r="X923" s="20"/>
      <c r="Y923" s="20"/>
      <c r="Z923" s="20"/>
    </row>
    <row r="924" spans="1:26" ht="17.25" customHeight="1">
      <c r="A924" s="15"/>
      <c r="B924" s="15"/>
      <c r="C924" s="15"/>
      <c r="D924" s="15"/>
      <c r="E924" s="15"/>
      <c r="F924" s="15"/>
      <c r="G924" s="15"/>
      <c r="H924" s="15"/>
      <c r="I924" s="45"/>
      <c r="J924" s="47"/>
      <c r="K924" s="20"/>
      <c r="L924" s="20"/>
      <c r="M924" s="20"/>
      <c r="N924" s="20"/>
      <c r="O924" s="20"/>
      <c r="P924" s="20"/>
      <c r="Q924" s="20"/>
      <c r="R924" s="20"/>
      <c r="S924" s="20"/>
      <c r="T924" s="20"/>
      <c r="U924" s="20"/>
      <c r="V924" s="20"/>
      <c r="W924" s="20"/>
      <c r="X924" s="20"/>
      <c r="Y924" s="20"/>
      <c r="Z924" s="20"/>
    </row>
    <row r="925" spans="1:26" ht="17.25" customHeight="1">
      <c r="A925" s="15"/>
      <c r="B925" s="15"/>
      <c r="C925" s="15"/>
      <c r="D925" s="15"/>
      <c r="E925" s="15"/>
      <c r="F925" s="15"/>
      <c r="G925" s="15"/>
      <c r="H925" s="15"/>
      <c r="I925" s="45"/>
      <c r="J925" s="47"/>
      <c r="K925" s="20"/>
      <c r="L925" s="20"/>
      <c r="M925" s="20"/>
      <c r="N925" s="20"/>
      <c r="O925" s="20"/>
      <c r="P925" s="20"/>
      <c r="Q925" s="20"/>
      <c r="R925" s="20"/>
      <c r="S925" s="20"/>
      <c r="T925" s="20"/>
      <c r="U925" s="20"/>
      <c r="V925" s="20"/>
      <c r="W925" s="20"/>
      <c r="X925" s="20"/>
      <c r="Y925" s="20"/>
      <c r="Z925" s="20"/>
    </row>
    <row r="926" spans="1:26" ht="17.25" customHeight="1">
      <c r="A926" s="15"/>
      <c r="B926" s="15"/>
      <c r="C926" s="15"/>
      <c r="D926" s="15"/>
      <c r="E926" s="15"/>
      <c r="F926" s="15"/>
      <c r="G926" s="15"/>
      <c r="H926" s="15"/>
      <c r="I926" s="45"/>
      <c r="J926" s="47"/>
      <c r="K926" s="20"/>
      <c r="L926" s="20"/>
      <c r="M926" s="20"/>
      <c r="N926" s="20"/>
      <c r="O926" s="20"/>
      <c r="P926" s="20"/>
      <c r="Q926" s="20"/>
      <c r="R926" s="20"/>
      <c r="S926" s="20"/>
      <c r="T926" s="20"/>
      <c r="U926" s="20"/>
      <c r="V926" s="20"/>
      <c r="W926" s="20"/>
      <c r="X926" s="20"/>
      <c r="Y926" s="20"/>
      <c r="Z926" s="20"/>
    </row>
    <row r="927" spans="1:26" ht="17.25" customHeight="1">
      <c r="A927" s="15"/>
      <c r="B927" s="15"/>
      <c r="C927" s="15"/>
      <c r="D927" s="15"/>
      <c r="E927" s="15"/>
      <c r="F927" s="15"/>
      <c r="G927" s="15"/>
      <c r="H927" s="15"/>
      <c r="I927" s="45"/>
      <c r="J927" s="47"/>
      <c r="K927" s="20"/>
      <c r="L927" s="20"/>
      <c r="M927" s="20"/>
      <c r="N927" s="20"/>
      <c r="O927" s="20"/>
      <c r="P927" s="20"/>
      <c r="Q927" s="20"/>
      <c r="R927" s="20"/>
      <c r="S927" s="20"/>
      <c r="T927" s="20"/>
      <c r="U927" s="20"/>
      <c r="V927" s="20"/>
      <c r="W927" s="20"/>
      <c r="X927" s="20"/>
      <c r="Y927" s="20"/>
      <c r="Z927" s="20"/>
    </row>
    <row r="928" spans="1:26" ht="17.25" customHeight="1">
      <c r="A928" s="15"/>
      <c r="B928" s="15"/>
      <c r="C928" s="15"/>
      <c r="D928" s="15"/>
      <c r="E928" s="15"/>
      <c r="F928" s="15"/>
      <c r="G928" s="15"/>
      <c r="H928" s="15"/>
      <c r="I928" s="45"/>
      <c r="J928" s="47"/>
      <c r="K928" s="20"/>
      <c r="L928" s="20"/>
      <c r="M928" s="20"/>
      <c r="N928" s="20"/>
      <c r="O928" s="20"/>
      <c r="P928" s="20"/>
      <c r="Q928" s="20"/>
      <c r="R928" s="20"/>
      <c r="S928" s="20"/>
      <c r="T928" s="20"/>
      <c r="U928" s="20"/>
      <c r="V928" s="20"/>
      <c r="W928" s="20"/>
      <c r="X928" s="20"/>
      <c r="Y928" s="20"/>
      <c r="Z928" s="20"/>
    </row>
    <row r="929" spans="1:26" ht="17.25" customHeight="1">
      <c r="A929" s="15"/>
      <c r="B929" s="15"/>
      <c r="C929" s="15"/>
      <c r="D929" s="15"/>
      <c r="E929" s="15"/>
      <c r="F929" s="15"/>
      <c r="G929" s="15"/>
      <c r="H929" s="15"/>
      <c r="I929" s="45"/>
      <c r="J929" s="47"/>
      <c r="K929" s="20"/>
      <c r="L929" s="20"/>
      <c r="M929" s="20"/>
      <c r="N929" s="20"/>
      <c r="O929" s="20"/>
      <c r="P929" s="20"/>
      <c r="Q929" s="20"/>
      <c r="R929" s="20"/>
      <c r="S929" s="20"/>
      <c r="T929" s="20"/>
      <c r="U929" s="20"/>
      <c r="V929" s="20"/>
      <c r="W929" s="20"/>
      <c r="X929" s="20"/>
      <c r="Y929" s="20"/>
      <c r="Z929" s="20"/>
    </row>
    <row r="930" spans="1:26" ht="17.25" customHeight="1">
      <c r="A930" s="15"/>
      <c r="B930" s="15"/>
      <c r="C930" s="15"/>
      <c r="D930" s="15"/>
      <c r="E930" s="15"/>
      <c r="F930" s="15"/>
      <c r="G930" s="15"/>
      <c r="H930" s="15"/>
      <c r="I930" s="45"/>
      <c r="J930" s="47"/>
      <c r="K930" s="20"/>
      <c r="L930" s="20"/>
      <c r="M930" s="20"/>
      <c r="N930" s="20"/>
      <c r="O930" s="20"/>
      <c r="P930" s="20"/>
      <c r="Q930" s="20"/>
      <c r="R930" s="20"/>
      <c r="S930" s="20"/>
      <c r="T930" s="20"/>
      <c r="U930" s="20"/>
      <c r="V930" s="20"/>
      <c r="W930" s="20"/>
      <c r="X930" s="20"/>
      <c r="Y930" s="20"/>
      <c r="Z930" s="20"/>
    </row>
    <row r="931" spans="1:26" ht="17.25" customHeight="1">
      <c r="A931" s="15"/>
      <c r="B931" s="15"/>
      <c r="C931" s="15"/>
      <c r="D931" s="15"/>
      <c r="E931" s="15"/>
      <c r="F931" s="15"/>
      <c r="G931" s="15"/>
      <c r="H931" s="15"/>
      <c r="I931" s="45"/>
      <c r="J931" s="47"/>
      <c r="K931" s="20"/>
      <c r="L931" s="20"/>
      <c r="M931" s="20"/>
      <c r="N931" s="20"/>
      <c r="O931" s="20"/>
      <c r="P931" s="20"/>
      <c r="Q931" s="20"/>
      <c r="R931" s="20"/>
      <c r="S931" s="20"/>
      <c r="T931" s="20"/>
      <c r="U931" s="20"/>
      <c r="V931" s="20"/>
      <c r="W931" s="20"/>
      <c r="X931" s="20"/>
      <c r="Y931" s="20"/>
      <c r="Z931" s="20"/>
    </row>
    <row r="932" spans="1:26" ht="17.25" customHeight="1">
      <c r="A932" s="15"/>
      <c r="B932" s="15"/>
      <c r="C932" s="15"/>
      <c r="D932" s="15"/>
      <c r="E932" s="15"/>
      <c r="F932" s="15"/>
      <c r="G932" s="15"/>
      <c r="H932" s="15"/>
      <c r="I932" s="45"/>
      <c r="J932" s="47"/>
      <c r="K932" s="20"/>
      <c r="L932" s="20"/>
      <c r="M932" s="20"/>
      <c r="N932" s="20"/>
      <c r="O932" s="20"/>
      <c r="P932" s="20"/>
      <c r="Q932" s="20"/>
      <c r="R932" s="20"/>
      <c r="S932" s="20"/>
      <c r="T932" s="20"/>
      <c r="U932" s="20"/>
      <c r="V932" s="20"/>
      <c r="W932" s="20"/>
      <c r="X932" s="20"/>
      <c r="Y932" s="20"/>
      <c r="Z932" s="20"/>
    </row>
    <row r="933" spans="1:26" ht="17.25" customHeight="1">
      <c r="A933" s="15"/>
      <c r="B933" s="15"/>
      <c r="C933" s="15"/>
      <c r="D933" s="15"/>
      <c r="E933" s="15"/>
      <c r="F933" s="15"/>
      <c r="G933" s="15"/>
      <c r="H933" s="15"/>
      <c r="I933" s="45"/>
      <c r="J933" s="47"/>
      <c r="K933" s="20"/>
      <c r="L933" s="20"/>
      <c r="M933" s="20"/>
      <c r="N933" s="20"/>
      <c r="O933" s="20"/>
      <c r="P933" s="20"/>
      <c r="Q933" s="20"/>
      <c r="R933" s="20"/>
      <c r="S933" s="20"/>
      <c r="T933" s="20"/>
      <c r="U933" s="20"/>
      <c r="V933" s="20"/>
      <c r="W933" s="20"/>
      <c r="X933" s="20"/>
      <c r="Y933" s="20"/>
      <c r="Z933" s="20"/>
    </row>
    <row r="934" spans="1:26" ht="17.25" customHeight="1">
      <c r="A934" s="15"/>
      <c r="B934" s="15"/>
      <c r="C934" s="15"/>
      <c r="D934" s="15"/>
      <c r="E934" s="15"/>
      <c r="F934" s="15"/>
      <c r="G934" s="15"/>
      <c r="H934" s="15"/>
      <c r="I934" s="45"/>
      <c r="J934" s="47"/>
      <c r="K934" s="20"/>
      <c r="L934" s="20"/>
      <c r="M934" s="20"/>
      <c r="N934" s="20"/>
      <c r="O934" s="20"/>
      <c r="P934" s="20"/>
      <c r="Q934" s="20"/>
      <c r="R934" s="20"/>
      <c r="S934" s="20"/>
      <c r="T934" s="20"/>
      <c r="U934" s="20"/>
      <c r="V934" s="20"/>
      <c r="W934" s="20"/>
      <c r="X934" s="20"/>
      <c r="Y934" s="20"/>
      <c r="Z934" s="20"/>
    </row>
    <row r="935" spans="1:26" ht="17.25" customHeight="1">
      <c r="A935" s="15"/>
      <c r="B935" s="15"/>
      <c r="C935" s="15"/>
      <c r="D935" s="15"/>
      <c r="E935" s="15"/>
      <c r="F935" s="15"/>
      <c r="G935" s="15"/>
      <c r="H935" s="15"/>
      <c r="I935" s="45"/>
      <c r="J935" s="47"/>
      <c r="K935" s="20"/>
      <c r="L935" s="20"/>
      <c r="M935" s="20"/>
      <c r="N935" s="20"/>
      <c r="O935" s="20"/>
      <c r="P935" s="20"/>
      <c r="Q935" s="20"/>
      <c r="R935" s="20"/>
      <c r="S935" s="20"/>
      <c r="T935" s="20"/>
      <c r="U935" s="20"/>
      <c r="V935" s="20"/>
      <c r="W935" s="20"/>
      <c r="X935" s="20"/>
      <c r="Y935" s="20"/>
      <c r="Z935" s="20"/>
    </row>
    <row r="936" spans="1:26" ht="17.25" customHeight="1">
      <c r="A936" s="15"/>
      <c r="B936" s="15"/>
      <c r="C936" s="15"/>
      <c r="D936" s="15"/>
      <c r="E936" s="15"/>
      <c r="F936" s="15"/>
      <c r="G936" s="15"/>
      <c r="H936" s="15"/>
      <c r="I936" s="45"/>
      <c r="J936" s="47"/>
      <c r="K936" s="20"/>
      <c r="L936" s="20"/>
      <c r="M936" s="20"/>
      <c r="N936" s="20"/>
      <c r="O936" s="20"/>
      <c r="P936" s="20"/>
      <c r="Q936" s="20"/>
      <c r="R936" s="20"/>
      <c r="S936" s="20"/>
      <c r="T936" s="20"/>
      <c r="U936" s="20"/>
      <c r="V936" s="20"/>
      <c r="W936" s="20"/>
      <c r="X936" s="20"/>
      <c r="Y936" s="20"/>
      <c r="Z936" s="20"/>
    </row>
    <row r="937" spans="1:26" ht="17.25" customHeight="1">
      <c r="A937" s="15"/>
      <c r="B937" s="15"/>
      <c r="C937" s="15"/>
      <c r="D937" s="15"/>
      <c r="E937" s="15"/>
      <c r="F937" s="15"/>
      <c r="G937" s="15"/>
      <c r="H937" s="15"/>
      <c r="I937" s="45"/>
      <c r="J937" s="47"/>
      <c r="K937" s="20"/>
      <c r="L937" s="20"/>
      <c r="M937" s="20"/>
      <c r="N937" s="20"/>
      <c r="O937" s="20"/>
      <c r="P937" s="20"/>
      <c r="Q937" s="20"/>
      <c r="R937" s="20"/>
      <c r="S937" s="20"/>
      <c r="T937" s="20"/>
      <c r="U937" s="20"/>
      <c r="V937" s="20"/>
      <c r="W937" s="20"/>
      <c r="X937" s="20"/>
      <c r="Y937" s="20"/>
      <c r="Z937" s="20"/>
    </row>
    <row r="938" spans="1:26" ht="17.25" customHeight="1">
      <c r="A938" s="15"/>
      <c r="B938" s="15"/>
      <c r="C938" s="15"/>
      <c r="D938" s="15"/>
      <c r="E938" s="15"/>
      <c r="F938" s="15"/>
      <c r="G938" s="15"/>
      <c r="H938" s="15"/>
      <c r="I938" s="45"/>
      <c r="J938" s="47"/>
      <c r="K938" s="20"/>
      <c r="L938" s="20"/>
      <c r="M938" s="20"/>
      <c r="N938" s="20"/>
      <c r="O938" s="20"/>
      <c r="P938" s="20"/>
      <c r="Q938" s="20"/>
      <c r="R938" s="20"/>
      <c r="S938" s="20"/>
      <c r="T938" s="20"/>
      <c r="U938" s="20"/>
      <c r="V938" s="20"/>
      <c r="W938" s="20"/>
      <c r="X938" s="20"/>
      <c r="Y938" s="20"/>
      <c r="Z938" s="20"/>
    </row>
    <row r="939" spans="1:26" ht="17.25" customHeight="1">
      <c r="A939" s="15"/>
      <c r="B939" s="15"/>
      <c r="C939" s="15"/>
      <c r="D939" s="15"/>
      <c r="E939" s="15"/>
      <c r="F939" s="15"/>
      <c r="G939" s="15"/>
      <c r="H939" s="15"/>
      <c r="I939" s="45"/>
      <c r="J939" s="47"/>
      <c r="K939" s="20"/>
      <c r="L939" s="20"/>
      <c r="M939" s="20"/>
      <c r="N939" s="20"/>
      <c r="O939" s="20"/>
      <c r="P939" s="20"/>
      <c r="Q939" s="20"/>
      <c r="R939" s="20"/>
      <c r="S939" s="20"/>
      <c r="T939" s="20"/>
      <c r="U939" s="20"/>
      <c r="V939" s="20"/>
      <c r="W939" s="20"/>
      <c r="X939" s="20"/>
      <c r="Y939" s="20"/>
      <c r="Z939" s="20"/>
    </row>
    <row r="940" spans="1:26" ht="17.25" customHeight="1">
      <c r="A940" s="15"/>
      <c r="B940" s="15"/>
      <c r="C940" s="15"/>
      <c r="D940" s="15"/>
      <c r="E940" s="15"/>
      <c r="F940" s="15"/>
      <c r="G940" s="15"/>
      <c r="H940" s="15"/>
      <c r="I940" s="45"/>
      <c r="J940" s="47"/>
      <c r="K940" s="20"/>
      <c r="L940" s="20"/>
      <c r="M940" s="20"/>
      <c r="N940" s="20"/>
      <c r="O940" s="20"/>
      <c r="P940" s="20"/>
      <c r="Q940" s="20"/>
      <c r="R940" s="20"/>
      <c r="S940" s="20"/>
      <c r="T940" s="20"/>
      <c r="U940" s="20"/>
      <c r="V940" s="20"/>
      <c r="W940" s="20"/>
      <c r="X940" s="20"/>
      <c r="Y940" s="20"/>
      <c r="Z940" s="20"/>
    </row>
    <row r="941" spans="1:26" ht="17.25" customHeight="1">
      <c r="A941" s="15"/>
      <c r="B941" s="15"/>
      <c r="C941" s="15"/>
      <c r="D941" s="15"/>
      <c r="E941" s="15"/>
      <c r="F941" s="15"/>
      <c r="G941" s="15"/>
      <c r="H941" s="15"/>
      <c r="I941" s="45"/>
      <c r="J941" s="47"/>
      <c r="K941" s="20"/>
      <c r="L941" s="20"/>
      <c r="M941" s="20"/>
      <c r="N941" s="20"/>
      <c r="O941" s="20"/>
      <c r="P941" s="20"/>
      <c r="Q941" s="20"/>
      <c r="R941" s="20"/>
      <c r="S941" s="20"/>
      <c r="T941" s="20"/>
      <c r="U941" s="20"/>
      <c r="V941" s="20"/>
      <c r="W941" s="20"/>
      <c r="X941" s="20"/>
      <c r="Y941" s="20"/>
      <c r="Z941" s="20"/>
    </row>
    <row r="942" spans="1:26" ht="17.25" customHeight="1">
      <c r="A942" s="15"/>
      <c r="B942" s="15"/>
      <c r="C942" s="15"/>
      <c r="D942" s="15"/>
      <c r="E942" s="15"/>
      <c r="F942" s="15"/>
      <c r="G942" s="15"/>
      <c r="H942" s="15"/>
      <c r="I942" s="45"/>
      <c r="J942" s="47"/>
      <c r="K942" s="20"/>
      <c r="L942" s="20"/>
      <c r="M942" s="20"/>
      <c r="N942" s="20"/>
      <c r="O942" s="20"/>
      <c r="P942" s="20"/>
      <c r="Q942" s="20"/>
      <c r="R942" s="20"/>
      <c r="S942" s="20"/>
      <c r="T942" s="20"/>
      <c r="U942" s="20"/>
      <c r="V942" s="20"/>
      <c r="W942" s="20"/>
      <c r="X942" s="20"/>
      <c r="Y942" s="20"/>
      <c r="Z942" s="20"/>
    </row>
    <row r="943" spans="1:26" ht="17.25" customHeight="1">
      <c r="A943" s="15"/>
      <c r="B943" s="15"/>
      <c r="C943" s="15"/>
      <c r="D943" s="15"/>
      <c r="E943" s="15"/>
      <c r="F943" s="15"/>
      <c r="G943" s="15"/>
      <c r="H943" s="15"/>
      <c r="I943" s="45"/>
      <c r="J943" s="47"/>
      <c r="K943" s="20"/>
      <c r="L943" s="20"/>
      <c r="M943" s="20"/>
      <c r="N943" s="20"/>
      <c r="O943" s="20"/>
      <c r="P943" s="20"/>
      <c r="Q943" s="20"/>
      <c r="R943" s="20"/>
      <c r="S943" s="20"/>
      <c r="T943" s="20"/>
      <c r="U943" s="20"/>
      <c r="V943" s="20"/>
      <c r="W943" s="20"/>
      <c r="X943" s="20"/>
      <c r="Y943" s="20"/>
      <c r="Z943" s="20"/>
    </row>
    <row r="944" spans="1:26" ht="17.25" customHeight="1">
      <c r="A944" s="15"/>
      <c r="B944" s="15"/>
      <c r="C944" s="15"/>
      <c r="D944" s="15"/>
      <c r="E944" s="15"/>
      <c r="F944" s="15"/>
      <c r="G944" s="15"/>
      <c r="H944" s="15"/>
      <c r="I944" s="45"/>
      <c r="J944" s="47"/>
      <c r="K944" s="20"/>
      <c r="L944" s="20"/>
      <c r="M944" s="20"/>
      <c r="N944" s="20"/>
      <c r="O944" s="20"/>
      <c r="P944" s="20"/>
      <c r="Q944" s="20"/>
      <c r="R944" s="20"/>
      <c r="S944" s="20"/>
      <c r="T944" s="20"/>
      <c r="U944" s="20"/>
      <c r="V944" s="20"/>
      <c r="W944" s="20"/>
      <c r="X944" s="20"/>
      <c r="Y944" s="20"/>
      <c r="Z944" s="20"/>
    </row>
    <row r="945" spans="1:26" ht="17.25" customHeight="1">
      <c r="A945" s="15"/>
      <c r="B945" s="15"/>
      <c r="C945" s="15"/>
      <c r="D945" s="15"/>
      <c r="E945" s="15"/>
      <c r="F945" s="15"/>
      <c r="G945" s="15"/>
      <c r="H945" s="15"/>
      <c r="I945" s="45"/>
      <c r="J945" s="47"/>
      <c r="K945" s="20"/>
      <c r="L945" s="20"/>
      <c r="M945" s="20"/>
      <c r="N945" s="20"/>
      <c r="O945" s="20"/>
      <c r="P945" s="20"/>
      <c r="Q945" s="20"/>
      <c r="R945" s="20"/>
      <c r="S945" s="20"/>
      <c r="T945" s="20"/>
      <c r="U945" s="20"/>
      <c r="V945" s="20"/>
      <c r="W945" s="20"/>
      <c r="X945" s="20"/>
      <c r="Y945" s="20"/>
      <c r="Z945" s="20"/>
    </row>
    <row r="946" spans="1:26" ht="17.25" customHeight="1">
      <c r="A946" s="15"/>
      <c r="B946" s="15"/>
      <c r="C946" s="15"/>
      <c r="D946" s="15"/>
      <c r="E946" s="15"/>
      <c r="F946" s="15"/>
      <c r="G946" s="15"/>
      <c r="H946" s="15"/>
      <c r="I946" s="45"/>
      <c r="J946" s="47"/>
      <c r="K946" s="20"/>
      <c r="L946" s="20"/>
      <c r="M946" s="20"/>
      <c r="N946" s="20"/>
      <c r="O946" s="20"/>
      <c r="P946" s="20"/>
      <c r="Q946" s="20"/>
      <c r="R946" s="20"/>
      <c r="S946" s="20"/>
      <c r="T946" s="20"/>
      <c r="U946" s="20"/>
      <c r="V946" s="20"/>
      <c r="W946" s="20"/>
      <c r="X946" s="20"/>
      <c r="Y946" s="20"/>
      <c r="Z946" s="20"/>
    </row>
    <row r="947" spans="1:26" ht="17.25" customHeight="1">
      <c r="A947" s="15"/>
      <c r="B947" s="15"/>
      <c r="C947" s="15"/>
      <c r="D947" s="15"/>
      <c r="E947" s="15"/>
      <c r="F947" s="15"/>
      <c r="G947" s="15"/>
      <c r="H947" s="15"/>
      <c r="I947" s="45"/>
      <c r="J947" s="47"/>
      <c r="K947" s="20"/>
      <c r="L947" s="20"/>
      <c r="M947" s="20"/>
      <c r="N947" s="20"/>
      <c r="O947" s="20"/>
      <c r="P947" s="20"/>
      <c r="Q947" s="20"/>
      <c r="R947" s="20"/>
      <c r="S947" s="20"/>
      <c r="T947" s="20"/>
      <c r="U947" s="20"/>
      <c r="V947" s="20"/>
      <c r="W947" s="20"/>
      <c r="X947" s="20"/>
      <c r="Y947" s="20"/>
      <c r="Z947" s="20"/>
    </row>
    <row r="948" spans="1:26" ht="17.25" customHeight="1">
      <c r="A948" s="15"/>
      <c r="B948" s="15"/>
      <c r="C948" s="15"/>
      <c r="D948" s="15"/>
      <c r="E948" s="15"/>
      <c r="F948" s="15"/>
      <c r="G948" s="15"/>
      <c r="H948" s="15"/>
      <c r="I948" s="45"/>
      <c r="J948" s="47"/>
      <c r="K948" s="20"/>
      <c r="L948" s="20"/>
      <c r="M948" s="20"/>
      <c r="N948" s="20"/>
      <c r="O948" s="20"/>
      <c r="P948" s="20"/>
      <c r="Q948" s="20"/>
      <c r="R948" s="20"/>
      <c r="S948" s="20"/>
      <c r="T948" s="20"/>
      <c r="U948" s="20"/>
      <c r="V948" s="20"/>
      <c r="W948" s="20"/>
      <c r="X948" s="20"/>
      <c r="Y948" s="20"/>
      <c r="Z948" s="20"/>
    </row>
    <row r="949" spans="1:26" ht="17.25" customHeight="1">
      <c r="A949" s="15"/>
      <c r="B949" s="15"/>
      <c r="C949" s="15"/>
      <c r="D949" s="15"/>
      <c r="E949" s="15"/>
      <c r="F949" s="15"/>
      <c r="G949" s="15"/>
      <c r="H949" s="15"/>
      <c r="I949" s="45"/>
      <c r="J949" s="47"/>
      <c r="K949" s="20"/>
      <c r="L949" s="20"/>
      <c r="M949" s="20"/>
      <c r="N949" s="20"/>
      <c r="O949" s="20"/>
      <c r="P949" s="20"/>
      <c r="Q949" s="20"/>
      <c r="R949" s="20"/>
      <c r="S949" s="20"/>
      <c r="T949" s="20"/>
      <c r="U949" s="20"/>
      <c r="V949" s="20"/>
      <c r="W949" s="20"/>
      <c r="X949" s="20"/>
      <c r="Y949" s="20"/>
      <c r="Z949" s="20"/>
    </row>
    <row r="950" spans="1:26" ht="17.25" customHeight="1">
      <c r="A950" s="15"/>
      <c r="B950" s="15"/>
      <c r="C950" s="15"/>
      <c r="D950" s="15"/>
      <c r="E950" s="15"/>
      <c r="F950" s="15"/>
      <c r="G950" s="15"/>
      <c r="H950" s="15"/>
      <c r="I950" s="45"/>
      <c r="J950" s="47"/>
      <c r="K950" s="20"/>
      <c r="L950" s="20"/>
      <c r="M950" s="20"/>
      <c r="N950" s="20"/>
      <c r="O950" s="20"/>
      <c r="P950" s="20"/>
      <c r="Q950" s="20"/>
      <c r="R950" s="20"/>
      <c r="S950" s="20"/>
      <c r="T950" s="20"/>
      <c r="U950" s="20"/>
      <c r="V950" s="20"/>
      <c r="W950" s="20"/>
      <c r="X950" s="20"/>
      <c r="Y950" s="20"/>
      <c r="Z950" s="20"/>
    </row>
    <row r="951" spans="1:26" ht="17.25" customHeight="1">
      <c r="A951" s="15"/>
      <c r="B951" s="15"/>
      <c r="C951" s="15"/>
      <c r="D951" s="15"/>
      <c r="E951" s="15"/>
      <c r="F951" s="15"/>
      <c r="G951" s="15"/>
      <c r="H951" s="15"/>
      <c r="I951" s="45"/>
      <c r="J951" s="47"/>
      <c r="K951" s="20"/>
      <c r="L951" s="20"/>
      <c r="M951" s="20"/>
      <c r="N951" s="20"/>
      <c r="O951" s="20"/>
      <c r="P951" s="20"/>
      <c r="Q951" s="20"/>
      <c r="R951" s="20"/>
      <c r="S951" s="20"/>
      <c r="T951" s="20"/>
      <c r="U951" s="20"/>
      <c r="V951" s="20"/>
      <c r="W951" s="20"/>
      <c r="X951" s="20"/>
      <c r="Y951" s="20"/>
      <c r="Z951" s="20"/>
    </row>
    <row r="952" spans="1:26" ht="17.25" customHeight="1">
      <c r="A952" s="15"/>
      <c r="B952" s="15"/>
      <c r="C952" s="15"/>
      <c r="D952" s="15"/>
      <c r="E952" s="15"/>
      <c r="F952" s="15"/>
      <c r="G952" s="15"/>
      <c r="H952" s="15"/>
      <c r="I952" s="45"/>
      <c r="J952" s="47"/>
      <c r="K952" s="20"/>
      <c r="L952" s="20"/>
      <c r="M952" s="20"/>
      <c r="N952" s="20"/>
      <c r="O952" s="20"/>
      <c r="P952" s="20"/>
      <c r="Q952" s="20"/>
      <c r="R952" s="20"/>
      <c r="S952" s="20"/>
      <c r="T952" s="20"/>
      <c r="U952" s="20"/>
      <c r="V952" s="20"/>
      <c r="W952" s="20"/>
      <c r="X952" s="20"/>
      <c r="Y952" s="20"/>
      <c r="Z952" s="20"/>
    </row>
    <row r="953" spans="1:26" ht="17.25" customHeight="1">
      <c r="A953" s="15"/>
      <c r="B953" s="15"/>
      <c r="C953" s="15"/>
      <c r="D953" s="15"/>
      <c r="E953" s="15"/>
      <c r="F953" s="15"/>
      <c r="G953" s="15"/>
      <c r="H953" s="15"/>
      <c r="I953" s="45"/>
      <c r="J953" s="47"/>
      <c r="K953" s="20"/>
      <c r="L953" s="20"/>
      <c r="M953" s="20"/>
      <c r="N953" s="20"/>
      <c r="O953" s="20"/>
      <c r="P953" s="20"/>
      <c r="Q953" s="20"/>
      <c r="R953" s="20"/>
      <c r="S953" s="20"/>
      <c r="T953" s="20"/>
      <c r="U953" s="20"/>
      <c r="V953" s="20"/>
      <c r="W953" s="20"/>
      <c r="X953" s="20"/>
      <c r="Y953" s="20"/>
      <c r="Z953" s="20"/>
    </row>
    <row r="954" spans="1:26" ht="17.25" customHeight="1">
      <c r="A954" s="15"/>
      <c r="B954" s="15"/>
      <c r="C954" s="15"/>
      <c r="D954" s="15"/>
      <c r="E954" s="15"/>
      <c r="F954" s="15"/>
      <c r="G954" s="15"/>
      <c r="H954" s="15"/>
      <c r="I954" s="45"/>
      <c r="J954" s="47"/>
      <c r="K954" s="20"/>
      <c r="L954" s="20"/>
      <c r="M954" s="20"/>
      <c r="N954" s="20"/>
      <c r="O954" s="20"/>
      <c r="P954" s="20"/>
      <c r="Q954" s="20"/>
      <c r="R954" s="20"/>
      <c r="S954" s="20"/>
      <c r="T954" s="20"/>
      <c r="U954" s="20"/>
      <c r="V954" s="20"/>
      <c r="W954" s="20"/>
      <c r="X954" s="20"/>
      <c r="Y954" s="20"/>
      <c r="Z954" s="20"/>
    </row>
    <row r="955" spans="1:26" ht="17.25" customHeight="1">
      <c r="A955" s="15"/>
      <c r="B955" s="15"/>
      <c r="C955" s="15"/>
      <c r="D955" s="15"/>
      <c r="E955" s="15"/>
      <c r="F955" s="15"/>
      <c r="G955" s="15"/>
      <c r="H955" s="15"/>
      <c r="I955" s="45"/>
      <c r="J955" s="47"/>
      <c r="K955" s="20"/>
      <c r="L955" s="20"/>
      <c r="M955" s="20"/>
      <c r="N955" s="20"/>
      <c r="O955" s="20"/>
      <c r="P955" s="20"/>
      <c r="Q955" s="20"/>
      <c r="R955" s="20"/>
      <c r="S955" s="20"/>
      <c r="T955" s="20"/>
      <c r="U955" s="20"/>
      <c r="V955" s="20"/>
      <c r="W955" s="20"/>
      <c r="X955" s="20"/>
      <c r="Y955" s="20"/>
      <c r="Z955" s="20"/>
    </row>
    <row r="956" spans="1:26" ht="17.25" customHeight="1">
      <c r="A956" s="15"/>
      <c r="B956" s="15"/>
      <c r="C956" s="15"/>
      <c r="D956" s="15"/>
      <c r="E956" s="15"/>
      <c r="F956" s="15"/>
      <c r="G956" s="15"/>
      <c r="H956" s="15"/>
      <c r="I956" s="45"/>
      <c r="J956" s="47"/>
      <c r="K956" s="20"/>
      <c r="L956" s="20"/>
      <c r="M956" s="20"/>
      <c r="N956" s="20"/>
      <c r="O956" s="20"/>
      <c r="P956" s="20"/>
      <c r="Q956" s="20"/>
      <c r="R956" s="20"/>
      <c r="S956" s="20"/>
      <c r="T956" s="20"/>
      <c r="U956" s="20"/>
      <c r="V956" s="20"/>
      <c r="W956" s="20"/>
      <c r="X956" s="20"/>
      <c r="Y956" s="20"/>
      <c r="Z956" s="20"/>
    </row>
    <row r="957" spans="1:26" ht="17.25" customHeight="1">
      <c r="A957" s="15"/>
      <c r="B957" s="15"/>
      <c r="C957" s="15"/>
      <c r="D957" s="15"/>
      <c r="E957" s="15"/>
      <c r="F957" s="15"/>
      <c r="G957" s="15"/>
      <c r="H957" s="15"/>
      <c r="I957" s="45"/>
      <c r="J957" s="47"/>
      <c r="K957" s="20"/>
      <c r="L957" s="20"/>
      <c r="M957" s="20"/>
      <c r="N957" s="20"/>
      <c r="O957" s="20"/>
      <c r="P957" s="20"/>
      <c r="Q957" s="20"/>
      <c r="R957" s="20"/>
      <c r="S957" s="20"/>
      <c r="T957" s="20"/>
      <c r="U957" s="20"/>
      <c r="V957" s="20"/>
      <c r="W957" s="20"/>
      <c r="X957" s="20"/>
      <c r="Y957" s="20"/>
      <c r="Z957" s="20"/>
    </row>
    <row r="958" spans="1:26" ht="17.25" customHeight="1">
      <c r="A958" s="15"/>
      <c r="B958" s="15"/>
      <c r="C958" s="15"/>
      <c r="D958" s="15"/>
      <c r="E958" s="15"/>
      <c r="F958" s="15"/>
      <c r="G958" s="15"/>
      <c r="H958" s="15"/>
      <c r="I958" s="45"/>
      <c r="J958" s="47"/>
      <c r="K958" s="20"/>
      <c r="L958" s="20"/>
      <c r="M958" s="20"/>
      <c r="N958" s="20"/>
      <c r="O958" s="20"/>
      <c r="P958" s="20"/>
      <c r="Q958" s="20"/>
      <c r="R958" s="20"/>
      <c r="S958" s="20"/>
      <c r="T958" s="20"/>
      <c r="U958" s="20"/>
      <c r="V958" s="20"/>
      <c r="W958" s="20"/>
      <c r="X958" s="20"/>
      <c r="Y958" s="20"/>
      <c r="Z958" s="20"/>
    </row>
    <row r="959" spans="1:26" ht="17.25" customHeight="1">
      <c r="A959" s="15"/>
      <c r="B959" s="15"/>
      <c r="C959" s="15"/>
      <c r="D959" s="15"/>
      <c r="E959" s="15"/>
      <c r="F959" s="15"/>
      <c r="G959" s="15"/>
      <c r="H959" s="15"/>
      <c r="I959" s="45"/>
      <c r="J959" s="47"/>
      <c r="K959" s="20"/>
      <c r="L959" s="20"/>
      <c r="M959" s="20"/>
      <c r="N959" s="20"/>
      <c r="O959" s="20"/>
      <c r="P959" s="20"/>
      <c r="Q959" s="20"/>
      <c r="R959" s="20"/>
      <c r="S959" s="20"/>
      <c r="T959" s="20"/>
      <c r="U959" s="20"/>
      <c r="V959" s="20"/>
      <c r="W959" s="20"/>
      <c r="X959" s="20"/>
      <c r="Y959" s="20"/>
      <c r="Z959" s="20"/>
    </row>
    <row r="960" spans="1:26" ht="17.25" customHeight="1">
      <c r="A960" s="15"/>
      <c r="B960" s="15"/>
      <c r="C960" s="15"/>
      <c r="D960" s="15"/>
      <c r="E960" s="15"/>
      <c r="F960" s="15"/>
      <c r="G960" s="15"/>
      <c r="H960" s="15"/>
      <c r="I960" s="45"/>
      <c r="J960" s="47"/>
      <c r="K960" s="20"/>
      <c r="L960" s="20"/>
      <c r="M960" s="20"/>
      <c r="N960" s="20"/>
      <c r="O960" s="20"/>
      <c r="P960" s="20"/>
      <c r="Q960" s="20"/>
      <c r="R960" s="20"/>
      <c r="S960" s="20"/>
      <c r="T960" s="20"/>
      <c r="U960" s="20"/>
      <c r="V960" s="20"/>
      <c r="W960" s="20"/>
      <c r="X960" s="20"/>
      <c r="Y960" s="20"/>
      <c r="Z960" s="20"/>
    </row>
    <row r="961" spans="1:26" ht="17.25" customHeight="1">
      <c r="A961" s="15"/>
      <c r="B961" s="15"/>
      <c r="C961" s="15"/>
      <c r="D961" s="15"/>
      <c r="E961" s="15"/>
      <c r="F961" s="15"/>
      <c r="G961" s="15"/>
      <c r="H961" s="15"/>
      <c r="I961" s="45"/>
      <c r="J961" s="47"/>
      <c r="K961" s="20"/>
      <c r="L961" s="20"/>
      <c r="M961" s="20"/>
      <c r="N961" s="20"/>
      <c r="O961" s="20"/>
      <c r="P961" s="20"/>
      <c r="Q961" s="20"/>
      <c r="R961" s="20"/>
      <c r="S961" s="20"/>
      <c r="T961" s="20"/>
      <c r="U961" s="20"/>
      <c r="V961" s="20"/>
      <c r="W961" s="20"/>
      <c r="X961" s="20"/>
      <c r="Y961" s="20"/>
      <c r="Z961" s="20"/>
    </row>
    <row r="962" spans="1:26" ht="17.25" customHeight="1">
      <c r="A962" s="15"/>
      <c r="B962" s="15"/>
      <c r="C962" s="15"/>
      <c r="D962" s="15"/>
      <c r="E962" s="15"/>
      <c r="F962" s="15"/>
      <c r="G962" s="15"/>
      <c r="H962" s="15"/>
      <c r="I962" s="45"/>
      <c r="J962" s="47"/>
      <c r="K962" s="20"/>
      <c r="L962" s="20"/>
      <c r="M962" s="20"/>
      <c r="N962" s="20"/>
      <c r="O962" s="20"/>
      <c r="P962" s="20"/>
      <c r="Q962" s="20"/>
      <c r="R962" s="20"/>
      <c r="S962" s="20"/>
      <c r="T962" s="20"/>
      <c r="U962" s="20"/>
      <c r="V962" s="20"/>
      <c r="W962" s="20"/>
      <c r="X962" s="20"/>
      <c r="Y962" s="20"/>
      <c r="Z962" s="20"/>
    </row>
    <row r="963" spans="1:26" ht="17.25" customHeight="1">
      <c r="A963" s="15"/>
      <c r="B963" s="15"/>
      <c r="C963" s="15"/>
      <c r="D963" s="15"/>
      <c r="E963" s="15"/>
      <c r="F963" s="15"/>
      <c r="G963" s="15"/>
      <c r="H963" s="15"/>
      <c r="I963" s="45"/>
      <c r="J963" s="47"/>
      <c r="K963" s="20"/>
      <c r="L963" s="20"/>
      <c r="M963" s="20"/>
      <c r="N963" s="20"/>
      <c r="O963" s="20"/>
      <c r="P963" s="20"/>
      <c r="Q963" s="20"/>
      <c r="R963" s="20"/>
      <c r="S963" s="20"/>
      <c r="T963" s="20"/>
      <c r="U963" s="20"/>
      <c r="V963" s="20"/>
      <c r="W963" s="20"/>
      <c r="X963" s="20"/>
      <c r="Y963" s="20"/>
      <c r="Z963" s="20"/>
    </row>
    <row r="964" spans="1:26" ht="17.25" customHeight="1">
      <c r="A964" s="15"/>
      <c r="B964" s="15"/>
      <c r="C964" s="15"/>
      <c r="D964" s="15"/>
      <c r="E964" s="15"/>
      <c r="F964" s="15"/>
      <c r="G964" s="15"/>
      <c r="H964" s="15"/>
      <c r="I964" s="45"/>
      <c r="J964" s="47"/>
      <c r="K964" s="20"/>
      <c r="L964" s="20"/>
      <c r="M964" s="20"/>
      <c r="N964" s="20"/>
      <c r="O964" s="20"/>
      <c r="P964" s="20"/>
      <c r="Q964" s="20"/>
      <c r="R964" s="20"/>
      <c r="S964" s="20"/>
      <c r="T964" s="20"/>
      <c r="U964" s="20"/>
      <c r="V964" s="20"/>
      <c r="W964" s="20"/>
      <c r="X964" s="20"/>
      <c r="Y964" s="20"/>
      <c r="Z964" s="20"/>
    </row>
    <row r="965" spans="1:26" ht="17.25" customHeight="1">
      <c r="A965" s="15"/>
      <c r="B965" s="15"/>
      <c r="C965" s="15"/>
      <c r="D965" s="15"/>
      <c r="E965" s="15"/>
      <c r="F965" s="15"/>
      <c r="G965" s="15"/>
      <c r="H965" s="15"/>
      <c r="I965" s="45"/>
      <c r="J965" s="47"/>
      <c r="K965" s="20"/>
      <c r="L965" s="20"/>
      <c r="M965" s="20"/>
      <c r="N965" s="20"/>
      <c r="O965" s="20"/>
      <c r="P965" s="20"/>
      <c r="Q965" s="20"/>
      <c r="R965" s="20"/>
      <c r="S965" s="20"/>
      <c r="T965" s="20"/>
      <c r="U965" s="20"/>
      <c r="V965" s="20"/>
      <c r="W965" s="20"/>
      <c r="X965" s="20"/>
      <c r="Y965" s="20"/>
      <c r="Z965" s="20"/>
    </row>
    <row r="966" spans="1:26" ht="17.25" customHeight="1">
      <c r="A966" s="15"/>
      <c r="B966" s="15"/>
      <c r="C966" s="15"/>
      <c r="D966" s="15"/>
      <c r="E966" s="15"/>
      <c r="F966" s="15"/>
      <c r="G966" s="15"/>
      <c r="H966" s="15"/>
      <c r="I966" s="45"/>
      <c r="J966" s="47"/>
      <c r="K966" s="20"/>
      <c r="L966" s="20"/>
      <c r="M966" s="20"/>
      <c r="N966" s="20"/>
      <c r="O966" s="20"/>
      <c r="P966" s="20"/>
      <c r="Q966" s="20"/>
      <c r="R966" s="20"/>
      <c r="S966" s="20"/>
      <c r="T966" s="20"/>
      <c r="U966" s="20"/>
      <c r="V966" s="20"/>
      <c r="W966" s="20"/>
      <c r="X966" s="20"/>
      <c r="Y966" s="20"/>
      <c r="Z966" s="20"/>
    </row>
    <row r="967" spans="1:26" ht="17.25" customHeight="1">
      <c r="A967" s="15"/>
      <c r="B967" s="15"/>
      <c r="C967" s="15"/>
      <c r="D967" s="15"/>
      <c r="E967" s="15"/>
      <c r="F967" s="15"/>
      <c r="G967" s="15"/>
      <c r="H967" s="15"/>
      <c r="I967" s="45"/>
      <c r="J967" s="47"/>
      <c r="K967" s="20"/>
      <c r="L967" s="20"/>
      <c r="M967" s="20"/>
      <c r="N967" s="20"/>
      <c r="O967" s="20"/>
      <c r="P967" s="20"/>
      <c r="Q967" s="20"/>
      <c r="R967" s="20"/>
      <c r="S967" s="20"/>
      <c r="T967" s="20"/>
      <c r="U967" s="20"/>
      <c r="V967" s="20"/>
      <c r="W967" s="20"/>
      <c r="X967" s="20"/>
      <c r="Y967" s="20"/>
      <c r="Z967" s="20"/>
    </row>
    <row r="968" spans="1:26" ht="17.25" customHeight="1">
      <c r="A968" s="15"/>
      <c r="B968" s="15"/>
      <c r="C968" s="15"/>
      <c r="D968" s="15"/>
      <c r="E968" s="15"/>
      <c r="F968" s="15"/>
      <c r="G968" s="15"/>
      <c r="H968" s="15"/>
      <c r="I968" s="45"/>
      <c r="J968" s="47"/>
      <c r="K968" s="20"/>
      <c r="L968" s="20"/>
      <c r="M968" s="20"/>
      <c r="N968" s="20"/>
      <c r="O968" s="20"/>
      <c r="P968" s="20"/>
      <c r="Q968" s="20"/>
      <c r="R968" s="20"/>
      <c r="S968" s="20"/>
      <c r="T968" s="20"/>
      <c r="U968" s="20"/>
      <c r="V968" s="20"/>
      <c r="W968" s="20"/>
      <c r="X968" s="20"/>
      <c r="Y968" s="20"/>
      <c r="Z968" s="20"/>
    </row>
    <row r="969" spans="1:26" ht="17.25" customHeight="1">
      <c r="A969" s="15"/>
      <c r="B969" s="15"/>
      <c r="C969" s="15"/>
      <c r="D969" s="15"/>
      <c r="E969" s="15"/>
      <c r="F969" s="15"/>
      <c r="G969" s="15"/>
      <c r="H969" s="15"/>
      <c r="I969" s="45"/>
      <c r="J969" s="47"/>
      <c r="K969" s="20"/>
      <c r="L969" s="20"/>
      <c r="M969" s="20"/>
      <c r="N969" s="20"/>
      <c r="O969" s="20"/>
      <c r="P969" s="20"/>
      <c r="Q969" s="20"/>
      <c r="R969" s="20"/>
      <c r="S969" s="20"/>
      <c r="T969" s="20"/>
      <c r="U969" s="20"/>
      <c r="V969" s="20"/>
      <c r="W969" s="20"/>
      <c r="X969" s="20"/>
      <c r="Y969" s="20"/>
      <c r="Z969" s="20"/>
    </row>
    <row r="970" spans="1:26" ht="17.25" customHeight="1">
      <c r="A970" s="15"/>
      <c r="B970" s="15"/>
      <c r="C970" s="15"/>
      <c r="D970" s="15"/>
      <c r="E970" s="15"/>
      <c r="F970" s="15"/>
      <c r="G970" s="15"/>
      <c r="H970" s="15"/>
      <c r="I970" s="45"/>
      <c r="J970" s="47"/>
      <c r="K970" s="20"/>
      <c r="L970" s="20"/>
      <c r="M970" s="20"/>
      <c r="N970" s="20"/>
      <c r="O970" s="20"/>
      <c r="P970" s="20"/>
      <c r="Q970" s="20"/>
      <c r="R970" s="20"/>
      <c r="S970" s="20"/>
      <c r="T970" s="20"/>
      <c r="U970" s="20"/>
      <c r="V970" s="20"/>
      <c r="W970" s="20"/>
      <c r="X970" s="20"/>
      <c r="Y970" s="20"/>
      <c r="Z970" s="20"/>
    </row>
    <row r="971" spans="1:26" ht="17.25" customHeight="1">
      <c r="A971" s="15"/>
      <c r="B971" s="15"/>
      <c r="C971" s="15"/>
      <c r="D971" s="15"/>
      <c r="E971" s="15"/>
      <c r="F971" s="15"/>
      <c r="G971" s="15"/>
      <c r="H971" s="15"/>
      <c r="I971" s="45"/>
      <c r="J971" s="47"/>
      <c r="K971" s="20"/>
      <c r="L971" s="20"/>
      <c r="M971" s="20"/>
      <c r="N971" s="20"/>
      <c r="O971" s="20"/>
      <c r="P971" s="20"/>
      <c r="Q971" s="20"/>
      <c r="R971" s="20"/>
      <c r="S971" s="20"/>
      <c r="T971" s="20"/>
      <c r="U971" s="20"/>
      <c r="V971" s="20"/>
      <c r="W971" s="20"/>
      <c r="X971" s="20"/>
      <c r="Y971" s="20"/>
      <c r="Z971" s="20"/>
    </row>
    <row r="972" spans="1:26" ht="17.25" customHeight="1">
      <c r="A972" s="15"/>
      <c r="B972" s="15"/>
      <c r="C972" s="15"/>
      <c r="D972" s="15"/>
      <c r="E972" s="15"/>
      <c r="F972" s="15"/>
      <c r="G972" s="15"/>
      <c r="H972" s="15"/>
      <c r="I972" s="45"/>
      <c r="J972" s="47"/>
      <c r="K972" s="20"/>
      <c r="L972" s="20"/>
      <c r="M972" s="20"/>
      <c r="N972" s="20"/>
      <c r="O972" s="20"/>
      <c r="P972" s="20"/>
      <c r="Q972" s="20"/>
      <c r="R972" s="20"/>
      <c r="S972" s="20"/>
      <c r="T972" s="20"/>
      <c r="U972" s="20"/>
      <c r="V972" s="20"/>
      <c r="W972" s="20"/>
      <c r="X972" s="20"/>
      <c r="Y972" s="20"/>
      <c r="Z972" s="20"/>
    </row>
    <row r="973" spans="1:26" ht="17.25" customHeight="1">
      <c r="A973" s="15"/>
      <c r="B973" s="15"/>
      <c r="C973" s="15"/>
      <c r="D973" s="15"/>
      <c r="E973" s="15"/>
      <c r="F973" s="15"/>
      <c r="G973" s="15"/>
      <c r="H973" s="15"/>
      <c r="I973" s="45"/>
      <c r="J973" s="47"/>
      <c r="K973" s="20"/>
      <c r="L973" s="20"/>
      <c r="M973" s="20"/>
      <c r="N973" s="20"/>
      <c r="O973" s="20"/>
      <c r="P973" s="20"/>
      <c r="Q973" s="20"/>
      <c r="R973" s="20"/>
      <c r="S973" s="20"/>
      <c r="T973" s="20"/>
      <c r="U973" s="20"/>
      <c r="V973" s="20"/>
      <c r="W973" s="20"/>
      <c r="X973" s="20"/>
      <c r="Y973" s="20"/>
      <c r="Z973" s="20"/>
    </row>
    <row r="974" spans="1:26" ht="17.25" customHeight="1">
      <c r="A974" s="15"/>
      <c r="B974" s="15"/>
      <c r="C974" s="15"/>
      <c r="D974" s="15"/>
      <c r="E974" s="15"/>
      <c r="F974" s="15"/>
      <c r="G974" s="15"/>
      <c r="H974" s="15"/>
      <c r="I974" s="45"/>
      <c r="J974" s="47"/>
      <c r="K974" s="20"/>
      <c r="L974" s="20"/>
      <c r="M974" s="20"/>
      <c r="N974" s="20"/>
      <c r="O974" s="20"/>
      <c r="P974" s="20"/>
      <c r="Q974" s="20"/>
      <c r="R974" s="20"/>
      <c r="S974" s="20"/>
      <c r="T974" s="20"/>
      <c r="U974" s="20"/>
      <c r="V974" s="20"/>
      <c r="W974" s="20"/>
      <c r="X974" s="20"/>
      <c r="Y974" s="20"/>
      <c r="Z974" s="20"/>
    </row>
    <row r="975" spans="1:26" ht="17.25" customHeight="1">
      <c r="A975" s="15"/>
      <c r="B975" s="15"/>
      <c r="C975" s="15"/>
      <c r="D975" s="15"/>
      <c r="E975" s="15"/>
      <c r="F975" s="15"/>
      <c r="G975" s="15"/>
      <c r="H975" s="15"/>
      <c r="I975" s="45"/>
      <c r="J975" s="47"/>
      <c r="K975" s="20"/>
      <c r="L975" s="20"/>
      <c r="M975" s="20"/>
      <c r="N975" s="20"/>
      <c r="O975" s="20"/>
      <c r="P975" s="20"/>
      <c r="Q975" s="20"/>
      <c r="R975" s="20"/>
      <c r="S975" s="20"/>
      <c r="T975" s="20"/>
      <c r="U975" s="20"/>
      <c r="V975" s="20"/>
      <c r="W975" s="20"/>
      <c r="X975" s="20"/>
      <c r="Y975" s="20"/>
      <c r="Z975" s="20"/>
    </row>
    <row r="976" spans="1:26" ht="17.25" customHeight="1">
      <c r="A976" s="15"/>
      <c r="B976" s="15"/>
      <c r="C976" s="15"/>
      <c r="D976" s="15"/>
      <c r="E976" s="15"/>
      <c r="F976" s="15"/>
      <c r="G976" s="15"/>
      <c r="H976" s="15"/>
      <c r="I976" s="45"/>
      <c r="J976" s="47"/>
      <c r="K976" s="20"/>
      <c r="L976" s="20"/>
      <c r="M976" s="20"/>
      <c r="N976" s="20"/>
      <c r="O976" s="20"/>
      <c r="P976" s="20"/>
      <c r="Q976" s="20"/>
      <c r="R976" s="20"/>
      <c r="S976" s="20"/>
      <c r="T976" s="20"/>
      <c r="U976" s="20"/>
      <c r="V976" s="20"/>
      <c r="W976" s="20"/>
      <c r="X976" s="20"/>
      <c r="Y976" s="20"/>
      <c r="Z976" s="20"/>
    </row>
    <row r="977" spans="1:26" ht="17.25" customHeight="1">
      <c r="A977" s="15"/>
      <c r="B977" s="15"/>
      <c r="C977" s="15"/>
      <c r="D977" s="15"/>
      <c r="E977" s="15"/>
      <c r="F977" s="15"/>
      <c r="G977" s="15"/>
      <c r="H977" s="15"/>
      <c r="I977" s="45"/>
      <c r="J977" s="47"/>
      <c r="K977" s="20"/>
      <c r="L977" s="20"/>
      <c r="M977" s="20"/>
      <c r="N977" s="20"/>
      <c r="O977" s="20"/>
      <c r="P977" s="20"/>
      <c r="Q977" s="20"/>
      <c r="R977" s="20"/>
      <c r="S977" s="20"/>
      <c r="T977" s="20"/>
      <c r="U977" s="20"/>
      <c r="V977" s="20"/>
      <c r="W977" s="20"/>
      <c r="X977" s="20"/>
      <c r="Y977" s="20"/>
      <c r="Z977" s="20"/>
    </row>
    <row r="978" spans="1:26" ht="17.25" customHeight="1">
      <c r="A978" s="15"/>
      <c r="B978" s="15"/>
      <c r="C978" s="15"/>
      <c r="D978" s="15"/>
      <c r="E978" s="15"/>
      <c r="F978" s="15"/>
      <c r="G978" s="15"/>
      <c r="H978" s="15"/>
      <c r="I978" s="45"/>
      <c r="J978" s="47"/>
      <c r="K978" s="20"/>
      <c r="L978" s="20"/>
      <c r="M978" s="20"/>
      <c r="N978" s="20"/>
      <c r="O978" s="20"/>
      <c r="P978" s="20"/>
      <c r="Q978" s="20"/>
      <c r="R978" s="20"/>
      <c r="S978" s="20"/>
      <c r="T978" s="20"/>
      <c r="U978" s="20"/>
      <c r="V978" s="20"/>
      <c r="W978" s="20"/>
      <c r="X978" s="20"/>
      <c r="Y978" s="20"/>
      <c r="Z978" s="20"/>
    </row>
    <row r="979" spans="1:26" ht="17.25" customHeight="1">
      <c r="A979" s="15"/>
      <c r="B979" s="15"/>
      <c r="C979" s="15"/>
      <c r="D979" s="15"/>
      <c r="E979" s="15"/>
      <c r="F979" s="15"/>
      <c r="G979" s="15"/>
      <c r="H979" s="15"/>
      <c r="I979" s="45"/>
      <c r="J979" s="47"/>
      <c r="K979" s="20"/>
      <c r="L979" s="20"/>
      <c r="M979" s="20"/>
      <c r="N979" s="20"/>
      <c r="O979" s="20"/>
      <c r="P979" s="20"/>
      <c r="Q979" s="20"/>
      <c r="R979" s="20"/>
      <c r="S979" s="20"/>
      <c r="T979" s="20"/>
      <c r="U979" s="20"/>
      <c r="V979" s="20"/>
      <c r="W979" s="20"/>
      <c r="X979" s="20"/>
      <c r="Y979" s="20"/>
      <c r="Z979" s="20"/>
    </row>
    <row r="980" spans="1:26" ht="17.25" customHeight="1">
      <c r="A980" s="15"/>
      <c r="B980" s="15"/>
      <c r="C980" s="15"/>
      <c r="D980" s="15"/>
      <c r="E980" s="15"/>
      <c r="F980" s="15"/>
      <c r="G980" s="15"/>
      <c r="H980" s="15"/>
      <c r="I980" s="45"/>
      <c r="J980" s="47"/>
      <c r="K980" s="20"/>
      <c r="L980" s="20"/>
      <c r="M980" s="20"/>
      <c r="N980" s="20"/>
      <c r="O980" s="20"/>
      <c r="P980" s="20"/>
      <c r="Q980" s="20"/>
      <c r="R980" s="20"/>
      <c r="S980" s="20"/>
      <c r="T980" s="20"/>
      <c r="U980" s="20"/>
      <c r="V980" s="20"/>
      <c r="W980" s="20"/>
      <c r="X980" s="20"/>
      <c r="Y980" s="20"/>
      <c r="Z980" s="20"/>
    </row>
    <row r="981" spans="1:26" ht="17.25" customHeight="1">
      <c r="A981" s="15"/>
      <c r="B981" s="15"/>
      <c r="C981" s="15"/>
      <c r="D981" s="15"/>
      <c r="E981" s="15"/>
      <c r="F981" s="15"/>
      <c r="G981" s="15"/>
      <c r="H981" s="15"/>
      <c r="I981" s="45"/>
      <c r="J981" s="47"/>
      <c r="K981" s="20"/>
      <c r="L981" s="20"/>
      <c r="M981" s="20"/>
      <c r="N981" s="20"/>
      <c r="O981" s="20"/>
      <c r="P981" s="20"/>
      <c r="Q981" s="20"/>
      <c r="R981" s="20"/>
      <c r="S981" s="20"/>
      <c r="T981" s="20"/>
      <c r="U981" s="20"/>
      <c r="V981" s="20"/>
      <c r="W981" s="20"/>
      <c r="X981" s="20"/>
      <c r="Y981" s="20"/>
      <c r="Z981" s="20"/>
    </row>
    <row r="982" spans="1:26" ht="17.25" customHeight="1">
      <c r="A982" s="15"/>
      <c r="B982" s="15"/>
      <c r="C982" s="15"/>
      <c r="D982" s="15"/>
      <c r="E982" s="15"/>
      <c r="F982" s="15"/>
      <c r="G982" s="15"/>
      <c r="H982" s="15"/>
      <c r="I982" s="45"/>
      <c r="J982" s="47"/>
      <c r="K982" s="20"/>
      <c r="L982" s="20"/>
      <c r="M982" s="20"/>
      <c r="N982" s="20"/>
      <c r="O982" s="20"/>
      <c r="P982" s="20"/>
      <c r="Q982" s="20"/>
      <c r="R982" s="20"/>
      <c r="S982" s="20"/>
      <c r="T982" s="20"/>
      <c r="U982" s="20"/>
      <c r="V982" s="20"/>
      <c r="W982" s="20"/>
      <c r="X982" s="20"/>
      <c r="Y982" s="20"/>
      <c r="Z982" s="20"/>
    </row>
    <row r="983" spans="1:26" ht="17.25" customHeight="1">
      <c r="A983" s="15"/>
      <c r="B983" s="15"/>
      <c r="C983" s="15"/>
      <c r="D983" s="15"/>
      <c r="E983" s="15"/>
      <c r="F983" s="15"/>
      <c r="G983" s="15"/>
      <c r="H983" s="15"/>
      <c r="I983" s="45"/>
      <c r="J983" s="47"/>
      <c r="K983" s="20"/>
      <c r="L983" s="20"/>
      <c r="M983" s="20"/>
      <c r="N983" s="20"/>
      <c r="O983" s="20"/>
      <c r="P983" s="20"/>
      <c r="Q983" s="20"/>
      <c r="R983" s="20"/>
      <c r="S983" s="20"/>
      <c r="T983" s="20"/>
      <c r="U983" s="20"/>
      <c r="V983" s="20"/>
      <c r="W983" s="20"/>
      <c r="X983" s="20"/>
      <c r="Y983" s="20"/>
      <c r="Z983" s="20"/>
    </row>
    <row r="984" spans="1:26" ht="17.25" customHeight="1">
      <c r="A984" s="15"/>
      <c r="B984" s="15"/>
      <c r="C984" s="15"/>
      <c r="D984" s="15"/>
      <c r="E984" s="15"/>
      <c r="F984" s="15"/>
      <c r="G984" s="15"/>
      <c r="H984" s="15"/>
      <c r="I984" s="45"/>
      <c r="J984" s="47"/>
      <c r="K984" s="20"/>
      <c r="L984" s="20"/>
      <c r="M984" s="20"/>
      <c r="N984" s="20"/>
      <c r="O984" s="20"/>
      <c r="P984" s="20"/>
      <c r="Q984" s="20"/>
      <c r="R984" s="20"/>
      <c r="S984" s="20"/>
      <c r="T984" s="20"/>
      <c r="U984" s="20"/>
      <c r="V984" s="20"/>
      <c r="W984" s="20"/>
      <c r="X984" s="20"/>
      <c r="Y984" s="20"/>
      <c r="Z984" s="20"/>
    </row>
    <row r="985" spans="1:26" ht="17.25" customHeight="1">
      <c r="A985" s="15"/>
      <c r="B985" s="15"/>
      <c r="C985" s="15"/>
      <c r="D985" s="15"/>
      <c r="E985" s="15"/>
      <c r="F985" s="15"/>
      <c r="G985" s="15"/>
      <c r="H985" s="15"/>
      <c r="I985" s="45"/>
      <c r="J985" s="47"/>
      <c r="K985" s="20"/>
      <c r="L985" s="20"/>
      <c r="M985" s="20"/>
      <c r="N985" s="20"/>
      <c r="O985" s="20"/>
      <c r="P985" s="20"/>
      <c r="Q985" s="20"/>
      <c r="R985" s="20"/>
      <c r="S985" s="20"/>
      <c r="T985" s="20"/>
      <c r="U985" s="20"/>
      <c r="V985" s="20"/>
      <c r="W985" s="20"/>
      <c r="X985" s="20"/>
      <c r="Y985" s="20"/>
      <c r="Z985" s="20"/>
    </row>
    <row r="986" spans="1:26" ht="17.25" customHeight="1">
      <c r="A986" s="15"/>
      <c r="B986" s="15"/>
      <c r="C986" s="15"/>
      <c r="D986" s="15"/>
      <c r="E986" s="15"/>
      <c r="F986" s="15"/>
      <c r="G986" s="15"/>
      <c r="H986" s="15"/>
      <c r="I986" s="45"/>
      <c r="J986" s="47"/>
      <c r="K986" s="20"/>
      <c r="L986" s="20"/>
      <c r="M986" s="20"/>
      <c r="N986" s="20"/>
      <c r="O986" s="20"/>
      <c r="P986" s="20"/>
      <c r="Q986" s="20"/>
      <c r="R986" s="20"/>
      <c r="S986" s="20"/>
      <c r="T986" s="20"/>
      <c r="U986" s="20"/>
      <c r="V986" s="20"/>
      <c r="W986" s="20"/>
      <c r="X986" s="20"/>
      <c r="Y986" s="20"/>
      <c r="Z986" s="20"/>
    </row>
    <row r="987" spans="1:26" ht="17.25" customHeight="1">
      <c r="A987" s="15"/>
      <c r="B987" s="15"/>
      <c r="C987" s="15"/>
      <c r="D987" s="15"/>
      <c r="E987" s="15"/>
      <c r="F987" s="15"/>
      <c r="G987" s="15"/>
      <c r="H987" s="15"/>
      <c r="I987" s="45"/>
      <c r="J987" s="47"/>
      <c r="K987" s="20"/>
      <c r="L987" s="20"/>
      <c r="M987" s="20"/>
      <c r="N987" s="20"/>
      <c r="O987" s="20"/>
      <c r="P987" s="20"/>
      <c r="Q987" s="20"/>
      <c r="R987" s="20"/>
      <c r="S987" s="20"/>
      <c r="T987" s="20"/>
      <c r="U987" s="20"/>
      <c r="V987" s="20"/>
      <c r="W987" s="20"/>
      <c r="X987" s="20"/>
      <c r="Y987" s="20"/>
      <c r="Z987" s="20"/>
    </row>
    <row r="988" spans="1:26" ht="17.25" customHeight="1">
      <c r="A988" s="15"/>
      <c r="B988" s="15"/>
      <c r="C988" s="15"/>
      <c r="D988" s="15"/>
      <c r="E988" s="15"/>
      <c r="F988" s="15"/>
      <c r="G988" s="15"/>
      <c r="H988" s="15"/>
      <c r="I988" s="45"/>
      <c r="J988" s="47"/>
      <c r="K988" s="20"/>
      <c r="L988" s="20"/>
      <c r="M988" s="20"/>
      <c r="N988" s="20"/>
      <c r="O988" s="20"/>
      <c r="P988" s="20"/>
      <c r="Q988" s="20"/>
      <c r="R988" s="20"/>
      <c r="S988" s="20"/>
      <c r="T988" s="20"/>
      <c r="U988" s="20"/>
      <c r="V988" s="20"/>
      <c r="W988" s="20"/>
      <c r="X988" s="20"/>
      <c r="Y988" s="20"/>
      <c r="Z988" s="20"/>
    </row>
    <row r="989" spans="1:26" ht="17.25" customHeight="1">
      <c r="A989" s="15"/>
      <c r="B989" s="15"/>
      <c r="C989" s="15"/>
      <c r="D989" s="15"/>
      <c r="E989" s="15"/>
      <c r="F989" s="15"/>
      <c r="G989" s="15"/>
      <c r="H989" s="15"/>
      <c r="I989" s="45"/>
      <c r="J989" s="47"/>
      <c r="K989" s="20"/>
      <c r="L989" s="20"/>
      <c r="M989" s="20"/>
      <c r="N989" s="20"/>
      <c r="O989" s="20"/>
      <c r="P989" s="20"/>
      <c r="Q989" s="20"/>
      <c r="R989" s="20"/>
      <c r="S989" s="20"/>
      <c r="T989" s="20"/>
      <c r="U989" s="20"/>
      <c r="V989" s="20"/>
      <c r="W989" s="20"/>
      <c r="X989" s="20"/>
      <c r="Y989" s="20"/>
      <c r="Z989" s="20"/>
    </row>
    <row r="990" spans="1:26" ht="17.25" customHeight="1">
      <c r="A990" s="15"/>
      <c r="B990" s="15"/>
      <c r="C990" s="15"/>
      <c r="D990" s="15"/>
      <c r="E990" s="15"/>
      <c r="F990" s="15"/>
      <c r="G990" s="15"/>
      <c r="H990" s="15"/>
      <c r="I990" s="45"/>
      <c r="J990" s="47"/>
      <c r="K990" s="20"/>
      <c r="L990" s="20"/>
      <c r="M990" s="20"/>
      <c r="N990" s="20"/>
      <c r="O990" s="20"/>
      <c r="P990" s="20"/>
      <c r="Q990" s="20"/>
      <c r="R990" s="20"/>
      <c r="S990" s="20"/>
      <c r="T990" s="20"/>
      <c r="U990" s="20"/>
      <c r="V990" s="20"/>
      <c r="W990" s="20"/>
      <c r="X990" s="20"/>
      <c r="Y990" s="20"/>
      <c r="Z990" s="20"/>
    </row>
    <row r="991" spans="1:26" ht="17.25" customHeight="1">
      <c r="A991" s="15"/>
      <c r="B991" s="15"/>
      <c r="C991" s="15"/>
      <c r="D991" s="15"/>
      <c r="E991" s="15"/>
      <c r="F991" s="15"/>
      <c r="G991" s="15"/>
      <c r="H991" s="15"/>
      <c r="I991" s="45"/>
      <c r="J991" s="47"/>
      <c r="K991" s="20"/>
      <c r="L991" s="20"/>
      <c r="M991" s="20"/>
      <c r="N991" s="20"/>
      <c r="O991" s="20"/>
      <c r="P991" s="20"/>
      <c r="Q991" s="20"/>
      <c r="R991" s="20"/>
      <c r="S991" s="20"/>
      <c r="T991" s="20"/>
      <c r="U991" s="20"/>
      <c r="V991" s="20"/>
      <c r="W991" s="20"/>
      <c r="X991" s="20"/>
      <c r="Y991" s="20"/>
      <c r="Z991" s="20"/>
    </row>
    <row r="992" spans="1:26" ht="17.25" customHeight="1">
      <c r="A992" s="15"/>
      <c r="B992" s="15"/>
      <c r="C992" s="15"/>
      <c r="D992" s="15"/>
      <c r="E992" s="15"/>
      <c r="F992" s="15"/>
      <c r="G992" s="15"/>
      <c r="H992" s="15"/>
      <c r="I992" s="45"/>
      <c r="J992" s="47"/>
      <c r="K992" s="20"/>
      <c r="L992" s="20"/>
      <c r="M992" s="20"/>
      <c r="N992" s="20"/>
      <c r="O992" s="20"/>
      <c r="P992" s="20"/>
      <c r="Q992" s="20"/>
      <c r="R992" s="20"/>
      <c r="S992" s="20"/>
      <c r="T992" s="20"/>
      <c r="U992" s="20"/>
      <c r="V992" s="20"/>
      <c r="W992" s="20"/>
      <c r="X992" s="20"/>
      <c r="Y992" s="20"/>
      <c r="Z992" s="20"/>
    </row>
    <row r="993" spans="1:26" ht="17.25" customHeight="1">
      <c r="A993" s="15"/>
      <c r="B993" s="15"/>
      <c r="C993" s="15"/>
      <c r="D993" s="15"/>
      <c r="E993" s="15"/>
      <c r="F993" s="15"/>
      <c r="G993" s="15"/>
      <c r="H993" s="15"/>
      <c r="I993" s="45"/>
      <c r="J993" s="47"/>
      <c r="K993" s="20"/>
      <c r="L993" s="20"/>
      <c r="M993" s="20"/>
      <c r="N993" s="20"/>
      <c r="O993" s="20"/>
      <c r="P993" s="20"/>
      <c r="Q993" s="20"/>
      <c r="R993" s="20"/>
      <c r="S993" s="20"/>
      <c r="T993" s="20"/>
      <c r="U993" s="20"/>
      <c r="V993" s="20"/>
      <c r="W993" s="20"/>
      <c r="X993" s="20"/>
      <c r="Y993" s="20"/>
      <c r="Z993" s="20"/>
    </row>
    <row r="994" spans="1:26" ht="17.25" customHeight="1">
      <c r="A994" s="15"/>
      <c r="B994" s="15"/>
      <c r="C994" s="15"/>
      <c r="D994" s="15"/>
      <c r="E994" s="15"/>
      <c r="F994" s="15"/>
      <c r="G994" s="15"/>
      <c r="H994" s="15"/>
      <c r="I994" s="45"/>
      <c r="J994" s="47"/>
      <c r="K994" s="20"/>
      <c r="L994" s="20"/>
      <c r="M994" s="20"/>
      <c r="N994" s="20"/>
      <c r="O994" s="20"/>
      <c r="P994" s="20"/>
      <c r="Q994" s="20"/>
      <c r="R994" s="20"/>
      <c r="S994" s="20"/>
      <c r="T994" s="20"/>
      <c r="U994" s="20"/>
      <c r="V994" s="20"/>
      <c r="W994" s="20"/>
      <c r="X994" s="20"/>
      <c r="Y994" s="20"/>
      <c r="Z994" s="20"/>
    </row>
    <row r="995" spans="1:26" ht="17.25" customHeight="1">
      <c r="A995" s="15"/>
      <c r="B995" s="15"/>
      <c r="C995" s="15"/>
      <c r="D995" s="15"/>
      <c r="E995" s="15"/>
      <c r="F995" s="15"/>
      <c r="G995" s="15"/>
      <c r="H995" s="15"/>
      <c r="I995" s="45"/>
      <c r="J995" s="47"/>
      <c r="K995" s="20"/>
      <c r="L995" s="20"/>
      <c r="M995" s="20"/>
      <c r="N995" s="20"/>
      <c r="O995" s="20"/>
      <c r="P995" s="20"/>
      <c r="Q995" s="20"/>
      <c r="R995" s="20"/>
      <c r="S995" s="20"/>
      <c r="T995" s="20"/>
      <c r="U995" s="20"/>
      <c r="V995" s="20"/>
      <c r="W995" s="20"/>
      <c r="X995" s="20"/>
      <c r="Y995" s="20"/>
      <c r="Z995" s="20"/>
    </row>
    <row r="996" spans="1:26" ht="17.25" customHeight="1">
      <c r="A996" s="15"/>
      <c r="B996" s="15"/>
      <c r="C996" s="15"/>
      <c r="D996" s="15"/>
      <c r="E996" s="15"/>
      <c r="F996" s="15"/>
      <c r="G996" s="15"/>
      <c r="H996" s="15"/>
      <c r="I996" s="45"/>
      <c r="J996" s="47"/>
      <c r="K996" s="20"/>
      <c r="L996" s="20"/>
      <c r="M996" s="20"/>
      <c r="N996" s="20"/>
      <c r="O996" s="20"/>
      <c r="P996" s="20"/>
      <c r="Q996" s="20"/>
      <c r="R996" s="20"/>
      <c r="S996" s="20"/>
      <c r="T996" s="20"/>
      <c r="U996" s="20"/>
      <c r="V996" s="20"/>
      <c r="W996" s="20"/>
      <c r="X996" s="20"/>
      <c r="Y996" s="20"/>
      <c r="Z996" s="20"/>
    </row>
    <row r="997" spans="1:26" ht="17.25" customHeight="1">
      <c r="A997" s="15"/>
      <c r="B997" s="15"/>
      <c r="C997" s="15"/>
      <c r="D997" s="15"/>
      <c r="E997" s="15"/>
      <c r="F997" s="15"/>
      <c r="G997" s="15"/>
      <c r="H997" s="15"/>
      <c r="I997" s="45"/>
      <c r="J997" s="47"/>
      <c r="K997" s="20"/>
      <c r="L997" s="20"/>
      <c r="M997" s="20"/>
      <c r="N997" s="20"/>
      <c r="O997" s="20"/>
      <c r="P997" s="20"/>
      <c r="Q997" s="20"/>
      <c r="R997" s="20"/>
      <c r="S997" s="20"/>
      <c r="T997" s="20"/>
      <c r="U997" s="20"/>
      <c r="V997" s="20"/>
      <c r="W997" s="20"/>
      <c r="X997" s="20"/>
      <c r="Y997" s="20"/>
      <c r="Z997" s="20"/>
    </row>
    <row r="998" spans="1:26" ht="17.25" customHeight="1">
      <c r="A998" s="15"/>
      <c r="B998" s="15"/>
      <c r="C998" s="15"/>
      <c r="D998" s="15"/>
      <c r="E998" s="15"/>
      <c r="F998" s="15"/>
      <c r="G998" s="15"/>
      <c r="H998" s="15"/>
      <c r="I998" s="45"/>
      <c r="J998" s="47"/>
      <c r="K998" s="20"/>
      <c r="L998" s="20"/>
      <c r="M998" s="20"/>
      <c r="N998" s="20"/>
      <c r="O998" s="20"/>
      <c r="P998" s="20"/>
      <c r="Q998" s="20"/>
      <c r="R998" s="20"/>
      <c r="S998" s="20"/>
      <c r="T998" s="20"/>
      <c r="U998" s="20"/>
      <c r="V998" s="20"/>
      <c r="W998" s="20"/>
      <c r="X998" s="20"/>
      <c r="Y998" s="20"/>
      <c r="Z998" s="20"/>
    </row>
    <row r="999" spans="1:26" ht="17.25" customHeight="1">
      <c r="A999" s="15"/>
      <c r="B999" s="15"/>
      <c r="C999" s="15"/>
      <c r="D999" s="15"/>
      <c r="E999" s="15"/>
      <c r="F999" s="15"/>
      <c r="G999" s="15"/>
      <c r="H999" s="15"/>
      <c r="I999" s="45"/>
      <c r="J999" s="47"/>
      <c r="K999" s="20"/>
      <c r="L999" s="20"/>
      <c r="M999" s="20"/>
      <c r="N999" s="20"/>
      <c r="O999" s="20"/>
      <c r="P999" s="20"/>
      <c r="Q999" s="20"/>
      <c r="R999" s="20"/>
      <c r="S999" s="20"/>
      <c r="T999" s="20"/>
      <c r="U999" s="20"/>
      <c r="V999" s="20"/>
      <c r="W999" s="20"/>
      <c r="X999" s="20"/>
      <c r="Y999" s="20"/>
      <c r="Z999" s="20"/>
    </row>
  </sheetData>
  <conditionalFormatting sqref="A3:A999 C3:I999 J11:J999 B32:B999">
    <cfRule type="containsBlanks" dxfId="0" priority="1">
      <formula>LEN(TRIM(A3))=0</formula>
    </cfRule>
  </conditionalFormatting>
  <dataValidations count="2">
    <dataValidation type="list" allowBlank="1" showErrorMessage="1" sqref="F3:F16 F28:F37" xr:uid="{00000000-0002-0000-2500-000000000000}">
      <formula1>"%,Absolute based on unit,Categorical"</formula1>
    </dataValidation>
    <dataValidation type="list" allowBlank="1" showErrorMessage="1" sqref="B3:B16 B28:B31" xr:uid="{00000000-0002-0000-2500-000001000000}">
      <formula1>"Deep_retrofit,Shallow_retrofit,mid_retrofit"</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2500-000002000000}">
          <x14:formula1>
            <xm:f>Units!$A$2:$A$195</xm:f>
          </x14:formula1>
          <xm:sqref>C3:C16 C28:C44</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000"/>
  <sheetViews>
    <sheetView workbookViewId="0"/>
  </sheetViews>
  <sheetFormatPr baseColWidth="10" defaultColWidth="11.28515625" defaultRowHeight="15" customHeight="1"/>
  <cols>
    <col min="1" max="1" width="31.140625" customWidth="1"/>
    <col min="2" max="2" width="45.85546875" customWidth="1"/>
    <col min="3" max="3" width="36.42578125" customWidth="1"/>
    <col min="4" max="4" width="47.42578125" customWidth="1"/>
    <col min="5" max="8" width="64.85546875" customWidth="1"/>
    <col min="9" max="26" width="11.42578125" customWidth="1"/>
  </cols>
  <sheetData>
    <row r="1" spans="1:8" ht="17.25" customHeight="1">
      <c r="A1" s="38" t="s">
        <v>6056</v>
      </c>
      <c r="B1" s="168"/>
      <c r="C1" s="235"/>
      <c r="D1" s="226"/>
      <c r="E1" s="226"/>
      <c r="F1" s="226"/>
      <c r="G1" s="226"/>
      <c r="H1" s="226"/>
    </row>
    <row r="2" spans="1:8" ht="17.25" customHeight="1">
      <c r="A2" s="81" t="s">
        <v>6059</v>
      </c>
      <c r="B2" s="81" t="s">
        <v>6101</v>
      </c>
      <c r="C2" s="81" t="s">
        <v>153</v>
      </c>
      <c r="D2" s="81" t="s">
        <v>143</v>
      </c>
      <c r="E2" s="199"/>
      <c r="F2" s="81"/>
      <c r="G2" s="81"/>
      <c r="H2" s="83"/>
    </row>
    <row r="3" spans="1:8" ht="17.25" customHeight="1">
      <c r="A3" s="15" t="s">
        <v>6102</v>
      </c>
      <c r="B3" s="15"/>
      <c r="C3" s="15"/>
      <c r="D3" s="15"/>
      <c r="E3" s="25"/>
    </row>
    <row r="4" spans="1:8" ht="17.25" customHeight="1">
      <c r="E4" s="25"/>
    </row>
    <row r="5" spans="1:8" ht="17.25" customHeight="1">
      <c r="E5" s="25"/>
    </row>
    <row r="6" spans="1:8" ht="17.25" customHeight="1">
      <c r="E6" s="25"/>
    </row>
    <row r="7" spans="1:8" ht="17.25" customHeight="1">
      <c r="E7" s="25"/>
    </row>
    <row r="8" spans="1:8" ht="17.25" customHeight="1">
      <c r="E8" s="25"/>
    </row>
    <row r="9" spans="1:8" ht="17.25" customHeight="1">
      <c r="E9" s="25"/>
    </row>
    <row r="10" spans="1:8" ht="17.25" customHeight="1">
      <c r="E10" s="25"/>
    </row>
    <row r="11" spans="1:8" ht="17.25" customHeight="1">
      <c r="E11" s="25"/>
    </row>
    <row r="12" spans="1:8" ht="17.25" customHeight="1">
      <c r="E12" s="25"/>
    </row>
    <row r="13" spans="1:8" ht="17.25" customHeight="1">
      <c r="E13" s="25"/>
    </row>
    <row r="14" spans="1:8" ht="17.25" customHeight="1">
      <c r="E14" s="25"/>
    </row>
    <row r="15" spans="1:8" ht="17.25" customHeight="1">
      <c r="E15" s="25"/>
    </row>
    <row r="16" spans="1:8" ht="17.25" customHeight="1">
      <c r="E16" s="25"/>
    </row>
    <row r="17" spans="5:5" ht="17.25" customHeight="1">
      <c r="E17" s="25"/>
    </row>
    <row r="18" spans="5:5" ht="17.25" customHeight="1">
      <c r="E18" s="25"/>
    </row>
    <row r="19" spans="5:5" ht="17.25" customHeight="1">
      <c r="E19" s="25"/>
    </row>
    <row r="20" spans="5:5" ht="17.25" customHeight="1">
      <c r="E20" s="25"/>
    </row>
    <row r="21" spans="5:5" ht="17.25" customHeight="1">
      <c r="E21" s="25"/>
    </row>
    <row r="22" spans="5:5" ht="17.25" customHeight="1">
      <c r="E22" s="25"/>
    </row>
    <row r="23" spans="5:5" ht="17.25" customHeight="1">
      <c r="E23" s="25"/>
    </row>
    <row r="24" spans="5:5" ht="17.25" customHeight="1">
      <c r="E24" s="25"/>
    </row>
    <row r="25" spans="5:5" ht="17.25" customHeight="1">
      <c r="E25" s="25"/>
    </row>
    <row r="26" spans="5:5" ht="17.25" customHeight="1">
      <c r="E26" s="25"/>
    </row>
    <row r="27" spans="5:5" ht="17.25" customHeight="1">
      <c r="E27" s="25"/>
    </row>
    <row r="28" spans="5:5" ht="17.25" customHeight="1">
      <c r="E28" s="25"/>
    </row>
    <row r="29" spans="5:5" ht="17.25" customHeight="1">
      <c r="E29" s="25"/>
    </row>
    <row r="30" spans="5:5" ht="17.25" customHeight="1">
      <c r="E30" s="25"/>
    </row>
    <row r="31" spans="5:5" ht="17.25" customHeight="1">
      <c r="E31" s="25"/>
    </row>
    <row r="32" spans="5:5" ht="17.25" customHeight="1">
      <c r="E32" s="25"/>
    </row>
    <row r="33" spans="5:5" ht="17.25" customHeight="1">
      <c r="E33" s="25"/>
    </row>
    <row r="34" spans="5:5" ht="17.25" customHeight="1">
      <c r="E34" s="25"/>
    </row>
    <row r="35" spans="5:5" ht="17.25" customHeight="1">
      <c r="E35" s="25"/>
    </row>
    <row r="36" spans="5:5" ht="17.25" customHeight="1">
      <c r="E36" s="25"/>
    </row>
    <row r="37" spans="5:5" ht="17.25" customHeight="1">
      <c r="E37" s="25"/>
    </row>
    <row r="38" spans="5:5" ht="17.25" customHeight="1">
      <c r="E38" s="25"/>
    </row>
    <row r="39" spans="5:5" ht="17.25" customHeight="1">
      <c r="E39" s="25"/>
    </row>
    <row r="40" spans="5:5" ht="17.25" customHeight="1">
      <c r="E40" s="25"/>
    </row>
    <row r="41" spans="5:5" ht="17.25" customHeight="1">
      <c r="E41" s="25"/>
    </row>
    <row r="42" spans="5:5" ht="17.25" customHeight="1">
      <c r="E42" s="25"/>
    </row>
    <row r="43" spans="5:5" ht="17.25" customHeight="1">
      <c r="E43" s="25"/>
    </row>
    <row r="44" spans="5:5" ht="17.25" customHeight="1">
      <c r="E44" s="25"/>
    </row>
    <row r="45" spans="5:5" ht="17.25" customHeight="1">
      <c r="E45" s="25"/>
    </row>
    <row r="46" spans="5:5" ht="17.25" customHeight="1">
      <c r="E46" s="25"/>
    </row>
    <row r="47" spans="5:5" ht="17.25" customHeight="1">
      <c r="E47" s="25"/>
    </row>
    <row r="48" spans="5:5" ht="17.25" customHeight="1">
      <c r="E48" s="25"/>
    </row>
    <row r="49" spans="5:5" ht="17.25" customHeight="1">
      <c r="E49" s="25"/>
    </row>
    <row r="50" spans="5:5" ht="17.25" customHeight="1">
      <c r="E50" s="25"/>
    </row>
    <row r="51" spans="5:5" ht="17.25" customHeight="1">
      <c r="E51" s="25"/>
    </row>
    <row r="52" spans="5:5" ht="17.25" customHeight="1">
      <c r="E52" s="25"/>
    </row>
    <row r="53" spans="5:5" ht="17.25" customHeight="1">
      <c r="E53" s="25"/>
    </row>
    <row r="54" spans="5:5" ht="17.25" customHeight="1">
      <c r="E54" s="25"/>
    </row>
    <row r="55" spans="5:5" ht="17.25" customHeight="1">
      <c r="E55" s="25"/>
    </row>
    <row r="56" spans="5:5" ht="17.25" customHeight="1">
      <c r="E56" s="25"/>
    </row>
    <row r="57" spans="5:5" ht="17.25" customHeight="1">
      <c r="E57" s="25"/>
    </row>
    <row r="58" spans="5:5" ht="17.25" customHeight="1">
      <c r="E58" s="25"/>
    </row>
    <row r="59" spans="5:5" ht="17.25" customHeight="1">
      <c r="E59" s="25"/>
    </row>
    <row r="60" spans="5:5" ht="17.25" customHeight="1">
      <c r="E60" s="25"/>
    </row>
    <row r="61" spans="5:5" ht="17.25" customHeight="1">
      <c r="E61" s="25"/>
    </row>
    <row r="62" spans="5:5" ht="17.25" customHeight="1">
      <c r="E62" s="25"/>
    </row>
    <row r="63" spans="5:5" ht="17.25" customHeight="1">
      <c r="E63" s="25"/>
    </row>
    <row r="64" spans="5:5" ht="17.25" customHeight="1">
      <c r="E64" s="25"/>
    </row>
    <row r="65" spans="5:5" ht="17.25" customHeight="1">
      <c r="E65" s="25"/>
    </row>
    <row r="66" spans="5:5" ht="17.25" customHeight="1">
      <c r="E66" s="25"/>
    </row>
    <row r="67" spans="5:5" ht="17.25" customHeight="1">
      <c r="E67" s="25"/>
    </row>
    <row r="68" spans="5:5" ht="17.25" customHeight="1">
      <c r="E68" s="25"/>
    </row>
    <row r="69" spans="5:5" ht="17.25" customHeight="1">
      <c r="E69" s="25"/>
    </row>
    <row r="70" spans="5:5" ht="17.25" customHeight="1">
      <c r="E70" s="25"/>
    </row>
    <row r="71" spans="5:5" ht="17.25" customHeight="1">
      <c r="E71" s="25"/>
    </row>
    <row r="72" spans="5:5" ht="17.25" customHeight="1">
      <c r="E72" s="25"/>
    </row>
    <row r="73" spans="5:5" ht="17.25" customHeight="1">
      <c r="E73" s="25"/>
    </row>
    <row r="74" spans="5:5" ht="17.25" customHeight="1">
      <c r="E74" s="25"/>
    </row>
    <row r="75" spans="5:5" ht="17.25" customHeight="1">
      <c r="E75" s="25"/>
    </row>
    <row r="76" spans="5:5" ht="17.25" customHeight="1">
      <c r="E76" s="25"/>
    </row>
    <row r="77" spans="5:5" ht="17.25" customHeight="1">
      <c r="E77" s="25"/>
    </row>
    <row r="78" spans="5:5" ht="17.25" customHeight="1">
      <c r="E78" s="25"/>
    </row>
    <row r="79" spans="5:5" ht="17.25" customHeight="1">
      <c r="E79" s="25"/>
    </row>
    <row r="80" spans="5:5" ht="17.25" customHeight="1">
      <c r="E80" s="25"/>
    </row>
    <row r="81" spans="5:5" ht="17.25" customHeight="1">
      <c r="E81" s="25"/>
    </row>
    <row r="82" spans="5:5" ht="17.25" customHeight="1">
      <c r="E82" s="25"/>
    </row>
    <row r="83" spans="5:5" ht="17.25" customHeight="1">
      <c r="E83" s="25"/>
    </row>
    <row r="84" spans="5:5" ht="17.25" customHeight="1">
      <c r="E84" s="25"/>
    </row>
    <row r="85" spans="5:5" ht="17.25" customHeight="1">
      <c r="E85" s="25"/>
    </row>
    <row r="86" spans="5:5" ht="17.25" customHeight="1">
      <c r="E86" s="25"/>
    </row>
    <row r="87" spans="5:5" ht="17.25" customHeight="1">
      <c r="E87" s="25"/>
    </row>
    <row r="88" spans="5:5" ht="17.25" customHeight="1">
      <c r="E88" s="25"/>
    </row>
    <row r="89" spans="5:5" ht="17.25" customHeight="1">
      <c r="E89" s="25"/>
    </row>
    <row r="90" spans="5:5" ht="17.25" customHeight="1">
      <c r="E90" s="25"/>
    </row>
    <row r="91" spans="5:5" ht="17.25" customHeight="1">
      <c r="E91" s="25"/>
    </row>
    <row r="92" spans="5:5" ht="17.25" customHeight="1">
      <c r="E92" s="25"/>
    </row>
    <row r="93" spans="5:5" ht="17.25" customHeight="1">
      <c r="E93" s="25"/>
    </row>
    <row r="94" spans="5:5" ht="17.25" customHeight="1">
      <c r="E94" s="25"/>
    </row>
    <row r="95" spans="5:5" ht="17.25" customHeight="1">
      <c r="E95" s="25"/>
    </row>
    <row r="96" spans="5:5" ht="17.25" customHeight="1">
      <c r="E96" s="25"/>
    </row>
    <row r="97" spans="5:5" ht="17.25" customHeight="1">
      <c r="E97" s="25"/>
    </row>
    <row r="98" spans="5:5" ht="17.25" customHeight="1">
      <c r="E98" s="25"/>
    </row>
    <row r="99" spans="5:5" ht="17.25" customHeight="1">
      <c r="E99" s="25"/>
    </row>
    <row r="100" spans="5:5" ht="17.25" customHeight="1">
      <c r="E100" s="25"/>
    </row>
    <row r="101" spans="5:5" ht="17.25" customHeight="1">
      <c r="E101" s="25"/>
    </row>
    <row r="102" spans="5:5" ht="17.25" customHeight="1">
      <c r="E102" s="25"/>
    </row>
    <row r="103" spans="5:5" ht="17.25" customHeight="1">
      <c r="E103" s="25"/>
    </row>
    <row r="104" spans="5:5" ht="17.25" customHeight="1">
      <c r="E104" s="25"/>
    </row>
    <row r="105" spans="5:5" ht="17.25" customHeight="1">
      <c r="E105" s="25"/>
    </row>
    <row r="106" spans="5:5" ht="17.25" customHeight="1">
      <c r="E106" s="25"/>
    </row>
    <row r="107" spans="5:5" ht="17.25" customHeight="1">
      <c r="E107" s="25"/>
    </row>
    <row r="108" spans="5:5" ht="17.25" customHeight="1">
      <c r="E108" s="25"/>
    </row>
    <row r="109" spans="5:5" ht="17.25" customHeight="1">
      <c r="E109" s="25"/>
    </row>
    <row r="110" spans="5:5" ht="17.25" customHeight="1">
      <c r="E110" s="25"/>
    </row>
    <row r="111" spans="5:5" ht="17.25" customHeight="1">
      <c r="E111" s="25"/>
    </row>
    <row r="112" spans="5:5" ht="17.25" customHeight="1">
      <c r="E112" s="25"/>
    </row>
    <row r="113" spans="5:5" ht="17.25" customHeight="1">
      <c r="E113" s="25"/>
    </row>
    <row r="114" spans="5:5" ht="17.25" customHeight="1">
      <c r="E114" s="25"/>
    </row>
    <row r="115" spans="5:5" ht="17.25" customHeight="1">
      <c r="E115" s="25"/>
    </row>
    <row r="116" spans="5:5" ht="17.25" customHeight="1">
      <c r="E116" s="25"/>
    </row>
    <row r="117" spans="5:5" ht="17.25" customHeight="1">
      <c r="E117" s="25"/>
    </row>
    <row r="118" spans="5:5" ht="17.25" customHeight="1">
      <c r="E118" s="25"/>
    </row>
    <row r="119" spans="5:5" ht="17.25" customHeight="1">
      <c r="E119" s="25"/>
    </row>
    <row r="120" spans="5:5" ht="17.25" customHeight="1">
      <c r="E120" s="25"/>
    </row>
    <row r="121" spans="5:5" ht="17.25" customHeight="1">
      <c r="E121" s="25"/>
    </row>
    <row r="122" spans="5:5" ht="17.25" customHeight="1">
      <c r="E122" s="25"/>
    </row>
    <row r="123" spans="5:5" ht="17.25" customHeight="1">
      <c r="E123" s="25"/>
    </row>
    <row r="124" spans="5:5" ht="17.25" customHeight="1">
      <c r="E124" s="25"/>
    </row>
    <row r="125" spans="5:5" ht="17.25" customHeight="1">
      <c r="E125" s="25"/>
    </row>
    <row r="126" spans="5:5" ht="17.25" customHeight="1">
      <c r="E126" s="25"/>
    </row>
    <row r="127" spans="5:5" ht="17.25" customHeight="1">
      <c r="E127" s="25"/>
    </row>
    <row r="128" spans="5:5" ht="17.25" customHeight="1">
      <c r="E128" s="25"/>
    </row>
    <row r="129" spans="5:5" ht="17.25" customHeight="1">
      <c r="E129" s="25"/>
    </row>
    <row r="130" spans="5:5" ht="17.25" customHeight="1">
      <c r="E130" s="25"/>
    </row>
    <row r="131" spans="5:5" ht="17.25" customHeight="1">
      <c r="E131" s="25"/>
    </row>
    <row r="132" spans="5:5" ht="17.25" customHeight="1">
      <c r="E132" s="25"/>
    </row>
    <row r="133" spans="5:5" ht="17.25" customHeight="1">
      <c r="E133" s="25"/>
    </row>
    <row r="134" spans="5:5" ht="17.25" customHeight="1">
      <c r="E134" s="25"/>
    </row>
    <row r="135" spans="5:5" ht="17.25" customHeight="1">
      <c r="E135" s="25"/>
    </row>
    <row r="136" spans="5:5" ht="17.25" customHeight="1">
      <c r="E136" s="25"/>
    </row>
    <row r="137" spans="5:5" ht="17.25" customHeight="1">
      <c r="E137" s="25"/>
    </row>
    <row r="138" spans="5:5" ht="17.25" customHeight="1">
      <c r="E138" s="25"/>
    </row>
    <row r="139" spans="5:5" ht="17.25" customHeight="1">
      <c r="E139" s="25"/>
    </row>
    <row r="140" spans="5:5" ht="17.25" customHeight="1">
      <c r="E140" s="25"/>
    </row>
    <row r="141" spans="5:5" ht="17.25" customHeight="1">
      <c r="E141" s="25"/>
    </row>
    <row r="142" spans="5:5" ht="17.25" customHeight="1">
      <c r="E142" s="25"/>
    </row>
    <row r="143" spans="5:5" ht="17.25" customHeight="1">
      <c r="E143" s="25"/>
    </row>
    <row r="144" spans="5:5" ht="17.25" customHeight="1">
      <c r="E144" s="25"/>
    </row>
    <row r="145" spans="5:5" ht="17.25" customHeight="1">
      <c r="E145" s="25"/>
    </row>
    <row r="146" spans="5:5" ht="17.25" customHeight="1">
      <c r="E146" s="25"/>
    </row>
    <row r="147" spans="5:5" ht="17.25" customHeight="1">
      <c r="E147" s="25"/>
    </row>
    <row r="148" spans="5:5" ht="17.25" customHeight="1">
      <c r="E148" s="25"/>
    </row>
    <row r="149" spans="5:5" ht="17.25" customHeight="1">
      <c r="E149" s="25"/>
    </row>
    <row r="150" spans="5:5" ht="17.25" customHeight="1">
      <c r="E150" s="25"/>
    </row>
    <row r="151" spans="5:5" ht="17.25" customHeight="1">
      <c r="E151" s="25"/>
    </row>
    <row r="152" spans="5:5" ht="17.25" customHeight="1">
      <c r="E152" s="25"/>
    </row>
    <row r="153" spans="5:5" ht="17.25" customHeight="1">
      <c r="E153" s="25"/>
    </row>
    <row r="154" spans="5:5" ht="17.25" customHeight="1">
      <c r="E154" s="25"/>
    </row>
    <row r="155" spans="5:5" ht="17.25" customHeight="1">
      <c r="E155" s="25"/>
    </row>
    <row r="156" spans="5:5" ht="17.25" customHeight="1">
      <c r="E156" s="25"/>
    </row>
    <row r="157" spans="5:5" ht="17.25" customHeight="1">
      <c r="E157" s="25"/>
    </row>
    <row r="158" spans="5:5" ht="17.25" customHeight="1">
      <c r="E158" s="25"/>
    </row>
    <row r="159" spans="5:5" ht="17.25" customHeight="1">
      <c r="E159" s="25"/>
    </row>
    <row r="160" spans="5:5" ht="17.25" customHeight="1">
      <c r="E160" s="25"/>
    </row>
    <row r="161" spans="5:5" ht="17.25" customHeight="1">
      <c r="E161" s="25"/>
    </row>
    <row r="162" spans="5:5" ht="17.25" customHeight="1">
      <c r="E162" s="25"/>
    </row>
    <row r="163" spans="5:5" ht="17.25" customHeight="1">
      <c r="E163" s="25"/>
    </row>
    <row r="164" spans="5:5" ht="17.25" customHeight="1">
      <c r="E164" s="25"/>
    </row>
    <row r="165" spans="5:5" ht="17.25" customHeight="1">
      <c r="E165" s="25"/>
    </row>
    <row r="166" spans="5:5" ht="17.25" customHeight="1">
      <c r="E166" s="25"/>
    </row>
    <row r="167" spans="5:5" ht="17.25" customHeight="1">
      <c r="E167" s="25"/>
    </row>
    <row r="168" spans="5:5" ht="17.25" customHeight="1">
      <c r="E168" s="25"/>
    </row>
    <row r="169" spans="5:5" ht="17.25" customHeight="1">
      <c r="E169" s="25"/>
    </row>
    <row r="170" spans="5:5" ht="17.25" customHeight="1">
      <c r="E170" s="25"/>
    </row>
    <row r="171" spans="5:5" ht="17.25" customHeight="1">
      <c r="E171" s="25"/>
    </row>
    <row r="172" spans="5:5" ht="17.25" customHeight="1">
      <c r="E172" s="25"/>
    </row>
    <row r="173" spans="5:5" ht="17.25" customHeight="1">
      <c r="E173" s="25"/>
    </row>
    <row r="174" spans="5:5" ht="17.25" customHeight="1">
      <c r="E174" s="25"/>
    </row>
    <row r="175" spans="5:5" ht="17.25" customHeight="1">
      <c r="E175" s="25"/>
    </row>
    <row r="176" spans="5:5" ht="17.25" customHeight="1">
      <c r="E176" s="25"/>
    </row>
    <row r="177" spans="5:5" ht="17.25" customHeight="1">
      <c r="E177" s="25"/>
    </row>
    <row r="178" spans="5:5" ht="17.25" customHeight="1">
      <c r="E178" s="25"/>
    </row>
    <row r="179" spans="5:5" ht="17.25" customHeight="1">
      <c r="E179" s="25"/>
    </row>
    <row r="180" spans="5:5" ht="17.25" customHeight="1">
      <c r="E180" s="25"/>
    </row>
    <row r="181" spans="5:5" ht="17.25" customHeight="1">
      <c r="E181" s="25"/>
    </row>
    <row r="182" spans="5:5" ht="17.25" customHeight="1">
      <c r="E182" s="25"/>
    </row>
    <row r="183" spans="5:5" ht="17.25" customHeight="1">
      <c r="E183" s="25"/>
    </row>
    <row r="184" spans="5:5" ht="17.25" customHeight="1">
      <c r="E184" s="25"/>
    </row>
    <row r="185" spans="5:5" ht="17.25" customHeight="1">
      <c r="E185" s="25"/>
    </row>
    <row r="186" spans="5:5" ht="17.25" customHeight="1">
      <c r="E186" s="25"/>
    </row>
    <row r="187" spans="5:5" ht="17.25" customHeight="1">
      <c r="E187" s="25"/>
    </row>
    <row r="188" spans="5:5" ht="17.25" customHeight="1">
      <c r="E188" s="25"/>
    </row>
    <row r="189" spans="5:5" ht="17.25" customHeight="1">
      <c r="E189" s="25"/>
    </row>
    <row r="190" spans="5:5" ht="17.25" customHeight="1">
      <c r="E190" s="25"/>
    </row>
    <row r="191" spans="5:5" ht="17.25" customHeight="1">
      <c r="E191" s="25"/>
    </row>
    <row r="192" spans="5:5" ht="17.25" customHeight="1">
      <c r="E192" s="25"/>
    </row>
    <row r="193" spans="5:5" ht="17.25" customHeight="1">
      <c r="E193" s="25"/>
    </row>
    <row r="194" spans="5:5" ht="17.25" customHeight="1">
      <c r="E194" s="25"/>
    </row>
    <row r="195" spans="5:5" ht="17.25" customHeight="1">
      <c r="E195" s="25"/>
    </row>
    <row r="196" spans="5:5" ht="17.25" customHeight="1">
      <c r="E196" s="25"/>
    </row>
    <row r="197" spans="5:5" ht="17.25" customHeight="1">
      <c r="E197" s="25"/>
    </row>
    <row r="198" spans="5:5" ht="17.25" customHeight="1">
      <c r="E198" s="25"/>
    </row>
    <row r="199" spans="5:5" ht="17.25" customHeight="1">
      <c r="E199" s="25"/>
    </row>
    <row r="200" spans="5:5" ht="17.25" customHeight="1">
      <c r="E200" s="25"/>
    </row>
    <row r="201" spans="5:5" ht="17.25" customHeight="1">
      <c r="E201" s="25"/>
    </row>
    <row r="202" spans="5:5" ht="17.25" customHeight="1">
      <c r="E202" s="25"/>
    </row>
    <row r="203" spans="5:5" ht="17.25" customHeight="1">
      <c r="E203" s="25"/>
    </row>
    <row r="204" spans="5:5" ht="17.25" customHeight="1">
      <c r="E204" s="25"/>
    </row>
    <row r="205" spans="5:5" ht="17.25" customHeight="1">
      <c r="E205" s="25"/>
    </row>
    <row r="206" spans="5:5" ht="17.25" customHeight="1">
      <c r="E206" s="25"/>
    </row>
    <row r="207" spans="5:5" ht="17.25" customHeight="1">
      <c r="E207" s="25"/>
    </row>
    <row r="208" spans="5:5" ht="17.25" customHeight="1">
      <c r="E208" s="25"/>
    </row>
    <row r="209" spans="5:5" ht="17.25" customHeight="1">
      <c r="E209" s="25"/>
    </row>
    <row r="210" spans="5:5" ht="17.25" customHeight="1">
      <c r="E210" s="25"/>
    </row>
    <row r="211" spans="5:5" ht="17.25" customHeight="1">
      <c r="E211" s="25"/>
    </row>
    <row r="212" spans="5:5" ht="17.25" customHeight="1">
      <c r="E212" s="25"/>
    </row>
    <row r="213" spans="5:5" ht="17.25" customHeight="1">
      <c r="E213" s="25"/>
    </row>
    <row r="214" spans="5:5" ht="17.25" customHeight="1">
      <c r="E214" s="25"/>
    </row>
    <row r="215" spans="5:5" ht="17.25" customHeight="1">
      <c r="E215" s="25"/>
    </row>
    <row r="216" spans="5:5" ht="17.25" customHeight="1">
      <c r="E216" s="25"/>
    </row>
    <row r="217" spans="5:5" ht="17.25" customHeight="1">
      <c r="E217" s="25"/>
    </row>
    <row r="218" spans="5:5" ht="17.25" customHeight="1">
      <c r="E218" s="25"/>
    </row>
    <row r="219" spans="5:5" ht="17.25" customHeight="1">
      <c r="E219" s="25"/>
    </row>
    <row r="220" spans="5:5" ht="17.25" customHeight="1">
      <c r="E220" s="25"/>
    </row>
    <row r="221" spans="5:5" ht="17.25" customHeight="1">
      <c r="E221" s="25"/>
    </row>
    <row r="222" spans="5:5" ht="17.25" customHeight="1">
      <c r="E222" s="25"/>
    </row>
    <row r="223" spans="5:5" ht="17.25" customHeight="1">
      <c r="E223" s="25"/>
    </row>
    <row r="224" spans="5:5" ht="17.25" customHeight="1">
      <c r="E224" s="25"/>
    </row>
    <row r="225" spans="5:5" ht="17.25" customHeight="1">
      <c r="E225" s="25"/>
    </row>
    <row r="226" spans="5:5" ht="17.25" customHeight="1">
      <c r="E226" s="25"/>
    </row>
    <row r="227" spans="5:5" ht="17.25" customHeight="1">
      <c r="E227" s="25"/>
    </row>
    <row r="228" spans="5:5" ht="17.25" customHeight="1">
      <c r="E228" s="25"/>
    </row>
    <row r="229" spans="5:5" ht="17.25" customHeight="1">
      <c r="E229" s="25"/>
    </row>
    <row r="230" spans="5:5" ht="17.25" customHeight="1">
      <c r="E230" s="25"/>
    </row>
    <row r="231" spans="5:5" ht="17.25" customHeight="1">
      <c r="E231" s="25"/>
    </row>
    <row r="232" spans="5:5" ht="17.25" customHeight="1">
      <c r="E232" s="25"/>
    </row>
    <row r="233" spans="5:5" ht="17.25" customHeight="1">
      <c r="E233" s="25"/>
    </row>
    <row r="234" spans="5:5" ht="17.25" customHeight="1">
      <c r="E234" s="25"/>
    </row>
    <row r="235" spans="5:5" ht="17.25" customHeight="1">
      <c r="E235" s="25"/>
    </row>
    <row r="236" spans="5:5" ht="17.25" customHeight="1">
      <c r="E236" s="25"/>
    </row>
    <row r="237" spans="5:5" ht="17.25" customHeight="1">
      <c r="E237" s="25"/>
    </row>
    <row r="238" spans="5:5" ht="17.25" customHeight="1">
      <c r="E238" s="25"/>
    </row>
    <row r="239" spans="5:5" ht="17.25" customHeight="1">
      <c r="E239" s="25"/>
    </row>
    <row r="240" spans="5:5" ht="17.25" customHeight="1">
      <c r="E240" s="25"/>
    </row>
    <row r="241" spans="5:5" ht="17.25" customHeight="1">
      <c r="E241" s="25"/>
    </row>
    <row r="242" spans="5:5" ht="17.25" customHeight="1">
      <c r="E242" s="25"/>
    </row>
    <row r="243" spans="5:5" ht="17.25" customHeight="1">
      <c r="E243" s="25"/>
    </row>
    <row r="244" spans="5:5" ht="17.25" customHeight="1">
      <c r="E244" s="25"/>
    </row>
    <row r="245" spans="5:5" ht="17.25" customHeight="1">
      <c r="E245" s="25"/>
    </row>
    <row r="246" spans="5:5" ht="17.25" customHeight="1">
      <c r="E246" s="25"/>
    </row>
    <row r="247" spans="5:5" ht="17.25" customHeight="1">
      <c r="E247" s="25"/>
    </row>
    <row r="248" spans="5:5" ht="17.25" customHeight="1">
      <c r="E248" s="25"/>
    </row>
    <row r="249" spans="5:5" ht="17.25" customHeight="1">
      <c r="E249" s="25"/>
    </row>
    <row r="250" spans="5:5" ht="17.25" customHeight="1">
      <c r="E250" s="25"/>
    </row>
    <row r="251" spans="5:5" ht="17.25" customHeight="1">
      <c r="E251" s="25"/>
    </row>
    <row r="252" spans="5:5" ht="17.25" customHeight="1">
      <c r="E252" s="25"/>
    </row>
    <row r="253" spans="5:5" ht="17.25" customHeight="1">
      <c r="E253" s="25"/>
    </row>
    <row r="254" spans="5:5" ht="17.25" customHeight="1">
      <c r="E254" s="25"/>
    </row>
    <row r="255" spans="5:5" ht="17.25" customHeight="1">
      <c r="E255" s="25"/>
    </row>
    <row r="256" spans="5:5" ht="17.25" customHeight="1">
      <c r="E256" s="25"/>
    </row>
    <row r="257" spans="5:5" ht="17.25" customHeight="1">
      <c r="E257" s="25"/>
    </row>
    <row r="258" spans="5:5" ht="17.25" customHeight="1">
      <c r="E258" s="25"/>
    </row>
    <row r="259" spans="5:5" ht="17.25" customHeight="1">
      <c r="E259" s="25"/>
    </row>
    <row r="260" spans="5:5" ht="17.25" customHeight="1">
      <c r="E260" s="25"/>
    </row>
    <row r="261" spans="5:5" ht="17.25" customHeight="1">
      <c r="E261" s="25"/>
    </row>
    <row r="262" spans="5:5" ht="17.25" customHeight="1">
      <c r="E262" s="25"/>
    </row>
    <row r="263" spans="5:5" ht="17.25" customHeight="1">
      <c r="E263" s="25"/>
    </row>
    <row r="264" spans="5:5" ht="17.25" customHeight="1">
      <c r="E264" s="25"/>
    </row>
    <row r="265" spans="5:5" ht="17.25" customHeight="1">
      <c r="E265" s="25"/>
    </row>
    <row r="266" spans="5:5" ht="17.25" customHeight="1">
      <c r="E266" s="25"/>
    </row>
    <row r="267" spans="5:5" ht="17.25" customHeight="1">
      <c r="E267" s="25"/>
    </row>
    <row r="268" spans="5:5" ht="17.25" customHeight="1">
      <c r="E268" s="25"/>
    </row>
    <row r="269" spans="5:5" ht="17.25" customHeight="1">
      <c r="E269" s="25"/>
    </row>
    <row r="270" spans="5:5" ht="17.25" customHeight="1">
      <c r="E270" s="25"/>
    </row>
    <row r="271" spans="5:5" ht="17.25" customHeight="1">
      <c r="E271" s="25"/>
    </row>
    <row r="272" spans="5:5" ht="17.25" customHeight="1">
      <c r="E272" s="25"/>
    </row>
    <row r="273" spans="5:5" ht="17.25" customHeight="1">
      <c r="E273" s="25"/>
    </row>
    <row r="274" spans="5:5" ht="17.25" customHeight="1">
      <c r="E274" s="25"/>
    </row>
    <row r="275" spans="5:5" ht="17.25" customHeight="1">
      <c r="E275" s="25"/>
    </row>
    <row r="276" spans="5:5" ht="17.25" customHeight="1">
      <c r="E276" s="25"/>
    </row>
    <row r="277" spans="5:5" ht="17.25" customHeight="1">
      <c r="E277" s="25"/>
    </row>
    <row r="278" spans="5:5" ht="17.25" customHeight="1">
      <c r="E278" s="25"/>
    </row>
    <row r="279" spans="5:5" ht="17.25" customHeight="1">
      <c r="E279" s="25"/>
    </row>
    <row r="280" spans="5:5" ht="17.25" customHeight="1">
      <c r="E280" s="25"/>
    </row>
    <row r="281" spans="5:5" ht="17.25" customHeight="1">
      <c r="E281" s="25"/>
    </row>
    <row r="282" spans="5:5" ht="17.25" customHeight="1">
      <c r="E282" s="25"/>
    </row>
    <row r="283" spans="5:5" ht="17.25" customHeight="1">
      <c r="E283" s="25"/>
    </row>
    <row r="284" spans="5:5" ht="17.25" customHeight="1">
      <c r="E284" s="25"/>
    </row>
    <row r="285" spans="5:5" ht="17.25" customHeight="1">
      <c r="E285" s="25"/>
    </row>
    <row r="286" spans="5:5" ht="17.25" customHeight="1">
      <c r="E286" s="25"/>
    </row>
    <row r="287" spans="5:5" ht="17.25" customHeight="1">
      <c r="E287" s="25"/>
    </row>
    <row r="288" spans="5:5" ht="17.25" customHeight="1">
      <c r="E288" s="25"/>
    </row>
    <row r="289" spans="5:5" ht="17.25" customHeight="1">
      <c r="E289" s="25"/>
    </row>
    <row r="290" spans="5:5" ht="17.25" customHeight="1">
      <c r="E290" s="25"/>
    </row>
    <row r="291" spans="5:5" ht="17.25" customHeight="1">
      <c r="E291" s="25"/>
    </row>
    <row r="292" spans="5:5" ht="17.25" customHeight="1">
      <c r="E292" s="25"/>
    </row>
    <row r="293" spans="5:5" ht="17.25" customHeight="1">
      <c r="E293" s="25"/>
    </row>
    <row r="294" spans="5:5" ht="17.25" customHeight="1">
      <c r="E294" s="25"/>
    </row>
    <row r="295" spans="5:5" ht="17.25" customHeight="1">
      <c r="E295" s="25"/>
    </row>
    <row r="296" spans="5:5" ht="17.25" customHeight="1">
      <c r="E296" s="25"/>
    </row>
    <row r="297" spans="5:5" ht="17.25" customHeight="1">
      <c r="E297" s="25"/>
    </row>
    <row r="298" spans="5:5" ht="17.25" customHeight="1">
      <c r="E298" s="25"/>
    </row>
    <row r="299" spans="5:5" ht="17.25" customHeight="1">
      <c r="E299" s="25"/>
    </row>
    <row r="300" spans="5:5" ht="17.25" customHeight="1">
      <c r="E300" s="25"/>
    </row>
    <row r="301" spans="5:5" ht="17.25" customHeight="1">
      <c r="E301" s="25"/>
    </row>
    <row r="302" spans="5:5" ht="17.25" customHeight="1">
      <c r="E302" s="25"/>
    </row>
    <row r="303" spans="5:5" ht="17.25" customHeight="1">
      <c r="E303" s="25"/>
    </row>
    <row r="304" spans="5:5" ht="17.25" customHeight="1">
      <c r="E304" s="25"/>
    </row>
    <row r="305" spans="5:5" ht="17.25" customHeight="1">
      <c r="E305" s="25"/>
    </row>
    <row r="306" spans="5:5" ht="17.25" customHeight="1">
      <c r="E306" s="25"/>
    </row>
    <row r="307" spans="5:5" ht="17.25" customHeight="1">
      <c r="E307" s="25"/>
    </row>
    <row r="308" spans="5:5" ht="17.25" customHeight="1">
      <c r="E308" s="25"/>
    </row>
    <row r="309" spans="5:5" ht="17.25" customHeight="1">
      <c r="E309" s="25"/>
    </row>
    <row r="310" spans="5:5" ht="17.25" customHeight="1">
      <c r="E310" s="25"/>
    </row>
    <row r="311" spans="5:5" ht="17.25" customHeight="1">
      <c r="E311" s="25"/>
    </row>
    <row r="312" spans="5:5" ht="17.25" customHeight="1">
      <c r="E312" s="25"/>
    </row>
    <row r="313" spans="5:5" ht="17.25" customHeight="1">
      <c r="E313" s="25"/>
    </row>
    <row r="314" spans="5:5" ht="17.25" customHeight="1">
      <c r="E314" s="25"/>
    </row>
    <row r="315" spans="5:5" ht="17.25" customHeight="1">
      <c r="E315" s="25"/>
    </row>
    <row r="316" spans="5:5" ht="17.25" customHeight="1">
      <c r="E316" s="25"/>
    </row>
    <row r="317" spans="5:5" ht="17.25" customHeight="1">
      <c r="E317" s="25"/>
    </row>
    <row r="318" spans="5:5" ht="17.25" customHeight="1">
      <c r="E318" s="25"/>
    </row>
    <row r="319" spans="5:5" ht="17.25" customHeight="1">
      <c r="E319" s="25"/>
    </row>
    <row r="320" spans="5:5" ht="17.25" customHeight="1">
      <c r="E320" s="25"/>
    </row>
    <row r="321" spans="5:5" ht="17.25" customHeight="1">
      <c r="E321" s="25"/>
    </row>
    <row r="322" spans="5:5" ht="17.25" customHeight="1">
      <c r="E322" s="25"/>
    </row>
    <row r="323" spans="5:5" ht="17.25" customHeight="1">
      <c r="E323" s="25"/>
    </row>
    <row r="324" spans="5:5" ht="17.25" customHeight="1">
      <c r="E324" s="25"/>
    </row>
    <row r="325" spans="5:5" ht="17.25" customHeight="1">
      <c r="E325" s="25"/>
    </row>
    <row r="326" spans="5:5" ht="17.25" customHeight="1">
      <c r="E326" s="25"/>
    </row>
    <row r="327" spans="5:5" ht="17.25" customHeight="1">
      <c r="E327" s="25"/>
    </row>
    <row r="328" spans="5:5" ht="17.25" customHeight="1">
      <c r="E328" s="25"/>
    </row>
    <row r="329" spans="5:5" ht="17.25" customHeight="1">
      <c r="E329" s="25"/>
    </row>
    <row r="330" spans="5:5" ht="17.25" customHeight="1">
      <c r="E330" s="25"/>
    </row>
    <row r="331" spans="5:5" ht="17.25" customHeight="1">
      <c r="E331" s="25"/>
    </row>
    <row r="332" spans="5:5" ht="17.25" customHeight="1">
      <c r="E332" s="25"/>
    </row>
    <row r="333" spans="5:5" ht="17.25" customHeight="1">
      <c r="E333" s="25"/>
    </row>
    <row r="334" spans="5:5" ht="17.25" customHeight="1">
      <c r="E334" s="25"/>
    </row>
    <row r="335" spans="5:5" ht="17.25" customHeight="1">
      <c r="E335" s="25"/>
    </row>
    <row r="336" spans="5:5" ht="17.25" customHeight="1">
      <c r="E336" s="25"/>
    </row>
    <row r="337" spans="5:5" ht="17.25" customHeight="1">
      <c r="E337" s="25"/>
    </row>
    <row r="338" spans="5:5" ht="17.25" customHeight="1">
      <c r="E338" s="25"/>
    </row>
    <row r="339" spans="5:5" ht="17.25" customHeight="1">
      <c r="E339" s="25"/>
    </row>
    <row r="340" spans="5:5" ht="17.25" customHeight="1">
      <c r="E340" s="25"/>
    </row>
    <row r="341" spans="5:5" ht="17.25" customHeight="1">
      <c r="E341" s="25"/>
    </row>
    <row r="342" spans="5:5" ht="17.25" customHeight="1">
      <c r="E342" s="25"/>
    </row>
    <row r="343" spans="5:5" ht="17.25" customHeight="1">
      <c r="E343" s="25"/>
    </row>
    <row r="344" spans="5:5" ht="17.25" customHeight="1">
      <c r="E344" s="25"/>
    </row>
    <row r="345" spans="5:5" ht="17.25" customHeight="1">
      <c r="E345" s="25"/>
    </row>
    <row r="346" spans="5:5" ht="17.25" customHeight="1">
      <c r="E346" s="25"/>
    </row>
    <row r="347" spans="5:5" ht="17.25" customHeight="1">
      <c r="E347" s="25"/>
    </row>
    <row r="348" spans="5:5" ht="17.25" customHeight="1">
      <c r="E348" s="25"/>
    </row>
    <row r="349" spans="5:5" ht="17.25" customHeight="1">
      <c r="E349" s="25"/>
    </row>
    <row r="350" spans="5:5" ht="17.25" customHeight="1">
      <c r="E350" s="25"/>
    </row>
    <row r="351" spans="5:5" ht="17.25" customHeight="1">
      <c r="E351" s="25"/>
    </row>
    <row r="352" spans="5:5" ht="17.25" customHeight="1">
      <c r="E352" s="25"/>
    </row>
    <row r="353" spans="5:5" ht="17.25" customHeight="1">
      <c r="E353" s="25"/>
    </row>
    <row r="354" spans="5:5" ht="17.25" customHeight="1">
      <c r="E354" s="25"/>
    </row>
    <row r="355" spans="5:5" ht="17.25" customHeight="1">
      <c r="E355" s="25"/>
    </row>
    <row r="356" spans="5:5" ht="17.25" customHeight="1">
      <c r="E356" s="25"/>
    </row>
    <row r="357" spans="5:5" ht="17.25" customHeight="1">
      <c r="E357" s="25"/>
    </row>
    <row r="358" spans="5:5" ht="17.25" customHeight="1">
      <c r="E358" s="25"/>
    </row>
    <row r="359" spans="5:5" ht="17.25" customHeight="1">
      <c r="E359" s="25"/>
    </row>
    <row r="360" spans="5:5" ht="17.25" customHeight="1">
      <c r="E360" s="25"/>
    </row>
    <row r="361" spans="5:5" ht="17.25" customHeight="1">
      <c r="E361" s="25"/>
    </row>
    <row r="362" spans="5:5" ht="17.25" customHeight="1">
      <c r="E362" s="25"/>
    </row>
    <row r="363" spans="5:5" ht="17.25" customHeight="1">
      <c r="E363" s="25"/>
    </row>
    <row r="364" spans="5:5" ht="17.25" customHeight="1">
      <c r="E364" s="25"/>
    </row>
    <row r="365" spans="5:5" ht="17.25" customHeight="1">
      <c r="E365" s="25"/>
    </row>
    <row r="366" spans="5:5" ht="17.25" customHeight="1">
      <c r="E366" s="25"/>
    </row>
    <row r="367" spans="5:5" ht="17.25" customHeight="1">
      <c r="E367" s="25"/>
    </row>
    <row r="368" spans="5:5" ht="17.25" customHeight="1">
      <c r="E368" s="25"/>
    </row>
    <row r="369" spans="5:5" ht="17.25" customHeight="1">
      <c r="E369" s="25"/>
    </row>
    <row r="370" spans="5:5" ht="17.25" customHeight="1">
      <c r="E370" s="25"/>
    </row>
    <row r="371" spans="5:5" ht="17.25" customHeight="1">
      <c r="E371" s="25"/>
    </row>
    <row r="372" spans="5:5" ht="17.25" customHeight="1">
      <c r="E372" s="25"/>
    </row>
    <row r="373" spans="5:5" ht="17.25" customHeight="1">
      <c r="E373" s="25"/>
    </row>
    <row r="374" spans="5:5" ht="17.25" customHeight="1">
      <c r="E374" s="25"/>
    </row>
    <row r="375" spans="5:5" ht="17.25" customHeight="1">
      <c r="E375" s="25"/>
    </row>
    <row r="376" spans="5:5" ht="17.25" customHeight="1">
      <c r="E376" s="25"/>
    </row>
    <row r="377" spans="5:5" ht="17.25" customHeight="1">
      <c r="E377" s="25"/>
    </row>
    <row r="378" spans="5:5" ht="17.25" customHeight="1">
      <c r="E378" s="25"/>
    </row>
    <row r="379" spans="5:5" ht="17.25" customHeight="1">
      <c r="E379" s="25"/>
    </row>
    <row r="380" spans="5:5" ht="17.25" customHeight="1">
      <c r="E380" s="25"/>
    </row>
    <row r="381" spans="5:5" ht="17.25" customHeight="1">
      <c r="E381" s="25"/>
    </row>
    <row r="382" spans="5:5" ht="17.25" customHeight="1">
      <c r="E382" s="25"/>
    </row>
    <row r="383" spans="5:5" ht="17.25" customHeight="1">
      <c r="E383" s="25"/>
    </row>
    <row r="384" spans="5:5" ht="17.25" customHeight="1">
      <c r="E384" s="25"/>
    </row>
    <row r="385" spans="5:5" ht="17.25" customHeight="1">
      <c r="E385" s="25"/>
    </row>
    <row r="386" spans="5:5" ht="17.25" customHeight="1">
      <c r="E386" s="25"/>
    </row>
    <row r="387" spans="5:5" ht="17.25" customHeight="1">
      <c r="E387" s="25"/>
    </row>
    <row r="388" spans="5:5" ht="17.25" customHeight="1">
      <c r="E388" s="25"/>
    </row>
    <row r="389" spans="5:5" ht="17.25" customHeight="1">
      <c r="E389" s="25"/>
    </row>
    <row r="390" spans="5:5" ht="17.25" customHeight="1">
      <c r="E390" s="25"/>
    </row>
    <row r="391" spans="5:5" ht="17.25" customHeight="1">
      <c r="E391" s="25"/>
    </row>
    <row r="392" spans="5:5" ht="17.25" customHeight="1">
      <c r="E392" s="25"/>
    </row>
    <row r="393" spans="5:5" ht="17.25" customHeight="1">
      <c r="E393" s="25"/>
    </row>
    <row r="394" spans="5:5" ht="17.25" customHeight="1">
      <c r="E394" s="25"/>
    </row>
    <row r="395" spans="5:5" ht="17.25" customHeight="1">
      <c r="E395" s="25"/>
    </row>
    <row r="396" spans="5:5" ht="17.25" customHeight="1">
      <c r="E396" s="25"/>
    </row>
    <row r="397" spans="5:5" ht="17.25" customHeight="1">
      <c r="E397" s="25"/>
    </row>
    <row r="398" spans="5:5" ht="17.25" customHeight="1">
      <c r="E398" s="25"/>
    </row>
    <row r="399" spans="5:5" ht="17.25" customHeight="1">
      <c r="E399" s="25"/>
    </row>
    <row r="400" spans="5:5" ht="17.25" customHeight="1">
      <c r="E400" s="25"/>
    </row>
    <row r="401" spans="5:5" ht="17.25" customHeight="1">
      <c r="E401" s="25"/>
    </row>
    <row r="402" spans="5:5" ht="17.25" customHeight="1">
      <c r="E402" s="25"/>
    </row>
    <row r="403" spans="5:5" ht="17.25" customHeight="1">
      <c r="E403" s="25"/>
    </row>
    <row r="404" spans="5:5" ht="17.25" customHeight="1">
      <c r="E404" s="25"/>
    </row>
    <row r="405" spans="5:5" ht="17.25" customHeight="1">
      <c r="E405" s="25"/>
    </row>
    <row r="406" spans="5:5" ht="17.25" customHeight="1">
      <c r="E406" s="25"/>
    </row>
    <row r="407" spans="5:5" ht="17.25" customHeight="1">
      <c r="E407" s="25"/>
    </row>
    <row r="408" spans="5:5" ht="17.25" customHeight="1">
      <c r="E408" s="25"/>
    </row>
    <row r="409" spans="5:5" ht="17.25" customHeight="1">
      <c r="E409" s="25"/>
    </row>
    <row r="410" spans="5:5" ht="17.25" customHeight="1">
      <c r="E410" s="25"/>
    </row>
    <row r="411" spans="5:5" ht="17.25" customHeight="1">
      <c r="E411" s="25"/>
    </row>
    <row r="412" spans="5:5" ht="17.25" customHeight="1">
      <c r="E412" s="25"/>
    </row>
    <row r="413" spans="5:5" ht="17.25" customHeight="1">
      <c r="E413" s="25"/>
    </row>
    <row r="414" spans="5:5" ht="17.25" customHeight="1">
      <c r="E414" s="25"/>
    </row>
    <row r="415" spans="5:5" ht="17.25" customHeight="1">
      <c r="E415" s="25"/>
    </row>
    <row r="416" spans="5:5" ht="17.25" customHeight="1">
      <c r="E416" s="25"/>
    </row>
    <row r="417" spans="5:5" ht="17.25" customHeight="1">
      <c r="E417" s="25"/>
    </row>
    <row r="418" spans="5:5" ht="17.25" customHeight="1">
      <c r="E418" s="25"/>
    </row>
    <row r="419" spans="5:5" ht="17.25" customHeight="1">
      <c r="E419" s="25"/>
    </row>
    <row r="420" spans="5:5" ht="17.25" customHeight="1">
      <c r="E420" s="25"/>
    </row>
    <row r="421" spans="5:5" ht="17.25" customHeight="1">
      <c r="E421" s="25"/>
    </row>
    <row r="422" spans="5:5" ht="17.25" customHeight="1">
      <c r="E422" s="25"/>
    </row>
    <row r="423" spans="5:5" ht="17.25" customHeight="1">
      <c r="E423" s="25"/>
    </row>
    <row r="424" spans="5:5" ht="17.25" customHeight="1">
      <c r="E424" s="25"/>
    </row>
    <row r="425" spans="5:5" ht="17.25" customHeight="1">
      <c r="E425" s="25"/>
    </row>
    <row r="426" spans="5:5" ht="17.25" customHeight="1">
      <c r="E426" s="25"/>
    </row>
    <row r="427" spans="5:5" ht="17.25" customHeight="1">
      <c r="E427" s="25"/>
    </row>
    <row r="428" spans="5:5" ht="17.25" customHeight="1">
      <c r="E428" s="25"/>
    </row>
    <row r="429" spans="5:5" ht="17.25" customHeight="1">
      <c r="E429" s="25"/>
    </row>
    <row r="430" spans="5:5" ht="17.25" customHeight="1">
      <c r="E430" s="25"/>
    </row>
    <row r="431" spans="5:5" ht="17.25" customHeight="1">
      <c r="E431" s="25"/>
    </row>
    <row r="432" spans="5:5" ht="17.25" customHeight="1">
      <c r="E432" s="25"/>
    </row>
    <row r="433" spans="5:5" ht="17.25" customHeight="1">
      <c r="E433" s="25"/>
    </row>
    <row r="434" spans="5:5" ht="17.25" customHeight="1">
      <c r="E434" s="25"/>
    </row>
    <row r="435" spans="5:5" ht="17.25" customHeight="1">
      <c r="E435" s="25"/>
    </row>
    <row r="436" spans="5:5" ht="17.25" customHeight="1">
      <c r="E436" s="25"/>
    </row>
    <row r="437" spans="5:5" ht="17.25" customHeight="1">
      <c r="E437" s="25"/>
    </row>
    <row r="438" spans="5:5" ht="17.25" customHeight="1">
      <c r="E438" s="25"/>
    </row>
    <row r="439" spans="5:5" ht="17.25" customHeight="1">
      <c r="E439" s="25"/>
    </row>
    <row r="440" spans="5:5" ht="17.25" customHeight="1">
      <c r="E440" s="25"/>
    </row>
    <row r="441" spans="5:5" ht="17.25" customHeight="1">
      <c r="E441" s="25"/>
    </row>
    <row r="442" spans="5:5" ht="17.25" customHeight="1">
      <c r="E442" s="25"/>
    </row>
    <row r="443" spans="5:5" ht="17.25" customHeight="1">
      <c r="E443" s="25"/>
    </row>
    <row r="444" spans="5:5" ht="17.25" customHeight="1">
      <c r="E444" s="25"/>
    </row>
    <row r="445" spans="5:5" ht="17.25" customHeight="1">
      <c r="E445" s="25"/>
    </row>
    <row r="446" spans="5:5" ht="17.25" customHeight="1">
      <c r="E446" s="25"/>
    </row>
    <row r="447" spans="5:5" ht="17.25" customHeight="1">
      <c r="E447" s="25"/>
    </row>
    <row r="448" spans="5:5" ht="17.25" customHeight="1">
      <c r="E448" s="25"/>
    </row>
    <row r="449" spans="5:5" ht="17.25" customHeight="1">
      <c r="E449" s="25"/>
    </row>
    <row r="450" spans="5:5" ht="17.25" customHeight="1">
      <c r="E450" s="25"/>
    </row>
    <row r="451" spans="5:5" ht="17.25" customHeight="1">
      <c r="E451" s="25"/>
    </row>
    <row r="452" spans="5:5" ht="17.25" customHeight="1">
      <c r="E452" s="25"/>
    </row>
    <row r="453" spans="5:5" ht="17.25" customHeight="1">
      <c r="E453" s="25"/>
    </row>
    <row r="454" spans="5:5" ht="17.25" customHeight="1">
      <c r="E454" s="25"/>
    </row>
    <row r="455" spans="5:5" ht="17.25" customHeight="1">
      <c r="E455" s="25"/>
    </row>
    <row r="456" spans="5:5" ht="17.25" customHeight="1">
      <c r="E456" s="25"/>
    </row>
    <row r="457" spans="5:5" ht="17.25" customHeight="1">
      <c r="E457" s="25"/>
    </row>
    <row r="458" spans="5:5" ht="17.25" customHeight="1">
      <c r="E458" s="25"/>
    </row>
    <row r="459" spans="5:5" ht="17.25" customHeight="1">
      <c r="E459" s="25"/>
    </row>
    <row r="460" spans="5:5" ht="17.25" customHeight="1">
      <c r="E460" s="25"/>
    </row>
    <row r="461" spans="5:5" ht="17.25" customHeight="1">
      <c r="E461" s="25"/>
    </row>
    <row r="462" spans="5:5" ht="17.25" customHeight="1">
      <c r="E462" s="25"/>
    </row>
    <row r="463" spans="5:5" ht="17.25" customHeight="1">
      <c r="E463" s="25"/>
    </row>
    <row r="464" spans="5:5" ht="17.25" customHeight="1">
      <c r="E464" s="25"/>
    </row>
    <row r="465" spans="5:5" ht="17.25" customHeight="1">
      <c r="E465" s="25"/>
    </row>
    <row r="466" spans="5:5" ht="17.25" customHeight="1">
      <c r="E466" s="25"/>
    </row>
    <row r="467" spans="5:5" ht="17.25" customHeight="1">
      <c r="E467" s="25"/>
    </row>
    <row r="468" spans="5:5" ht="17.25" customHeight="1">
      <c r="E468" s="25"/>
    </row>
    <row r="469" spans="5:5" ht="17.25" customHeight="1">
      <c r="E469" s="25"/>
    </row>
    <row r="470" spans="5:5" ht="17.25" customHeight="1">
      <c r="E470" s="25"/>
    </row>
    <row r="471" spans="5:5" ht="17.25" customHeight="1">
      <c r="E471" s="25"/>
    </row>
    <row r="472" spans="5:5" ht="17.25" customHeight="1">
      <c r="E472" s="25"/>
    </row>
    <row r="473" spans="5:5" ht="17.25" customHeight="1">
      <c r="E473" s="25"/>
    </row>
    <row r="474" spans="5:5" ht="17.25" customHeight="1">
      <c r="E474" s="25"/>
    </row>
    <row r="475" spans="5:5" ht="17.25" customHeight="1">
      <c r="E475" s="25"/>
    </row>
    <row r="476" spans="5:5" ht="17.25" customHeight="1">
      <c r="E476" s="25"/>
    </row>
    <row r="477" spans="5:5" ht="17.25" customHeight="1">
      <c r="E477" s="25"/>
    </row>
    <row r="478" spans="5:5" ht="17.25" customHeight="1">
      <c r="E478" s="25"/>
    </row>
    <row r="479" spans="5:5" ht="17.25" customHeight="1">
      <c r="E479" s="25"/>
    </row>
    <row r="480" spans="5:5" ht="17.25" customHeight="1">
      <c r="E480" s="25"/>
    </row>
    <row r="481" spans="5:5" ht="17.25" customHeight="1">
      <c r="E481" s="25"/>
    </row>
    <row r="482" spans="5:5" ht="17.25" customHeight="1">
      <c r="E482" s="25"/>
    </row>
    <row r="483" spans="5:5" ht="17.25" customHeight="1">
      <c r="E483" s="25"/>
    </row>
    <row r="484" spans="5:5" ht="17.25" customHeight="1">
      <c r="E484" s="25"/>
    </row>
    <row r="485" spans="5:5" ht="17.25" customHeight="1">
      <c r="E485" s="25"/>
    </row>
    <row r="486" spans="5:5" ht="17.25" customHeight="1">
      <c r="E486" s="25"/>
    </row>
    <row r="487" spans="5:5" ht="17.25" customHeight="1">
      <c r="E487" s="25"/>
    </row>
    <row r="488" spans="5:5" ht="17.25" customHeight="1">
      <c r="E488" s="25"/>
    </row>
    <row r="489" spans="5:5" ht="17.25" customHeight="1">
      <c r="E489" s="25"/>
    </row>
    <row r="490" spans="5:5" ht="17.25" customHeight="1">
      <c r="E490" s="25"/>
    </row>
    <row r="491" spans="5:5" ht="17.25" customHeight="1">
      <c r="E491" s="25"/>
    </row>
    <row r="492" spans="5:5" ht="17.25" customHeight="1">
      <c r="E492" s="25"/>
    </row>
    <row r="493" spans="5:5" ht="17.25" customHeight="1">
      <c r="E493" s="25"/>
    </row>
    <row r="494" spans="5:5" ht="17.25" customHeight="1">
      <c r="E494" s="25"/>
    </row>
    <row r="495" spans="5:5" ht="17.25" customHeight="1">
      <c r="E495" s="25"/>
    </row>
    <row r="496" spans="5:5" ht="17.25" customHeight="1">
      <c r="E496" s="25"/>
    </row>
    <row r="497" spans="5:5" ht="17.25" customHeight="1">
      <c r="E497" s="25"/>
    </row>
    <row r="498" spans="5:5" ht="17.25" customHeight="1">
      <c r="E498" s="25"/>
    </row>
    <row r="499" spans="5:5" ht="17.25" customHeight="1">
      <c r="E499" s="25"/>
    </row>
    <row r="500" spans="5:5" ht="17.25" customHeight="1">
      <c r="E500" s="25"/>
    </row>
    <row r="501" spans="5:5" ht="17.25" customHeight="1">
      <c r="E501" s="25"/>
    </row>
    <row r="502" spans="5:5" ht="17.25" customHeight="1">
      <c r="E502" s="25"/>
    </row>
    <row r="503" spans="5:5" ht="17.25" customHeight="1">
      <c r="E503" s="25"/>
    </row>
    <row r="504" spans="5:5" ht="17.25" customHeight="1">
      <c r="E504" s="25"/>
    </row>
    <row r="505" spans="5:5" ht="17.25" customHeight="1">
      <c r="E505" s="25"/>
    </row>
    <row r="506" spans="5:5" ht="17.25" customHeight="1">
      <c r="E506" s="25"/>
    </row>
    <row r="507" spans="5:5" ht="17.25" customHeight="1">
      <c r="E507" s="25"/>
    </row>
    <row r="508" spans="5:5" ht="17.25" customHeight="1">
      <c r="E508" s="25"/>
    </row>
    <row r="509" spans="5:5" ht="17.25" customHeight="1">
      <c r="E509" s="25"/>
    </row>
    <row r="510" spans="5:5" ht="17.25" customHeight="1">
      <c r="E510" s="25"/>
    </row>
    <row r="511" spans="5:5" ht="17.25" customHeight="1">
      <c r="E511" s="25"/>
    </row>
    <row r="512" spans="5:5" ht="17.25" customHeight="1">
      <c r="E512" s="25"/>
    </row>
    <row r="513" spans="5:5" ht="17.25" customHeight="1">
      <c r="E513" s="25"/>
    </row>
    <row r="514" spans="5:5" ht="17.25" customHeight="1">
      <c r="E514" s="25"/>
    </row>
    <row r="515" spans="5:5" ht="17.25" customHeight="1">
      <c r="E515" s="25"/>
    </row>
    <row r="516" spans="5:5" ht="17.25" customHeight="1">
      <c r="E516" s="25"/>
    </row>
    <row r="517" spans="5:5" ht="17.25" customHeight="1">
      <c r="E517" s="25"/>
    </row>
    <row r="518" spans="5:5" ht="17.25" customHeight="1">
      <c r="E518" s="25"/>
    </row>
    <row r="519" spans="5:5" ht="17.25" customHeight="1">
      <c r="E519" s="25"/>
    </row>
    <row r="520" spans="5:5" ht="17.25" customHeight="1">
      <c r="E520" s="25"/>
    </row>
    <row r="521" spans="5:5" ht="17.25" customHeight="1">
      <c r="E521" s="25"/>
    </row>
    <row r="522" spans="5:5" ht="17.25" customHeight="1">
      <c r="E522" s="25"/>
    </row>
    <row r="523" spans="5:5" ht="17.25" customHeight="1">
      <c r="E523" s="25"/>
    </row>
    <row r="524" spans="5:5" ht="17.25" customHeight="1">
      <c r="E524" s="25"/>
    </row>
    <row r="525" spans="5:5" ht="17.25" customHeight="1">
      <c r="E525" s="25"/>
    </row>
    <row r="526" spans="5:5" ht="17.25" customHeight="1">
      <c r="E526" s="25"/>
    </row>
    <row r="527" spans="5:5" ht="17.25" customHeight="1">
      <c r="E527" s="25"/>
    </row>
    <row r="528" spans="5:5" ht="17.25" customHeight="1">
      <c r="E528" s="25"/>
    </row>
    <row r="529" spans="5:5" ht="17.25" customHeight="1">
      <c r="E529" s="25"/>
    </row>
    <row r="530" spans="5:5" ht="17.25" customHeight="1">
      <c r="E530" s="25"/>
    </row>
    <row r="531" spans="5:5" ht="17.25" customHeight="1">
      <c r="E531" s="25"/>
    </row>
    <row r="532" spans="5:5" ht="17.25" customHeight="1">
      <c r="E532" s="25"/>
    </row>
    <row r="533" spans="5:5" ht="17.25" customHeight="1">
      <c r="E533" s="25"/>
    </row>
    <row r="534" spans="5:5" ht="17.25" customHeight="1">
      <c r="E534" s="25"/>
    </row>
    <row r="535" spans="5:5" ht="17.25" customHeight="1">
      <c r="E535" s="25"/>
    </row>
    <row r="536" spans="5:5" ht="17.25" customHeight="1">
      <c r="E536" s="25"/>
    </row>
    <row r="537" spans="5:5" ht="17.25" customHeight="1">
      <c r="E537" s="25"/>
    </row>
    <row r="538" spans="5:5" ht="17.25" customHeight="1">
      <c r="E538" s="25"/>
    </row>
    <row r="539" spans="5:5" ht="17.25" customHeight="1">
      <c r="E539" s="25"/>
    </row>
    <row r="540" spans="5:5" ht="17.25" customHeight="1">
      <c r="E540" s="25"/>
    </row>
    <row r="541" spans="5:5" ht="17.25" customHeight="1">
      <c r="E541" s="25"/>
    </row>
    <row r="542" spans="5:5" ht="17.25" customHeight="1">
      <c r="E542" s="25"/>
    </row>
    <row r="543" spans="5:5" ht="17.25" customHeight="1">
      <c r="E543" s="25"/>
    </row>
    <row r="544" spans="5:5" ht="17.25" customHeight="1">
      <c r="E544" s="25"/>
    </row>
    <row r="545" spans="5:5" ht="17.25" customHeight="1">
      <c r="E545" s="25"/>
    </row>
    <row r="546" spans="5:5" ht="17.25" customHeight="1">
      <c r="E546" s="25"/>
    </row>
    <row r="547" spans="5:5" ht="17.25" customHeight="1">
      <c r="E547" s="25"/>
    </row>
    <row r="548" spans="5:5" ht="17.25" customHeight="1">
      <c r="E548" s="25"/>
    </row>
    <row r="549" spans="5:5" ht="17.25" customHeight="1">
      <c r="E549" s="25"/>
    </row>
    <row r="550" spans="5:5" ht="17.25" customHeight="1">
      <c r="E550" s="25"/>
    </row>
    <row r="551" spans="5:5" ht="17.25" customHeight="1">
      <c r="E551" s="25"/>
    </row>
    <row r="552" spans="5:5" ht="17.25" customHeight="1">
      <c r="E552" s="25"/>
    </row>
    <row r="553" spans="5:5" ht="17.25" customHeight="1">
      <c r="E553" s="25"/>
    </row>
    <row r="554" spans="5:5" ht="17.25" customHeight="1">
      <c r="E554" s="25"/>
    </row>
    <row r="555" spans="5:5" ht="17.25" customHeight="1">
      <c r="E555" s="25"/>
    </row>
    <row r="556" spans="5:5" ht="17.25" customHeight="1">
      <c r="E556" s="25"/>
    </row>
    <row r="557" spans="5:5" ht="17.25" customHeight="1">
      <c r="E557" s="25"/>
    </row>
    <row r="558" spans="5:5" ht="17.25" customHeight="1">
      <c r="E558" s="25"/>
    </row>
    <row r="559" spans="5:5" ht="17.25" customHeight="1">
      <c r="E559" s="25"/>
    </row>
    <row r="560" spans="5:5" ht="17.25" customHeight="1">
      <c r="E560" s="25"/>
    </row>
    <row r="561" spans="5:5" ht="17.25" customHeight="1">
      <c r="E561" s="25"/>
    </row>
    <row r="562" spans="5:5" ht="17.25" customHeight="1">
      <c r="E562" s="25"/>
    </row>
    <row r="563" spans="5:5" ht="17.25" customHeight="1">
      <c r="E563" s="25"/>
    </row>
    <row r="564" spans="5:5" ht="17.25" customHeight="1">
      <c r="E564" s="25"/>
    </row>
    <row r="565" spans="5:5" ht="17.25" customHeight="1">
      <c r="E565" s="25"/>
    </row>
    <row r="566" spans="5:5" ht="17.25" customHeight="1">
      <c r="E566" s="25"/>
    </row>
    <row r="567" spans="5:5" ht="17.25" customHeight="1">
      <c r="E567" s="25"/>
    </row>
    <row r="568" spans="5:5" ht="17.25" customHeight="1">
      <c r="E568" s="25"/>
    </row>
    <row r="569" spans="5:5" ht="17.25" customHeight="1">
      <c r="E569" s="25"/>
    </row>
    <row r="570" spans="5:5" ht="17.25" customHeight="1">
      <c r="E570" s="25"/>
    </row>
    <row r="571" spans="5:5" ht="17.25" customHeight="1">
      <c r="E571" s="25"/>
    </row>
    <row r="572" spans="5:5" ht="17.25" customHeight="1">
      <c r="E572" s="25"/>
    </row>
    <row r="573" spans="5:5" ht="17.25" customHeight="1">
      <c r="E573" s="25"/>
    </row>
    <row r="574" spans="5:5" ht="17.25" customHeight="1">
      <c r="E574" s="25"/>
    </row>
    <row r="575" spans="5:5" ht="17.25" customHeight="1">
      <c r="E575" s="25"/>
    </row>
    <row r="576" spans="5:5" ht="17.25" customHeight="1">
      <c r="E576" s="25"/>
    </row>
    <row r="577" spans="5:5" ht="17.25" customHeight="1">
      <c r="E577" s="25"/>
    </row>
    <row r="578" spans="5:5" ht="17.25" customHeight="1">
      <c r="E578" s="25"/>
    </row>
    <row r="579" spans="5:5" ht="17.25" customHeight="1">
      <c r="E579" s="25"/>
    </row>
    <row r="580" spans="5:5" ht="17.25" customHeight="1">
      <c r="E580" s="25"/>
    </row>
    <row r="581" spans="5:5" ht="17.25" customHeight="1">
      <c r="E581" s="25"/>
    </row>
    <row r="582" spans="5:5" ht="17.25" customHeight="1">
      <c r="E582" s="25"/>
    </row>
    <row r="583" spans="5:5" ht="17.25" customHeight="1">
      <c r="E583" s="25"/>
    </row>
    <row r="584" spans="5:5" ht="17.25" customHeight="1">
      <c r="E584" s="25"/>
    </row>
    <row r="585" spans="5:5" ht="17.25" customHeight="1">
      <c r="E585" s="25"/>
    </row>
    <row r="586" spans="5:5" ht="17.25" customHeight="1">
      <c r="E586" s="25"/>
    </row>
    <row r="587" spans="5:5" ht="17.25" customHeight="1">
      <c r="E587" s="25"/>
    </row>
    <row r="588" spans="5:5" ht="17.25" customHeight="1">
      <c r="E588" s="25"/>
    </row>
    <row r="589" spans="5:5" ht="17.25" customHeight="1">
      <c r="E589" s="25"/>
    </row>
    <row r="590" spans="5:5" ht="17.25" customHeight="1">
      <c r="E590" s="25"/>
    </row>
    <row r="591" spans="5:5" ht="17.25" customHeight="1">
      <c r="E591" s="25"/>
    </row>
    <row r="592" spans="5:5" ht="17.25" customHeight="1">
      <c r="E592" s="25"/>
    </row>
    <row r="593" spans="5:5" ht="17.25" customHeight="1">
      <c r="E593" s="25"/>
    </row>
    <row r="594" spans="5:5" ht="17.25" customHeight="1">
      <c r="E594" s="25"/>
    </row>
    <row r="595" spans="5:5" ht="17.25" customHeight="1">
      <c r="E595" s="25"/>
    </row>
    <row r="596" spans="5:5" ht="17.25" customHeight="1">
      <c r="E596" s="25"/>
    </row>
    <row r="597" spans="5:5" ht="17.25" customHeight="1">
      <c r="E597" s="25"/>
    </row>
    <row r="598" spans="5:5" ht="17.25" customHeight="1">
      <c r="E598" s="25"/>
    </row>
    <row r="599" spans="5:5" ht="17.25" customHeight="1">
      <c r="E599" s="25"/>
    </row>
    <row r="600" spans="5:5" ht="17.25" customHeight="1">
      <c r="E600" s="25"/>
    </row>
    <row r="601" spans="5:5" ht="17.25" customHeight="1">
      <c r="E601" s="25"/>
    </row>
    <row r="602" spans="5:5" ht="17.25" customHeight="1">
      <c r="E602" s="25"/>
    </row>
    <row r="603" spans="5:5" ht="17.25" customHeight="1">
      <c r="E603" s="25"/>
    </row>
    <row r="604" spans="5:5" ht="17.25" customHeight="1">
      <c r="E604" s="25"/>
    </row>
    <row r="605" spans="5:5" ht="17.25" customHeight="1">
      <c r="E605" s="25"/>
    </row>
    <row r="606" spans="5:5" ht="17.25" customHeight="1">
      <c r="E606" s="25"/>
    </row>
    <row r="607" spans="5:5" ht="17.25" customHeight="1">
      <c r="E607" s="25"/>
    </row>
    <row r="608" spans="5:5" ht="17.25" customHeight="1">
      <c r="E608" s="25"/>
    </row>
    <row r="609" spans="5:5" ht="17.25" customHeight="1">
      <c r="E609" s="25"/>
    </row>
    <row r="610" spans="5:5" ht="17.25" customHeight="1">
      <c r="E610" s="25"/>
    </row>
    <row r="611" spans="5:5" ht="17.25" customHeight="1">
      <c r="E611" s="25"/>
    </row>
    <row r="612" spans="5:5" ht="17.25" customHeight="1">
      <c r="E612" s="25"/>
    </row>
    <row r="613" spans="5:5" ht="17.25" customHeight="1">
      <c r="E613" s="25"/>
    </row>
    <row r="614" spans="5:5" ht="17.25" customHeight="1">
      <c r="E614" s="25"/>
    </row>
    <row r="615" spans="5:5" ht="17.25" customHeight="1">
      <c r="E615" s="25"/>
    </row>
    <row r="616" spans="5:5" ht="17.25" customHeight="1">
      <c r="E616" s="25"/>
    </row>
    <row r="617" spans="5:5" ht="17.25" customHeight="1">
      <c r="E617" s="25"/>
    </row>
    <row r="618" spans="5:5" ht="17.25" customHeight="1">
      <c r="E618" s="25"/>
    </row>
    <row r="619" spans="5:5" ht="17.25" customHeight="1">
      <c r="E619" s="25"/>
    </row>
    <row r="620" spans="5:5" ht="17.25" customHeight="1">
      <c r="E620" s="25"/>
    </row>
    <row r="621" spans="5:5" ht="17.25" customHeight="1">
      <c r="E621" s="25"/>
    </row>
    <row r="622" spans="5:5" ht="17.25" customHeight="1">
      <c r="E622" s="25"/>
    </row>
    <row r="623" spans="5:5" ht="17.25" customHeight="1">
      <c r="E623" s="25"/>
    </row>
    <row r="624" spans="5:5" ht="17.25" customHeight="1">
      <c r="E624" s="25"/>
    </row>
    <row r="625" spans="5:5" ht="17.25" customHeight="1">
      <c r="E625" s="25"/>
    </row>
    <row r="626" spans="5:5" ht="17.25" customHeight="1">
      <c r="E626" s="25"/>
    </row>
    <row r="627" spans="5:5" ht="17.25" customHeight="1">
      <c r="E627" s="25"/>
    </row>
    <row r="628" spans="5:5" ht="17.25" customHeight="1">
      <c r="E628" s="25"/>
    </row>
    <row r="629" spans="5:5" ht="17.25" customHeight="1">
      <c r="E629" s="25"/>
    </row>
    <row r="630" spans="5:5" ht="17.25" customHeight="1">
      <c r="E630" s="25"/>
    </row>
    <row r="631" spans="5:5" ht="17.25" customHeight="1">
      <c r="E631" s="25"/>
    </row>
    <row r="632" spans="5:5" ht="17.25" customHeight="1">
      <c r="E632" s="25"/>
    </row>
    <row r="633" spans="5:5" ht="17.25" customHeight="1">
      <c r="E633" s="25"/>
    </row>
    <row r="634" spans="5:5" ht="17.25" customHeight="1">
      <c r="E634" s="25"/>
    </row>
    <row r="635" spans="5:5" ht="17.25" customHeight="1">
      <c r="E635" s="25"/>
    </row>
    <row r="636" spans="5:5" ht="17.25" customHeight="1">
      <c r="E636" s="25"/>
    </row>
    <row r="637" spans="5:5" ht="17.25" customHeight="1">
      <c r="E637" s="25"/>
    </row>
    <row r="638" spans="5:5" ht="17.25" customHeight="1">
      <c r="E638" s="25"/>
    </row>
    <row r="639" spans="5:5" ht="17.25" customHeight="1">
      <c r="E639" s="25"/>
    </row>
    <row r="640" spans="5:5" ht="17.25" customHeight="1">
      <c r="E640" s="25"/>
    </row>
    <row r="641" spans="5:5" ht="17.25" customHeight="1">
      <c r="E641" s="25"/>
    </row>
    <row r="642" spans="5:5" ht="17.25" customHeight="1">
      <c r="E642" s="25"/>
    </row>
    <row r="643" spans="5:5" ht="17.25" customHeight="1">
      <c r="E643" s="25"/>
    </row>
    <row r="644" spans="5:5" ht="17.25" customHeight="1">
      <c r="E644" s="25"/>
    </row>
    <row r="645" spans="5:5" ht="17.25" customHeight="1">
      <c r="E645" s="25"/>
    </row>
    <row r="646" spans="5:5" ht="17.25" customHeight="1">
      <c r="E646" s="25"/>
    </row>
    <row r="647" spans="5:5" ht="17.25" customHeight="1">
      <c r="E647" s="25"/>
    </row>
    <row r="648" spans="5:5" ht="17.25" customHeight="1">
      <c r="E648" s="25"/>
    </row>
    <row r="649" spans="5:5" ht="17.25" customHeight="1">
      <c r="E649" s="25"/>
    </row>
    <row r="650" spans="5:5" ht="17.25" customHeight="1">
      <c r="E650" s="25"/>
    </row>
    <row r="651" spans="5:5" ht="17.25" customHeight="1">
      <c r="E651" s="25"/>
    </row>
    <row r="652" spans="5:5" ht="17.25" customHeight="1">
      <c r="E652" s="25"/>
    </row>
    <row r="653" spans="5:5" ht="17.25" customHeight="1">
      <c r="E653" s="25"/>
    </row>
    <row r="654" spans="5:5" ht="17.25" customHeight="1">
      <c r="E654" s="25"/>
    </row>
    <row r="655" spans="5:5" ht="17.25" customHeight="1">
      <c r="E655" s="25"/>
    </row>
    <row r="656" spans="5:5" ht="17.25" customHeight="1">
      <c r="E656" s="25"/>
    </row>
    <row r="657" spans="5:5" ht="17.25" customHeight="1">
      <c r="E657" s="25"/>
    </row>
    <row r="658" spans="5:5" ht="17.25" customHeight="1">
      <c r="E658" s="25"/>
    </row>
    <row r="659" spans="5:5" ht="17.25" customHeight="1">
      <c r="E659" s="25"/>
    </row>
    <row r="660" spans="5:5" ht="17.25" customHeight="1">
      <c r="E660" s="25"/>
    </row>
    <row r="661" spans="5:5" ht="17.25" customHeight="1">
      <c r="E661" s="25"/>
    </row>
    <row r="662" spans="5:5" ht="17.25" customHeight="1">
      <c r="E662" s="25"/>
    </row>
    <row r="663" spans="5:5" ht="17.25" customHeight="1">
      <c r="E663" s="25"/>
    </row>
    <row r="664" spans="5:5" ht="17.25" customHeight="1">
      <c r="E664" s="25"/>
    </row>
    <row r="665" spans="5:5" ht="17.25" customHeight="1">
      <c r="E665" s="25"/>
    </row>
    <row r="666" spans="5:5" ht="17.25" customHeight="1">
      <c r="E666" s="25"/>
    </row>
    <row r="667" spans="5:5" ht="17.25" customHeight="1">
      <c r="E667" s="25"/>
    </row>
    <row r="668" spans="5:5" ht="17.25" customHeight="1">
      <c r="E668" s="25"/>
    </row>
    <row r="669" spans="5:5" ht="17.25" customHeight="1">
      <c r="E669" s="25"/>
    </row>
    <row r="670" spans="5:5" ht="17.25" customHeight="1">
      <c r="E670" s="25"/>
    </row>
    <row r="671" spans="5:5" ht="17.25" customHeight="1">
      <c r="E671" s="25"/>
    </row>
    <row r="672" spans="5:5" ht="17.25" customHeight="1">
      <c r="E672" s="25"/>
    </row>
    <row r="673" spans="5:5" ht="17.25" customHeight="1">
      <c r="E673" s="25"/>
    </row>
    <row r="674" spans="5:5" ht="17.25" customHeight="1">
      <c r="E674" s="25"/>
    </row>
    <row r="675" spans="5:5" ht="17.25" customHeight="1">
      <c r="E675" s="25"/>
    </row>
    <row r="676" spans="5:5" ht="17.25" customHeight="1">
      <c r="E676" s="25"/>
    </row>
    <row r="677" spans="5:5" ht="17.25" customHeight="1">
      <c r="E677" s="25"/>
    </row>
    <row r="678" spans="5:5" ht="17.25" customHeight="1">
      <c r="E678" s="25"/>
    </row>
    <row r="679" spans="5:5" ht="17.25" customHeight="1">
      <c r="E679" s="25"/>
    </row>
    <row r="680" spans="5:5" ht="17.25" customHeight="1">
      <c r="E680" s="25"/>
    </row>
    <row r="681" spans="5:5" ht="17.25" customHeight="1">
      <c r="E681" s="25"/>
    </row>
    <row r="682" spans="5:5" ht="17.25" customHeight="1">
      <c r="E682" s="25"/>
    </row>
    <row r="683" spans="5:5" ht="17.25" customHeight="1">
      <c r="E683" s="25"/>
    </row>
    <row r="684" spans="5:5" ht="17.25" customHeight="1">
      <c r="E684" s="25"/>
    </row>
    <row r="685" spans="5:5" ht="17.25" customHeight="1">
      <c r="E685" s="25"/>
    </row>
    <row r="686" spans="5:5" ht="17.25" customHeight="1">
      <c r="E686" s="25"/>
    </row>
    <row r="687" spans="5:5" ht="17.25" customHeight="1">
      <c r="E687" s="25"/>
    </row>
    <row r="688" spans="5:5" ht="17.25" customHeight="1">
      <c r="E688" s="25"/>
    </row>
    <row r="689" spans="5:5" ht="17.25" customHeight="1">
      <c r="E689" s="25"/>
    </row>
    <row r="690" spans="5:5" ht="17.25" customHeight="1">
      <c r="E690" s="25"/>
    </row>
    <row r="691" spans="5:5" ht="17.25" customHeight="1">
      <c r="E691" s="25"/>
    </row>
    <row r="692" spans="5:5" ht="17.25" customHeight="1">
      <c r="E692" s="25"/>
    </row>
    <row r="693" spans="5:5" ht="17.25" customHeight="1">
      <c r="E693" s="25"/>
    </row>
    <row r="694" spans="5:5" ht="17.25" customHeight="1">
      <c r="E694" s="25"/>
    </row>
    <row r="695" spans="5:5" ht="17.25" customHeight="1">
      <c r="E695" s="25"/>
    </row>
    <row r="696" spans="5:5" ht="17.25" customHeight="1">
      <c r="E696" s="25"/>
    </row>
    <row r="697" spans="5:5" ht="17.25" customHeight="1">
      <c r="E697" s="25"/>
    </row>
    <row r="698" spans="5:5" ht="17.25" customHeight="1">
      <c r="E698" s="25"/>
    </row>
    <row r="699" spans="5:5" ht="17.25" customHeight="1">
      <c r="E699" s="25"/>
    </row>
    <row r="700" spans="5:5" ht="17.25" customHeight="1">
      <c r="E700" s="25"/>
    </row>
    <row r="701" spans="5:5" ht="17.25" customHeight="1">
      <c r="E701" s="25"/>
    </row>
    <row r="702" spans="5:5" ht="17.25" customHeight="1">
      <c r="E702" s="25"/>
    </row>
    <row r="703" spans="5:5" ht="17.25" customHeight="1">
      <c r="E703" s="25"/>
    </row>
    <row r="704" spans="5:5" ht="17.25" customHeight="1">
      <c r="E704" s="25"/>
    </row>
    <row r="705" spans="5:5" ht="17.25" customHeight="1">
      <c r="E705" s="25"/>
    </row>
    <row r="706" spans="5:5" ht="17.25" customHeight="1">
      <c r="E706" s="25"/>
    </row>
    <row r="707" spans="5:5" ht="17.25" customHeight="1">
      <c r="E707" s="25"/>
    </row>
    <row r="708" spans="5:5" ht="17.25" customHeight="1">
      <c r="E708" s="25"/>
    </row>
    <row r="709" spans="5:5" ht="17.25" customHeight="1">
      <c r="E709" s="25"/>
    </row>
    <row r="710" spans="5:5" ht="17.25" customHeight="1">
      <c r="E710" s="25"/>
    </row>
    <row r="711" spans="5:5" ht="17.25" customHeight="1">
      <c r="E711" s="25"/>
    </row>
    <row r="712" spans="5:5" ht="17.25" customHeight="1">
      <c r="E712" s="25"/>
    </row>
    <row r="713" spans="5:5" ht="17.25" customHeight="1">
      <c r="E713" s="25"/>
    </row>
    <row r="714" spans="5:5" ht="17.25" customHeight="1">
      <c r="E714" s="25"/>
    </row>
    <row r="715" spans="5:5" ht="17.25" customHeight="1">
      <c r="E715" s="25"/>
    </row>
    <row r="716" spans="5:5" ht="17.25" customHeight="1">
      <c r="E716" s="25"/>
    </row>
    <row r="717" spans="5:5" ht="17.25" customHeight="1">
      <c r="E717" s="25"/>
    </row>
    <row r="718" spans="5:5" ht="17.25" customHeight="1">
      <c r="E718" s="25"/>
    </row>
    <row r="719" spans="5:5" ht="17.25" customHeight="1">
      <c r="E719" s="25"/>
    </row>
    <row r="720" spans="5:5" ht="17.25" customHeight="1">
      <c r="E720" s="25"/>
    </row>
    <row r="721" spans="5:5" ht="17.25" customHeight="1">
      <c r="E721" s="25"/>
    </row>
    <row r="722" spans="5:5" ht="17.25" customHeight="1">
      <c r="E722" s="25"/>
    </row>
    <row r="723" spans="5:5" ht="17.25" customHeight="1">
      <c r="E723" s="25"/>
    </row>
    <row r="724" spans="5:5" ht="17.25" customHeight="1">
      <c r="E724" s="25"/>
    </row>
    <row r="725" spans="5:5" ht="17.25" customHeight="1">
      <c r="E725" s="25"/>
    </row>
    <row r="726" spans="5:5" ht="17.25" customHeight="1">
      <c r="E726" s="25"/>
    </row>
    <row r="727" spans="5:5" ht="17.25" customHeight="1">
      <c r="E727" s="25"/>
    </row>
    <row r="728" spans="5:5" ht="17.25" customHeight="1">
      <c r="E728" s="25"/>
    </row>
    <row r="729" spans="5:5" ht="17.25" customHeight="1">
      <c r="E729" s="25"/>
    </row>
    <row r="730" spans="5:5" ht="17.25" customHeight="1">
      <c r="E730" s="25"/>
    </row>
    <row r="731" spans="5:5" ht="17.25" customHeight="1">
      <c r="E731" s="25"/>
    </row>
    <row r="732" spans="5:5" ht="17.25" customHeight="1">
      <c r="E732" s="25"/>
    </row>
    <row r="733" spans="5:5" ht="17.25" customHeight="1">
      <c r="E733" s="25"/>
    </row>
    <row r="734" spans="5:5" ht="17.25" customHeight="1">
      <c r="E734" s="25"/>
    </row>
    <row r="735" spans="5:5" ht="17.25" customHeight="1">
      <c r="E735" s="25"/>
    </row>
    <row r="736" spans="5:5" ht="17.25" customHeight="1">
      <c r="E736" s="25"/>
    </row>
    <row r="737" spans="5:5" ht="17.25" customHeight="1">
      <c r="E737" s="25"/>
    </row>
    <row r="738" spans="5:5" ht="17.25" customHeight="1">
      <c r="E738" s="25"/>
    </row>
    <row r="739" spans="5:5" ht="17.25" customHeight="1">
      <c r="E739" s="25"/>
    </row>
    <row r="740" spans="5:5" ht="17.25" customHeight="1">
      <c r="E740" s="25"/>
    </row>
    <row r="741" spans="5:5" ht="17.25" customHeight="1">
      <c r="E741" s="25"/>
    </row>
    <row r="742" spans="5:5" ht="17.25" customHeight="1">
      <c r="E742" s="25"/>
    </row>
    <row r="743" spans="5:5" ht="17.25" customHeight="1">
      <c r="E743" s="25"/>
    </row>
    <row r="744" spans="5:5" ht="17.25" customHeight="1">
      <c r="E744" s="25"/>
    </row>
    <row r="745" spans="5:5" ht="17.25" customHeight="1">
      <c r="E745" s="25"/>
    </row>
    <row r="746" spans="5:5" ht="17.25" customHeight="1">
      <c r="E746" s="25"/>
    </row>
    <row r="747" spans="5:5" ht="17.25" customHeight="1">
      <c r="E747" s="25"/>
    </row>
    <row r="748" spans="5:5" ht="17.25" customHeight="1">
      <c r="E748" s="25"/>
    </row>
    <row r="749" spans="5:5" ht="17.25" customHeight="1">
      <c r="E749" s="25"/>
    </row>
    <row r="750" spans="5:5" ht="17.25" customHeight="1">
      <c r="E750" s="25"/>
    </row>
    <row r="751" spans="5:5" ht="17.25" customHeight="1">
      <c r="E751" s="25"/>
    </row>
    <row r="752" spans="5:5" ht="17.25" customHeight="1">
      <c r="E752" s="25"/>
    </row>
    <row r="753" spans="5:5" ht="17.25" customHeight="1">
      <c r="E753" s="25"/>
    </row>
    <row r="754" spans="5:5" ht="17.25" customHeight="1">
      <c r="E754" s="25"/>
    </row>
    <row r="755" spans="5:5" ht="17.25" customHeight="1">
      <c r="E755" s="25"/>
    </row>
    <row r="756" spans="5:5" ht="17.25" customHeight="1">
      <c r="E756" s="25"/>
    </row>
    <row r="757" spans="5:5" ht="17.25" customHeight="1">
      <c r="E757" s="25"/>
    </row>
    <row r="758" spans="5:5" ht="17.25" customHeight="1">
      <c r="E758" s="25"/>
    </row>
    <row r="759" spans="5:5" ht="17.25" customHeight="1">
      <c r="E759" s="25"/>
    </row>
    <row r="760" spans="5:5" ht="17.25" customHeight="1">
      <c r="E760" s="25"/>
    </row>
    <row r="761" spans="5:5" ht="17.25" customHeight="1">
      <c r="E761" s="25"/>
    </row>
    <row r="762" spans="5:5" ht="17.25" customHeight="1">
      <c r="E762" s="25"/>
    </row>
    <row r="763" spans="5:5" ht="17.25" customHeight="1">
      <c r="E763" s="25"/>
    </row>
    <row r="764" spans="5:5" ht="17.25" customHeight="1">
      <c r="E764" s="25"/>
    </row>
    <row r="765" spans="5:5" ht="17.25" customHeight="1">
      <c r="E765" s="25"/>
    </row>
    <row r="766" spans="5:5" ht="17.25" customHeight="1">
      <c r="E766" s="25"/>
    </row>
    <row r="767" spans="5:5" ht="17.25" customHeight="1">
      <c r="E767" s="25"/>
    </row>
    <row r="768" spans="5:5" ht="17.25" customHeight="1">
      <c r="E768" s="25"/>
    </row>
    <row r="769" spans="5:5" ht="17.25" customHeight="1">
      <c r="E769" s="25"/>
    </row>
    <row r="770" spans="5:5" ht="17.25" customHeight="1">
      <c r="E770" s="25"/>
    </row>
    <row r="771" spans="5:5" ht="17.25" customHeight="1">
      <c r="E771" s="25"/>
    </row>
    <row r="772" spans="5:5" ht="17.25" customHeight="1">
      <c r="E772" s="25"/>
    </row>
    <row r="773" spans="5:5" ht="17.25" customHeight="1">
      <c r="E773" s="25"/>
    </row>
    <row r="774" spans="5:5" ht="17.25" customHeight="1">
      <c r="E774" s="25"/>
    </row>
    <row r="775" spans="5:5" ht="17.25" customHeight="1">
      <c r="E775" s="25"/>
    </row>
    <row r="776" spans="5:5" ht="17.25" customHeight="1">
      <c r="E776" s="25"/>
    </row>
    <row r="777" spans="5:5" ht="17.25" customHeight="1">
      <c r="E777" s="25"/>
    </row>
    <row r="778" spans="5:5" ht="17.25" customHeight="1">
      <c r="E778" s="25"/>
    </row>
    <row r="779" spans="5:5" ht="17.25" customHeight="1">
      <c r="E779" s="25"/>
    </row>
    <row r="780" spans="5:5" ht="17.25" customHeight="1">
      <c r="E780" s="25"/>
    </row>
    <row r="781" spans="5:5" ht="17.25" customHeight="1">
      <c r="E781" s="25"/>
    </row>
    <row r="782" spans="5:5" ht="17.25" customHeight="1">
      <c r="E782" s="25"/>
    </row>
    <row r="783" spans="5:5" ht="17.25" customHeight="1">
      <c r="E783" s="25"/>
    </row>
    <row r="784" spans="5:5" ht="17.25" customHeight="1">
      <c r="E784" s="25"/>
    </row>
    <row r="785" spans="5:5" ht="17.25" customHeight="1">
      <c r="E785" s="25"/>
    </row>
    <row r="786" spans="5:5" ht="17.25" customHeight="1">
      <c r="E786" s="25"/>
    </row>
    <row r="787" spans="5:5" ht="17.25" customHeight="1">
      <c r="E787" s="25"/>
    </row>
    <row r="788" spans="5:5" ht="17.25" customHeight="1">
      <c r="E788" s="25"/>
    </row>
    <row r="789" spans="5:5" ht="17.25" customHeight="1">
      <c r="E789" s="25"/>
    </row>
    <row r="790" spans="5:5" ht="17.25" customHeight="1">
      <c r="E790" s="25"/>
    </row>
    <row r="791" spans="5:5" ht="17.25" customHeight="1">
      <c r="E791" s="25"/>
    </row>
    <row r="792" spans="5:5" ht="17.25" customHeight="1">
      <c r="E792" s="25"/>
    </row>
    <row r="793" spans="5:5" ht="17.25" customHeight="1">
      <c r="E793" s="25"/>
    </row>
    <row r="794" spans="5:5" ht="17.25" customHeight="1">
      <c r="E794" s="25"/>
    </row>
    <row r="795" spans="5:5" ht="17.25" customHeight="1">
      <c r="E795" s="25"/>
    </row>
    <row r="796" spans="5:5" ht="17.25" customHeight="1">
      <c r="E796" s="25"/>
    </row>
    <row r="797" spans="5:5" ht="17.25" customHeight="1">
      <c r="E797" s="25"/>
    </row>
    <row r="798" spans="5:5" ht="17.25" customHeight="1">
      <c r="E798" s="25"/>
    </row>
    <row r="799" spans="5:5" ht="17.25" customHeight="1">
      <c r="E799" s="25"/>
    </row>
    <row r="800" spans="5:5" ht="17.25" customHeight="1">
      <c r="E800" s="25"/>
    </row>
    <row r="801" spans="5:5" ht="17.25" customHeight="1">
      <c r="E801" s="25"/>
    </row>
    <row r="802" spans="5:5" ht="17.25" customHeight="1">
      <c r="E802" s="25"/>
    </row>
    <row r="803" spans="5:5" ht="17.25" customHeight="1">
      <c r="E803" s="25"/>
    </row>
    <row r="804" spans="5:5" ht="17.25" customHeight="1">
      <c r="E804" s="25"/>
    </row>
    <row r="805" spans="5:5" ht="17.25" customHeight="1">
      <c r="E805" s="25"/>
    </row>
    <row r="806" spans="5:5" ht="17.25" customHeight="1">
      <c r="E806" s="25"/>
    </row>
    <row r="807" spans="5:5" ht="17.25" customHeight="1">
      <c r="E807" s="25"/>
    </row>
    <row r="808" spans="5:5" ht="17.25" customHeight="1">
      <c r="E808" s="25"/>
    </row>
    <row r="809" spans="5:5" ht="17.25" customHeight="1">
      <c r="E809" s="25"/>
    </row>
    <row r="810" spans="5:5" ht="17.25" customHeight="1">
      <c r="E810" s="25"/>
    </row>
    <row r="811" spans="5:5" ht="17.25" customHeight="1">
      <c r="E811" s="25"/>
    </row>
    <row r="812" spans="5:5" ht="17.25" customHeight="1">
      <c r="E812" s="25"/>
    </row>
    <row r="813" spans="5:5" ht="17.25" customHeight="1">
      <c r="E813" s="25"/>
    </row>
    <row r="814" spans="5:5" ht="17.25" customHeight="1">
      <c r="E814" s="25"/>
    </row>
    <row r="815" spans="5:5" ht="17.25" customHeight="1">
      <c r="E815" s="25"/>
    </row>
    <row r="816" spans="5:5" ht="17.25" customHeight="1">
      <c r="E816" s="25"/>
    </row>
    <row r="817" spans="5:5" ht="17.25" customHeight="1">
      <c r="E817" s="25"/>
    </row>
    <row r="818" spans="5:5" ht="17.25" customHeight="1">
      <c r="E818" s="25"/>
    </row>
    <row r="819" spans="5:5" ht="17.25" customHeight="1">
      <c r="E819" s="25"/>
    </row>
    <row r="820" spans="5:5" ht="17.25" customHeight="1">
      <c r="E820" s="25"/>
    </row>
    <row r="821" spans="5:5" ht="17.25" customHeight="1">
      <c r="E821" s="25"/>
    </row>
    <row r="822" spans="5:5" ht="17.25" customHeight="1">
      <c r="E822" s="25"/>
    </row>
    <row r="823" spans="5:5" ht="17.25" customHeight="1">
      <c r="E823" s="25"/>
    </row>
    <row r="824" spans="5:5" ht="17.25" customHeight="1">
      <c r="E824" s="25"/>
    </row>
    <row r="825" spans="5:5" ht="17.25" customHeight="1">
      <c r="E825" s="25"/>
    </row>
    <row r="826" spans="5:5" ht="17.25" customHeight="1">
      <c r="E826" s="25"/>
    </row>
    <row r="827" spans="5:5" ht="17.25" customHeight="1">
      <c r="E827" s="25"/>
    </row>
    <row r="828" spans="5:5" ht="17.25" customHeight="1">
      <c r="E828" s="25"/>
    </row>
    <row r="829" spans="5:5" ht="17.25" customHeight="1">
      <c r="E829" s="25"/>
    </row>
    <row r="830" spans="5:5" ht="17.25" customHeight="1">
      <c r="E830" s="25"/>
    </row>
    <row r="831" spans="5:5" ht="17.25" customHeight="1">
      <c r="E831" s="25"/>
    </row>
    <row r="832" spans="5:5" ht="17.25" customHeight="1">
      <c r="E832" s="25"/>
    </row>
    <row r="833" spans="5:5" ht="17.25" customHeight="1">
      <c r="E833" s="25"/>
    </row>
    <row r="834" spans="5:5" ht="17.25" customHeight="1">
      <c r="E834" s="25"/>
    </row>
    <row r="835" spans="5:5" ht="17.25" customHeight="1">
      <c r="E835" s="25"/>
    </row>
    <row r="836" spans="5:5" ht="17.25" customHeight="1">
      <c r="E836" s="25"/>
    </row>
    <row r="837" spans="5:5" ht="17.25" customHeight="1">
      <c r="E837" s="25"/>
    </row>
    <row r="838" spans="5:5" ht="17.25" customHeight="1">
      <c r="E838" s="25"/>
    </row>
    <row r="839" spans="5:5" ht="17.25" customHeight="1">
      <c r="E839" s="25"/>
    </row>
    <row r="840" spans="5:5" ht="17.25" customHeight="1">
      <c r="E840" s="25"/>
    </row>
    <row r="841" spans="5:5" ht="17.25" customHeight="1">
      <c r="E841" s="25"/>
    </row>
    <row r="842" spans="5:5" ht="17.25" customHeight="1">
      <c r="E842" s="25"/>
    </row>
    <row r="843" spans="5:5" ht="17.25" customHeight="1">
      <c r="E843" s="25"/>
    </row>
    <row r="844" spans="5:5" ht="17.25" customHeight="1">
      <c r="E844" s="25"/>
    </row>
    <row r="845" spans="5:5" ht="17.25" customHeight="1">
      <c r="E845" s="25"/>
    </row>
    <row r="846" spans="5:5" ht="17.25" customHeight="1">
      <c r="E846" s="25"/>
    </row>
    <row r="847" spans="5:5" ht="17.25" customHeight="1">
      <c r="E847" s="25"/>
    </row>
    <row r="848" spans="5:5" ht="17.25" customHeight="1">
      <c r="E848" s="25"/>
    </row>
    <row r="849" spans="5:5" ht="17.25" customHeight="1">
      <c r="E849" s="25"/>
    </row>
    <row r="850" spans="5:5" ht="17.25" customHeight="1">
      <c r="E850" s="25"/>
    </row>
    <row r="851" spans="5:5" ht="17.25" customHeight="1">
      <c r="E851" s="25"/>
    </row>
    <row r="852" spans="5:5" ht="17.25" customHeight="1">
      <c r="E852" s="25"/>
    </row>
    <row r="853" spans="5:5" ht="17.25" customHeight="1">
      <c r="E853" s="25"/>
    </row>
    <row r="854" spans="5:5" ht="17.25" customHeight="1">
      <c r="E854" s="25"/>
    </row>
    <row r="855" spans="5:5" ht="17.25" customHeight="1">
      <c r="E855" s="25"/>
    </row>
    <row r="856" spans="5:5" ht="17.25" customHeight="1">
      <c r="E856" s="25"/>
    </row>
    <row r="857" spans="5:5" ht="17.25" customHeight="1">
      <c r="E857" s="25"/>
    </row>
    <row r="858" spans="5:5" ht="17.25" customHeight="1">
      <c r="E858" s="25"/>
    </row>
    <row r="859" spans="5:5" ht="17.25" customHeight="1">
      <c r="E859" s="25"/>
    </row>
    <row r="860" spans="5:5" ht="17.25" customHeight="1">
      <c r="E860" s="25"/>
    </row>
    <row r="861" spans="5:5" ht="17.25" customHeight="1">
      <c r="E861" s="25"/>
    </row>
    <row r="862" spans="5:5" ht="17.25" customHeight="1">
      <c r="E862" s="25"/>
    </row>
    <row r="863" spans="5:5" ht="17.25" customHeight="1">
      <c r="E863" s="25"/>
    </row>
    <row r="864" spans="5:5" ht="17.25" customHeight="1">
      <c r="E864" s="25"/>
    </row>
    <row r="865" spans="5:5" ht="17.25" customHeight="1">
      <c r="E865" s="25"/>
    </row>
    <row r="866" spans="5:5" ht="17.25" customHeight="1">
      <c r="E866" s="25"/>
    </row>
    <row r="867" spans="5:5" ht="17.25" customHeight="1">
      <c r="E867" s="25"/>
    </row>
    <row r="868" spans="5:5" ht="17.25" customHeight="1">
      <c r="E868" s="25"/>
    </row>
    <row r="869" spans="5:5" ht="17.25" customHeight="1">
      <c r="E869" s="25"/>
    </row>
    <row r="870" spans="5:5" ht="17.25" customHeight="1">
      <c r="E870" s="25"/>
    </row>
    <row r="871" spans="5:5" ht="17.25" customHeight="1">
      <c r="E871" s="25"/>
    </row>
    <row r="872" spans="5:5" ht="17.25" customHeight="1">
      <c r="E872" s="25"/>
    </row>
    <row r="873" spans="5:5" ht="17.25" customHeight="1">
      <c r="E873" s="25"/>
    </row>
    <row r="874" spans="5:5" ht="17.25" customHeight="1">
      <c r="E874" s="25"/>
    </row>
    <row r="875" spans="5:5" ht="17.25" customHeight="1">
      <c r="E875" s="25"/>
    </row>
    <row r="876" spans="5:5" ht="17.25" customHeight="1">
      <c r="E876" s="25"/>
    </row>
    <row r="877" spans="5:5" ht="17.25" customHeight="1">
      <c r="E877" s="25"/>
    </row>
    <row r="878" spans="5:5" ht="17.25" customHeight="1">
      <c r="E878" s="25"/>
    </row>
    <row r="879" spans="5:5" ht="17.25" customHeight="1">
      <c r="E879" s="25"/>
    </row>
    <row r="880" spans="5:5" ht="17.25" customHeight="1">
      <c r="E880" s="25"/>
    </row>
    <row r="881" spans="5:5" ht="17.25" customHeight="1">
      <c r="E881" s="25"/>
    </row>
    <row r="882" spans="5:5" ht="17.25" customHeight="1">
      <c r="E882" s="25"/>
    </row>
    <row r="883" spans="5:5" ht="17.25" customHeight="1">
      <c r="E883" s="25"/>
    </row>
    <row r="884" spans="5:5" ht="17.25" customHeight="1">
      <c r="E884" s="25"/>
    </row>
    <row r="885" spans="5:5" ht="17.25" customHeight="1">
      <c r="E885" s="25"/>
    </row>
    <row r="886" spans="5:5" ht="17.25" customHeight="1">
      <c r="E886" s="25"/>
    </row>
    <row r="887" spans="5:5" ht="17.25" customHeight="1">
      <c r="E887" s="25"/>
    </row>
    <row r="888" spans="5:5" ht="17.25" customHeight="1">
      <c r="E888" s="25"/>
    </row>
    <row r="889" spans="5:5" ht="17.25" customHeight="1">
      <c r="E889" s="25"/>
    </row>
    <row r="890" spans="5:5" ht="17.25" customHeight="1">
      <c r="E890" s="25"/>
    </row>
    <row r="891" spans="5:5" ht="17.25" customHeight="1">
      <c r="E891" s="25"/>
    </row>
    <row r="892" spans="5:5" ht="17.25" customHeight="1">
      <c r="E892" s="25"/>
    </row>
    <row r="893" spans="5:5" ht="17.25" customHeight="1">
      <c r="E893" s="25"/>
    </row>
    <row r="894" spans="5:5" ht="17.25" customHeight="1">
      <c r="E894" s="25"/>
    </row>
    <row r="895" spans="5:5" ht="17.25" customHeight="1">
      <c r="E895" s="25"/>
    </row>
    <row r="896" spans="5:5" ht="17.25" customHeight="1">
      <c r="E896" s="25"/>
    </row>
    <row r="897" spans="5:5" ht="17.25" customHeight="1">
      <c r="E897" s="25"/>
    </row>
    <row r="898" spans="5:5" ht="17.25" customHeight="1">
      <c r="E898" s="25"/>
    </row>
    <row r="899" spans="5:5" ht="17.25" customHeight="1">
      <c r="E899" s="25"/>
    </row>
    <row r="900" spans="5:5" ht="17.25" customHeight="1">
      <c r="E900" s="25"/>
    </row>
    <row r="901" spans="5:5" ht="17.25" customHeight="1">
      <c r="E901" s="25"/>
    </row>
    <row r="902" spans="5:5" ht="17.25" customHeight="1">
      <c r="E902" s="25"/>
    </row>
    <row r="903" spans="5:5" ht="17.25" customHeight="1">
      <c r="E903" s="25"/>
    </row>
    <row r="904" spans="5:5" ht="17.25" customHeight="1">
      <c r="E904" s="25"/>
    </row>
    <row r="905" spans="5:5" ht="17.25" customHeight="1">
      <c r="E905" s="25"/>
    </row>
    <row r="906" spans="5:5" ht="17.25" customHeight="1">
      <c r="E906" s="25"/>
    </row>
    <row r="907" spans="5:5" ht="17.25" customHeight="1">
      <c r="E907" s="25"/>
    </row>
    <row r="908" spans="5:5" ht="17.25" customHeight="1">
      <c r="E908" s="25"/>
    </row>
    <row r="909" spans="5:5" ht="17.25" customHeight="1">
      <c r="E909" s="25"/>
    </row>
    <row r="910" spans="5:5" ht="17.25" customHeight="1">
      <c r="E910" s="25"/>
    </row>
    <row r="911" spans="5:5" ht="17.25" customHeight="1">
      <c r="E911" s="25"/>
    </row>
    <row r="912" spans="5:5" ht="17.25" customHeight="1">
      <c r="E912" s="25"/>
    </row>
    <row r="913" spans="5:5" ht="17.25" customHeight="1">
      <c r="E913" s="25"/>
    </row>
    <row r="914" spans="5:5" ht="17.25" customHeight="1">
      <c r="E914" s="25"/>
    </row>
    <row r="915" spans="5:5" ht="17.25" customHeight="1">
      <c r="E915" s="25"/>
    </row>
    <row r="916" spans="5:5" ht="17.25" customHeight="1">
      <c r="E916" s="25"/>
    </row>
    <row r="917" spans="5:5" ht="17.25" customHeight="1">
      <c r="E917" s="25"/>
    </row>
    <row r="918" spans="5:5" ht="17.25" customHeight="1">
      <c r="E918" s="25"/>
    </row>
    <row r="919" spans="5:5" ht="17.25" customHeight="1">
      <c r="E919" s="25"/>
    </row>
    <row r="920" spans="5:5" ht="17.25" customHeight="1">
      <c r="E920" s="25"/>
    </row>
    <row r="921" spans="5:5" ht="17.25" customHeight="1">
      <c r="E921" s="25"/>
    </row>
    <row r="922" spans="5:5" ht="17.25" customHeight="1">
      <c r="E922" s="25"/>
    </row>
    <row r="923" spans="5:5" ht="17.25" customHeight="1">
      <c r="E923" s="25"/>
    </row>
    <row r="924" spans="5:5" ht="17.25" customHeight="1">
      <c r="E924" s="25"/>
    </row>
    <row r="925" spans="5:5" ht="17.25" customHeight="1">
      <c r="E925" s="25"/>
    </row>
    <row r="926" spans="5:5" ht="17.25" customHeight="1">
      <c r="E926" s="25"/>
    </row>
    <row r="927" spans="5:5" ht="17.25" customHeight="1">
      <c r="E927" s="25"/>
    </row>
    <row r="928" spans="5:5" ht="17.25" customHeight="1">
      <c r="E928" s="25"/>
    </row>
    <row r="929" spans="5:5" ht="17.25" customHeight="1">
      <c r="E929" s="25"/>
    </row>
    <row r="930" spans="5:5" ht="17.25" customHeight="1">
      <c r="E930" s="25"/>
    </row>
    <row r="931" spans="5:5" ht="17.25" customHeight="1">
      <c r="E931" s="25"/>
    </row>
    <row r="932" spans="5:5" ht="17.25" customHeight="1">
      <c r="E932" s="25"/>
    </row>
    <row r="933" spans="5:5" ht="17.25" customHeight="1">
      <c r="E933" s="25"/>
    </row>
    <row r="934" spans="5:5" ht="17.25" customHeight="1">
      <c r="E934" s="25"/>
    </row>
    <row r="935" spans="5:5" ht="17.25" customHeight="1">
      <c r="E935" s="25"/>
    </row>
    <row r="936" spans="5:5" ht="17.25" customHeight="1">
      <c r="E936" s="25"/>
    </row>
    <row r="937" spans="5:5" ht="17.25" customHeight="1">
      <c r="E937" s="25"/>
    </row>
    <row r="938" spans="5:5" ht="17.25" customHeight="1">
      <c r="E938" s="25"/>
    </row>
    <row r="939" spans="5:5" ht="17.25" customHeight="1">
      <c r="E939" s="25"/>
    </row>
    <row r="940" spans="5:5" ht="17.25" customHeight="1">
      <c r="E940" s="25"/>
    </row>
    <row r="941" spans="5:5" ht="17.25" customHeight="1">
      <c r="E941" s="25"/>
    </row>
    <row r="942" spans="5:5" ht="17.25" customHeight="1">
      <c r="E942" s="25"/>
    </row>
    <row r="943" spans="5:5" ht="17.25" customHeight="1">
      <c r="E943" s="25"/>
    </row>
    <row r="944" spans="5:5" ht="17.25" customHeight="1">
      <c r="E944" s="25"/>
    </row>
    <row r="945" spans="5:5" ht="17.25" customHeight="1">
      <c r="E945" s="25"/>
    </row>
    <row r="946" spans="5:5" ht="17.25" customHeight="1">
      <c r="E946" s="25"/>
    </row>
    <row r="947" spans="5:5" ht="17.25" customHeight="1">
      <c r="E947" s="25"/>
    </row>
    <row r="948" spans="5:5" ht="17.25" customHeight="1">
      <c r="E948" s="25"/>
    </row>
    <row r="949" spans="5:5" ht="17.25" customHeight="1">
      <c r="E949" s="25"/>
    </row>
    <row r="950" spans="5:5" ht="17.25" customHeight="1">
      <c r="E950" s="25"/>
    </row>
    <row r="951" spans="5:5" ht="17.25" customHeight="1">
      <c r="E951" s="25"/>
    </row>
    <row r="952" spans="5:5" ht="17.25" customHeight="1">
      <c r="E952" s="25"/>
    </row>
    <row r="953" spans="5:5" ht="17.25" customHeight="1">
      <c r="E953" s="25"/>
    </row>
    <row r="954" spans="5:5" ht="17.25" customHeight="1">
      <c r="E954" s="25"/>
    </row>
    <row r="955" spans="5:5" ht="17.25" customHeight="1">
      <c r="E955" s="25"/>
    </row>
    <row r="956" spans="5:5" ht="17.25" customHeight="1">
      <c r="E956" s="25"/>
    </row>
    <row r="957" spans="5:5" ht="17.25" customHeight="1">
      <c r="E957" s="25"/>
    </row>
    <row r="958" spans="5:5" ht="17.25" customHeight="1">
      <c r="E958" s="25"/>
    </row>
    <row r="959" spans="5:5" ht="17.25" customHeight="1">
      <c r="E959" s="25"/>
    </row>
    <row r="960" spans="5:5" ht="17.25" customHeight="1">
      <c r="E960" s="25"/>
    </row>
    <row r="961" spans="5:5" ht="17.25" customHeight="1">
      <c r="E961" s="25"/>
    </row>
    <row r="962" spans="5:5" ht="17.25" customHeight="1">
      <c r="E962" s="25"/>
    </row>
    <row r="963" spans="5:5" ht="17.25" customHeight="1">
      <c r="E963" s="25"/>
    </row>
    <row r="964" spans="5:5" ht="17.25" customHeight="1">
      <c r="E964" s="25"/>
    </row>
    <row r="965" spans="5:5" ht="17.25" customHeight="1">
      <c r="E965" s="25"/>
    </row>
    <row r="966" spans="5:5" ht="17.25" customHeight="1">
      <c r="E966" s="25"/>
    </row>
    <row r="967" spans="5:5" ht="17.25" customHeight="1">
      <c r="E967" s="25"/>
    </row>
    <row r="968" spans="5:5" ht="17.25" customHeight="1">
      <c r="E968" s="25"/>
    </row>
    <row r="969" spans="5:5" ht="17.25" customHeight="1">
      <c r="E969" s="25"/>
    </row>
    <row r="970" spans="5:5" ht="17.25" customHeight="1">
      <c r="E970" s="25"/>
    </row>
    <row r="971" spans="5:5" ht="17.25" customHeight="1">
      <c r="E971" s="25"/>
    </row>
    <row r="972" spans="5:5" ht="17.25" customHeight="1">
      <c r="E972" s="25"/>
    </row>
    <row r="973" spans="5:5" ht="17.25" customHeight="1">
      <c r="E973" s="25"/>
    </row>
    <row r="974" spans="5:5" ht="17.25" customHeight="1">
      <c r="E974" s="25"/>
    </row>
    <row r="975" spans="5:5" ht="17.25" customHeight="1">
      <c r="E975" s="25"/>
    </row>
    <row r="976" spans="5:5" ht="17.25" customHeight="1">
      <c r="E976" s="25"/>
    </row>
    <row r="977" spans="5:5" ht="17.25" customHeight="1">
      <c r="E977" s="25"/>
    </row>
    <row r="978" spans="5:5" ht="17.25" customHeight="1">
      <c r="E978" s="25"/>
    </row>
    <row r="979" spans="5:5" ht="17.25" customHeight="1">
      <c r="E979" s="25"/>
    </row>
    <row r="980" spans="5:5" ht="17.25" customHeight="1">
      <c r="E980" s="25"/>
    </row>
    <row r="981" spans="5:5" ht="17.25" customHeight="1">
      <c r="E981" s="25"/>
    </row>
    <row r="982" spans="5:5" ht="17.25" customHeight="1">
      <c r="E982" s="25"/>
    </row>
    <row r="983" spans="5:5" ht="17.25" customHeight="1">
      <c r="E983" s="25"/>
    </row>
    <row r="984" spans="5:5" ht="17.25" customHeight="1">
      <c r="E984" s="25"/>
    </row>
    <row r="985" spans="5:5" ht="17.25" customHeight="1">
      <c r="E985" s="25"/>
    </row>
    <row r="986" spans="5:5" ht="17.25" customHeight="1">
      <c r="E986" s="25"/>
    </row>
    <row r="987" spans="5:5" ht="17.25" customHeight="1">
      <c r="E987" s="25"/>
    </row>
    <row r="988" spans="5:5" ht="17.25" customHeight="1">
      <c r="E988" s="25"/>
    </row>
    <row r="989" spans="5:5" ht="17.25" customHeight="1">
      <c r="E989" s="25"/>
    </row>
    <row r="990" spans="5:5" ht="17.25" customHeight="1">
      <c r="E990" s="25"/>
    </row>
    <row r="991" spans="5:5" ht="17.25" customHeight="1">
      <c r="E991" s="25"/>
    </row>
    <row r="992" spans="5:5" ht="17.25" customHeight="1">
      <c r="E992" s="25"/>
    </row>
    <row r="993" spans="5:5" ht="17.25" customHeight="1">
      <c r="E993" s="25"/>
    </row>
    <row r="994" spans="5:5" ht="17.25" customHeight="1">
      <c r="E994" s="25"/>
    </row>
    <row r="995" spans="5:5" ht="17.25" customHeight="1">
      <c r="E995" s="25"/>
    </row>
    <row r="996" spans="5:5" ht="17.25" customHeight="1">
      <c r="E996" s="25"/>
    </row>
    <row r="997" spans="5:5" ht="17.25" customHeight="1">
      <c r="E997" s="25"/>
    </row>
    <row r="998" spans="5:5" ht="17.25" customHeight="1">
      <c r="E998" s="25"/>
    </row>
    <row r="999" spans="5:5" ht="17.25" customHeight="1">
      <c r="E999" s="25"/>
    </row>
    <row r="1000" spans="5:5" ht="17.25" customHeight="1">
      <c r="E1000" s="25"/>
    </row>
  </sheetData>
  <mergeCells count="1">
    <mergeCell ref="C1:H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2600-000000000000}">
          <x14:formula1>
            <xm:f>Space_use_assembly!$A$3:$A$55</xm:f>
          </x14:formula1>
          <xm:sqref>D3</xm:sqref>
        </x14:dataValidation>
        <x14:dataValidation type="list" allowBlank="1" showErrorMessage="1" xr:uid="{00000000-0002-0000-2600-000001000000}">
          <x14:formula1>
            <xm:f>Envelope_assembly!$A$4:$A$91</xm:f>
          </x14:formula1>
          <xm:sqref>C3</xm:sqref>
        </x14:dataValidation>
        <x14:dataValidation type="list" allowBlank="1" showErrorMessage="1" xr:uid="{00000000-0002-0000-2600-000002000000}">
          <x14:formula1>
            <xm:f>Systems_assembly!$A$3:$A$74</xm:f>
          </x14:formula1>
          <xm:sqref>B3</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AEAEAE"/>
  </sheetPr>
  <dimension ref="A1:D1000"/>
  <sheetViews>
    <sheetView workbookViewId="0"/>
  </sheetViews>
  <sheetFormatPr baseColWidth="10" defaultColWidth="11.28515625" defaultRowHeight="15" customHeight="1"/>
  <cols>
    <col min="1" max="1" width="34.42578125" customWidth="1"/>
    <col min="2" max="2" width="24.140625" customWidth="1"/>
    <col min="3" max="3" width="107" customWidth="1"/>
    <col min="4" max="26" width="11.42578125" customWidth="1"/>
  </cols>
  <sheetData>
    <row r="1" spans="1:4" ht="17.25" customHeight="1">
      <c r="A1" s="36" t="s">
        <v>4815</v>
      </c>
      <c r="B1" s="36" t="s">
        <v>4817</v>
      </c>
      <c r="C1" s="36" t="s">
        <v>4816</v>
      </c>
      <c r="D1" s="36" t="s">
        <v>6103</v>
      </c>
    </row>
    <row r="2" spans="1:4" ht="17.25" customHeight="1">
      <c r="A2" s="15" t="s">
        <v>158</v>
      </c>
      <c r="B2" s="15" t="s">
        <v>6104</v>
      </c>
      <c r="C2" s="15" t="s">
        <v>6105</v>
      </c>
      <c r="D2" s="15" t="s">
        <v>6106</v>
      </c>
    </row>
    <row r="3" spans="1:4" ht="17.25" customHeight="1">
      <c r="A3" s="15" t="s">
        <v>154</v>
      </c>
      <c r="B3" s="15" t="s">
        <v>6104</v>
      </c>
      <c r="C3" s="15" t="s">
        <v>6107</v>
      </c>
      <c r="D3" s="15" t="s">
        <v>6106</v>
      </c>
    </row>
    <row r="4" spans="1:4" ht="17.25" customHeight="1">
      <c r="A4" s="15" t="s">
        <v>157</v>
      </c>
      <c r="B4" s="15" t="s">
        <v>6104</v>
      </c>
      <c r="C4" s="15" t="s">
        <v>6108</v>
      </c>
      <c r="D4" s="15" t="s">
        <v>6106</v>
      </c>
    </row>
    <row r="5" spans="1:4" ht="17.25" customHeight="1">
      <c r="A5" s="15" t="s">
        <v>6109</v>
      </c>
      <c r="B5" s="15" t="s">
        <v>6104</v>
      </c>
      <c r="C5" s="15" t="s">
        <v>6110</v>
      </c>
      <c r="D5" s="15" t="s">
        <v>6106</v>
      </c>
    </row>
    <row r="6" spans="1:4" ht="17.25" customHeight="1">
      <c r="A6" s="15" t="s">
        <v>6111</v>
      </c>
      <c r="B6" s="15" t="s">
        <v>6104</v>
      </c>
      <c r="C6" s="15" t="s">
        <v>6112</v>
      </c>
      <c r="D6" s="15" t="s">
        <v>6106</v>
      </c>
    </row>
    <row r="7" spans="1:4" ht="17.25" customHeight="1">
      <c r="A7" s="15" t="s">
        <v>6113</v>
      </c>
      <c r="B7" s="15" t="s">
        <v>6104</v>
      </c>
      <c r="C7" s="15" t="s">
        <v>6114</v>
      </c>
      <c r="D7" s="15" t="s">
        <v>6106</v>
      </c>
    </row>
    <row r="8" spans="1:4" ht="17.25" customHeight="1">
      <c r="A8" s="15" t="s">
        <v>163</v>
      </c>
      <c r="B8" s="15" t="s">
        <v>6104</v>
      </c>
      <c r="C8" s="15" t="s">
        <v>6115</v>
      </c>
      <c r="D8" s="15" t="s">
        <v>6106</v>
      </c>
    </row>
    <row r="9" spans="1:4" ht="17.25" customHeight="1">
      <c r="A9" s="15" t="s">
        <v>4819</v>
      </c>
      <c r="B9" s="15" t="s">
        <v>6116</v>
      </c>
      <c r="C9" s="15" t="s">
        <v>6117</v>
      </c>
      <c r="D9" s="15" t="s">
        <v>6118</v>
      </c>
    </row>
    <row r="10" spans="1:4" ht="17.25" customHeight="1">
      <c r="A10" s="15" t="s">
        <v>4826</v>
      </c>
      <c r="B10" s="15" t="s">
        <v>4875</v>
      </c>
      <c r="C10" s="15" t="s">
        <v>6119</v>
      </c>
      <c r="D10" s="15" t="s">
        <v>6118</v>
      </c>
    </row>
    <row r="11" spans="1:4" ht="17.25" customHeight="1">
      <c r="A11" s="15" t="s">
        <v>4822</v>
      </c>
      <c r="B11" s="15" t="s">
        <v>4875</v>
      </c>
      <c r="C11" s="15" t="s">
        <v>6120</v>
      </c>
      <c r="D11" s="15" t="s">
        <v>6118</v>
      </c>
    </row>
    <row r="12" spans="1:4" ht="17.25" customHeight="1">
      <c r="A12" s="15" t="s">
        <v>4829</v>
      </c>
      <c r="B12" s="15" t="s">
        <v>6121</v>
      </c>
      <c r="C12" s="15" t="s">
        <v>6122</v>
      </c>
      <c r="D12" s="15" t="s">
        <v>6123</v>
      </c>
    </row>
    <row r="13" spans="1:4" ht="17.25" customHeight="1">
      <c r="A13" s="15" t="s">
        <v>164</v>
      </c>
      <c r="B13" s="15" t="s">
        <v>6124</v>
      </c>
      <c r="C13" s="15" t="s">
        <v>6125</v>
      </c>
      <c r="D13" s="15" t="s">
        <v>6118</v>
      </c>
    </row>
    <row r="14" spans="1:4" ht="17.25" customHeight="1">
      <c r="A14" s="15" t="s">
        <v>4958</v>
      </c>
      <c r="B14" s="15" t="s">
        <v>6126</v>
      </c>
      <c r="C14" s="15" t="s">
        <v>6127</v>
      </c>
      <c r="D14" s="15" t="s">
        <v>6128</v>
      </c>
    </row>
    <row r="15" spans="1:4" ht="17.25" customHeight="1">
      <c r="A15" s="15" t="s">
        <v>6129</v>
      </c>
      <c r="B15" s="15" t="s">
        <v>6126</v>
      </c>
      <c r="C15" s="15" t="s">
        <v>6127</v>
      </c>
      <c r="D15" s="15" t="s">
        <v>6128</v>
      </c>
    </row>
    <row r="16" spans="1:4" ht="17.25" customHeight="1">
      <c r="A16" s="15" t="s">
        <v>4960</v>
      </c>
      <c r="B16" s="15" t="s">
        <v>6130</v>
      </c>
      <c r="C16" s="15" t="s">
        <v>6131</v>
      </c>
      <c r="D16" s="15" t="s">
        <v>6118</v>
      </c>
    </row>
    <row r="17" spans="1:4" ht="17.25" customHeight="1">
      <c r="A17" s="15" t="s">
        <v>4964</v>
      </c>
      <c r="B17" s="15" t="s">
        <v>6130</v>
      </c>
      <c r="C17" s="15" t="s">
        <v>6132</v>
      </c>
      <c r="D17" s="15" t="s">
        <v>6118</v>
      </c>
    </row>
    <row r="18" spans="1:4" ht="17.25" customHeight="1">
      <c r="A18" s="15" t="s">
        <v>6091</v>
      </c>
      <c r="B18" s="15" t="s">
        <v>6126</v>
      </c>
      <c r="C18" s="15" t="s">
        <v>6133</v>
      </c>
      <c r="D18" s="15" t="s">
        <v>6134</v>
      </c>
    </row>
    <row r="19" spans="1:4" ht="17.25" customHeight="1">
      <c r="A19" s="15" t="s">
        <v>6135</v>
      </c>
      <c r="B19" s="15" t="s">
        <v>6126</v>
      </c>
      <c r="C19" s="15" t="s">
        <v>6136</v>
      </c>
      <c r="D19" s="15" t="s">
        <v>6137</v>
      </c>
    </row>
    <row r="20" spans="1:4" ht="17.25" customHeight="1">
      <c r="A20" s="15" t="s">
        <v>4959</v>
      </c>
      <c r="B20" s="15" t="s">
        <v>6130</v>
      </c>
      <c r="C20" s="15" t="s">
        <v>6138</v>
      </c>
      <c r="D20" s="15" t="s">
        <v>6118</v>
      </c>
    </row>
    <row r="21" spans="1:4" ht="17.25" customHeight="1">
      <c r="A21" s="15" t="s">
        <v>4962</v>
      </c>
      <c r="B21" s="15" t="s">
        <v>6130</v>
      </c>
      <c r="C21" s="15" t="s">
        <v>6139</v>
      </c>
      <c r="D21" s="15" t="s">
        <v>6118</v>
      </c>
    </row>
    <row r="22" spans="1:4" ht="17.25" customHeight="1">
      <c r="A22" s="15" t="s">
        <v>4961</v>
      </c>
      <c r="B22" s="15" t="s">
        <v>6140</v>
      </c>
      <c r="C22" s="15" t="s">
        <v>6141</v>
      </c>
      <c r="D22" s="15" t="s">
        <v>6142</v>
      </c>
    </row>
    <row r="23" spans="1:4" ht="17.25" customHeight="1">
      <c r="A23" s="15" t="s">
        <v>4963</v>
      </c>
      <c r="B23" s="15" t="s">
        <v>6140</v>
      </c>
      <c r="C23" s="15" t="s">
        <v>6143</v>
      </c>
      <c r="D23" s="15" t="s">
        <v>6142</v>
      </c>
    </row>
    <row r="24" spans="1:4" ht="17.25" customHeight="1">
      <c r="A24" s="15" t="s">
        <v>4965</v>
      </c>
      <c r="B24" s="15" t="s">
        <v>6144</v>
      </c>
      <c r="C24" s="15" t="s">
        <v>6145</v>
      </c>
      <c r="D24" s="15" t="s">
        <v>6118</v>
      </c>
    </row>
    <row r="25" spans="1:4" ht="17.25" customHeight="1">
      <c r="A25" s="15" t="s">
        <v>4966</v>
      </c>
      <c r="B25" s="15" t="s">
        <v>6146</v>
      </c>
      <c r="C25" s="15" t="s">
        <v>6147</v>
      </c>
      <c r="D25" s="15" t="s">
        <v>6118</v>
      </c>
    </row>
    <row r="26" spans="1:4" ht="17.25" customHeight="1">
      <c r="A26" s="15" t="s">
        <v>4967</v>
      </c>
      <c r="B26" s="15" t="s">
        <v>6146</v>
      </c>
      <c r="C26" s="15" t="s">
        <v>6148</v>
      </c>
      <c r="D26" s="15" t="s">
        <v>6118</v>
      </c>
    </row>
    <row r="27" spans="1:4" ht="17.25" customHeight="1">
      <c r="A27" s="124" t="s">
        <v>5144</v>
      </c>
      <c r="B27" s="15" t="s">
        <v>6149</v>
      </c>
      <c r="C27" s="15" t="s">
        <v>6150</v>
      </c>
      <c r="D27" s="15" t="s">
        <v>6118</v>
      </c>
    </row>
    <row r="28" spans="1:4" ht="17.25" customHeight="1">
      <c r="A28" s="15" t="s">
        <v>5145</v>
      </c>
      <c r="B28" s="15" t="s">
        <v>6130</v>
      </c>
      <c r="C28" s="15" t="s">
        <v>6151</v>
      </c>
      <c r="D28" s="15" t="s">
        <v>6118</v>
      </c>
    </row>
    <row r="29" spans="1:4" ht="17.25" customHeight="1">
      <c r="A29" s="15" t="s">
        <v>5146</v>
      </c>
      <c r="B29" s="15" t="s">
        <v>6152</v>
      </c>
      <c r="C29" s="15" t="s">
        <v>6153</v>
      </c>
      <c r="D29" s="15" t="s">
        <v>6118</v>
      </c>
    </row>
    <row r="30" spans="1:4" ht="17.25" customHeight="1">
      <c r="A30" s="15" t="s">
        <v>5147</v>
      </c>
      <c r="B30" s="15" t="s">
        <v>6126</v>
      </c>
      <c r="C30" s="15" t="s">
        <v>6154</v>
      </c>
      <c r="D30" s="15" t="s">
        <v>6134</v>
      </c>
    </row>
    <row r="31" spans="1:4" ht="17.25" customHeight="1"/>
    <row r="32" spans="1:4"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FBFBF"/>
  </sheetPr>
  <dimension ref="A1:E1000"/>
  <sheetViews>
    <sheetView workbookViewId="0">
      <selection activeCell="A16" sqref="A16"/>
    </sheetView>
  </sheetViews>
  <sheetFormatPr baseColWidth="10" defaultColWidth="11.28515625" defaultRowHeight="15" customHeight="1"/>
  <cols>
    <col min="1" max="1" width="22.85546875" customWidth="1"/>
    <col min="2" max="26" width="11.42578125" customWidth="1"/>
  </cols>
  <sheetData>
    <row r="1" spans="1:5" ht="17.25" customHeight="1">
      <c r="A1" s="36" t="s">
        <v>6155</v>
      </c>
    </row>
    <row r="2" spans="1:5" ht="17.25" customHeight="1">
      <c r="A2" s="36" t="s">
        <v>4832</v>
      </c>
      <c r="B2" s="36" t="s">
        <v>6156</v>
      </c>
      <c r="C2" s="36" t="s">
        <v>6157</v>
      </c>
      <c r="D2" s="36" t="s">
        <v>6158</v>
      </c>
      <c r="E2" s="36" t="s">
        <v>5038</v>
      </c>
    </row>
    <row r="3" spans="1:5" ht="17.25" customHeight="1">
      <c r="A3" s="15" t="s">
        <v>6217</v>
      </c>
      <c r="B3" s="15">
        <v>0.76400000000000001</v>
      </c>
      <c r="C3" s="15">
        <v>2.72</v>
      </c>
      <c r="D3" s="15">
        <v>0.81200000000000006</v>
      </c>
      <c r="E3" s="15" t="s">
        <v>6159</v>
      </c>
    </row>
    <row r="4" spans="1:5" ht="17.25" customHeight="1">
      <c r="A4" s="15"/>
      <c r="B4" s="15"/>
      <c r="C4" s="15"/>
      <c r="D4" s="15"/>
      <c r="E4" s="15"/>
    </row>
    <row r="5" spans="1:5" ht="17.25" customHeight="1">
      <c r="A5" s="15"/>
      <c r="B5" s="15"/>
      <c r="C5" s="15"/>
      <c r="D5" s="15"/>
      <c r="E5" s="15"/>
    </row>
    <row r="6" spans="1:5" ht="17.25" customHeight="1">
      <c r="A6" s="15"/>
      <c r="B6" s="15"/>
      <c r="C6" s="15"/>
      <c r="D6" s="15"/>
      <c r="E6" s="15"/>
    </row>
    <row r="7" spans="1:5" ht="17.25" customHeight="1">
      <c r="A7" s="15"/>
      <c r="B7" s="15"/>
      <c r="C7" s="15"/>
      <c r="D7" s="15"/>
      <c r="E7" s="15"/>
    </row>
    <row r="8" spans="1:5" ht="17.25" customHeight="1">
      <c r="A8" s="15"/>
      <c r="B8" s="15"/>
      <c r="C8" s="15"/>
      <c r="D8" s="15"/>
      <c r="E8" s="15"/>
    </row>
    <row r="9" spans="1:5" ht="17.25" customHeight="1"/>
    <row r="10" spans="1:5" ht="17.25" customHeight="1"/>
    <row r="11" spans="1:5" ht="17.25" customHeight="1"/>
    <row r="12" spans="1:5" ht="17.25" customHeight="1"/>
    <row r="13" spans="1:5" ht="17.25" customHeight="1"/>
    <row r="14" spans="1:5" ht="17.25" customHeight="1"/>
    <row r="15" spans="1:5" ht="17.25" customHeight="1"/>
    <row r="16" spans="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1000"/>
  <sheetViews>
    <sheetView workbookViewId="0"/>
  </sheetViews>
  <sheetFormatPr baseColWidth="10" defaultColWidth="11.28515625" defaultRowHeight="15" customHeight="1"/>
  <cols>
    <col min="1" max="26" width="8.85546875" customWidth="1"/>
  </cols>
  <sheetData>
    <row r="1" spans="1:7" ht="17.25" customHeight="1">
      <c r="A1" s="15" t="s">
        <v>81</v>
      </c>
      <c r="B1" s="15" t="s">
        <v>6160</v>
      </c>
      <c r="G1" s="15" t="s">
        <v>6161</v>
      </c>
    </row>
    <row r="2" spans="1:7" ht="17.25" customHeight="1"/>
    <row r="3" spans="1:7" ht="17.25" customHeight="1"/>
    <row r="4" spans="1:7" ht="17.25" customHeight="1"/>
    <row r="5" spans="1:7" ht="17.25" customHeight="1"/>
    <row r="6" spans="1:7" ht="17.25" customHeight="1"/>
    <row r="7" spans="1:7" ht="17.25" customHeight="1"/>
    <row r="8" spans="1:7" ht="17.25" customHeight="1"/>
    <row r="9" spans="1:7" ht="17.25" customHeight="1"/>
    <row r="10" spans="1:7" ht="17.25" customHeight="1"/>
    <row r="11" spans="1:7" ht="17.25" customHeight="1"/>
    <row r="12" spans="1:7" ht="17.25" customHeight="1"/>
    <row r="13" spans="1:7" ht="17.25" customHeight="1"/>
    <row r="14" spans="1:7" ht="17.25" customHeight="1"/>
    <row r="15" spans="1:7" ht="17.25" customHeight="1"/>
    <row r="16" spans="1:7"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1000"/>
  <sheetViews>
    <sheetView workbookViewId="0"/>
  </sheetViews>
  <sheetFormatPr baseColWidth="10" defaultColWidth="11.28515625" defaultRowHeight="15" customHeight="1"/>
  <cols>
    <col min="1" max="1" width="17.28515625" customWidth="1"/>
    <col min="2" max="26" width="11.42578125" customWidth="1"/>
  </cols>
  <sheetData>
    <row r="1" spans="1:4" ht="17.25" customHeight="1">
      <c r="A1" s="15" t="s">
        <v>6162</v>
      </c>
      <c r="B1" s="15" t="s">
        <v>6163</v>
      </c>
      <c r="C1" s="15" t="s">
        <v>6164</v>
      </c>
      <c r="D1" s="15" t="s">
        <v>5854</v>
      </c>
    </row>
    <row r="2" spans="1:4" ht="17.25" customHeight="1"/>
    <row r="3" spans="1:4" ht="17.25" customHeight="1"/>
    <row r="4" spans="1:4" ht="17.25" customHeight="1"/>
    <row r="5" spans="1:4" ht="17.25" customHeight="1"/>
    <row r="6" spans="1:4" ht="17.25" customHeight="1"/>
    <row r="7" spans="1:4" ht="17.25" customHeight="1"/>
    <row r="8" spans="1:4" ht="17.25" customHeight="1"/>
    <row r="9" spans="1:4" ht="17.25" customHeight="1"/>
    <row r="10" spans="1:4" ht="17.25" customHeight="1"/>
    <row r="11" spans="1:4" ht="17.25" customHeight="1"/>
    <row r="12" spans="1:4" ht="17.25" customHeight="1"/>
    <row r="13" spans="1:4" ht="17.25" customHeight="1"/>
    <row r="14" spans="1:4" ht="17.25" customHeight="1"/>
    <row r="15" spans="1:4" ht="17.25" customHeight="1"/>
    <row r="16" spans="1:4"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BFBFBF"/>
  </sheetPr>
  <dimension ref="A1:O1000"/>
  <sheetViews>
    <sheetView workbookViewId="0"/>
  </sheetViews>
  <sheetFormatPr baseColWidth="10" defaultColWidth="11.28515625" defaultRowHeight="15" customHeight="1"/>
  <cols>
    <col min="1" max="1" width="15.140625" customWidth="1"/>
    <col min="2" max="2" width="22.140625" customWidth="1"/>
    <col min="3" max="4" width="15.140625" customWidth="1"/>
    <col min="5" max="5" width="19.28515625" customWidth="1"/>
    <col min="6" max="11" width="15.140625" customWidth="1"/>
    <col min="12" max="12" width="24.140625" customWidth="1"/>
    <col min="13" max="13" width="19.140625" customWidth="1"/>
    <col min="14" max="26" width="8.85546875" customWidth="1"/>
  </cols>
  <sheetData>
    <row r="1" spans="1:15" ht="17.25" customHeight="1">
      <c r="A1" s="15" t="s">
        <v>80</v>
      </c>
      <c r="D1" s="15" t="s">
        <v>5156</v>
      </c>
      <c r="H1" s="15" t="s">
        <v>6165</v>
      </c>
    </row>
    <row r="2" spans="1:15" ht="17.25" customHeight="1">
      <c r="A2" s="41" t="s">
        <v>5147</v>
      </c>
      <c r="B2" s="15" t="s">
        <v>6166</v>
      </c>
      <c r="C2" s="41" t="s">
        <v>5145</v>
      </c>
      <c r="D2" s="42" t="s">
        <v>6167</v>
      </c>
      <c r="E2" s="42" t="s">
        <v>6168</v>
      </c>
      <c r="F2" s="41" t="s">
        <v>5091</v>
      </c>
      <c r="G2" s="43" t="s">
        <v>6169</v>
      </c>
      <c r="H2" s="41" t="s">
        <v>6170</v>
      </c>
      <c r="I2" s="41" t="s">
        <v>6171</v>
      </c>
      <c r="J2" s="42" t="s">
        <v>5039</v>
      </c>
      <c r="K2" s="41" t="s">
        <v>6172</v>
      </c>
      <c r="L2" s="101" t="s">
        <v>4968</v>
      </c>
      <c r="M2" s="101" t="s">
        <v>5094</v>
      </c>
      <c r="N2" s="101" t="s">
        <v>5095</v>
      </c>
      <c r="O2" s="101" t="s">
        <v>5096</v>
      </c>
    </row>
    <row r="3" spans="1:15" ht="17.25" customHeight="1">
      <c r="A3" s="15" t="s">
        <v>5051</v>
      </c>
      <c r="B3" s="15" t="s">
        <v>6173</v>
      </c>
      <c r="D3" s="15" t="s">
        <v>6174</v>
      </c>
      <c r="E3" s="15" t="s">
        <v>6175</v>
      </c>
      <c r="F3" s="15" t="s">
        <v>5099</v>
      </c>
      <c r="G3" s="15" t="s">
        <v>5094</v>
      </c>
      <c r="H3" s="15" t="s">
        <v>77</v>
      </c>
      <c r="I3" s="15" t="s">
        <v>6176</v>
      </c>
      <c r="J3" s="15" t="s">
        <v>5051</v>
      </c>
      <c r="L3" s="15" t="s">
        <v>6177</v>
      </c>
      <c r="M3" s="15" t="s">
        <v>6178</v>
      </c>
      <c r="N3" s="15" t="s">
        <v>5142</v>
      </c>
      <c r="O3" s="15" t="s">
        <v>6179</v>
      </c>
    </row>
    <row r="4" spans="1:15" ht="17.25" customHeight="1">
      <c r="A4" s="15" t="s">
        <v>6180</v>
      </c>
      <c r="B4" s="15" t="s">
        <v>6181</v>
      </c>
      <c r="D4" s="15" t="s">
        <v>6182</v>
      </c>
      <c r="E4" s="15" t="s">
        <v>5095</v>
      </c>
      <c r="F4" s="15" t="s">
        <v>5108</v>
      </c>
      <c r="G4" s="15" t="s">
        <v>5095</v>
      </c>
      <c r="H4" s="15" t="s">
        <v>78</v>
      </c>
      <c r="I4" s="15" t="s">
        <v>6183</v>
      </c>
      <c r="J4" s="15" t="s">
        <v>6180</v>
      </c>
      <c r="L4" s="15" t="s">
        <v>6184</v>
      </c>
      <c r="M4" s="15" t="s">
        <v>5111</v>
      </c>
      <c r="N4" s="15" t="s">
        <v>5109</v>
      </c>
      <c r="O4" s="15" t="s">
        <v>5116</v>
      </c>
    </row>
    <row r="5" spans="1:15" ht="17.25" customHeight="1">
      <c r="A5" s="15" t="s">
        <v>5045</v>
      </c>
      <c r="D5" s="15" t="s">
        <v>5098</v>
      </c>
      <c r="E5" s="15" t="s">
        <v>5096</v>
      </c>
      <c r="G5" s="15" t="s">
        <v>6185</v>
      </c>
      <c r="H5" s="15" t="s">
        <v>5056</v>
      </c>
      <c r="J5" s="15" t="s">
        <v>6186</v>
      </c>
      <c r="L5" s="15" t="s">
        <v>4975</v>
      </c>
      <c r="M5" s="15" t="s">
        <v>5101</v>
      </c>
      <c r="N5" s="15" t="s">
        <v>5102</v>
      </c>
      <c r="O5" s="15" t="s">
        <v>5103</v>
      </c>
    </row>
    <row r="6" spans="1:15" ht="17.25" customHeight="1">
      <c r="A6" s="15" t="s">
        <v>6187</v>
      </c>
      <c r="D6" s="15" t="s">
        <v>6188</v>
      </c>
      <c r="E6" s="15" t="s">
        <v>6189</v>
      </c>
      <c r="G6" s="15" t="s">
        <v>6190</v>
      </c>
      <c r="J6" s="15" t="s">
        <v>5045</v>
      </c>
    </row>
    <row r="7" spans="1:15" ht="17.25" customHeight="1">
      <c r="E7" s="15" t="s">
        <v>5100</v>
      </c>
    </row>
    <row r="8" spans="1:15" ht="17.25" customHeight="1"/>
    <row r="9" spans="1:15" ht="17.25" customHeight="1"/>
    <row r="10" spans="1:15" ht="17.25" customHeight="1"/>
    <row r="11" spans="1:15" ht="17.25" customHeight="1"/>
    <row r="12" spans="1:15" ht="17.25" customHeight="1"/>
    <row r="13" spans="1:15" ht="17.25" customHeight="1"/>
    <row r="14" spans="1:15" ht="17.25" customHeight="1"/>
    <row r="15" spans="1:15" ht="17.25" customHeight="1"/>
    <row r="16" spans="1: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C00-000000000000}">
          <x14:formula1>
            <xm:f>Drop_downs!$J$3:$J$6</xm:f>
          </x14:formula1>
          <xm:sqref>A2 C2</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A5A5A5"/>
  </sheetPr>
  <dimension ref="A1:D1000"/>
  <sheetViews>
    <sheetView workbookViewId="0"/>
  </sheetViews>
  <sheetFormatPr baseColWidth="10" defaultColWidth="11.28515625" defaultRowHeight="15" customHeight="1"/>
  <cols>
    <col min="1" max="2" width="11.42578125" customWidth="1"/>
    <col min="3" max="3" width="12.7109375" customWidth="1"/>
    <col min="4" max="26" width="11.42578125" customWidth="1"/>
  </cols>
  <sheetData>
    <row r="1" spans="1:4" ht="17.25" customHeight="1">
      <c r="A1" s="15" t="s">
        <v>12</v>
      </c>
      <c r="B1" s="15" t="s">
        <v>6191</v>
      </c>
      <c r="C1" s="15" t="s">
        <v>5184</v>
      </c>
      <c r="D1" s="15" t="s">
        <v>6192</v>
      </c>
    </row>
    <row r="2" spans="1:4" ht="17.25" customHeight="1">
      <c r="A2" s="15" t="s">
        <v>6193</v>
      </c>
      <c r="B2" s="15" t="s">
        <v>6194</v>
      </c>
      <c r="C2" s="15" t="s">
        <v>6194</v>
      </c>
      <c r="D2" s="15" t="s">
        <v>6194</v>
      </c>
    </row>
    <row r="3" spans="1:4" ht="17.25" customHeight="1">
      <c r="A3" s="15" t="s">
        <v>6195</v>
      </c>
    </row>
    <row r="4" spans="1:4" ht="17.25" customHeight="1"/>
    <row r="5" spans="1:4" ht="17.25" customHeight="1"/>
    <row r="6" spans="1:4" ht="17.25" customHeight="1"/>
    <row r="7" spans="1:4" ht="17.25" customHeight="1"/>
    <row r="8" spans="1:4" ht="17.25" customHeight="1"/>
    <row r="9" spans="1:4" ht="17.25" customHeight="1"/>
    <row r="10" spans="1:4" ht="17.25" customHeight="1"/>
    <row r="11" spans="1:4" ht="17.25" customHeight="1"/>
    <row r="12" spans="1:4" ht="17.25" customHeight="1"/>
    <row r="13" spans="1:4" ht="17.25" customHeight="1"/>
    <row r="14" spans="1:4" ht="17.25" customHeight="1"/>
    <row r="15" spans="1:4" ht="17.25" customHeight="1"/>
    <row r="16" spans="1:4"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BFBFBF"/>
  </sheetPr>
  <dimension ref="A1:K1000"/>
  <sheetViews>
    <sheetView workbookViewId="0"/>
  </sheetViews>
  <sheetFormatPr baseColWidth="10" defaultColWidth="11.28515625" defaultRowHeight="15" customHeight="1"/>
  <cols>
    <col min="1" max="1" width="22" customWidth="1"/>
    <col min="2" max="2" width="33.140625" customWidth="1"/>
    <col min="3" max="3" width="11.42578125" customWidth="1"/>
    <col min="4" max="4" width="17.28515625" customWidth="1"/>
    <col min="5" max="5" width="38.85546875" customWidth="1"/>
    <col min="6" max="6" width="11.42578125" customWidth="1"/>
    <col min="7" max="7" width="29.7109375" customWidth="1"/>
    <col min="8" max="8" width="21.140625" customWidth="1"/>
    <col min="9" max="9" width="40" customWidth="1"/>
    <col min="10" max="10" width="18.28515625" customWidth="1"/>
    <col min="11" max="11" width="14" customWidth="1"/>
    <col min="12" max="26" width="11.42578125" customWidth="1"/>
  </cols>
  <sheetData>
    <row r="1" spans="1:11" ht="17.25" customHeight="1">
      <c r="A1" s="15" t="s">
        <v>6196</v>
      </c>
      <c r="D1" s="15" t="s">
        <v>6197</v>
      </c>
      <c r="G1" s="15" t="s">
        <v>9</v>
      </c>
      <c r="J1" s="15" t="s">
        <v>80</v>
      </c>
    </row>
    <row r="2" spans="1:11" ht="17.25" customHeight="1">
      <c r="A2" s="36" t="s">
        <v>6198</v>
      </c>
      <c r="B2" s="36" t="s">
        <v>4816</v>
      </c>
      <c r="D2" s="36" t="s">
        <v>6198</v>
      </c>
      <c r="E2" s="36" t="s">
        <v>4816</v>
      </c>
      <c r="G2" s="36" t="s">
        <v>6198</v>
      </c>
      <c r="H2" s="36" t="s">
        <v>4816</v>
      </c>
      <c r="J2" s="200" t="s">
        <v>6198</v>
      </c>
      <c r="K2" s="200" t="s">
        <v>4816</v>
      </c>
    </row>
    <row r="3" spans="1:11" ht="17.25" customHeight="1">
      <c r="A3" s="15" t="s">
        <v>158</v>
      </c>
      <c r="D3" s="15" t="s">
        <v>4819</v>
      </c>
      <c r="G3" s="15" t="s">
        <v>4958</v>
      </c>
      <c r="H3" s="15" t="s">
        <v>6199</v>
      </c>
      <c r="J3" s="124" t="s">
        <v>5144</v>
      </c>
    </row>
    <row r="4" spans="1:11" ht="17.25" customHeight="1">
      <c r="A4" s="15" t="s">
        <v>154</v>
      </c>
      <c r="D4" s="15" t="s">
        <v>4826</v>
      </c>
      <c r="G4" s="15" t="s">
        <v>6129</v>
      </c>
      <c r="H4" s="15" t="s">
        <v>6199</v>
      </c>
      <c r="J4" s="15" t="s">
        <v>5145</v>
      </c>
    </row>
    <row r="5" spans="1:11" ht="17.25" customHeight="1">
      <c r="A5" s="15" t="s">
        <v>157</v>
      </c>
      <c r="D5" s="15" t="s">
        <v>164</v>
      </c>
      <c r="G5" s="15" t="s">
        <v>4960</v>
      </c>
      <c r="H5" s="15" t="s">
        <v>6200</v>
      </c>
      <c r="J5" s="15" t="s">
        <v>5146</v>
      </c>
    </row>
    <row r="6" spans="1:11" ht="17.25" customHeight="1">
      <c r="A6" s="15" t="s">
        <v>166</v>
      </c>
      <c r="D6" s="15" t="s">
        <v>4822</v>
      </c>
      <c r="G6" s="15" t="s">
        <v>4964</v>
      </c>
      <c r="H6" s="15" t="s">
        <v>6201</v>
      </c>
      <c r="J6" s="15" t="s">
        <v>5147</v>
      </c>
    </row>
    <row r="7" spans="1:11" ht="17.25" customHeight="1">
      <c r="A7" s="15" t="s">
        <v>160</v>
      </c>
      <c r="D7" s="15" t="s">
        <v>4829</v>
      </c>
      <c r="G7" s="15" t="s">
        <v>6091</v>
      </c>
    </row>
    <row r="8" spans="1:11" ht="17.25" customHeight="1">
      <c r="A8" s="15" t="s">
        <v>163</v>
      </c>
      <c r="G8" s="15" t="s">
        <v>6135</v>
      </c>
    </row>
    <row r="9" spans="1:11" ht="17.25" customHeight="1">
      <c r="A9" s="15" t="s">
        <v>162</v>
      </c>
      <c r="G9" s="15" t="s">
        <v>4959</v>
      </c>
    </row>
    <row r="10" spans="1:11" ht="17.25" customHeight="1">
      <c r="A10" s="15" t="s">
        <v>159</v>
      </c>
      <c r="G10" s="15" t="s">
        <v>4962</v>
      </c>
    </row>
    <row r="11" spans="1:11" ht="17.25" customHeight="1">
      <c r="A11" s="15" t="s">
        <v>5531</v>
      </c>
      <c r="G11" s="15" t="s">
        <v>4961</v>
      </c>
    </row>
    <row r="12" spans="1:11" ht="17.25" customHeight="1">
      <c r="A12" s="15" t="s">
        <v>161</v>
      </c>
      <c r="G12" s="15" t="s">
        <v>4963</v>
      </c>
    </row>
    <row r="13" spans="1:11" ht="17.25" customHeight="1">
      <c r="A13" s="15" t="s">
        <v>156</v>
      </c>
      <c r="G13" s="15" t="s">
        <v>4965</v>
      </c>
    </row>
    <row r="14" spans="1:11" ht="17.25" customHeight="1">
      <c r="A14" s="15" t="s">
        <v>155</v>
      </c>
      <c r="G14" s="15" t="s">
        <v>4966</v>
      </c>
    </row>
    <row r="15" spans="1:11" ht="17.25" customHeight="1">
      <c r="G15" s="15" t="s">
        <v>4967</v>
      </c>
    </row>
    <row r="16" spans="1:11"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BFBFBF"/>
  </sheetPr>
  <dimension ref="A1:E1000"/>
  <sheetViews>
    <sheetView workbookViewId="0"/>
  </sheetViews>
  <sheetFormatPr baseColWidth="10" defaultColWidth="11.28515625" defaultRowHeight="15" customHeight="1"/>
  <cols>
    <col min="1" max="1" width="20.140625" customWidth="1"/>
    <col min="2" max="2" width="28" customWidth="1"/>
    <col min="3" max="26" width="11.42578125" customWidth="1"/>
  </cols>
  <sheetData>
    <row r="1" spans="1:5" ht="17.25" customHeight="1">
      <c r="A1" s="36" t="s">
        <v>27</v>
      </c>
      <c r="B1" s="15" t="s">
        <v>144</v>
      </c>
      <c r="C1" s="15" t="s">
        <v>81</v>
      </c>
      <c r="D1" s="15" t="s">
        <v>82</v>
      </c>
      <c r="E1" s="15" t="s">
        <v>6047</v>
      </c>
    </row>
    <row r="2" spans="1:5" ht="17.25" customHeight="1">
      <c r="A2" s="15" t="s">
        <v>6202</v>
      </c>
      <c r="B2" s="15" t="e">
        <f t="array" aca="1" ref="B2" ca="1">_xlws.FILTER(IF(Year_schedules!$B:$B=B$1,Year_schedules!$A:$A,""),IF(Year_schedules!$B:$B=B$1,Year_schedules!$A:$A,"")&lt;&gt;"")</f>
        <v>#NAME?</v>
      </c>
      <c r="C2" s="15" t="e">
        <f t="array" aca="1" ref="C2" ca="1">_xlws.FILTER(IF(Year_schedules!$B:$B=C$1,Year_schedules!$A:$A,""),IF(Year_schedules!$B:$B=C$1,Year_schedules!$A:$A,"")&lt;&gt;"")</f>
        <v>#NAME?</v>
      </c>
      <c r="D2" s="15" t="e">
        <f t="array" aca="1" ref="D2" ca="1">_xlws.FILTER(IF(Year_schedules!$B:$B=D$1,Year_schedules!$A:$A,""),IF(Year_schedules!$B:$B=D$1,Year_schedules!$A:$A,"")&lt;&gt;"")</f>
        <v>#NAME?</v>
      </c>
      <c r="E2" s="15" t="s">
        <v>6203</v>
      </c>
    </row>
    <row r="3" spans="1:5" ht="17.25" customHeight="1">
      <c r="A3" s="201" t="s">
        <v>5965</v>
      </c>
      <c r="E3" s="15" t="e">
        <f t="array" aca="1" ref="E3" ca="1">_xlws.FILTER(IF(Year_schedules!$B:$B=E$1,Year_schedules!$A:$A,""),IF(Year_schedules!$B:$B=E$1,Year_schedules!$A:$A,"")&lt;&gt;"")</f>
        <v>#NAME?</v>
      </c>
    </row>
    <row r="4" spans="1:5" ht="17.25" customHeight="1">
      <c r="A4" s="201" t="s">
        <v>6204</v>
      </c>
    </row>
    <row r="5" spans="1:5" ht="17.25" customHeight="1">
      <c r="A5" s="201" t="s">
        <v>6205</v>
      </c>
    </row>
    <row r="6" spans="1:5" ht="17.25" customHeight="1">
      <c r="A6" s="201" t="s">
        <v>6206</v>
      </c>
    </row>
    <row r="7" spans="1:5" ht="17.25" customHeight="1">
      <c r="A7" s="201" t="s">
        <v>6207</v>
      </c>
    </row>
    <row r="8" spans="1:5" ht="17.25" customHeight="1">
      <c r="A8" s="201" t="s">
        <v>6208</v>
      </c>
    </row>
    <row r="9" spans="1:5" ht="17.25" customHeight="1">
      <c r="A9" s="201" t="s">
        <v>6209</v>
      </c>
    </row>
    <row r="10" spans="1:5" ht="17.25" customHeight="1">
      <c r="A10" s="201" t="s">
        <v>6210</v>
      </c>
    </row>
    <row r="11" spans="1:5" ht="17.25" customHeight="1">
      <c r="A11" s="201" t="s">
        <v>6211</v>
      </c>
    </row>
    <row r="12" spans="1:5" ht="17.25" customHeight="1">
      <c r="A12" s="201" t="s">
        <v>6212</v>
      </c>
    </row>
    <row r="13" spans="1:5" ht="17.25" customHeight="1">
      <c r="A13" s="201" t="s">
        <v>6213</v>
      </c>
    </row>
    <row r="14" spans="1:5" ht="17.25" customHeight="1">
      <c r="A14" s="201" t="s">
        <v>6214</v>
      </c>
    </row>
    <row r="15" spans="1:5" ht="17.25" customHeight="1"/>
    <row r="16" spans="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BFBFBF"/>
  </sheetPr>
  <dimension ref="A1:L1000"/>
  <sheetViews>
    <sheetView workbookViewId="0"/>
  </sheetViews>
  <sheetFormatPr baseColWidth="10" defaultColWidth="11.28515625" defaultRowHeight="15" customHeight="1"/>
  <cols>
    <col min="1" max="1" width="29.85546875" customWidth="1"/>
    <col min="2" max="2" width="32.42578125" customWidth="1"/>
    <col min="3" max="3" width="22.28515625" customWidth="1"/>
    <col min="4" max="4" width="25" customWidth="1"/>
    <col min="5" max="5" width="23.7109375" customWidth="1"/>
    <col min="6" max="11" width="22.42578125" customWidth="1"/>
    <col min="12" max="26" width="8.85546875" customWidth="1"/>
  </cols>
  <sheetData>
    <row r="1" spans="1:12" ht="17.25" customHeight="1">
      <c r="A1" s="202" t="s">
        <v>158</v>
      </c>
      <c r="B1" s="202" t="s">
        <v>154</v>
      </c>
      <c r="C1" s="202" t="s">
        <v>157</v>
      </c>
      <c r="D1" s="202" t="s">
        <v>166</v>
      </c>
      <c r="E1" s="202" t="s">
        <v>160</v>
      </c>
      <c r="F1" s="202" t="s">
        <v>162</v>
      </c>
      <c r="G1" s="202" t="s">
        <v>159</v>
      </c>
      <c r="H1" s="202" t="s">
        <v>5531</v>
      </c>
      <c r="I1" s="202" t="s">
        <v>161</v>
      </c>
      <c r="J1" s="202" t="s">
        <v>155</v>
      </c>
      <c r="K1" s="202" t="s">
        <v>156</v>
      </c>
      <c r="L1" s="202" t="s">
        <v>163</v>
      </c>
    </row>
    <row r="2" spans="1:12" ht="17.25" customHeight="1">
      <c r="A2" s="15" t="str">
        <f ca="1">IFERROR(__xludf.DUMMYFUNCTION("FILTER(IF(Construction_components!$B:$B=A$1,Construction_components!$F:$F,""""),IF(Construction_components!$B:$B=A$1,Construction_components!$F:$F,"""")&lt;&gt;"""")"),"KR_res_sf_Partition_Partition")</f>
        <v>KR_res_sf_Partition_Partition</v>
      </c>
      <c r="B2" s="15" t="str">
        <f ca="1">IFERROR(__xludf.DUMMYFUNCTION("FILTER(IF(Construction_components!$B:$B=B$1,Construction_components!$F:$F,""""),IF(Construction_components!$B:$B=B$1,Construction_components!$F:$F,"""")&lt;&gt;"""")"),"KR_res_sf_pre1988_Roof_FlatRoof")</f>
        <v>KR_res_sf_pre1988_Roof_FlatRoof</v>
      </c>
      <c r="C2" s="15" t="str">
        <f ca="1">IFERROR(__xludf.DUMMYFUNCTION("FILTER(IF(Construction_components!$B:$B=C$1,Construction_components!$F:$F,""""),IF(Construction_components!$B:$B=C$1,Construction_components!$F:$F,"""")&lt;&gt;"""")"),"KR_res_sf_pre1988_Wall_Facade")</f>
        <v>KR_res_sf_pre1988_Wall_Facade</v>
      </c>
      <c r="D2" s="15" t="str">
        <f ca="1">IFERROR(__xludf.DUMMYFUNCTION("FILTER(IF(Construction_components!$B:$B=D$1,Construction_components!$F:$F,""""),IF(Construction_components!$B:$B=D$1,Construction_components!$F:$F,"""")&lt;&gt;"""")"),"KR_res_sf_ExternalFloor_ExternalFloor")</f>
        <v>KR_res_sf_ExternalFloor_ExternalFloor</v>
      </c>
      <c r="E2" s="15" t="str">
        <f ca="1">IFERROR(__xludf.DUMMYFUNCTION("FILTER(IF(Construction_components!$B:$B=E$1,Construction_components!$F:$F,""""),IF(Construction_components!$B:$B=E$1,Construction_components!$F:$F,"""")&lt;&gt;"""")"),"KR_res_sf_pre1988_Slab_GroundSlab")</f>
        <v>KR_res_sf_pre1988_Slab_GroundSlab</v>
      </c>
      <c r="F2" s="15" t="str">
        <f ca="1">IFERROR(__xludf.DUMMYFUNCTION("FILTER(IF(Construction_components!$B:$B=F$1,Construction_components!$F:$F,""""),IF(Construction_components!$B:$B=F$1,Construction_components!$F:$F,"""")&lt;&gt;"""")"),"KR_res_sf_FloorCeiling_FloorCeiling")</f>
        <v>KR_res_sf_FloorCeiling_FloorCeiling</v>
      </c>
      <c r="G2" s="15" t="str">
        <f ca="1">IFERROR(__xludf.DUMMYFUNCTION("FILTER(IF(Construction_components!$B:$B=G$1,Construction_components!$F:$F,""""),IF(Construction_components!$B:$B=G$1,Construction_components!$F:$F,"""")&lt;&gt;"""")"),"KR_res_sf_GroundWall_GroundWall")</f>
        <v>KR_res_sf_GroundWall_GroundWall</v>
      </c>
      <c r="H2" s="15" t="str">
        <f ca="1">IFERROR(__xludf.DUMMYFUNCTION("FILTER(IF(Construction_components!$B:$B=H$1,Construction_components!$F:$F,""""),IF(Construction_components!$B:$B=H$1,Construction_components!$F:$F,"""")&lt;&gt;"""")"),"KR_res_sf_InternalMass_InternalMass")</f>
        <v>KR_res_sf_InternalMass_InternalMass</v>
      </c>
      <c r="I2" s="15" t="str">
        <f ca="1">IFERROR(__xludf.DUMMYFUNCTION("FILTER(IF(Construction_components!$B:$B=I$1,Construction_components!$F:$F,""""),IF(Construction_components!$B:$B=I$1,Construction_components!$F:$F,"""")&lt;&gt;"""")"),"KR_res_sf_BasementCeiling_BasementCeiling")</f>
        <v>KR_res_sf_BasementCeiling_BasementCeiling</v>
      </c>
      <c r="J2" s="15" t="str">
        <f ca="1">IFERROR(__xludf.DUMMYFUNCTION("FILTER(IF(Construction_components!$B:$B=J$1,Construction_components!$F:$F,""""),IF(Construction_components!$B:$B=J$1,Construction_components!$F:$F,"""")&lt;&gt;"""")"),"KR_res_sf_pre1988_Roof_AtticRoof")</f>
        <v>KR_res_sf_pre1988_Roof_AtticRoof</v>
      </c>
      <c r="K2" s="15" t="str">
        <f ca="1">IFERROR(__xludf.DUMMYFUNCTION("FILTER(IF(Construction_components!$B:$B=K$1,Construction_components!$F:$F,""""),IF(Construction_components!$B:$B=K$1,Construction_components!$F:$F,"""")&lt;&gt;"""")"),"KR_res_sf_AtticFloor_AtticFloor")</f>
        <v>KR_res_sf_AtticFloor_AtticFloor</v>
      </c>
      <c r="L2" s="15" t="s">
        <v>5837</v>
      </c>
    </row>
    <row r="3" spans="1:12" ht="17.25" customHeight="1">
      <c r="A3" s="15" t="str">
        <f ca="1">IFERROR(__xludf.DUMMYFUNCTION("""COMPUTED_VALUE"""),"KR_res_mf_low_Partition_Partition")</f>
        <v>KR_res_mf_low_Partition_Partition</v>
      </c>
      <c r="B3" s="15" t="str">
        <f ca="1">IFERROR(__xludf.DUMMYFUNCTION("""COMPUTED_VALUE"""),"KR_res_sf_1988_2000_Roof_FlatRoof")</f>
        <v>KR_res_sf_1988_2000_Roof_FlatRoof</v>
      </c>
      <c r="C3" s="15" t="str">
        <f ca="1">IFERROR(__xludf.DUMMYFUNCTION("""COMPUTED_VALUE"""),"KR_res_sf_1988_2000_Wall_Facade")</f>
        <v>KR_res_sf_1988_2000_Wall_Facade</v>
      </c>
      <c r="D3" s="15" t="str">
        <f ca="1">IFERROR(__xludf.DUMMYFUNCTION("""COMPUTED_VALUE"""),"KR_res_mf_low_ExternalFloor_ExternalFloor")</f>
        <v>KR_res_mf_low_ExternalFloor_ExternalFloor</v>
      </c>
      <c r="E3" s="15" t="str">
        <f ca="1">IFERROR(__xludf.DUMMYFUNCTION("""COMPUTED_VALUE"""),"KR_res_sf_1988_2000_Slab_GroundSlab")</f>
        <v>KR_res_sf_1988_2000_Slab_GroundSlab</v>
      </c>
      <c r="F3" s="15" t="str">
        <f ca="1">IFERROR(__xludf.DUMMYFUNCTION("""COMPUTED_VALUE"""),"KR_res_mf_low_FloorCeiling_FloorCeiling")</f>
        <v>KR_res_mf_low_FloorCeiling_FloorCeiling</v>
      </c>
      <c r="G3" s="15" t="str">
        <f ca="1">IFERROR(__xludf.DUMMYFUNCTION("""COMPUTED_VALUE"""),"KR_res_mf_low_GroundWall_GroundWall")</f>
        <v>KR_res_mf_low_GroundWall_GroundWall</v>
      </c>
      <c r="H3" s="15" t="str">
        <f ca="1">IFERROR(__xludf.DUMMYFUNCTION("""COMPUTED_VALUE"""),"KR_res_mf_low_InternalMass_InternalMass")</f>
        <v>KR_res_mf_low_InternalMass_InternalMass</v>
      </c>
      <c r="I3" s="15" t="str">
        <f ca="1">IFERROR(__xludf.DUMMYFUNCTION("""COMPUTED_VALUE"""),"KR_res_mf_low_BasementCeiling_BasementCeiling")</f>
        <v>KR_res_mf_low_BasementCeiling_BasementCeiling</v>
      </c>
      <c r="J3" s="15" t="str">
        <f ca="1">IFERROR(__xludf.DUMMYFUNCTION("""COMPUTED_VALUE"""),"KR_res_sf_1988_2000_Roof_AtticRoof")</f>
        <v>KR_res_sf_1988_2000_Roof_AtticRoof</v>
      </c>
      <c r="L3" s="15" t="s">
        <v>5838</v>
      </c>
    </row>
    <row r="4" spans="1:12" ht="17.25" customHeight="1">
      <c r="A4" s="15" t="str">
        <f ca="1">IFERROR(__xludf.DUMMYFUNCTION("""COMPUTED_VALUE"""),"KR_res_mf_high_Partition_Partition")</f>
        <v>KR_res_mf_high_Partition_Partition</v>
      </c>
      <c r="B4" s="15" t="str">
        <f ca="1">IFERROR(__xludf.DUMMYFUNCTION("""COMPUTED_VALUE"""),"KR_res_sf_2001_2010_Roof_FlatRoof")</f>
        <v>KR_res_sf_2001_2010_Roof_FlatRoof</v>
      </c>
      <c r="C4" s="15" t="str">
        <f ca="1">IFERROR(__xludf.DUMMYFUNCTION("""COMPUTED_VALUE"""),"KR_res_sf_2001_2010_Wall_Facade")</f>
        <v>KR_res_sf_2001_2010_Wall_Facade</v>
      </c>
      <c r="D4" s="15" t="str">
        <f ca="1">IFERROR(__xludf.DUMMYFUNCTION("""COMPUTED_VALUE"""),"KR_res_mf_high_ExternalFloor_ExternalFloor")</f>
        <v>KR_res_mf_high_ExternalFloor_ExternalFloor</v>
      </c>
      <c r="E4" s="15" t="str">
        <f ca="1">IFERROR(__xludf.DUMMYFUNCTION("""COMPUTED_VALUE"""),"KR_res_sf_2001_2010_Slab_GroundSlab")</f>
        <v>KR_res_sf_2001_2010_Slab_GroundSlab</v>
      </c>
      <c r="F4" s="15" t="str">
        <f ca="1">IFERROR(__xludf.DUMMYFUNCTION("""COMPUTED_VALUE"""),"KR_res_mf_high_FloorCeiling_FloorCeiling")</f>
        <v>KR_res_mf_high_FloorCeiling_FloorCeiling</v>
      </c>
      <c r="G4" s="15" t="str">
        <f ca="1">IFERROR(__xludf.DUMMYFUNCTION("""COMPUTED_VALUE"""),"KR_res_mf_high_GroundWall_GroundWall")</f>
        <v>KR_res_mf_high_GroundWall_GroundWall</v>
      </c>
      <c r="H4" s="15" t="str">
        <f ca="1">IFERROR(__xludf.DUMMYFUNCTION("""COMPUTED_VALUE"""),"KR_res_mf_high_InternalMass_InternalMass")</f>
        <v>KR_res_mf_high_InternalMass_InternalMass</v>
      </c>
      <c r="I4" s="15" t="str">
        <f ca="1">IFERROR(__xludf.DUMMYFUNCTION("""COMPUTED_VALUE"""),"KR_res_mf_high_BasementCeiling_BasementCeiling")</f>
        <v>KR_res_mf_high_BasementCeiling_BasementCeiling</v>
      </c>
      <c r="J4" s="15" t="str">
        <f ca="1">IFERROR(__xludf.DUMMYFUNCTION("""COMPUTED_VALUE"""),"KR_res_sf_2001_2010_Roof_AtticRoof")</f>
        <v>KR_res_sf_2001_2010_Roof_AtticRoof</v>
      </c>
      <c r="L4" s="15" t="s">
        <v>5839</v>
      </c>
    </row>
    <row r="5" spans="1:12" ht="17.25" customHeight="1">
      <c r="A5" s="15" t="str">
        <f ca="1">IFERROR(__xludf.DUMMYFUNCTION("""COMPUTED_VALUE"""),"KR_office_small_Partition_Partition")</f>
        <v>KR_office_small_Partition_Partition</v>
      </c>
      <c r="B5" s="15" t="str">
        <f ca="1">IFERROR(__xludf.DUMMYFUNCTION("""COMPUTED_VALUE"""),"KR_res_sf_2011_2018_Roof_FlatRoof")</f>
        <v>KR_res_sf_2011_2018_Roof_FlatRoof</v>
      </c>
      <c r="C5" s="15" t="str">
        <f ca="1">IFERROR(__xludf.DUMMYFUNCTION("""COMPUTED_VALUE"""),"KR_res_sf_2011_2018_Wall_Facade")</f>
        <v>KR_res_sf_2011_2018_Wall_Facade</v>
      </c>
      <c r="E5" s="15" t="str">
        <f ca="1">IFERROR(__xludf.DUMMYFUNCTION("""COMPUTED_VALUE"""),"KR_res_sf_2011_2018_Slab_GroundSlab")</f>
        <v>KR_res_sf_2011_2018_Slab_GroundSlab</v>
      </c>
      <c r="F5" s="15" t="str">
        <f ca="1">IFERROR(__xludf.DUMMYFUNCTION("""COMPUTED_VALUE"""),"KR_office_small_FloorCeiling_FloorCeiling")</f>
        <v>KR_office_small_FloorCeiling_FloorCeiling</v>
      </c>
      <c r="G5" s="15" t="str">
        <f ca="1">IFERROR(__xludf.DUMMYFUNCTION("""COMPUTED_VALUE"""),"KR_office_small_GroundWall_GroundWall")</f>
        <v>KR_office_small_GroundWall_GroundWall</v>
      </c>
      <c r="H5" s="15" t="str">
        <f ca="1">IFERROR(__xludf.DUMMYFUNCTION("""COMPUTED_VALUE"""),"KR_office_small_InternalMass_InternalMass")</f>
        <v>KR_office_small_InternalMass_InternalMass</v>
      </c>
      <c r="I5" s="15" t="str">
        <f ca="1">IFERROR(__xludf.DUMMYFUNCTION("""COMPUTED_VALUE"""),"KR_office_small_BasementCeiling_BasementCeiling")</f>
        <v>KR_office_small_BasementCeiling_BasementCeiling</v>
      </c>
      <c r="J5" s="15" t="str">
        <f ca="1">IFERROR(__xludf.DUMMYFUNCTION("""COMPUTED_VALUE"""),"KR_res_sf_2011_2018_Roof_AtticRoof")</f>
        <v>KR_res_sf_2011_2018_Roof_AtticRoof</v>
      </c>
      <c r="L5" s="15" t="s">
        <v>5840</v>
      </c>
    </row>
    <row r="6" spans="1:12" ht="17.25" customHeight="1">
      <c r="A6" s="15" t="str">
        <f ca="1">IFERROR(__xludf.DUMMYFUNCTION("""COMPUTED_VALUE"""),"KR_office_medium_Partition_Partition")</f>
        <v>KR_office_medium_Partition_Partition</v>
      </c>
      <c r="B6" s="15" t="str">
        <f ca="1">IFERROR(__xludf.DUMMYFUNCTION("""COMPUTED_VALUE"""),"KR_res_sf_post2019_Roof_FlatRoof")</f>
        <v>KR_res_sf_post2019_Roof_FlatRoof</v>
      </c>
      <c r="C6" s="15" t="str">
        <f ca="1">IFERROR(__xludf.DUMMYFUNCTION("""COMPUTED_VALUE"""),"KR_res_sf_post2019_Wall_Facade")</f>
        <v>KR_res_sf_post2019_Wall_Facade</v>
      </c>
      <c r="E6" s="15" t="str">
        <f ca="1">IFERROR(__xludf.DUMMYFUNCTION("""COMPUTED_VALUE"""),"KR_res_sf_post2019_Slab_GroundSlab")</f>
        <v>KR_res_sf_post2019_Slab_GroundSlab</v>
      </c>
      <c r="F6" s="15" t="str">
        <f ca="1">IFERROR(__xludf.DUMMYFUNCTION("""COMPUTED_VALUE"""),"KR_office_medium_FloorCeiling_FloorCeiling")</f>
        <v>KR_office_medium_FloorCeiling_FloorCeiling</v>
      </c>
      <c r="G6" s="15" t="str">
        <f ca="1">IFERROR(__xludf.DUMMYFUNCTION("""COMPUTED_VALUE"""),"KR_office_medium_GroundWall_GroundWall")</f>
        <v>KR_office_medium_GroundWall_GroundWall</v>
      </c>
      <c r="H6" s="15" t="str">
        <f ca="1">IFERROR(__xludf.DUMMYFUNCTION("""COMPUTED_VALUE"""),"KR_office_medium_InternalMass_InternalMass")</f>
        <v>KR_office_medium_InternalMass_InternalMass</v>
      </c>
      <c r="I6" s="15" t="str">
        <f ca="1">IFERROR(__xludf.DUMMYFUNCTION("""COMPUTED_VALUE"""),"KR_office_medium_BasementCeiling_BasementCeiling")</f>
        <v>KR_office_medium_BasementCeiling_BasementCeiling</v>
      </c>
      <c r="J6" s="15" t="str">
        <f ca="1">IFERROR(__xludf.DUMMYFUNCTION("""COMPUTED_VALUE"""),"KR_res_sf_post2019_Roof_AtticRoof")</f>
        <v>KR_res_sf_post2019_Roof_AtticRoof</v>
      </c>
      <c r="L6" s="15" t="s">
        <v>5841</v>
      </c>
    </row>
    <row r="7" spans="1:12" ht="17.25" customHeight="1">
      <c r="A7" s="15" t="str">
        <f ca="1">IFERROR(__xludf.DUMMYFUNCTION("""COMPUTED_VALUE"""),"KR_office_large_Partition_Partition")</f>
        <v>KR_office_large_Partition_Partition</v>
      </c>
      <c r="B7" s="15" t="str">
        <f ca="1">IFERROR(__xludf.DUMMYFUNCTION("""COMPUTED_VALUE"""),"KR_res_mf_low_pre1988_Roof_FlatRoof")</f>
        <v>KR_res_mf_low_pre1988_Roof_FlatRoof</v>
      </c>
      <c r="C7" s="15" t="str">
        <f ca="1">IFERROR(__xludf.DUMMYFUNCTION("""COMPUTED_VALUE"""),"KR_res_mf_low_pre1988_Wall_Facade")</f>
        <v>KR_res_mf_low_pre1988_Wall_Facade</v>
      </c>
      <c r="E7" s="15" t="str">
        <f ca="1">IFERROR(__xludf.DUMMYFUNCTION("""COMPUTED_VALUE"""),"KR_res_mf_low_pre1988_Slab_GroundSlab")</f>
        <v>KR_res_mf_low_pre1988_Slab_GroundSlab</v>
      </c>
      <c r="F7" s="15" t="str">
        <f ca="1">IFERROR(__xludf.DUMMYFUNCTION("""COMPUTED_VALUE"""),"KR_office_large_FloorCeiling_FloorCeiling")</f>
        <v>KR_office_large_FloorCeiling_FloorCeiling</v>
      </c>
      <c r="G7" s="15" t="str">
        <f ca="1">IFERROR(__xludf.DUMMYFUNCTION("""COMPUTED_VALUE"""),"KR_office_large_GroundWall_GroundWall")</f>
        <v>KR_office_large_GroundWall_GroundWall</v>
      </c>
      <c r="H7" s="15" t="str">
        <f ca="1">IFERROR(__xludf.DUMMYFUNCTION("""COMPUTED_VALUE"""),"KR_office_large_InternalMass_InternalMass")</f>
        <v>KR_office_large_InternalMass_InternalMass</v>
      </c>
      <c r="I7" s="15" t="str">
        <f ca="1">IFERROR(__xludf.DUMMYFUNCTION("""COMPUTED_VALUE"""),"KR_office_large_BasementCeiling_BasementCeiling")</f>
        <v>KR_office_large_BasementCeiling_BasementCeiling</v>
      </c>
      <c r="L7" s="15" t="e">
        <f t="array" aca="1" ref="L7" ca="1">_xlws.FILTER(IF(Construction_components!$B:$B=L$1,Construction_components!$A:$A,""),IF(Construction_components!$B:$B=L$1,Construction_components!$A:$A,"")&lt;&gt;"")</f>
        <v>#NAME?</v>
      </c>
    </row>
    <row r="8" spans="1:12" ht="17.25" customHeight="1">
      <c r="A8" s="15" t="str">
        <f ca="1">IFERROR(__xludf.DUMMYFUNCTION("""COMPUTED_VALUE"""),"KR_retail_small_Partition_Partition")</f>
        <v>KR_retail_small_Partition_Partition</v>
      </c>
      <c r="B8" s="15" t="str">
        <f ca="1">IFERROR(__xludf.DUMMYFUNCTION("""COMPUTED_VALUE"""),"KR_res_mf_low_1988_2000_Roof_FlatRoof")</f>
        <v>KR_res_mf_low_1988_2000_Roof_FlatRoof</v>
      </c>
      <c r="C8" s="15" t="str">
        <f ca="1">IFERROR(__xludf.DUMMYFUNCTION("""COMPUTED_VALUE"""),"KR_res_mf_low_1988_2000_Wall_Facade")</f>
        <v>KR_res_mf_low_1988_2000_Wall_Facade</v>
      </c>
      <c r="E8" s="15" t="str">
        <f ca="1">IFERROR(__xludf.DUMMYFUNCTION("""COMPUTED_VALUE"""),"KR_res_mf_low_1988_2000_Slab_GroundSlab")</f>
        <v>KR_res_mf_low_1988_2000_Slab_GroundSlab</v>
      </c>
      <c r="F8" s="15" t="str">
        <f ca="1">IFERROR(__xludf.DUMMYFUNCTION("""COMPUTED_VALUE"""),"KR_retail_small_FloorCeiling_FloorCeiling")</f>
        <v>KR_retail_small_FloorCeiling_FloorCeiling</v>
      </c>
      <c r="G8" s="15" t="str">
        <f ca="1">IFERROR(__xludf.DUMMYFUNCTION("""COMPUTED_VALUE"""),"KR_retail_small_GroundWall_GroundWall")</f>
        <v>KR_retail_small_GroundWall_GroundWall</v>
      </c>
      <c r="H8" s="15" t="str">
        <f ca="1">IFERROR(__xludf.DUMMYFUNCTION("""COMPUTED_VALUE"""),"KR_retail_small_InternalMass_InternalMass")</f>
        <v>KR_retail_small_InternalMass_InternalMass</v>
      </c>
      <c r="I8" s="15" t="str">
        <f ca="1">IFERROR(__xludf.DUMMYFUNCTION("""COMPUTED_VALUE"""),"KR_retail_small_BasementCeiling_BasementCeiling")</f>
        <v>KR_retail_small_BasementCeiling_BasementCeiling</v>
      </c>
    </row>
    <row r="9" spans="1:12" ht="17.25" customHeight="1">
      <c r="A9" s="15" t="str">
        <f ca="1">IFERROR(__xludf.DUMMYFUNCTION("""COMPUTED_VALUE"""),"KR_retail_medium_Partition_Partition")</f>
        <v>KR_retail_medium_Partition_Partition</v>
      </c>
      <c r="B9" s="15" t="str">
        <f ca="1">IFERROR(__xludf.DUMMYFUNCTION("""COMPUTED_VALUE"""),"KR_res_mf_low_2001_2010_Roof_FlatRoof")</f>
        <v>KR_res_mf_low_2001_2010_Roof_FlatRoof</v>
      </c>
      <c r="C9" s="15" t="str">
        <f ca="1">IFERROR(__xludf.DUMMYFUNCTION("""COMPUTED_VALUE"""),"KR_res_mf_low_2001_2010_Wall_Facade")</f>
        <v>KR_res_mf_low_2001_2010_Wall_Facade</v>
      </c>
      <c r="E9" s="15" t="str">
        <f ca="1">IFERROR(__xludf.DUMMYFUNCTION("""COMPUTED_VALUE"""),"KR_res_mf_low_2001_2010_Slab_GroundSlab")</f>
        <v>KR_res_mf_low_2001_2010_Slab_GroundSlab</v>
      </c>
      <c r="F9" s="15" t="str">
        <f ca="1">IFERROR(__xludf.DUMMYFUNCTION("""COMPUTED_VALUE"""),"KR_retail_medium_FloorCeiling_FloorCeiling")</f>
        <v>KR_retail_medium_FloorCeiling_FloorCeiling</v>
      </c>
      <c r="G9" s="15" t="str">
        <f ca="1">IFERROR(__xludf.DUMMYFUNCTION("""COMPUTED_VALUE"""),"KR_retail_medium_GroundWall_GroundWall")</f>
        <v>KR_retail_medium_GroundWall_GroundWall</v>
      </c>
      <c r="H9" s="15" t="str">
        <f ca="1">IFERROR(__xludf.DUMMYFUNCTION("""COMPUTED_VALUE"""),"KR_retail_medium_InternalMass_InternalMass")</f>
        <v>KR_retail_medium_InternalMass_InternalMass</v>
      </c>
      <c r="I9" s="15" t="str">
        <f ca="1">IFERROR(__xludf.DUMMYFUNCTION("""COMPUTED_VALUE"""),"KR_retail_medium_BasementCeiling_BasementCeiling")</f>
        <v>KR_retail_medium_BasementCeiling_BasementCeiling</v>
      </c>
    </row>
    <row r="10" spans="1:12" ht="17.25" customHeight="1">
      <c r="A10" s="15" t="str">
        <f ca="1">IFERROR(__xludf.DUMMYFUNCTION("""COMPUTED_VALUE"""),"KR_retail_large_Partition_Partition")</f>
        <v>KR_retail_large_Partition_Partition</v>
      </c>
      <c r="B10" s="15" t="str">
        <f ca="1">IFERROR(__xludf.DUMMYFUNCTION("""COMPUTED_VALUE"""),"KR_res_mf_low_2011_2018_Roof_FlatRoof")</f>
        <v>KR_res_mf_low_2011_2018_Roof_FlatRoof</v>
      </c>
      <c r="C10" s="15" t="str">
        <f ca="1">IFERROR(__xludf.DUMMYFUNCTION("""COMPUTED_VALUE"""),"KR_res_mf_low_2011_2018_Wall_Facade")</f>
        <v>KR_res_mf_low_2011_2018_Wall_Facade</v>
      </c>
      <c r="E10" s="15" t="str">
        <f ca="1">IFERROR(__xludf.DUMMYFUNCTION("""COMPUTED_VALUE"""),"KR_res_mf_low_2011_2018_Slab_GroundSlab")</f>
        <v>KR_res_mf_low_2011_2018_Slab_GroundSlab</v>
      </c>
      <c r="F10" s="15" t="str">
        <f ca="1">IFERROR(__xludf.DUMMYFUNCTION("""COMPUTED_VALUE"""),"KR_retail_large_FloorCeiling_FloorCeiling")</f>
        <v>KR_retail_large_FloorCeiling_FloorCeiling</v>
      </c>
      <c r="G10" s="15" t="str">
        <f ca="1">IFERROR(__xludf.DUMMYFUNCTION("""COMPUTED_VALUE"""),"KR_retail_large_GroundWall_GroundWall")</f>
        <v>KR_retail_large_GroundWall_GroundWall</v>
      </c>
      <c r="H10" s="15" t="str">
        <f ca="1">IFERROR(__xludf.DUMMYFUNCTION("""COMPUTED_VALUE"""),"KR_retail_large_InternalMass_InternalMass")</f>
        <v>KR_retail_large_InternalMass_InternalMass</v>
      </c>
      <c r="I10" s="15" t="str">
        <f ca="1">IFERROR(__xludf.DUMMYFUNCTION("""COMPUTED_VALUE"""),"KR_retail_large_BasementCeiling_BasementCeiling")</f>
        <v>KR_retail_large_BasementCeiling_BasementCeiling</v>
      </c>
    </row>
    <row r="11" spans="1:12" ht="17.25" customHeight="1">
      <c r="A11" s="15" t="str">
        <f ca="1">IFERROR(__xludf.DUMMYFUNCTION("""COMPUTED_VALUE"""),"KR_school_Partition_Partition")</f>
        <v>KR_school_Partition_Partition</v>
      </c>
      <c r="B11" s="15" t="str">
        <f ca="1">IFERROR(__xludf.DUMMYFUNCTION("""COMPUTED_VALUE"""),"KR_res_mf_low_post2019_Roof_FlatRoof")</f>
        <v>KR_res_mf_low_post2019_Roof_FlatRoof</v>
      </c>
      <c r="C11" s="15" t="str">
        <f ca="1">IFERROR(__xludf.DUMMYFUNCTION("""COMPUTED_VALUE"""),"KR_res_mf_low_post2019_Wall_Facade")</f>
        <v>KR_res_mf_low_post2019_Wall_Facade</v>
      </c>
      <c r="E11" s="15" t="str">
        <f ca="1">IFERROR(__xludf.DUMMYFUNCTION("""COMPUTED_VALUE"""),"KR_res_mf_low_post2019_Slab_GroundSlab")</f>
        <v>KR_res_mf_low_post2019_Slab_GroundSlab</v>
      </c>
      <c r="F11" s="15" t="str">
        <f ca="1">IFERROR(__xludf.DUMMYFUNCTION("""COMPUTED_VALUE"""),"KR_school_FloorCeiling_FloorCeiling")</f>
        <v>KR_school_FloorCeiling_FloorCeiling</v>
      </c>
      <c r="G11" s="15" t="str">
        <f ca="1">IFERROR(__xludf.DUMMYFUNCTION("""COMPUTED_VALUE"""),"KR_school_GroundWall_GroundWall")</f>
        <v>KR_school_GroundWall_GroundWall</v>
      </c>
      <c r="H11" s="15" t="str">
        <f ca="1">IFERROR(__xludf.DUMMYFUNCTION("""COMPUTED_VALUE"""),"KR_school_InternalMass_InternalMass")</f>
        <v>KR_school_InternalMass_InternalMass</v>
      </c>
      <c r="I11" s="15" t="str">
        <f ca="1">IFERROR(__xludf.DUMMYFUNCTION("""COMPUTED_VALUE"""),"KR_school_BasementCeiling_BasementCeiling")</f>
        <v>KR_school_BasementCeiling_BasementCeiling</v>
      </c>
    </row>
    <row r="12" spans="1:12" ht="17.25" customHeight="1">
      <c r="A12" s="15" t="str">
        <f ca="1">IFERROR(__xludf.DUMMYFUNCTION("""COMPUTED_VALUE"""),"KR_hospital_Partition_Partition")</f>
        <v>KR_hospital_Partition_Partition</v>
      </c>
      <c r="B12" s="15" t="str">
        <f ca="1">IFERROR(__xludf.DUMMYFUNCTION("""COMPUTED_VALUE"""),"KR_res_mf_high_pre1988_Roof_FlatRoof")</f>
        <v>KR_res_mf_high_pre1988_Roof_FlatRoof</v>
      </c>
      <c r="C12" s="15" t="str">
        <f ca="1">IFERROR(__xludf.DUMMYFUNCTION("""COMPUTED_VALUE"""),"KR_res_mf_high_pre1988_Wall_Facade")</f>
        <v>KR_res_mf_high_pre1988_Wall_Facade</v>
      </c>
      <c r="E12" s="15" t="str">
        <f ca="1">IFERROR(__xludf.DUMMYFUNCTION("""COMPUTED_VALUE"""),"KR_res_mf_high_pre1988_Slab_GroundSlab")</f>
        <v>KR_res_mf_high_pre1988_Slab_GroundSlab</v>
      </c>
      <c r="F12" s="15" t="str">
        <f ca="1">IFERROR(__xludf.DUMMYFUNCTION("""COMPUTED_VALUE"""),"KR_hospital_FloorCeiling_FloorCeiling")</f>
        <v>KR_hospital_FloorCeiling_FloorCeiling</v>
      </c>
      <c r="G12" s="15" t="str">
        <f ca="1">IFERROR(__xludf.DUMMYFUNCTION("""COMPUTED_VALUE"""),"KR_hospital_GroundWall_GroundWall")</f>
        <v>KR_hospital_GroundWall_GroundWall</v>
      </c>
      <c r="H12" s="15" t="str">
        <f ca="1">IFERROR(__xludf.DUMMYFUNCTION("""COMPUTED_VALUE"""),"KR_hospital_InternalMass_InternalMass")</f>
        <v>KR_hospital_InternalMass_InternalMass</v>
      </c>
      <c r="I12" s="15" t="str">
        <f ca="1">IFERROR(__xludf.DUMMYFUNCTION("""COMPUTED_VALUE"""),"KR_hospital_BasementCeiling_BasementCeiling")</f>
        <v>KR_hospital_BasementCeiling_BasementCeiling</v>
      </c>
    </row>
    <row r="13" spans="1:12" ht="17.25" customHeight="1">
      <c r="A13" s="15" t="str">
        <f ca="1">IFERROR(__xludf.DUMMYFUNCTION("""COMPUTED_VALUE"""),"KR_welfare_Partition_Partition")</f>
        <v>KR_welfare_Partition_Partition</v>
      </c>
      <c r="B13" s="15" t="str">
        <f ca="1">IFERROR(__xludf.DUMMYFUNCTION("""COMPUTED_VALUE"""),"KR_res_mf_high_1988_2000_Roof_FlatRoof")</f>
        <v>KR_res_mf_high_1988_2000_Roof_FlatRoof</v>
      </c>
      <c r="C13" s="15" t="str">
        <f ca="1">IFERROR(__xludf.DUMMYFUNCTION("""COMPUTED_VALUE"""),"KR_res_mf_high_1988_2000_Wall_Facade")</f>
        <v>KR_res_mf_high_1988_2000_Wall_Facade</v>
      </c>
      <c r="E13" s="15" t="str">
        <f ca="1">IFERROR(__xludf.DUMMYFUNCTION("""COMPUTED_VALUE"""),"KR_res_mf_high_1988_2000_Slab_GroundSlab")</f>
        <v>KR_res_mf_high_1988_2000_Slab_GroundSlab</v>
      </c>
      <c r="F13" s="15" t="str">
        <f ca="1">IFERROR(__xludf.DUMMYFUNCTION("""COMPUTED_VALUE"""),"KR_welfare_FloorCeiling_FloorCeiling")</f>
        <v>KR_welfare_FloorCeiling_FloorCeiling</v>
      </c>
      <c r="G13" s="15" t="str">
        <f ca="1">IFERROR(__xludf.DUMMYFUNCTION("""COMPUTED_VALUE"""),"KR_welfare_GroundWall_GroundWall")</f>
        <v>KR_welfare_GroundWall_GroundWall</v>
      </c>
      <c r="H13" s="15" t="str">
        <f ca="1">IFERROR(__xludf.DUMMYFUNCTION("""COMPUTED_VALUE"""),"KR_welfare_InternalMass_InternalMass")</f>
        <v>KR_welfare_InternalMass_InternalMass</v>
      </c>
      <c r="I13" s="15" t="str">
        <f ca="1">IFERROR(__xludf.DUMMYFUNCTION("""COMPUTED_VALUE"""),"KR_welfare_BasementCeiling_BasementCeiling")</f>
        <v>KR_welfare_BasementCeiling_BasementCeiling</v>
      </c>
    </row>
    <row r="14" spans="1:12" ht="17.25" customHeight="1">
      <c r="A14" s="15" t="str">
        <f ca="1">IFERROR(__xludf.DUMMYFUNCTION("""COMPUTED_VALUE"""),"KR_culture_Partition_Partition")</f>
        <v>KR_culture_Partition_Partition</v>
      </c>
      <c r="B14" s="15" t="str">
        <f ca="1">IFERROR(__xludf.DUMMYFUNCTION("""COMPUTED_VALUE"""),"KR_res_mf_high_2001_2010_Roof_FlatRoof")</f>
        <v>KR_res_mf_high_2001_2010_Roof_FlatRoof</v>
      </c>
      <c r="C14" s="15" t="str">
        <f ca="1">IFERROR(__xludf.DUMMYFUNCTION("""COMPUTED_VALUE"""),"KR_res_mf_high_2001_2010_Wall_Facade")</f>
        <v>KR_res_mf_high_2001_2010_Wall_Facade</v>
      </c>
      <c r="E14" s="15" t="str">
        <f ca="1">IFERROR(__xludf.DUMMYFUNCTION("""COMPUTED_VALUE"""),"KR_res_mf_high_2001_2010_Slab_GroundSlab")</f>
        <v>KR_res_mf_high_2001_2010_Slab_GroundSlab</v>
      </c>
      <c r="F14" s="15" t="str">
        <f ca="1">IFERROR(__xludf.DUMMYFUNCTION("""COMPUTED_VALUE"""),"KR_culture_FloorCeiling_FloorCeiling")</f>
        <v>KR_culture_FloorCeiling_FloorCeiling</v>
      </c>
      <c r="G14" s="15" t="str">
        <f ca="1">IFERROR(__xludf.DUMMYFUNCTION("""COMPUTED_VALUE"""),"KR_culture_GroundWall_GroundWall")</f>
        <v>KR_culture_GroundWall_GroundWall</v>
      </c>
      <c r="H14" s="15" t="str">
        <f ca="1">IFERROR(__xludf.DUMMYFUNCTION("""COMPUTED_VALUE"""),"KR_culture_InternalMass_InternalMass")</f>
        <v>KR_culture_InternalMass_InternalMass</v>
      </c>
      <c r="I14" s="15" t="str">
        <f ca="1">IFERROR(__xludf.DUMMYFUNCTION("""COMPUTED_VALUE"""),"KR_culture_BasementCeiling_BasementCeiling")</f>
        <v>KR_culture_BasementCeiling_BasementCeiling</v>
      </c>
    </row>
    <row r="15" spans="1:12" ht="17.25" customHeight="1">
      <c r="A15" s="15" t="str">
        <f ca="1">IFERROR(__xludf.DUMMYFUNCTION("""COMPUTED_VALUE"""),"KR_religious_Partition_Partition")</f>
        <v>KR_religious_Partition_Partition</v>
      </c>
      <c r="B15" s="15" t="str">
        <f ca="1">IFERROR(__xludf.DUMMYFUNCTION("""COMPUTED_VALUE"""),"KR_res_mf_high_2011_2018_Roof_FlatRoof")</f>
        <v>KR_res_mf_high_2011_2018_Roof_FlatRoof</v>
      </c>
      <c r="C15" s="15" t="str">
        <f ca="1">IFERROR(__xludf.DUMMYFUNCTION("""COMPUTED_VALUE"""),"KR_res_mf_high_2011_2018_Wall_Facade")</f>
        <v>KR_res_mf_high_2011_2018_Wall_Facade</v>
      </c>
      <c r="E15" s="15" t="str">
        <f ca="1">IFERROR(__xludf.DUMMYFUNCTION("""COMPUTED_VALUE"""),"KR_res_mf_high_2011_2018_Slab_GroundSlab")</f>
        <v>KR_res_mf_high_2011_2018_Slab_GroundSlab</v>
      </c>
      <c r="F15" s="15" t="str">
        <f ca="1">IFERROR(__xludf.DUMMYFUNCTION("""COMPUTED_VALUE"""),"KR_religious_FloorCeiling_FloorCeiling")</f>
        <v>KR_religious_FloorCeiling_FloorCeiling</v>
      </c>
      <c r="G15" s="15" t="str">
        <f ca="1">IFERROR(__xludf.DUMMYFUNCTION("""COMPUTED_VALUE"""),"KR_religious_GroundWall_GroundWall")</f>
        <v>KR_religious_GroundWall_GroundWall</v>
      </c>
      <c r="H15" s="15" t="str">
        <f ca="1">IFERROR(__xludf.DUMMYFUNCTION("""COMPUTED_VALUE"""),"KR_religious_InternalMass_InternalMass")</f>
        <v>KR_religious_InternalMass_InternalMass</v>
      </c>
      <c r="I15" s="15" t="str">
        <f ca="1">IFERROR(__xludf.DUMMYFUNCTION("""COMPUTED_VALUE"""),"KR_religious_BasementCeiling_BasementCeiling")</f>
        <v>KR_religious_BasementCeiling_BasementCeiling</v>
      </c>
    </row>
    <row r="16" spans="1:12" ht="17.25" customHeight="1">
      <c r="A16" s="15" t="str">
        <f ca="1">IFERROR(__xludf.DUMMYFUNCTION("""COMPUTED_VALUE"""),"KR_factory_Partition_Partition")</f>
        <v>KR_factory_Partition_Partition</v>
      </c>
      <c r="B16" s="15" t="str">
        <f ca="1">IFERROR(__xludf.DUMMYFUNCTION("""COMPUTED_VALUE"""),"KR_res_mf_high_post2019_Roof_FlatRoof")</f>
        <v>KR_res_mf_high_post2019_Roof_FlatRoof</v>
      </c>
      <c r="C16" s="15" t="str">
        <f ca="1">IFERROR(__xludf.DUMMYFUNCTION("""COMPUTED_VALUE"""),"KR_res_mf_high_post2019_Wall_Facade")</f>
        <v>KR_res_mf_high_post2019_Wall_Facade</v>
      </c>
      <c r="E16" s="15" t="str">
        <f ca="1">IFERROR(__xludf.DUMMYFUNCTION("""COMPUTED_VALUE"""),"KR_res_mf_high_post2019_Slab_GroundSlab")</f>
        <v>KR_res_mf_high_post2019_Slab_GroundSlab</v>
      </c>
      <c r="F16" s="15" t="str">
        <f ca="1">IFERROR(__xludf.DUMMYFUNCTION("""COMPUTED_VALUE"""),"KR_factory_FloorCeiling_FloorCeiling")</f>
        <v>KR_factory_FloorCeiling_FloorCeiling</v>
      </c>
      <c r="G16" s="15" t="str">
        <f ca="1">IFERROR(__xludf.DUMMYFUNCTION("""COMPUTED_VALUE"""),"KR_hotel_GroundWall_GroundWall")</f>
        <v>KR_hotel_GroundWall_GroundWall</v>
      </c>
      <c r="H16" s="15" t="str">
        <f ca="1">IFERROR(__xludf.DUMMYFUNCTION("""COMPUTED_VALUE"""),"KR_factory_InternalMass_InternalMass")</f>
        <v>KR_factory_InternalMass_InternalMass</v>
      </c>
      <c r="I16" s="15" t="str">
        <f ca="1">IFERROR(__xludf.DUMMYFUNCTION("""COMPUTED_VALUE"""),"KR_hotel_BasementCeiling_BasementCeiling")</f>
        <v>KR_hotel_BasementCeiling_BasementCeiling</v>
      </c>
    </row>
    <row r="17" spans="1:9" ht="17.25" customHeight="1">
      <c r="A17" s="15" t="str">
        <f ca="1">IFERROR(__xludf.DUMMYFUNCTION("""COMPUTED_VALUE"""),"KR_warehouse_Partition_Partition")</f>
        <v>KR_warehouse_Partition_Partition</v>
      </c>
      <c r="B17" s="15" t="str">
        <f ca="1">IFERROR(__xludf.DUMMYFUNCTION("""COMPUTED_VALUE"""),"KR_office_small_pre1988_Roof_FlatRoof")</f>
        <v>KR_office_small_pre1988_Roof_FlatRoof</v>
      </c>
      <c r="C17" s="15" t="str">
        <f ca="1">IFERROR(__xludf.DUMMYFUNCTION("""COMPUTED_VALUE"""),"KR_office_small_pre1988_Wall_Facade")</f>
        <v>KR_office_small_pre1988_Wall_Facade</v>
      </c>
      <c r="E17" s="15" t="str">
        <f ca="1">IFERROR(__xludf.DUMMYFUNCTION("""COMPUTED_VALUE"""),"KR_office_small_pre1988_Slab_GroundSlab")</f>
        <v>KR_office_small_pre1988_Slab_GroundSlab</v>
      </c>
      <c r="F17" s="15" t="str">
        <f ca="1">IFERROR(__xludf.DUMMYFUNCTION("""COMPUTED_VALUE"""),"KR_warehouse_FloorCeiling_FloorCeiling")</f>
        <v>KR_warehouse_FloorCeiling_FloorCeiling</v>
      </c>
      <c r="G17" s="15" t="str">
        <f ca="1">IFERROR(__xludf.DUMMYFUNCTION("""COMPUTED_VALUE"""),"KR_data_GroundWall_GroundWall")</f>
        <v>KR_data_GroundWall_GroundWall</v>
      </c>
      <c r="H17" s="15" t="str">
        <f ca="1">IFERROR(__xludf.DUMMYFUNCTION("""COMPUTED_VALUE"""),"KR_warehouse_InternalMass_InternalMass")</f>
        <v>KR_warehouse_InternalMass_InternalMass</v>
      </c>
      <c r="I17" s="15" t="str">
        <f ca="1">IFERROR(__xludf.DUMMYFUNCTION("""COMPUTED_VALUE"""),"KR_data_BasementCeiling_BasementCeiling")</f>
        <v>KR_data_BasementCeiling_BasementCeiling</v>
      </c>
    </row>
    <row r="18" spans="1:9" ht="17.25" customHeight="1">
      <c r="A18" s="15" t="str">
        <f ca="1">IFERROR(__xludf.DUMMYFUNCTION("""COMPUTED_VALUE"""),"KR_hotel_Partition_Partition")</f>
        <v>KR_hotel_Partition_Partition</v>
      </c>
      <c r="B18" s="15" t="str">
        <f ca="1">IFERROR(__xludf.DUMMYFUNCTION("""COMPUTED_VALUE"""),"KR_office_small_1988_2000_Roof_FlatRoof")</f>
        <v>KR_office_small_1988_2000_Roof_FlatRoof</v>
      </c>
      <c r="C18" s="15" t="str">
        <f ca="1">IFERROR(__xludf.DUMMYFUNCTION("""COMPUTED_VALUE"""),"KR_office_small_1988_2000_Wall_Facade")</f>
        <v>KR_office_small_1988_2000_Wall_Facade</v>
      </c>
      <c r="E18" s="15" t="str">
        <f ca="1">IFERROR(__xludf.DUMMYFUNCTION("""COMPUTED_VALUE"""),"KR_office_small_1988_2000_Slab_GroundSlab")</f>
        <v>KR_office_small_1988_2000_Slab_GroundSlab</v>
      </c>
      <c r="F18" s="15" t="str">
        <f ca="1">IFERROR(__xludf.DUMMYFUNCTION("""COMPUTED_VALUE"""),"KR_hotel_FloorCeiling_FloorCeiling")</f>
        <v>KR_hotel_FloorCeiling_FloorCeiling</v>
      </c>
      <c r="G18" s="15" t="str">
        <f ca="1">IFERROR(__xludf.DUMMYFUNCTION("""COMPUTED_VALUE"""),"KR_etc_GroundWall_GroundWall")</f>
        <v>KR_etc_GroundWall_GroundWall</v>
      </c>
      <c r="H18" s="15" t="str">
        <f ca="1">IFERROR(__xludf.DUMMYFUNCTION("""COMPUTED_VALUE"""),"KR_hotel_InternalMass_InternalMass")</f>
        <v>KR_hotel_InternalMass_InternalMass</v>
      </c>
      <c r="I18" s="15" t="str">
        <f ca="1">IFERROR(__xludf.DUMMYFUNCTION("""COMPUTED_VALUE"""),"KR_etc_BasementCeiling_BasementCeiling")</f>
        <v>KR_etc_BasementCeiling_BasementCeiling</v>
      </c>
    </row>
    <row r="19" spans="1:9" ht="17.25" customHeight="1">
      <c r="A19" s="15" t="str">
        <f ca="1">IFERROR(__xludf.DUMMYFUNCTION("""COMPUTED_VALUE"""),"KR_data_Partition_Partition")</f>
        <v>KR_data_Partition_Partition</v>
      </c>
      <c r="B19" s="15" t="str">
        <f ca="1">IFERROR(__xludf.DUMMYFUNCTION("""COMPUTED_VALUE"""),"KR_office_small_2001_2010_Roof_FlatRoof")</f>
        <v>KR_office_small_2001_2010_Roof_FlatRoof</v>
      </c>
      <c r="C19" s="15" t="str">
        <f ca="1">IFERROR(__xludf.DUMMYFUNCTION("""COMPUTED_VALUE"""),"KR_office_small_2001_2010_Wall_Facade")</f>
        <v>KR_office_small_2001_2010_Wall_Facade</v>
      </c>
      <c r="E19" s="15" t="str">
        <f ca="1">IFERROR(__xludf.DUMMYFUNCTION("""COMPUTED_VALUE"""),"KR_office_small_2001_2010_Slab_GroundSlab")</f>
        <v>KR_office_small_2001_2010_Slab_GroundSlab</v>
      </c>
      <c r="F19" s="15" t="str">
        <f ca="1">IFERROR(__xludf.DUMMYFUNCTION("""COMPUTED_VALUE"""),"KR_data_FloorCeiling_FloorCeiling")</f>
        <v>KR_data_FloorCeiling_FloorCeiling</v>
      </c>
      <c r="H19" s="15" t="str">
        <f ca="1">IFERROR(__xludf.DUMMYFUNCTION("""COMPUTED_VALUE"""),"KR_data_InternalMass_InternalMass")</f>
        <v>KR_data_InternalMass_InternalMass</v>
      </c>
    </row>
    <row r="20" spans="1:9" ht="17.25" customHeight="1">
      <c r="A20" s="15" t="str">
        <f ca="1">IFERROR(__xludf.DUMMYFUNCTION("""COMPUTED_VALUE"""),"KR_etc_Partition_Partition")</f>
        <v>KR_etc_Partition_Partition</v>
      </c>
      <c r="B20" s="15" t="str">
        <f ca="1">IFERROR(__xludf.DUMMYFUNCTION("""COMPUTED_VALUE"""),"KR_office_small_2011_2018_Roof_FlatRoof")</f>
        <v>KR_office_small_2011_2018_Roof_FlatRoof</v>
      </c>
      <c r="C20" s="15" t="str">
        <f ca="1">IFERROR(__xludf.DUMMYFUNCTION("""COMPUTED_VALUE"""),"KR_office_small_2011_2018_Wall_Facade")</f>
        <v>KR_office_small_2011_2018_Wall_Facade</v>
      </c>
      <c r="E20" s="15" t="str">
        <f ca="1">IFERROR(__xludf.DUMMYFUNCTION("""COMPUTED_VALUE"""),"KR_office_small_2011_2018_Slab_GroundSlab")</f>
        <v>KR_office_small_2011_2018_Slab_GroundSlab</v>
      </c>
      <c r="F20" s="15" t="str">
        <f ca="1">IFERROR(__xludf.DUMMYFUNCTION("""COMPUTED_VALUE"""),"KR_etc_FloorCeiling_FloorCeiling")</f>
        <v>KR_etc_FloorCeiling_FloorCeiling</v>
      </c>
      <c r="H20" s="15" t="str">
        <f ca="1">IFERROR(__xludf.DUMMYFUNCTION("""COMPUTED_VALUE"""),"KR_etc_InternalMass_InternalMass")</f>
        <v>KR_etc_InternalMass_InternalMass</v>
      </c>
    </row>
    <row r="21" spans="1:9" ht="17.25" customHeight="1">
      <c r="B21" s="15" t="str">
        <f ca="1">IFERROR(__xludf.DUMMYFUNCTION("""COMPUTED_VALUE"""),"KR_office_small_post2019_Roof_FlatRoof")</f>
        <v>KR_office_small_post2019_Roof_FlatRoof</v>
      </c>
      <c r="C21" s="15" t="str">
        <f ca="1">IFERROR(__xludf.DUMMYFUNCTION("""COMPUTED_VALUE"""),"KR_office_small_post2019_Wall_Facade")</f>
        <v>KR_office_small_post2019_Wall_Facade</v>
      </c>
      <c r="E21" s="15" t="str">
        <f ca="1">IFERROR(__xludf.DUMMYFUNCTION("""COMPUTED_VALUE"""),"KR_office_small_post2019_Slab_GroundSlab")</f>
        <v>KR_office_small_post2019_Slab_GroundSlab</v>
      </c>
    </row>
    <row r="22" spans="1:9" ht="17.25" customHeight="1">
      <c r="B22" s="15" t="str">
        <f ca="1">IFERROR(__xludf.DUMMYFUNCTION("""COMPUTED_VALUE"""),"KR_office_medium_pre1988_Roof_FlatRoof")</f>
        <v>KR_office_medium_pre1988_Roof_FlatRoof</v>
      </c>
      <c r="C22" s="15" t="str">
        <f ca="1">IFERROR(__xludf.DUMMYFUNCTION("""COMPUTED_VALUE"""),"KR_office_medium_pre1988_Wall_Facade")</f>
        <v>KR_office_medium_pre1988_Wall_Facade</v>
      </c>
      <c r="E22" s="15" t="str">
        <f ca="1">IFERROR(__xludf.DUMMYFUNCTION("""COMPUTED_VALUE"""),"KR_office_medium_pre1988_Slab_GroundSlab")</f>
        <v>KR_office_medium_pre1988_Slab_GroundSlab</v>
      </c>
    </row>
    <row r="23" spans="1:9" ht="17.25" customHeight="1">
      <c r="B23" s="15" t="str">
        <f ca="1">IFERROR(__xludf.DUMMYFUNCTION("""COMPUTED_VALUE"""),"KR_office_medium_1988_2000_Roof_FlatRoof")</f>
        <v>KR_office_medium_1988_2000_Roof_FlatRoof</v>
      </c>
      <c r="C23" s="15" t="str">
        <f ca="1">IFERROR(__xludf.DUMMYFUNCTION("""COMPUTED_VALUE"""),"KR_office_medium_1988_2000_Wall_Facade")</f>
        <v>KR_office_medium_1988_2000_Wall_Facade</v>
      </c>
      <c r="E23" s="15" t="str">
        <f ca="1">IFERROR(__xludf.DUMMYFUNCTION("""COMPUTED_VALUE"""),"KR_office_medium_1988_2000_Slab_GroundSlab")</f>
        <v>KR_office_medium_1988_2000_Slab_GroundSlab</v>
      </c>
    </row>
    <row r="24" spans="1:9" ht="17.25" customHeight="1">
      <c r="B24" s="15" t="str">
        <f ca="1">IFERROR(__xludf.DUMMYFUNCTION("""COMPUTED_VALUE"""),"KR_office_medium_2001_2010_Roof_FlatRoof")</f>
        <v>KR_office_medium_2001_2010_Roof_FlatRoof</v>
      </c>
      <c r="C24" s="15" t="str">
        <f ca="1">IFERROR(__xludf.DUMMYFUNCTION("""COMPUTED_VALUE"""),"KR_office_medium_2001_2010_Wall_Facade")</f>
        <v>KR_office_medium_2001_2010_Wall_Facade</v>
      </c>
      <c r="E24" s="15" t="str">
        <f ca="1">IFERROR(__xludf.DUMMYFUNCTION("""COMPUTED_VALUE"""),"KR_office_medium_2001_2010_Slab_GroundSlab")</f>
        <v>KR_office_medium_2001_2010_Slab_GroundSlab</v>
      </c>
    </row>
    <row r="25" spans="1:9" ht="17.25" customHeight="1">
      <c r="B25" s="15" t="str">
        <f ca="1">IFERROR(__xludf.DUMMYFUNCTION("""COMPUTED_VALUE"""),"KR_office_medium_2011_2018_Roof_FlatRoof")</f>
        <v>KR_office_medium_2011_2018_Roof_FlatRoof</v>
      </c>
      <c r="C25" s="15" t="str">
        <f ca="1">IFERROR(__xludf.DUMMYFUNCTION("""COMPUTED_VALUE"""),"KR_office_medium_2011_2018_Wall_Facade")</f>
        <v>KR_office_medium_2011_2018_Wall_Facade</v>
      </c>
      <c r="E25" s="15" t="str">
        <f ca="1">IFERROR(__xludf.DUMMYFUNCTION("""COMPUTED_VALUE"""),"KR_office_medium_2011_2018_Slab_GroundSlab")</f>
        <v>KR_office_medium_2011_2018_Slab_GroundSlab</v>
      </c>
    </row>
    <row r="26" spans="1:9" ht="17.25" customHeight="1">
      <c r="B26" s="15" t="str">
        <f ca="1">IFERROR(__xludf.DUMMYFUNCTION("""COMPUTED_VALUE"""),"KR_office_medium_post2019_Roof_FlatRoof")</f>
        <v>KR_office_medium_post2019_Roof_FlatRoof</v>
      </c>
      <c r="C26" s="15" t="str">
        <f ca="1">IFERROR(__xludf.DUMMYFUNCTION("""COMPUTED_VALUE"""),"KR_office_medium_post2019_Wall_Facade")</f>
        <v>KR_office_medium_post2019_Wall_Facade</v>
      </c>
      <c r="E26" s="15" t="str">
        <f ca="1">IFERROR(__xludf.DUMMYFUNCTION("""COMPUTED_VALUE"""),"KR_office_medium_post2019_Slab_GroundSlab")</f>
        <v>KR_office_medium_post2019_Slab_GroundSlab</v>
      </c>
    </row>
    <row r="27" spans="1:9" ht="17.25" customHeight="1">
      <c r="B27" s="15" t="str">
        <f ca="1">IFERROR(__xludf.DUMMYFUNCTION("""COMPUTED_VALUE"""),"KR_office_large_pre1988_Roof_FlatRoof")</f>
        <v>KR_office_large_pre1988_Roof_FlatRoof</v>
      </c>
      <c r="C27" s="15" t="str">
        <f ca="1">IFERROR(__xludf.DUMMYFUNCTION("""COMPUTED_VALUE"""),"KR_office_large_pre1988_Wall_Facade")</f>
        <v>KR_office_large_pre1988_Wall_Facade</v>
      </c>
      <c r="E27" s="15" t="str">
        <f ca="1">IFERROR(__xludf.DUMMYFUNCTION("""COMPUTED_VALUE"""),"KR_office_large_pre1988_Slab_GroundSlab")</f>
        <v>KR_office_large_pre1988_Slab_GroundSlab</v>
      </c>
    </row>
    <row r="28" spans="1:9" ht="17.25" customHeight="1">
      <c r="B28" s="15" t="str">
        <f ca="1">IFERROR(__xludf.DUMMYFUNCTION("""COMPUTED_VALUE"""),"KR_office_large_1988_2000_Roof_FlatRoof")</f>
        <v>KR_office_large_1988_2000_Roof_FlatRoof</v>
      </c>
      <c r="C28" s="15" t="str">
        <f ca="1">IFERROR(__xludf.DUMMYFUNCTION("""COMPUTED_VALUE"""),"KR_office_large_1988_2000_Wall_Facade")</f>
        <v>KR_office_large_1988_2000_Wall_Facade</v>
      </c>
      <c r="E28" s="15" t="str">
        <f ca="1">IFERROR(__xludf.DUMMYFUNCTION("""COMPUTED_VALUE"""),"KR_office_large_1988_2000_Slab_GroundSlab")</f>
        <v>KR_office_large_1988_2000_Slab_GroundSlab</v>
      </c>
    </row>
    <row r="29" spans="1:9" ht="17.25" customHeight="1">
      <c r="B29" s="15" t="str">
        <f ca="1">IFERROR(__xludf.DUMMYFUNCTION("""COMPUTED_VALUE"""),"KR_office_large_2001_2010_Roof_FlatRoof")</f>
        <v>KR_office_large_2001_2010_Roof_FlatRoof</v>
      </c>
      <c r="C29" s="15" t="str">
        <f ca="1">IFERROR(__xludf.DUMMYFUNCTION("""COMPUTED_VALUE"""),"KR_office_large_2001_2010_Wall_Facade")</f>
        <v>KR_office_large_2001_2010_Wall_Facade</v>
      </c>
      <c r="E29" s="15" t="str">
        <f ca="1">IFERROR(__xludf.DUMMYFUNCTION("""COMPUTED_VALUE"""),"KR_office_large_2001_2010_Slab_GroundSlab")</f>
        <v>KR_office_large_2001_2010_Slab_GroundSlab</v>
      </c>
    </row>
    <row r="30" spans="1:9" ht="17.25" customHeight="1">
      <c r="B30" s="15" t="str">
        <f ca="1">IFERROR(__xludf.DUMMYFUNCTION("""COMPUTED_VALUE"""),"KR_office_large_2011_2018_Roof_FlatRoof")</f>
        <v>KR_office_large_2011_2018_Roof_FlatRoof</v>
      </c>
      <c r="C30" s="15" t="str">
        <f ca="1">IFERROR(__xludf.DUMMYFUNCTION("""COMPUTED_VALUE"""),"KR_office_large_2011_2018_Wall_Facade")</f>
        <v>KR_office_large_2011_2018_Wall_Facade</v>
      </c>
      <c r="E30" s="15" t="str">
        <f ca="1">IFERROR(__xludf.DUMMYFUNCTION("""COMPUTED_VALUE"""),"KR_office_large_2011_2018_Slab_GroundSlab")</f>
        <v>KR_office_large_2011_2018_Slab_GroundSlab</v>
      </c>
    </row>
    <row r="31" spans="1:9" ht="17.25" customHeight="1">
      <c r="B31" s="15" t="str">
        <f ca="1">IFERROR(__xludf.DUMMYFUNCTION("""COMPUTED_VALUE"""),"KR_office_large_post2019_Roof_FlatRoof")</f>
        <v>KR_office_large_post2019_Roof_FlatRoof</v>
      </c>
      <c r="C31" s="15" t="str">
        <f ca="1">IFERROR(__xludf.DUMMYFUNCTION("""COMPUTED_VALUE"""),"KR_office_large_post2019_Wall_Facade")</f>
        <v>KR_office_large_post2019_Wall_Facade</v>
      </c>
      <c r="E31" s="15" t="str">
        <f ca="1">IFERROR(__xludf.DUMMYFUNCTION("""COMPUTED_VALUE"""),"KR_office_large_post2019_Slab_GroundSlab")</f>
        <v>KR_office_large_post2019_Slab_GroundSlab</v>
      </c>
    </row>
    <row r="32" spans="1:9" ht="17.25" customHeight="1">
      <c r="B32" s="15" t="str">
        <f ca="1">IFERROR(__xludf.DUMMYFUNCTION("""COMPUTED_VALUE"""),"KR_retail_small_pre1988_Roof_FlatRoof")</f>
        <v>KR_retail_small_pre1988_Roof_FlatRoof</v>
      </c>
      <c r="C32" s="15" t="str">
        <f ca="1">IFERROR(__xludf.DUMMYFUNCTION("""COMPUTED_VALUE"""),"KR_retail_small_pre1988_Wall_Facade")</f>
        <v>KR_retail_small_pre1988_Wall_Facade</v>
      </c>
      <c r="E32" s="15" t="str">
        <f ca="1">IFERROR(__xludf.DUMMYFUNCTION("""COMPUTED_VALUE"""),"KR_retail_small_pre1988_Slab_GroundSlab")</f>
        <v>KR_retail_small_pre1988_Slab_GroundSlab</v>
      </c>
    </row>
    <row r="33" spans="2:5" ht="17.25" customHeight="1">
      <c r="B33" s="15" t="str">
        <f ca="1">IFERROR(__xludf.DUMMYFUNCTION("""COMPUTED_VALUE"""),"KR_retail_small_1988_2000_Roof_FlatRoof")</f>
        <v>KR_retail_small_1988_2000_Roof_FlatRoof</v>
      </c>
      <c r="C33" s="15" t="str">
        <f ca="1">IFERROR(__xludf.DUMMYFUNCTION("""COMPUTED_VALUE"""),"KR_retail_small_1988_2000_Wall_Facade")</f>
        <v>KR_retail_small_1988_2000_Wall_Facade</v>
      </c>
      <c r="E33" s="15" t="str">
        <f ca="1">IFERROR(__xludf.DUMMYFUNCTION("""COMPUTED_VALUE"""),"KR_retail_small_1988_2000_Slab_GroundSlab")</f>
        <v>KR_retail_small_1988_2000_Slab_GroundSlab</v>
      </c>
    </row>
    <row r="34" spans="2:5" ht="17.25" customHeight="1">
      <c r="B34" s="15" t="str">
        <f ca="1">IFERROR(__xludf.DUMMYFUNCTION("""COMPUTED_VALUE"""),"KR_retail_small_2001_2010_Roof_FlatRoof")</f>
        <v>KR_retail_small_2001_2010_Roof_FlatRoof</v>
      </c>
      <c r="C34" s="15" t="str">
        <f ca="1">IFERROR(__xludf.DUMMYFUNCTION("""COMPUTED_VALUE"""),"KR_retail_small_2001_2010_Wall_Facade")</f>
        <v>KR_retail_small_2001_2010_Wall_Facade</v>
      </c>
      <c r="E34" s="15" t="str">
        <f ca="1">IFERROR(__xludf.DUMMYFUNCTION("""COMPUTED_VALUE"""),"KR_retail_small_2001_2010_Slab_GroundSlab")</f>
        <v>KR_retail_small_2001_2010_Slab_GroundSlab</v>
      </c>
    </row>
    <row r="35" spans="2:5" ht="17.25" customHeight="1">
      <c r="B35" s="15" t="str">
        <f ca="1">IFERROR(__xludf.DUMMYFUNCTION("""COMPUTED_VALUE"""),"KR_retail_small_2011_2018_Roof_FlatRoof")</f>
        <v>KR_retail_small_2011_2018_Roof_FlatRoof</v>
      </c>
      <c r="C35" s="15" t="str">
        <f ca="1">IFERROR(__xludf.DUMMYFUNCTION("""COMPUTED_VALUE"""),"KR_retail_small_2011_2018_Wall_Facade")</f>
        <v>KR_retail_small_2011_2018_Wall_Facade</v>
      </c>
      <c r="E35" s="15" t="str">
        <f ca="1">IFERROR(__xludf.DUMMYFUNCTION("""COMPUTED_VALUE"""),"KR_retail_small_2011_2018_Slab_GroundSlab")</f>
        <v>KR_retail_small_2011_2018_Slab_GroundSlab</v>
      </c>
    </row>
    <row r="36" spans="2:5" ht="17.25" customHeight="1">
      <c r="B36" s="15" t="str">
        <f ca="1">IFERROR(__xludf.DUMMYFUNCTION("""COMPUTED_VALUE"""),"KR_retail_small_post2019_Roof_FlatRoof")</f>
        <v>KR_retail_small_post2019_Roof_FlatRoof</v>
      </c>
      <c r="C36" s="15" t="str">
        <f ca="1">IFERROR(__xludf.DUMMYFUNCTION("""COMPUTED_VALUE"""),"KR_retail_small_post2019_Wall_Facade")</f>
        <v>KR_retail_small_post2019_Wall_Facade</v>
      </c>
      <c r="E36" s="15" t="str">
        <f ca="1">IFERROR(__xludf.DUMMYFUNCTION("""COMPUTED_VALUE"""),"KR_retail_small_post2019_Slab_GroundSlab")</f>
        <v>KR_retail_small_post2019_Slab_GroundSlab</v>
      </c>
    </row>
    <row r="37" spans="2:5" ht="17.25" customHeight="1">
      <c r="B37" s="15" t="str">
        <f ca="1">IFERROR(__xludf.DUMMYFUNCTION("""COMPUTED_VALUE"""),"KR_retail_medium_pre1988_Roof_FlatRoof")</f>
        <v>KR_retail_medium_pre1988_Roof_FlatRoof</v>
      </c>
      <c r="C37" s="15" t="str">
        <f ca="1">IFERROR(__xludf.DUMMYFUNCTION("""COMPUTED_VALUE"""),"KR_retail_medium_pre1988_Wall_Facade")</f>
        <v>KR_retail_medium_pre1988_Wall_Facade</v>
      </c>
      <c r="E37" s="15" t="str">
        <f ca="1">IFERROR(__xludf.DUMMYFUNCTION("""COMPUTED_VALUE"""),"KR_retail_medium_pre1988_Slab_GroundSlab")</f>
        <v>KR_retail_medium_pre1988_Slab_GroundSlab</v>
      </c>
    </row>
    <row r="38" spans="2:5" ht="17.25" customHeight="1">
      <c r="B38" s="15" t="str">
        <f ca="1">IFERROR(__xludf.DUMMYFUNCTION("""COMPUTED_VALUE"""),"KR_retail_medium_1988_2000_Roof_FlatRoof")</f>
        <v>KR_retail_medium_1988_2000_Roof_FlatRoof</v>
      </c>
      <c r="C38" s="15" t="str">
        <f ca="1">IFERROR(__xludf.DUMMYFUNCTION("""COMPUTED_VALUE"""),"KR_retail_medium_1988_2000_Wall_Facade")</f>
        <v>KR_retail_medium_1988_2000_Wall_Facade</v>
      </c>
      <c r="E38" s="15" t="str">
        <f ca="1">IFERROR(__xludf.DUMMYFUNCTION("""COMPUTED_VALUE"""),"KR_retail_medium_1988_2000_Slab_GroundSlab")</f>
        <v>KR_retail_medium_1988_2000_Slab_GroundSlab</v>
      </c>
    </row>
    <row r="39" spans="2:5" ht="17.25" customHeight="1">
      <c r="B39" s="15" t="str">
        <f ca="1">IFERROR(__xludf.DUMMYFUNCTION("""COMPUTED_VALUE"""),"KR_retail_medium_2001_2010_Roof_FlatRoof")</f>
        <v>KR_retail_medium_2001_2010_Roof_FlatRoof</v>
      </c>
      <c r="C39" s="15" t="str">
        <f ca="1">IFERROR(__xludf.DUMMYFUNCTION("""COMPUTED_VALUE"""),"KR_retail_medium_2001_2010_Wall_Facade")</f>
        <v>KR_retail_medium_2001_2010_Wall_Facade</v>
      </c>
      <c r="E39" s="15" t="str">
        <f ca="1">IFERROR(__xludf.DUMMYFUNCTION("""COMPUTED_VALUE"""),"KR_retail_medium_2001_2010_Slab_GroundSlab")</f>
        <v>KR_retail_medium_2001_2010_Slab_GroundSlab</v>
      </c>
    </row>
    <row r="40" spans="2:5" ht="17.25" customHeight="1">
      <c r="B40" s="15" t="str">
        <f ca="1">IFERROR(__xludf.DUMMYFUNCTION("""COMPUTED_VALUE"""),"KR_retail_medium_2011_2018_Roof_FlatRoof")</f>
        <v>KR_retail_medium_2011_2018_Roof_FlatRoof</v>
      </c>
      <c r="C40" s="15" t="str">
        <f ca="1">IFERROR(__xludf.DUMMYFUNCTION("""COMPUTED_VALUE"""),"KR_retail_medium_2011_2018_Wall_Facade")</f>
        <v>KR_retail_medium_2011_2018_Wall_Facade</v>
      </c>
      <c r="E40" s="15" t="str">
        <f ca="1">IFERROR(__xludf.DUMMYFUNCTION("""COMPUTED_VALUE"""),"KR_retail_medium_2011_2018_Slab_GroundSlab")</f>
        <v>KR_retail_medium_2011_2018_Slab_GroundSlab</v>
      </c>
    </row>
    <row r="41" spans="2:5" ht="17.25" customHeight="1">
      <c r="B41" s="15" t="str">
        <f ca="1">IFERROR(__xludf.DUMMYFUNCTION("""COMPUTED_VALUE"""),"KR_retail_medium_post2019_Roof_FlatRoof")</f>
        <v>KR_retail_medium_post2019_Roof_FlatRoof</v>
      </c>
      <c r="C41" s="15" t="str">
        <f ca="1">IFERROR(__xludf.DUMMYFUNCTION("""COMPUTED_VALUE"""),"KR_retail_medium_post2019_Wall_Facade")</f>
        <v>KR_retail_medium_post2019_Wall_Facade</v>
      </c>
      <c r="E41" s="15" t="str">
        <f ca="1">IFERROR(__xludf.DUMMYFUNCTION("""COMPUTED_VALUE"""),"KR_retail_medium_post2019_Slab_GroundSlab")</f>
        <v>KR_retail_medium_post2019_Slab_GroundSlab</v>
      </c>
    </row>
    <row r="42" spans="2:5" ht="17.25" customHeight="1">
      <c r="B42" s="15" t="str">
        <f ca="1">IFERROR(__xludf.DUMMYFUNCTION("""COMPUTED_VALUE"""),"KR_retail_large_pre1988_Roof_FlatRoof")</f>
        <v>KR_retail_large_pre1988_Roof_FlatRoof</v>
      </c>
      <c r="C42" s="15" t="str">
        <f ca="1">IFERROR(__xludf.DUMMYFUNCTION("""COMPUTED_VALUE"""),"KR_retail_large_pre1988_Wall_Facade")</f>
        <v>KR_retail_large_pre1988_Wall_Facade</v>
      </c>
      <c r="E42" s="15" t="str">
        <f ca="1">IFERROR(__xludf.DUMMYFUNCTION("""COMPUTED_VALUE"""),"KR_retail_large_pre1988_Slab_GroundSlab")</f>
        <v>KR_retail_large_pre1988_Slab_GroundSlab</v>
      </c>
    </row>
    <row r="43" spans="2:5" ht="17.25" customHeight="1">
      <c r="B43" s="15" t="str">
        <f ca="1">IFERROR(__xludf.DUMMYFUNCTION("""COMPUTED_VALUE"""),"KR_retail_large_1988_2000_Roof_FlatRoof")</f>
        <v>KR_retail_large_1988_2000_Roof_FlatRoof</v>
      </c>
      <c r="C43" s="15" t="str">
        <f ca="1">IFERROR(__xludf.DUMMYFUNCTION("""COMPUTED_VALUE"""),"KR_retail_large_1988_2000_Wall_Facade")</f>
        <v>KR_retail_large_1988_2000_Wall_Facade</v>
      </c>
      <c r="E43" s="15" t="str">
        <f ca="1">IFERROR(__xludf.DUMMYFUNCTION("""COMPUTED_VALUE"""),"KR_retail_large_1988_2000_Slab_GroundSlab")</f>
        <v>KR_retail_large_1988_2000_Slab_GroundSlab</v>
      </c>
    </row>
    <row r="44" spans="2:5" ht="17.25" customHeight="1">
      <c r="B44" s="15" t="str">
        <f ca="1">IFERROR(__xludf.DUMMYFUNCTION("""COMPUTED_VALUE"""),"KR_retail_large_2001_2010_Roof_FlatRoof")</f>
        <v>KR_retail_large_2001_2010_Roof_FlatRoof</v>
      </c>
      <c r="C44" s="15" t="str">
        <f ca="1">IFERROR(__xludf.DUMMYFUNCTION("""COMPUTED_VALUE"""),"KR_retail_large_2001_2010_Wall_Facade")</f>
        <v>KR_retail_large_2001_2010_Wall_Facade</v>
      </c>
      <c r="E44" s="15" t="str">
        <f ca="1">IFERROR(__xludf.DUMMYFUNCTION("""COMPUTED_VALUE"""),"KR_retail_large_2001_2010_Slab_GroundSlab")</f>
        <v>KR_retail_large_2001_2010_Slab_GroundSlab</v>
      </c>
    </row>
    <row r="45" spans="2:5" ht="17.25" customHeight="1">
      <c r="B45" s="15" t="str">
        <f ca="1">IFERROR(__xludf.DUMMYFUNCTION("""COMPUTED_VALUE"""),"KR_retail_large_2011_2018_Roof_FlatRoof")</f>
        <v>KR_retail_large_2011_2018_Roof_FlatRoof</v>
      </c>
      <c r="C45" s="15" t="str">
        <f ca="1">IFERROR(__xludf.DUMMYFUNCTION("""COMPUTED_VALUE"""),"KR_retail_large_2011_2018_Wall_Facade")</f>
        <v>KR_retail_large_2011_2018_Wall_Facade</v>
      </c>
      <c r="E45" s="15" t="str">
        <f ca="1">IFERROR(__xludf.DUMMYFUNCTION("""COMPUTED_VALUE"""),"KR_retail_large_2011_2018_Slab_GroundSlab")</f>
        <v>KR_retail_large_2011_2018_Slab_GroundSlab</v>
      </c>
    </row>
    <row r="46" spans="2:5" ht="17.25" customHeight="1">
      <c r="B46" s="15" t="str">
        <f ca="1">IFERROR(__xludf.DUMMYFUNCTION("""COMPUTED_VALUE"""),"KR_retail_large_post2019_Roof_FlatRoof")</f>
        <v>KR_retail_large_post2019_Roof_FlatRoof</v>
      </c>
      <c r="C46" s="15" t="str">
        <f ca="1">IFERROR(__xludf.DUMMYFUNCTION("""COMPUTED_VALUE"""),"KR_retail_large_post2019_Wall_Facade")</f>
        <v>KR_retail_large_post2019_Wall_Facade</v>
      </c>
      <c r="E46" s="15" t="str">
        <f ca="1">IFERROR(__xludf.DUMMYFUNCTION("""COMPUTED_VALUE"""),"KR_retail_large_post2019_Slab_GroundSlab")</f>
        <v>KR_retail_large_post2019_Slab_GroundSlab</v>
      </c>
    </row>
    <row r="47" spans="2:5" ht="17.25" customHeight="1">
      <c r="B47" s="15" t="str">
        <f ca="1">IFERROR(__xludf.DUMMYFUNCTION("""COMPUTED_VALUE"""),"KR_school_pre1988_Roof_FlatRoof")</f>
        <v>KR_school_pre1988_Roof_FlatRoof</v>
      </c>
      <c r="C47" s="15" t="str">
        <f ca="1">IFERROR(__xludf.DUMMYFUNCTION("""COMPUTED_VALUE"""),"KR_school_pre1988_Wall_Facade")</f>
        <v>KR_school_pre1988_Wall_Facade</v>
      </c>
      <c r="E47" s="15" t="str">
        <f ca="1">IFERROR(__xludf.DUMMYFUNCTION("""COMPUTED_VALUE"""),"KR_school_pre1988_Slab_GroundSlab")</f>
        <v>KR_school_pre1988_Slab_GroundSlab</v>
      </c>
    </row>
    <row r="48" spans="2:5" ht="17.25" customHeight="1">
      <c r="B48" s="15" t="str">
        <f ca="1">IFERROR(__xludf.DUMMYFUNCTION("""COMPUTED_VALUE"""),"KR_school_1988_2000_Roof_FlatRoof")</f>
        <v>KR_school_1988_2000_Roof_FlatRoof</v>
      </c>
      <c r="C48" s="15" t="str">
        <f ca="1">IFERROR(__xludf.DUMMYFUNCTION("""COMPUTED_VALUE"""),"KR_school_1988_2000_Wall_Facade")</f>
        <v>KR_school_1988_2000_Wall_Facade</v>
      </c>
      <c r="E48" s="15" t="str">
        <f ca="1">IFERROR(__xludf.DUMMYFUNCTION("""COMPUTED_VALUE"""),"KR_school_1988_2000_Slab_GroundSlab")</f>
        <v>KR_school_1988_2000_Slab_GroundSlab</v>
      </c>
    </row>
    <row r="49" spans="2:5" ht="17.25" customHeight="1">
      <c r="B49" s="15" t="str">
        <f ca="1">IFERROR(__xludf.DUMMYFUNCTION("""COMPUTED_VALUE"""),"KR_school_2001_2010_Roof_FlatRoof")</f>
        <v>KR_school_2001_2010_Roof_FlatRoof</v>
      </c>
      <c r="C49" s="15" t="str">
        <f ca="1">IFERROR(__xludf.DUMMYFUNCTION("""COMPUTED_VALUE"""),"KR_school_2001_2010_Wall_Facade")</f>
        <v>KR_school_2001_2010_Wall_Facade</v>
      </c>
      <c r="E49" s="15" t="str">
        <f ca="1">IFERROR(__xludf.DUMMYFUNCTION("""COMPUTED_VALUE"""),"KR_school_2001_2010_Slab_GroundSlab")</f>
        <v>KR_school_2001_2010_Slab_GroundSlab</v>
      </c>
    </row>
    <row r="50" spans="2:5" ht="17.25" customHeight="1">
      <c r="B50" s="15" t="str">
        <f ca="1">IFERROR(__xludf.DUMMYFUNCTION("""COMPUTED_VALUE"""),"KR_school_2011_2018_Roof_FlatRoof")</f>
        <v>KR_school_2011_2018_Roof_FlatRoof</v>
      </c>
      <c r="C50" s="15" t="str">
        <f ca="1">IFERROR(__xludf.DUMMYFUNCTION("""COMPUTED_VALUE"""),"KR_school_2011_2018_Wall_Facade")</f>
        <v>KR_school_2011_2018_Wall_Facade</v>
      </c>
      <c r="E50" s="15" t="str">
        <f ca="1">IFERROR(__xludf.DUMMYFUNCTION("""COMPUTED_VALUE"""),"KR_school_2011_2018_Slab_GroundSlab")</f>
        <v>KR_school_2011_2018_Slab_GroundSlab</v>
      </c>
    </row>
    <row r="51" spans="2:5" ht="17.25" customHeight="1">
      <c r="B51" s="15" t="str">
        <f ca="1">IFERROR(__xludf.DUMMYFUNCTION("""COMPUTED_VALUE"""),"KR_school_post2019_Roof_FlatRoof")</f>
        <v>KR_school_post2019_Roof_FlatRoof</v>
      </c>
      <c r="C51" s="15" t="str">
        <f ca="1">IFERROR(__xludf.DUMMYFUNCTION("""COMPUTED_VALUE"""),"KR_school_post2019_Wall_Facade")</f>
        <v>KR_school_post2019_Wall_Facade</v>
      </c>
      <c r="E51" s="15" t="str">
        <f ca="1">IFERROR(__xludf.DUMMYFUNCTION("""COMPUTED_VALUE"""),"KR_school_post2019_Slab_GroundSlab")</f>
        <v>KR_school_post2019_Slab_GroundSlab</v>
      </c>
    </row>
    <row r="52" spans="2:5" ht="17.25" customHeight="1">
      <c r="B52" s="15" t="str">
        <f ca="1">IFERROR(__xludf.DUMMYFUNCTION("""COMPUTED_VALUE"""),"KR_hospital_pre1988_Roof_FlatRoof")</f>
        <v>KR_hospital_pre1988_Roof_FlatRoof</v>
      </c>
      <c r="C52" s="15" t="str">
        <f ca="1">IFERROR(__xludf.DUMMYFUNCTION("""COMPUTED_VALUE"""),"KR_hospital_pre1988_Wall_Facade")</f>
        <v>KR_hospital_pre1988_Wall_Facade</v>
      </c>
      <c r="E52" s="15" t="str">
        <f ca="1">IFERROR(__xludf.DUMMYFUNCTION("""COMPUTED_VALUE"""),"KR_hospital_pre1988_Slab_GroundSlab")</f>
        <v>KR_hospital_pre1988_Slab_GroundSlab</v>
      </c>
    </row>
    <row r="53" spans="2:5" ht="17.25" customHeight="1">
      <c r="B53" s="15" t="str">
        <f ca="1">IFERROR(__xludf.DUMMYFUNCTION("""COMPUTED_VALUE"""),"KR_hospital_1988_2000_Roof_FlatRoof")</f>
        <v>KR_hospital_1988_2000_Roof_FlatRoof</v>
      </c>
      <c r="C53" s="15" t="str">
        <f ca="1">IFERROR(__xludf.DUMMYFUNCTION("""COMPUTED_VALUE"""),"KR_hospital_1988_2000_Wall_Facade")</f>
        <v>KR_hospital_1988_2000_Wall_Facade</v>
      </c>
      <c r="E53" s="15" t="str">
        <f ca="1">IFERROR(__xludf.DUMMYFUNCTION("""COMPUTED_VALUE"""),"KR_hospital_1988_2000_Slab_GroundSlab")</f>
        <v>KR_hospital_1988_2000_Slab_GroundSlab</v>
      </c>
    </row>
    <row r="54" spans="2:5" ht="17.25" customHeight="1">
      <c r="B54" s="15" t="str">
        <f ca="1">IFERROR(__xludf.DUMMYFUNCTION("""COMPUTED_VALUE"""),"KR_hospital_2001_2010_Roof_FlatRoof")</f>
        <v>KR_hospital_2001_2010_Roof_FlatRoof</v>
      </c>
      <c r="C54" s="15" t="str">
        <f ca="1">IFERROR(__xludf.DUMMYFUNCTION("""COMPUTED_VALUE"""),"KR_hospital_2001_2010_Wall_Facade")</f>
        <v>KR_hospital_2001_2010_Wall_Facade</v>
      </c>
      <c r="E54" s="15" t="str">
        <f ca="1">IFERROR(__xludf.DUMMYFUNCTION("""COMPUTED_VALUE"""),"KR_hospital_2001_2010_Slab_GroundSlab")</f>
        <v>KR_hospital_2001_2010_Slab_GroundSlab</v>
      </c>
    </row>
    <row r="55" spans="2:5" ht="17.25" customHeight="1">
      <c r="B55" s="15" t="str">
        <f ca="1">IFERROR(__xludf.DUMMYFUNCTION("""COMPUTED_VALUE"""),"KR_hospital_2011_2018_Roof_FlatRoof")</f>
        <v>KR_hospital_2011_2018_Roof_FlatRoof</v>
      </c>
      <c r="C55" s="15" t="str">
        <f ca="1">IFERROR(__xludf.DUMMYFUNCTION("""COMPUTED_VALUE"""),"KR_hospital_2011_2018_Wall_Facade")</f>
        <v>KR_hospital_2011_2018_Wall_Facade</v>
      </c>
      <c r="E55" s="15" t="str">
        <f ca="1">IFERROR(__xludf.DUMMYFUNCTION("""COMPUTED_VALUE"""),"KR_hospital_2011_2018_Slab_GroundSlab")</f>
        <v>KR_hospital_2011_2018_Slab_GroundSlab</v>
      </c>
    </row>
    <row r="56" spans="2:5" ht="17.25" customHeight="1">
      <c r="B56" s="15" t="str">
        <f ca="1">IFERROR(__xludf.DUMMYFUNCTION("""COMPUTED_VALUE"""),"KR_hospital_post2019_Roof_FlatRoof")</f>
        <v>KR_hospital_post2019_Roof_FlatRoof</v>
      </c>
      <c r="C56" s="15" t="str">
        <f ca="1">IFERROR(__xludf.DUMMYFUNCTION("""COMPUTED_VALUE"""),"KR_hospital_post2019_Wall_Facade")</f>
        <v>KR_hospital_post2019_Wall_Facade</v>
      </c>
      <c r="E56" s="15" t="str">
        <f ca="1">IFERROR(__xludf.DUMMYFUNCTION("""COMPUTED_VALUE"""),"KR_hospital_post2019_Slab_GroundSlab")</f>
        <v>KR_hospital_post2019_Slab_GroundSlab</v>
      </c>
    </row>
    <row r="57" spans="2:5" ht="17.25" customHeight="1">
      <c r="B57" s="15" t="str">
        <f ca="1">IFERROR(__xludf.DUMMYFUNCTION("""COMPUTED_VALUE"""),"KR_welfare_pre1988_Roof_FlatRoof")</f>
        <v>KR_welfare_pre1988_Roof_FlatRoof</v>
      </c>
      <c r="C57" s="15" t="str">
        <f ca="1">IFERROR(__xludf.DUMMYFUNCTION("""COMPUTED_VALUE"""),"KR_welfare_pre1988_Wall_Facade")</f>
        <v>KR_welfare_pre1988_Wall_Facade</v>
      </c>
      <c r="E57" s="15" t="str">
        <f ca="1">IFERROR(__xludf.DUMMYFUNCTION("""COMPUTED_VALUE"""),"KR_welfare_pre1988_Slab_GroundSlab")</f>
        <v>KR_welfare_pre1988_Slab_GroundSlab</v>
      </c>
    </row>
    <row r="58" spans="2:5" ht="17.25" customHeight="1">
      <c r="B58" s="15" t="str">
        <f ca="1">IFERROR(__xludf.DUMMYFUNCTION("""COMPUTED_VALUE"""),"KR_welfare_1988_2000_Roof_FlatRoof")</f>
        <v>KR_welfare_1988_2000_Roof_FlatRoof</v>
      </c>
      <c r="C58" s="15" t="str">
        <f ca="1">IFERROR(__xludf.DUMMYFUNCTION("""COMPUTED_VALUE"""),"KR_welfare_1988_2000_Wall_Facade")</f>
        <v>KR_welfare_1988_2000_Wall_Facade</v>
      </c>
      <c r="E58" s="15" t="str">
        <f ca="1">IFERROR(__xludf.DUMMYFUNCTION("""COMPUTED_VALUE"""),"KR_welfare_1988_2000_Slab_GroundSlab")</f>
        <v>KR_welfare_1988_2000_Slab_GroundSlab</v>
      </c>
    </row>
    <row r="59" spans="2:5" ht="17.25" customHeight="1">
      <c r="B59" s="15" t="str">
        <f ca="1">IFERROR(__xludf.DUMMYFUNCTION("""COMPUTED_VALUE"""),"KR_welfare_2001_2010_Roof_FlatRoof")</f>
        <v>KR_welfare_2001_2010_Roof_FlatRoof</v>
      </c>
      <c r="C59" s="15" t="str">
        <f ca="1">IFERROR(__xludf.DUMMYFUNCTION("""COMPUTED_VALUE"""),"KR_welfare_2001_2010_Wall_Facade")</f>
        <v>KR_welfare_2001_2010_Wall_Facade</v>
      </c>
      <c r="E59" s="15" t="str">
        <f ca="1">IFERROR(__xludf.DUMMYFUNCTION("""COMPUTED_VALUE"""),"KR_welfare_2001_2010_Slab_GroundSlab")</f>
        <v>KR_welfare_2001_2010_Slab_GroundSlab</v>
      </c>
    </row>
    <row r="60" spans="2:5" ht="17.25" customHeight="1">
      <c r="B60" s="15" t="str">
        <f ca="1">IFERROR(__xludf.DUMMYFUNCTION("""COMPUTED_VALUE"""),"KR_welfare_2011_2018_Roof_FlatRoof")</f>
        <v>KR_welfare_2011_2018_Roof_FlatRoof</v>
      </c>
      <c r="C60" s="15" t="str">
        <f ca="1">IFERROR(__xludf.DUMMYFUNCTION("""COMPUTED_VALUE"""),"KR_welfare_2011_2018_Wall_Facade")</f>
        <v>KR_welfare_2011_2018_Wall_Facade</v>
      </c>
      <c r="E60" s="15" t="str">
        <f ca="1">IFERROR(__xludf.DUMMYFUNCTION("""COMPUTED_VALUE"""),"KR_welfare_2011_2018_Slab_GroundSlab")</f>
        <v>KR_welfare_2011_2018_Slab_GroundSlab</v>
      </c>
    </row>
    <row r="61" spans="2:5" ht="17.25" customHeight="1">
      <c r="B61" s="15" t="str">
        <f ca="1">IFERROR(__xludf.DUMMYFUNCTION("""COMPUTED_VALUE"""),"KR_welfare_post2019_Roof_FlatRoof")</f>
        <v>KR_welfare_post2019_Roof_FlatRoof</v>
      </c>
      <c r="C61" s="15" t="str">
        <f ca="1">IFERROR(__xludf.DUMMYFUNCTION("""COMPUTED_VALUE"""),"KR_welfare_post2019_Wall_Facade")</f>
        <v>KR_welfare_post2019_Wall_Facade</v>
      </c>
      <c r="E61" s="15" t="str">
        <f ca="1">IFERROR(__xludf.DUMMYFUNCTION("""COMPUTED_VALUE"""),"KR_welfare_post2019_Slab_GroundSlab")</f>
        <v>KR_welfare_post2019_Slab_GroundSlab</v>
      </c>
    </row>
    <row r="62" spans="2:5" ht="17.25" customHeight="1">
      <c r="B62" s="15" t="str">
        <f ca="1">IFERROR(__xludf.DUMMYFUNCTION("""COMPUTED_VALUE"""),"KR_culture_pre1988_Roof_FlatRoof")</f>
        <v>KR_culture_pre1988_Roof_FlatRoof</v>
      </c>
      <c r="C62" s="15" t="str">
        <f ca="1">IFERROR(__xludf.DUMMYFUNCTION("""COMPUTED_VALUE"""),"KR_culture_pre1988_Wall_Facade")</f>
        <v>KR_culture_pre1988_Wall_Facade</v>
      </c>
      <c r="E62" s="15" t="str">
        <f ca="1">IFERROR(__xludf.DUMMYFUNCTION("""COMPUTED_VALUE"""),"KR_culture_pre1988_Slab_GroundSlab")</f>
        <v>KR_culture_pre1988_Slab_GroundSlab</v>
      </c>
    </row>
    <row r="63" spans="2:5" ht="17.25" customHeight="1">
      <c r="B63" s="15" t="str">
        <f ca="1">IFERROR(__xludf.DUMMYFUNCTION("""COMPUTED_VALUE"""),"KR_culture_1988_2000_Roof_FlatRoof")</f>
        <v>KR_culture_1988_2000_Roof_FlatRoof</v>
      </c>
      <c r="C63" s="15" t="str">
        <f ca="1">IFERROR(__xludf.DUMMYFUNCTION("""COMPUTED_VALUE"""),"KR_culture_1988_2000_Wall_Facade")</f>
        <v>KR_culture_1988_2000_Wall_Facade</v>
      </c>
      <c r="E63" s="15" t="str">
        <f ca="1">IFERROR(__xludf.DUMMYFUNCTION("""COMPUTED_VALUE"""),"KR_culture_1988_2000_Slab_GroundSlab")</f>
        <v>KR_culture_1988_2000_Slab_GroundSlab</v>
      </c>
    </row>
    <row r="64" spans="2:5" ht="17.25" customHeight="1">
      <c r="B64" s="15" t="str">
        <f ca="1">IFERROR(__xludf.DUMMYFUNCTION("""COMPUTED_VALUE"""),"KR_culture_2001_2010_Roof_FlatRoof")</f>
        <v>KR_culture_2001_2010_Roof_FlatRoof</v>
      </c>
      <c r="C64" s="15" t="str">
        <f ca="1">IFERROR(__xludf.DUMMYFUNCTION("""COMPUTED_VALUE"""),"KR_culture_2001_2010_Wall_Facade")</f>
        <v>KR_culture_2001_2010_Wall_Facade</v>
      </c>
      <c r="E64" s="15" t="str">
        <f ca="1">IFERROR(__xludf.DUMMYFUNCTION("""COMPUTED_VALUE"""),"KR_culture_2001_2010_Slab_GroundSlab")</f>
        <v>KR_culture_2001_2010_Slab_GroundSlab</v>
      </c>
    </row>
    <row r="65" spans="2:5" ht="17.25" customHeight="1">
      <c r="B65" s="15" t="str">
        <f ca="1">IFERROR(__xludf.DUMMYFUNCTION("""COMPUTED_VALUE"""),"KR_culture_2011_2018_Roof_FlatRoof")</f>
        <v>KR_culture_2011_2018_Roof_FlatRoof</v>
      </c>
      <c r="C65" s="15" t="str">
        <f ca="1">IFERROR(__xludf.DUMMYFUNCTION("""COMPUTED_VALUE"""),"KR_culture_2011_2018_Wall_Facade")</f>
        <v>KR_culture_2011_2018_Wall_Facade</v>
      </c>
      <c r="E65" s="15" t="str">
        <f ca="1">IFERROR(__xludf.DUMMYFUNCTION("""COMPUTED_VALUE"""),"KR_culture_2011_2018_Slab_GroundSlab")</f>
        <v>KR_culture_2011_2018_Slab_GroundSlab</v>
      </c>
    </row>
    <row r="66" spans="2:5" ht="17.25" customHeight="1">
      <c r="B66" s="15" t="str">
        <f ca="1">IFERROR(__xludf.DUMMYFUNCTION("""COMPUTED_VALUE"""),"KR_culture_post2019_Roof_FlatRoof")</f>
        <v>KR_culture_post2019_Roof_FlatRoof</v>
      </c>
      <c r="C66" s="15" t="str">
        <f ca="1">IFERROR(__xludf.DUMMYFUNCTION("""COMPUTED_VALUE"""),"KR_culture_post2019_Wall_Facade")</f>
        <v>KR_culture_post2019_Wall_Facade</v>
      </c>
      <c r="E66" s="15" t="str">
        <f ca="1">IFERROR(__xludf.DUMMYFUNCTION("""COMPUTED_VALUE"""),"KR_culture_post2019_Slab_GroundSlab")</f>
        <v>KR_culture_post2019_Slab_GroundSlab</v>
      </c>
    </row>
    <row r="67" spans="2:5" ht="17.25" customHeight="1">
      <c r="B67" s="15" t="str">
        <f ca="1">IFERROR(__xludf.DUMMYFUNCTION("""COMPUTED_VALUE"""),"KR_religious_pre1988_Roof_FlatRoof")</f>
        <v>KR_religious_pre1988_Roof_FlatRoof</v>
      </c>
      <c r="C67" s="15" t="str">
        <f ca="1">IFERROR(__xludf.DUMMYFUNCTION("""COMPUTED_VALUE"""),"KR_religious_pre1988_Wall_Facade")</f>
        <v>KR_religious_pre1988_Wall_Facade</v>
      </c>
      <c r="E67" s="15" t="str">
        <f ca="1">IFERROR(__xludf.DUMMYFUNCTION("""COMPUTED_VALUE"""),"KR_religious_pre1988_Slab_GroundSlab")</f>
        <v>KR_religious_pre1988_Slab_GroundSlab</v>
      </c>
    </row>
    <row r="68" spans="2:5" ht="17.25" customHeight="1">
      <c r="B68" s="15" t="str">
        <f ca="1">IFERROR(__xludf.DUMMYFUNCTION("""COMPUTED_VALUE"""),"KR_religious_1988_2000_Roof_FlatRoof")</f>
        <v>KR_religious_1988_2000_Roof_FlatRoof</v>
      </c>
      <c r="C68" s="15" t="str">
        <f ca="1">IFERROR(__xludf.DUMMYFUNCTION("""COMPUTED_VALUE"""),"KR_religious_1988_2000_Wall_Facade")</f>
        <v>KR_religious_1988_2000_Wall_Facade</v>
      </c>
      <c r="E68" s="15" t="str">
        <f ca="1">IFERROR(__xludf.DUMMYFUNCTION("""COMPUTED_VALUE"""),"KR_religious_1988_2000_Slab_GroundSlab")</f>
        <v>KR_religious_1988_2000_Slab_GroundSlab</v>
      </c>
    </row>
    <row r="69" spans="2:5" ht="17.25" customHeight="1">
      <c r="B69" s="15" t="str">
        <f ca="1">IFERROR(__xludf.DUMMYFUNCTION("""COMPUTED_VALUE"""),"KR_religious_2001_2010_Roof_FlatRoof")</f>
        <v>KR_religious_2001_2010_Roof_FlatRoof</v>
      </c>
      <c r="C69" s="15" t="str">
        <f ca="1">IFERROR(__xludf.DUMMYFUNCTION("""COMPUTED_VALUE"""),"KR_religious_2001_2010_Wall_Facade")</f>
        <v>KR_religious_2001_2010_Wall_Facade</v>
      </c>
      <c r="E69" s="15" t="str">
        <f ca="1">IFERROR(__xludf.DUMMYFUNCTION("""COMPUTED_VALUE"""),"KR_religious_2001_2010_Slab_GroundSlab")</f>
        <v>KR_religious_2001_2010_Slab_GroundSlab</v>
      </c>
    </row>
    <row r="70" spans="2:5" ht="17.25" customHeight="1">
      <c r="B70" s="15" t="str">
        <f ca="1">IFERROR(__xludf.DUMMYFUNCTION("""COMPUTED_VALUE"""),"KR_religious_2011_2018_Roof_FlatRoof")</f>
        <v>KR_religious_2011_2018_Roof_FlatRoof</v>
      </c>
      <c r="C70" s="15" t="str">
        <f ca="1">IFERROR(__xludf.DUMMYFUNCTION("""COMPUTED_VALUE"""),"KR_religious_2011_2018_Wall_Facade")</f>
        <v>KR_religious_2011_2018_Wall_Facade</v>
      </c>
      <c r="E70" s="15" t="str">
        <f ca="1">IFERROR(__xludf.DUMMYFUNCTION("""COMPUTED_VALUE"""),"KR_religious_2011_2018_Slab_GroundSlab")</f>
        <v>KR_religious_2011_2018_Slab_GroundSlab</v>
      </c>
    </row>
    <row r="71" spans="2:5" ht="17.25" customHeight="1">
      <c r="B71" s="15" t="str">
        <f ca="1">IFERROR(__xludf.DUMMYFUNCTION("""COMPUTED_VALUE"""),"KR_religious_post2019_Roof_FlatRoof")</f>
        <v>KR_religious_post2019_Roof_FlatRoof</v>
      </c>
      <c r="C71" s="15" t="str">
        <f ca="1">IFERROR(__xludf.DUMMYFUNCTION("""COMPUTED_VALUE"""),"KR_religious_post2019_Wall_Facade")</f>
        <v>KR_religious_post2019_Wall_Facade</v>
      </c>
      <c r="E71" s="15" t="str">
        <f ca="1">IFERROR(__xludf.DUMMYFUNCTION("""COMPUTED_VALUE"""),"KR_religious_post2019_Slab_GroundSlab")</f>
        <v>KR_religious_post2019_Slab_GroundSlab</v>
      </c>
    </row>
    <row r="72" spans="2:5" ht="17.25" customHeight="1">
      <c r="B72" s="15" t="str">
        <f ca="1">IFERROR(__xludf.DUMMYFUNCTION("""COMPUTED_VALUE"""),"KR_factory_pre1988_Roof_FlatRoof")</f>
        <v>KR_factory_pre1988_Roof_FlatRoof</v>
      </c>
      <c r="C72" s="15" t="str">
        <f ca="1">IFERROR(__xludf.DUMMYFUNCTION("""COMPUTED_VALUE"""),"KR_factory_pre1988_Wall_Facade")</f>
        <v>KR_factory_pre1988_Wall_Facade</v>
      </c>
      <c r="E72" s="15" t="str">
        <f ca="1">IFERROR(__xludf.DUMMYFUNCTION("""COMPUTED_VALUE"""),"KR_factory_pre1988_Slab_GroundSlab")</f>
        <v>KR_factory_pre1988_Slab_GroundSlab</v>
      </c>
    </row>
    <row r="73" spans="2:5" ht="17.25" customHeight="1">
      <c r="B73" s="15" t="str">
        <f ca="1">IFERROR(__xludf.DUMMYFUNCTION("""COMPUTED_VALUE"""),"KR_factory_1988_2000_Roof_FlatRoof")</f>
        <v>KR_factory_1988_2000_Roof_FlatRoof</v>
      </c>
      <c r="C73" s="15" t="str">
        <f ca="1">IFERROR(__xludf.DUMMYFUNCTION("""COMPUTED_VALUE"""),"KR_factory_1988_2000_Wall_Facade")</f>
        <v>KR_factory_1988_2000_Wall_Facade</v>
      </c>
      <c r="E73" s="15" t="str">
        <f ca="1">IFERROR(__xludf.DUMMYFUNCTION("""COMPUTED_VALUE"""),"KR_factory_1988_2000_Slab_GroundSlab")</f>
        <v>KR_factory_1988_2000_Slab_GroundSlab</v>
      </c>
    </row>
    <row r="74" spans="2:5" ht="17.25" customHeight="1">
      <c r="B74" s="15" t="str">
        <f ca="1">IFERROR(__xludf.DUMMYFUNCTION("""COMPUTED_VALUE"""),"KR_factory_2001_2010_Roof_FlatRoof")</f>
        <v>KR_factory_2001_2010_Roof_FlatRoof</v>
      </c>
      <c r="C74" s="15" t="str">
        <f ca="1">IFERROR(__xludf.DUMMYFUNCTION("""COMPUTED_VALUE"""),"KR_factory_2001_2010_Wall_Facade")</f>
        <v>KR_factory_2001_2010_Wall_Facade</v>
      </c>
      <c r="E74" s="15" t="str">
        <f ca="1">IFERROR(__xludf.DUMMYFUNCTION("""COMPUTED_VALUE"""),"KR_factory_2001_2010_Slab_GroundSlab")</f>
        <v>KR_factory_2001_2010_Slab_GroundSlab</v>
      </c>
    </row>
    <row r="75" spans="2:5" ht="17.25" customHeight="1">
      <c r="B75" s="15" t="str">
        <f ca="1">IFERROR(__xludf.DUMMYFUNCTION("""COMPUTED_VALUE"""),"KR_factory_2011_2018_Roof_FlatRoof")</f>
        <v>KR_factory_2011_2018_Roof_FlatRoof</v>
      </c>
      <c r="C75" s="15" t="str">
        <f ca="1">IFERROR(__xludf.DUMMYFUNCTION("""COMPUTED_VALUE"""),"KR_factory_2011_2018_Wall_Facade")</f>
        <v>KR_factory_2011_2018_Wall_Facade</v>
      </c>
      <c r="E75" s="15" t="str">
        <f ca="1">IFERROR(__xludf.DUMMYFUNCTION("""COMPUTED_VALUE"""),"KR_factory_2011_2018_Slab_GroundSlab")</f>
        <v>KR_factory_2011_2018_Slab_GroundSlab</v>
      </c>
    </row>
    <row r="76" spans="2:5" ht="17.25" customHeight="1">
      <c r="B76" s="15" t="str">
        <f ca="1">IFERROR(__xludf.DUMMYFUNCTION("""COMPUTED_VALUE"""),"KR_factory_post2019_Roof_FlatRoof")</f>
        <v>KR_factory_post2019_Roof_FlatRoof</v>
      </c>
      <c r="C76" s="15" t="str">
        <f ca="1">IFERROR(__xludf.DUMMYFUNCTION("""COMPUTED_VALUE"""),"KR_factory_post2019_Wall_Facade")</f>
        <v>KR_factory_post2019_Wall_Facade</v>
      </c>
      <c r="E76" s="15" t="str">
        <f ca="1">IFERROR(__xludf.DUMMYFUNCTION("""COMPUTED_VALUE"""),"KR_factory_post2019_Slab_GroundSlab")</f>
        <v>KR_factory_post2019_Slab_GroundSlab</v>
      </c>
    </row>
    <row r="77" spans="2:5" ht="17.25" customHeight="1">
      <c r="B77" s="15" t="str">
        <f ca="1">IFERROR(__xludf.DUMMYFUNCTION("""COMPUTED_VALUE"""),"KR_warehouse_pre1988_Roof_FlatRoof")</f>
        <v>KR_warehouse_pre1988_Roof_FlatRoof</v>
      </c>
      <c r="C77" s="15" t="str">
        <f ca="1">IFERROR(__xludf.DUMMYFUNCTION("""COMPUTED_VALUE"""),"KR_warehouse_pre1988_Wall_Facade")</f>
        <v>KR_warehouse_pre1988_Wall_Facade</v>
      </c>
      <c r="E77" s="15" t="str">
        <f ca="1">IFERROR(__xludf.DUMMYFUNCTION("""COMPUTED_VALUE"""),"KR_warehouse_pre1988_Slab_GroundSlab")</f>
        <v>KR_warehouse_pre1988_Slab_GroundSlab</v>
      </c>
    </row>
    <row r="78" spans="2:5" ht="17.25" customHeight="1">
      <c r="B78" s="15" t="str">
        <f ca="1">IFERROR(__xludf.DUMMYFUNCTION("""COMPUTED_VALUE"""),"KR_warehouse_1988_2000_Roof_FlatRoof")</f>
        <v>KR_warehouse_1988_2000_Roof_FlatRoof</v>
      </c>
      <c r="C78" s="15" t="str">
        <f ca="1">IFERROR(__xludf.DUMMYFUNCTION("""COMPUTED_VALUE"""),"KR_warehouse_1988_2000_Wall_Facade")</f>
        <v>KR_warehouse_1988_2000_Wall_Facade</v>
      </c>
      <c r="E78" s="15" t="str">
        <f ca="1">IFERROR(__xludf.DUMMYFUNCTION("""COMPUTED_VALUE"""),"KR_warehouse_1988_2000_Slab_GroundSlab")</f>
        <v>KR_warehouse_1988_2000_Slab_GroundSlab</v>
      </c>
    </row>
    <row r="79" spans="2:5" ht="17.25" customHeight="1">
      <c r="B79" s="15" t="str">
        <f ca="1">IFERROR(__xludf.DUMMYFUNCTION("""COMPUTED_VALUE"""),"KR_warehouse_2001_2010_Roof_FlatRoof")</f>
        <v>KR_warehouse_2001_2010_Roof_FlatRoof</v>
      </c>
      <c r="C79" s="15" t="str">
        <f ca="1">IFERROR(__xludf.DUMMYFUNCTION("""COMPUTED_VALUE"""),"KR_warehouse_2001_2010_Wall_Facade")</f>
        <v>KR_warehouse_2001_2010_Wall_Facade</v>
      </c>
      <c r="E79" s="15" t="str">
        <f ca="1">IFERROR(__xludf.DUMMYFUNCTION("""COMPUTED_VALUE"""),"KR_warehouse_2001_2010_Slab_GroundSlab")</f>
        <v>KR_warehouse_2001_2010_Slab_GroundSlab</v>
      </c>
    </row>
    <row r="80" spans="2:5" ht="17.25" customHeight="1">
      <c r="B80" s="15" t="str">
        <f ca="1">IFERROR(__xludf.DUMMYFUNCTION("""COMPUTED_VALUE"""),"KR_warehouse_2011_2018_Roof_FlatRoof")</f>
        <v>KR_warehouse_2011_2018_Roof_FlatRoof</v>
      </c>
      <c r="C80" s="15" t="str">
        <f ca="1">IFERROR(__xludf.DUMMYFUNCTION("""COMPUTED_VALUE"""),"KR_warehouse_2011_2018_Wall_Facade")</f>
        <v>KR_warehouse_2011_2018_Wall_Facade</v>
      </c>
      <c r="E80" s="15" t="str">
        <f ca="1">IFERROR(__xludf.DUMMYFUNCTION("""COMPUTED_VALUE"""),"KR_warehouse_2011_2018_Slab_GroundSlab")</f>
        <v>KR_warehouse_2011_2018_Slab_GroundSlab</v>
      </c>
    </row>
    <row r="81" spans="2:5" ht="17.25" customHeight="1">
      <c r="B81" s="15" t="str">
        <f ca="1">IFERROR(__xludf.DUMMYFUNCTION("""COMPUTED_VALUE"""),"KR_warehouse_post2019_Roof_FlatRoof")</f>
        <v>KR_warehouse_post2019_Roof_FlatRoof</v>
      </c>
      <c r="C81" s="15" t="str">
        <f ca="1">IFERROR(__xludf.DUMMYFUNCTION("""COMPUTED_VALUE"""),"KR_warehouse_post2019_Wall_Facade")</f>
        <v>KR_warehouse_post2019_Wall_Facade</v>
      </c>
      <c r="E81" s="15" t="str">
        <f ca="1">IFERROR(__xludf.DUMMYFUNCTION("""COMPUTED_VALUE"""),"KR_warehouse_post2019_Slab_GroundSlab")</f>
        <v>KR_warehouse_post2019_Slab_GroundSlab</v>
      </c>
    </row>
    <row r="82" spans="2:5" ht="17.25" customHeight="1">
      <c r="B82" s="15" t="str">
        <f ca="1">IFERROR(__xludf.DUMMYFUNCTION("""COMPUTED_VALUE"""),"KR_hotel_pre1988_Roof_FlatRoof")</f>
        <v>KR_hotel_pre1988_Roof_FlatRoof</v>
      </c>
      <c r="C82" s="15" t="str">
        <f ca="1">IFERROR(__xludf.DUMMYFUNCTION("""COMPUTED_VALUE"""),"KR_hotel_pre1988_Wall_Facade")</f>
        <v>KR_hotel_pre1988_Wall_Facade</v>
      </c>
      <c r="E82" s="15" t="str">
        <f ca="1">IFERROR(__xludf.DUMMYFUNCTION("""COMPUTED_VALUE"""),"KR_hotel_pre1988_Slab_GroundSlab")</f>
        <v>KR_hotel_pre1988_Slab_GroundSlab</v>
      </c>
    </row>
    <row r="83" spans="2:5" ht="17.25" customHeight="1">
      <c r="B83" s="15" t="str">
        <f ca="1">IFERROR(__xludf.DUMMYFUNCTION("""COMPUTED_VALUE"""),"KR_hotel_1988_2000_Roof_FlatRoof")</f>
        <v>KR_hotel_1988_2000_Roof_FlatRoof</v>
      </c>
      <c r="C83" s="15" t="str">
        <f ca="1">IFERROR(__xludf.DUMMYFUNCTION("""COMPUTED_VALUE"""),"KR_hotel_1988_2000_Wall_Facade")</f>
        <v>KR_hotel_1988_2000_Wall_Facade</v>
      </c>
      <c r="E83" s="15" t="str">
        <f ca="1">IFERROR(__xludf.DUMMYFUNCTION("""COMPUTED_VALUE"""),"KR_hotel_1988_2000_Slab_GroundSlab")</f>
        <v>KR_hotel_1988_2000_Slab_GroundSlab</v>
      </c>
    </row>
    <row r="84" spans="2:5" ht="17.25" customHeight="1">
      <c r="B84" s="15" t="str">
        <f ca="1">IFERROR(__xludf.DUMMYFUNCTION("""COMPUTED_VALUE"""),"KR_hotel_2001_2010_Roof_FlatRoof")</f>
        <v>KR_hotel_2001_2010_Roof_FlatRoof</v>
      </c>
      <c r="C84" s="15" t="str">
        <f ca="1">IFERROR(__xludf.DUMMYFUNCTION("""COMPUTED_VALUE"""),"KR_hotel_2001_2010_Wall_Facade")</f>
        <v>KR_hotel_2001_2010_Wall_Facade</v>
      </c>
      <c r="E84" s="15" t="str">
        <f ca="1">IFERROR(__xludf.DUMMYFUNCTION("""COMPUTED_VALUE"""),"KR_hotel_2001_2010_Slab_GroundSlab")</f>
        <v>KR_hotel_2001_2010_Slab_GroundSlab</v>
      </c>
    </row>
    <row r="85" spans="2:5" ht="17.25" customHeight="1">
      <c r="B85" s="15" t="str">
        <f ca="1">IFERROR(__xludf.DUMMYFUNCTION("""COMPUTED_VALUE"""),"KR_hotel_2011_2018_Roof_FlatRoof")</f>
        <v>KR_hotel_2011_2018_Roof_FlatRoof</v>
      </c>
      <c r="C85" s="15" t="str">
        <f ca="1">IFERROR(__xludf.DUMMYFUNCTION("""COMPUTED_VALUE"""),"KR_hotel_2011_2018_Wall_Facade")</f>
        <v>KR_hotel_2011_2018_Wall_Facade</v>
      </c>
      <c r="E85" s="15" t="str">
        <f ca="1">IFERROR(__xludf.DUMMYFUNCTION("""COMPUTED_VALUE"""),"KR_hotel_2011_2018_Slab_GroundSlab")</f>
        <v>KR_hotel_2011_2018_Slab_GroundSlab</v>
      </c>
    </row>
    <row r="86" spans="2:5" ht="17.25" customHeight="1">
      <c r="B86" s="15" t="str">
        <f ca="1">IFERROR(__xludf.DUMMYFUNCTION("""COMPUTED_VALUE"""),"KR_hotel_post2019_Roof_FlatRoof")</f>
        <v>KR_hotel_post2019_Roof_FlatRoof</v>
      </c>
      <c r="C86" s="15" t="str">
        <f ca="1">IFERROR(__xludf.DUMMYFUNCTION("""COMPUTED_VALUE"""),"KR_hotel_post2019_Wall_Facade")</f>
        <v>KR_hotel_post2019_Wall_Facade</v>
      </c>
      <c r="E86" s="15" t="str">
        <f ca="1">IFERROR(__xludf.DUMMYFUNCTION("""COMPUTED_VALUE"""),"KR_hotel_post2019_Slab_GroundSlab")</f>
        <v>KR_hotel_post2019_Slab_GroundSlab</v>
      </c>
    </row>
    <row r="87" spans="2:5" ht="17.25" customHeight="1">
      <c r="B87" s="15" t="str">
        <f ca="1">IFERROR(__xludf.DUMMYFUNCTION("""COMPUTED_VALUE"""),"KR_data_pre1988_Roof_FlatRoof")</f>
        <v>KR_data_pre1988_Roof_FlatRoof</v>
      </c>
      <c r="C87" s="15" t="str">
        <f ca="1">IFERROR(__xludf.DUMMYFUNCTION("""COMPUTED_VALUE"""),"KR_data_pre1988_Wall_Facade")</f>
        <v>KR_data_pre1988_Wall_Facade</v>
      </c>
      <c r="E87" s="15" t="str">
        <f ca="1">IFERROR(__xludf.DUMMYFUNCTION("""COMPUTED_VALUE"""),"KR_data_pre1988_Slab_GroundSlab")</f>
        <v>KR_data_pre1988_Slab_GroundSlab</v>
      </c>
    </row>
    <row r="88" spans="2:5" ht="17.25" customHeight="1">
      <c r="B88" s="15" t="str">
        <f ca="1">IFERROR(__xludf.DUMMYFUNCTION("""COMPUTED_VALUE"""),"KR_data_1988_2000_Roof_FlatRoof")</f>
        <v>KR_data_1988_2000_Roof_FlatRoof</v>
      </c>
      <c r="C88" s="15" t="str">
        <f ca="1">IFERROR(__xludf.DUMMYFUNCTION("""COMPUTED_VALUE"""),"KR_data_1988_2000_Wall_Facade")</f>
        <v>KR_data_1988_2000_Wall_Facade</v>
      </c>
      <c r="E88" s="15" t="str">
        <f ca="1">IFERROR(__xludf.DUMMYFUNCTION("""COMPUTED_VALUE"""),"KR_data_1988_2000_Slab_GroundSlab")</f>
        <v>KR_data_1988_2000_Slab_GroundSlab</v>
      </c>
    </row>
    <row r="89" spans="2:5" ht="17.25" customHeight="1">
      <c r="B89" s="15" t="str">
        <f ca="1">IFERROR(__xludf.DUMMYFUNCTION("""COMPUTED_VALUE"""),"KR_data_2001_2010_Roof_FlatRoof")</f>
        <v>KR_data_2001_2010_Roof_FlatRoof</v>
      </c>
      <c r="C89" s="15" t="str">
        <f ca="1">IFERROR(__xludf.DUMMYFUNCTION("""COMPUTED_VALUE"""),"KR_data_2001_2010_Wall_Facade")</f>
        <v>KR_data_2001_2010_Wall_Facade</v>
      </c>
      <c r="E89" s="15" t="str">
        <f ca="1">IFERROR(__xludf.DUMMYFUNCTION("""COMPUTED_VALUE"""),"KR_data_2001_2010_Slab_GroundSlab")</f>
        <v>KR_data_2001_2010_Slab_GroundSlab</v>
      </c>
    </row>
    <row r="90" spans="2:5" ht="17.25" customHeight="1">
      <c r="B90" s="15" t="str">
        <f ca="1">IFERROR(__xludf.DUMMYFUNCTION("""COMPUTED_VALUE"""),"KR_data_2011_2018_Roof_FlatRoof")</f>
        <v>KR_data_2011_2018_Roof_FlatRoof</v>
      </c>
      <c r="C90" s="15" t="str">
        <f ca="1">IFERROR(__xludf.DUMMYFUNCTION("""COMPUTED_VALUE"""),"KR_data_2011_2018_Wall_Facade")</f>
        <v>KR_data_2011_2018_Wall_Facade</v>
      </c>
      <c r="E90" s="15" t="str">
        <f ca="1">IFERROR(__xludf.DUMMYFUNCTION("""COMPUTED_VALUE"""),"KR_data_2011_2018_Slab_GroundSlab")</f>
        <v>KR_data_2011_2018_Slab_GroundSlab</v>
      </c>
    </row>
    <row r="91" spans="2:5" ht="17.25" customHeight="1">
      <c r="B91" s="15" t="str">
        <f ca="1">IFERROR(__xludf.DUMMYFUNCTION("""COMPUTED_VALUE"""),"KR_data_post2019_Roof_FlatRoof")</f>
        <v>KR_data_post2019_Roof_FlatRoof</v>
      </c>
      <c r="C91" s="15" t="str">
        <f ca="1">IFERROR(__xludf.DUMMYFUNCTION("""COMPUTED_VALUE"""),"KR_data_post2019_Wall_Facade")</f>
        <v>KR_data_post2019_Wall_Facade</v>
      </c>
      <c r="E91" s="15" t="str">
        <f ca="1">IFERROR(__xludf.DUMMYFUNCTION("""COMPUTED_VALUE"""),"KR_data_post2019_Slab_GroundSlab")</f>
        <v>KR_data_post2019_Slab_GroundSlab</v>
      </c>
    </row>
    <row r="92" spans="2:5" ht="17.25" customHeight="1">
      <c r="B92" s="15" t="str">
        <f ca="1">IFERROR(__xludf.DUMMYFUNCTION("""COMPUTED_VALUE"""),"KR_etc_pre1988_Roof_FlatRoof")</f>
        <v>KR_etc_pre1988_Roof_FlatRoof</v>
      </c>
      <c r="C92" s="15" t="str">
        <f ca="1">IFERROR(__xludf.DUMMYFUNCTION("""COMPUTED_VALUE"""),"KR_etc_pre1988_Wall_Facade")</f>
        <v>KR_etc_pre1988_Wall_Facade</v>
      </c>
      <c r="E92" s="15" t="str">
        <f ca="1">IFERROR(__xludf.DUMMYFUNCTION("""COMPUTED_VALUE"""),"KR_etc_pre1988_Slab_GroundSlab")</f>
        <v>KR_etc_pre1988_Slab_GroundSlab</v>
      </c>
    </row>
    <row r="93" spans="2:5" ht="17.25" customHeight="1">
      <c r="B93" s="15" t="str">
        <f ca="1">IFERROR(__xludf.DUMMYFUNCTION("""COMPUTED_VALUE"""),"KR_etc_1988_2000_Roof_FlatRoof")</f>
        <v>KR_etc_1988_2000_Roof_FlatRoof</v>
      </c>
      <c r="C93" s="15" t="str">
        <f ca="1">IFERROR(__xludf.DUMMYFUNCTION("""COMPUTED_VALUE"""),"KR_etc_1988_2000_Wall_Facade")</f>
        <v>KR_etc_1988_2000_Wall_Facade</v>
      </c>
      <c r="E93" s="15" t="str">
        <f ca="1">IFERROR(__xludf.DUMMYFUNCTION("""COMPUTED_VALUE"""),"KR_etc_1988_2000_Slab_GroundSlab")</f>
        <v>KR_etc_1988_2000_Slab_GroundSlab</v>
      </c>
    </row>
    <row r="94" spans="2:5" ht="17.25" customHeight="1">
      <c r="B94" s="15" t="str">
        <f ca="1">IFERROR(__xludf.DUMMYFUNCTION("""COMPUTED_VALUE"""),"KR_etc_2001_2010_Roof_FlatRoof")</f>
        <v>KR_etc_2001_2010_Roof_FlatRoof</v>
      </c>
      <c r="C94" s="15" t="str">
        <f ca="1">IFERROR(__xludf.DUMMYFUNCTION("""COMPUTED_VALUE"""),"KR_etc_2001_2010_Wall_Facade")</f>
        <v>KR_etc_2001_2010_Wall_Facade</v>
      </c>
      <c r="E94" s="15" t="str">
        <f ca="1">IFERROR(__xludf.DUMMYFUNCTION("""COMPUTED_VALUE"""),"KR_etc_2001_2010_Slab_GroundSlab")</f>
        <v>KR_etc_2001_2010_Slab_GroundSlab</v>
      </c>
    </row>
    <row r="95" spans="2:5" ht="17.25" customHeight="1">
      <c r="B95" s="15" t="str">
        <f ca="1">IFERROR(__xludf.DUMMYFUNCTION("""COMPUTED_VALUE"""),"KR_etc_2011_2018_Roof_FlatRoof")</f>
        <v>KR_etc_2011_2018_Roof_FlatRoof</v>
      </c>
      <c r="C95" s="15" t="str">
        <f ca="1">IFERROR(__xludf.DUMMYFUNCTION("""COMPUTED_VALUE"""),"KR_etc_2011_2018_Wall_Facade")</f>
        <v>KR_etc_2011_2018_Wall_Facade</v>
      </c>
      <c r="E95" s="15" t="str">
        <f ca="1">IFERROR(__xludf.DUMMYFUNCTION("""COMPUTED_VALUE"""),"KR_etc_2011_2018_Slab_GroundSlab")</f>
        <v>KR_etc_2011_2018_Slab_GroundSlab</v>
      </c>
    </row>
    <row r="96" spans="2:5" ht="17.25" customHeight="1">
      <c r="B96" s="15" t="str">
        <f ca="1">IFERROR(__xludf.DUMMYFUNCTION("""COMPUTED_VALUE"""),"KR_etc_post2019_Roof_FlatRoof")</f>
        <v>KR_etc_post2019_Roof_FlatRoof</v>
      </c>
      <c r="C96" s="15" t="str">
        <f ca="1">IFERROR(__xludf.DUMMYFUNCTION("""COMPUTED_VALUE"""),"KR_etc_post2019_Wall_Facade")</f>
        <v>KR_etc_post2019_Wall_Facade</v>
      </c>
      <c r="E96" s="15" t="str">
        <f ca="1">IFERROR(__xludf.DUMMYFUNCTION("""COMPUTED_VALUE"""),"KR_etc_post2019_Slab_GroundSlab")</f>
        <v>KR_etc_post2019_Slab_GroundSlab</v>
      </c>
    </row>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50</vt:i4>
      </vt:variant>
    </vt:vector>
  </HeadingPairs>
  <TitlesOfParts>
    <vt:vector size="50" baseType="lpstr">
      <vt:lpstr>Instructions</vt:lpstr>
      <vt:lpstr>Country_description</vt:lpstr>
      <vt:lpstr>Mapping&gt;&gt;</vt:lpstr>
      <vt:lpstr>component_options</vt:lpstr>
      <vt:lpstr>mapping</vt:lpstr>
      <vt:lpstr>generated_mapping</vt:lpstr>
      <vt:lpstr>Internal_gains</vt:lpstr>
      <vt:lpstr>Building_loads&gt;&gt;&gt;&gt;</vt:lpstr>
      <vt:lpstr>Occupancy</vt:lpstr>
      <vt:lpstr>Lighting</vt:lpstr>
      <vt:lpstr>Power</vt:lpstr>
      <vt:lpstr>Generated_schedule</vt:lpstr>
      <vt:lpstr>Schedule_viewer</vt:lpstr>
      <vt:lpstr>HVAC</vt:lpstr>
      <vt:lpstr>Setpoints</vt:lpstr>
      <vt:lpstr>Water_flow</vt:lpstr>
      <vt:lpstr>Space_use_assembly</vt:lpstr>
      <vt:lpstr>HVAC&gt;&gt;&gt;</vt:lpstr>
      <vt:lpstr>Conditioning_constructor</vt:lpstr>
      <vt:lpstr>Ventilation_constructor</vt:lpstr>
      <vt:lpstr>DHW</vt:lpstr>
      <vt:lpstr>DHW_Constructor</vt:lpstr>
      <vt:lpstr>Systems_assembly</vt:lpstr>
      <vt:lpstr>Building_construction&gt;&gt;&gt;&gt;</vt:lpstr>
      <vt:lpstr>Construction_generator</vt:lpstr>
      <vt:lpstr>Materials</vt:lpstr>
      <vt:lpstr>Construction_components</vt:lpstr>
      <vt:lpstr>Infiltration_components</vt:lpstr>
      <vt:lpstr>Construction_assembly</vt:lpstr>
      <vt:lpstr>Envelope_assembly</vt:lpstr>
      <vt:lpstr>Schedules_assembly (OPT)&gt;&gt;&gt;</vt:lpstr>
      <vt:lpstr>EPD_calculator</vt:lpstr>
      <vt:lpstr>Day_schedules</vt:lpstr>
      <vt:lpstr>Week_schedules</vt:lpstr>
      <vt:lpstr>Year_schedules</vt:lpstr>
      <vt:lpstr>Retrofit_options&gt;&gt;&gt;</vt:lpstr>
      <vt:lpstr>Sheet1</vt:lpstr>
      <vt:lpstr>Retrofit_determination (OPT)</vt:lpstr>
      <vt:lpstr>Retrofit_assembly (OPT)</vt:lpstr>
      <vt:lpstr>Support&gt;&gt;&gt;</vt:lpstr>
      <vt:lpstr>Units</vt:lpstr>
      <vt:lpstr>Window_choices</vt:lpstr>
      <vt:lpstr>Equipment_types</vt:lpstr>
      <vt:lpstr>Peak_load_calculator</vt:lpstr>
      <vt:lpstr>HVAC_options</vt:lpstr>
      <vt:lpstr>Wall_assembly_GH_generator</vt:lpstr>
      <vt:lpstr>Drop_downs</vt:lpstr>
      <vt:lpstr>Schedule_choices</vt:lpstr>
      <vt:lpstr>Constructions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Darya Guettler</dc:creator>
  <cp:lastModifiedBy>Darya Guettler</cp:lastModifiedBy>
  <dcterms:created xsi:type="dcterms:W3CDTF">2024-11-01T13:24:03Z</dcterms:created>
  <dcterms:modified xsi:type="dcterms:W3CDTF">2026-04-01T02:05:52Z</dcterms:modified>
</cp:coreProperties>
</file>